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hidePivotFieldList="1" autoCompressPictures="0"/>
  <mc:AlternateContent xmlns:mc="http://schemas.openxmlformats.org/markup-compatibility/2006">
    <mc:Choice Requires="x15">
      <x15ac:absPath xmlns:x15ac="http://schemas.microsoft.com/office/spreadsheetml/2010/11/ac" url="/Users/Main/Documents/"/>
    </mc:Choice>
  </mc:AlternateContent>
  <xr:revisionPtr revIDLastSave="0" documentId="13_ncr:1_{C07AE847-AF24-A049-B0F9-C83E0BAFAFFB}" xr6:coauthVersionLast="45" xr6:coauthVersionMax="45" xr10:uidLastSave="{00000000-0000-0000-0000-000000000000}"/>
  <bookViews>
    <workbookView xWindow="3220" yWindow="1060" windowWidth="24800" windowHeight="14280" tabRatio="500" xr2:uid="{00000000-000D-0000-FFFF-FFFF00000000}"/>
  </bookViews>
  <sheets>
    <sheet name="2013-2019 Police Killings" sheetId="1" r:id="rId1"/>
    <sheet name="2013-2019 Killings by PD" sheetId="4" r:id="rId2"/>
    <sheet name="2013-2019 Killings by State" sheetId="5" r:id="rId3"/>
    <sheet name="Police Killings of Black Men" sheetId="6"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Q3" i="5" l="1"/>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P2" i="5"/>
  <c r="O2" i="5"/>
  <c r="AS3" i="4" l="1"/>
  <c r="AS4" i="4"/>
  <c r="AS5" i="4"/>
  <c r="AS6" i="4"/>
  <c r="AS7" i="4"/>
  <c r="AS8" i="4"/>
  <c r="AS9" i="4"/>
  <c r="AS10" i="4"/>
  <c r="AS11" i="4"/>
  <c r="AS12" i="4"/>
  <c r="AS13" i="4"/>
  <c r="AS14" i="4"/>
  <c r="AS15" i="4"/>
  <c r="AS16" i="4"/>
  <c r="AS17" i="4"/>
  <c r="AS18" i="4"/>
  <c r="AS19" i="4"/>
  <c r="AS20" i="4"/>
  <c r="AS21" i="4"/>
  <c r="AS22" i="4"/>
  <c r="AS23" i="4"/>
  <c r="AS24" i="4"/>
  <c r="AS25" i="4"/>
  <c r="AS26" i="4"/>
  <c r="AS27" i="4"/>
  <c r="AS28" i="4"/>
  <c r="AS29" i="4"/>
  <c r="AS30" i="4"/>
  <c r="AS31" i="4"/>
  <c r="AS32" i="4"/>
  <c r="AS33" i="4"/>
  <c r="AS34" i="4"/>
  <c r="AS35" i="4"/>
  <c r="AS36" i="4"/>
  <c r="AS37" i="4"/>
  <c r="AS38" i="4"/>
  <c r="AS39" i="4"/>
  <c r="AS40" i="4"/>
  <c r="AS41" i="4"/>
  <c r="AS42" i="4"/>
  <c r="AS43" i="4"/>
  <c r="AS44" i="4"/>
  <c r="AS45" i="4"/>
  <c r="AS46" i="4"/>
  <c r="AS47" i="4"/>
  <c r="AS48" i="4"/>
  <c r="AS49" i="4"/>
  <c r="AS50" i="4"/>
  <c r="AS51" i="4"/>
  <c r="AS52" i="4"/>
  <c r="AS53" i="4"/>
  <c r="AS54" i="4"/>
  <c r="AS55" i="4"/>
  <c r="AS56" i="4"/>
  <c r="AS57" i="4"/>
  <c r="AS58" i="4"/>
  <c r="AS59" i="4"/>
  <c r="AS60" i="4"/>
  <c r="AS61" i="4"/>
  <c r="AS62" i="4"/>
  <c r="AS63" i="4"/>
  <c r="AS64" i="4"/>
  <c r="AS65" i="4"/>
  <c r="AS66" i="4"/>
  <c r="AS67" i="4"/>
  <c r="AS68" i="4"/>
  <c r="AS69" i="4"/>
  <c r="AS70" i="4"/>
  <c r="AS71" i="4"/>
  <c r="AS72" i="4"/>
  <c r="AS73" i="4"/>
  <c r="AS74" i="4"/>
  <c r="AS75" i="4"/>
  <c r="AS76" i="4"/>
  <c r="AS77" i="4"/>
  <c r="AS78" i="4"/>
  <c r="AS79" i="4"/>
  <c r="AS80" i="4"/>
  <c r="AS81" i="4"/>
  <c r="AS82" i="4"/>
  <c r="AS83" i="4"/>
  <c r="AS84" i="4"/>
  <c r="AS85" i="4"/>
  <c r="AS86" i="4"/>
  <c r="AS87" i="4"/>
  <c r="AS88" i="4"/>
  <c r="AS89" i="4"/>
  <c r="AS90" i="4"/>
  <c r="AS91" i="4"/>
  <c r="AS92" i="4"/>
  <c r="AS93" i="4"/>
  <c r="AS94" i="4"/>
  <c r="AS95" i="4"/>
  <c r="AS96" i="4"/>
  <c r="AS97" i="4"/>
  <c r="AS98" i="4"/>
  <c r="AS99" i="4"/>
  <c r="AS100" i="4"/>
  <c r="AS101" i="4"/>
  <c r="AS2" i="4"/>
  <c r="K2" i="4"/>
  <c r="AT2" i="4" s="1"/>
  <c r="K3" i="4"/>
  <c r="AT3" i="4" s="1"/>
  <c r="K4" i="4"/>
  <c r="AT4" i="4" s="1"/>
  <c r="K5" i="4"/>
  <c r="AT5" i="4" s="1"/>
  <c r="K6" i="4"/>
  <c r="AT6" i="4" s="1"/>
  <c r="K7" i="4"/>
  <c r="K8" i="4"/>
  <c r="K9" i="4"/>
  <c r="K10" i="4"/>
  <c r="AT10" i="4" s="1"/>
  <c r="K11" i="4"/>
  <c r="AT11" i="4" s="1"/>
  <c r="K12" i="4"/>
  <c r="K13" i="4"/>
  <c r="AT13" i="4" s="1"/>
  <c r="K14" i="4"/>
  <c r="AT14" i="4" s="1"/>
  <c r="K15" i="4"/>
  <c r="K16" i="4"/>
  <c r="K17" i="4"/>
  <c r="K18" i="4"/>
  <c r="AT18" i="4" s="1"/>
  <c r="K19" i="4"/>
  <c r="AT19" i="4" s="1"/>
  <c r="K20" i="4"/>
  <c r="AT20" i="4" s="1"/>
  <c r="K21" i="4"/>
  <c r="AT21" i="4" s="1"/>
  <c r="K22" i="4"/>
  <c r="AT22" i="4" s="1"/>
  <c r="K23" i="4"/>
  <c r="K24" i="4"/>
  <c r="K25" i="4"/>
  <c r="K26" i="4"/>
  <c r="AT26" i="4" s="1"/>
  <c r="K27" i="4"/>
  <c r="AT27" i="4" s="1"/>
  <c r="K28" i="4"/>
  <c r="AT28" i="4" s="1"/>
  <c r="K29" i="4"/>
  <c r="AT29" i="4" s="1"/>
  <c r="K30" i="4"/>
  <c r="AT30" i="4" s="1"/>
  <c r="K31" i="4"/>
  <c r="K32" i="4"/>
  <c r="K33" i="4"/>
  <c r="K34" i="4"/>
  <c r="AT34" i="4" s="1"/>
  <c r="K35" i="4"/>
  <c r="AT35" i="4" s="1"/>
  <c r="K36" i="4"/>
  <c r="AT36" i="4" s="1"/>
  <c r="K37" i="4"/>
  <c r="AT37" i="4" s="1"/>
  <c r="K38" i="4"/>
  <c r="AT38" i="4" s="1"/>
  <c r="K39" i="4"/>
  <c r="K40" i="4"/>
  <c r="K41" i="4"/>
  <c r="K42" i="4"/>
  <c r="AT42" i="4" s="1"/>
  <c r="K43" i="4"/>
  <c r="AT43" i="4" s="1"/>
  <c r="K44" i="4"/>
  <c r="AT44" i="4" s="1"/>
  <c r="K45" i="4"/>
  <c r="AT45" i="4" s="1"/>
  <c r="K46" i="4"/>
  <c r="AT46" i="4" s="1"/>
  <c r="K47" i="4"/>
  <c r="K48" i="4"/>
  <c r="K49" i="4"/>
  <c r="K50" i="4"/>
  <c r="AT50" i="4" s="1"/>
  <c r="K51" i="4"/>
  <c r="AT51" i="4" s="1"/>
  <c r="K52" i="4"/>
  <c r="AT52" i="4" s="1"/>
  <c r="K53" i="4"/>
  <c r="AT53" i="4" s="1"/>
  <c r="K54" i="4"/>
  <c r="AT54" i="4" s="1"/>
  <c r="K55" i="4"/>
  <c r="K56" i="4"/>
  <c r="K57" i="4"/>
  <c r="K58" i="4"/>
  <c r="AT58" i="4" s="1"/>
  <c r="K59" i="4"/>
  <c r="AT59" i="4" s="1"/>
  <c r="K60" i="4"/>
  <c r="AT60" i="4" s="1"/>
  <c r="K61" i="4"/>
  <c r="AT61" i="4" s="1"/>
  <c r="K62" i="4"/>
  <c r="AT62" i="4" s="1"/>
  <c r="K63" i="4"/>
  <c r="K64" i="4"/>
  <c r="K65" i="4"/>
  <c r="K66" i="4"/>
  <c r="AT66" i="4" s="1"/>
  <c r="K67" i="4"/>
  <c r="AT67" i="4" s="1"/>
  <c r="K68" i="4"/>
  <c r="AT68" i="4" s="1"/>
  <c r="K69" i="4"/>
  <c r="AT69" i="4" s="1"/>
  <c r="K70" i="4"/>
  <c r="AT70" i="4" s="1"/>
  <c r="K71" i="4"/>
  <c r="K72" i="4"/>
  <c r="K73" i="4"/>
  <c r="K74" i="4"/>
  <c r="AT74" i="4" s="1"/>
  <c r="K75" i="4"/>
  <c r="AT75" i="4" s="1"/>
  <c r="K76" i="4"/>
  <c r="AT76" i="4" s="1"/>
  <c r="K77" i="4"/>
  <c r="K78" i="4"/>
  <c r="AT78" i="4" s="1"/>
  <c r="K79" i="4"/>
  <c r="K80" i="4"/>
  <c r="K81" i="4"/>
  <c r="K82" i="4"/>
  <c r="AT82" i="4" s="1"/>
  <c r="K83" i="4"/>
  <c r="AT83" i="4" s="1"/>
  <c r="K84" i="4"/>
  <c r="AT84" i="4" s="1"/>
  <c r="K85" i="4"/>
  <c r="AT85" i="4" s="1"/>
  <c r="K86" i="4"/>
  <c r="AT86" i="4" s="1"/>
  <c r="K87" i="4"/>
  <c r="K88" i="4"/>
  <c r="K89" i="4"/>
  <c r="K90" i="4"/>
  <c r="AT90" i="4" s="1"/>
  <c r="K91" i="4"/>
  <c r="AT91" i="4" s="1"/>
  <c r="K92" i="4"/>
  <c r="AT92" i="4" s="1"/>
  <c r="K93" i="4"/>
  <c r="AT93" i="4" s="1"/>
  <c r="K94" i="4"/>
  <c r="AT94" i="4" s="1"/>
  <c r="K95" i="4"/>
  <c r="K96" i="4"/>
  <c r="K97" i="4"/>
  <c r="K98" i="4"/>
  <c r="AT98" i="4" s="1"/>
  <c r="K99" i="4"/>
  <c r="AT99" i="4" s="1"/>
  <c r="K100" i="4"/>
  <c r="AT100" i="4" s="1"/>
  <c r="K101" i="4"/>
  <c r="AT101" i="4" s="1"/>
  <c r="AT9" i="4" l="1"/>
  <c r="AT97" i="4"/>
  <c r="AT89" i="4"/>
  <c r="AT81" i="4"/>
  <c r="AT73" i="4"/>
  <c r="AT65" i="4"/>
  <c r="AT57" i="4"/>
  <c r="AT49" i="4"/>
  <c r="AT41" i="4"/>
  <c r="AT33" i="4"/>
  <c r="AT25" i="4"/>
  <c r="AT17" i="4"/>
  <c r="AT96" i="4"/>
  <c r="AT88" i="4"/>
  <c r="AT72" i="4"/>
  <c r="AT64" i="4"/>
  <c r="AT56" i="4"/>
  <c r="AT48" i="4"/>
  <c r="AT32" i="4"/>
  <c r="AT24" i="4"/>
  <c r="AT16" i="4"/>
  <c r="AT8" i="4"/>
  <c r="AT7" i="4"/>
  <c r="AT102" i="4" s="1"/>
  <c r="AT95" i="4"/>
  <c r="AT87" i="4"/>
  <c r="AT79" i="4"/>
  <c r="AT71" i="4"/>
  <c r="AT63" i="4"/>
  <c r="AT55" i="4"/>
  <c r="AT47" i="4"/>
  <c r="AT39" i="4"/>
  <c r="AT31" i="4"/>
  <c r="AT23" i="4"/>
  <c r="AT15" i="4"/>
  <c r="Z3" i="4"/>
  <c r="AA3" i="4"/>
  <c r="AB3" i="4"/>
  <c r="Z4" i="4"/>
  <c r="AA4" i="4"/>
  <c r="AB4" i="4"/>
  <c r="Z5" i="4"/>
  <c r="AA5" i="4"/>
  <c r="AB5" i="4"/>
  <c r="Z6" i="4"/>
  <c r="AA6" i="4"/>
  <c r="AB6" i="4"/>
  <c r="Z7" i="4"/>
  <c r="AA7" i="4"/>
  <c r="AB7" i="4"/>
  <c r="Z8" i="4"/>
  <c r="AA8" i="4"/>
  <c r="AB8" i="4"/>
  <c r="Z9" i="4"/>
  <c r="AA9" i="4"/>
  <c r="AB9" i="4"/>
  <c r="Z10" i="4"/>
  <c r="AA10" i="4"/>
  <c r="AB10" i="4"/>
  <c r="Z11" i="4"/>
  <c r="AA11" i="4"/>
  <c r="AB11" i="4"/>
  <c r="Z12" i="4"/>
  <c r="AA12" i="4"/>
  <c r="AB12" i="4"/>
  <c r="Z13" i="4"/>
  <c r="AA13" i="4"/>
  <c r="AB13" i="4"/>
  <c r="Z14" i="4"/>
  <c r="AA14" i="4"/>
  <c r="AB14" i="4"/>
  <c r="Z15" i="4"/>
  <c r="AA15" i="4"/>
  <c r="AB15" i="4"/>
  <c r="Z16" i="4"/>
  <c r="AA16" i="4"/>
  <c r="AB16" i="4"/>
  <c r="Z17" i="4"/>
  <c r="AA17" i="4"/>
  <c r="AB17" i="4"/>
  <c r="Z18" i="4"/>
  <c r="AA18" i="4"/>
  <c r="AB18" i="4"/>
  <c r="Z19" i="4"/>
  <c r="AA19" i="4"/>
  <c r="AB19" i="4"/>
  <c r="Z20" i="4"/>
  <c r="AA20" i="4"/>
  <c r="AB20" i="4"/>
  <c r="Z21" i="4"/>
  <c r="AA21" i="4"/>
  <c r="AB21" i="4"/>
  <c r="Z22" i="4"/>
  <c r="AA22" i="4"/>
  <c r="AB22" i="4"/>
  <c r="Z23" i="4"/>
  <c r="AA23" i="4"/>
  <c r="AB23" i="4"/>
  <c r="Z24" i="4"/>
  <c r="AA24" i="4"/>
  <c r="AB24" i="4"/>
  <c r="Z25" i="4"/>
  <c r="AA25" i="4"/>
  <c r="AB25" i="4"/>
  <c r="Z26" i="4"/>
  <c r="AA26" i="4"/>
  <c r="AB26" i="4"/>
  <c r="Z27" i="4"/>
  <c r="AA27" i="4"/>
  <c r="AB27" i="4"/>
  <c r="Z28" i="4"/>
  <c r="AA28" i="4"/>
  <c r="AB28" i="4"/>
  <c r="Z29" i="4"/>
  <c r="AA29" i="4"/>
  <c r="AB29" i="4"/>
  <c r="Z30" i="4"/>
  <c r="AA30" i="4"/>
  <c r="AB30" i="4"/>
  <c r="Z31" i="4"/>
  <c r="AA31" i="4"/>
  <c r="AB31" i="4"/>
  <c r="Z32" i="4"/>
  <c r="AA32" i="4"/>
  <c r="AB32" i="4"/>
  <c r="Z33" i="4"/>
  <c r="AA33" i="4"/>
  <c r="AB33" i="4"/>
  <c r="Z34" i="4"/>
  <c r="AA34" i="4"/>
  <c r="AB34" i="4"/>
  <c r="Z35" i="4"/>
  <c r="AA35" i="4"/>
  <c r="AB35" i="4"/>
  <c r="Z36" i="4"/>
  <c r="AA36" i="4"/>
  <c r="AB36" i="4"/>
  <c r="Z37" i="4"/>
  <c r="AA37" i="4"/>
  <c r="AB37" i="4"/>
  <c r="Z38" i="4"/>
  <c r="AA38" i="4"/>
  <c r="AB38" i="4"/>
  <c r="Z39" i="4"/>
  <c r="AA39" i="4"/>
  <c r="AB39" i="4"/>
  <c r="Z40" i="4"/>
  <c r="AA40" i="4"/>
  <c r="AB40" i="4"/>
  <c r="Z41" i="4"/>
  <c r="AA41" i="4"/>
  <c r="AB41" i="4"/>
  <c r="Z42" i="4"/>
  <c r="AA42" i="4"/>
  <c r="AB42" i="4"/>
  <c r="Z43" i="4"/>
  <c r="AA43" i="4"/>
  <c r="AB43" i="4"/>
  <c r="Z44" i="4"/>
  <c r="AA44" i="4"/>
  <c r="AB44" i="4"/>
  <c r="Z45" i="4"/>
  <c r="AA45" i="4"/>
  <c r="AB45" i="4"/>
  <c r="Z46" i="4"/>
  <c r="AA46" i="4"/>
  <c r="AB46" i="4"/>
  <c r="Z47" i="4"/>
  <c r="AA47" i="4"/>
  <c r="AB47" i="4"/>
  <c r="Z48" i="4"/>
  <c r="AA48" i="4"/>
  <c r="AB48" i="4"/>
  <c r="Z49" i="4"/>
  <c r="AA49" i="4"/>
  <c r="AB49" i="4"/>
  <c r="Z50" i="4"/>
  <c r="AA50" i="4"/>
  <c r="AB50" i="4"/>
  <c r="Z51" i="4"/>
  <c r="AA51" i="4"/>
  <c r="AB51" i="4"/>
  <c r="Z52" i="4"/>
  <c r="AA52" i="4"/>
  <c r="AB52" i="4"/>
  <c r="Z53" i="4"/>
  <c r="AA53" i="4"/>
  <c r="AB53" i="4"/>
  <c r="Z54" i="4"/>
  <c r="AA54" i="4"/>
  <c r="AB54" i="4"/>
  <c r="Z55" i="4"/>
  <c r="AA55" i="4"/>
  <c r="AB55" i="4"/>
  <c r="Z56" i="4"/>
  <c r="AA56" i="4"/>
  <c r="AB56" i="4"/>
  <c r="Z57" i="4"/>
  <c r="AA57" i="4"/>
  <c r="AB57" i="4"/>
  <c r="Z58" i="4"/>
  <c r="AA58" i="4"/>
  <c r="AB58" i="4"/>
  <c r="Z59" i="4"/>
  <c r="AA59" i="4"/>
  <c r="AB59" i="4"/>
  <c r="Z60" i="4"/>
  <c r="AA60" i="4"/>
  <c r="AB60" i="4"/>
  <c r="Z61" i="4"/>
  <c r="AA61" i="4"/>
  <c r="AB61" i="4"/>
  <c r="Z62" i="4"/>
  <c r="AA62" i="4"/>
  <c r="AB62" i="4"/>
  <c r="Z63" i="4"/>
  <c r="AA63" i="4"/>
  <c r="AB63" i="4"/>
  <c r="Z64" i="4"/>
  <c r="AA64" i="4"/>
  <c r="AB64" i="4"/>
  <c r="Z65" i="4"/>
  <c r="AA65" i="4"/>
  <c r="AB65" i="4"/>
  <c r="Z66" i="4"/>
  <c r="AA66" i="4"/>
  <c r="AB66" i="4"/>
  <c r="Z67" i="4"/>
  <c r="AA67" i="4"/>
  <c r="AB67" i="4"/>
  <c r="Z68" i="4"/>
  <c r="AA68" i="4"/>
  <c r="AB68" i="4"/>
  <c r="Z69" i="4"/>
  <c r="AA69" i="4"/>
  <c r="AB69" i="4"/>
  <c r="Z70" i="4"/>
  <c r="AA70" i="4"/>
  <c r="AB70" i="4"/>
  <c r="Z71" i="4"/>
  <c r="AA71" i="4"/>
  <c r="AB71" i="4"/>
  <c r="Z72" i="4"/>
  <c r="AA72" i="4"/>
  <c r="AB72" i="4"/>
  <c r="Z73" i="4"/>
  <c r="AA73" i="4"/>
  <c r="AB73" i="4"/>
  <c r="Z74" i="4"/>
  <c r="AA74" i="4"/>
  <c r="AB74" i="4"/>
  <c r="Z75" i="4"/>
  <c r="AA75" i="4"/>
  <c r="AB75" i="4"/>
  <c r="Z76" i="4"/>
  <c r="AA76" i="4"/>
  <c r="AB76" i="4"/>
  <c r="Z77" i="4"/>
  <c r="AA77" i="4"/>
  <c r="AB77" i="4"/>
  <c r="Z78" i="4"/>
  <c r="AA78" i="4"/>
  <c r="AB78" i="4"/>
  <c r="Z79" i="4"/>
  <c r="AA79" i="4"/>
  <c r="AB79" i="4"/>
  <c r="Z80" i="4"/>
  <c r="AA80" i="4"/>
  <c r="AB80" i="4"/>
  <c r="Z81" i="4"/>
  <c r="AA81" i="4"/>
  <c r="AB81" i="4"/>
  <c r="Z82" i="4"/>
  <c r="AA82" i="4"/>
  <c r="AB82" i="4"/>
  <c r="Z83" i="4"/>
  <c r="AA83" i="4"/>
  <c r="AB83" i="4"/>
  <c r="Z84" i="4"/>
  <c r="AA84" i="4"/>
  <c r="AB84" i="4"/>
  <c r="Z85" i="4"/>
  <c r="AA85" i="4"/>
  <c r="AB85" i="4"/>
  <c r="Z86" i="4"/>
  <c r="AA86" i="4"/>
  <c r="AB86" i="4"/>
  <c r="Z87" i="4"/>
  <c r="AA87" i="4"/>
  <c r="AB87" i="4"/>
  <c r="Z88" i="4"/>
  <c r="AA88" i="4"/>
  <c r="AB88" i="4"/>
  <c r="Z89" i="4"/>
  <c r="AA89" i="4"/>
  <c r="AB89" i="4"/>
  <c r="Z90" i="4"/>
  <c r="AA90" i="4"/>
  <c r="AB90" i="4"/>
  <c r="Z91" i="4"/>
  <c r="AA91" i="4"/>
  <c r="AB91" i="4"/>
  <c r="Z92" i="4"/>
  <c r="AA92" i="4"/>
  <c r="AB92" i="4"/>
  <c r="Z93" i="4"/>
  <c r="AA93" i="4"/>
  <c r="AB93" i="4"/>
  <c r="Z94" i="4"/>
  <c r="AA94" i="4"/>
  <c r="AB94" i="4"/>
  <c r="Z95" i="4"/>
  <c r="AA95" i="4"/>
  <c r="AB95" i="4"/>
  <c r="Z96" i="4"/>
  <c r="AA96" i="4"/>
  <c r="AB96" i="4"/>
  <c r="Z97" i="4"/>
  <c r="AA97" i="4"/>
  <c r="AB97" i="4"/>
  <c r="Z98" i="4"/>
  <c r="AA98" i="4"/>
  <c r="AB98" i="4"/>
  <c r="Z99" i="4"/>
  <c r="AA99" i="4"/>
  <c r="AB99" i="4"/>
  <c r="Z100" i="4"/>
  <c r="AA100" i="4"/>
  <c r="AB100" i="4"/>
  <c r="Z101" i="4"/>
  <c r="AA101" i="4"/>
  <c r="AB101" i="4"/>
  <c r="Z103" i="4"/>
  <c r="AA103" i="4"/>
  <c r="AB103" i="4"/>
  <c r="AB2" i="4"/>
  <c r="AA2" i="4"/>
  <c r="Z2" i="4"/>
  <c r="Y2" i="4" l="1"/>
  <c r="E33" i="6"/>
  <c r="E31" i="6"/>
  <c r="E28" i="6"/>
  <c r="E21" i="6"/>
  <c r="E32" i="6"/>
  <c r="E27" i="6"/>
  <c r="E30" i="6"/>
  <c r="E15" i="6"/>
  <c r="E26" i="6"/>
  <c r="E29" i="6"/>
  <c r="E19" i="6"/>
  <c r="E23" i="6"/>
  <c r="E25" i="6"/>
  <c r="E24" i="6"/>
  <c r="E11" i="6"/>
  <c r="E20" i="6"/>
  <c r="E18" i="6"/>
  <c r="E9" i="6"/>
  <c r="E22" i="6"/>
  <c r="E5" i="6"/>
  <c r="E17" i="6"/>
  <c r="E16" i="6"/>
  <c r="E14" i="6"/>
  <c r="E13" i="6"/>
  <c r="E12" i="6"/>
  <c r="E6" i="6"/>
  <c r="E8" i="6"/>
  <c r="E3" i="6"/>
  <c r="E7" i="6"/>
  <c r="E4" i="6"/>
  <c r="E2" i="6"/>
  <c r="AC10" i="4"/>
  <c r="AD10" i="4"/>
  <c r="AC12" i="4"/>
  <c r="AD12" i="4"/>
  <c r="AC14" i="4"/>
  <c r="AD14" i="4"/>
  <c r="AC15" i="4"/>
  <c r="AD15" i="4"/>
  <c r="AC16" i="4"/>
  <c r="AD16" i="4"/>
  <c r="AC18" i="4"/>
  <c r="AD18" i="4"/>
  <c r="AC19" i="4"/>
  <c r="AD19" i="4"/>
  <c r="AC26" i="4"/>
  <c r="AC27" i="4"/>
  <c r="AC28" i="4"/>
  <c r="AC29" i="4"/>
  <c r="AD27" i="4"/>
  <c r="AD29" i="4"/>
  <c r="AD31" i="4"/>
  <c r="AD32" i="4"/>
  <c r="AD33" i="4"/>
  <c r="AD34" i="4"/>
  <c r="AD44" i="4"/>
  <c r="AC54" i="4"/>
  <c r="AC55" i="4"/>
  <c r="AC56" i="4"/>
  <c r="AD61" i="4"/>
  <c r="AD76" i="4"/>
  <c r="AD77" i="4"/>
  <c r="AD78" i="4"/>
  <c r="AD80" i="4"/>
  <c r="AD81" i="4"/>
  <c r="AC100" i="4"/>
  <c r="AC101" i="4"/>
  <c r="AC77" i="4"/>
  <c r="AC78" i="4"/>
  <c r="AC80" i="4"/>
  <c r="AC59" i="4"/>
  <c r="AC61" i="4"/>
  <c r="AC62" i="4"/>
  <c r="AC47" i="4"/>
  <c r="AC48" i="4"/>
  <c r="AC49" i="4"/>
  <c r="AC50" i="4"/>
  <c r="AC51" i="4"/>
  <c r="AC52" i="4"/>
  <c r="AC53" i="4"/>
  <c r="AC44" i="4"/>
  <c r="AC33" i="4"/>
  <c r="AC34" i="4"/>
  <c r="AC35" i="4"/>
  <c r="AC36" i="4"/>
  <c r="AC20" i="4"/>
  <c r="AC21" i="4"/>
  <c r="AC22" i="4"/>
  <c r="AC23" i="4"/>
  <c r="AC24" i="4"/>
  <c r="AC25" i="4"/>
  <c r="AC30" i="4"/>
  <c r="AC31" i="4"/>
  <c r="AC32" i="4"/>
  <c r="AC37" i="4"/>
  <c r="AC38" i="4"/>
  <c r="AC39" i="4"/>
  <c r="AC40" i="4"/>
  <c r="K103" i="4"/>
  <c r="Y103" i="4" s="1"/>
  <c r="D102" i="4"/>
  <c r="N5" i="5"/>
  <c r="E5" i="5" s="1"/>
  <c r="D4" i="5"/>
  <c r="Q5540" i="1"/>
  <c r="Q4684" i="1"/>
  <c r="E4882" i="1"/>
  <c r="Q4945" i="1"/>
  <c r="E4970" i="1"/>
  <c r="Q4979" i="1"/>
  <c r="Q5014" i="1"/>
  <c r="E5014" i="1"/>
  <c r="Q5012" i="1"/>
  <c r="Q5040" i="1"/>
  <c r="Q5046" i="1"/>
  <c r="A5046" i="1"/>
  <c r="Q5066" i="1"/>
  <c r="Q5074" i="1"/>
  <c r="A5074" i="1"/>
  <c r="Q5081" i="1"/>
  <c r="Q5116" i="1"/>
  <c r="Q5121" i="1"/>
  <c r="Q5177" i="1"/>
  <c r="Q5190" i="1"/>
  <c r="Q5213" i="1"/>
  <c r="Q5221" i="1"/>
  <c r="Q5228" i="1"/>
  <c r="Q5235" i="1"/>
  <c r="Q5330" i="1"/>
  <c r="Q5406" i="1"/>
  <c r="Q5494" i="1"/>
  <c r="Q5498" i="1"/>
  <c r="Q5508" i="1"/>
  <c r="E5508" i="1"/>
  <c r="Q5557" i="1"/>
  <c r="Q5608" i="1"/>
  <c r="Q5750" i="1"/>
  <c r="E5750" i="1"/>
  <c r="Q5798" i="1"/>
  <c r="Q5812" i="1"/>
  <c r="E5812" i="1"/>
  <c r="Q5880" i="1"/>
  <c r="Q5911" i="1"/>
  <c r="E5911" i="1"/>
  <c r="Q6240" i="1"/>
  <c r="Q6957" i="1"/>
  <c r="Q6976" i="1"/>
  <c r="E4912" i="1"/>
  <c r="Q4918" i="1"/>
  <c r="Q4957" i="1"/>
  <c r="E4957" i="1"/>
  <c r="Q5787" i="1"/>
  <c r="Q6776" i="1"/>
  <c r="Q5411" i="1"/>
  <c r="Q4889" i="1"/>
  <c r="E4889" i="1"/>
  <c r="Q4898" i="1"/>
  <c r="Q4902" i="1"/>
  <c r="Q4906" i="1"/>
  <c r="Q4923" i="1"/>
  <c r="Q4936" i="1"/>
  <c r="Q4933" i="1"/>
  <c r="E4933" i="1"/>
  <c r="Q4943" i="1"/>
  <c r="E4943" i="1"/>
  <c r="Q4955" i="1"/>
  <c r="Q4968" i="1"/>
  <c r="Q4971" i="1"/>
  <c r="Q4982" i="1"/>
  <c r="Q4973" i="1"/>
  <c r="Q5207" i="1"/>
  <c r="Q5052" i="1"/>
  <c r="A5052" i="1"/>
  <c r="Q5060" i="1"/>
  <c r="A5060" i="1"/>
  <c r="Q5076" i="1"/>
  <c r="Q5083" i="1"/>
  <c r="Q5084" i="1"/>
  <c r="Q5099" i="1"/>
  <c r="Q5100" i="1"/>
  <c r="Q5118" i="1"/>
  <c r="Q5144" i="1"/>
  <c r="Q5233" i="1"/>
  <c r="Q5356" i="1"/>
  <c r="Q4752" i="1"/>
  <c r="Q4807" i="1"/>
  <c r="E4807" i="1"/>
  <c r="Q4920" i="1"/>
  <c r="E4992" i="1"/>
  <c r="Q5022" i="1"/>
  <c r="Q5031" i="1"/>
  <c r="E5031" i="1"/>
  <c r="Q5057" i="1"/>
  <c r="Q5220" i="1"/>
  <c r="Q5395" i="1"/>
  <c r="Q5464" i="1"/>
  <c r="Q5510" i="1"/>
  <c r="E5510" i="1"/>
  <c r="Q5511" i="1"/>
  <c r="E5511" i="1"/>
  <c r="Q5513" i="1"/>
  <c r="Q5515" i="1"/>
  <c r="Q5518" i="1"/>
  <c r="Q5519" i="1"/>
  <c r="Q5522" i="1"/>
  <c r="E5522" i="1"/>
  <c r="Q5524" i="1"/>
  <c r="Q5525" i="1"/>
  <c r="Q5527" i="1"/>
  <c r="E5527" i="1"/>
  <c r="Q5526" i="1"/>
  <c r="E5526" i="1"/>
  <c r="Q5531" i="1"/>
  <c r="Q5532" i="1"/>
  <c r="Q5535" i="1"/>
  <c r="Q5542" i="1"/>
  <c r="Q5543" i="1"/>
  <c r="Q5546" i="1"/>
  <c r="Q5549" i="1"/>
  <c r="Q5552" i="1"/>
  <c r="Q5556" i="1"/>
  <c r="E5555" i="1"/>
  <c r="Q5551" i="1"/>
  <c r="Q5553" i="1"/>
  <c r="E5558" i="1"/>
  <c r="Q5560" i="1"/>
  <c r="E5560" i="1"/>
  <c r="Q5561" i="1"/>
  <c r="Q5559" i="1"/>
  <c r="Q5564" i="1"/>
  <c r="Q5567" i="1"/>
  <c r="Q5569" i="1"/>
  <c r="Q5571" i="1"/>
  <c r="Q5576" i="1"/>
  <c r="Q5580" i="1"/>
  <c r="Q5584" i="1"/>
  <c r="E5584" i="1"/>
  <c r="Q5583" i="1"/>
  <c r="Q5587" i="1"/>
  <c r="Q5590" i="1"/>
  <c r="Q5591" i="1"/>
  <c r="E5591" i="1"/>
  <c r="Q5594" i="1"/>
  <c r="Q5612" i="1"/>
  <c r="Q5618" i="1"/>
  <c r="Q5617" i="1"/>
  <c r="Q5632" i="1"/>
  <c r="Q5633" i="1"/>
  <c r="Q5645" i="1"/>
  <c r="Q5649" i="1"/>
  <c r="Q5670" i="1"/>
  <c r="Q5671" i="1"/>
  <c r="Q5673" i="1"/>
  <c r="E5673" i="1"/>
  <c r="Q5672" i="1"/>
  <c r="Q5674" i="1"/>
  <c r="Q5680" i="1"/>
  <c r="Q5685" i="1"/>
  <c r="Q5693" i="1"/>
  <c r="Q5698" i="1"/>
  <c r="Q5709" i="1"/>
  <c r="Q5706" i="1"/>
  <c r="Q5713" i="1"/>
  <c r="Q5746" i="1"/>
  <c r="Q5748" i="1"/>
  <c r="Q5755" i="1"/>
  <c r="E5758" i="1"/>
  <c r="Q5762" i="1"/>
  <c r="Q5766" i="1"/>
  <c r="Q5784" i="1"/>
  <c r="Q5796" i="1"/>
  <c r="Q5795" i="1"/>
  <c r="Q5799" i="1"/>
  <c r="Q5811" i="1"/>
  <c r="Q5814" i="1"/>
  <c r="Q5833" i="1"/>
  <c r="Q5836" i="1"/>
  <c r="Q5842" i="1"/>
  <c r="Q5845" i="1"/>
  <c r="Q5854" i="1"/>
  <c r="Q5853" i="1"/>
  <c r="Q5887" i="1"/>
  <c r="Q5889" i="1"/>
  <c r="Q5900" i="1"/>
  <c r="Q5905" i="1"/>
  <c r="Q5910" i="1"/>
  <c r="Q5912" i="1"/>
  <c r="Q5934" i="1"/>
  <c r="Q5935" i="1"/>
  <c r="Q5932" i="1"/>
  <c r="Q5939" i="1"/>
  <c r="Q5951" i="1"/>
  <c r="Q5964" i="1"/>
  <c r="Q5961" i="1"/>
  <c r="Q5969" i="1"/>
  <c r="Q5973" i="1"/>
  <c r="Q5980" i="1"/>
  <c r="Q5979" i="1"/>
  <c r="Q5985" i="1"/>
  <c r="Q5989" i="1"/>
  <c r="Q5988" i="1"/>
  <c r="Q6003" i="1"/>
  <c r="Q6010" i="1"/>
  <c r="Q6013" i="1"/>
  <c r="Q6022" i="1"/>
  <c r="Q6030" i="1"/>
  <c r="Q6045" i="1"/>
  <c r="Q6042" i="1"/>
  <c r="Q6056" i="1"/>
  <c r="Q6067" i="1"/>
  <c r="Q6070" i="1"/>
  <c r="Q6082" i="1"/>
  <c r="Q6097" i="1"/>
  <c r="Q6105" i="1"/>
  <c r="Q6109" i="1"/>
  <c r="Q6108" i="1"/>
  <c r="Q6118" i="1"/>
  <c r="Q6119" i="1"/>
  <c r="Q6126" i="1"/>
  <c r="Q6124" i="1"/>
  <c r="Q6123" i="1"/>
  <c r="Q6130" i="1"/>
  <c r="Q6129" i="1"/>
  <c r="Q6143" i="1"/>
  <c r="Q6148" i="1"/>
  <c r="Q6153" i="1"/>
  <c r="E6167" i="1"/>
  <c r="Q6176" i="1"/>
  <c r="E6176" i="1"/>
  <c r="Q6173" i="1"/>
  <c r="Q6181" i="1"/>
  <c r="Q6179" i="1"/>
  <c r="Q6184" i="1"/>
  <c r="Q6196" i="1"/>
  <c r="Q6200" i="1"/>
  <c r="Q6198" i="1"/>
  <c r="Q6203" i="1"/>
  <c r="Q6208" i="1"/>
  <c r="Q6215" i="1"/>
  <c r="Q6235" i="1"/>
  <c r="E7328" i="1"/>
  <c r="Q6243" i="1"/>
  <c r="Q6252" i="1"/>
  <c r="Q6282" i="1"/>
  <c r="Q6293" i="1"/>
  <c r="Q6297" i="1"/>
  <c r="E6297" i="1"/>
  <c r="Q6302" i="1"/>
  <c r="Q6304" i="1"/>
  <c r="Q6307" i="1"/>
  <c r="Q6309" i="1"/>
  <c r="Q6315" i="1"/>
  <c r="Q6318" i="1"/>
  <c r="Q6320" i="1"/>
  <c r="E6322" i="1"/>
  <c r="Q6325" i="1"/>
  <c r="Q6349" i="1"/>
  <c r="Q6351" i="1"/>
  <c r="Q6350" i="1"/>
  <c r="E6356" i="1"/>
  <c r="Q6358" i="1"/>
  <c r="Q6361" i="1"/>
  <c r="Q6369" i="1"/>
  <c r="Q6380" i="1"/>
  <c r="Q6386" i="1"/>
  <c r="Q6391" i="1"/>
  <c r="Q6399" i="1"/>
  <c r="Q6420" i="1"/>
  <c r="Q6421" i="1"/>
  <c r="Q6423" i="1"/>
  <c r="Q6447" i="1"/>
  <c r="Q6446" i="1"/>
  <c r="Q6450" i="1"/>
  <c r="Q6451" i="1"/>
  <c r="Q6458" i="1"/>
  <c r="E6455" i="1"/>
  <c r="Q6462" i="1"/>
  <c r="Q6468" i="1"/>
  <c r="Q6466" i="1"/>
  <c r="Q6472" i="1"/>
  <c r="E6477" i="1"/>
  <c r="E6479" i="1"/>
  <c r="Q6482" i="1"/>
  <c r="Q6499" i="1"/>
  <c r="Q6506" i="1"/>
  <c r="Q6528" i="1"/>
  <c r="Q6529" i="1"/>
  <c r="E6529" i="1"/>
  <c r="Q6549" i="1"/>
  <c r="Q6556" i="1"/>
  <c r="Q6560" i="1"/>
  <c r="Q6573" i="1"/>
  <c r="Q6585" i="1"/>
  <c r="Q6661" i="1"/>
  <c r="Q6587" i="1"/>
  <c r="Q6588" i="1"/>
  <c r="Q6608" i="1"/>
  <c r="Q6617" i="1"/>
  <c r="Q6666" i="1"/>
  <c r="Q6679" i="1"/>
  <c r="Q6686" i="1"/>
  <c r="Q6720" i="1"/>
  <c r="Q6752" i="1"/>
  <c r="Q6758" i="1"/>
  <c r="Q6793" i="1"/>
  <c r="Q6803" i="1"/>
  <c r="Q6812" i="1"/>
  <c r="Q6813" i="1"/>
  <c r="Q6823" i="1"/>
  <c r="Q6838" i="1"/>
  <c r="Q6837" i="1"/>
  <c r="Q6843" i="1"/>
  <c r="Q6842" i="1"/>
  <c r="Q6864" i="1"/>
  <c r="Q6882" i="1"/>
  <c r="Q6905" i="1"/>
  <c r="Q6907" i="1"/>
  <c r="Q6924" i="1"/>
  <c r="Q6968" i="1"/>
  <c r="Q6971" i="1"/>
  <c r="Q6986" i="1"/>
  <c r="Q6989" i="1"/>
  <c r="Q6997" i="1"/>
  <c r="Q7014" i="1"/>
  <c r="Q7027" i="1"/>
  <c r="Q7038" i="1"/>
  <c r="Q7040" i="1"/>
  <c r="Q7045" i="1"/>
  <c r="Q7052" i="1"/>
  <c r="Q7061" i="1"/>
  <c r="Q7067" i="1"/>
  <c r="Q7168" i="1"/>
  <c r="Q7203" i="1"/>
  <c r="Q7236" i="1"/>
  <c r="Q7357" i="1"/>
  <c r="Q7399" i="1"/>
  <c r="Q7468" i="1"/>
  <c r="Q7472" i="1"/>
  <c r="Q7477" i="1"/>
  <c r="Q7505" i="1"/>
  <c r="Q7526" i="1"/>
  <c r="Q7539" i="1"/>
  <c r="Q7559" i="1"/>
  <c r="Q7568" i="1"/>
  <c r="Q7597" i="1"/>
  <c r="Q7632" i="1"/>
  <c r="E7632" i="1"/>
  <c r="Q7649" i="1"/>
  <c r="E7655" i="1"/>
  <c r="E7660" i="1"/>
  <c r="Q4697" i="1"/>
  <c r="Q4708" i="1"/>
  <c r="Q4730" i="1"/>
  <c r="Q4727" i="1"/>
  <c r="Q4733" i="1"/>
  <c r="Q4732" i="1"/>
  <c r="Q4736" i="1"/>
  <c r="Q4734" i="1"/>
  <c r="Q4782" i="1"/>
  <c r="Q5002" i="1"/>
  <c r="E5002" i="1"/>
  <c r="E4877" i="1"/>
  <c r="E4881" i="1"/>
  <c r="E4880" i="1"/>
  <c r="E4879" i="1"/>
  <c r="E4885" i="1"/>
  <c r="Q4893" i="1"/>
  <c r="Q4888" i="1"/>
  <c r="E4888" i="1"/>
  <c r="Q4890" i="1"/>
  <c r="Q4891" i="1"/>
  <c r="E4891" i="1"/>
  <c r="Q4892" i="1"/>
  <c r="Q4895" i="1"/>
  <c r="Q4896" i="1"/>
  <c r="Q4894" i="1"/>
  <c r="Q4897" i="1"/>
  <c r="E4897" i="1"/>
  <c r="Q4905" i="1"/>
  <c r="Q4930" i="1"/>
  <c r="Q4921" i="1"/>
  <c r="Q4925" i="1"/>
  <c r="Q4926" i="1"/>
  <c r="E4926" i="1"/>
  <c r="Q4924" i="1"/>
  <c r="Q4917" i="1"/>
  <c r="Q4915" i="1"/>
  <c r="Q4916" i="1"/>
  <c r="Q4919" i="1"/>
  <c r="Q4927" i="1"/>
  <c r="Q4929" i="1"/>
  <c r="Q4931" i="1"/>
  <c r="E4931" i="1"/>
  <c r="Q4934" i="1"/>
  <c r="Q4935" i="1"/>
  <c r="Q4939" i="1"/>
  <c r="E4946" i="1"/>
  <c r="Q4944" i="1"/>
  <c r="E4944" i="1"/>
  <c r="Q4937" i="1"/>
  <c r="Q4940" i="1"/>
  <c r="Q4942" i="1"/>
  <c r="E4942" i="1"/>
  <c r="Q4949" i="1"/>
  <c r="Q4941" i="1"/>
  <c r="Q4948" i="1"/>
  <c r="Q4954" i="1"/>
  <c r="Q4950" i="1"/>
  <c r="Q4951" i="1"/>
  <c r="Q4952" i="1"/>
  <c r="E4952" i="1"/>
  <c r="Q4956" i="1"/>
  <c r="E4956" i="1"/>
  <c r="Q4967" i="1"/>
  <c r="Q4966" i="1"/>
  <c r="Q4963" i="1"/>
  <c r="E4963" i="1"/>
  <c r="Q4964" i="1"/>
  <c r="Q4965" i="1"/>
  <c r="Q4960" i="1"/>
  <c r="Q4959" i="1"/>
  <c r="E4959" i="1"/>
  <c r="Q4962" i="1"/>
  <c r="Q4961" i="1"/>
  <c r="Q4972" i="1"/>
  <c r="Q4975" i="1"/>
  <c r="E4987" i="1"/>
  <c r="E4984" i="1"/>
  <c r="Q4986" i="1"/>
  <c r="Q4980" i="1"/>
  <c r="E4978" i="1"/>
  <c r="Q4981" i="1"/>
  <c r="Q4974" i="1"/>
  <c r="E4974" i="1"/>
  <c r="Q4976" i="1"/>
  <c r="E4976" i="1"/>
  <c r="E4977" i="1"/>
  <c r="E4969" i="1"/>
  <c r="Q4991" i="1"/>
  <c r="E4988" i="1"/>
  <c r="Q4990" i="1"/>
  <c r="E4990" i="1"/>
  <c r="Q4993" i="1"/>
  <c r="E4993" i="1"/>
  <c r="Q4994" i="1"/>
  <c r="Q4997" i="1"/>
  <c r="Q5013" i="1"/>
  <c r="Q4996" i="1"/>
  <c r="Q4998" i="1"/>
  <c r="E4998" i="1"/>
  <c r="Q4995" i="1"/>
  <c r="E4995" i="1"/>
  <c r="Q5007" i="1"/>
  <c r="E5007" i="1"/>
  <c r="Q5004" i="1"/>
  <c r="E5004" i="1"/>
  <c r="Q5003" i="1"/>
  <c r="Q5006" i="1"/>
  <c r="E5006" i="1"/>
  <c r="Q5005" i="1"/>
  <c r="Q5008" i="1"/>
  <c r="Q5001" i="1"/>
  <c r="E5001" i="1"/>
  <c r="Q4999" i="1"/>
  <c r="Q5000" i="1"/>
  <c r="Q5009" i="1"/>
  <c r="E5009" i="1"/>
  <c r="Q5016" i="1"/>
  <c r="Q5018" i="1"/>
  <c r="Q5023" i="1"/>
  <c r="Q5019" i="1"/>
  <c r="Q5015" i="1"/>
  <c r="E5015" i="1"/>
  <c r="Q5021" i="1"/>
  <c r="Q5017" i="1"/>
  <c r="Q5020" i="1"/>
  <c r="Q5011" i="1"/>
  <c r="E5011" i="1"/>
  <c r="Q5010" i="1"/>
  <c r="E5010" i="1"/>
  <c r="Q5409" i="1"/>
  <c r="Q5032" i="1"/>
  <c r="E5032" i="1"/>
  <c r="Q5027" i="1"/>
  <c r="E5027" i="1"/>
  <c r="E5024" i="1"/>
  <c r="Q5029" i="1"/>
  <c r="E5029" i="1"/>
  <c r="Q5030" i="1"/>
  <c r="E5030" i="1"/>
  <c r="Q5026" i="1"/>
  <c r="E5026" i="1"/>
  <c r="Q5028" i="1"/>
  <c r="E5028" i="1"/>
  <c r="Q5036" i="1"/>
  <c r="E5036" i="1"/>
  <c r="Q5034" i="1"/>
  <c r="E5034" i="1"/>
  <c r="Q5033" i="1"/>
  <c r="E5033" i="1"/>
  <c r="Q5037" i="1"/>
  <c r="Q5035" i="1"/>
  <c r="E5035" i="1"/>
  <c r="Q5038" i="1"/>
  <c r="E5038" i="1"/>
  <c r="Q5041" i="1"/>
  <c r="A5041" i="1"/>
  <c r="Q5039" i="1"/>
  <c r="E5039" i="1"/>
  <c r="A5039" i="1"/>
  <c r="Q5175" i="1"/>
  <c r="Q5042" i="1"/>
  <c r="Q5237" i="1"/>
  <c r="Q5086" i="1"/>
  <c r="Q5090" i="1"/>
  <c r="Q5044" i="1"/>
  <c r="Q5043" i="1"/>
  <c r="A5043" i="1"/>
  <c r="Q5047" i="1"/>
  <c r="A5047" i="1"/>
  <c r="Q5045" i="1"/>
  <c r="Q5050" i="1"/>
  <c r="A5050" i="1"/>
  <c r="Q5056" i="1"/>
  <c r="Q5055" i="1"/>
  <c r="Q5053" i="1"/>
  <c r="Q5051" i="1"/>
  <c r="A5051" i="1"/>
  <c r="Q5048" i="1"/>
  <c r="Q5054" i="1"/>
  <c r="Q5049" i="1"/>
  <c r="A5049" i="1"/>
  <c r="Q5062" i="1"/>
  <c r="Q5061" i="1"/>
  <c r="Q5059" i="1"/>
  <c r="Q5058" i="1"/>
  <c r="Q5063" i="1"/>
  <c r="A5063" i="1"/>
  <c r="Q5064" i="1"/>
  <c r="A5064" i="1"/>
  <c r="Q5065" i="1"/>
  <c r="A5065" i="1"/>
  <c r="Q5068" i="1"/>
  <c r="A5068" i="1"/>
  <c r="Q5070" i="1"/>
  <c r="Q5071" i="1"/>
  <c r="Q5072" i="1"/>
  <c r="Q5174" i="1"/>
  <c r="Q5075" i="1"/>
  <c r="Q5077" i="1"/>
  <c r="Q5103" i="1"/>
  <c r="Q5078" i="1"/>
  <c r="Q5094" i="1"/>
  <c r="Q5096" i="1"/>
  <c r="Q5097" i="1"/>
  <c r="Q5098" i="1"/>
  <c r="Q5082" i="1"/>
  <c r="Q5080" i="1"/>
  <c r="Q5079" i="1"/>
  <c r="Q5087" i="1"/>
  <c r="Q5085" i="1"/>
  <c r="Q5089" i="1"/>
  <c r="Q5088" i="1"/>
  <c r="Q5091" i="1"/>
  <c r="Q5092" i="1"/>
  <c r="Q5093" i="1"/>
  <c r="Q5113" i="1"/>
  <c r="Q5095" i="1"/>
  <c r="Q5101" i="1"/>
  <c r="Q5102" i="1"/>
  <c r="Q5105" i="1"/>
  <c r="Q5106" i="1"/>
  <c r="Q5110" i="1"/>
  <c r="Q5111" i="1"/>
  <c r="Q5108" i="1"/>
  <c r="Q5112" i="1"/>
  <c r="Q5107" i="1"/>
  <c r="Q5109" i="1"/>
  <c r="Q5104" i="1"/>
  <c r="Q5114" i="1"/>
  <c r="Q5123" i="1"/>
  <c r="Q5124" i="1"/>
  <c r="Q5122" i="1"/>
  <c r="Q5127" i="1"/>
  <c r="Q5117" i="1"/>
  <c r="Q5141" i="1"/>
  <c r="Q5137" i="1"/>
  <c r="Q5119" i="1"/>
  <c r="Q5126" i="1"/>
  <c r="Q5125" i="1"/>
  <c r="Q5120" i="1"/>
  <c r="Q5128" i="1"/>
  <c r="Q5129" i="1"/>
  <c r="Q5134" i="1"/>
  <c r="Q5130" i="1"/>
  <c r="Q5131" i="1"/>
  <c r="Q5135" i="1"/>
  <c r="Q5133" i="1"/>
  <c r="Q5132" i="1"/>
  <c r="Q5136" i="1"/>
  <c r="Q5140" i="1"/>
  <c r="Q5138" i="1"/>
  <c r="Q5142" i="1"/>
  <c r="Q5150" i="1"/>
  <c r="E5150" i="1"/>
  <c r="Q5146" i="1"/>
  <c r="E5146" i="1"/>
  <c r="Q5147" i="1"/>
  <c r="E5147" i="1"/>
  <c r="Q5151" i="1"/>
  <c r="E5151" i="1"/>
  <c r="Q5149" i="1"/>
  <c r="Q5143" i="1"/>
  <c r="Q5153" i="1"/>
  <c r="Q5148" i="1"/>
  <c r="Q5145" i="1"/>
  <c r="Q5159" i="1"/>
  <c r="Q5152" i="1"/>
  <c r="E5152" i="1"/>
  <c r="Q5162" i="1"/>
  <c r="Q5158" i="1"/>
  <c r="E5158" i="1"/>
  <c r="Q5167" i="1"/>
  <c r="Q5160" i="1"/>
  <c r="E5160" i="1"/>
  <c r="Q5155" i="1"/>
  <c r="Q5154" i="1"/>
  <c r="E5156" i="1"/>
  <c r="Q5163" i="1"/>
  <c r="Q5164" i="1"/>
  <c r="E5164" i="1"/>
  <c r="Q5161" i="1"/>
  <c r="Q5166" i="1"/>
  <c r="E5166" i="1"/>
  <c r="Q5171" i="1"/>
  <c r="E5171" i="1"/>
  <c r="Q5165" i="1"/>
  <c r="Q5181" i="1"/>
  <c r="Q5188" i="1"/>
  <c r="Q5187" i="1"/>
  <c r="Q5179" i="1"/>
  <c r="Q5183" i="1"/>
  <c r="Q5194" i="1"/>
  <c r="Q5189" i="1"/>
  <c r="Q5191" i="1"/>
  <c r="Q5192" i="1"/>
  <c r="Q5196" i="1"/>
  <c r="E5196" i="1"/>
  <c r="Q5195" i="1"/>
  <c r="Q5197" i="1"/>
  <c r="Q5198" i="1"/>
  <c r="Q5201" i="1"/>
  <c r="Q5212" i="1"/>
  <c r="Q5204" i="1"/>
  <c r="Q5203" i="1"/>
  <c r="Q5200" i="1"/>
  <c r="E5200" i="1"/>
  <c r="Q5202" i="1"/>
  <c r="Q5211" i="1"/>
  <c r="Q5429" i="1"/>
  <c r="Q5210" i="1"/>
  <c r="Q5449" i="1"/>
  <c r="Q5206" i="1"/>
  <c r="Q5208" i="1"/>
  <c r="Q5209" i="1"/>
  <c r="Q5215" i="1"/>
  <c r="Q5216" i="1"/>
  <c r="Q5214" i="1"/>
  <c r="E5214" i="1"/>
  <c r="Q5219" i="1"/>
  <c r="Q5217" i="1"/>
  <c r="Q5222" i="1"/>
  <c r="Q5224" i="1"/>
  <c r="Q5234" i="1"/>
  <c r="Q5227" i="1"/>
  <c r="Q5223" i="1"/>
  <c r="E5223" i="1"/>
  <c r="Q5225" i="1"/>
  <c r="Q5230" i="1"/>
  <c r="Q5218" i="1"/>
  <c r="Q5226" i="1"/>
  <c r="Q5232" i="1"/>
  <c r="Q5231" i="1"/>
  <c r="E5231" i="1"/>
  <c r="Q5236" i="1"/>
  <c r="E5236" i="1"/>
  <c r="Q5246" i="1"/>
  <c r="Q5241" i="1"/>
  <c r="Q5255" i="1"/>
  <c r="A5255" i="1"/>
  <c r="Q5314" i="1"/>
  <c r="Q5369" i="1"/>
  <c r="Q5389" i="1"/>
  <c r="Q5400" i="1"/>
  <c r="Q5403" i="1"/>
  <c r="Q5405" i="1"/>
  <c r="E5405" i="1"/>
  <c r="Q5415" i="1"/>
  <c r="A5412" i="1"/>
  <c r="Q5430" i="1"/>
  <c r="Q5471" i="1"/>
  <c r="Q5489" i="1"/>
  <c r="Q5500" i="1"/>
  <c r="Q6194" i="1"/>
  <c r="Q6925" i="1"/>
  <c r="AK3" i="4" l="1"/>
  <c r="AK4" i="4"/>
  <c r="AK5" i="4"/>
  <c r="AL5" i="4" s="1"/>
  <c r="AK6" i="4"/>
  <c r="AL6" i="4" s="1"/>
  <c r="AK7" i="4"/>
  <c r="AK8" i="4"/>
  <c r="AL8" i="4" s="1"/>
  <c r="AK9" i="4"/>
  <c r="AK10" i="4"/>
  <c r="AL10" i="4" s="1"/>
  <c r="AK11" i="4"/>
  <c r="AK12" i="4"/>
  <c r="AK13" i="4"/>
  <c r="AK14" i="4"/>
  <c r="AL14" i="4" s="1"/>
  <c r="AK15" i="4"/>
  <c r="AK16" i="4"/>
  <c r="AL16" i="4" s="1"/>
  <c r="AK17" i="4"/>
  <c r="AL17" i="4" s="1"/>
  <c r="AK18" i="4"/>
  <c r="AL18" i="4" s="1"/>
  <c r="AK19" i="4"/>
  <c r="AK20" i="4"/>
  <c r="AK21" i="4"/>
  <c r="AK22" i="4"/>
  <c r="AL22" i="4" s="1"/>
  <c r="AK23" i="4"/>
  <c r="AK24" i="4"/>
  <c r="AL24" i="4" s="1"/>
  <c r="AK25" i="4"/>
  <c r="AL25" i="4" s="1"/>
  <c r="AK26" i="4"/>
  <c r="AL26" i="4" s="1"/>
  <c r="AK27" i="4"/>
  <c r="AK28" i="4"/>
  <c r="AK29" i="4"/>
  <c r="AK30" i="4"/>
  <c r="AL30" i="4" s="1"/>
  <c r="AK31" i="4"/>
  <c r="AK32" i="4"/>
  <c r="AL32" i="4" s="1"/>
  <c r="AK33" i="4"/>
  <c r="AL33" i="4" s="1"/>
  <c r="AK34" i="4"/>
  <c r="AK35" i="4"/>
  <c r="AK36" i="4"/>
  <c r="AK37" i="4"/>
  <c r="AL37" i="4" s="1"/>
  <c r="AK38" i="4"/>
  <c r="AL38" i="4" s="1"/>
  <c r="AK39" i="4"/>
  <c r="AK40" i="4"/>
  <c r="AL40" i="4" s="1"/>
  <c r="AK41" i="4"/>
  <c r="AL41" i="4" s="1"/>
  <c r="AK42" i="4"/>
  <c r="AL42" i="4" s="1"/>
  <c r="AK43" i="4"/>
  <c r="AK44" i="4"/>
  <c r="AK45" i="4"/>
  <c r="AL45" i="4" s="1"/>
  <c r="AK46" i="4"/>
  <c r="AL46" i="4" s="1"/>
  <c r="AK47" i="4"/>
  <c r="AK48" i="4"/>
  <c r="AL48" i="4" s="1"/>
  <c r="AK49" i="4"/>
  <c r="AL49" i="4" s="1"/>
  <c r="AK50" i="4"/>
  <c r="AL50" i="4" s="1"/>
  <c r="AK51" i="4"/>
  <c r="AK52" i="4"/>
  <c r="AK53" i="4"/>
  <c r="AK54" i="4"/>
  <c r="AL54" i="4" s="1"/>
  <c r="AK55" i="4"/>
  <c r="AK56" i="4"/>
  <c r="AL56" i="4" s="1"/>
  <c r="AK57" i="4"/>
  <c r="AL57" i="4" s="1"/>
  <c r="AK58" i="4"/>
  <c r="AL58" i="4" s="1"/>
  <c r="AK59" i="4"/>
  <c r="AK60" i="4"/>
  <c r="AK61" i="4"/>
  <c r="AK62" i="4"/>
  <c r="AL62" i="4" s="1"/>
  <c r="AK63" i="4"/>
  <c r="AK64" i="4"/>
  <c r="AL64" i="4" s="1"/>
  <c r="AK65" i="4"/>
  <c r="AL65" i="4" s="1"/>
  <c r="AK66" i="4"/>
  <c r="AL66" i="4" s="1"/>
  <c r="AK67" i="4"/>
  <c r="AK68" i="4"/>
  <c r="AK69" i="4"/>
  <c r="AL69" i="4" s="1"/>
  <c r="AK70" i="4"/>
  <c r="AL70" i="4" s="1"/>
  <c r="AK71" i="4"/>
  <c r="AK72" i="4"/>
  <c r="AL72" i="4" s="1"/>
  <c r="AK73" i="4"/>
  <c r="AL73" i="4" s="1"/>
  <c r="AK74" i="4"/>
  <c r="AL74" i="4" s="1"/>
  <c r="AK75" i="4"/>
  <c r="AK76" i="4"/>
  <c r="AK77" i="4"/>
  <c r="AK78" i="4"/>
  <c r="AL78" i="4" s="1"/>
  <c r="AK79" i="4"/>
  <c r="AK80" i="4"/>
  <c r="AL80" i="4" s="1"/>
  <c r="AK81" i="4"/>
  <c r="AL81" i="4" s="1"/>
  <c r="AK82" i="4"/>
  <c r="AL82" i="4" s="1"/>
  <c r="AK83" i="4"/>
  <c r="AK84" i="4"/>
  <c r="AK85" i="4"/>
  <c r="AK86" i="4"/>
  <c r="AL86" i="4" s="1"/>
  <c r="AK87" i="4"/>
  <c r="AK88" i="4"/>
  <c r="AL88" i="4" s="1"/>
  <c r="AK89" i="4"/>
  <c r="AL89" i="4" s="1"/>
  <c r="AK90" i="4"/>
  <c r="AL90" i="4" s="1"/>
  <c r="AK91" i="4"/>
  <c r="AK92" i="4"/>
  <c r="AK93" i="4"/>
  <c r="AL93" i="4" s="1"/>
  <c r="AK94" i="4"/>
  <c r="AL94" i="4" s="1"/>
  <c r="AK95" i="4"/>
  <c r="AK96" i="4"/>
  <c r="AL96" i="4" s="1"/>
  <c r="AK97" i="4"/>
  <c r="AL97" i="4" s="1"/>
  <c r="AK98" i="4"/>
  <c r="AL98" i="4" s="1"/>
  <c r="AK99" i="4"/>
  <c r="AK100" i="4"/>
  <c r="AK101" i="4"/>
  <c r="AL101" i="4" s="1"/>
  <c r="AK2" i="4"/>
  <c r="AL2" i="4" s="1"/>
  <c r="AJ102" i="4"/>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2" i="4"/>
  <c r="AE102" i="4"/>
  <c r="AF102" i="4"/>
  <c r="AG102" i="4"/>
  <c r="AH102" i="4"/>
  <c r="AI102" i="4"/>
  <c r="W102" i="4"/>
  <c r="AL100" i="4"/>
  <c r="AL99" i="4"/>
  <c r="AL95" i="4"/>
  <c r="AL92" i="4"/>
  <c r="AL91" i="4"/>
  <c r="AL87" i="4"/>
  <c r="AL85" i="4"/>
  <c r="AL84" i="4"/>
  <c r="AL83" i="4"/>
  <c r="AL79" i="4"/>
  <c r="AL77" i="4"/>
  <c r="AL76" i="4"/>
  <c r="AL75" i="4"/>
  <c r="AL71" i="4"/>
  <c r="AL68" i="4"/>
  <c r="AL67" i="4"/>
  <c r="AL63" i="4"/>
  <c r="AL61" i="4"/>
  <c r="AL60" i="4"/>
  <c r="AL59" i="4"/>
  <c r="AL55" i="4"/>
  <c r="AL53" i="4"/>
  <c r="AL52" i="4"/>
  <c r="AL51" i="4"/>
  <c r="AL47" i="4"/>
  <c r="AL44" i="4"/>
  <c r="AL43" i="4"/>
  <c r="AL39" i="4"/>
  <c r="AL36" i="4"/>
  <c r="AL35" i="4"/>
  <c r="AL34" i="4"/>
  <c r="AL31" i="4"/>
  <c r="AL29" i="4"/>
  <c r="AL28" i="4"/>
  <c r="AL27" i="4"/>
  <c r="AL23" i="4"/>
  <c r="AL21" i="4"/>
  <c r="AL20" i="4"/>
  <c r="AL19" i="4"/>
  <c r="AL15" i="4"/>
  <c r="AL13" i="4"/>
  <c r="AL12" i="4"/>
  <c r="AL11" i="4"/>
  <c r="AL9" i="4"/>
  <c r="AL7" i="4"/>
  <c r="AL4" i="4"/>
  <c r="AL3" i="4"/>
  <c r="AD22" i="4"/>
  <c r="AD51" i="4"/>
  <c r="AD54" i="4"/>
  <c r="AD70" i="4"/>
  <c r="AD26" i="4"/>
  <c r="AD37" i="4"/>
  <c r="AD41" i="4"/>
  <c r="AD42" i="4"/>
  <c r="AD49" i="4"/>
  <c r="AD50" i="4"/>
  <c r="AD57" i="4"/>
  <c r="AD58" i="4"/>
  <c r="AD65" i="4"/>
  <c r="AD66" i="4"/>
  <c r="AD69" i="4"/>
  <c r="AD73" i="4"/>
  <c r="AD74" i="4"/>
  <c r="AC81" i="4"/>
  <c r="AC86" i="4"/>
  <c r="AC94" i="4"/>
  <c r="AD97" i="4"/>
  <c r="AC103" i="4"/>
  <c r="AC68" i="4"/>
  <c r="AC69" i="4"/>
  <c r="AC76" i="4"/>
  <c r="AC84" i="4"/>
  <c r="AC85" i="4"/>
  <c r="AC93" i="4"/>
  <c r="O102" i="4"/>
  <c r="P102" i="4"/>
  <c r="Q102" i="4"/>
  <c r="S102" i="4"/>
  <c r="T102" i="4"/>
  <c r="U102" i="4"/>
  <c r="AD4" i="4"/>
  <c r="AD5" i="4"/>
  <c r="AD8" i="4"/>
  <c r="AD9" i="4"/>
  <c r="AD21" i="4"/>
  <c r="AD24" i="4"/>
  <c r="AD35" i="4"/>
  <c r="AD40" i="4"/>
  <c r="AD45" i="4"/>
  <c r="AD48" i="4"/>
  <c r="AD53" i="4"/>
  <c r="AD56" i="4"/>
  <c r="AD59" i="4"/>
  <c r="AD62" i="4"/>
  <c r="AD64" i="4"/>
  <c r="AD67" i="4"/>
  <c r="AD68" i="4"/>
  <c r="AD72" i="4"/>
  <c r="AD75" i="4"/>
  <c r="AD83" i="4"/>
  <c r="AD85" i="4"/>
  <c r="AD88" i="4"/>
  <c r="AD89" i="4"/>
  <c r="AD91" i="4"/>
  <c r="AD93" i="4"/>
  <c r="AD96" i="4"/>
  <c r="AD99" i="4"/>
  <c r="AD101" i="4"/>
  <c r="AC3" i="4"/>
  <c r="AC4" i="4"/>
  <c r="AC5" i="4"/>
  <c r="AC6" i="4"/>
  <c r="AC8" i="4"/>
  <c r="AC45" i="4"/>
  <c r="AC57" i="4"/>
  <c r="AC64" i="4"/>
  <c r="AC67" i="4"/>
  <c r="AC70" i="4"/>
  <c r="AC71" i="4"/>
  <c r="AC72" i="4"/>
  <c r="AC75" i="4"/>
  <c r="AC83" i="4"/>
  <c r="AC88" i="4"/>
  <c r="AC91" i="4"/>
  <c r="AC92" i="4"/>
  <c r="AC96" i="4"/>
  <c r="AC99" i="4"/>
  <c r="F102" i="4"/>
  <c r="G102" i="4"/>
  <c r="H102" i="4"/>
  <c r="I102" i="4"/>
  <c r="J102" i="4"/>
  <c r="E102" i="4"/>
  <c r="N102" i="4"/>
  <c r="M102" i="4"/>
  <c r="Z102" i="4" s="1"/>
  <c r="L102" i="4"/>
  <c r="N3" i="5"/>
  <c r="N4" i="5"/>
  <c r="N6" i="5"/>
  <c r="N7" i="5"/>
  <c r="N8" i="5"/>
  <c r="N9" i="5"/>
  <c r="N10" i="5"/>
  <c r="N11" i="5"/>
  <c r="N12" i="5"/>
  <c r="N13" i="5"/>
  <c r="N14" i="5"/>
  <c r="N15" i="5"/>
  <c r="N16" i="5"/>
  <c r="E16" i="5" s="1"/>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E44" i="5" s="1"/>
  <c r="N45" i="5"/>
  <c r="N46" i="5"/>
  <c r="N47" i="5"/>
  <c r="N48" i="5"/>
  <c r="E48" i="5" s="1"/>
  <c r="N49" i="5"/>
  <c r="N50" i="5"/>
  <c r="N51" i="5"/>
  <c r="N52" i="5"/>
  <c r="N2" i="5"/>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53" i="4"/>
  <c r="Y54" i="4"/>
  <c r="Y55" i="4"/>
  <c r="Y56" i="4"/>
  <c r="Y57" i="4"/>
  <c r="Y58" i="4"/>
  <c r="Y59" i="4"/>
  <c r="Y60" i="4"/>
  <c r="Y61" i="4"/>
  <c r="Y62" i="4"/>
  <c r="Y63" i="4"/>
  <c r="Y64" i="4"/>
  <c r="Y65" i="4"/>
  <c r="Y66" i="4"/>
  <c r="Y67" i="4"/>
  <c r="Y68" i="4"/>
  <c r="Y69" i="4"/>
  <c r="Y70" i="4"/>
  <c r="Y71" i="4"/>
  <c r="Y72" i="4"/>
  <c r="Y73" i="4"/>
  <c r="Y74" i="4"/>
  <c r="Y75" i="4"/>
  <c r="Y76" i="4"/>
  <c r="Y77" i="4"/>
  <c r="Y78" i="4"/>
  <c r="Y79" i="4"/>
  <c r="Y80" i="4"/>
  <c r="Y81" i="4"/>
  <c r="Y82" i="4"/>
  <c r="Y83" i="4"/>
  <c r="Y84" i="4"/>
  <c r="Y85" i="4"/>
  <c r="Y86" i="4"/>
  <c r="Y87" i="4"/>
  <c r="Y88" i="4"/>
  <c r="Y89" i="4"/>
  <c r="Y90" i="4"/>
  <c r="Y91" i="4"/>
  <c r="Y92" i="4"/>
  <c r="Y93" i="4"/>
  <c r="Y94" i="4"/>
  <c r="Y95" i="4"/>
  <c r="Y96" i="4"/>
  <c r="Y97" i="4"/>
  <c r="Y98" i="4"/>
  <c r="Y99" i="4"/>
  <c r="Y100" i="4"/>
  <c r="Y101" i="4"/>
  <c r="D52" i="5"/>
  <c r="D51" i="5"/>
  <c r="D50" i="5"/>
  <c r="D49" i="5"/>
  <c r="D48" i="5"/>
  <c r="D47" i="5"/>
  <c r="D46" i="5"/>
  <c r="D45" i="5"/>
  <c r="D44" i="5"/>
  <c r="D43" i="5"/>
  <c r="D42" i="5"/>
  <c r="D41" i="5"/>
  <c r="D40" i="5"/>
  <c r="D39" i="5"/>
  <c r="D38" i="5"/>
  <c r="D37" i="5"/>
  <c r="D36" i="5"/>
  <c r="D35" i="5"/>
  <c r="E34" i="5"/>
  <c r="D34" i="5"/>
  <c r="E33" i="5"/>
  <c r="D33" i="5"/>
  <c r="D32" i="5"/>
  <c r="D31" i="5"/>
  <c r="D30" i="5"/>
  <c r="D29" i="5"/>
  <c r="D28" i="5"/>
  <c r="D27" i="5"/>
  <c r="D26" i="5"/>
  <c r="D25" i="5"/>
  <c r="D24" i="5"/>
  <c r="D23" i="5"/>
  <c r="D22" i="5"/>
  <c r="D21" i="5"/>
  <c r="D20" i="5"/>
  <c r="D19" i="5"/>
  <c r="D18" i="5"/>
  <c r="E17" i="5"/>
  <c r="D17" i="5"/>
  <c r="D16" i="5"/>
  <c r="D15" i="5"/>
  <c r="D14" i="5"/>
  <c r="D13" i="5"/>
  <c r="D12" i="5"/>
  <c r="D11" i="5"/>
  <c r="D10" i="5"/>
  <c r="E9" i="5"/>
  <c r="D9" i="5"/>
  <c r="D8" i="5"/>
  <c r="D7" i="5"/>
  <c r="D6" i="5"/>
  <c r="D5" i="5"/>
  <c r="E4" i="5"/>
  <c r="D3" i="5"/>
  <c r="D2" i="5"/>
  <c r="R101" i="4"/>
  <c r="R100" i="4"/>
  <c r="R26" i="4"/>
  <c r="R99" i="4"/>
  <c r="R98" i="4"/>
  <c r="R97" i="4"/>
  <c r="R96" i="4"/>
  <c r="R95" i="4"/>
  <c r="R94" i="4"/>
  <c r="R93" i="4"/>
  <c r="R92" i="4"/>
  <c r="R91" i="4"/>
  <c r="R90" i="4"/>
  <c r="R89" i="4"/>
  <c r="R88" i="4"/>
  <c r="R87" i="4"/>
  <c r="R86" i="4"/>
  <c r="R85" i="4"/>
  <c r="R84" i="4"/>
  <c r="R83" i="4"/>
  <c r="R82" i="4"/>
  <c r="R81" i="4"/>
  <c r="R80" i="4"/>
  <c r="R79" i="4"/>
  <c r="R78" i="4"/>
  <c r="R77" i="4"/>
  <c r="R76" i="4"/>
  <c r="R75" i="4"/>
  <c r="R74" i="4"/>
  <c r="R73" i="4"/>
  <c r="R72" i="4"/>
  <c r="R71" i="4"/>
  <c r="R70" i="4"/>
  <c r="R69" i="4"/>
  <c r="R68" i="4"/>
  <c r="R67" i="4"/>
  <c r="R66" i="4"/>
  <c r="R65" i="4"/>
  <c r="R64" i="4"/>
  <c r="R63" i="4"/>
  <c r="R59" i="4"/>
  <c r="R62" i="4"/>
  <c r="R61" i="4"/>
  <c r="R60"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5" i="4"/>
  <c r="R24" i="4"/>
  <c r="R23" i="4"/>
  <c r="R22" i="4"/>
  <c r="R21" i="4"/>
  <c r="R20" i="4"/>
  <c r="R19" i="4"/>
  <c r="R18" i="4"/>
  <c r="R17" i="4"/>
  <c r="R16" i="4"/>
  <c r="R15" i="4"/>
  <c r="R14" i="4"/>
  <c r="R13" i="4"/>
  <c r="R12" i="4"/>
  <c r="R11" i="4"/>
  <c r="R10" i="4"/>
  <c r="R9" i="4"/>
  <c r="R8" i="4"/>
  <c r="R7" i="4"/>
  <c r="R6" i="4"/>
  <c r="R5" i="4"/>
  <c r="R4" i="4"/>
  <c r="R3" i="4"/>
  <c r="R2" i="4"/>
  <c r="F44" i="5" l="1"/>
  <c r="F17" i="5"/>
  <c r="E24" i="5"/>
  <c r="F24" i="5" s="1"/>
  <c r="AA102" i="4"/>
  <c r="Y3" i="4"/>
  <c r="K102" i="4"/>
  <c r="Y102" i="4" s="1"/>
  <c r="AB102" i="4"/>
  <c r="R102" i="4"/>
  <c r="X102" i="4"/>
  <c r="E40" i="5"/>
  <c r="F40" i="5" s="1"/>
  <c r="E10" i="5"/>
  <c r="F10" i="5" s="1"/>
  <c r="E41" i="5"/>
  <c r="F41" i="5" s="1"/>
  <c r="F9" i="5"/>
  <c r="E42" i="5"/>
  <c r="F42" i="5" s="1"/>
  <c r="E12" i="5"/>
  <c r="F12" i="5" s="1"/>
  <c r="E18" i="5"/>
  <c r="F18" i="5" s="1"/>
  <c r="F48" i="5"/>
  <c r="E25" i="5"/>
  <c r="F25" i="5" s="1"/>
  <c r="AD25" i="4"/>
  <c r="AC98" i="4"/>
  <c r="AC90" i="4"/>
  <c r="AC82" i="4"/>
  <c r="AC74" i="4"/>
  <c r="AC66" i="4"/>
  <c r="AC58" i="4"/>
  <c r="AC42" i="4"/>
  <c r="AC2" i="4"/>
  <c r="AD95" i="4"/>
  <c r="AC87" i="4"/>
  <c r="AD71" i="4"/>
  <c r="AC63" i="4"/>
  <c r="AD100" i="4"/>
  <c r="AD92" i="4"/>
  <c r="AD84" i="4"/>
  <c r="AD52" i="4"/>
  <c r="AD36" i="4"/>
  <c r="AD20" i="4"/>
  <c r="AC89" i="4"/>
  <c r="AC73" i="4"/>
  <c r="AC65" i="4"/>
  <c r="AC41" i="4"/>
  <c r="AC9" i="4"/>
  <c r="AD38" i="4"/>
  <c r="AD3" i="4"/>
  <c r="AC97" i="4"/>
  <c r="Q2" i="5"/>
  <c r="E28" i="5"/>
  <c r="F28" i="5" s="1"/>
  <c r="E45" i="5"/>
  <c r="F45" i="5" s="1"/>
  <c r="E29" i="5"/>
  <c r="F29" i="5" s="1"/>
  <c r="E46" i="5"/>
  <c r="F46" i="5" s="1"/>
  <c r="E30" i="5"/>
  <c r="F30" i="5" s="1"/>
  <c r="E52" i="5"/>
  <c r="F52" i="5" s="1"/>
  <c r="E37" i="5"/>
  <c r="F37" i="5" s="1"/>
  <c r="F34" i="5"/>
  <c r="E49" i="5"/>
  <c r="F49" i="5" s="1"/>
  <c r="E13" i="5"/>
  <c r="F13" i="5" s="1"/>
  <c r="F4" i="5"/>
  <c r="E36" i="5"/>
  <c r="F36" i="5" s="1"/>
  <c r="E14" i="5"/>
  <c r="F14" i="5" s="1"/>
  <c r="E50" i="5"/>
  <c r="F50" i="5" s="1"/>
  <c r="E20" i="5"/>
  <c r="F20" i="5" s="1"/>
  <c r="F16" i="5"/>
  <c r="F5" i="5"/>
  <c r="E26" i="5"/>
  <c r="F26" i="5" s="1"/>
  <c r="F33" i="5"/>
  <c r="E8" i="5"/>
  <c r="F8" i="5" s="1"/>
  <c r="E32" i="5"/>
  <c r="F32" i="5" s="1"/>
  <c r="E43" i="5"/>
  <c r="F43" i="5" s="1"/>
  <c r="E27" i="5"/>
  <c r="F27" i="5" s="1"/>
  <c r="E11" i="5"/>
  <c r="F11" i="5" s="1"/>
  <c r="AC95" i="4"/>
  <c r="AD55" i="4"/>
  <c r="AD47" i="4"/>
  <c r="AD23" i="4"/>
  <c r="AD7" i="4"/>
  <c r="AC7" i="4"/>
  <c r="E47" i="5"/>
  <c r="F47" i="5" s="1"/>
  <c r="E31" i="5"/>
  <c r="F31" i="5" s="1"/>
  <c r="E15" i="5"/>
  <c r="F15" i="5" s="1"/>
  <c r="E6" i="5"/>
  <c r="F6" i="5" s="1"/>
  <c r="E38" i="5"/>
  <c r="F38" i="5" s="1"/>
  <c r="AD30" i="4"/>
  <c r="AD98" i="4"/>
  <c r="AD90" i="4"/>
  <c r="AD82" i="4"/>
  <c r="E2" i="5"/>
  <c r="F2" i="5" s="1"/>
  <c r="E51" i="5"/>
  <c r="F51" i="5" s="1"/>
  <c r="E35" i="5"/>
  <c r="F35" i="5" s="1"/>
  <c r="E19" i="5"/>
  <c r="F19" i="5" s="1"/>
  <c r="E3" i="5"/>
  <c r="F3" i="5" s="1"/>
  <c r="AD87" i="4"/>
  <c r="AD39" i="4"/>
  <c r="AK102" i="4"/>
  <c r="AL102" i="4" s="1"/>
  <c r="E21" i="5"/>
  <c r="F21" i="5" s="1"/>
  <c r="AD63" i="4"/>
  <c r="E39" i="5"/>
  <c r="F39" i="5" s="1"/>
  <c r="E23" i="5"/>
  <c r="F23" i="5" s="1"/>
  <c r="E7" i="5"/>
  <c r="F7" i="5" s="1"/>
  <c r="AD2" i="4"/>
  <c r="E22" i="5"/>
  <c r="F22" i="5" s="1"/>
  <c r="AD103" i="4"/>
  <c r="AD94" i="4"/>
  <c r="AD86" i="4"/>
  <c r="AD6" i="4"/>
  <c r="AD102" i="4" l="1"/>
  <c r="AC102" i="4"/>
</calcChain>
</file>

<file path=xl/sharedStrings.xml><?xml version="1.0" encoding="utf-8"?>
<sst xmlns="http://schemas.openxmlformats.org/spreadsheetml/2006/main" count="152331" uniqueCount="43052">
  <si>
    <t>Victim's name</t>
  </si>
  <si>
    <t>Victim's age</t>
  </si>
  <si>
    <t>Victim's gender</t>
  </si>
  <si>
    <t>Victim's race</t>
  </si>
  <si>
    <t>URL of image of victim</t>
  </si>
  <si>
    <t>Agency responsible for death</t>
  </si>
  <si>
    <t>Cause of death</t>
  </si>
  <si>
    <t>A brief description of the circumstances surrounding the death</t>
  </si>
  <si>
    <t>Official disposition of death (justified or other)</t>
  </si>
  <si>
    <t>Criminal Charges?</t>
  </si>
  <si>
    <t>Link to news article or photo of official document</t>
  </si>
  <si>
    <t>Symptoms of mental illness?</t>
  </si>
  <si>
    <t>Unarmed</t>
  </si>
  <si>
    <t>Kevin Lau</t>
  </si>
  <si>
    <t>Male</t>
  </si>
  <si>
    <t>Asian</t>
  </si>
  <si>
    <t>http://www.killedbypolice.net/victims/150917.jpg</t>
  </si>
  <si>
    <t>737 Contour Dr</t>
  </si>
  <si>
    <t>Lake Charles</t>
  </si>
  <si>
    <t>LA</t>
  </si>
  <si>
    <t>Lake Charles Police Department</t>
  </si>
  <si>
    <t>Gunshot</t>
  </si>
  <si>
    <t>Allegedly Armed</t>
  </si>
  <si>
    <t>Unknown</t>
  </si>
  <si>
    <t>Unknown race</t>
  </si>
  <si>
    <t>159 Carver Rd</t>
  </si>
  <si>
    <t>SC</t>
  </si>
  <si>
    <t>Greenville</t>
  </si>
  <si>
    <t>Greenville County Sheriff's Office</t>
  </si>
  <si>
    <t>Unclear</t>
  </si>
  <si>
    <t>Richard Love</t>
  </si>
  <si>
    <t>White</t>
  </si>
  <si>
    <t>http://www.killedbypolice.net/victims/150912.jpg</t>
  </si>
  <si>
    <t>1750 Boston Post Rd</t>
  </si>
  <si>
    <t>Old Saybrook</t>
  </si>
  <si>
    <t>CT</t>
  </si>
  <si>
    <t>Middlesex</t>
  </si>
  <si>
    <t>Connecticut State Police</t>
  </si>
  <si>
    <t>IL</t>
  </si>
  <si>
    <t>CA</t>
  </si>
  <si>
    <t>MA</t>
  </si>
  <si>
    <t>Gary Boitano</t>
  </si>
  <si>
    <t>Hispanic</t>
  </si>
  <si>
    <t>http://www.killedbypolice.net/victims/150910.jpg</t>
  </si>
  <si>
    <t>6400 Cardinal Ln</t>
  </si>
  <si>
    <t>Columbia</t>
  </si>
  <si>
    <t>MD</t>
  </si>
  <si>
    <t>Howard</t>
  </si>
  <si>
    <t>Howard County Police Department</t>
  </si>
  <si>
    <t>Travis LaQuay</t>
  </si>
  <si>
    <t>http://www.killedbypolice.net/victims/150911.jpg</t>
  </si>
  <si>
    <t>MI</t>
  </si>
  <si>
    <t>Montcalm</t>
  </si>
  <si>
    <t>http://www.mlive.com/news/grand-rapids/index.ssf/2015/10/deputy_shot_with_cross-bow_as.html</t>
  </si>
  <si>
    <t>Amado Lago</t>
  </si>
  <si>
    <t>West Palm Beach</t>
  </si>
  <si>
    <t>FL</t>
  </si>
  <si>
    <t>Palm Beach County Sheriff's Office</t>
  </si>
  <si>
    <t>Donald Miller II</t>
  </si>
  <si>
    <t>Monterey</t>
  </si>
  <si>
    <t>Monterey Police Department</t>
  </si>
  <si>
    <t>Omar Ali</t>
  </si>
  <si>
    <t>http://www.killedbypolice.net/victims/150908.jpg</t>
  </si>
  <si>
    <t>OH</t>
  </si>
  <si>
    <t>http://www.cleveland.com/akron/index.ssf/2015/10/akron_hookah_bar_owner_shot_du.html</t>
  </si>
  <si>
    <t>James Dunaway</t>
  </si>
  <si>
    <t>Hurst</t>
  </si>
  <si>
    <t>TX</t>
  </si>
  <si>
    <t>Tarrant</t>
  </si>
  <si>
    <t>Hurst Police Department</t>
  </si>
  <si>
    <t>http://www.wfaa.com/story/news/local/tarrant-county/2015/10/05/suspect-killed-in-hurst-officer-involved-shooting/73425460/</t>
  </si>
  <si>
    <t>Rodney Jencsik</t>
  </si>
  <si>
    <t>http://www.killedbypolice.net/victims/150907.jpg</t>
  </si>
  <si>
    <t>Freddie Ave</t>
  </si>
  <si>
    <t>Woodbridge Township</t>
  </si>
  <si>
    <t>NJ</t>
  </si>
  <si>
    <t>Woodbridge Police Department</t>
  </si>
  <si>
    <t>http://www.mycentraljersey.com/story/news/local/middlesex-county/2015/10/06/man-shot-dead-police-woodbridge-standoff/73442052/</t>
  </si>
  <si>
    <t>Jeffery McCallum</t>
  </si>
  <si>
    <t>Black</t>
  </si>
  <si>
    <t>http://www.killedbypolice.net/victims/150904.jpg</t>
  </si>
  <si>
    <t>Chicago</t>
  </si>
  <si>
    <t>Cook</t>
  </si>
  <si>
    <t>Chicago Police Department</t>
  </si>
  <si>
    <t>Eric Edgell</t>
  </si>
  <si>
    <t>http://www.killedbypolice.net/victims/150905.jpg</t>
  </si>
  <si>
    <t>2nd St</t>
  </si>
  <si>
    <t>Muscle Shoals</t>
  </si>
  <si>
    <t>AL</t>
  </si>
  <si>
    <t>Colbert</t>
  </si>
  <si>
    <t>Muscle Shoals Police Department, Sheffield Police Department</t>
  </si>
  <si>
    <t>Sepulveda Blvd and Victory Blvd</t>
  </si>
  <si>
    <t>Los Angeles</t>
  </si>
  <si>
    <t>Los Angeles Police Department</t>
  </si>
  <si>
    <t>No</t>
  </si>
  <si>
    <t>Cuyahoga</t>
  </si>
  <si>
    <t>East Cleveland Police Department</t>
  </si>
  <si>
    <t>200 S Linden Ave</t>
  </si>
  <si>
    <t>Rialto</t>
  </si>
  <si>
    <t>San Bernadino</t>
  </si>
  <si>
    <t>Rialto Police Department</t>
  </si>
  <si>
    <t>http://www.pe.com/articles/officers-782334-domestic-involved.html</t>
  </si>
  <si>
    <t>Phyllis Jepsen</t>
  </si>
  <si>
    <t>Female</t>
  </si>
  <si>
    <t>18000 SW Shaw St</t>
  </si>
  <si>
    <t>Aloha</t>
  </si>
  <si>
    <t>OR</t>
  </si>
  <si>
    <t>Washington</t>
  </si>
  <si>
    <t>Washington County Sheriff's Office</t>
  </si>
  <si>
    <t>David Diaz</t>
  </si>
  <si>
    <t>http://www.killedbypolice.net/victims/150901.jpg</t>
  </si>
  <si>
    <t>Sierra Vista</t>
  </si>
  <si>
    <t>AZ</t>
  </si>
  <si>
    <t>Cochise</t>
  </si>
  <si>
    <t>Matthew Dobbins</t>
  </si>
  <si>
    <t>14800 Xit Trail</t>
  </si>
  <si>
    <t>Amarillo</t>
  </si>
  <si>
    <t>Randall</t>
  </si>
  <si>
    <t>Randall County Sheriff's Office</t>
  </si>
  <si>
    <t>Robert Sullivan Christen</t>
  </si>
  <si>
    <t>http://www.killedbypolice.net/victims/150897.jpg</t>
  </si>
  <si>
    <t>Mora</t>
  </si>
  <si>
    <t>MN</t>
  </si>
  <si>
    <t>Kanabec</t>
  </si>
  <si>
    <t>Kanabec County Sheriff's Office</t>
  </si>
  <si>
    <t>Wesley Manning</t>
  </si>
  <si>
    <t>http://www.killedbypolice.net/victims/150896.jpg</t>
  </si>
  <si>
    <t>Patrick Stephen Lundstrom</t>
  </si>
  <si>
    <t>Native American</t>
  </si>
  <si>
    <t>http://www.killedbypolice.net/victims/150895.jpg</t>
  </si>
  <si>
    <t>20 Signal Dr</t>
  </si>
  <si>
    <t>Rapid City</t>
  </si>
  <si>
    <t>SD</t>
  </si>
  <si>
    <t>Pennington</t>
  </si>
  <si>
    <t>Rapid City Police Department</t>
  </si>
  <si>
    <t>Brandon Johnson</t>
  </si>
  <si>
    <t>http://www.killedbypolice.net/victims/150892.jpg</t>
  </si>
  <si>
    <t>W Virginia Turnpike</t>
  </si>
  <si>
    <t>Beckley</t>
  </si>
  <si>
    <t>WV</t>
  </si>
  <si>
    <t>Raleigh</t>
  </si>
  <si>
    <t>West Virginia State Police</t>
  </si>
  <si>
    <t>Alberto Hernandez</t>
  </si>
  <si>
    <t>San Diego</t>
  </si>
  <si>
    <t>San Diego Police Department</t>
  </si>
  <si>
    <t>Junior Prosper</t>
  </si>
  <si>
    <t>http://www.killedbypolice.net/victims/150888.jpg</t>
  </si>
  <si>
    <t>North Miami</t>
  </si>
  <si>
    <t>Miami-Dade</t>
  </si>
  <si>
    <t>Miami-Dade Police Department</t>
  </si>
  <si>
    <t>Victor Oswaldo Coronado-Martinez</t>
  </si>
  <si>
    <t>http://www.killedbypolice.net/victims/150890.jpg</t>
  </si>
  <si>
    <t>Ponder</t>
  </si>
  <si>
    <t>Denton</t>
  </si>
  <si>
    <t>Ponder Police Department</t>
  </si>
  <si>
    <t>Norma Angelica Guzman</t>
  </si>
  <si>
    <t>http://www.killedbypolice.net/victims/150886.jpg</t>
  </si>
  <si>
    <t>2100 S San Pedro St</t>
  </si>
  <si>
    <t>Christopher Shell</t>
  </si>
  <si>
    <t>Rossville</t>
  </si>
  <si>
    <t>GA</t>
  </si>
  <si>
    <t>Walker</t>
  </si>
  <si>
    <t>Walker County Sheriff's Office</t>
  </si>
  <si>
    <t>Jeffrey Blood</t>
  </si>
  <si>
    <t>http://www.killedbypolice.net/victims/150881.jpg</t>
  </si>
  <si>
    <t>Wilhoit</t>
  </si>
  <si>
    <t>Yavapai</t>
  </si>
  <si>
    <t>Yavapai County Sheriff's Office</t>
  </si>
  <si>
    <t>James Anderson</t>
  </si>
  <si>
    <t>906 N Central Park Ave</t>
  </si>
  <si>
    <t>Anthony McKinney</t>
  </si>
  <si>
    <t>http://www.killedbypolice.net/victims/150882.jpg</t>
  </si>
  <si>
    <t>Baton Rouge</t>
  </si>
  <si>
    <t>East Baton Rouge Sheriff's Office</t>
  </si>
  <si>
    <t>Alejandro Lerma</t>
  </si>
  <si>
    <t>http://www.killedbypolice.net/victims/150883.jpg</t>
  </si>
  <si>
    <t>W Jefferson Ave</t>
  </si>
  <si>
    <t>Lovington</t>
  </si>
  <si>
    <t>NM</t>
  </si>
  <si>
    <t>Lovington Police Department</t>
  </si>
  <si>
    <t>Freddy Centeno</t>
  </si>
  <si>
    <t>http://www.killedbypolice.net/victims/2772.jpg</t>
  </si>
  <si>
    <t>S Orange Ave and E El Monte Way</t>
  </si>
  <si>
    <t>Fresno</t>
  </si>
  <si>
    <t>Fresno Police Department</t>
  </si>
  <si>
    <t>William Lemmon</t>
  </si>
  <si>
    <t>http://www.killedbypolice.net/victims/150879.jpg</t>
  </si>
  <si>
    <t>Akron</t>
  </si>
  <si>
    <t>Akron Police Department</t>
  </si>
  <si>
    <t>Patrick O'Grady</t>
  </si>
  <si>
    <t>http://www.killedbypolice.net/victims/150877.jpg</t>
  </si>
  <si>
    <t>Fountain</t>
  </si>
  <si>
    <t>CO</t>
  </si>
  <si>
    <t>Fountain Police Department</t>
  </si>
  <si>
    <t>Ernesto Medina López</t>
  </si>
  <si>
    <t>http://www.killedbypolice.net/victims/150875.jpg</t>
  </si>
  <si>
    <t>Miami</t>
  </si>
  <si>
    <t>Indianapolis</t>
  </si>
  <si>
    <t>IN</t>
  </si>
  <si>
    <t>Indianapolis Metropolitan Police Department</t>
  </si>
  <si>
    <t>Philip Quinn</t>
  </si>
  <si>
    <t>http://www.killedbypolice.net/victims/150876.jpg</t>
  </si>
  <si>
    <t>St Paul</t>
  </si>
  <si>
    <t>Jeremy McDole</t>
  </si>
  <si>
    <t>http://www.killedbypolice.net/victims/150872.jpg</t>
  </si>
  <si>
    <t>Wilmington</t>
  </si>
  <si>
    <t>DE</t>
  </si>
  <si>
    <t>Wilmington Police Department</t>
  </si>
  <si>
    <t>Keith Harrison McLeod</t>
  </si>
  <si>
    <t>http://www.killedbypolice.net/victims/150873.jpg</t>
  </si>
  <si>
    <t>47 Main St</t>
  </si>
  <si>
    <t>Reisterstown</t>
  </si>
  <si>
    <t>Baltimore County Police Department</t>
  </si>
  <si>
    <t>Joseph Khammash</t>
  </si>
  <si>
    <t>http://www.killedbypolice.net/victims/150874.jpg</t>
  </si>
  <si>
    <t>1300 Eldorado Pkwy</t>
  </si>
  <si>
    <t>McKinney</t>
  </si>
  <si>
    <t>McKinney Police Department</t>
  </si>
  <si>
    <t>Robert Richard Berger</t>
  </si>
  <si>
    <t>http://www.killedbypolice.net/victims/150871.jpg</t>
  </si>
  <si>
    <t>Salt Lake City</t>
  </si>
  <si>
    <t>UT</t>
  </si>
  <si>
    <t>Salt Lake City Police Department</t>
  </si>
  <si>
    <t>Kenneth Ray Pinter Jr.</t>
  </si>
  <si>
    <t>Troutdale</t>
  </si>
  <si>
    <t>VA</t>
  </si>
  <si>
    <t>Grayson County Sheriff's Office</t>
  </si>
  <si>
    <t>Dante Osborne</t>
  </si>
  <si>
    <t>http://www.killedbypolice.net/victims/150867.jpg</t>
  </si>
  <si>
    <t>San Leandro</t>
  </si>
  <si>
    <t>Alameda County Sheriff's Office</t>
  </si>
  <si>
    <t>Tim Kyle Torngren</t>
  </si>
  <si>
    <t>6700 Odessa Way</t>
  </si>
  <si>
    <t>Anderson</t>
  </si>
  <si>
    <t>Shasta County Sheriff's Office</t>
  </si>
  <si>
    <t>Dominic Fuller</t>
  </si>
  <si>
    <t>http://www.killedbypolice.net/victims/150866.jpg</t>
  </si>
  <si>
    <t>Auburndale</t>
  </si>
  <si>
    <t>Polk County Sheriff's Office</t>
  </si>
  <si>
    <t>Timothy Wagner</t>
  </si>
  <si>
    <t>http://www.killedbypolice.net/victims/150865.jpg</t>
  </si>
  <si>
    <t>Barberville</t>
  </si>
  <si>
    <t>Volusia County Sheriff's Office</t>
  </si>
  <si>
    <t>Joel Dixon Smith</t>
  </si>
  <si>
    <t>http://www.killedbypolice.net/victims/150868.jpg</t>
  </si>
  <si>
    <t>148 W John Sims Pkwy</t>
  </si>
  <si>
    <t>Niceville</t>
  </si>
  <si>
    <t>Okaloosa County Sheriff's Office</t>
  </si>
  <si>
    <t>Donaven Kyle Anderson</t>
  </si>
  <si>
    <t>North Las Vegas</t>
  </si>
  <si>
    <t>NV</t>
  </si>
  <si>
    <t>North Las Vegas Police Department</t>
  </si>
  <si>
    <t>Tina Money</t>
  </si>
  <si>
    <t>http://www.killedbypolice.net/victims/150863.jpg</t>
  </si>
  <si>
    <t>2040 California Ave</t>
  </si>
  <si>
    <t>Sand City</t>
  </si>
  <si>
    <t>Sand City Police Department</t>
  </si>
  <si>
    <t>William Spaits</t>
  </si>
  <si>
    <t>http://www.killedbypolice.net/victims/150862.jpg</t>
  </si>
  <si>
    <t>Garrett Steven McKinney</t>
  </si>
  <si>
    <t>http://www.killedbypolice.net/victims/150864.jpg</t>
  </si>
  <si>
    <t>Paris</t>
  </si>
  <si>
    <t>Texas Department of Public Safety</t>
  </si>
  <si>
    <t>Gerardo Ramirez</t>
  </si>
  <si>
    <t>http://www.killedbypolice.net/victims/150861.jpg</t>
  </si>
  <si>
    <t>10830 Stone Canyon Rd</t>
  </si>
  <si>
    <t>Dallas</t>
  </si>
  <si>
    <t>Dallas Police Department</t>
  </si>
  <si>
    <t>Jerrald Wright</t>
  </si>
  <si>
    <t>http://www.killedbypolice.net/victims/150857.jpg</t>
  </si>
  <si>
    <t>Shelbyville</t>
  </si>
  <si>
    <t>Benton Harbor</t>
  </si>
  <si>
    <t>Michael Thomas Pierce</t>
  </si>
  <si>
    <t>http://www.killedbypolice.net/victims/150858.jpg</t>
  </si>
  <si>
    <t>1700 Park Rd</t>
  </si>
  <si>
    <t>Harrisonburg</t>
  </si>
  <si>
    <t>Harrisonburg Police Department</t>
  </si>
  <si>
    <t>Lucien Rolland</t>
  </si>
  <si>
    <t>http://www.killedbypolice.net/victims/150855.jpg</t>
  </si>
  <si>
    <t>Cecil D. Lacy</t>
  </si>
  <si>
    <t>http://www.killedbypolice.net/victims/150856.jpg</t>
  </si>
  <si>
    <t>Marysville</t>
  </si>
  <si>
    <t>WA</t>
  </si>
  <si>
    <t>Tulalip Tribal Police Department, Snohomish County Sheriff's Office</t>
  </si>
  <si>
    <t>Scott Beech</t>
  </si>
  <si>
    <t>http://www.killedbypolice.net/victims/150854.jpg</t>
  </si>
  <si>
    <t>Nicholas Alan Johnson</t>
  </si>
  <si>
    <t>http://www.killedbypolice.net/victims/150853.jpg</t>
  </si>
  <si>
    <t>San Bernardino</t>
  </si>
  <si>
    <t>San Bernardino County Sheriff's Department</t>
  </si>
  <si>
    <t>Lawrence R. Price</t>
  </si>
  <si>
    <t>http://www.killedbypolice.net/victims/150851.jpg</t>
  </si>
  <si>
    <t>Dug Hill Rd</t>
  </si>
  <si>
    <t>Brodhead</t>
  </si>
  <si>
    <t>KY</t>
  </si>
  <si>
    <t>Gregory Herrell</t>
  </si>
  <si>
    <t>http://www.killedbypolice.net/victims/150852.jpg</t>
  </si>
  <si>
    <t>Cumberland Furnace</t>
  </si>
  <si>
    <t>TN</t>
  </si>
  <si>
    <t>Dickson County Sheriff's Office</t>
  </si>
  <si>
    <t>Carlos Wilhelm</t>
  </si>
  <si>
    <t>Mark R. Gary</t>
  </si>
  <si>
    <t>http://www.killedbypolice.net/victims/150848.jpg</t>
  </si>
  <si>
    <t>Shock Rd and Dale Rd</t>
  </si>
  <si>
    <t>Beaverton</t>
  </si>
  <si>
    <t>Tristan Vent</t>
  </si>
  <si>
    <t>http://www.killedbypolice.net/victims/150844.jpg</t>
  </si>
  <si>
    <t>Davis Rd and Wilbur St</t>
  </si>
  <si>
    <t>Fairbanks</t>
  </si>
  <si>
    <t>AK</t>
  </si>
  <si>
    <t>Fairbanks Police Department, Alaska State Troopers</t>
  </si>
  <si>
    <t>Jorge Suarez-Ruiz</t>
  </si>
  <si>
    <t>16020 SW 42nd Terrace</t>
  </si>
  <si>
    <t>Bobby R. Anderson</t>
  </si>
  <si>
    <t>http://www.killedbypolice.net/victims/150845.jpg</t>
  </si>
  <si>
    <t>Alexandria</t>
  </si>
  <si>
    <t>Rory Lynn Gunderman</t>
  </si>
  <si>
    <t>http://www.killedbypolice.net/victims/150846.jpg</t>
  </si>
  <si>
    <t>Canam Hwy and Rochford Rd</t>
  </si>
  <si>
    <t>Lead</t>
  </si>
  <si>
    <t>Lawrence County Sheriff's Office</t>
  </si>
  <si>
    <t>David Todd Powell Jr.</t>
  </si>
  <si>
    <t>http://www.killedbypolice.net/victims/150839.jpg</t>
  </si>
  <si>
    <t>700 Armory Rd</t>
  </si>
  <si>
    <t>Barstow</t>
  </si>
  <si>
    <t>Barstow Police Department</t>
  </si>
  <si>
    <t>Florencio Chaidez</t>
  </si>
  <si>
    <t>Parthenia St and Cedros Ave</t>
  </si>
  <si>
    <t>Phillip Pfleghardt</t>
  </si>
  <si>
    <t>Broomfield</t>
  </si>
  <si>
    <t>Broomfield Police Department</t>
  </si>
  <si>
    <t>Tyrone Bass</t>
  </si>
  <si>
    <t>http://www.killedbypolice.net/victims/150840.jpg</t>
  </si>
  <si>
    <t>Chalmette</t>
  </si>
  <si>
    <t>William Chau</t>
  </si>
  <si>
    <t>El Monte</t>
  </si>
  <si>
    <t>El Monte Police Department</t>
  </si>
  <si>
    <t>KS</t>
  </si>
  <si>
    <t>NC</t>
  </si>
  <si>
    <t>Martin Francis Hammen</t>
  </si>
  <si>
    <t>1000 Hwy 22</t>
  </si>
  <si>
    <t>Wellman</t>
  </si>
  <si>
    <t>IA</t>
  </si>
  <si>
    <t>Joseph Thomas Johnson-Shanks</t>
  </si>
  <si>
    <t>http://www.killedbypolice.net/victims/150835.jpg</t>
  </si>
  <si>
    <t>I-24</t>
  </si>
  <si>
    <t>Eddyville</t>
  </si>
  <si>
    <t>Jeffrey Eugene Brooks</t>
  </si>
  <si>
    <t>http://www.killedbypolice.net/victims/150834.jpg</t>
  </si>
  <si>
    <t>Clute</t>
  </si>
  <si>
    <t>Smith County Sheriff's Office, tactical team</t>
  </si>
  <si>
    <t>Vehicle</t>
  </si>
  <si>
    <t>Derek Davis</t>
  </si>
  <si>
    <t>http://www.killedbypolice.net/victims/150831.jpg</t>
  </si>
  <si>
    <t>Sylacauga</t>
  </si>
  <si>
    <t>Talladega County Sheriff's Office</t>
  </si>
  <si>
    <t>Jack Allen Stevens</t>
  </si>
  <si>
    <t>http://www.killedbypolice.net/victims/150832.jpg</t>
  </si>
  <si>
    <t>8105 Ball Camp Pike</t>
  </si>
  <si>
    <t>Knoxville</t>
  </si>
  <si>
    <t>Jordn Miller</t>
  </si>
  <si>
    <t>http://www.killedbypolice.net/victims/150830.jpg</t>
  </si>
  <si>
    <t>Springfield Township Police Department</t>
  </si>
  <si>
    <t>Taser</t>
  </si>
  <si>
    <t>Clifford Butler Jr.</t>
  </si>
  <si>
    <t>18533 Old US Hwy 81</t>
  </si>
  <si>
    <t>Pond Creek</t>
  </si>
  <si>
    <t>OK</t>
  </si>
  <si>
    <t>73766</t>
  </si>
  <si>
    <t>Grant</t>
  </si>
  <si>
    <t>Grant County Sheriff's Office</t>
  </si>
  <si>
    <t>Clifford Butler, Jr., of McAlester, was fatally shot after police say he pulled a gun and shot an officer at least once after authorities tried to subdue him.</t>
  </si>
  <si>
    <t>Pending investigation</t>
  </si>
  <si>
    <t>No Known Charges</t>
  </si>
  <si>
    <t>http://www.tulsaworld.com/homepagelatest/mcalester-man-dead-after-police-return-fire-outside-of-grant/article_54e6568b-2712-5129-a37e-a35e117bb0e6.html</t>
  </si>
  <si>
    <t>Chester</t>
  </si>
  <si>
    <t>PA</t>
  </si>
  <si>
    <t>Federal Bureau of Investigation</t>
  </si>
  <si>
    <t>Austin Wilburly Reid</t>
  </si>
  <si>
    <t>http://www.killedbypolice.net/victims/150827.jpg</t>
  </si>
  <si>
    <t>Lodi</t>
  </si>
  <si>
    <t>Lodi Police Department</t>
  </si>
  <si>
    <t>Eddie Tapia</t>
  </si>
  <si>
    <t>http://www.killedbypolice.net/victims/150828.jpg</t>
  </si>
  <si>
    <t>9243 Lakewood Blvd</t>
  </si>
  <si>
    <t>Downey</t>
  </si>
  <si>
    <t>Los Angeles County Sheriff's Department</t>
  </si>
  <si>
    <t>Fontana</t>
  </si>
  <si>
    <t>Fontana Police Department</t>
  </si>
  <si>
    <t>Brandon Foy</t>
  </si>
  <si>
    <t>http://www.killedbypolice.net/victims/150826.jpg</t>
  </si>
  <si>
    <t>46254</t>
  </si>
  <si>
    <t>Marion</t>
  </si>
  <si>
    <t>Tian Ma</t>
  </si>
  <si>
    <t>Potsdam</t>
  </si>
  <si>
    <t>NY</t>
  </si>
  <si>
    <t>Potsdam Police Department</t>
  </si>
  <si>
    <t>Vincent Perdue</t>
  </si>
  <si>
    <t>http://www.killedbypolice.net/victims/150823.jpg</t>
  </si>
  <si>
    <t>North Pole</t>
  </si>
  <si>
    <t>Tyrone L. Holman</t>
  </si>
  <si>
    <t>Kansas City</t>
  </si>
  <si>
    <t>MO</t>
  </si>
  <si>
    <t>64130</t>
  </si>
  <si>
    <t>Jackson</t>
  </si>
  <si>
    <t>Kansas City Police Department</t>
  </si>
  <si>
    <t>Dustin M. Kuik</t>
  </si>
  <si>
    <t>http://www.killedbypolice.net/victims/150821.jpg</t>
  </si>
  <si>
    <t>Green Bay</t>
  </si>
  <si>
    <t>WI</t>
  </si>
  <si>
    <t>Ashwaubenon Department of Public Safety</t>
  </si>
  <si>
    <t>Casimero Carlos Casillas</t>
  </si>
  <si>
    <t>http://www.killedbypolice.net/victims/150819.jpg</t>
  </si>
  <si>
    <t>Clovis Ave and E Lansing Way</t>
  </si>
  <si>
    <t>Wayne Wheeler</t>
  </si>
  <si>
    <t>Detroit</t>
  </si>
  <si>
    <t>Lathrup Village Police Department</t>
  </si>
  <si>
    <t>William Verrett</t>
  </si>
  <si>
    <t>http://www.killedbypolice.net/victims/150818.jpg</t>
  </si>
  <si>
    <t>1209 E Park St</t>
  </si>
  <si>
    <t>Hobbs</t>
  </si>
  <si>
    <t>Hobbs Police Department</t>
  </si>
  <si>
    <t>Gunner Wayne Page</t>
  </si>
  <si>
    <t>http://www.killedbypolice.net/victims/2753.jpg</t>
  </si>
  <si>
    <t>Carlos Yero</t>
  </si>
  <si>
    <t>http://www.killedbypolice.net/victims/150813.jpg</t>
  </si>
  <si>
    <t>2482 SW 3rd St</t>
  </si>
  <si>
    <t>Miami Police Department</t>
  </si>
  <si>
    <t>Mohamed Ibrahim</t>
  </si>
  <si>
    <t>http://www.killedbypolice.net/victims/150815.jpg</t>
  </si>
  <si>
    <t>Shreveport</t>
  </si>
  <si>
    <t>Shreveport Police Department</t>
  </si>
  <si>
    <t>NE</t>
  </si>
  <si>
    <t>Bernalillo</t>
  </si>
  <si>
    <t>Providence</t>
  </si>
  <si>
    <t>RI</t>
  </si>
  <si>
    <t>India Kager</t>
  </si>
  <si>
    <t>http://www.killedbypolice.net/victims/150811.jpg</t>
  </si>
  <si>
    <t>Lynnhaven Pkwy and Salem Rd</t>
  </si>
  <si>
    <t>Virginia Beach</t>
  </si>
  <si>
    <t>23456</t>
  </si>
  <si>
    <t>Virginia Beach Police Department</t>
  </si>
  <si>
    <t>Angelo Delano Perry</t>
  </si>
  <si>
    <t>http://www.killedbypolice.net/victims/150812.jpg</t>
  </si>
  <si>
    <t>Luis Guillen Wenceslao</t>
  </si>
  <si>
    <t>http://www.killedbypolice.net/victims/150809.jpg</t>
  </si>
  <si>
    <t>400 E Philadelphia St</t>
  </si>
  <si>
    <t>Ontario</t>
  </si>
  <si>
    <t>Ontario Police Department</t>
  </si>
  <si>
    <t>Manuel Ornelas</t>
  </si>
  <si>
    <t>http://www.killedbypolice.net/victims/150810.jpg</t>
  </si>
  <si>
    <t>Long Beach</t>
  </si>
  <si>
    <t>Long Beach Police Department</t>
  </si>
  <si>
    <t>Lavante Biggs</t>
  </si>
  <si>
    <t>http://www.killedbypolice.net/victims/150808.jpg</t>
  </si>
  <si>
    <t>Durham</t>
  </si>
  <si>
    <t>27703</t>
  </si>
  <si>
    <t>Durham Police Department</t>
  </si>
  <si>
    <t>Richard Keith Kelley</t>
  </si>
  <si>
    <t>http://www.killedbypolice.net/victims/150804.jpg</t>
  </si>
  <si>
    <t>Hoopa Tribal Police</t>
  </si>
  <si>
    <t>Jose Ramon Damiani</t>
  </si>
  <si>
    <t>http://www.killedbypolice.net/victims/150803.jpg</t>
  </si>
  <si>
    <t>French Lick</t>
  </si>
  <si>
    <t>West Baden Police Department, Indiana State Police</t>
  </si>
  <si>
    <t>Harrison Lambert</t>
  </si>
  <si>
    <t>http://www.killedbypolice.net/victims/150806.jpg</t>
  </si>
  <si>
    <t>Merrimack</t>
  </si>
  <si>
    <t>NH</t>
  </si>
  <si>
    <t>Merrimack Police Department</t>
  </si>
  <si>
    <t>Lucas Markus</t>
  </si>
  <si>
    <t>http://www.killedbypolice.net/victims/150807.jpg</t>
  </si>
  <si>
    <t>Girardville</t>
  </si>
  <si>
    <t>Pennsylvania State Police</t>
  </si>
  <si>
    <t>Curtis James Meyer</t>
  </si>
  <si>
    <t>http://www.killedbypolice.net/victims/150802.jpg</t>
  </si>
  <si>
    <t>Mitchell</t>
  </si>
  <si>
    <t>Mitchell Police Division</t>
  </si>
  <si>
    <t>Sully Lanier</t>
  </si>
  <si>
    <t>http://www.killedbypolice.net/victims/150805.jpg</t>
  </si>
  <si>
    <t>100 Couch Ct</t>
  </si>
  <si>
    <t>Springtown</t>
  </si>
  <si>
    <t>Parker County Sheriff's Department</t>
  </si>
  <si>
    <t>Arthur Edward Bates</t>
  </si>
  <si>
    <t>Prescott</t>
  </si>
  <si>
    <t>Newark</t>
  </si>
  <si>
    <t>Essex</t>
  </si>
  <si>
    <t>Newark Police Department</t>
  </si>
  <si>
    <t>Michael Todd Evans</t>
  </si>
  <si>
    <t>http://www.killedbypolice.net/victims/150799.jpg</t>
  </si>
  <si>
    <t>1804 W Feather Ave</t>
  </si>
  <si>
    <t>Artesia</t>
  </si>
  <si>
    <t>Carlsbad Police Department, Lake Arthur Police Department</t>
  </si>
  <si>
    <t>Charles Robert Shaw</t>
  </si>
  <si>
    <t>Twinsburg</t>
  </si>
  <si>
    <t>Twinsburg Police Department</t>
  </si>
  <si>
    <t>Devin Brian Dial</t>
  </si>
  <si>
    <t>http://www.killedbypolice.net/victims/150794.jpg</t>
  </si>
  <si>
    <t>Cedric Maurice Williams</t>
  </si>
  <si>
    <t>http://www.killedbypolice.net/victims/150796.jpg</t>
  </si>
  <si>
    <t>Bluefield</t>
  </si>
  <si>
    <t>24701</t>
  </si>
  <si>
    <t>Bluefield Police Department</t>
  </si>
  <si>
    <t>James Carney III</t>
  </si>
  <si>
    <t>Cincinnati</t>
  </si>
  <si>
    <t>Hamilton</t>
  </si>
  <si>
    <t>Cincinnati Police Department</t>
  </si>
  <si>
    <t>Justified</t>
  </si>
  <si>
    <t>William Rippley</t>
  </si>
  <si>
    <t>Loveland</t>
  </si>
  <si>
    <t>Larimer</t>
  </si>
  <si>
    <t>Loveland Police Department</t>
  </si>
  <si>
    <t>Yes</t>
  </si>
  <si>
    <t>Nicholas Dyksma</t>
  </si>
  <si>
    <t>27 GA-208</t>
  </si>
  <si>
    <t>Harris</t>
  </si>
  <si>
    <t>Harris County Sheriff's Office</t>
  </si>
  <si>
    <t>David Leon</t>
  </si>
  <si>
    <t>Tucson</t>
  </si>
  <si>
    <t>Pima</t>
  </si>
  <si>
    <t>Tucson Police Department</t>
  </si>
  <si>
    <t>Shawn Hall</t>
  </si>
  <si>
    <t>Cushing</t>
  </si>
  <si>
    <t>Payne</t>
  </si>
  <si>
    <t>Cushing Police Department</t>
  </si>
  <si>
    <t>James Brown III</t>
  </si>
  <si>
    <t>Losee Rd and E Sharp Cir</t>
  </si>
  <si>
    <t>Clark</t>
  </si>
  <si>
    <t>Las Vegas Metropolitan Police Department</t>
  </si>
  <si>
    <t>Rafael Cruz Jr.</t>
  </si>
  <si>
    <t>Roger Albrecht</t>
  </si>
  <si>
    <t>6500 Spring Branch St</t>
  </si>
  <si>
    <t>San Antonio</t>
  </si>
  <si>
    <t>Bexar</t>
  </si>
  <si>
    <t>San Antonio Police Department</t>
  </si>
  <si>
    <t>Felix Kumi</t>
  </si>
  <si>
    <t>Beekman Ave and Tecumseh Ave</t>
  </si>
  <si>
    <t>Mount Vernon</t>
  </si>
  <si>
    <t>Westchester</t>
  </si>
  <si>
    <t>New York Police Department</t>
  </si>
  <si>
    <t>Gilbert Flores</t>
  </si>
  <si>
    <t>24400 Walnut Pass</t>
  </si>
  <si>
    <t>Bexar County Sheriff's Office</t>
  </si>
  <si>
    <t>Robert Hober</t>
  </si>
  <si>
    <t>5644 Mission Center Rd</t>
  </si>
  <si>
    <t>William Evans</t>
  </si>
  <si>
    <t>Spanish Fork</t>
  </si>
  <si>
    <t>Utah</t>
  </si>
  <si>
    <t>Spanish Fork Police Department</t>
  </si>
  <si>
    <t>1775 W Loop 281</t>
  </si>
  <si>
    <t>Longview</t>
  </si>
  <si>
    <t>Gregg</t>
  </si>
  <si>
    <t>Longview Police Department</t>
  </si>
  <si>
    <t>Bertrand Davis</t>
  </si>
  <si>
    <t>Wyandotte</t>
  </si>
  <si>
    <t>Manuel Soriano</t>
  </si>
  <si>
    <t>Yonas Alehegne</t>
  </si>
  <si>
    <t>Oakland</t>
  </si>
  <si>
    <t>Alameda</t>
  </si>
  <si>
    <t>Oakland Police Department</t>
  </si>
  <si>
    <t>San Jose</t>
  </si>
  <si>
    <t>Santa Clara</t>
  </si>
  <si>
    <t>Kyle Lambrose</t>
  </si>
  <si>
    <t>West Jordan</t>
  </si>
  <si>
    <t>Salt Lake</t>
  </si>
  <si>
    <t>West Jordan Police Department</t>
  </si>
  <si>
    <t>Brent Pickard</t>
  </si>
  <si>
    <t>Hixson</t>
  </si>
  <si>
    <t>Hamilton County Sheriff's Office</t>
  </si>
  <si>
    <t>Steven Dodd</t>
  </si>
  <si>
    <t>Indian Lake Blvd and Vietnam Veterans Blvd</t>
  </si>
  <si>
    <t>Hendersonville</t>
  </si>
  <si>
    <t>Sumner</t>
  </si>
  <si>
    <t>Hendersonville Police Department</t>
  </si>
  <si>
    <t>Curtis Smith</t>
  </si>
  <si>
    <t>201 W Market St</t>
  </si>
  <si>
    <t>West Chester</t>
  </si>
  <si>
    <t>Chester County Sheriff's Office</t>
  </si>
  <si>
    <t>Smith entered the county's justice center carrying a knife and slashed a deputy sheriff in the lobby before another deputy shot him, police said. Authorities said the injured deputy was in stable condition. In March, Smith was arrested after climbing a White House wall, according to court documents.</t>
  </si>
  <si>
    <t>Marvin Maestas</t>
  </si>
  <si>
    <t>Santa Fe</t>
  </si>
  <si>
    <t>Marvin Arroliga</t>
  </si>
  <si>
    <t>Shane Randolph</t>
  </si>
  <si>
    <t>W McDowell Rd and N 35th Ave</t>
  </si>
  <si>
    <t>Phoenix</t>
  </si>
  <si>
    <t>Maricopa</t>
  </si>
  <si>
    <t>Phoenix Police Department</t>
  </si>
  <si>
    <t>Todd Tomlinson</t>
  </si>
  <si>
    <t>11008 Smoken Gun Lane</t>
  </si>
  <si>
    <t>Thonotosassa</t>
  </si>
  <si>
    <t>Hillsborough</t>
  </si>
  <si>
    <t>Hillsborough County Sheriff's Office</t>
  </si>
  <si>
    <t>Julian Hoffman</t>
  </si>
  <si>
    <t>47 Cherrywood Cir</t>
  </si>
  <si>
    <t>Brick</t>
  </si>
  <si>
    <t>Ocean</t>
  </si>
  <si>
    <t>Brick Township Police Department</t>
  </si>
  <si>
    <t>Bobby Norris</t>
  </si>
  <si>
    <t>Archdale</t>
  </si>
  <si>
    <t>Guilford</t>
  </si>
  <si>
    <t>Archdale Police Department</t>
  </si>
  <si>
    <t>Richard Compo</t>
  </si>
  <si>
    <t>9400 Old Plank Rd</t>
  </si>
  <si>
    <t>Jacksonville</t>
  </si>
  <si>
    <t>Duval</t>
  </si>
  <si>
    <t>Jacksonville Sheriff's Office</t>
  </si>
  <si>
    <t>William Snider</t>
  </si>
  <si>
    <t>Las Vegas</t>
  </si>
  <si>
    <t>Christopher Tompkins</t>
  </si>
  <si>
    <t>County Road 1825</t>
  </si>
  <si>
    <t>Arab</t>
  </si>
  <si>
    <t>Marshall</t>
  </si>
  <si>
    <t>Arab Police Department</t>
  </si>
  <si>
    <t>Thaddeus Faison</t>
  </si>
  <si>
    <t>5th Ave &amp; 112th St</t>
  </si>
  <si>
    <t>Troy</t>
  </si>
  <si>
    <t>Rensselaer</t>
  </si>
  <si>
    <t>Troy Police Department</t>
  </si>
  <si>
    <t>David Schott Coleman</t>
  </si>
  <si>
    <t>County Road 293</t>
  </si>
  <si>
    <t>New Albany</t>
  </si>
  <si>
    <t>MS</t>
  </si>
  <si>
    <t>Union</t>
  </si>
  <si>
    <t>New Albany Police Department</t>
  </si>
  <si>
    <t>Adam Schneider</t>
  </si>
  <si>
    <t>Cohasset</t>
  </si>
  <si>
    <t>Itasca</t>
  </si>
  <si>
    <t>Kenneth Morgan</t>
  </si>
  <si>
    <t>King George</t>
  </si>
  <si>
    <t>King George County Sheriff's Office</t>
  </si>
  <si>
    <t>Jason Alderman</t>
  </si>
  <si>
    <t>Bakersfield</t>
  </si>
  <si>
    <t>Kern</t>
  </si>
  <si>
    <t>Bakersfield Police Department</t>
  </si>
  <si>
    <t>Nicholas Garner</t>
  </si>
  <si>
    <t>Wichita</t>
  </si>
  <si>
    <t>Sedgwick</t>
  </si>
  <si>
    <t>Wichita Police Department</t>
  </si>
  <si>
    <t>N 101st St &amp; E Bayview Dr</t>
  </si>
  <si>
    <t>Scottsdale</t>
  </si>
  <si>
    <t>Alan Rushton</t>
  </si>
  <si>
    <t>Wake Forest</t>
  </si>
  <si>
    <t>Wake</t>
  </si>
  <si>
    <t>Wake Forest Police Department</t>
  </si>
  <si>
    <t>Charles Hall</t>
  </si>
  <si>
    <t>North East</t>
  </si>
  <si>
    <t>Cecil</t>
  </si>
  <si>
    <t>Maryland State Police</t>
  </si>
  <si>
    <t>Timmy Walling</t>
  </si>
  <si>
    <t>Grapeview</t>
  </si>
  <si>
    <t>Mason</t>
  </si>
  <si>
    <t>Mason County Sheriff's Office</t>
  </si>
  <si>
    <t>Raul Herrera III</t>
  </si>
  <si>
    <t>Tyler Gerken</t>
  </si>
  <si>
    <t>Fair Ave</t>
  </si>
  <si>
    <t>Beverly</t>
  </si>
  <si>
    <t>Jeffory Tevis</t>
  </si>
  <si>
    <t>Tuscaloosa</t>
  </si>
  <si>
    <t>Tuscaloosa Police Department</t>
  </si>
  <si>
    <t>Mansur Ball-Bey</t>
  </si>
  <si>
    <t>1243 Walton Ave</t>
  </si>
  <si>
    <t>St. Louis</t>
  </si>
  <si>
    <t>According to early reports from police, officers were searching a residence when two suspects exited and one, Ball-Bey, pointed a weapon at officers. An autopsy later showed that Ball-Bey died from a gunshot wound in his back, police said. An attorney for Ball-Bey's family maintains that the teen was unarmed at the time of the shooting. Officials said the other man fled and remains at large, and that they recovered guns and cocaine from the scene. Ball-Bey's death sparked protests in St Louis.</t>
  </si>
  <si>
    <t>Deviere Ransom</t>
  </si>
  <si>
    <t>Jason Hale</t>
  </si>
  <si>
    <t>Hunters</t>
  </si>
  <si>
    <t>Stevens</t>
  </si>
  <si>
    <t>Stevens County Sheriff's Office</t>
  </si>
  <si>
    <t>Wade Baker</t>
  </si>
  <si>
    <t>2501 Stamey Cove Rd</t>
  </si>
  <si>
    <t>Waynesville</t>
  </si>
  <si>
    <t>Haywood</t>
  </si>
  <si>
    <t>Frederick Roy</t>
  </si>
  <si>
    <t>4204 Hoffman St</t>
  </si>
  <si>
    <t>Houston</t>
  </si>
  <si>
    <t>Houston Police Department</t>
  </si>
  <si>
    <t>http://www.chron.com/houston/article/Officer-involved-shooting-in-Northeast-Houston-6449062.php</t>
  </si>
  <si>
    <t>Richard Jacquez</t>
  </si>
  <si>
    <t>San Jose Police Department</t>
  </si>
  <si>
    <t>Matthew Castillo</t>
  </si>
  <si>
    <t>Steven Norton</t>
  </si>
  <si>
    <t>1100 Linda Joy Dr</t>
  </si>
  <si>
    <t>Kerrville</t>
  </si>
  <si>
    <t>Kerr</t>
  </si>
  <si>
    <t>Kerrville Police Department</t>
  </si>
  <si>
    <t>Oscar Ruiz</t>
  </si>
  <si>
    <t>Irwindale</t>
  </si>
  <si>
    <t>John Unsworth</t>
  </si>
  <si>
    <t>Hanover</t>
  </si>
  <si>
    <t>Jefferson County IN Sheriff's Office</t>
  </si>
  <si>
    <t>Benjamin Ashley</t>
  </si>
  <si>
    <t>4467 US-395</t>
  </si>
  <si>
    <t>Inyokern</t>
  </si>
  <si>
    <t>Kern County Sheriff's Office</t>
  </si>
  <si>
    <t>Jonathon Pope</t>
  </si>
  <si>
    <t>4136 Montez Dr</t>
  </si>
  <si>
    <t>Carson City</t>
  </si>
  <si>
    <t>Carson City Sheriff's Office</t>
  </si>
  <si>
    <t>Garland Tyree</t>
  </si>
  <si>
    <t>15 Destiny Ct</t>
  </si>
  <si>
    <t>New York</t>
  </si>
  <si>
    <t>Tyree, alleged to be a leader in the Bloods gang, was shot after emerging from the basement at his home firing at officers with an AK47 at the end of a six-hour standoff. The situation unfolded after US marshals arrived to serve Tyree a warrant for a parole violation. A firefighter responding after Tyree set off a smoke bomb was shot twice by the suspect in the lower body.</t>
  </si>
  <si>
    <t>http://www.silive.com/news/index.ssf/2015/08/im_coming_out_now_mama_suspect.html</t>
  </si>
  <si>
    <t>Asshams Manley</t>
  </si>
  <si>
    <t>District Heights</t>
  </si>
  <si>
    <t>Prince George's County Police Department</t>
  </si>
  <si>
    <t>Hector Gonzalez</t>
  </si>
  <si>
    <t>711 River Rd</t>
  </si>
  <si>
    <t>Boerne</t>
  </si>
  <si>
    <t>Kendall</t>
  </si>
  <si>
    <t>Boerne Police Department</t>
  </si>
  <si>
    <t>Christopher Anderson</t>
  </si>
  <si>
    <t>US-44 and US-6</t>
  </si>
  <si>
    <t>Bolton</t>
  </si>
  <si>
    <t>Tolland</t>
  </si>
  <si>
    <t>Allen Baker III</t>
  </si>
  <si>
    <t>Sunnyvale</t>
  </si>
  <si>
    <t>Sunnyvale Police Department</t>
  </si>
  <si>
    <t>Nathaniel Wilks</t>
  </si>
  <si>
    <t>Reginald Marshall</t>
  </si>
  <si>
    <t>Toledo</t>
  </si>
  <si>
    <t>Lucas</t>
  </si>
  <si>
    <t>Toledo Police Department</t>
  </si>
  <si>
    <t>Redel Jones</t>
  </si>
  <si>
    <t>Marlton Avenue and Santo Tomas Drive</t>
  </si>
  <si>
    <t>The woman allegedly robbed a pharmacy at knifepoint and was killed nearby when officers attempted to detain her. Police said a Taser was delployed during the incident.</t>
  </si>
  <si>
    <t>Anthony Vallejo</t>
  </si>
  <si>
    <t>Hemet</t>
  </si>
  <si>
    <t>Riverside</t>
  </si>
  <si>
    <t>Riverside County Sheriff's Department</t>
  </si>
  <si>
    <t>William Smith</t>
  </si>
  <si>
    <t>Lea</t>
  </si>
  <si>
    <t>Casey Alarcon</t>
  </si>
  <si>
    <t>1000 Ruth Ave</t>
  </si>
  <si>
    <t>Sandpoint</t>
  </si>
  <si>
    <t>ID</t>
  </si>
  <si>
    <t>Bonner</t>
  </si>
  <si>
    <t>Roger Shull Jr</t>
  </si>
  <si>
    <t>3838 Andrews Hwy</t>
  </si>
  <si>
    <t>Odessa</t>
  </si>
  <si>
    <t>Ector</t>
  </si>
  <si>
    <t>Randall Hughes</t>
  </si>
  <si>
    <t>3801 N 19th St</t>
  </si>
  <si>
    <t>Waco</t>
  </si>
  <si>
    <t>McLennan</t>
  </si>
  <si>
    <t>Waco Police Department</t>
  </si>
  <si>
    <t>Andre Green</t>
  </si>
  <si>
    <t>Green was driving a vehicle that had been reported stolen in a carjacking earlier in the day. Police said Green rammed a police car and then tried to hit officers with the vehicle and was shot. According to police, Green then got out of the vehicle holding a handgun and collapsed.</t>
  </si>
  <si>
    <t>http://www.indystar.com/story/news/crime/2015/08/10/carjacking-suspect-dead-officer-involved-shooting/31398827/</t>
  </si>
  <si>
    <t>Richard Young</t>
  </si>
  <si>
    <t>Gilbert</t>
  </si>
  <si>
    <t>Gilbert Police Department</t>
  </si>
  <si>
    <t>Edrian Rivera</t>
  </si>
  <si>
    <t>San Antonio Ave and Packing Pl</t>
  </si>
  <si>
    <t>Robert Quinn</t>
  </si>
  <si>
    <t>Pittston</t>
  </si>
  <si>
    <t>Luzerne</t>
  </si>
  <si>
    <t>Pittston Police Department</t>
  </si>
  <si>
    <t>Eric Tompkins</t>
  </si>
  <si>
    <t>1000 Bailey St SE</t>
  </si>
  <si>
    <t>Ardmore</t>
  </si>
  <si>
    <t>Carter</t>
  </si>
  <si>
    <t>Ardmore Police Department</t>
  </si>
  <si>
    <t>Shamir Palmer</t>
  </si>
  <si>
    <t>Schultz Lake Rd</t>
  </si>
  <si>
    <t>Summerville</t>
  </si>
  <si>
    <t>Dorchester</t>
  </si>
  <si>
    <t>Dorchester County Sheriff's Office</t>
  </si>
  <si>
    <t>Tsombe Clark</t>
  </si>
  <si>
    <t>426 E Arlington Blvd</t>
  </si>
  <si>
    <t>Pitt</t>
  </si>
  <si>
    <t>Greenville Police Department</t>
  </si>
  <si>
    <t>http://wnct.com/2015/08/08/officer-involved-shooting-at-buffalo-wild-wings/</t>
  </si>
  <si>
    <t>Roderick Burr</t>
  </si>
  <si>
    <t>Brookshire</t>
  </si>
  <si>
    <t>Waller</t>
  </si>
  <si>
    <t>Brookshire Police Department</t>
  </si>
  <si>
    <t>Jeffery Wilkes</t>
  </si>
  <si>
    <t>Gastonia</t>
  </si>
  <si>
    <t>Gaston</t>
  </si>
  <si>
    <t>Gaston County Police Department</t>
  </si>
  <si>
    <t>Kevin McDaniel</t>
  </si>
  <si>
    <t>Spokane</t>
  </si>
  <si>
    <t>Spokane Police Department</t>
  </si>
  <si>
    <t>Derrick Hunt</t>
  </si>
  <si>
    <t>3200 E Artesia Blvd</t>
  </si>
  <si>
    <t>Christian Taylor</t>
  </si>
  <si>
    <t>Arlington</t>
  </si>
  <si>
    <t>Arlington Police Department</t>
  </si>
  <si>
    <t>Abel Correa</t>
  </si>
  <si>
    <t>6900 Berkshire Pl</t>
  </si>
  <si>
    <t>Matthew Russo</t>
  </si>
  <si>
    <t>38 Kelsey St</t>
  </si>
  <si>
    <t>Hartford</t>
  </si>
  <si>
    <t>Hartford Police Department</t>
  </si>
  <si>
    <t>Aaron Marchese</t>
  </si>
  <si>
    <t>Mark Keckhafer</t>
  </si>
  <si>
    <t>Superior</t>
  </si>
  <si>
    <t>MT</t>
  </si>
  <si>
    <t>Mineral</t>
  </si>
  <si>
    <t>Charles Bertram</t>
  </si>
  <si>
    <t>El Paso</t>
  </si>
  <si>
    <t>El Paso Police Department</t>
  </si>
  <si>
    <t>http://www.elpasotimes.com/news/ci_28636541/el-paso-police-id-man-killed-officer-involved</t>
  </si>
  <si>
    <t>Troy Robinson</t>
  </si>
  <si>
    <t>DeKalb</t>
  </si>
  <si>
    <t>DeKalb County Police Department</t>
  </si>
  <si>
    <t>Gustavo Ponce-Galon</t>
  </si>
  <si>
    <t>159 Seneca Trail</t>
  </si>
  <si>
    <t>Elsmere</t>
  </si>
  <si>
    <t>Kenton</t>
  </si>
  <si>
    <t>Elsmere Police Department</t>
  </si>
  <si>
    <t>Raymond Hodge</t>
  </si>
  <si>
    <t>Kahului</t>
  </si>
  <si>
    <t>HI</t>
  </si>
  <si>
    <t>Maui</t>
  </si>
  <si>
    <t>Maui Police Department</t>
  </si>
  <si>
    <t>Keshawn Hargrove</t>
  </si>
  <si>
    <t>Richmond</t>
  </si>
  <si>
    <t>Richmond Police Department</t>
  </si>
  <si>
    <t>Vincente Montano</t>
  </si>
  <si>
    <t>901 Bell Rd</t>
  </si>
  <si>
    <t>Antioch</t>
  </si>
  <si>
    <t>Davidson</t>
  </si>
  <si>
    <t>Metropolitan Nashville Police Department</t>
  </si>
  <si>
    <t>Jason Galaviz</t>
  </si>
  <si>
    <t>Tacoma</t>
  </si>
  <si>
    <t>Pierce</t>
  </si>
  <si>
    <t>Tacoma Police Department</t>
  </si>
  <si>
    <t>John Dieringer</t>
  </si>
  <si>
    <t>Greenfield</t>
  </si>
  <si>
    <t>Milwaukee</t>
  </si>
  <si>
    <t>Greenfield Police Department</t>
  </si>
  <si>
    <t>Tyler Dattilo</t>
  </si>
  <si>
    <t>Louisville</t>
  </si>
  <si>
    <t>Louisville Metro Police Department</t>
  </si>
  <si>
    <t>Daniel Avila</t>
  </si>
  <si>
    <t>Oceanside</t>
  </si>
  <si>
    <t>Antonio Clements</t>
  </si>
  <si>
    <t>Darius Graves</t>
  </si>
  <si>
    <t>Rantoul</t>
  </si>
  <si>
    <t>Champaign</t>
  </si>
  <si>
    <t>Champaign Police Department</t>
  </si>
  <si>
    <t>Joshua Malave</t>
  </si>
  <si>
    <t>2703 Horseshoe Pike</t>
  </si>
  <si>
    <t>Palmyra</t>
  </si>
  <si>
    <t>Lebanon</t>
  </si>
  <si>
    <t>South Londonderry Police Department</t>
  </si>
  <si>
    <t>Shawn Ruble</t>
  </si>
  <si>
    <t>Muncie</t>
  </si>
  <si>
    <t>Delaware</t>
  </si>
  <si>
    <t>Muncie Police Department</t>
  </si>
  <si>
    <t>Franklin Short</t>
  </si>
  <si>
    <t>Powhatan</t>
  </si>
  <si>
    <t>Virgil Reynolds</t>
  </si>
  <si>
    <t>Armando Serrano Jr</t>
  </si>
  <si>
    <t>N Stone Ave and W Prince Rd</t>
  </si>
  <si>
    <t>David Cook</t>
  </si>
  <si>
    <t>Nitro</t>
  </si>
  <si>
    <t>Kanawha</t>
  </si>
  <si>
    <t>Nitro Police Department</t>
  </si>
  <si>
    <t>Joseph Hutcheson</t>
  </si>
  <si>
    <t>111 W Commerce St.</t>
  </si>
  <si>
    <t>Dallas County Sheriff's Office</t>
  </si>
  <si>
    <t>Rafael Molina Jr.</t>
  </si>
  <si>
    <t>Interstate 25 and Avenida Cesar Chavez</t>
  </si>
  <si>
    <t>Albuquerque</t>
  </si>
  <si>
    <t>Molina reportedly shoved a woman into an SUV and drove away, prompting a car chase with police. When Molina was eventually stopped he got out of the car with a gun and failed to obey officers' commands, according to police. Police have not said if Molina fired the weapon before he was shot.</t>
  </si>
  <si>
    <t>Phillip Vallejo</t>
  </si>
  <si>
    <t>515 Houston St</t>
  </si>
  <si>
    <t>Fort Worth</t>
  </si>
  <si>
    <t>Fort Worth Police Department</t>
  </si>
  <si>
    <t>Vallejo was involved in an altercation with several other men and had a handgun, police said. Vallejo allegedly refused commands to drop the weapon, and the officer fired. Vallejo's wife, who was with him, said that he had no gun and that officers shot him in the back.</t>
  </si>
  <si>
    <t>Jeremy Hatch</t>
  </si>
  <si>
    <t>3000 North Main</t>
  </si>
  <si>
    <t>Roswell</t>
  </si>
  <si>
    <t>Chavez</t>
  </si>
  <si>
    <t>Roswell Police Department</t>
  </si>
  <si>
    <t>Hatch, along with two other men, was suspected of involvement in a narcotics deal. Hatch shot and injured an officer during an arrest operation and was then killed after multiple officers returned fire. The officer was released from hospital the same evening and the two other suspects were arrested.</t>
  </si>
  <si>
    <t>Mark Perkins</t>
  </si>
  <si>
    <t>Monument Peak Dr</t>
  </si>
  <si>
    <t>Gardnerville</t>
  </si>
  <si>
    <t>Douglas</t>
  </si>
  <si>
    <t>Douglas County Sherrif's Department</t>
  </si>
  <si>
    <t>Police said Perkins threatened to shoot his wife, a neighbor and a police officer and was armed with several weapons. According to authorities, Perkins came out of his come and confronted the Swat and crisis negotiation units which had assembled, pointing 'several' weapons at them.</t>
  </si>
  <si>
    <t>Pacific Islander</t>
  </si>
  <si>
    <t>San Francisco</t>
  </si>
  <si>
    <t>San Francisco Police Department</t>
  </si>
  <si>
    <t>Wilmer Delgado-Soba</t>
  </si>
  <si>
    <t>3 May St</t>
  </si>
  <si>
    <t>Worcester</t>
  </si>
  <si>
    <t>Worcester Police Department</t>
  </si>
  <si>
    <t>Police were called to the scene of a car on its side with Kailing acting eradically, he allegedly charged them with a metal pipe, and a state trooper tried to stop him with a Taser. When the Taser was ineffective the trooper opened fire and killed Kailing.</t>
  </si>
  <si>
    <t>Ryan Daniel Vrenon</t>
  </si>
  <si>
    <t>Interstate 5 and Mott Airport Rd</t>
  </si>
  <si>
    <t>Mt. Shasta</t>
  </si>
  <si>
    <t>Siskiyou</t>
  </si>
  <si>
    <t>California Highway Patrol</t>
  </si>
  <si>
    <t>Vrenon was fatally shot after allegedly pulling a gun on officers who had pursued him for 16 miles on the highway. The 25-year-old, who came to a stop after driving over spike strips, had sped off after being approached by police as he sat stationary in his car on the highway shoulder.</t>
  </si>
  <si>
    <t>Lawrence Blackburn</t>
  </si>
  <si>
    <t>http://katc.images.worldnow.com/images/8422058_G.jpg</t>
  </si>
  <si>
    <t>4100 W Brookstown Dr</t>
  </si>
  <si>
    <t>East Baton Rouge Parish</t>
  </si>
  <si>
    <t>Buckley was allegedly drinking and acting suicidal when his wife called police for help. The 45-year-old was fatally shot by responding officers after pointing a BB gun at officers.</t>
  </si>
  <si>
    <t>Drug or alcohol use</t>
  </si>
  <si>
    <t>Oscar Lotari Romero</t>
  </si>
  <si>
    <t>12000 Rose Hedge Dr</t>
  </si>
  <si>
    <t>Whittier</t>
  </si>
  <si>
    <t>The man was allegedly drunk and damaging property when deputies arrived. Authorities say he grabbed a metal pipe and struck a deputy with it. In response, one deputy used a Taser on the man while another shot him.</t>
  </si>
  <si>
    <t>Michael Malone</t>
  </si>
  <si>
    <t>755 N Valley Dr</t>
  </si>
  <si>
    <t>Las Cruces</t>
  </si>
  <si>
    <t>Dona Ana</t>
  </si>
  <si>
    <t>Dona Ana County Sheriff's Office</t>
  </si>
  <si>
    <t>Police said they were attempting to arrest Malone at a motel on charges including aggravated assault with a deadly weapon. He tried to escape through a back window, according to authorities, and during a confrontation with officers outside he was shot and killed.</t>
  </si>
  <si>
    <t>Timothy Johnson</t>
  </si>
  <si>
    <t>601 AR-18</t>
  </si>
  <si>
    <t>Manila</t>
  </si>
  <si>
    <t>AR</t>
  </si>
  <si>
    <t>Mississippi</t>
  </si>
  <si>
    <t>Manila Police Department</t>
  </si>
  <si>
    <t>Johnson was allegedly brandishing a knife when officers arrived in response to a disturbance call. Authorities said Johnson advanced at the officer and refused commands to drop the weapon</t>
  </si>
  <si>
    <t>Allan White</t>
  </si>
  <si>
    <t>1400 Oak Tree Ln SE</t>
  </si>
  <si>
    <t>Cleveland</t>
  </si>
  <si>
    <t>Bradley</t>
  </si>
  <si>
    <t>Bradley County Sheriff's Department</t>
  </si>
  <si>
    <t>White was allegedly hiding behind a vehicle when deputy Tiffany Oakley returned to her home on her night shift lunch break, and ran out towards her and attacked. The sheriff said Oakley attempted to subdue White with a Taser before shooting him.</t>
  </si>
  <si>
    <t>Roger Barker</t>
  </si>
  <si>
    <t>346 N 200 E</t>
  </si>
  <si>
    <t>Logan</t>
  </si>
  <si>
    <t>Cache</t>
  </si>
  <si>
    <t>Logan Police Department</t>
  </si>
  <si>
    <t>Barker allegedly shot at police from his porch, prompting them to return fire. Officers were responding to reports that he was suicidal. Authorities said a Swat team and negotiators were deployed but Barker, armed with a handgun, continued threatening officers.</t>
  </si>
  <si>
    <t>Samuel Forgy</t>
  </si>
  <si>
    <t>1841 19th St</t>
  </si>
  <si>
    <t>Boulder</t>
  </si>
  <si>
    <t>Boulder Police Department</t>
  </si>
  <si>
    <t>Someone called 911 and said the man was high on LSD and had attacked residents with a knife. Officers said they found Forgy in a stairwell as they approached the apartment. One officer fired a Taser, but Forgy didn't stop, police said. Another officer shot him, hitting and killing Forgy.</t>
  </si>
  <si>
    <t>Jean Paul Falgout</t>
  </si>
  <si>
    <t>E Woodlawn Ranch Rd</t>
  </si>
  <si>
    <t>Houma</t>
  </si>
  <si>
    <t>Terrebonne</t>
  </si>
  <si>
    <t>Terrebonne Parish Sheriff's Office, Houma Police Department, Louisiana State Police</t>
  </si>
  <si>
    <t>Falgout, who was wanted for theft, was shot by eight officers after getting out of his vehicle and pointing a BB gun at them at the end of a car chase. Authorities described his actions as suicide by cop. The incident was captured by a surveillance camera.</t>
  </si>
  <si>
    <t>Timothy Milliken</t>
  </si>
  <si>
    <t>100 E Selwood Ln</t>
  </si>
  <si>
    <t>Lexington</t>
  </si>
  <si>
    <t>Lexington County Sheriff's Department</t>
  </si>
  <si>
    <t>Deputies were responding to a report that Milliken was attacking a family member. Authorities said the deputies feared for the family member's life and fired at the man.</t>
  </si>
  <si>
    <t>Unreported</t>
  </si>
  <si>
    <t>Khari Westly</t>
  </si>
  <si>
    <t>http://www.killedbypolice.net/victims/150663.jpg</t>
  </si>
  <si>
    <t>3200 Exposition Ave</t>
  </si>
  <si>
    <t>Caddo Parish</t>
  </si>
  <si>
    <t>Police said Westly was fatally shot after firing at officers who were responding to a report that a woman and one other person were being held hostage. Westly tried to escape on foot, according to authorities, but was captured and died from his injuries.</t>
  </si>
  <si>
    <t>Zachary Hammond</t>
  </si>
  <si>
    <t>1003 By Pass 123</t>
  </si>
  <si>
    <t>Seneca</t>
  </si>
  <si>
    <t>Oconee</t>
  </si>
  <si>
    <t>Seneca Police Department</t>
  </si>
  <si>
    <t>Earl Jackson</t>
  </si>
  <si>
    <t>I-75</t>
  </si>
  <si>
    <t>Micanopy</t>
  </si>
  <si>
    <t>Alachua</t>
  </si>
  <si>
    <t>Florida Highway Patrol</t>
  </si>
  <si>
    <t>Police said officers were checking on a car parked on the side of the interstate when Jackson shot at police and fled into the woods. A brief manhunt ensued and authorities say shots were exchanged before Jackson was killed.</t>
  </si>
  <si>
    <t>Brian Day</t>
  </si>
  <si>
    <t>http://www.killedbypolice.net/victims/150662.jpg</t>
  </si>
  <si>
    <t>3040 E Charleston Blvd</t>
  </si>
  <si>
    <t>After speaking to police who were investigating a beating of one of his neighbors, Day allegedly went into his apartment and returned with a pellet gun, which he used to shoot and injure one of the officers. Two officers returned fire and fatally wounded him, according to authorities.</t>
  </si>
  <si>
    <t>Roger Braswell</t>
  </si>
  <si>
    <t>998 Yates Spring Rd</t>
  </si>
  <si>
    <t>Brinson</t>
  </si>
  <si>
    <t>Decatur</t>
  </si>
  <si>
    <t>Decatur County Sheriff's Office</t>
  </si>
  <si>
    <t>Braswell emerged from his house firing at deputies who were responding to a report that he threatened to kill himself, according to authorities. The deputies were said to have spent hours trying to negotiate with Braswell.</t>
  </si>
  <si>
    <t>Christopher Olmstead</t>
  </si>
  <si>
    <t>Caffin Ave and Chartres St</t>
  </si>
  <si>
    <t>New Orleans</t>
  </si>
  <si>
    <t>New Orleans Police Department</t>
  </si>
  <si>
    <t>Witnesses said Olmstead was shot dead by police when he got out of his truck and charged towards officers after smashing into vehicles and buildings. One observer said he was carrying a gun but police did not immediately confirm this.</t>
  </si>
  <si>
    <t>Lee Gerston</t>
  </si>
  <si>
    <t>Mill St</t>
  </si>
  <si>
    <t>Pinnacle</t>
  </si>
  <si>
    <t>Stokes</t>
  </si>
  <si>
    <t>Stokes County Sheriff's Department</t>
  </si>
  <si>
    <t>After crashing his car near a closed bridge, Esty-Lennon was fatally shot by officers after allegedly lunging at them with a knife.</t>
  </si>
  <si>
    <t>Seth Raines</t>
  </si>
  <si>
    <t>12185 Ventura Blvd</t>
  </si>
  <si>
    <t>Studio City</t>
  </si>
  <si>
    <t>Police were called because of a man shooting a gun. Raines was fatally shot when he allegedly raised his weapon as police ordered him to drop it. He had fired shots into the air and the ground, according to authorities, prompting people to flee nearby shops and buildings.</t>
  </si>
  <si>
    <t>Dontae Martin</t>
  </si>
  <si>
    <t>318 Springbrook Blvd</t>
  </si>
  <si>
    <t>Dayton</t>
  </si>
  <si>
    <t>Montgomery</t>
  </si>
  <si>
    <t>Martin struck a parked vehicle while driving. When deputies arrived on the scene, authorities said, he got out of his vehicle displaying a handgun.</t>
  </si>
  <si>
    <t>Orlando</t>
  </si>
  <si>
    <t>Orange</t>
  </si>
  <si>
    <t>Orlando Police Department</t>
  </si>
  <si>
    <t>Tamala Satre</t>
  </si>
  <si>
    <t>Crystal Ln</t>
  </si>
  <si>
    <t>Meadow Vista</t>
  </si>
  <si>
    <t>Placer</t>
  </si>
  <si>
    <t>Placer County Sheriff's Office</t>
  </si>
  <si>
    <t>Satre allegedly pulled out a handgun when deputies asked her to show them her hands. Police had arrived after learning that a woman at the address had posted suicidal statements on Facebook.</t>
  </si>
  <si>
    <t>Derek Wolfsteller</t>
  </si>
  <si>
    <t>14420 N 28th Pl</t>
  </si>
  <si>
    <t>Plymouth</t>
  </si>
  <si>
    <t>Hennepin</t>
  </si>
  <si>
    <t>Plymouth Police Department</t>
  </si>
  <si>
    <t>Officers reported that they pursued Booth because he'd stolen a car, and when he fled on foot, he started shooting at officers. An officer returned fire, killing Booth. Booth had struggled with drug use in the past.</t>
  </si>
  <si>
    <t>Brian Stortzum</t>
  </si>
  <si>
    <t>650 W Flintlake Ct</t>
  </si>
  <si>
    <t>Myrtle Beach</t>
  </si>
  <si>
    <t>Horry</t>
  </si>
  <si>
    <t>Horry County Police Department</t>
  </si>
  <si>
    <t>Authorities said Stortzum was threatening a woman and three girls with a gun, and it's believed that one or more of the girls escaped the apartment where the incident ocurred to call 911. When police arrived he allegedly refused commands to drop the weapon, and was fatally shot.</t>
  </si>
  <si>
    <t>Robbie Edison</t>
  </si>
  <si>
    <t>Anderson Dairy Rd</t>
  </si>
  <si>
    <t>WY</t>
  </si>
  <si>
    <t>Converse</t>
  </si>
  <si>
    <t>Converse County Sheriff's Office</t>
  </si>
  <si>
    <t>Texarkana</t>
  </si>
  <si>
    <t>Texarkana Police Department</t>
  </si>
  <si>
    <t>Andre Williams</t>
  </si>
  <si>
    <t>1300 NE 24th St</t>
  </si>
  <si>
    <t>Oklahoma City</t>
  </si>
  <si>
    <t>Oklahoma</t>
  </si>
  <si>
    <t>Oklahoma City Police Department</t>
  </si>
  <si>
    <t>Police came to a home to investigate a rape and found Williams hiding under a bed. He came out with a knife. They tasered him twice and then shot him.</t>
  </si>
  <si>
    <t>Devon Guisherd</t>
  </si>
  <si>
    <t>800 Riverside Dr</t>
  </si>
  <si>
    <t>Philadelphia</t>
  </si>
  <si>
    <t>Philadelphia Police Department</t>
  </si>
  <si>
    <t>Guisherd shot a police officer in the chest during an arrest attempt. The officer then returned fire, according to police. Guisherd was wanted over the murder of a 25-year-old woman in 2014. The officer was later taken to hospital.</t>
  </si>
  <si>
    <t>1000 12th St</t>
  </si>
  <si>
    <t>Monroe</t>
  </si>
  <si>
    <t>Green</t>
  </si>
  <si>
    <t>Green County Sheriff's Department</t>
  </si>
  <si>
    <t>Monroe police say they received a call about a shooting at a trailer park. When they arrived they found one person fatally shot another person who had also been shot but was still alive. Police say the suspect was found about 15 minutes later on 12th Street. Police say he pointed a gun at him so they shot and killed him.</t>
  </si>
  <si>
    <t>Macomb</t>
  </si>
  <si>
    <t>Wolfsteller was allegedly causing a disturbance inside an Arby's restaurant when police arrived. Authorities said Wolfsteller and an officer scuffled, and that at some point the officer removed her weapon and shot the man, reportedly in the head.</t>
  </si>
  <si>
    <t>Darren Wilson</t>
  </si>
  <si>
    <t>538 Spring Place Rd NE</t>
  </si>
  <si>
    <t>NE White</t>
  </si>
  <si>
    <t>Bartow</t>
  </si>
  <si>
    <t>Bartow County Sheriff's Office</t>
  </si>
  <si>
    <t>Darren Billy Wilson, 47, was shot after deputies responded to a call on Mansfield Road in White, according to the Georgia Bureau of Investigation. When the two deputies arrived, Wilson reportedly charged one of the deputies while wielding a large stick and yelling threats. The second deputy shot Wilson, killing him. Neither deputy was injured.</t>
  </si>
  <si>
    <t>Joseph Fuller</t>
  </si>
  <si>
    <t>1300 NE 50th Ct</t>
  </si>
  <si>
    <t>Oakland Park</t>
  </si>
  <si>
    <t>Broward</t>
  </si>
  <si>
    <t>Fuller allegedly refused to get out of his vehicle and reached for a firearm between his legs, according to police. He had been spotted earlier in the day and fled from a deputy. Fuller was wanted for parole violation and traffic violations, according to police.</t>
  </si>
  <si>
    <t>Jerrod Tyre</t>
  </si>
  <si>
    <t>114 Briar Branch Dr</t>
  </si>
  <si>
    <t>Jesup</t>
  </si>
  <si>
    <t>Wayne</t>
  </si>
  <si>
    <t>Tyre had reportedly fired shots into a wooded area near a residence police had initially visited on a domestic disturbance call. Tyre refused to drop the firearm as officers approached and then advanced on them, according to police.</t>
  </si>
  <si>
    <t>Heriberto Godinez Jr.</t>
  </si>
  <si>
    <t>3000 West Pershing Road</t>
  </si>
  <si>
    <t>Juan Adolfo Ibarra</t>
  </si>
  <si>
    <t>800 Northwest Mall</t>
  </si>
  <si>
    <t>A deputy who was off-duty and working security at a club intervened when a fight broke out between club patrons. A spokesman for the sheriff's office said that the deputy told a man with a semi-automatic handgun to drop the weapon, and the man instead turned towards the deputy, prompting him to fire.</t>
  </si>
  <si>
    <t>Troy Francis</t>
  </si>
  <si>
    <t>4700 Baffin Ave</t>
  </si>
  <si>
    <t>Fremont</t>
  </si>
  <si>
    <t>Fremont Police Department</t>
  </si>
  <si>
    <t>Stephen Brown</t>
  </si>
  <si>
    <t>1600 S Choctaw Rd</t>
  </si>
  <si>
    <t>Choctaw</t>
  </si>
  <si>
    <t>Midwest City Police Department</t>
  </si>
  <si>
    <t>An off-duty officer checking on his in-laws said he arrived to see the front door kicked open. The officer said when he entered he saw Brown carrying a firearm, and the officer shot and killed him.</t>
  </si>
  <si>
    <t>Joshua LeBoeuf</t>
  </si>
  <si>
    <t>1800 County Line Rd</t>
  </si>
  <si>
    <t>Winnie</t>
  </si>
  <si>
    <t>Chambers</t>
  </si>
  <si>
    <t>Chambers County Sheriff's Office</t>
  </si>
  <si>
    <t>Deputies were attempting to arrest LeBoeuf for violating a protective order when he allegedly got free, ran to his truck and retrieved a firearm. Authorities say LeBoeuf fired shots at the officers before they returned fire.</t>
  </si>
  <si>
    <t>Samuel Dubose</t>
  </si>
  <si>
    <t>http://media4.s-nbcnews.com/j/newscms/2015_31/1147206/dubose_attny_7_ec25ac755379c9eee2448d08cee21186.nbcnews-fp-360-360.jpg</t>
  </si>
  <si>
    <t>Rice St and Valencia St</t>
  </si>
  <si>
    <t>University of Cincinnati Police Department</t>
  </si>
  <si>
    <t>Charged</t>
  </si>
  <si>
    <t>Charged with a crime</t>
  </si>
  <si>
    <t>Estevan Andrade Gomez</t>
  </si>
  <si>
    <t>909 W Visalia Rd</t>
  </si>
  <si>
    <t>Farmersville</t>
  </si>
  <si>
    <t>Tulare</t>
  </si>
  <si>
    <t>Farmersville Police Department</t>
  </si>
  <si>
    <t>Authorities said they were attempting to book Gomez into custody when he began fighting with police and reached for an officer's weapon. Police said an officer attempted to use a Taser on Gomez but it had no effect, prompting officers to fire.</t>
  </si>
  <si>
    <t>Kevin Snyder</t>
  </si>
  <si>
    <t>W Morten Ave and N 42nd Ln</t>
  </si>
  <si>
    <t>Snyder took his ex-girlfriend hostage at gunpoint, according to police. The woman escaped after officers arrived and Snyder fled, according to police. He was discovered in the neighborhood and exchanged gunfire with officers before he was shot.</t>
  </si>
  <si>
    <t>David Wheat Jr</t>
  </si>
  <si>
    <t>1225 W Prospect Rd</t>
  </si>
  <si>
    <t>Fort Collins</t>
  </si>
  <si>
    <t>Wheat was allegedly assaulting a woman and making suicidal threats. He was shot 11 times after brandishing a knife, according to police, who also said the woman had been stabbed but sustained non-life threatening injuries.</t>
  </si>
  <si>
    <t>Charles Dewey</t>
  </si>
  <si>
    <t>500 E 5th St</t>
  </si>
  <si>
    <t>Colby</t>
  </si>
  <si>
    <t>Thomas</t>
  </si>
  <si>
    <t>Colby Police Department, Thomas County Sheriff's Office</t>
  </si>
  <si>
    <t>Police were dispatched to respond to reports that Dewey was armed and involved in a domestic disturbance. Dewey allegedly left the home on foot, hiding under a nearby camping trailer and firing at officers with a pistol when he was located.</t>
  </si>
  <si>
    <t>Troy Goode</t>
  </si>
  <si>
    <t>3400 Goodman Rd</t>
  </si>
  <si>
    <t>Olive Branch</t>
  </si>
  <si>
    <t>DeSoto</t>
  </si>
  <si>
    <t>Southaven Police Department</t>
  </si>
  <si>
    <t>Shatley was drunk and officers were called to his home by neighbors. When Shatley tried to flee in his car, dragging an officer, the other officers shot him to death. Officers had been called to his residence 89 times since 2010.</t>
  </si>
  <si>
    <t>Albert Davis</t>
  </si>
  <si>
    <t>http://www.killedbypolice.net/victims/150630.jpg</t>
  </si>
  <si>
    <t>1637 Watauga Ave</t>
  </si>
  <si>
    <t>Davis was involved in a 'very, very violent' struggle with an officer, according to police. The officer had been called after reports of a fight in the area involving five men. The officer deployed his Taser and then fired his gun once, striking Davis. Davis later died in hospital.</t>
  </si>
  <si>
    <t>Darrius Stewart</t>
  </si>
  <si>
    <t>5799 Winchester Rd</t>
  </si>
  <si>
    <t>Memphis</t>
  </si>
  <si>
    <t>Shelby</t>
  </si>
  <si>
    <t>Memphis Police Department</t>
  </si>
  <si>
    <t>Stewart was traveling in a vehicle that was stopped by police for a broken headlight. Authorities said he was placed in the back of a patrol car, unhandcuffed, while officers ran his name. When the officers returned to handcuff Stewart and take him into custody for outstanding warrants, police said he became combative and struck an officer with the handcuffs. The officer then drew his gun and fired. Stewart's mother told local news that her son had never been arrested and that the warrants were for someone else with the same name.</t>
  </si>
  <si>
    <t>Jose Roman Rodriguez</t>
  </si>
  <si>
    <t>2400 W University Blvd</t>
  </si>
  <si>
    <t>Brownsville</t>
  </si>
  <si>
    <t>Cameron</t>
  </si>
  <si>
    <t>Brownsville Police Department</t>
  </si>
  <si>
    <t>It is believed that Rodriguez was a suspect in an aggravated robbery when he was fatally shot by an officer. However, police have not yet released any details on what led to the shooting.</t>
  </si>
  <si>
    <t>Jackie Brand</t>
  </si>
  <si>
    <t>4100 Needles Hwy</t>
  </si>
  <si>
    <t>Needles</t>
  </si>
  <si>
    <t>Brand was reported missing by friends who also said that he had made statements '"indicating he was intending to harm himself." Deputies said that when they located Brand he pointed a pistol at them.</t>
  </si>
  <si>
    <t>Samuel Smith</t>
  </si>
  <si>
    <t>NE 65th St</t>
  </si>
  <si>
    <t>Seattle</t>
  </si>
  <si>
    <t>King</t>
  </si>
  <si>
    <t>Seattle Police Department</t>
  </si>
  <si>
    <t>Smith had rammed a police crusier and was eventually located in a residential neighborhood, according to police. Dashboard camera footage shows Smith lunging at an officer before he was shot. A knife was recovered at the scene.</t>
  </si>
  <si>
    <t>Mohammad Abdulazeez</t>
  </si>
  <si>
    <t>4051 Amnicola Hwy</t>
  </si>
  <si>
    <t>Chattanooga</t>
  </si>
  <si>
    <t>Chattanooga Police Department</t>
  </si>
  <si>
    <t>Abdulazeez fired '50 to 60 rounds' at an armed services recruiting center, killing a navy sailor before driving to a naval reserve base and killing four US marines in an attack that is being investigated as an act of terrorism. Abdulazeez also injured two others, including a Chattanooga police sergeant, before being killed by police gunfire.</t>
  </si>
  <si>
    <t>Anthony Smith</t>
  </si>
  <si>
    <t>25001 Sunnymead Blvd</t>
  </si>
  <si>
    <t>Moreno Valley</t>
  </si>
  <si>
    <t>Moreno Valley Police Department</t>
  </si>
  <si>
    <t>Graham, who was wanted by police as a person of interest in the disappearance of his six-month-old daughter, was fatally shot by deputies who tracked a car he stole in a nearby town.</t>
  </si>
  <si>
    <t>Edward Foster</t>
  </si>
  <si>
    <t>SW 328th St &amp; Redland Rd</t>
  </si>
  <si>
    <t>Homestead</t>
  </si>
  <si>
    <t>Police said officers were responding to a call about a man with a gun near a construction site when they encountered Foster. According to authorities, 'a gun was brandished' and the officer opened fire.</t>
  </si>
  <si>
    <t>Antonio Gonzalez</t>
  </si>
  <si>
    <t>8500 Glencoe Cir</t>
  </si>
  <si>
    <t>Wauwatosa</t>
  </si>
  <si>
    <t>Wauwatosa Police Department</t>
  </si>
  <si>
    <t>Police were called when Gonzalez, who is believed to have an unspecified mental illness, allegedly became violent and brandished a sword. Police say he refused commands to drop the sword and officers opened fire.</t>
  </si>
  <si>
    <t>Saige Hack</t>
  </si>
  <si>
    <t>200 Stinson Ave</t>
  </si>
  <si>
    <t>Cheyenne</t>
  </si>
  <si>
    <t>Laramie</t>
  </si>
  <si>
    <t>Cheyenne Police Department</t>
  </si>
  <si>
    <t>Hack apparently barricaded himself with a firearm when officers responded to a call about a domestic disturbance. Authorities said Hack fired from the home at officers.</t>
  </si>
  <si>
    <t>Pierre Gabriel Koellner</t>
  </si>
  <si>
    <t>US-84</t>
  </si>
  <si>
    <t>Opp</t>
  </si>
  <si>
    <t>Covington</t>
  </si>
  <si>
    <t>Opp Police Department</t>
  </si>
  <si>
    <t>Koellner reportedly fled from officers after a highway crash involving two vehicles. He pulled a firearm and fired at officers, according to police. He was then shot, and died days later in hospital.</t>
  </si>
  <si>
    <t>Patrick Pippin</t>
  </si>
  <si>
    <t>Interstate 35 and Hwy 69</t>
  </si>
  <si>
    <t>After a car chase, the armed suspect left his vehicle and gunfire ensued.</t>
  </si>
  <si>
    <t>Jason Davis</t>
  </si>
  <si>
    <t>600 Rose Ave</t>
  </si>
  <si>
    <t>Police were called because a man was brandishing a knife at a coffee shop. When they approached him, he refused to drop the knife and “began to aggressively approach the officers,” police said. After tasering him, they shot and killed him.</t>
  </si>
  <si>
    <t>Eugene Kailing</t>
  </si>
  <si>
    <t>M-115 &amp; 20 Mile Rd</t>
  </si>
  <si>
    <t>Osceola</t>
  </si>
  <si>
    <t>Chacarion Avant</t>
  </si>
  <si>
    <t>2300 Taylor St</t>
  </si>
  <si>
    <t>Mascotte</t>
  </si>
  <si>
    <t>Lake</t>
  </si>
  <si>
    <t>Lake County Sheriff's Office</t>
  </si>
  <si>
    <t>Avant and another man participated in an attempted armed home robbery when police arrived. A deputy fatally shot Avant after he exited the house and pointed an assault rifle at deputies.</t>
  </si>
  <si>
    <t>Charles Crandall</t>
  </si>
  <si>
    <t>Phalanx Mills Herner Rd</t>
  </si>
  <si>
    <t>Southington</t>
  </si>
  <si>
    <t>Trumbull</t>
  </si>
  <si>
    <t>Trumbull County Sheriff's Office</t>
  </si>
  <si>
    <t>Police were called to Crandall's home on reports that he had shot at his neighbor, when they arrived they knocked on the door, and Crandall shot at them. Police returned fire, and Crandall was killed.</t>
  </si>
  <si>
    <t>Waller County Sheriff's Office</t>
  </si>
  <si>
    <t>Rafael Suazo</t>
  </si>
  <si>
    <t>54 Jefferson St</t>
  </si>
  <si>
    <t>Lynn</t>
  </si>
  <si>
    <t>Lynn Police Department</t>
  </si>
  <si>
    <t>Delgado-Soba was shocked with a Taser after allegedly charging at police in a grocery store. Officers had been called when Delgado-Soba entered the store shirtless and began knocking items of shelves, according to police, who stressed that he was given several verbal warnings.</t>
  </si>
  <si>
    <t>Henderson</t>
  </si>
  <si>
    <t>Henderson County Sheriff's Office</t>
  </si>
  <si>
    <t>Deputies opened fire on Gerston when he emerged wielding weapons from a house where he had staged a standoff for more than two hours, according to authorities. He allegedly fled there after robbing a nearby salon and stabbing another man.</t>
  </si>
  <si>
    <t>Matthew Graham</t>
  </si>
  <si>
    <t>Katherine St</t>
  </si>
  <si>
    <t>Dunsmuir</t>
  </si>
  <si>
    <t>Siskiyou County Sheriff's Office, Shasta County Sheriff's Office</t>
  </si>
  <si>
    <t>Deputies responding to calls that Maine was threatening family members found the 31-year-old perched atop a truck with a shotgun pointed toward his head. A deputy fatally fired at Maine after he re-positioned the gun.</t>
  </si>
  <si>
    <t>Columbus</t>
  </si>
  <si>
    <t>Franklin</t>
  </si>
  <si>
    <t>Franklin County Sheriff's Office</t>
  </si>
  <si>
    <t>Salvado Ellswood</t>
  </si>
  <si>
    <t>320 S State Road 7</t>
  </si>
  <si>
    <t>Plantation</t>
  </si>
  <si>
    <t>Plantation Police Department</t>
  </si>
  <si>
    <t>Ellswood, who was released from prison less than a month earlier and was homeless, allegedly struck an officer and shook off a Taser before an officer fatally shot the 36-year-old.</t>
  </si>
  <si>
    <t>Paul Castaway</t>
  </si>
  <si>
    <t>4501 W Kentucky Ave</t>
  </si>
  <si>
    <t>Denver</t>
  </si>
  <si>
    <t>Denver Police Department</t>
  </si>
  <si>
    <t>Castaway, who had battled schizophrenia for several years, was fatally shot by police after allegedly running at officers with a knife. Castaway's family disputed the official account, and several anti-police brutality rallies were held in the wake of the shooting.</t>
  </si>
  <si>
    <t>Frederick Farmer</t>
  </si>
  <si>
    <t>5130 E Ponce De Leon Ave</t>
  </si>
  <si>
    <t>Stone Mountain</t>
  </si>
  <si>
    <t>Dekalb</t>
  </si>
  <si>
    <t>Officers responding to 911 calls of gunfire at a Stone Mountain apartment complex arrived to Farmer openly shooting at responding officers. He struck one officer multiple times, who returned fire and killed the 20-year-old gunman.</t>
  </si>
  <si>
    <t>Matthew Watson</t>
  </si>
  <si>
    <t>116 Lathrop Ave</t>
  </si>
  <si>
    <t>River Forest</t>
  </si>
  <si>
    <t>River Forest Police Department</t>
  </si>
  <si>
    <t>Watson seriously injured his mother and killed her boyfriend with a shotgun before police arrived. Watson fired at officers and struck two before being gunned down.</t>
  </si>
  <si>
    <t>David Lepine</t>
  </si>
  <si>
    <t>9400 Claxton Dr</t>
  </si>
  <si>
    <t>Austin</t>
  </si>
  <si>
    <t>Travis</t>
  </si>
  <si>
    <t>Austin Police Department</t>
  </si>
  <si>
    <t>Austin police fatally shot Lepine after he ran from officers and appeared to try and pull out a weapon. A woman reported that the man was following her to her vehicle, and police noticed blood on Lepine's clothes when first contacting him.</t>
  </si>
  <si>
    <t>Christopher Benton</t>
  </si>
  <si>
    <t>1654 Kit Carson Ave</t>
  </si>
  <si>
    <t>Casper</t>
  </si>
  <si>
    <t>Natrona</t>
  </si>
  <si>
    <t>Casper Police Department</t>
  </si>
  <si>
    <t>Police serving a warrant for controlled substance trafficking and illegal possession of a firearm fatally shot Benton after the 27-year-old acted in a "hostile" fashion to responding officers.</t>
  </si>
  <si>
    <t>George Mann</t>
  </si>
  <si>
    <t>5100 Rock Pl Dr SW</t>
  </si>
  <si>
    <t>Gwinnett</t>
  </si>
  <si>
    <t>Gwinnett County Police Department</t>
  </si>
  <si>
    <t>Police were called to a Stone Mountain home after a caller said Mann was irate, possibly armed and locked in a garage. Officers attempted to negotiate with Mann before tasing him. The 35-year-old became unresponsive and pronounced dead at a nearby hospital.</t>
  </si>
  <si>
    <t>Billy Maine</t>
  </si>
  <si>
    <t>1600 9th Ave</t>
  </si>
  <si>
    <t>Olivehurst</t>
  </si>
  <si>
    <t>Yuba</t>
  </si>
  <si>
    <t>Yuba County Sheriff's Department</t>
  </si>
  <si>
    <t>Freddie Blue</t>
  </si>
  <si>
    <t>Brown Bridge Rd and Charleston Pl</t>
  </si>
  <si>
    <t>Newton</t>
  </si>
  <si>
    <t>Newton County Sheriff's Office</t>
  </si>
  <si>
    <t>James Todora</t>
  </si>
  <si>
    <t>5600 W Sahara Ave</t>
  </si>
  <si>
    <t>An officer stopped Todora due to a broken tail light on his car, and engaged in a fatal gunfight after Todora began shooting at officers. The 54-year-old was going through a messy domestic dispute, which police say aggravated the man.</t>
  </si>
  <si>
    <t>Martice Milliner</t>
  </si>
  <si>
    <t>7500 S Langley Ave</t>
  </si>
  <si>
    <t>Officers responding to reports of a man with a gun attempted to subdue Milliner by grabbing him by the collar as he walked away from police. The 27-year-old then attempted to pull out a handgun and was fatally shot by officers.</t>
  </si>
  <si>
    <t>Javon Hawkins</t>
  </si>
  <si>
    <t>Blenheim Park</t>
  </si>
  <si>
    <t>Jonathan Sanders was in a buggy pulled by horses in Stonewall when Officer Kevin Herrington pulled up behind him. The lights apparently spooked the horses and Sanders was trying to calm them when Herrington allegedly choked Sanders with a flashlight (some reports state that the PD denies the flashlight involvement).</t>
  </si>
  <si>
    <t xml:space="preserve">Pending investigation </t>
  </si>
  <si>
    <t>Neil Peter White</t>
  </si>
  <si>
    <t>800 S Sycamore Ave</t>
  </si>
  <si>
    <t>Officers responding to reports of vandalism fatally shot a 38-year-old man who was breaking storefront windows with a skateboard after struggling with officers and taking control of a police Taser.</t>
  </si>
  <si>
    <t>Robert Hammonds</t>
  </si>
  <si>
    <t>N 19th Ave and W Cactus Rd</t>
  </si>
  <si>
    <t>Officers reported that they pursued Hammonds because he was driving a stolen car, he then fled on foot. Officers claimed that Hammonds pointed a weapon at them while fleeing, and they shot him to death.</t>
  </si>
  <si>
    <t>Cyrus Hurtado</t>
  </si>
  <si>
    <t>15215 Fern Ave</t>
  </si>
  <si>
    <t>Boulder Creek</t>
  </si>
  <si>
    <t>Santa Cruz</t>
  </si>
  <si>
    <t>Santa Cruz County Sheriff's Office</t>
  </si>
  <si>
    <t>A deputy fatally shot Hurtado after the 17-year-old attacked his grandfather with a martial arts club and pointed a rifle at responding deputies. Family members said Hurtado suffered from mental illness.</t>
  </si>
  <si>
    <t>Rocco Palmisano III</t>
  </si>
  <si>
    <t>200 S and 800 W</t>
  </si>
  <si>
    <t>Parowan</t>
  </si>
  <si>
    <t>Iron</t>
  </si>
  <si>
    <t>Parowan Police Department</t>
  </si>
  <si>
    <t>An officer responding to a 911 call alleging Palmisano to be hitting a child fatally shot the 50-year-old after he pointed a handgun at the responding officer.</t>
  </si>
  <si>
    <t>Jonathan Sanders</t>
  </si>
  <si>
    <t>Stonewall</t>
  </si>
  <si>
    <t>Clarke</t>
  </si>
  <si>
    <t>Stonewall Police Department</t>
  </si>
  <si>
    <t>Troy Goode died after reportedly being hogtied and telling officers he was having trouble breathing due to asthma.</t>
  </si>
  <si>
    <t>Dallas Shatley</t>
  </si>
  <si>
    <t>Shatley Springs Rd</t>
  </si>
  <si>
    <t>Crumpler</t>
  </si>
  <si>
    <t>Ashe</t>
  </si>
  <si>
    <t>Ashe County Sheriff's Office</t>
  </si>
  <si>
    <t>Michael Westrich</t>
  </si>
  <si>
    <t>10405 SW Denney Rd</t>
  </si>
  <si>
    <t>Beaverton Police Department</t>
  </si>
  <si>
    <t>Neighbors reported hearing a man screaming inside the home of Westrich saying that someone was trying to break his arm. When officers arrived they said that Westrich shot at them, and they returned fire killing him. Another man at the scene was not charged. Westrich had been arrested in the past for driving on intoxicants, and suffered from bipolar disorder and PTSD.</t>
  </si>
  <si>
    <t>Marcellus Burley</t>
  </si>
  <si>
    <t>1200 Tiny Tree Dr</t>
  </si>
  <si>
    <t>Missouri City</t>
  </si>
  <si>
    <t>Fort Bend</t>
  </si>
  <si>
    <t>Burley and two accomplices attempted to rob a woman at a nearby gas station before police picked up the trio's car and pursued them to a Missouri City home. Officers fatally shot Burley and wounded the two others after they refused to listen to police commands.</t>
  </si>
  <si>
    <t>Daniel Hernandez Jr</t>
  </si>
  <si>
    <t>5201 Monitor St</t>
  </si>
  <si>
    <t>Police responding to reports of shots fired in a Bakersfield park arrived to find Hernandez firing a gun at traveling cars, and fatally shot the 47-year-old.</t>
  </si>
  <si>
    <t>Jose Graciano Lopez</t>
  </si>
  <si>
    <t>4000 Lopez Dr</t>
  </si>
  <si>
    <t>Edinburg</t>
  </si>
  <si>
    <t>Hidalgo</t>
  </si>
  <si>
    <t>Hidalgo County Sheriff's Office</t>
  </si>
  <si>
    <t>The Sheriff's Office reported that Lopez had been involved in a domestic dispute, had barricaded himself in a home, and threatened to kill himself. They also reported that he shot at them, and then they shot him to death.</t>
  </si>
  <si>
    <t>Tremaine Dantzler</t>
  </si>
  <si>
    <t>405 N Pennsylvania Ave</t>
  </si>
  <si>
    <t>Atlantic City</t>
  </si>
  <si>
    <t>Atlantic</t>
  </si>
  <si>
    <t>Atlantic City Police Department</t>
  </si>
  <si>
    <t>An officer fatally shot Dantzler as the 37-year-old attempted to flee a grocery store after stabbing a clerk, and refused to drop a knife after officers told him to lower the weapon.</t>
  </si>
  <si>
    <t>Josh Blough</t>
  </si>
  <si>
    <t>1 Fontaine Dr</t>
  </si>
  <si>
    <t>Elizabethtown</t>
  </si>
  <si>
    <t>Hardin</t>
  </si>
  <si>
    <t>Officers fatally shot Blough after pulling the 28-year-old over during a traffic stop and observed him acting erratic and aggressive while armed with a knife.</t>
  </si>
  <si>
    <t>Nicholas Booth</t>
  </si>
  <si>
    <t>4301 N River Blvd</t>
  </si>
  <si>
    <t>Sugar Creek</t>
  </si>
  <si>
    <t>Independence Police Department</t>
  </si>
  <si>
    <t xml:space="preserve">Officer shot victim after being threatened with a sword. </t>
  </si>
  <si>
    <t>Joe Cody</t>
  </si>
  <si>
    <t>1100 N Bishop Ave</t>
  </si>
  <si>
    <t>Cody, a registered sex offender who was wanted in violation of his parole, was fatally shot by officers moving to arrest the 59-year-old after he pulled out a handgun.</t>
  </si>
  <si>
    <t>Jason Hendley</t>
  </si>
  <si>
    <t>13000 Gavina Ave</t>
  </si>
  <si>
    <t>Officers arriving to reports of a possible assault found Hendley leaving a residence covered in blood and armed with a knife, and was fatally shot by officers after approaching them and refusing to comply with orders to stop. Hendley had earlier fatally stabbed his mother's fiancee during an argument.</t>
  </si>
  <si>
    <t>David Sarabia</t>
  </si>
  <si>
    <t>Green Sands Ave and Augusta Ln</t>
  </si>
  <si>
    <t>Atwater</t>
  </si>
  <si>
    <t>Merced</t>
  </si>
  <si>
    <t>Atwater Police Department</t>
  </si>
  <si>
    <t>Sarabia led police on a high-speed chase while holding a domestic violence victim captive in his vehicle. Officers fatally shot the 27-year-old after his vehicle got a flat tire, leading leading Sarabia to attempt an escape before lunging at an officer with a knife.</t>
  </si>
  <si>
    <t>Adam Dujanovic</t>
  </si>
  <si>
    <t>400 E Vine Ave</t>
  </si>
  <si>
    <t>Mesa</t>
  </si>
  <si>
    <t>Mesa Police Department</t>
  </si>
  <si>
    <t>Dujanovic was acting strangely -- going up and down a number of these streets, knocking on people's doors and trying to get into their homes. When officers arrived at the scene, they say Dujanovic spotted them and grabbed a large metal rod from the back of a truck parked on the street. Then he approached the officer. Police officials say the officer told the suspect to put the rod down. When Dujanovic didn't comply, the officer opened fire, killing him.</t>
  </si>
  <si>
    <t>John Berry</t>
  </si>
  <si>
    <t>5500 Adenmoor Ave</t>
  </si>
  <si>
    <t>Lakewood</t>
  </si>
  <si>
    <t>Berry was allegedly acting strangely and off his medication when arriving police found him sitting in a BMW outside his home. The 31-year-old accelerated the vehicle into a patrol car and shook off attempts to non-fatally subdue him, until deputies fatally fired at Berry when he trapped a deputy between vehicles.</t>
  </si>
  <si>
    <t>Hagen Esty-Lennon</t>
  </si>
  <si>
    <t>10 Wild Ammonoosuc Rd</t>
  </si>
  <si>
    <t>Bath</t>
  </si>
  <si>
    <t>Grafton</t>
  </si>
  <si>
    <t>Haverhill Police Department</t>
  </si>
  <si>
    <t>Camacho called 911 with a suicidal propose, when the cops showed up he pointed at them with a gun. They shot and killed him.</t>
  </si>
  <si>
    <t>Tyler Rogers</t>
  </si>
  <si>
    <t>3300 SW 47th St</t>
  </si>
  <si>
    <t>Police responding to an auto burglary call found Rogers attempting to break into a car with a weapon, and the 20-year-old then fled on foot. Officers searching the area found him in a nearby backyard, and fatally shot Rogers when he pulled a weapon on officers.</t>
  </si>
  <si>
    <t>Shane Gormley</t>
  </si>
  <si>
    <t>24th St and D Ave</t>
  </si>
  <si>
    <t>Ogden</t>
  </si>
  <si>
    <t>Weber</t>
  </si>
  <si>
    <t>Utah State Highway Patrol</t>
  </si>
  <si>
    <t>Gormley, who was wanted by police due to an earlier car robbery, led police on a vehicle and foot chase before troopers tased the 30-year-old as he attempted to carjack another motorist. Gormley had several drugs in his system and died in a hospital several days later.</t>
  </si>
  <si>
    <t>Johnny Ray Anderson</t>
  </si>
  <si>
    <t>12200 216th St</t>
  </si>
  <si>
    <t>Hawaiian Gardens</t>
  </si>
  <si>
    <t>Officers responding to reports of a prowler found Anderson and his wife, Kathleen, trespassing in a backyard and fatally shot the 42-year-old after he allegedly went for the officer's gun. Hundreds of people later protested the shooting.</t>
  </si>
  <si>
    <t>John Deming Jr</t>
  </si>
  <si>
    <t>4321 1st St</t>
  </si>
  <si>
    <t>Pleasanton</t>
  </si>
  <si>
    <t>Pleasanton Police Department</t>
  </si>
  <si>
    <t>Officers responding to a robbery call early Sunday found Deming, who then attacked officers and shrugged off Taser attacks before an officer fatally shot the 19-year-old. Deming's family denied several aspects of the police report.</t>
  </si>
  <si>
    <t>Michael Holt</t>
  </si>
  <si>
    <t>700 San Jacinto Blvd</t>
  </si>
  <si>
    <t>Holt, a regular in Austin's startup community, fatally shot an older cabdriver and sprayed gunfire around the lobby of an Austin hotel before officers fatally shot him.</t>
  </si>
  <si>
    <t>Richard Munroe</t>
  </si>
  <si>
    <t>10600 Golden Quail Dr</t>
  </si>
  <si>
    <t>A "distraught" and "suicidal" Munroe called 911 early Sunday morning, but responding police found and shot the 25-year-old after he pulled a realistic BB gun on officers asking him to comply.</t>
  </si>
  <si>
    <t>Maximo Rabasa</t>
  </si>
  <si>
    <t>SW 1st St and SW 22nd Ave</t>
  </si>
  <si>
    <t>Clad only in boxer shorts and armed with a knife, Rabasa attempted to attack an officer before other responding police attempted to subdue him with a Taser. Rabasa, who suffered from mental illness, died of cardiac arrest at a nearby hospital.</t>
  </si>
  <si>
    <t>Robert Malone</t>
  </si>
  <si>
    <t>4100 SE 51st St</t>
  </si>
  <si>
    <t>Officers responding to reports of an armed man walking around a parking lot of an apartment complex found and pursued Malone into the building, where two officers opened fire when the 42-year-old pointed the weapon at police.</t>
  </si>
  <si>
    <t>Kawanza Beaty</t>
  </si>
  <si>
    <t>18th St and Peterson Pl</t>
  </si>
  <si>
    <t>Newport News</t>
  </si>
  <si>
    <t>no county (http://www.ask.com/geography/county-newport-news-va-b09f1918d6a5a4eb)</t>
  </si>
  <si>
    <t>Newport News Police Department</t>
  </si>
  <si>
    <t>Beatty resisted arrest, and police shot him when he pointed at the officer with an unloaded gun.</t>
  </si>
  <si>
    <t>1340 W Warm Springs Rd</t>
  </si>
  <si>
    <t>Henderson Police Department</t>
  </si>
  <si>
    <t>Bauer allegedly shot at passersby through a window in a Henderson hotel when police arrived and fatally shot the 36-year-old after he fired at responding officers.</t>
  </si>
  <si>
    <t>Michael Gaby</t>
  </si>
  <si>
    <t>1850 S Cumberland St</t>
  </si>
  <si>
    <t>Morristown</t>
  </si>
  <si>
    <t>Hamblen</t>
  </si>
  <si>
    <t>Morristown Police Department</t>
  </si>
  <si>
    <t>Police attempted to arrest Gaby after a routine traffic stop revealed he was wanted on several warrants, and fatally shot the 37-year-old after he drew a firearm on an officer.</t>
  </si>
  <si>
    <t>Arturo Lopez</t>
  </si>
  <si>
    <t>3100 W Ave K4</t>
  </si>
  <si>
    <t>Lancaster</t>
  </si>
  <si>
    <t>Nguyen tried to stab a deputy when they were trying to calm him down, and the police shot him.</t>
  </si>
  <si>
    <t>Cesar A. Limon Juarez</t>
  </si>
  <si>
    <t>700 Nogales St</t>
  </si>
  <si>
    <t>Rowland Heights</t>
  </si>
  <si>
    <t>West Covina Police Department</t>
  </si>
  <si>
    <t>Juarez stabbed his brother and ran away. When he was approached by the police, he tried to attack the police officer with the same kitchen knife. The officer shot and killed him</t>
  </si>
  <si>
    <t>Oscar Camacho</t>
  </si>
  <si>
    <t>Harrison Ave and Bergen Ave</t>
  </si>
  <si>
    <t>Camden</t>
  </si>
  <si>
    <t>Camden County Police Department</t>
  </si>
  <si>
    <t>Ton Nguyen</t>
  </si>
  <si>
    <t>14000 Via Fiesta</t>
  </si>
  <si>
    <t>Victo Larosa III</t>
  </si>
  <si>
    <t>3500 Beach Blvd</t>
  </si>
  <si>
    <t>Brian Johnson</t>
  </si>
  <si>
    <t>53 Buck Rub Trail</t>
  </si>
  <si>
    <t>Meadow Bridge</t>
  </si>
  <si>
    <t>Fayette</t>
  </si>
  <si>
    <t>Julian Joseph</t>
  </si>
  <si>
    <t>Meridian Ave and W 40th St</t>
  </si>
  <si>
    <t>Miami Beach</t>
  </si>
  <si>
    <t>Miami Beach Police Department</t>
  </si>
  <si>
    <t>Joseph was fatally shot by police in his apartment following a long standoff after the 40-year-old robbed a nearby bank.</t>
  </si>
  <si>
    <t>Douglas Buckley</t>
  </si>
  <si>
    <t>50 Thayer St</t>
  </si>
  <si>
    <t>Brockton</t>
  </si>
  <si>
    <t>Brockton Police Department</t>
  </si>
  <si>
    <t>An undercover police officer tried to detain Suazo after the 23-year-old was involved in a drug transaction. The officer fatally shot Suazo after he initially fled then tried to hit the officer with his vehicle.</t>
  </si>
  <si>
    <t>Kevin Judson</t>
  </si>
  <si>
    <t>OR-99W &amp; NE Doran Dr.</t>
  </si>
  <si>
    <t>McMinnville</t>
  </si>
  <si>
    <t>Yamhill</t>
  </si>
  <si>
    <t>Yamhill County Sheriff's Office</t>
  </si>
  <si>
    <t>A deputy fatally shot Judson after struggling with the 24-year-old after a traffic stop, and firing the fatal shots after Judson tried to drive off in the deputy's patrol car.</t>
  </si>
  <si>
    <t>Kaleb Landon</t>
  </si>
  <si>
    <t>Exit 71 of Interstate 5</t>
  </si>
  <si>
    <t>Wolf Creek</t>
  </si>
  <si>
    <t>Josephine</t>
  </si>
  <si>
    <t>Oregon State Police, ATF</t>
  </si>
  <si>
    <t>Police discovered a deceased woman's body in Landon's home in northern California, and fatally shot the 32-year-old after pursuing him over the Oregon border and after he collided with another vehicle.</t>
  </si>
  <si>
    <t>William Dale Jeffries</t>
  </si>
  <si>
    <t>Brown Avenue</t>
  </si>
  <si>
    <t>Weston</t>
  </si>
  <si>
    <t>Lewis</t>
  </si>
  <si>
    <t>Weston Police Department</t>
  </si>
  <si>
    <t>William Dale Jeffries died July 16, some 15 days after suffering a neck injury in a scuffle with officer Eric Riddle. Police were called to a disturbance involving Jeffries, who was believed to be drunk and reportedly urinating in public near a business. Riddle approached Jeffries and asked him to take a breathalyzer. Jeffries reportedly refused, leaned against the police cruiser, and resisted attempts by Riddle to subdue him. Jeffries hit his head on the cruiser, which was apparently when his neck snapped. Riddle was cleared.</t>
  </si>
  <si>
    <t>Clay Lickteig</t>
  </si>
  <si>
    <t>Woodland Hills Dr</t>
  </si>
  <si>
    <t>28734</t>
  </si>
  <si>
    <t>Macon</t>
  </si>
  <si>
    <t>Franklin Police Department</t>
  </si>
  <si>
    <t>Officers serving a felony arrest warrant confronted Lickteig in the driveway of his home, where the 52-year-old struggled with officers and fired at them before officers fatally shot him.</t>
  </si>
  <si>
    <t>Richard LaPort</t>
  </si>
  <si>
    <t>96 Fox Hill Rd</t>
  </si>
  <si>
    <t>Northville</t>
  </si>
  <si>
    <t>12134</t>
  </si>
  <si>
    <t>Fulton</t>
  </si>
  <si>
    <t>Saratoga County Sheriff's Office, New York State Police</t>
  </si>
  <si>
    <t>In what police described as "suicide by cop," LaPort fired at officers responding to a possible suicide call and was fatally struck by troopers and deputies returning fire.</t>
  </si>
  <si>
    <t>Alan Bellew</t>
  </si>
  <si>
    <t>1900 NE 122nd Ave</t>
  </si>
  <si>
    <t>Portland</t>
  </si>
  <si>
    <t>97230</t>
  </si>
  <si>
    <t>Multnomah</t>
  </si>
  <si>
    <t>Police responding to reports of a fight near a supermarket stopped and questioned Bellew in his car, along with two other passengers. Officers fatally shot the 29-year-old after he pulled a starter gun out of the car and pointed it at officers.</t>
  </si>
  <si>
    <t>Tampa</t>
  </si>
  <si>
    <t>33604</t>
  </si>
  <si>
    <t>Tampa Police Department</t>
  </si>
  <si>
    <t>Joshua Crittenden</t>
  </si>
  <si>
    <t>500 S Mission Ave</t>
  </si>
  <si>
    <t>Tahlequah</t>
  </si>
  <si>
    <t>74464</t>
  </si>
  <si>
    <t>Cherokee</t>
  </si>
  <si>
    <t>Tahlequah Police Department</t>
  </si>
  <si>
    <t>Crittenden and another man were shooting at each other when police arrived, leading the 35-year-old to seek refuge in an attic. An officer Crittenden after he emerged and pointed a gun at responding officers.</t>
  </si>
  <si>
    <t>Joe Cisneros</t>
  </si>
  <si>
    <t>7611 Marbach Rd</t>
  </si>
  <si>
    <t>78227</t>
  </si>
  <si>
    <t>Officers pulled Cisneros on a routine traffic stop, and pursued the 28-year-old as he ran from his vehicle. An undercover officer shot Cisneros after he dropped a firearm while climbing a fence and attempted to pick it up.</t>
  </si>
  <si>
    <t>Richard Matt</t>
  </si>
  <si>
    <t>Lake Titus</t>
  </si>
  <si>
    <t>Malone</t>
  </si>
  <si>
    <t>12953</t>
  </si>
  <si>
    <t>Federal law enforcement agents</t>
  </si>
  <si>
    <t>Matt and fellow prisoner David Sweat escaped from an upstate New York prison and led police on a month-long manhunt that ended when a Border Patrol agent shot the 49-year-old, who was armed with a stolen shotgun.</t>
  </si>
  <si>
    <t>Spencer McCain</t>
  </si>
  <si>
    <t>3000 Hunting Ridge Dr</t>
  </si>
  <si>
    <t>Owings Mills</t>
  </si>
  <si>
    <t>21117</t>
  </si>
  <si>
    <t>Baltimore</t>
  </si>
  <si>
    <t>Police responding to a domestic call early Thursday entered a condominium after hearing arguing inside and fatally shot McCain after he produced what officers believed was a gun. McCain was later found to be unarmed and died at a nearby hospital.</t>
  </si>
  <si>
    <t>Gilbert Vanderburgh</t>
  </si>
  <si>
    <t>49000 Hildreth Rd</t>
  </si>
  <si>
    <t>Friant</t>
  </si>
  <si>
    <t>93626</t>
  </si>
  <si>
    <t>Fresno County Sheriff's Office</t>
  </si>
  <si>
    <t>After a wanted fugitive entered Vanderburgh's house, deputies fatally shot the 61-year-old after he refused to let police in and pointed a rifle out of the window. Authorities were unable to find the fugitive directly after the shooting.</t>
  </si>
  <si>
    <t>Damien Harrell</t>
  </si>
  <si>
    <t>Fort Eustis Blvd</t>
  </si>
  <si>
    <t>Yorktown</t>
  </si>
  <si>
    <t>23692</t>
  </si>
  <si>
    <t>York</t>
  </si>
  <si>
    <t>York-Poquoson Sheriff's Office</t>
  </si>
  <si>
    <t>Deputies reported that they were investigating a traffic accident involving Harrell. Fifteen minutes into the interaction, he allegedly pulled a gun out, and was shot to death by a deputy. Harrell was wanted in a neighboring county, and deputies reported that he was giving them false names so as not to identify himself.</t>
  </si>
  <si>
    <t>Jonathan Wilson</t>
  </si>
  <si>
    <t>800 N Van Buren St</t>
  </si>
  <si>
    <t>Hutchinson</t>
  </si>
  <si>
    <t>67501</t>
  </si>
  <si>
    <t>Reno</t>
  </si>
  <si>
    <t>Hutchinson Police Department</t>
  </si>
  <si>
    <t>Officers reported that they attempted to calm Wilson but he threw a knife and other objects at them before they shot him to death. He was said to have confessed to a previous murder and holding children hostage by a neighbor.</t>
  </si>
  <si>
    <t>Joshua Dyer</t>
  </si>
  <si>
    <t>3800 N Tacoma Ave</t>
  </si>
  <si>
    <t>46218</t>
  </si>
  <si>
    <t>Officers approached a car in a parking lot driven by another man, with Dyer in the vehicle. Officers reported that the driver tried to back up quickly once officers brought the men to a stop in their car. Then, officers fired into the car, killing Dyer.</t>
  </si>
  <si>
    <t>Randall Waddel</t>
  </si>
  <si>
    <t>1811 S Main St</t>
  </si>
  <si>
    <t>Weatherford</t>
  </si>
  <si>
    <t>76086</t>
  </si>
  <si>
    <t>Parker</t>
  </si>
  <si>
    <t>Weatherford Police Department</t>
  </si>
  <si>
    <t>Witnesses called police when they saw Waddel acting strangely and after he had fallen down. Paramedics came to help Waddel, but he pulled a knife on them. He then walked inside of a business and had a confrontation with a man inside, at which point an officer shot him to death, and kicked the knife away. Waddel suffered from schizophrenia.</t>
  </si>
  <si>
    <t>Taylor Culbertson</t>
  </si>
  <si>
    <t>15556 Blondo St</t>
  </si>
  <si>
    <t>Omaha</t>
  </si>
  <si>
    <t>68116</t>
  </si>
  <si>
    <t>Douglas County Sheriff's Office</t>
  </si>
  <si>
    <t>Deputy Chad Miller ordered Culbertson out of his vehicle after Miller was told by a store clerk that Culbertson seemed to be intoxicated, authorities said. Culbertson pulled a gun, which went off as he and Miller struggled, they said. Deputy Wade Grim, who had arrived to back up Miller, then shot and killed Culbertson. Neither deputy was injured.</t>
  </si>
  <si>
    <t>Tyrone Harris</t>
  </si>
  <si>
    <t>700 Saw Mill Run Blvd</t>
  </si>
  <si>
    <t>Pittsburgh</t>
  </si>
  <si>
    <t>15226</t>
  </si>
  <si>
    <t>Allegheny</t>
  </si>
  <si>
    <t>Pittsburgh Police Department</t>
  </si>
  <si>
    <t>Officers said that Harris had fired shots in various parts of the city for about 30 minutes, before he was stuck in traffic in a stolen car and opened fire on police who were following him. They shot him to death in the subsequent shootout. Harris had past problems with drug use.</t>
  </si>
  <si>
    <t>Eduardo Reyes</t>
  </si>
  <si>
    <t>7500 Greenback Ln</t>
  </si>
  <si>
    <t>Citrus Heights</t>
  </si>
  <si>
    <t>95610</t>
  </si>
  <si>
    <t>Sacramento</t>
  </si>
  <si>
    <t>Citrus Heights Police Department</t>
  </si>
  <si>
    <t>Officers reported that they were responding to a domestic dispute, at which point Reyes allegedly fired at them from. Officers shot him to death. Reyes' wife was treated for having been allegedly beaten with Reyes' pistol.</t>
  </si>
  <si>
    <t>Tyler Wicks</t>
  </si>
  <si>
    <t>2600 Blueberry Cir</t>
  </si>
  <si>
    <t>Augusta</t>
  </si>
  <si>
    <t>30906</t>
  </si>
  <si>
    <t>Richmond County Sheriff's Office</t>
  </si>
  <si>
    <t>Deputies reported that they responded to a call about a man holding a gun, and when they ordered him several times to put the gun down, he refused and threatened to kill the deputies, and they shot him to death. He had been ordered in the past to attend drug counseling.</t>
  </si>
  <si>
    <t>James Barrett</t>
  </si>
  <si>
    <t>182 N River Ridge Rd</t>
  </si>
  <si>
    <t>Jonesville</t>
  </si>
  <si>
    <t>28642</t>
  </si>
  <si>
    <t>Yadkin</t>
  </si>
  <si>
    <t>Wilkes County Sheriff's Office</t>
  </si>
  <si>
    <t>Deputies exchanged gunfire with Barrett after responding to a domestic disturbance that led the 60-year-old to light a nearby house on fire. Barrett injured three people including a deputy before police fatally shot him.</t>
  </si>
  <si>
    <t>Homedale</t>
  </si>
  <si>
    <t>83628</t>
  </si>
  <si>
    <t>Owyhee</t>
  </si>
  <si>
    <t>Adrian Simental</t>
  </si>
  <si>
    <t>400 E Lee Dr</t>
  </si>
  <si>
    <t>Azusa</t>
  </si>
  <si>
    <t>91702</t>
  </si>
  <si>
    <t>Azusa Police Department</t>
  </si>
  <si>
    <t>Police responding to calls that Simental was acting bizarrely fatally shot the 24-year-old after he broke into a neighbor's house and, according to witnesses, verbally challenged police and told them to "shoot me."</t>
  </si>
  <si>
    <t>Charles Marshall</t>
  </si>
  <si>
    <t>910 Cypress Station Dr</t>
  </si>
  <si>
    <t>77090</t>
  </si>
  <si>
    <t>Deputies responding to a 911 call from Marshall's wife found the 49-year-old man intoxicated and was fatally shot after attempting to attack responding deputies with a power drill.</t>
  </si>
  <si>
    <t>Alfontish Cockerham</t>
  </si>
  <si>
    <t>E 71st St &amp; S Merrill Ave</t>
  </si>
  <si>
    <t>60649</t>
  </si>
  <si>
    <t>Officers began pursuing Cockerham on foot after responding to a call of a person with a gun. An officer fatally fired at the 23-year-old after he allegedly pointed a gun at the officer, but witnesses disputed the official police account.</t>
  </si>
  <si>
    <t>Kevin Bajoie</t>
  </si>
  <si>
    <t>9908 Ave C</t>
  </si>
  <si>
    <t>70807</t>
  </si>
  <si>
    <t>Baton Rouge Police Department</t>
  </si>
  <si>
    <t>Police responding to calls of two men fighting tased Bajoie after the 31-year-old tried to attack officers. Bajoie later died at a nearby hospital, and a coroner report showed that he had multiple illicit drugs in his system.</t>
  </si>
  <si>
    <t>Zamiel Kivon Crawford</t>
  </si>
  <si>
    <t>33.238760, -87.154784</t>
  </si>
  <si>
    <t>McCalla</t>
  </si>
  <si>
    <t>35111</t>
  </si>
  <si>
    <t>Jefferson County Sheriff's Office</t>
  </si>
  <si>
    <t>Trepierre Hummons</t>
  </si>
  <si>
    <t>5900 Roe St</t>
  </si>
  <si>
    <t>45227</t>
  </si>
  <si>
    <t>Hummons, who had earlier been charged with a sex crime, called 911 on himself and fatally shot the first responding officer before more officers arrived and fatally shot the 21-year-old.</t>
  </si>
  <si>
    <t>Santos Laboy</t>
  </si>
  <si>
    <t>Charles River Esplanade</t>
  </si>
  <si>
    <t>Boston</t>
  </si>
  <si>
    <t>02215</t>
  </si>
  <si>
    <t>Suffolk</t>
  </si>
  <si>
    <t>Police pursued Laboy after seeing the 44-year-old wielding a knife and discovering he was wanted on several warrants. Officers fatally fired at Laboy, who suffered from mental illness, after he made threatening motions at officers.</t>
  </si>
  <si>
    <t>Louis Atencio</t>
  </si>
  <si>
    <t>600 15th Ave Ct</t>
  </si>
  <si>
    <t>Greeley</t>
  </si>
  <si>
    <t>80631</t>
  </si>
  <si>
    <t>Weld</t>
  </si>
  <si>
    <t>Greeley Police Department</t>
  </si>
  <si>
    <t>Police fatally shot Atencio after responding to reports of a bloody woman calling for help, and fired at the 50-year-old after he refused to lower his gun.</t>
  </si>
  <si>
    <t>Oleg Tcherniak</t>
  </si>
  <si>
    <t>3150 Ocean Pkwy</t>
  </si>
  <si>
    <t>Brooklyn</t>
  </si>
  <si>
    <t>11235</t>
  </si>
  <si>
    <t>Kings</t>
  </si>
  <si>
    <t>After fighting with a store owner and 78-year-old woman, Tcherniak was fatally shot by a police officer after the 58-year-old slashed and injured the officer with a hunting knife.</t>
  </si>
  <si>
    <t>Joe Charboneau</t>
  </si>
  <si>
    <t>Fort Totten</t>
  </si>
  <si>
    <t>ND</t>
  </si>
  <si>
    <t>Benson</t>
  </si>
  <si>
    <t>Spirit Lake Tribal Police Department</t>
  </si>
  <si>
    <t>Tribal police fatally shot Charboneau on a Native American reservation during a late-night incident, though few details were released by police.</t>
  </si>
  <si>
    <t>Wendy Chappell</t>
  </si>
  <si>
    <t>exit 212 southbound exit ramp I-65</t>
  </si>
  <si>
    <t>Clanton</t>
  </si>
  <si>
    <t>35045</t>
  </si>
  <si>
    <t>Chilton</t>
  </si>
  <si>
    <t>Alabama Law Enforcement Agency</t>
  </si>
  <si>
    <t>A man approached an Alabama state trooper who was stationed at a construction zone on Interstate 65. He told the trooper that his wife threatened to shoot him. The trooper tried to stop the woman's vehicle, but she refused to pull over. Several other law enforcement agencies joined in. Authorities say the woman brandished a firearm during the chase. Officers put out "spike strips," and stopped her vehicle. After a brief standoff,troopers say the woman fired on officers, and officers returned fire. The woman was pronounced dead on the scene.</t>
  </si>
  <si>
    <t>Kenneth Lanphier</t>
  </si>
  <si>
    <t>Clearfork Dr</t>
  </si>
  <si>
    <t>88240</t>
  </si>
  <si>
    <t>Police responding to a call of a suicidal man fatally shot Lanphier after the 48-year-old opened fire with officers inside the home. A stray bullet fatally struck a neighbor, and police said evidence indicated that the bullet was fired from Lanphier's firearm.</t>
  </si>
  <si>
    <t>Vero Beach</t>
  </si>
  <si>
    <t>Indian River</t>
  </si>
  <si>
    <t>Indian River County Sheriff's Office</t>
  </si>
  <si>
    <t>Tamara Seidle</t>
  </si>
  <si>
    <t>1600 Sewall Ave</t>
  </si>
  <si>
    <t>Asbury Park</t>
  </si>
  <si>
    <t>07712</t>
  </si>
  <si>
    <t>Monmouth</t>
  </si>
  <si>
    <t>Neptune Police Department</t>
  </si>
  <si>
    <t>Seidle was fatally shot by her ex-husband and Neptune police officer Philip Seidle, who rammed his ex-wife's car with his own vehicle and fired several fatal rounds at her in front of the couple's 7-year-old daughter. Philip Seidle is being held on $2 million bail.</t>
  </si>
  <si>
    <t>Christopher DeLeon</t>
  </si>
  <si>
    <t>2800 S Mooney Blvd</t>
  </si>
  <si>
    <t>Visalia</t>
  </si>
  <si>
    <t>93277</t>
  </si>
  <si>
    <t>Visalia Police Department</t>
  </si>
  <si>
    <t>Officers responding to a trespassing and vandalism call fatally shot DeLeon after the 28-year-old left a vacant office building holding a weapon and refused to comply with police demands.</t>
  </si>
  <si>
    <t>Kris Jackson</t>
  </si>
  <si>
    <t>3800 Lake Tahoe Blvd</t>
  </si>
  <si>
    <t>South Lake Tahoe</t>
  </si>
  <si>
    <t>96150</t>
  </si>
  <si>
    <t>El Dorado</t>
  </si>
  <si>
    <t>South Lake Tahoe Police Department</t>
  </si>
  <si>
    <t>An officer responding to a domestic disturbance fatally fired at Jackson after seeing the 22-year-old man climb through a back window at a Lake Tahoe motel.</t>
  </si>
  <si>
    <t>Kenneth Garcia</t>
  </si>
  <si>
    <t>2800 Calariva Dr</t>
  </si>
  <si>
    <t>Stockton</t>
  </si>
  <si>
    <t>95204</t>
  </si>
  <si>
    <t>San Joaquin</t>
  </si>
  <si>
    <t>Stockton Police Department</t>
  </si>
  <si>
    <t>Garcia led police on a lengthy chase after officers observed him violently hitting his girlfriend, and attempted to hit responding police officers with his car before being fatally shot.</t>
  </si>
  <si>
    <t>Zane Terryn</t>
  </si>
  <si>
    <t>4455 King St</t>
  </si>
  <si>
    <t>Cocoa</t>
  </si>
  <si>
    <t>32926</t>
  </si>
  <si>
    <t>Brevard</t>
  </si>
  <si>
    <t>Terryn, who planned on traveling to Ohio with his 16-year-old girlfriend to commit suicide, was fatally shot after the 15-year-old opened fire and struck a responding trooper in the shoulder.</t>
  </si>
  <si>
    <t>Deng Manyoun</t>
  </si>
  <si>
    <t>S 4th St &amp; W Oak St</t>
  </si>
  <si>
    <t>40203</t>
  </si>
  <si>
    <t>Jefferson</t>
  </si>
  <si>
    <t>Surveillance video shows Blanford getting out of a squad car and talking to Manyoun, who appeared unsteady on his feet. Manyoun then walks out of the picture and re-emerges with a flagpole that he then swings at Blanford. The video shows Blanford firing his weapon, leading to Manyoun's death.</t>
  </si>
  <si>
    <t>Candace Blakley</t>
  </si>
  <si>
    <t>1900 Coulter Dr</t>
  </si>
  <si>
    <t>North Augusta</t>
  </si>
  <si>
    <t>29841</t>
  </si>
  <si>
    <t>Aiken</t>
  </si>
  <si>
    <t>Aiken County Sheriff's Office</t>
  </si>
  <si>
    <t>Matthew Jordan Blakley, an Aiken County deputy, was fired after what the sheriff's office says was an accidental shooting. Matthew Blakley was arrested on Sunday, charged with accidentally shooting and killing his wife, Candace Blakley.</t>
  </si>
  <si>
    <t>Indicted</t>
  </si>
  <si>
    <t>Clayton</t>
  </si>
  <si>
    <t>Clayton Police Department</t>
  </si>
  <si>
    <t>James Boulware</t>
  </si>
  <si>
    <t>121 S I-45 Service Rd</t>
  </si>
  <si>
    <t>Hutchins</t>
  </si>
  <si>
    <t>75141</t>
  </si>
  <si>
    <t>Boulware unleashed a barrage of gunfire on Dallas' police headquarters and planted explosives outside the building -- failing to wound anyone -- leading to a chase to a suburb that ended with SWAT officers killing him in his parked van at a Jack in the Box parking lot.</t>
  </si>
  <si>
    <t>Anthony Hodge</t>
  </si>
  <si>
    <t>2500 St Marys Ave</t>
  </si>
  <si>
    <t>Fort Wayne</t>
  </si>
  <si>
    <t>46808</t>
  </si>
  <si>
    <t>Allen</t>
  </si>
  <si>
    <t>Fort Wayne Police Department</t>
  </si>
  <si>
    <t>Shelly Lynn Haendiges</t>
  </si>
  <si>
    <t>1500 S Dixon Rd</t>
  </si>
  <si>
    <t>Kokomo</t>
  </si>
  <si>
    <t>46902</t>
  </si>
  <si>
    <t>Kokomo Police Department</t>
  </si>
  <si>
    <t>Officer Roy Smith responded to a call that the convenience store was being robbed by an armed woman. Smith arrived to find a woman pointing a gun at the store clerk, according to police. When Smith ordered Haendiges to drop the gun, she pointed it at him and he fired, hitting her twice.</t>
  </si>
  <si>
    <t>Charles Ziegler</t>
  </si>
  <si>
    <t>1347 Sample Rd</t>
  </si>
  <si>
    <t>Pompano Beach</t>
  </si>
  <si>
    <t>33064</t>
  </si>
  <si>
    <t>Ziegler was suspect of a bank robbery,cops found his car &amp; show up to his house, he pulled a revolver and officers react to the attack.</t>
  </si>
  <si>
    <t>Fritz Severe</t>
  </si>
  <si>
    <t>350 NW 13th St</t>
  </si>
  <si>
    <t>33136</t>
  </si>
  <si>
    <t xml:space="preserve">Severe was shot five times by an officer, who claimed that Severe was holding a metal pole. </t>
  </si>
  <si>
    <t>Mark Flores Jr</t>
  </si>
  <si>
    <t>6800 Honeyridge Ln</t>
  </si>
  <si>
    <t>78239</t>
  </si>
  <si>
    <t>Flores, who suffered from depression and schizophrenia, was fatally shot by police after firing a round at his father and firing several shots at responding officers.</t>
  </si>
  <si>
    <t>Raymond Peralta-lantigua</t>
  </si>
  <si>
    <t>185 Johnson Ave</t>
  </si>
  <si>
    <t>Hackensack</t>
  </si>
  <si>
    <t>07601</t>
  </si>
  <si>
    <t>Bergen</t>
  </si>
  <si>
    <t>Hackensack Police Department</t>
  </si>
  <si>
    <t>Officers reported they shot Peralta-lantigua after he attempted to attack them with a knife. His mother had called 911 after he hit her and she had locked herself in her bedroom. She said Peralta-lantigua was walking slowly towards officers with the knife, and that she told him in Spanish to drop the knife, but that he couldn't understand the officers' orders. Peralta-lantigua had drug problems and had sought mental help.</t>
  </si>
  <si>
    <t>Raymond Phillips</t>
  </si>
  <si>
    <t>1000 Bear Creek Pike</t>
  </si>
  <si>
    <t>38401</t>
  </si>
  <si>
    <t>Maury</t>
  </si>
  <si>
    <t>Columbia Police Department</t>
  </si>
  <si>
    <t>It's reported that Phillips was threatening suicide, and when officers stopped him while driving, he pointed a gun at them, at which point they shot him to death.</t>
  </si>
  <si>
    <t>Isiah Hampton</t>
  </si>
  <si>
    <t>2000 Valentine Ave</t>
  </si>
  <si>
    <t>Bronx</t>
  </si>
  <si>
    <t>10457</t>
  </si>
  <si>
    <t>Hampton was fatally shot by police during a hostage standoff in the apartment of the 19-year-old's ex-girlfriend. Police fired the fatal shots after Hampton put a gun to the woman's head.</t>
  </si>
  <si>
    <t>1700 Chase Ave</t>
  </si>
  <si>
    <t>45223</t>
  </si>
  <si>
    <t>Officers reported that they responded to a 911 call from a woman claiming that Hicks had threatened to break into her house to kill her. Officers also claim that Hicks pointed a rifle at them when they entered a house he'd fled into, before one officer shot him to death. However, witnesses at the scene said that Hicks was complying with officers' orders.</t>
  </si>
  <si>
    <t>Ross Anthony</t>
  </si>
  <si>
    <t>5400 N Jim Miller Rd</t>
  </si>
  <si>
    <t>75227</t>
  </si>
  <si>
    <t>Anthony was in the car when a cops ordered him to abandoned the car, "exhibiting erratic behavior" and was shot with the taser. He died at the hospital.</t>
  </si>
  <si>
    <t>Pending investigations</t>
  </si>
  <si>
    <t>Gregory Scott Hartley</t>
  </si>
  <si>
    <t>18000 Drum Heller Ln</t>
  </si>
  <si>
    <t>Tomball</t>
  </si>
  <si>
    <t>77377</t>
  </si>
  <si>
    <t>Montgomery County Sheriff's Office, Tomball Police Department</t>
  </si>
  <si>
    <t>After a chase that started with a report that the man was pointing a pistol-grip shotgun at drivers, Hartley drove into the neighborhood off Northpointe Boulevard and State Highway 249 with officers in pursuit. He reportedly was killed after ignoring officers' instructions to put down his weapon. He was reported wanted on a felony warrant out of Grime County.</t>
  </si>
  <si>
    <t>Urbandale Ave and Merle Hay Rd</t>
  </si>
  <si>
    <t>Des Moines</t>
  </si>
  <si>
    <t>50322</t>
  </si>
  <si>
    <t>Polk</t>
  </si>
  <si>
    <t>Des Moines Police Department</t>
  </si>
  <si>
    <t>Bolinger was persecuted by veteran police, he stopped the car and the police shot him. He didn't have a gun or resist.</t>
  </si>
  <si>
    <t>800 W Sandusky St</t>
  </si>
  <si>
    <t>Findlay</t>
  </si>
  <si>
    <t>45840</t>
  </si>
  <si>
    <t>Hancock</t>
  </si>
  <si>
    <t>Findlay Police Department</t>
  </si>
  <si>
    <t>Linhart was fatally shot by police during an early morning traffic stop after he struggled to get back in his car after being detained by officers.</t>
  </si>
  <si>
    <t>1514 S Harbor City Blvd</t>
  </si>
  <si>
    <t>Melbourne</t>
  </si>
  <si>
    <t>32901</t>
  </si>
  <si>
    <t>Melbourne Police Department</t>
  </si>
  <si>
    <t>Officers reported that they were pursuing McDaniel as he was suspected in several robberies. They claim that when he was unable to escape in his car, that he waived a gun, and the officers shot him to death.</t>
  </si>
  <si>
    <t>La Palma Ave and Helena St</t>
  </si>
  <si>
    <t>Anaheim</t>
  </si>
  <si>
    <t>92801</t>
  </si>
  <si>
    <t>Anaheim Police Department</t>
  </si>
  <si>
    <t>It's reported that Garcia had mental health issues and past drug issues as well. He allegedly pulled up behind an officer involved in a traffic stop, and moved towards the officer with a knife. Two officers fired multiple shots killing Garcia. It's not clear why Garcia carried out the actions that he did before his death.</t>
  </si>
  <si>
    <t>James Johnson</t>
  </si>
  <si>
    <t>Main St and 4th St</t>
  </si>
  <si>
    <t>Beech Grove</t>
  </si>
  <si>
    <t>46107</t>
  </si>
  <si>
    <t>Beech Grove Police Department</t>
  </si>
  <si>
    <t>Johnson was fatally shot by responding officers after approaching them with a firearm and saying "shoot me." Neighbors told media outlets that the 54-year-old had a history of mental illness.</t>
  </si>
  <si>
    <t>Richard Warolf</t>
  </si>
  <si>
    <t>9205 W Hutton Dr</t>
  </si>
  <si>
    <t>Sun City</t>
  </si>
  <si>
    <t>85351</t>
  </si>
  <si>
    <t>Maricopa County Sheriff's Office</t>
  </si>
  <si>
    <t>Deputies got a 911 call from a woman who had left the house saying her husband was suicidal and texting relatives he was going to kill himself. The woman told deputies he had been drinking and had several weapons inside the home. Authorities say the 911 dispatcher asked the man to come out and he said, "If anybody got any closer to him there would be a shootout." After three hours, the man came out of the home and pointed his gun at deputies at which point shots were fired.</t>
  </si>
  <si>
    <t>2263 Loring Pl</t>
  </si>
  <si>
    <t>10468</t>
  </si>
  <si>
    <t>Ocasio died after being tased by officers responding to a call from the 51-year-old man's girlfriend, who told police that Ocasio was acting erratic and high on drugs.</t>
  </si>
  <si>
    <t>James Smillie</t>
  </si>
  <si>
    <t>3300 Mola St</t>
  </si>
  <si>
    <t>North Port</t>
  </si>
  <si>
    <t>34287</t>
  </si>
  <si>
    <t>Sarasota</t>
  </si>
  <si>
    <t>North Port Police Department</t>
  </si>
  <si>
    <t>Smillie was fatally shot by police after the 53-year-old reached into his shorts during a standoff with police. Smillie's wife had earlier reported a domestic disturbance and told police that her husband was extremely intoxicated at the time of the shooting.</t>
  </si>
  <si>
    <t>Gene Marshall</t>
  </si>
  <si>
    <t>727 3rd St</t>
  </si>
  <si>
    <t>Woodland</t>
  </si>
  <si>
    <t>Cowlitz</t>
  </si>
  <si>
    <t>Woodland Police Department</t>
  </si>
  <si>
    <t>Police said Marshall was fatally shot after approaching an officer while armed with a handgun. The officer had been dispatched to deal with a call reporting that Marshall was threatening to kill himself and his wife, according to authorities.</t>
  </si>
  <si>
    <t>Lakeshore Ave and Lake Park Ave</t>
  </si>
  <si>
    <t>94610</t>
  </si>
  <si>
    <t>Hogg was unconscious in his car, investigations are open to determine why the police officers opened fire.</t>
  </si>
  <si>
    <t>Atlanta</t>
  </si>
  <si>
    <t>Exit 310 of I-70</t>
  </si>
  <si>
    <t>Strasburg</t>
  </si>
  <si>
    <t>80136</t>
  </si>
  <si>
    <t>Adams</t>
  </si>
  <si>
    <t>Arapahoe County Sheriff's Office</t>
  </si>
  <si>
    <t>Ramirez had a record as a sex offender and after being chased by the police on Interstate 70 he resisted the arrest and responded with gunfire.</t>
  </si>
  <si>
    <t>Porter Dr and San Juan Rd</t>
  </si>
  <si>
    <t>Pajaro</t>
  </si>
  <si>
    <t>95076</t>
  </si>
  <si>
    <t>Watsonville Police Department</t>
  </si>
  <si>
    <t>Fernandez was wanted for robbing homeless people. When police arrived, he made a run for it. Shots were exchanged. He hit an officer, and was shot and killed. The officer survived.</t>
  </si>
  <si>
    <t>Christie L. Cathers</t>
  </si>
  <si>
    <t>Finch Rd</t>
  </si>
  <si>
    <t>Morgantown</t>
  </si>
  <si>
    <t>26508</t>
  </si>
  <si>
    <t>Monongalia</t>
  </si>
  <si>
    <t>Monongalia County Sheriff's Department</t>
  </si>
  <si>
    <t>Cathers tried to run over a deputy, and they shot into the vehicle several times.</t>
  </si>
  <si>
    <t>Joe Nevels</t>
  </si>
  <si>
    <t>2601 Midland Dr</t>
  </si>
  <si>
    <t>Midland</t>
  </si>
  <si>
    <t>79707</t>
  </si>
  <si>
    <t>Midland Police Department</t>
  </si>
  <si>
    <t>Nevels was fatally shot by police behind a Midland liquor store after charging at officers with a box cutter. The officers were cleared of any wrongdoing following an internal investigation.</t>
  </si>
  <si>
    <t>Andrew Ellerbe</t>
  </si>
  <si>
    <t>6919 Rising Sun Ave</t>
  </si>
  <si>
    <t>19111</t>
  </si>
  <si>
    <t>Ellerbee was shot and killed by police after allegedly firing blank rounds at an off-duty officer during a robbery attempt at a pizza parlor.</t>
  </si>
  <si>
    <t>Jesus Quezada Gomez</t>
  </si>
  <si>
    <t>300 W Williams St</t>
  </si>
  <si>
    <t>Santa Maria</t>
  </si>
  <si>
    <t>93458</t>
  </si>
  <si>
    <t>Santa Barbara</t>
  </si>
  <si>
    <t>Santa Maria Police Department</t>
  </si>
  <si>
    <t>Gomez was fatally shot by police responding to a domestic disturbance call after the 50-year-old exchanged gunfire with officers. Police later announced that they found a deceased woman with multiple stab wounds inside Gomez's home.</t>
  </si>
  <si>
    <t>19013</t>
  </si>
  <si>
    <t>Chester Police Department</t>
  </si>
  <si>
    <t>Lorenzo Garza Jr.</t>
  </si>
  <si>
    <t>2324 Algehro Dr</t>
  </si>
  <si>
    <t>Delano</t>
  </si>
  <si>
    <t>93215</t>
  </si>
  <si>
    <t>Delano Police Department</t>
  </si>
  <si>
    <t>Officers responding to reports of criminal threats and a drive-by shooting pursued and exchanged gunfire with Garza, who lead police on a short car chase before being fatally shot.</t>
  </si>
  <si>
    <t>5 S Hazel St</t>
  </si>
  <si>
    <t>Los Lunas</t>
  </si>
  <si>
    <t>87031</t>
  </si>
  <si>
    <t>Valencia</t>
  </si>
  <si>
    <t>Valencia County Sheriff's Department</t>
  </si>
  <si>
    <t>His mother called the police because her son was drinking too much, when the cops showed, he opened fired against them.</t>
  </si>
  <si>
    <t>Miguel A. Martinez</t>
  </si>
  <si>
    <t>FM329 and Cherry St</t>
  </si>
  <si>
    <t>Waxahachie</t>
  </si>
  <si>
    <t>76041</t>
  </si>
  <si>
    <t>Ellis</t>
  </si>
  <si>
    <t>Miguel Martinez stole a police SUV from an officer who arrested him and his brother, Daniel Dankert. Authorities pursued. A negotiator asked Martinez to stop the car over the police radio. He did. Both threatened suicide. A shot was fired inside the vehicle. Martinez exited the vehicle, pointing a gun at deputies. They fatally shot him. Dankert also died, killed either by his brother or himself.</t>
  </si>
  <si>
    <t>Edelmiro Hernandez</t>
  </si>
  <si>
    <t>11799 Featherwood Dr</t>
  </si>
  <si>
    <t>77034</t>
  </si>
  <si>
    <t xml:space="preserve">Officers reported that Hernandez was a suspected car burglar, and that when confronted in his SUV, he wouldn't come out of the vehicle. After a 20-minute standoff, the officers sent in the dog, and they said Hernandez tried to hurt the dog with a knife, at which point the officers shot Hernandez to death. </t>
  </si>
  <si>
    <t>Ronald Neal</t>
  </si>
  <si>
    <t>Laurel Trail</t>
  </si>
  <si>
    <t>Byram Township</t>
  </si>
  <si>
    <t>07821</t>
  </si>
  <si>
    <t>Sussex</t>
  </si>
  <si>
    <t>Byram Police Department</t>
  </si>
  <si>
    <t>It's reported that Neal exited his home telling officers to shoot him, while he pointed a shot gun at them. The officers were responding to a call from a neighbor reported that they heard a gun shot.</t>
  </si>
  <si>
    <t>100 Lamplighter Ct</t>
  </si>
  <si>
    <t>Azle</t>
  </si>
  <si>
    <t>76020</t>
  </si>
  <si>
    <t>Tarrant County Sheriff's Office</t>
  </si>
  <si>
    <t xml:space="preserve">Azle police called for backup when two people fled a domestic disturbance bleeding and a third . According to the Tarrant County Sheriff's Office, deputy Christen Jarvis entered the residence and ordered Jarvis, stabbing a woman, to drop his knife. When he did not, Jarvis fatally shot Dajani. It was the deputy's first use of lethal force. </t>
  </si>
  <si>
    <t>4600 Washington St</t>
  </si>
  <si>
    <t>Roslindale</t>
  </si>
  <si>
    <t>02131</t>
  </si>
  <si>
    <t>Shot after lunging at FBI agent and police officer with knife.</t>
  </si>
  <si>
    <t>271 Greece Ridge Center Dr</t>
  </si>
  <si>
    <t>Rochester</t>
  </si>
  <si>
    <t>14626</t>
  </si>
  <si>
    <t>Greece Police Department</t>
  </si>
  <si>
    <t xml:space="preserve">Officer Eric Hughes pulled over a vehicle driven by Ladd's girlfriend because Ladd, her passenger, fit the description of a suicidal man. The vehicle drove away during the stop, dragging Hughes about 70 feet. Hughes used a stun gun at some point and fatally shot Ladd after he reached in his waistband for a semiautomatic pistol. </t>
  </si>
  <si>
    <t>2225 Texas Hwy 256 Loop</t>
  </si>
  <si>
    <t>Palestine</t>
  </si>
  <si>
    <t>75801</t>
  </si>
  <si>
    <t>Palestine Police Department</t>
  </si>
  <si>
    <t>Officers arrested Bushey at an Applebee's bathroom in connection with a robbery. They did not use handcuffs. When Bushey broke away from them and reached for a BB gun, they shot and killed him.</t>
  </si>
  <si>
    <t>Richard Gregory Davis</t>
  </si>
  <si>
    <t>https://pbs.twimg.com/media/CGY25hgVIAEMsLm.png</t>
  </si>
  <si>
    <t>Tremont St and Morgan St</t>
  </si>
  <si>
    <t>14611</t>
  </si>
  <si>
    <t>Rochester Police Department</t>
  </si>
  <si>
    <t>Davis drove into a truck and a church before leaving his vehicle. Police and firefighters confronted Davis, who returned to his vehicle and locked himself inside, ignoring orders. He then left his vehicle and rushed at responders. Officer Thomas Frye shot him with a stun gun. Davis, whose brother said he had a breathing problem, died at Strong Memorial Hospital.</t>
  </si>
  <si>
    <t>James Morris</t>
  </si>
  <si>
    <t>Juanipero Way and La Loma Dr</t>
  </si>
  <si>
    <t>Medford</t>
  </si>
  <si>
    <t>97504</t>
  </si>
  <si>
    <t>Medford Police Department</t>
  </si>
  <si>
    <t>Morris armed himself with a semiautomatic pistol after a breakup with his significant other. She called police, saying that he was threatening himself and would shoot police if they responded. A responding officer found Morris walking away from his house in the vicinity of an elementary school. He tried to stop Morris. Morris pointed his gun at the officer, who fatally shot him. Morris died at a hospital.</t>
  </si>
  <si>
    <t>http://www.eastoregonian.com/medford-man-seriously-injured-in-police-shooting-eo-ap-webfeeds-news-northwestb799f1cbead04333a3390c575bf86c4d</t>
  </si>
  <si>
    <t>Alexander Tirado Rivera</t>
  </si>
  <si>
    <t>http://www.killedbypolice.net/victims/150471.jpg</t>
  </si>
  <si>
    <t>1128 Murfreesboro Pike</t>
  </si>
  <si>
    <t>Nashville</t>
  </si>
  <si>
    <t>37217</t>
  </si>
  <si>
    <t xml:space="preserve">Rivera, robbing a loan center, pointed what appeared to be a gun at Sgt. Scott Carter as Carter responded to the incident. Carter fired a shot and retreated. Rivera then exited the building, holding his weapon to a woman's head. Just as she broke free, wrenching Rivera's weapon away, Carter fatally shot Rivera. His weapon was an air pistol. </t>
  </si>
  <si>
    <t>Ebin Lamont Proctor</t>
  </si>
  <si>
    <t>http://www.killedbypolice.net/victims/150470.jpg</t>
  </si>
  <si>
    <t>Yuma Circle</t>
  </si>
  <si>
    <t>Cottonwood</t>
  </si>
  <si>
    <t>86326</t>
  </si>
  <si>
    <t>Deputies pulled a car over that contained Proctor and five others. They asked for his identity. Violating probation, Proctor gave an alias instead, then fled his vehicle. Deputy Steven Gorman chased him on foot, shooting him in a backyard with a stun gun to no effect. Proctor turned and attacked the deputy, who then tried to subdue Proctor with pepper spray. Proctor, unaffected, grabbed for the deputy's gun. The deputy fatally shot him, then was taken to a hospital.  </t>
  </si>
  <si>
    <t>http://wn.ktvu.com/story/29200702/2015/05/31/suspect-shot-and-killed-in-cottonwood-identified</t>
  </si>
  <si>
    <t>Nehemiah Fischer</t>
  </si>
  <si>
    <t>http://www.killedbypolice.net/victims/150468.jpg</t>
  </si>
  <si>
    <t>Hectorville Rd and Bixby Rd</t>
  </si>
  <si>
    <t>Mounds</t>
  </si>
  <si>
    <t>74047</t>
  </si>
  <si>
    <t>Creek</t>
  </si>
  <si>
    <t>Oklahoma Highway Patrol</t>
  </si>
  <si>
    <t>http://www.theguardian.com/us-news/2015/may/31/oklahoma-pastor-nehemiah-fischer-trooper-shooting-flooding</t>
  </si>
  <si>
    <t>Robert Box</t>
  </si>
  <si>
    <t>108 Fir Canyon Rd</t>
  </si>
  <si>
    <t>Grants Pass</t>
  </si>
  <si>
    <t>97527</t>
  </si>
  <si>
    <t>Oregon State Police</t>
  </si>
  <si>
    <t>Kelsey Box, a paraplegic and tough truck racer, called troopers at 10:27 p.m. to report that her father, Robert, was abusing her. Troopers Gregor West and Heather Smyth responded. One or both shot Robert, carrying a pistol, on the driveway of the residence. He died at Asante Three Rivers Medical Center.</t>
  </si>
  <si>
    <t>Kevin K. Allen</t>
  </si>
  <si>
    <t>http://www.killedbypolice.net/victims/150466.jpg</t>
  </si>
  <si>
    <t>355 Valley Brook Ave</t>
  </si>
  <si>
    <t>Lyndhurst</t>
  </si>
  <si>
    <t>07071</t>
  </si>
  <si>
    <t>Lyndhurst Police Department</t>
  </si>
  <si>
    <t>Allen, who had warrants for his arrest, was in the top floor of a library when Lyndhurst officers tried to arrest him. According to their Chief of Police, the officers used a baton and pepper spray on Allen, who attacked them with a knife. He was fatally shot.</t>
  </si>
  <si>
    <t xml:space="preserve"> Pending investigation</t>
  </si>
  <si>
    <t>http://www.thelevisalazer.com/images/Billy_collins.jpg</t>
  </si>
  <si>
    <t>215 N Main Cross St</t>
  </si>
  <si>
    <t>Louisa</t>
  </si>
  <si>
    <t>41230</t>
  </si>
  <si>
    <t>Lawrence</t>
  </si>
  <si>
    <t>Louisa Police Department</t>
  </si>
  <si>
    <t xml:space="preserve">Collins was arrested after behaving erratically. He resisted officers at Louisa Police Department, striking a sergeant multiple times and barricading himself in the department foyer. Officers shot him twice with a stun gun and struck with their hands and batons. When officers subdued Collins, he showed signs of medical distress and was taken to a hospital, where he died. </t>
  </si>
  <si>
    <t>Feras Morad</t>
  </si>
  <si>
    <t>http://www.killedbypolice.net/victims/150462.jpg</t>
  </si>
  <si>
    <t>4600 E 15th St</t>
  </si>
  <si>
    <t>90804</t>
  </si>
  <si>
    <t xml:space="preserve">Morad, a college student, physically fought friends during his first trip on hallucinogenic mushrooms. He then fell or jumped through a window, injuring himself in the process. A neighbor's 911 call described Morad as covered in blood and "violent." Morad advanced on the officer who responded to the call. He shot Morad with a stun gun, struck him with a flashlight  and gave him repeated verbal warnings before fatally shooting him. </t>
  </si>
  <si>
    <t>Kenneth Joel Dothard</t>
  </si>
  <si>
    <t>http://www.killedbypolice.net/victims/150464.jpg</t>
  </si>
  <si>
    <t>900 Bankhead Hwy</t>
  </si>
  <si>
    <t>Carrollton</t>
  </si>
  <si>
    <t>30117</t>
  </si>
  <si>
    <t>Carroll</t>
  </si>
  <si>
    <t>Carrolton Police Department</t>
  </si>
  <si>
    <t xml:space="preserve">An Amber Alert was issued after Williams transported his niece from Texas to Louisiana. An FBI Task Force confronted Williams at a motel in Louisiana, where he shot an officer in the leg and an officer fatally shot him. </t>
  </si>
  <si>
    <t>Pending investigation; Georgia Bureau of Investigation</t>
  </si>
  <si>
    <t>James Edward Strong Jr.</t>
  </si>
  <si>
    <t>10900 E 109th Pl</t>
  </si>
  <si>
    <t>Northglenn</t>
  </si>
  <si>
    <t>Northglenn Police Department</t>
  </si>
  <si>
    <t>Strong shot a member of a SWAT team twice as it served a warrant. SWAT officers fatally shot him in response. The officer survived.</t>
  </si>
  <si>
    <t>Harry Davis</t>
  </si>
  <si>
    <t>Sparta Hwy and Oconee Springs Rd</t>
  </si>
  <si>
    <t>Eatonton</t>
  </si>
  <si>
    <t>31024</t>
  </si>
  <si>
    <t>Putnam</t>
  </si>
  <si>
    <t>Putnam County Sheriff's Department</t>
  </si>
  <si>
    <t>Davis, an Army veteran with PTSD, had a drunken argument with his son while parked in Oconee Springs Road. An associate of his called deputies shortly before midnight. They separated Davis and his son. Davis went to his vehicle for a knife, and threw it at a deputy. He returned to his vehicle for another knife and ran at deputies with it. Deputy Justin Brock fatally shot him.</t>
  </si>
  <si>
    <t>Kyle Baker</t>
  </si>
  <si>
    <t>http://www.killedbypolice.net/victims/150465.jpg</t>
  </si>
  <si>
    <t>2800 Longmeadow Dr</t>
  </si>
  <si>
    <t>Trenton</t>
  </si>
  <si>
    <t>48183</t>
  </si>
  <si>
    <t>Trenton Police Department</t>
  </si>
  <si>
    <t>Officers responded to a call that Baker was behaving threateningly, possibly under the influence of alcohol or drugs. Officers shot Baker with a stun gun but he advanced and wounded an officer in the hand with a lawn mower blade. He was fatally shot in the abdomen.</t>
  </si>
  <si>
    <t>Darrell Morgan</t>
  </si>
  <si>
    <t>http://www.killedbypolice.net/victims/150463.jpg</t>
  </si>
  <si>
    <t>3164 Charlotte Hwy</t>
  </si>
  <si>
    <t>29720</t>
  </si>
  <si>
    <t>Lancaster County Sheriff's Department</t>
  </si>
  <si>
    <t>Morgan, a Baptist pastor, followed his wife of 40 years into a store and confronted her for abandoning him for his best friend, their neighbor. The owner of the store called 911 as he waved a pistol in the air and made threats. Major Matt Shaw and investigator Brad Whitesides responded. They shot Morgan. He died at Springs Memorial Hospital.</t>
  </si>
  <si>
    <t>Simon D. Hubble</t>
  </si>
  <si>
    <t>3600 Emmanuel Way</t>
  </si>
  <si>
    <t>Alpine</t>
  </si>
  <si>
    <t>91901</t>
  </si>
  <si>
    <t>San Diego County Sheriff's Department</t>
  </si>
  <si>
    <t>Deputy Aaron Miller responded to a call that Hubble was behaving erratically at a residence. At the residence, an associate of Hubble's told the deputy that Hubble was trying to provoke a shooting. The deputy found Hubble on a street outside of the residence. Hubble attacked the deputy with a screwdriver. The deputy shot him with a stun gun. Hubble continued his attack. The deputy fatally shot him.</t>
  </si>
  <si>
    <t>Randall C. Torrence</t>
  </si>
  <si>
    <t>http://www.killedbypolice.net/victims/150457.jpg</t>
  </si>
  <si>
    <t>1225 Quindaro Blvd</t>
  </si>
  <si>
    <t>66104</t>
  </si>
  <si>
    <t>Both officers and paramedics responded when Torrence began to behave erratically in a parking lot. Officers and paramedics tried to load Torrence into an EMS vehicle. He was shot with a stun gun as he resisted. He died of cardiac arrest.</t>
  </si>
  <si>
    <t>Scott McAllister</t>
  </si>
  <si>
    <t>33 Bayside Pkwy</t>
  </si>
  <si>
    <t>Middletown</t>
  </si>
  <si>
    <t>07748</t>
  </si>
  <si>
    <t>Monmouth County Emergency Response Team</t>
  </si>
  <si>
    <t>Officers arrived at McAllister's house Tuesday at 11:30 a.m. after he drunkenly beat his partner and threatened to kill their 1-year-old son. A hostage negotiator spoke with him until 4:30 a.m. the next day, when a SWAT team broke into the residence and fatally shot McAllister. His son was unhurt.</t>
  </si>
  <si>
    <t>Garrett Sandeno</t>
  </si>
  <si>
    <t>http://www.killedbypolice.net/victims/150458.jpg</t>
  </si>
  <si>
    <t>1701 Ridgecrest Rd</t>
  </si>
  <si>
    <t>Edmond</t>
  </si>
  <si>
    <t>73013</t>
  </si>
  <si>
    <t>Edmond Police Department</t>
  </si>
  <si>
    <t>A woman asked officers to do a welfare check on her husband, Sandeno, who threatened himself after she asked him for a divorce. Officers found him outside of his house with a pellet gun. Officers told him to drop it. They allege that he pointed the pellet gun at them, provoking the fatal shooting.</t>
  </si>
  <si>
    <t>Dalton Branch</t>
  </si>
  <si>
    <t>http://www.killedbypolice.net/victims/150454.jpg</t>
  </si>
  <si>
    <t>530 Stanley Ave</t>
  </si>
  <si>
    <t>11207</t>
  </si>
  <si>
    <t>Three officers approached Branch in his car after the fatal shooting of his girlfriend. He began shooting at officers from his car with a .380 Beretta pistol and continued to shoot as he exited his vehicle. Officers fatally shot Branch from a distance of about eight feet.</t>
  </si>
  <si>
    <t>Jessie Nicholas Williams</t>
  </si>
  <si>
    <t>http://www.killedbypolice.net/victims/150455.jpg</t>
  </si>
  <si>
    <t>200 John Wesly Blvd</t>
  </si>
  <si>
    <t>Bossier City</t>
  </si>
  <si>
    <t>71112</t>
  </si>
  <si>
    <t>Bossier</t>
  </si>
  <si>
    <t xml:space="preserve">An Amber Alert was issued after Williams transported his niece, Caitlynn from Texas to Louisiana. An FBI Task Force confronted Williams at a motel in Louisiana, where he shot an officer in the leg and an officer fatally shot him. </t>
  </si>
  <si>
    <t>Millard James Tallant III</t>
  </si>
  <si>
    <t>17500 Tester Rd</t>
  </si>
  <si>
    <t>Snohomish</t>
  </si>
  <si>
    <t>98290</t>
  </si>
  <si>
    <t>Snohomish County Sheriff's Office</t>
  </si>
  <si>
    <t>A deputy responded to a call about Tallant, distraught and in the process of divorce, going to the door of the caller. According to the deputy's conversation with dispatchers, the deputy shot Tallant and Tallant fired once after he was hit. He died.</t>
  </si>
  <si>
    <t>Pending investigation; Snohomish County Multiagency Response Team</t>
  </si>
  <si>
    <t>Anthony Dewayne Briggs</t>
  </si>
  <si>
    <t>http://www.killedbypolice.net/victims/150452.jpg</t>
  </si>
  <si>
    <t>1100 E Gateway Dr SE</t>
  </si>
  <si>
    <t>Huntsville</t>
  </si>
  <si>
    <t>35803</t>
  </si>
  <si>
    <t>Madison</t>
  </si>
  <si>
    <t>Huntsville Police Department</t>
  </si>
  <si>
    <t xml:space="preserve">Briggs attacked his brother, Quinten, with a knife, then stabbed Matthew Shane Hooks. Hooks called 911. When officers responded, Briggs rushed at them with his knife, ignored commands to drop it and was fatally shot. </t>
  </si>
  <si>
    <t>Cassandra Bolin</t>
  </si>
  <si>
    <t>6505 Shirley Ave</t>
  </si>
  <si>
    <t>78752</t>
  </si>
  <si>
    <t>Officers responded to a 1:30 a.m. 911 call by Bolin's boyfriend, who said that she was suicidal. SWAT officers who responded tried to reason with her, but she exited her residence so quickly that officers shot at her with a "less-lethal projectile." She returned to her residence, then went outside again, threatening herself and then officers with her pistol. A SWAT sniper fatally shot her.</t>
  </si>
  <si>
    <t>Eric Robinson</t>
  </si>
  <si>
    <t>135 N Main St</t>
  </si>
  <si>
    <t>Eagar</t>
  </si>
  <si>
    <t>85925</t>
  </si>
  <si>
    <t>Apache</t>
  </si>
  <si>
    <t xml:space="preserve">Robinson, from his pickup truck, shot a pregnant woman at the parking lot of a Mormon stake center. She called 911. Robinson shot an Eagar police officer who responded. After, he fled to his residence, and was quickly surrounded by authorities from multiple agencies. He continued to shoot. When he emerged, he was fatally shot. </t>
  </si>
  <si>
    <t>Caso Jackson</t>
  </si>
  <si>
    <t>13331 Strathmoor St</t>
  </si>
  <si>
    <t>48227</t>
  </si>
  <si>
    <t>Detroit Police Department</t>
  </si>
  <si>
    <t>Jackson, ignoring a personal protection order, held his estranged wife and two children hostage, threatening them as well as himself. SWAT officers responded. After negotiation, Jackson jumped from the front door of the residence with a gun and shot an officer in the face. He was fatally shot in response. The officer survived.</t>
  </si>
  <si>
    <t>James Horn Jr.</t>
  </si>
  <si>
    <t>http://www.killedbypolice.net/victims/150448.jpg</t>
  </si>
  <si>
    <t>SE 650th Rd</t>
  </si>
  <si>
    <t>Green Ridge</t>
  </si>
  <si>
    <t>65332</t>
  </si>
  <si>
    <t>Pettis</t>
  </si>
  <si>
    <t>Pettis County Sheriff's Office</t>
  </si>
  <si>
    <t>Deputies followed a tip about Horn, suspected in a double murder, to J. N. Turkey Kearn Memorial Wildlife Area. They fatally shot him at a house when he threatened them with a pistol.</t>
  </si>
  <si>
    <t>Michael Lowrey</t>
  </si>
  <si>
    <t>http://www.killedbypolice.net/victims/150447.jpg</t>
  </si>
  <si>
    <t>1534 N Center Ave</t>
  </si>
  <si>
    <t>Somerset</t>
  </si>
  <si>
    <t>15501</t>
  </si>
  <si>
    <t>Michael J. Lowrey was carrying a black BB gun that looked like a handgun. He was shot and killed Friday, May 22 in the morning at Save-A-Lot grocery store in Somerset, PA.</t>
  </si>
  <si>
    <t>Fort Lauderdale</t>
  </si>
  <si>
    <t>33311</t>
  </si>
  <si>
    <t>Javoris Reshaud Washington</t>
  </si>
  <si>
    <t>http://www.killedbypolice.net/victims/150443.jpg</t>
  </si>
  <si>
    <t>SW 29th Ave and SW 29th Terrace</t>
  </si>
  <si>
    <t>33312</t>
  </si>
  <si>
    <t>Fort Lauderdale Police Department</t>
  </si>
  <si>
    <t>Authorities said they were forced to open fire on a man who had barricaded himself inside a home in Fort Lauderdale. There were reports Washington was on the drug Flakka.</t>
  </si>
  <si>
    <t>Chrislon Talbott</t>
  </si>
  <si>
    <t>http://www.killedbypolice.net/victims/150439.jpg</t>
  </si>
  <si>
    <t>4585 Frederica St</t>
  </si>
  <si>
    <t>Owensboro</t>
  </si>
  <si>
    <t>42301</t>
  </si>
  <si>
    <t>Daviess</t>
  </si>
  <si>
    <t>Officers tracked the suspect, 38-year-old Chrislon Talbott, to a motel on Frederica Street late Wednesday night. Kentucky State Police say Talbott came out of a room around midnight and shot at officers</t>
  </si>
  <si>
    <t>Jerome Thomas Caldwell</t>
  </si>
  <si>
    <t>http://www.killedbypolice.net/victims/150440.jpg</t>
  </si>
  <si>
    <t>83 Beaufain St</t>
  </si>
  <si>
    <t>Charleston</t>
  </si>
  <si>
    <t>29401</t>
  </si>
  <si>
    <t>South Carolina State Law Enforcement Division</t>
  </si>
  <si>
    <t>Police say they shot and killed a man who was wanted for the attempted murder of Berkeley County Sheriff's Lt. Will Rogers Thursday after the man emerged from a downtown apartment and opened fire at officers.</t>
  </si>
  <si>
    <t>Elvin Jesus Diaz</t>
  </si>
  <si>
    <t>http://www.killedbypolice.net/victims/150442.jpg</t>
  </si>
  <si>
    <t>10 Temple Ave</t>
  </si>
  <si>
    <t>Three city police officers went to 10 Temple Avenue around 1:30 p.m. to check on Elvin Diaz at the request of county probation officials. Hackensack Police Director Michael Mordaga said Diaz was armed with "a very large knife" when the shooting occurred.</t>
  </si>
  <si>
    <t>David Alejandro Gandara</t>
  </si>
  <si>
    <t>5111 Fairbanks Dr</t>
  </si>
  <si>
    <t>79924</t>
  </si>
  <si>
    <t>El Paso police shot and killed a 22-year-old man who was armed and possibly suicidal moments after he tried to enter a children's day care center in the Northeast, police officials said.</t>
  </si>
  <si>
    <t>Cary Lloyd Martin</t>
  </si>
  <si>
    <t>http://www.killedbypolice.net/victims/150446.jpg</t>
  </si>
  <si>
    <t>497 Florida Ave</t>
  </si>
  <si>
    <t>St Augustine</t>
  </si>
  <si>
    <t>32080</t>
  </si>
  <si>
    <t>Saint Johns</t>
  </si>
  <si>
    <t>Cary Lloyd Martin fired at least eight rounds toward authorities after they thought he was ready to give up during a May 14 confrontation at his Florida Avenue home in St. Augustine Beach, according to the Sheriff's Office. Sgt. Earl Edenfield III and Deputy Joshua Butler returned fire striking him multiple times</t>
  </si>
  <si>
    <t>James Anthony Cooper</t>
  </si>
  <si>
    <t>http://www.killedbypolice.net/victims/150438.jpg</t>
  </si>
  <si>
    <t>3271 Dartmouth Dr</t>
  </si>
  <si>
    <t>29414</t>
  </si>
  <si>
    <t>North Charleston Police Department</t>
  </si>
  <si>
    <t>Authorities said when they encountered Cooper on the second floor of the home, he ran at the deputy with a knife or other sharp object and swung at him, but the deputy deflected the attack.</t>
  </si>
  <si>
    <t>Nikki Jo Burtsfield</t>
  </si>
  <si>
    <t>http://www.killedbypolice.net/victims/150441.jpg</t>
  </si>
  <si>
    <t>N Garner Lake Rd and Vaquero Ave</t>
  </si>
  <si>
    <t>Gillette</t>
  </si>
  <si>
    <t>82716</t>
  </si>
  <si>
    <t>Campbell</t>
  </si>
  <si>
    <t>Campbell County Sheriff's Office</t>
  </si>
  <si>
    <t>Near midnight Burtsfield was spotted trespassing in a rural area. Deputies chased her, then stopped her vehicle with deflating spikes. She emerged from her vehicle brandishing a knife. A Taser wasn't effective in stopping the threat deputies felt, so she was shot to death.</t>
  </si>
  <si>
    <t>Marcus D. Wheeler</t>
  </si>
  <si>
    <t>http://www.killedbypolice.net/victims/150437.jpg</t>
  </si>
  <si>
    <t>3057 Martin Ave</t>
  </si>
  <si>
    <t>68112</t>
  </si>
  <si>
    <t>Omaha Police Department</t>
  </si>
  <si>
    <t>An Omaha police officer and a suspect were shot and killed after a confrontation at North 30th Street and Martin Avenue just before 1 p.m.</t>
  </si>
  <si>
    <t>Jonathan McIntosh</t>
  </si>
  <si>
    <t>http://www.killedbypolice.net/victims/150435.jpg</t>
  </si>
  <si>
    <t>900 E Main St</t>
  </si>
  <si>
    <t>Cabot</t>
  </si>
  <si>
    <t>72023</t>
  </si>
  <si>
    <t>Lonoke</t>
  </si>
  <si>
    <t>While questioning a 35-year-old man at 905 East Main Street it was determined the individual was the subject of outstanding warrants. The man was placed into custody and held in a law enforcement vehicle. officers reported gunshots coming from inside the car and returned fire striking the individual who had moments earlier been taken into custody.</t>
  </si>
  <si>
    <t>Jonathan Colley</t>
  </si>
  <si>
    <t>http://www.killedbypolice.net/victims/150436.jpg</t>
  </si>
  <si>
    <t>2569 Raber Rd</t>
  </si>
  <si>
    <t>44685</t>
  </si>
  <si>
    <t>Stark</t>
  </si>
  <si>
    <t>Summit County Sheriff's Office</t>
  </si>
  <si>
    <t>Deputies say Jonathan L. Colley, 52, approached deputies with a butcher-style knife. The deputies asked him to drop the knife, but he continued to approach them.</t>
  </si>
  <si>
    <t>Anthony Quinn Gomez Jr.</t>
  </si>
  <si>
    <t>http://www.killedbypolice.net/victims/150433.jpg</t>
  </si>
  <si>
    <t>305 E Walnut St</t>
  </si>
  <si>
    <t>17602</t>
  </si>
  <si>
    <t>Lancaster Police Department</t>
  </si>
  <si>
    <t>Officers served a warrant on Gomez for beating a woman and threatening to kill her and her children. When Gomez refused to be taken in, an officer shot him with a stun gun. Gomez shot the officer with a pistol. A second officer fatally shot Gomez.</t>
  </si>
  <si>
    <t>Alfredo Rials-Torres</t>
  </si>
  <si>
    <t>4219 2nd Road N</t>
  </si>
  <si>
    <t>22203</t>
  </si>
  <si>
    <t xml:space="preserve">Two officers responded to a domestic disturbance call at the residence of Rials-Torres, a violent schizophrenic. During a confrontation, the details of which are unclear, one officer was cut and another shot with a stun gun. A woman in the residence was slightly wounded. Rials-Torres was fatally shot. </t>
  </si>
  <si>
    <t>David Gaines</t>
  </si>
  <si>
    <t>N 10th St and Gunnison Ave</t>
  </si>
  <si>
    <t>Grand Junction</t>
  </si>
  <si>
    <t>81501</t>
  </si>
  <si>
    <t>Grand Junction Police Department</t>
  </si>
  <si>
    <t>After a fight with his father, Gaines drove away from his house in a pickup truck containing a gun. He sped through Grand Junction, hitting a motorcycle and a car. He left his truck, carrying a gun, and forced a mother and her children out of their SUV. Authorities from several departments converged on Gaines. A Grand Junction officer fatally shot him.</t>
  </si>
  <si>
    <t xml:space="preserve">Unknown </t>
  </si>
  <si>
    <t>Physical restraint</t>
  </si>
  <si>
    <t>Ronell Wade</t>
  </si>
  <si>
    <t>http://victimsofpolice.com/2015/images/Ronell-Wade.jpg</t>
  </si>
  <si>
    <t>15746 Union Ave</t>
  </si>
  <si>
    <t>Harvey</t>
  </si>
  <si>
    <t>60426</t>
  </si>
  <si>
    <t>Harvey Police Department</t>
  </si>
  <si>
    <t xml:space="preserve">Wade, a suspect in a dollar store robbery, fled officers on foot to St. John the Baptist Catholic Church, where he tried to hide his money before leaving the building. Wade shot at officers, who fatally shot him. </t>
  </si>
  <si>
    <t>Dennis Richard Fiel</t>
  </si>
  <si>
    <t>http://www.killedbypolice.net/victims/150428.jpg</t>
  </si>
  <si>
    <t>7700 Mesa College Dr</t>
  </si>
  <si>
    <t>92123</t>
  </si>
  <si>
    <t>Officers chased a speeding jeep on Interstate 805, finding it abandoned near Mesa College Drive. They spread out, looking for the driver, Fiel. When they found him, he ran, shooting. Fiel hit Officer Heather L. Seddon in the neck. Officers Joshua Hodge and Mario Larrea fatally shot him in response. Seddon survived.</t>
  </si>
  <si>
    <t>Austin Goodner</t>
  </si>
  <si>
    <t>http://www.killedbypolice.net/victims/150431.jpg</t>
  </si>
  <si>
    <t>5236 Robin Ln N</t>
  </si>
  <si>
    <t>St Petersburg</t>
  </si>
  <si>
    <t>33714</t>
  </si>
  <si>
    <t>Pinellas</t>
  </si>
  <si>
    <t>Officers Brian Lynch, Michael Cordiviola and Matthew Enhoffer went to Goodner's residence to investigate him for a shooting. He emerged from the backyard, armed, as officers spoke to his mother. He pointed a gun at an officer, who shot at him. He retreated, then shot an officer in the leg, daring officers to kill him. Officers fatally shot him.</t>
  </si>
  <si>
    <t>Timothy Jones</t>
  </si>
  <si>
    <t>http://www.killedbypolice.net/victims/150429.jpg</t>
  </si>
  <si>
    <t>111 Otero Dr</t>
  </si>
  <si>
    <t>Ruidoso</t>
  </si>
  <si>
    <t>88345</t>
  </si>
  <si>
    <t>Lincoln</t>
  </si>
  <si>
    <t>Ruidoso Police Department</t>
  </si>
  <si>
    <t>Ruidoso Police Department Corporal Lance Ledford and Officer Joseph Baily were investigating a domestic disturbance when they both fatally shot Jones in his home. In spite of orders, he had approached them and his mother with a sword. It was the department's first fatal officer-involved shooting.</t>
  </si>
  <si>
    <t>Matthew Coates</t>
  </si>
  <si>
    <t>http://www.killedbypolice.net/victims/150427.jpg</t>
  </si>
  <si>
    <t>2010 61st St</t>
  </si>
  <si>
    <t>95817</t>
  </si>
  <si>
    <t>Sacramento Police Department</t>
  </si>
  <si>
    <t>Officers responded to a call about Coates shouting at his girlfriend, Sonja Morrow, and hitting the caller, Norman Petersen. Over an hour later, officers went to the couple's residence. Morrow let officers in. Coates, in their bedroom, refused to speak to the officers and pointed a BB gun at them. They fatally shot him as Morrow tried to tell them that the weapon was fake.</t>
  </si>
  <si>
    <t>Mark T. Farrar</t>
  </si>
  <si>
    <t>http://www.killedbypolice.net/victims/150426.jpg</t>
  </si>
  <si>
    <t>1806 16th Ave</t>
  </si>
  <si>
    <t>Rockford</t>
  </si>
  <si>
    <t>61104</t>
  </si>
  <si>
    <t>Winnebago</t>
  </si>
  <si>
    <t>Rockford Police Department</t>
  </si>
  <si>
    <t xml:space="preserve">Informed that he was suicidal, officers visited Farrar's residence to do a welfare check. From his front porch, he began shooting at officers with an AR-15, hitting one. An officer shot him fatally in the chest. He died at Swedish American Hospital. </t>
  </si>
  <si>
    <t>Sean Michael Pelletier</t>
  </si>
  <si>
    <t>6095 Anna's Ln</t>
  </si>
  <si>
    <t>Portage</t>
  </si>
  <si>
    <t>49024</t>
  </si>
  <si>
    <t>Kalamazoo</t>
  </si>
  <si>
    <t>A chase began on the east side of Kalamazoo County. One of the men was wanted on a warrant of resisting/obstructing an officer. A sheriff's deputy initially was involved in the chase, which later included the state police, Kalamazoo Public Safety and Portage Public Safety. A state trooper, a sheriff's deputy and a Kalamazoo Public Safety officer all fired their weapons</t>
  </si>
  <si>
    <t>99207</t>
  </si>
  <si>
    <t>D'Angelo Reyes Stallworth</t>
  </si>
  <si>
    <t>7300 Blanding Blvd</t>
  </si>
  <si>
    <t>32244</t>
  </si>
  <si>
    <t>Jacksonville Police Department</t>
  </si>
  <si>
    <t>Dajuan Graham</t>
  </si>
  <si>
    <t>13900 Castle Blvd</t>
  </si>
  <si>
    <t>Silver Spring</t>
  </si>
  <si>
    <t>20904</t>
  </si>
  <si>
    <t>Montgomery County Police Department</t>
  </si>
  <si>
    <t xml:space="preserve">Police respond to a disturbance call about a man on the street acting erratically and on PCP(Angel Dust). </t>
  </si>
  <si>
    <t>Bruce Zalonka</t>
  </si>
  <si>
    <t>http://www.killedbypolice.net/victims/150421.jpg</t>
  </si>
  <si>
    <t>1031 Nuuanu Ave</t>
  </si>
  <si>
    <t>Honolulu</t>
  </si>
  <si>
    <t>96817</t>
  </si>
  <si>
    <t>Marshalls approached Zalonka's vehicle to arrest him on weapon-related charges. He yelled at deputies, who broke a window to shoot him with a stun gun. When it had no effect, and Zalonka reached for a pistol, he was fatally shot.</t>
  </si>
  <si>
    <t>Alec Ouzounian</t>
  </si>
  <si>
    <t>http://www.killedbypolice.net/victims/150420.jpg</t>
  </si>
  <si>
    <t>28 Paseo Viento</t>
  </si>
  <si>
    <t>Rancho Santa Margarita</t>
  </si>
  <si>
    <t>92688</t>
  </si>
  <si>
    <t>Orange County Sheriff's Department</t>
  </si>
  <si>
    <t>Lionel Young</t>
  </si>
  <si>
    <t>http://www.killedbypolice.net/victims/150414.jpg</t>
  </si>
  <si>
    <t>950 Nalley Rd</t>
  </si>
  <si>
    <t>Landover</t>
  </si>
  <si>
    <t>20785</t>
  </si>
  <si>
    <t>Prince George's</t>
  </si>
  <si>
    <t>Prince George's County Sheriff's Office</t>
  </si>
  <si>
    <t xml:space="preserve">Around 9 p.m., Corporal Jamal Deider and Deputy Anthony Bynum engaged Young, a domestic violence suspect with two knives, in a car chase. Young rammed the deputy's vehicles in the parking lot of Cora L. Rice Elementary School. Deider and Bynum fatally shot him in response. </t>
  </si>
  <si>
    <t>Kelvin Antonie Goldston</t>
  </si>
  <si>
    <t>http://www.killedbypolice.net/victims/150418.jpg</t>
  </si>
  <si>
    <t>6024 Wheaton Dr</t>
  </si>
  <si>
    <t>76133</t>
  </si>
  <si>
    <t>Officers advanced on a residence occupied by Goldston, named in multiple outstanding warrants. Goldston left the residence, entered a pickup truck and backed into a female narcotics officer. Other officers shot him, the fatal bullet entering his neck.</t>
  </si>
  <si>
    <t>Sean Johnson</t>
  </si>
  <si>
    <t>http://www.killedbypolice.net/victims/150416.jpg</t>
  </si>
  <si>
    <t>59705 E Bidegain Pl</t>
  </si>
  <si>
    <t>Kearny</t>
  </si>
  <si>
    <t>85137</t>
  </si>
  <si>
    <t>Pinal</t>
  </si>
  <si>
    <t>Pinal County Sheriff's Office</t>
  </si>
  <si>
    <t>A Kearny man wielding a Samurai sword was shot and killed by police officers on Friday night after refusing to drop the sword and swinging at police officers.</t>
  </si>
  <si>
    <t>Justin Edward Way</t>
  </si>
  <si>
    <t>http://www.killedbypolice.net/victims/150417.jpg</t>
  </si>
  <si>
    <t>225 Presidents Cup Way</t>
  </si>
  <si>
    <t>32092</t>
  </si>
  <si>
    <t>St. Johns</t>
  </si>
  <si>
    <t>Deputies responded to a 911 call about Way, who was threatening suicide. When they entered Way's residence, they alleged that Way pointed a machete at them and they fatally shot him. The shooting is still under investigation.</t>
  </si>
  <si>
    <t>Michael Tyrone Gallagher</t>
  </si>
  <si>
    <t>http://www.killedbypolice.net/victims/150415.jpg</t>
  </si>
  <si>
    <t>100 Whitfield St</t>
  </si>
  <si>
    <t>Enfield</t>
  </si>
  <si>
    <t>27823</t>
  </si>
  <si>
    <t>Halifax</t>
  </si>
  <si>
    <t>Enfield Police Department</t>
  </si>
  <si>
    <t>Lt. Jerry Powell arrived at a break in caused by Michael Tyrone Gallagher. He confronted Gallagher, and then Powell, along with a witness, got into an altercation with Gallagher.During the confrontation, authorities said Powell's taser was used on Gallagher. Powell and the witness then handcuffed him.When Halifax County EMS crews arrived, they found Gallagher unresponsive and immediately took him to the Halifax County Medical Center, where he was later pronounced dead.</t>
  </si>
  <si>
    <t>Stephen Cunningham</t>
  </si>
  <si>
    <t>3420 S Proctor St</t>
  </si>
  <si>
    <t>98409</t>
  </si>
  <si>
    <t>Tacoma police shot and killed a man after being called to a noise complaint.</t>
  </si>
  <si>
    <t>unknown</t>
  </si>
  <si>
    <t>Sam Matthew Holmes</t>
  </si>
  <si>
    <t>http://victimsofpolice.com/2015/images/Sam-Matthew-Holmes.png</t>
  </si>
  <si>
    <t>University Ave NE and I-694</t>
  </si>
  <si>
    <t>Fridley</t>
  </si>
  <si>
    <t>55432</t>
  </si>
  <si>
    <t>Anoka</t>
  </si>
  <si>
    <t>Lino Lakes Police Department</t>
  </si>
  <si>
    <t xml:space="preserve">Sergeant William Owens stopped a vehicle for speeding, then attempted to arrest the driver, Holmes, for intoxication and outstanding warrants. Holmes, struggled with Owens, who shot him with a Taser. Owens then shot Holmes with a pistol as Holmes re-entered his vehicle and drove away, dragging the sergeant with him. The car veered off into a parking lot. Holmes died on the scene. </t>
  </si>
  <si>
    <t>Pending investigation; Minnesota Bureau of Criminal Apprehension, Minnesota State Patrol, Anoka County Sheriff's Office, Fridley Police Department, Lino Lakes Police Department</t>
  </si>
  <si>
    <t>Dedrick Marshall</t>
  </si>
  <si>
    <t>http://www.killedbypolice.net/victims/150410.jpg</t>
  </si>
  <si>
    <t>3020 Destrehan Ave</t>
  </si>
  <si>
    <t>70058</t>
  </si>
  <si>
    <t>Jefferson Parish Sheriff's Office</t>
  </si>
  <si>
    <t xml:space="preserve">Deputies responded to a call about an aggravated assault after Marshall, armed, threatened a group that included his ex-girlfriend. Deputies went to Marshall's home to ask him about the incident. He pointed a semiautomatic pistol at the deputies. Deputy Justin McLin fatally shot him. </t>
  </si>
  <si>
    <t>David A. Schwalm</t>
  </si>
  <si>
    <t>http://www.killedbypolice.net/victims/150411.jpg</t>
  </si>
  <si>
    <t>168 Auringer Rd</t>
  </si>
  <si>
    <t>Constantania</t>
  </si>
  <si>
    <t>13044</t>
  </si>
  <si>
    <t>Oswego</t>
  </si>
  <si>
    <t>Oswego County Sheriff's Department</t>
  </si>
  <si>
    <t xml:space="preserve">Deputy Mark Walton did a welfare check on Schwalm, who was suicidal. Schwalm pointed a shotgun at the deputy, who told him to drop the weapon. When Schwalm did not, Walton fatally shot him. </t>
  </si>
  <si>
    <t>Justified; New York State Police investigation; Schwalm's brother offered condolences to the deputy because of his brother's illness.</t>
  </si>
  <si>
    <t>Nephi Arriguin</t>
  </si>
  <si>
    <t>http://www.killedbypolice.net/victims/150408.jpg</t>
  </si>
  <si>
    <t>17200 Pires Ave</t>
  </si>
  <si>
    <t>Cerritos</t>
  </si>
  <si>
    <t>90703</t>
  </si>
  <si>
    <t>A deputy responded to a call about an unfamiliar woman knocking on doors at Beach Street residences and asking for people who did not live there. The deputy arrested her, then looked into the vehicle that she was associated with, occupied by Arriguin. Told to put his hands up, he drove into the deputy. The deputy shot at him, then pursued him as he drove away. Arriguin's car lost control and crashed half a mile later.</t>
  </si>
  <si>
    <t>Sarasota Police Department</t>
  </si>
  <si>
    <t>Joseph Roy</t>
  </si>
  <si>
    <t>2853 Avalon Meadows Ct</t>
  </si>
  <si>
    <t>Lawrenceville</t>
  </si>
  <si>
    <t>30044</t>
  </si>
  <si>
    <t>Gwinnett County Sheriff's Department</t>
  </si>
  <si>
    <t>A neighbor called 911 about Roy, a cancer patient threatening suicide. When police responded, he had locked himself into a bathroom. Later, he opened the door, lunging at two officers with a steak knife. They fatally shot him. </t>
  </si>
  <si>
    <t>David Johnson</t>
  </si>
  <si>
    <t>http://www.killedbypolice.net/victims/150406.jpg</t>
  </si>
  <si>
    <t>300 Stone Monument Dr</t>
  </si>
  <si>
    <t>After crashing his vehicle, police said Johnson exited the vehicle armed with a handgun in plain view and was told to drop his weapon before being shot multiple times.</t>
  </si>
  <si>
    <t>Michael G. Murphy</t>
  </si>
  <si>
    <t>http://www.killedbypolice.net/victims/150407.jpg</t>
  </si>
  <si>
    <t>I-84</t>
  </si>
  <si>
    <t>Beacon</t>
  </si>
  <si>
    <t>12508</t>
  </si>
  <si>
    <t>Dutchess</t>
  </si>
  <si>
    <t>Beacon Police Department</t>
  </si>
  <si>
    <t>Michael G. Murphy, who had carjacked a vehicle in southern Dutchess County, was shot and killed by police after he threatened them with a knife.The shooting happened at about 3:30 p.m. Thursday just off Interstate 84, near Exit 11, in the city of Beacon.</t>
  </si>
  <si>
    <t>Brendon Glenn</t>
  </si>
  <si>
    <t>http://www.killedbypolice.net/victims/150402.jpg</t>
  </si>
  <si>
    <t>1602 Pacific Ave</t>
  </si>
  <si>
    <t>90291</t>
  </si>
  <si>
    <t>The officers attempted to detain Glenn, and an altercation occurred between them. During that fight, Glenn was shot and killed.</t>
  </si>
  <si>
    <t>I-95</t>
  </si>
  <si>
    <t>Hudson</t>
  </si>
  <si>
    <t>New Jersey State Police</t>
  </si>
  <si>
    <t>Thong Kien Ma</t>
  </si>
  <si>
    <t>http://www.killedbypolice.net/victims/150401.jpg</t>
  </si>
  <si>
    <t>10400 Enloe St</t>
  </si>
  <si>
    <t>South El Monte</t>
  </si>
  <si>
    <t>When deputies arrived, they found a man stabbing another man and when he refused to obey orders and walked towards deputies they open fire.</t>
  </si>
  <si>
    <t>Tulsa</t>
  </si>
  <si>
    <t>74115</t>
  </si>
  <si>
    <t>Robert Frost</t>
  </si>
  <si>
    <t>http://www.killedbypolice.net/victims/150400.jpg</t>
  </si>
  <si>
    <t>1847 Bob White Blvd</t>
  </si>
  <si>
    <t>Pulaski</t>
  </si>
  <si>
    <t>Pulaski Police Department</t>
  </si>
  <si>
    <t>A Desert Storm veteran with PTSD, Frost sat in his truck near Pulaski Storage when Officer A.M. Abdelaziz looked into the driver's side window and saw that he had a pistol in his lap. Abdelaziz called for backup. Frost woke and began shooting. Abdelaziz shot Frost. Frost opened the door of his truck and collapsed on the ground. It is not yet known whether any of his wounds are self-inflicted.</t>
  </si>
  <si>
    <t>Michael Asher</t>
  </si>
  <si>
    <t>http://www.killedbypolice.net/victims/150398.jpg</t>
  </si>
  <si>
    <t>Doctors Row</t>
  </si>
  <si>
    <t>Chavies</t>
  </si>
  <si>
    <t>Perry</t>
  </si>
  <si>
    <t xml:space="preserve">During a traffic stop, a constable heard gunshots coming from Asher's camper. He called state police, who investigated. Given his phone number, troopers tried and failed to contact Asher. Around 9:30 p.m., Asher exited his camper, pointing a gun in the direction of a trooper, who fatally shot him. </t>
  </si>
  <si>
    <t>Roark K. Cook</t>
  </si>
  <si>
    <t>http://www.killedbypolice.net/victims/150399.jpg</t>
  </si>
  <si>
    <t>3320 W 9th Ave</t>
  </si>
  <si>
    <t>Kennewick</t>
  </si>
  <si>
    <t>Benton</t>
  </si>
  <si>
    <t>Kennewick Police Department/Tri-City Swat Team</t>
  </si>
  <si>
    <t>Nadir Soofi</t>
  </si>
  <si>
    <t>http://www.killedbypolice.net/victims/150395.jpg</t>
  </si>
  <si>
    <t>4999 Naaman Forest Blvd</t>
  </si>
  <si>
    <t>Garland</t>
  </si>
  <si>
    <t>Garland Police Department</t>
  </si>
  <si>
    <t>Police in Garland say they believe the two men killed outside a controversial art show Sunday night were there to shoot the approximately 200 people attending the event before a traffic officer intervened. According to Harn, the two suspects pulled up to the event in a car, immediately got out with assault rifles and began shooting at a police car that was parked next to a barricade.a single police officer initially subdued Simpson and Soofi, but that after his initial shots, SWAT officers also opened fire, killing both men outside their car.</t>
  </si>
  <si>
    <t>Elton Simpson</t>
  </si>
  <si>
    <t>http://www.killedbypolice.net/victims/150396.jpg</t>
  </si>
  <si>
    <t>Billy Grimm</t>
  </si>
  <si>
    <t>http://www.killedbypolice.net/victims/150397.jpg</t>
  </si>
  <si>
    <t>Arenal Rd SW and Tapia Blvd SW</t>
  </si>
  <si>
    <t xml:space="preserve">Grimm and his girlfriend were having car trouble. Grimm refused to exit the vehicle - an argument ensued and Grimm produced weapon. The deputy shot and killed Grimm. </t>
  </si>
  <si>
    <t>Kevin Vance Norton</t>
  </si>
  <si>
    <t>http://www.killedbypolice.net/victims/150394.jpg</t>
  </si>
  <si>
    <t>210 W 300 N</t>
  </si>
  <si>
    <t>Roosevelt</t>
  </si>
  <si>
    <t>Duchesne</t>
  </si>
  <si>
    <t>Roosevelt Police Department</t>
  </si>
  <si>
    <t>Police shot and killed a man Sunday that they say was wielding a handgun and acting erratically near the Uintah Basin Medical Center.</t>
  </si>
  <si>
    <t>Kenneth Mathena</t>
  </si>
  <si>
    <t>30 Malvern Ln</t>
  </si>
  <si>
    <t>Smyrna</t>
  </si>
  <si>
    <t>19977</t>
  </si>
  <si>
    <t>Kent</t>
  </si>
  <si>
    <t>Smyrna Police Department</t>
  </si>
  <si>
    <t>Responding to a domestic violence dispute Smyrna Police Officers found an armed man attempting to break into the house. When they arrived, they reported the man, armed with a shotgun pointed it in their direction and they opened fire.</t>
  </si>
  <si>
    <t>Alexia Christian</t>
  </si>
  <si>
    <t>141 Pryor St SW</t>
  </si>
  <si>
    <t>30303</t>
  </si>
  <si>
    <t>Atlanta Police Department</t>
  </si>
  <si>
    <t>Officers shot and killed a woman who allegedly fired shots from the back seat of a patrol car.</t>
  </si>
  <si>
    <t>John D. Acree</t>
  </si>
  <si>
    <t>812 Forest Hills Dr</t>
  </si>
  <si>
    <t xml:space="preserve">Four officers served a warrant on Acree at his home at 7:45 a.m. for missing a court date. Acree, who was mentally ill and believed he was under surveillance, refused to come outside. Officers blocked the front and back doors of his house. As Acree exited the back door with a semiautomatic pistol, he and Officer William Wright exchanged fire. Acree was fatally shot. </t>
  </si>
  <si>
    <t>Fridoon Zalbeg Rawshannehad</t>
  </si>
  <si>
    <t>http://jail.com/arrest-records/fridoon-rawshannehad-4001065</t>
  </si>
  <si>
    <t>3200 Hancock St</t>
  </si>
  <si>
    <t>Officer Neal N. Browder responded to a 911 call alleging that Rawshannehad threatened a clerk with a knife at a HI-Lite Adult Video and Bookstore. His body camera off, the officer confronted Rawshannehad just after midnight in the alley behind the bookstore and gave him orders that he did not obey. When he advanced, Browder fatally shot him.</t>
  </si>
  <si>
    <t>Unreported; Police Department Regulations Changed</t>
  </si>
  <si>
    <t>Jeffrey O. Adkins</t>
  </si>
  <si>
    <t>200 Elm Rd</t>
  </si>
  <si>
    <t>Emporia</t>
  </si>
  <si>
    <t>Greensville</t>
  </si>
  <si>
    <t xml:space="preserve">Deputies went to Adkins's residence to serve an emergency custody order around 6:45 p.m. The mentally-ill Navy veteran confronted them with sawed-off shotgun. Negotiators were sent to reason with Adkins. Around 10 p.m., authorities used a diversionary device, or flashbang grenade, against Adkins. He shot at authorities, who fatally shot him in response. </t>
  </si>
  <si>
    <t>Joshua Deysie</t>
  </si>
  <si>
    <t>http://www.gannett-cdn.com/-mm-/3221a1f017874e5965a167b7473dac7b6b71c14a/c=13-0-388-500&amp;r=537&amp;c=0-0-534-712/local/-/media/2015/04/30/Phoenix/Phoenix/635660110001182124-Joshua-Deysie.jpg</t>
  </si>
  <si>
    <t>1400 E Harmony Ave</t>
  </si>
  <si>
    <t xml:space="preserve">Police said 33-year-old Joshua Deysie spent a half hour in a standoff with officers, eventually pointing a gun right at the officers. He was shot and killed. </t>
  </si>
  <si>
    <t>Erick Emmanuel Sanchez</t>
  </si>
  <si>
    <t>"from Mexico" http://www.elpasotimes.com/news/ci_28023272/el-paso-police-officer-shot-and-killed-burglary</t>
  </si>
  <si>
    <t>11565 James Watt Dr</t>
  </si>
  <si>
    <t>Two officers investigating a burglary around 9 p.m. confronted Sanchez. Police alleged that Sanchez advanced on officers with a metal object, threatening them. When one officer shot him with a Taser, officers said that Sanchez rushed at them. The other officer shot him, and he died at a hospital. </t>
  </si>
  <si>
    <t>Andrew Jackson</t>
  </si>
  <si>
    <t>1200 W Florida Ave</t>
  </si>
  <si>
    <t>Chickasha</t>
  </si>
  <si>
    <t>Grady</t>
  </si>
  <si>
    <t>Chickasha police received a call about a burglary in the 1200 block of S. 16 Street. While on the way to the scene, officers spotted two men walking, Authorities say one of the men ran from police. When two Grady County deputies and a Chickasha police officer went inside, they say Jackson pulled out a knife. An officer then shot Jackson, killing him.</t>
  </si>
  <si>
    <t>Luis Chavez-Diaz</t>
  </si>
  <si>
    <t>1624 Hood Franklin Rd</t>
  </si>
  <si>
    <t>Elk Grove</t>
  </si>
  <si>
    <t>95757</t>
  </si>
  <si>
    <t>California Department of Fish and Wildlife</t>
  </si>
  <si>
    <t>Officers encountered Chavez-Diaz during a raid on a marijuana grow operation on public lands. He was alone when they encountered him and said that he had a gun and pointed it at a game warden when he was shot.</t>
  </si>
  <si>
    <t>Jared Johnson</t>
  </si>
  <si>
    <t>http://www.nola.com/crime/index.ssf/2015/04/dollar_general_police_shooting_2.html</t>
  </si>
  <si>
    <t>8400 Chef Menteur Hwy</t>
  </si>
  <si>
    <t>Orleans</t>
  </si>
  <si>
    <t>Police officers who responded to a report of an armed robbery shot and killed a suspect. A semi-automatic gun was found near the body of the dead suspect. A bag with about $2,000 worth of stolen merchandise was also found inside the store.</t>
  </si>
  <si>
    <t>Joshua Green</t>
  </si>
  <si>
    <t>1408 W Main St</t>
  </si>
  <si>
    <t>Williamson</t>
  </si>
  <si>
    <t>Joshua A. Green, 27, of Marion was pronounced dead outside a 1408 W. Main St. apartment where he reportedly took a woman hostage.</t>
  </si>
  <si>
    <t>David Parker</t>
  </si>
  <si>
    <t>36 Randall Rd</t>
  </si>
  <si>
    <t>Mansfield</t>
  </si>
  <si>
    <t>Richland</t>
  </si>
  <si>
    <t>Mansfield Police Department</t>
  </si>
  <si>
    <t>David Parker was shot in his home at around 11 a.m., ending a police standoff that lasted more than 24 hours at the 36 Randall Road home.</t>
  </si>
  <si>
    <t>Terrance Kellom</t>
  </si>
  <si>
    <t>9500 Evergreen Rd</t>
  </si>
  <si>
    <t xml:space="preserve">A fugitive task force involving ICE and officers with the Detroit Police Department — was attempting to serve an armed robbery warrant at a home. Kellom was shot and killed after an officer felt threatened. </t>
  </si>
  <si>
    <t>Dean Kristian Genova</t>
  </si>
  <si>
    <t>http://jail.com/arrest-records/dean-genova-6308191</t>
  </si>
  <si>
    <t>13822 Brookhurst St</t>
  </si>
  <si>
    <t>Garden Grove</t>
  </si>
  <si>
    <t>Fountain Valley Police Department</t>
  </si>
  <si>
    <t>Officers responded to a burglary in progress call at the drugstore, the suspect fought with officers as they tried to detain him. During the struggle, the suspect bit one officer on the arm and then grabbed another officer's handgun. After making repeated commands to let go of the firearm, an officer fired a single round.</t>
  </si>
  <si>
    <t>Albert Hanson Jr.</t>
  </si>
  <si>
    <t>7th Ave and Kansas Ave</t>
  </si>
  <si>
    <t>Hanford</t>
  </si>
  <si>
    <t>93230</t>
  </si>
  <si>
    <t>Kings County Sheriff's Office</t>
  </si>
  <si>
    <t>The SWAT team responded to the scene and tried to start negotiations with the suspect. During the process, the sheriff's office says a round was fired from the suspect's vehicle. SWAT officers then opened fire.</t>
  </si>
  <si>
    <t>http://www.killedbypolice.net/victims/150380.jpg</t>
  </si>
  <si>
    <t>Billy Joe Patrick</t>
  </si>
  <si>
    <t>Bunch</t>
  </si>
  <si>
    <t>Adair</t>
  </si>
  <si>
    <t>Oklahoma Department of Wildlife Conservation</t>
  </si>
  <si>
    <t>A warden asked Patrick and other fisherman for their fishing licenses and discovered that Patrick was wanted for a parole violation. When the warden tried to arrest Patrick, he attempted to drown the warden. The warden freed himself, then fatally shot Patrick.</t>
  </si>
  <si>
    <t>Ongoing investigation</t>
  </si>
  <si>
    <t>http://www.guns.com/2015/04/30/game-warden-shoots-kills-man-who-tried-to-drown-him-after-checking-fishing-license/</t>
  </si>
  <si>
    <t>Brandon Lawrence</t>
  </si>
  <si>
    <t>800 Simpson Rd</t>
  </si>
  <si>
    <t>Victoria</t>
  </si>
  <si>
    <t>Victoria Police Department</t>
  </si>
  <si>
    <t>The shooting happened after officers were confronted by a suspect with a weapon</t>
  </si>
  <si>
    <t>David Felix</t>
  </si>
  <si>
    <t>538 E Sixth St</t>
  </si>
  <si>
    <t>10009</t>
  </si>
  <si>
    <t>David, who was a schizophrenic living in a home for the mentally ill, was said by police to have involved them in a struggle, in which officers shot him to death. The police had responded to a call in which David was suspected of a robbery.</t>
  </si>
  <si>
    <t>Daniel Howard Davis</t>
  </si>
  <si>
    <t>http://75.103.99.183/obit_images/memorial/59610_memorial.jpg</t>
  </si>
  <si>
    <t>8624 Firestone Cir</t>
  </si>
  <si>
    <t>Clermont</t>
  </si>
  <si>
    <t>Todd Jamal Dye</t>
  </si>
  <si>
    <t>http://www.killedbypolice.net/victims/150371.jpg</t>
  </si>
  <si>
    <t>1505 E Main St</t>
  </si>
  <si>
    <t>Trinidad</t>
  </si>
  <si>
    <t>Las Animas</t>
  </si>
  <si>
    <t>Trinidad Police Department</t>
  </si>
  <si>
    <t>An officer came in contact with Dye in an empty trailer. Dye ran away then pointed a gun at the officer.</t>
  </si>
  <si>
    <t>Moore</t>
  </si>
  <si>
    <t>Gary Timmie Collins</t>
  </si>
  <si>
    <t>H St NW and 20th Ave NW</t>
  </si>
  <si>
    <t>Coal</t>
  </si>
  <si>
    <t>Collins ignored a driver's license checkpoint and was pursued by troopers. He exited his vehicle with a gun, and a trooper fatally shot him.</t>
  </si>
  <si>
    <t>Mark Cecil Hawkins</t>
  </si>
  <si>
    <t>1940 Turner Rd SE</t>
  </si>
  <si>
    <t>Salem</t>
  </si>
  <si>
    <t>Salem Police Department</t>
  </si>
  <si>
    <t>Before Friday's tense, hours-long standoff ended with the gunman mortally wounded in a Walmart parking lot, he had repeatedly fired his weapon at police while ignoring their demands to surrender, Salem police said.</t>
  </si>
  <si>
    <t>Hector Morejon</t>
  </si>
  <si>
    <t>http://www.killedbypolice.net/victims/150370.jpg</t>
  </si>
  <si>
    <t>1100 Hoffman Ave</t>
  </si>
  <si>
    <t xml:space="preserve">Officers responding to a trespassing and vandalizing call at about 2:45 p.m. discovered two open windows on scene. The officer shot and killed Morejon after it appeared he pointed an object toward the officer. No weapon was found. </t>
  </si>
  <si>
    <t>Andrew Valadez</t>
  </si>
  <si>
    <t>Tyler St and Glenoaks Blvd</t>
  </si>
  <si>
    <t>Sylmar</t>
  </si>
  <si>
    <t>Around 7 a.m., officers responded to 911 calls about a man brandishing a gun in public. Officers responded, and Valadez pointed the gun at his head. He then turned around as if to walk away. He turned back and pointed his gun at officers, at least one of whom shot him. Valadez died at a nearby hospital.</t>
  </si>
  <si>
    <t>Karen Jenks</t>
  </si>
  <si>
    <t>2661 Gravenstein Hwy S</t>
  </si>
  <si>
    <t>Sebastopol</t>
  </si>
  <si>
    <t>Sonoma</t>
  </si>
  <si>
    <t>After a car chase Deputies ordered the woman driving, later identified as Janks, to surrender, but she allegedly accelerated in reverse and struck three deputies and a patrol vehicle behind them. Four deputies fired rounds into the vehicle striking the driver an undetermined amount of times</t>
  </si>
  <si>
    <t>Jonathan Efraim</t>
  </si>
  <si>
    <t>16802 Hillside Ave</t>
  </si>
  <si>
    <t>11432</t>
  </si>
  <si>
    <t>Queens</t>
  </si>
  <si>
    <t>Police responded to a report of a man inside a bar who fired a gun. On arrival, they chased the subject who allegedly fired at them. NYPD opened fire and shot and killed the man.</t>
  </si>
  <si>
    <t>Knox</t>
  </si>
  <si>
    <t>Knox County Sheriff's Office</t>
  </si>
  <si>
    <t>Joseph Potts</t>
  </si>
  <si>
    <t>182 N4430 Rd</t>
  </si>
  <si>
    <t>Rufe</t>
  </si>
  <si>
    <t>74755</t>
  </si>
  <si>
    <t>Police received a report that a man was shooting at neighbors. The man then set fire to his house and walked out, allegedly trying to grab an officer's gun. He was shot multiple times and died.</t>
  </si>
  <si>
    <t>Lue Vang</t>
  </si>
  <si>
    <t>4100 Eldorado Springs Dr</t>
  </si>
  <si>
    <t>Boulder County Sheriff's Office</t>
  </si>
  <si>
    <t>Deputies chased an alleged kidnapper in a white Honda Civic to Dowdy Draw trailhead. There, they approached the vehicle and spoke to three occupants. Deputy Jeffrey Brunkow watched through his riflescope as Lue Vang, sitting in the back, waved a .357 magnum revolver over his head and refused to exit the vehicle. Vang pointed his revolver at another occupant of the vehicle. Using his own vehicle as a rest, Brunkow shot Vang in the head.</t>
  </si>
  <si>
    <t>http://www.dailycamera.com/boulder-county-news/ci_27966283/boulder-county-sheriff-investigating-shooting-eldorado-springs-area</t>
  </si>
  <si>
    <t>William Chapman</t>
  </si>
  <si>
    <t>http://www.killedbypolice.net/victims/150360.jpg</t>
  </si>
  <si>
    <t>1098 Frederick Blvd</t>
  </si>
  <si>
    <t>Portsmouth</t>
  </si>
  <si>
    <t>23707</t>
  </si>
  <si>
    <t>Portsmouth City</t>
  </si>
  <si>
    <t>Portsmouth Police Department</t>
  </si>
  <si>
    <t>Walmart security called the police about a shoplifter. Police found the man in the parking lot. The officer pulled his taser out, there was a tussle, and the taser got knocked out of the officer's hand. The policeman pulled out his gun and the subject allegedly took off his shirt as though he was ready to fight. The officer opened fire, killing the subject on the scene.</t>
  </si>
  <si>
    <t>http://wtkr.com/2015/04/23/mother-of-teen-killed-by-portsmouth-police-he-didnt-deserve-this/</t>
  </si>
  <si>
    <t>91764</t>
  </si>
  <si>
    <t>Carlos Saavedra Ramirez</t>
  </si>
  <si>
    <t>http://www.killedbypolice.net/victims/150362.jpg</t>
  </si>
  <si>
    <t>101 Naco Hwy</t>
  </si>
  <si>
    <t>Bisbee</t>
  </si>
  <si>
    <t>85603</t>
  </si>
  <si>
    <t>Bisbee Police Department</t>
  </si>
  <si>
    <t>A woman called police reporting the subject was banging on her windows and being aggressive over a reported parking issue in a Safeway parking lot. When officers arrived, the homeless man, armed with a knife, was shot and killed by police.</t>
  </si>
  <si>
    <t>http://www.kvoa.com/story/28871705/officials-investigating-fatal-officer-involved-shooting-in-bisbee</t>
  </si>
  <si>
    <t>Reginald McGregor</t>
  </si>
  <si>
    <t>http://www.killedbypolice.net/victims/150358.jpg</t>
  </si>
  <si>
    <t>200 North Retta St</t>
  </si>
  <si>
    <t>Police were called about a home that was being broken into. He allegedly struggled with the homeowner and fled the house, firing on the homeowner and police, who opened fire and killed the subject.</t>
  </si>
  <si>
    <t>http://www.star-telegram.com/news/local/community/fort-worth/article19316715.html</t>
  </si>
  <si>
    <t>Kimber Key</t>
  </si>
  <si>
    <t>107 White Falls Dr</t>
  </si>
  <si>
    <t>29212</t>
  </si>
  <si>
    <t>Lexington County Sheriff's Office</t>
  </si>
  <si>
    <t>The subject's brother called police to seek help for his brother who was allegedly suicidal. When officers arrived, the man was in the kitchen wielding a knife. The man was shot by a deputy and died.</t>
  </si>
  <si>
    <t>http://www.wltx.com/story/news/local/2015/04/22/man-shot-by-deputies-in-lexington-county-dies/26176707/</t>
  </si>
  <si>
    <t>Daniel Wolfe</t>
  </si>
  <si>
    <t>http://www.killedbypolice.net/victims/150355.jpg</t>
  </si>
  <si>
    <t>1714 Walker Ave</t>
  </si>
  <si>
    <t>07083</t>
  </si>
  <si>
    <t>Police were pursuing an alleged carjacked car that crashed into a group of parked cars. Officers opened fire on the subject, killing him at the scene.</t>
  </si>
  <si>
    <t>Luis Martinez</t>
  </si>
  <si>
    <t>3400 Manitou Ave</t>
  </si>
  <si>
    <t>90031</t>
  </si>
  <si>
    <t>Officers responded to a report of a man who might be trying to fatally stab himself with a knife. On the scene, the man refused to drop the knife and allegedly moved towards the officers who opened fire and killed him.</t>
  </si>
  <si>
    <t>Daniel I. Covarrubias</t>
  </si>
  <si>
    <t>http://www.killedbypolice.net/victims/150356.jpg</t>
  </si>
  <si>
    <t>3600 SW 108th St</t>
  </si>
  <si>
    <t>98499</t>
  </si>
  <si>
    <t>Lakewood Police Department</t>
  </si>
  <si>
    <t>Police responded to a call about a man running through a lumber yard "as if he were being chased by police." So, police chased him. The man vaulted a fence and climbed to the top of a 25-foot pile of wood. Police told him to put his hands up and the man reached into his pocket and they opened fire, killing him at the scene.</t>
  </si>
  <si>
    <t>http://www.komonews.com/news/local/Man-critically-wounded-in-officer-involved-shooting-in-Lakewood-300859491.html</t>
  </si>
  <si>
    <t>Stephen Gene Davenport</t>
  </si>
  <si>
    <t>http://www.killedbypolice.net/victims/150354.jpg</t>
  </si>
  <si>
    <t>Old Hwy 19 SE</t>
  </si>
  <si>
    <t>Meridian</t>
  </si>
  <si>
    <t>39301</t>
  </si>
  <si>
    <t>Lauderdale</t>
  </si>
  <si>
    <t>Lauderdale County Sheriff's Office</t>
  </si>
  <si>
    <t>Deputies responded to a call of two men fighting, apparently, in the middle of Highway 19 in rural Mississippi. While trying to arrest the subject a stun gun was used "unsuccessfully" according to deputies and as soon as the man was in handcuffs he became unresponsive. He was transported to a hospital where he died.</t>
  </si>
  <si>
    <t>Santos “Cuate” Cortez Hernandez</t>
  </si>
  <si>
    <t>http://www.killedbypolice.net/victims/150353.jpg</t>
  </si>
  <si>
    <t>Mission</t>
  </si>
  <si>
    <t>http://www.expressnews.com/news/local/article/Hidalgo-County-sheriff-says-leader-of-criminal-6220543.php</t>
  </si>
  <si>
    <t>Dana Duwane Hlavinka</t>
  </si>
  <si>
    <t>http://www.killedbypolice.net/victims/150352.jpg</t>
  </si>
  <si>
    <t>1363 Clark Dr</t>
  </si>
  <si>
    <t>Sidney</t>
  </si>
  <si>
    <t>69162</t>
  </si>
  <si>
    <t>Sidney Police Department</t>
  </si>
  <si>
    <t>Officers responded to a domestic call and found the subject's wife running from the house. Inside, the subject was armed with a knife and officers fired and killed him.</t>
  </si>
  <si>
    <t>Freddie Gray</t>
  </si>
  <si>
    <t>http://www.killedbypolice.net/victims/150349.jpg</t>
  </si>
  <si>
    <t>Mount St and Presbury St</t>
  </si>
  <si>
    <t>21217</t>
  </si>
  <si>
    <t>Baltimore Police Department</t>
  </si>
  <si>
    <t>http://www.ksat.com/content/pns/ksat/news/2015/04/19/man-dies-in-police-custody0.html</t>
  </si>
  <si>
    <t>Norman Cooper</t>
  </si>
  <si>
    <t>http://www.killedbypolice.net/victims/150350.jpg</t>
  </si>
  <si>
    <t>4827 Legend Well Dr</t>
  </si>
  <si>
    <t>78247</t>
  </si>
  <si>
    <t>Police were called on a report of a family disturbance and found the subject under the influence of "some sort of narcotic." The subject was uncooperative and wouldn't be escorted out so police fired a Taser at him. The subject then allegedly pulled the probes of the Taser out and a second Taser was fired at him. Shortly after, the subject became unresponsive and was pronounced dead at the scene.</t>
  </si>
  <si>
    <t>http://www.baltimoresun.com/news/maryland/bs-md-hagerstown-custody-death-20150417-story.html</t>
  </si>
  <si>
    <t>Michael Foster</t>
  </si>
  <si>
    <t>105 Hinkle St</t>
  </si>
  <si>
    <t>Wilmore</t>
  </si>
  <si>
    <t>40390</t>
  </si>
  <si>
    <t>Jessamine</t>
  </si>
  <si>
    <t>Wilmore Police Department</t>
  </si>
  <si>
    <t>Police were called to a residence they had been to several previous times, found a man outside with a gun who allegedly pointed it at them. Police fired at the man, killing him.</t>
  </si>
  <si>
    <t>Richard Brian Reed</t>
  </si>
  <si>
    <t>http://www.killedbypolice.net/victims/150351.jpg</t>
  </si>
  <si>
    <t>SW Wanamaker Rd and I-70</t>
  </si>
  <si>
    <t>Topeka</t>
  </si>
  <si>
    <t>66606</t>
  </si>
  <si>
    <t>Shawnee</t>
  </si>
  <si>
    <t>Topeka Police Department</t>
  </si>
  <si>
    <t>The subject allegedly carjacked two cars, the second of which he allegedly rammed into police cruisers. Police opened fire and the subject died nine days later in the hospital.</t>
  </si>
  <si>
    <t>http://cjonline.com/news/2015-04-19/coroners-office-man-shot-topeka-police-after-alleged-carjackings-died-saturday</t>
  </si>
  <si>
    <t>Thaddeus McCarroll</t>
  </si>
  <si>
    <t>http://www.killedbypolice.net/victims/150345.jpg</t>
  </si>
  <si>
    <t>9201 Riverwood Dr</t>
  </si>
  <si>
    <t>Jennings</t>
  </si>
  <si>
    <t>63136</t>
  </si>
  <si>
    <t>Police received a call from a mother concerned about her son, who she said had locked her out of her house and was walking around being very strange, speaking of "black revolution" and carrying swords and knives inside the house. The man left the house carrying a knife and a Bible, was hit by the "not-so-lethal" round and then allegedly charged at officers who opened fire, killing him at the scene.</t>
  </si>
  <si>
    <t>http://stlouis.cbslocal.com/2015/04/18/police-shoot-kill-man-armed-with-knife-and-bible/</t>
  </si>
  <si>
    <t>Erik Tellez</t>
  </si>
  <si>
    <t>https://www.facebook.com/erick.lagunastellez/photos</t>
  </si>
  <si>
    <t>20th St and Thomas Rd</t>
  </si>
  <si>
    <t>85006</t>
  </si>
  <si>
    <t>Officers were called to a park by a report of a man acting suspicious. The man was armed and said he thought there were snipers and others pointing guns at him. Before police had a chance to establish a conversation with the subject he allegedly opened fire and police returned fire, killing the man.</t>
  </si>
  <si>
    <t>Grover Zeno Sapp Jr.</t>
  </si>
  <si>
    <t>http://www.killedbypolice.net/victims/150346.jpg</t>
  </si>
  <si>
    <t>1200 Beck Ave</t>
  </si>
  <si>
    <t>Panama City</t>
  </si>
  <si>
    <t>32401</t>
  </si>
  <si>
    <t>Bay</t>
  </si>
  <si>
    <t>Panama City Police Department</t>
  </si>
  <si>
    <t>Officers responded to a report of a white male carrying a “long gun” in the around 5:30 a.m. Police encountered the suspect and after numerous commands to put down the gun the suspect “engaged” officers and they returned fire, killing him.</t>
  </si>
  <si>
    <t>http://www.newsherald.com/news/crime-public-safety/man-dies-after-officer-involved-shooting-on-beck-avenue-1.466560?tc=cr</t>
  </si>
  <si>
    <t>Jeffery Kemp</t>
  </si>
  <si>
    <t>http://jail.com/arrest-records/jeffery-kemp-7849409</t>
  </si>
  <si>
    <t>74th Street and Merrill Ave</t>
  </si>
  <si>
    <t>Officers on patrol near 71st Street and Paxton Avenue heard shots fired and saw a van speeding away from the area. A chase ensued and a man jumped from the vehicle with a gun in his hand. After a foot pursuit, officers commanded the man to drop the weapon. The man allegedly refused and pointed the gun at officers who fired and killed the man at the scene.</t>
  </si>
  <si>
    <t>Darrell Lawrence Brown</t>
  </si>
  <si>
    <t>402 North Prospect St</t>
  </si>
  <si>
    <t>Hagerstown</t>
  </si>
  <si>
    <t>21740</t>
  </si>
  <si>
    <t>Hagerstown Police Department</t>
  </si>
  <si>
    <t>Police responded to a call of a man attempting to break-into a house. They had reason to believe he was on drugs. The man allegedly made an aggressive stance toward police and was tasered an unknown number of times. He became unresponsive and was put in an ambulance and died at the hospital early the next morning.</t>
  </si>
  <si>
    <t>Elias Cavazos</t>
  </si>
  <si>
    <t>http://www.killedbypolice.net/victims/150343.jpg</t>
  </si>
  <si>
    <t>Girard Street and Acacia Ave</t>
  </si>
  <si>
    <t>92544</t>
  </si>
  <si>
    <t>Officers on anti-gang task force duty stopped a vehicle because they recognized the man in the passenger seat who was on parole and had a felony warrant for his arrest. As soon as the car stopped, the subject allegedly flung open his door and started firing at officers. Officers returned fire, killing the man at the scene.</t>
  </si>
  <si>
    <t>Charles</t>
  </si>
  <si>
    <t>Rodolfo Velazquez</t>
  </si>
  <si>
    <t>West Lerdo Hwy and South Wall St</t>
  </si>
  <si>
    <t>Shafter</t>
  </si>
  <si>
    <t>92363</t>
  </si>
  <si>
    <t>Shafter Police Department</t>
  </si>
  <si>
    <t>Officers shot and killed a man after he reportedly pulled a knife and approached them in an alley, not complying with their demands for him to put the knife down but instead moving closer to them.</t>
  </si>
  <si>
    <t>David Kapuscinski</t>
  </si>
  <si>
    <t>http://www.killedbypolice.net/victims/150341.jpg</t>
  </si>
  <si>
    <t>14680 Middle Gibraltar Rd</t>
  </si>
  <si>
    <t>Rockwood</t>
  </si>
  <si>
    <t>48173</t>
  </si>
  <si>
    <t>Gibraltar Police Department</t>
  </si>
  <si>
    <t>Officers arrived on the scene and confronted the subject who was allegedly in the act of assaulting the victim. Officers TASERed the man an unknown number of times. The man became unresponsive and died.</t>
  </si>
  <si>
    <t>Mark W. Adair</t>
  </si>
  <si>
    <t>http://www.killedbypolice.net/victims/150339.jpg</t>
  </si>
  <si>
    <t>Hitt St and Elm St</t>
  </si>
  <si>
    <t>65201</t>
  </si>
  <si>
    <t>Boone</t>
  </si>
  <si>
    <t>Police recognized the subject, an alleged sex offender, in a parking garage and approached him. Shots were fired after an "altercation between the two where the officer cornered him." The details are not yet known.</t>
  </si>
  <si>
    <t>Tevin Barkley</t>
  </si>
  <si>
    <t>http://www.killedbypolice.net/victims/150335.jpg</t>
  </si>
  <si>
    <t>840 NW 75th St</t>
  </si>
  <si>
    <t>33150</t>
  </si>
  <si>
    <t>Officers on bicycle patrol responded to a call about shots fired and at least one made contact with the subject who was found to have a Cobray M-11 assault-style weapon on his person. The officer fired and killed the subject.</t>
  </si>
  <si>
    <t>Donte Adaryll Noble</t>
  </si>
  <si>
    <t>200 Canaan Pointe Dr</t>
  </si>
  <si>
    <t>Spartanburg</t>
  </si>
  <si>
    <t>29306</t>
  </si>
  <si>
    <t>Spartanburg Police Department</t>
  </si>
  <si>
    <t>Police responded to a 911 call of a man stabbing a woman in an apartment complex. Once they located the apartment, officers kicked down the door and shot the suspect dead as he was stabbing the woman.</t>
  </si>
  <si>
    <t>http://www.killedbypolice.net/victims/150333.jpg</t>
  </si>
  <si>
    <t>Castlegory Rd and Wallisville Rd</t>
  </si>
  <si>
    <t>77015</t>
  </si>
  <si>
    <t>Police tried to initiate a traffic stop on a man due to "suspicious activity," including two unsafe lane changes. The man got out of the vehicle and then appeared to reach back into the vehicle when the two officers fired on him and killed him. No weapon was found in the vehicle.</t>
  </si>
  <si>
    <t>Ernesto Flores</t>
  </si>
  <si>
    <t>http://www.killedbypolice.net/victims/150336.jpg</t>
  </si>
  <si>
    <t>11157 Chico Ave</t>
  </si>
  <si>
    <t>Pomona</t>
  </si>
  <si>
    <t>97166</t>
  </si>
  <si>
    <t>Christopher Grant Finley</t>
  </si>
  <si>
    <t>http://www.killedbypolice.net/victims/150331.jpg</t>
  </si>
  <si>
    <t>900 Walnut St</t>
  </si>
  <si>
    <t>Jonesboro</t>
  </si>
  <si>
    <t>Craighead</t>
  </si>
  <si>
    <t>Jonesboro Police Department</t>
  </si>
  <si>
    <t xml:space="preserve">Finley struck an officer in the arm with a machete. Finely was then shot and killed. </t>
  </si>
  <si>
    <t>Highland</t>
  </si>
  <si>
    <t>Stanley Watson</t>
  </si>
  <si>
    <t>http://www.killedbypolice.net/victims/150332.jpg</t>
  </si>
  <si>
    <t>3120 East Main St</t>
  </si>
  <si>
    <t>81212</t>
  </si>
  <si>
    <t>Carson City Police Department</t>
  </si>
  <si>
    <t>The subject called police and said he was suicidal and was going to shoot his wife and his dog. Police responded and found out that he had carried out his threat. The man barricaded himself in his trailer, eventually coming out shooting with two guns. Police returned fire and killed the man at the scene.</t>
  </si>
  <si>
    <t>Shawn Clyde</t>
  </si>
  <si>
    <t>https://www.vinelink.com/vinelink/detailsAction.do?siteId=31000&amp;agency=11&amp;id=1100083552&amp;searchType=offender</t>
  </si>
  <si>
    <t>110 Nottinghill Ln</t>
  </si>
  <si>
    <t>Hamilton Township</t>
  </si>
  <si>
    <t>08619</t>
  </si>
  <si>
    <t>Mercer</t>
  </si>
  <si>
    <t>Hamilton Police Department</t>
  </si>
  <si>
    <t xml:space="preserve">Clyde was shot and killed by police after he refused to drop a knife he used to repeatedly stab his father, authorities said </t>
  </si>
  <si>
    <t xml:space="preserve">Pending investigation  </t>
  </si>
  <si>
    <t>Sullivan</t>
  </si>
  <si>
    <t>Colby Robinson</t>
  </si>
  <si>
    <t>http://www.killedbypolice.net/victims/150329.jpg</t>
  </si>
  <si>
    <t>7000 Altaire Ave</t>
  </si>
  <si>
    <t>DeSoto Police Department</t>
  </si>
  <si>
    <t xml:space="preserve">Robinson was wanted for murder and was found in Dallas. After a short foot chase Robinson was shot and killed. </t>
  </si>
  <si>
    <t>Isaac Jimenez</t>
  </si>
  <si>
    <t>3400 Lincoln Ave</t>
  </si>
  <si>
    <t>Police were called about a report of a suspect being in the area who was wanted for murder. On arrival, Jimenez allegedly displayed a handgun and was shot and killed at the scene.</t>
  </si>
  <si>
    <t>Celin Nunez</t>
  </si>
  <si>
    <t>3 Greens Rd</t>
  </si>
  <si>
    <t>77060</t>
  </si>
  <si>
    <t>The Guardian reports that Nunez's name was released to them by Harris County Institute of Forensic Sciances. Nunez was shot by Houston Police Officer David Sudderth while sitting in his truck at a gas station. Police say he was acting eradically.</t>
  </si>
  <si>
    <t>http://abc13.com/news/hpd-off-duty-officer-fatally-shoots-suspect/656854/</t>
  </si>
  <si>
    <t>Jason Lee Evans</t>
  </si>
  <si>
    <t>https://scontent-sjc.xx.fbcdn.net/hphotos-xfp1/t31.0-8/904300_108013602730490_1054741731_o.jpg</t>
  </si>
  <si>
    <t>North Carolina Hwy 242 and Reeda Branch Rd</t>
  </si>
  <si>
    <t>Salemburg</t>
  </si>
  <si>
    <t>28385</t>
  </si>
  <si>
    <t>Sampson</t>
  </si>
  <si>
    <t>Sampson County Sheriff's Office</t>
  </si>
  <si>
    <t>Evans fired a shot into the ceiling of a convenience store during an armed robbery. Deputies caught up with his vehicle about 20 miles away. Evans fired at the officers, who fatally shot him.</t>
  </si>
  <si>
    <t>Mack Long</t>
  </si>
  <si>
    <t>http://www.killedbypolice.net/victims/150324.jpg</t>
  </si>
  <si>
    <t>E 31st St and N Sherman Dr</t>
  </si>
  <si>
    <t>Officer Christopher Wilburn, an IMPD spokesman, said the officers chased the suspect, who was armed, and a struggle ensued. One officer was grazed by a bullet but suffered only minor injuries. Long was killed.</t>
  </si>
  <si>
    <t>Richard Dale Weaver</t>
  </si>
  <si>
    <t>http://www.killedbypolice.net/victims/150325.jpg</t>
  </si>
  <si>
    <t>Sleepy Hollow Dr and Misty Glen Dr</t>
  </si>
  <si>
    <t>Newalla</t>
  </si>
  <si>
    <t>74857</t>
  </si>
  <si>
    <t>Police responded to a call about an elderly man carrying a machete and making threats to passing cars and people in the area. An officer approached and the man refused to put the machete down. The officer shot and killed the man at the scene.</t>
  </si>
  <si>
    <t>Donald W. Allen</t>
  </si>
  <si>
    <t>http://www.killedbypolice.net/victims/150323.jpg</t>
  </si>
  <si>
    <t>W 51st St and S 129th Ave W</t>
  </si>
  <si>
    <t>Sand Springs</t>
  </si>
  <si>
    <t>Sand Springs Police Department</t>
  </si>
  <si>
    <t>Police said they received a call that a man was firing a gun in his backyard in Prattville and went to the neighborhood just after 8 a.m. Officers say he wouldn't drop the gun and threatened them. The man again confronted officers, rushing at one with the gun pointed, according to Sand Springs Chief of Police Daniel Bradley. That's when Bradley said the officer fired three shots and the man was killed.</t>
  </si>
  <si>
    <t>Angel Cresencio Corona Jr.</t>
  </si>
  <si>
    <t>http://www.killedbypolice.net/victims/150321.jpg</t>
  </si>
  <si>
    <t>4740 Barham Ave</t>
  </si>
  <si>
    <t>Corning</t>
  </si>
  <si>
    <t>96021</t>
  </si>
  <si>
    <t>Tehama</t>
  </si>
  <si>
    <t>Tehama County Sheriff's Department</t>
  </si>
  <si>
    <t>Deputies responded to a call of a disturbance in a mobile home park and found the subject outside a mobile home stabbing a relative. The deputy shot and killed the subject.</t>
  </si>
  <si>
    <t>Jess Leipold</t>
  </si>
  <si>
    <t>45 Major Bell Ln</t>
  </si>
  <si>
    <t>Gettysburg</t>
  </si>
  <si>
    <t>17325</t>
  </si>
  <si>
    <t>Leipold showed up to the Adams County prison with a gun and was killed by state police.</t>
  </si>
  <si>
    <t>Don Oneal Smith Jr.</t>
  </si>
  <si>
    <t>http://www.killedbypolice.net/victims/150319.jpg</t>
  </si>
  <si>
    <t>8516 N Meridian Rd</t>
  </si>
  <si>
    <t>Monon</t>
  </si>
  <si>
    <t>47959</t>
  </si>
  <si>
    <t>Indiana State Police, Tippecanoe County Sheriff's Department</t>
  </si>
  <si>
    <t>The subject committed an armed robbery and carjacking in Illinois where he took a hostage and drove to Indiana. There, he held up a check cashing business and eventually was run off the road by a set of police spike strips. He was killed in the subsequent shootout with police.</t>
  </si>
  <si>
    <t>Gordon Talmage Kimbrell Jr.</t>
  </si>
  <si>
    <t>(victim's dad) http://openpasts.com/photo/gordon-kimbrell/okaloosa-florida/0607135349069</t>
  </si>
  <si>
    <t>9265 Quail Roost Dr</t>
  </si>
  <si>
    <t>Navarre</t>
  </si>
  <si>
    <t>32566</t>
  </si>
  <si>
    <t>Santa Rosa</t>
  </si>
  <si>
    <t>Santa Rosa County Sheriff's Office</t>
  </si>
  <si>
    <t>Officers responded to a call about a man with a weapon and encountered the subject in possession of a samurai sword. He allegedly attacked the officers who shot him dead.</t>
  </si>
  <si>
    <t>Mark Smith</t>
  </si>
  <si>
    <t>http://www.killedbypolice.net/victims/150317.jpg</t>
  </si>
  <si>
    <t>W 141st St and 257th W Ave</t>
  </si>
  <si>
    <t>Kellyville</t>
  </si>
  <si>
    <t>74039</t>
  </si>
  <si>
    <t>Deputies responded to a domestic violence call at the subject's residence and an officer shot the subject, killing him at the scene. No further information has been released.</t>
  </si>
  <si>
    <t>Phillip Michael Burgess</t>
  </si>
  <si>
    <t>http://www.killedbypolice.net/victims/150318.jpg</t>
  </si>
  <si>
    <t>477 Belcher Rd</t>
  </si>
  <si>
    <t>Boiling Springs</t>
  </si>
  <si>
    <t>29316</t>
  </si>
  <si>
    <t>Spartanburg County Sheriff's Office</t>
  </si>
  <si>
    <t>Police went to the subject's house to serve a narcotics warrant when he allegedly pointed a gun at them and was killed by the officers.</t>
  </si>
  <si>
    <t>Dexter Bethea</t>
  </si>
  <si>
    <t>http://www.killedbypolice.net/victims/150314.jpg</t>
  </si>
  <si>
    <t>3022 James Rd</t>
  </si>
  <si>
    <t>Valdosta</t>
  </si>
  <si>
    <t>31602</t>
  </si>
  <si>
    <t>Lowndes</t>
  </si>
  <si>
    <t>Lowndes County Sheriff's Office</t>
  </si>
  <si>
    <t>Roberto Rodriguez</t>
  </si>
  <si>
    <t>4th St and Mathews St</t>
  </si>
  <si>
    <t>90033</t>
  </si>
  <si>
    <t>Officers chased the suspect, wanted for an earlier murder, on foot and shot him dead.</t>
  </si>
  <si>
    <t>Michael Earl Lemon</t>
  </si>
  <si>
    <t>11936 California Rte 178</t>
  </si>
  <si>
    <t>Lake Isabella</t>
  </si>
  <si>
    <t>93240</t>
  </si>
  <si>
    <t>The Kern County Sheriff's Office says they used less than lethal force on Lemon while trying to get him in handcuffs. They now say the two deputies used batons, tasers and pepper spray to control Lemon though its not clear which deputy used what.</t>
  </si>
  <si>
    <t>Joseph Jeremy Weber</t>
  </si>
  <si>
    <t>http://www.killedbypolice.net/victims/150312.jpg</t>
  </si>
  <si>
    <t>Tasman Dr and Lawrence Expy</t>
  </si>
  <si>
    <t>94089</t>
  </si>
  <si>
    <t>Police confronted the suspect in an alley after a liquor store robbery. The subject, an army veteran said to be suffering from PTSD allegedly moved toward one of the officers with a knife and was shot dead.</t>
  </si>
  <si>
    <t>Douglas Faith</t>
  </si>
  <si>
    <t>Karen Ln and Corinne Dr</t>
  </si>
  <si>
    <t>78218</t>
  </si>
  <si>
    <t>Police attempted a traffic stop but the subject allegedly led them on a chase. When they caught up to him in a Walmart parking lot he began screaming threats and started reaching for something in a bag. Officers fired and killed the man.</t>
  </si>
  <si>
    <t>Tyrell J. Larsen</t>
  </si>
  <si>
    <t>http://www.killedbypolice.net/victims/150310.jpg</t>
  </si>
  <si>
    <t>E 100 N</t>
  </si>
  <si>
    <t>Rigby</t>
  </si>
  <si>
    <t>83442</t>
  </si>
  <si>
    <t>Bonneville County</t>
  </si>
  <si>
    <t>A Bonneville County deputy tried to initiate a traffic stop on the subject who was a felon with charges of Larsen was a convicted felon with drug, weapons, traffic, and hunting violations. The subject refused to stop and turned off his lights, leading the deputy on a high-speed chase in the dark. Eventually he pulled into a driveway and drove into a cement foundation. When the deputy got out to see if the subject was OK, he drew a .22 caliber rifle and refused to drop it. The deputy fired and killed the subject.</t>
  </si>
  <si>
    <t>Erick Rose</t>
  </si>
  <si>
    <t>http://www.killedbypolice.net/victims/150311.jpg</t>
  </si>
  <si>
    <t>Post Office Neck Rd and Lake Rd</t>
  </si>
  <si>
    <t>74801</t>
  </si>
  <si>
    <t>Pottawatomie</t>
  </si>
  <si>
    <t>Pottawatomie County Sheriff's Office</t>
  </si>
  <si>
    <t>The subject led police on a high-speed pursuit and refused to get out of his car after it crashed. Officers shot him dead at the scene.</t>
  </si>
  <si>
    <t>Desmond Willis</t>
  </si>
  <si>
    <t>http://www.killedbypolice.net/victims/150307.jpg</t>
  </si>
  <si>
    <t>2515 Manhattan Blvd</t>
  </si>
  <si>
    <t>Richard August Hanna</t>
  </si>
  <si>
    <t>400 Steuber Rd</t>
  </si>
  <si>
    <t>Tehachapi</t>
  </si>
  <si>
    <t>Tehachapi Police Department</t>
  </si>
  <si>
    <t>Officers responding to a domestic violence call found Hanna in a vehicle with a weapon. He allegedly fired once while in the vehicle, exited and advanced on officers, who shot him. He died at Tehachapi Hospital.</t>
  </si>
  <si>
    <t>William J. Dick III</t>
  </si>
  <si>
    <t>Bureau of Indian Affairs Rd 66</t>
  </si>
  <si>
    <t>Tonasket</t>
  </si>
  <si>
    <t>98855</t>
  </si>
  <si>
    <t>Okanogan</t>
  </si>
  <si>
    <t>Police pursued the subject who had allegedly just robbed a hitchhiker of .22-caliber pistol at his head and took $150 and a fly rod. The subject crashed his van into a tree and fled on foot. the Forest Service officer used the Taser on Dick to gain compliance but Dick became unresponsive and died at the scene.</t>
  </si>
  <si>
    <t>Jared Forsyth</t>
  </si>
  <si>
    <t>http://www.killedbypolice.net/victims/150308.jpg</t>
  </si>
  <si>
    <t>11120 NW Gainesville Rd</t>
  </si>
  <si>
    <t>Ocala</t>
  </si>
  <si>
    <t>34482</t>
  </si>
  <si>
    <t>Ocala Police Department</t>
  </si>
  <si>
    <t>During a firearms training session at a local correctional institution Officer Forsyth accidentally took a round in the side, which bypassed his bulletproof vest and entered his chest. He died several hours later in surgery.</t>
  </si>
  <si>
    <t>Alexander Myers</t>
  </si>
  <si>
    <t>http://www.killedbypolice.net/victims/150305.jpg</t>
  </si>
  <si>
    <t>46221</t>
  </si>
  <si>
    <t>Police say the man, later identified as 23-year-old Alexander Myers, confronted officers with a rifle after they were called out on a report of a suicidal individual.</t>
  </si>
  <si>
    <t>Ken Cockerel</t>
  </si>
  <si>
    <t>W Union Hills Dr and N 39th Ave</t>
  </si>
  <si>
    <t>Police officers responded to a 911 call that a man had stabbed himself in the chest and after not responding to authorities, he was shot and killed.</t>
  </si>
  <si>
    <t>Paul Anthony Anderson</t>
  </si>
  <si>
    <t>http://www.killedbypolice.net/victims/150302.jpg</t>
  </si>
  <si>
    <t>150 E Lincoln Ave</t>
  </si>
  <si>
    <t>orange</t>
  </si>
  <si>
    <t>An Anaheim police officer shot and killed an armed man following a traffic stop.</t>
  </si>
  <si>
    <t>Justus Howell</t>
  </si>
  <si>
    <t>http://www.killedbypolice.net/victims/150303.jpg</t>
  </si>
  <si>
    <t>2300 Gilead Ave</t>
  </si>
  <si>
    <t>Zion</t>
  </si>
  <si>
    <t>Zion Police Department</t>
  </si>
  <si>
    <t>The officer fired two shots, reportedly hitting the victim in the back, when an officer spotted what he thought was a gun.</t>
  </si>
  <si>
    <t>Walter Scott</t>
  </si>
  <si>
    <t>http://www.killedbypolice.net/victims/150300.jpg</t>
  </si>
  <si>
    <t>1945 Remount Rd</t>
  </si>
  <si>
    <t>North Charleston</t>
  </si>
  <si>
    <t>29406</t>
  </si>
  <si>
    <t>Scott was pulled over by a North Charleston police officer Michael Slager. He pulled into the Advance Auto Parts store's parking lot. At that point, witnesses say the suspect tried to get out of his car which led to an argument. The man was shocked with a Taser and then tried to run away. Video evidence suggests Slager shot him in the back and then attempted to plant evidence to support his story that Scott took his Taser and Scott feared for his life.</t>
  </si>
  <si>
    <t>http://www.postandcourier.com/article/20150404/PC16/150409635/1180/man-shot-and-killed-by-north-charleston-police-officer-after-traffic-stop-sled-investigating</t>
  </si>
  <si>
    <t>Ethan Noll</t>
  </si>
  <si>
    <t>http://www.killedbypolice.net/victims/150299.jpg</t>
  </si>
  <si>
    <t>Mountainair St</t>
  </si>
  <si>
    <t>Edgewood</t>
  </si>
  <si>
    <t>New Mexico State Police</t>
  </si>
  <si>
    <t>The fatal shooting of an Edgewood man by State Police officers early Saturday came after at least three calls to the police in a neighborhood dispute and ended when the man stepped from his truck and pointed a semiautomatic-type rifle at officers and refused to drop it,</t>
  </si>
  <si>
    <t>David Cody Lynch</t>
  </si>
  <si>
    <t>http://www.killedbypolice.net/victims/150301.jpg</t>
  </si>
  <si>
    <t>11974-11998 US-64</t>
  </si>
  <si>
    <t>Muskogee County</t>
  </si>
  <si>
    <t>Muskogee</t>
  </si>
  <si>
    <t>Warner Police Department</t>
  </si>
  <si>
    <t>When a Warner officer arrived at U.S. 64 near 158th Street South to investigate, Lynch assaulted the officer, according to an OSBI news release. The officer “deployed his Taser,” the release stated. After Lynch was handcuffed, the officer noticed Lynch was not breathing. An ambulance took him to a Muskogee hospital where he was pronounced dead</t>
  </si>
  <si>
    <t>Darrin A. Langford</t>
  </si>
  <si>
    <t>12th Ave and Glenhurst Ct</t>
  </si>
  <si>
    <t>Rock Island</t>
  </si>
  <si>
    <t>Rock Island Police Department</t>
  </si>
  <si>
    <t>Police say arriving officers engaged in a foot pursuit with an individual who was observed to be armed with a handgun.</t>
  </si>
  <si>
    <t>Christopher A. Prevatt</t>
  </si>
  <si>
    <t>http://www.killedbypolice.net/victims/150298.jpg</t>
  </si>
  <si>
    <t>123 Gregory Pl</t>
  </si>
  <si>
    <t>Winchester</t>
  </si>
  <si>
    <t>Frederick</t>
  </si>
  <si>
    <t>Frederick County Sheriff's Office</t>
  </si>
  <si>
    <t>Donald "Dontay" Ivy</t>
  </si>
  <si>
    <t>http://www.killedbypolice.net/victims/150293.jpg</t>
  </si>
  <si>
    <t>Lark St and Second St</t>
  </si>
  <si>
    <t>Albany</t>
  </si>
  <si>
    <t>City of Albany Police Department</t>
  </si>
  <si>
    <t>At approximately 12:36 a.m., officers questioned Ivy, a paranoid schizophrenic with a heart condition. He fled down Second Street. Officers chased Ivy, shooting him with a Taser at least once. The Taser failed to subdue Ivy, whom they chased and handcuffed. When he stopped breathing, officers attempted CPR and called for help. Ivy died at Albany Medical Center. </t>
  </si>
  <si>
    <t>Eric Courtney Harris</t>
  </si>
  <si>
    <t>http://www.killedbypolice.net/victims/150294.jpg</t>
  </si>
  <si>
    <t>Tulsa County Sheriff's Office</t>
  </si>
  <si>
    <t>Suspect accidently shot by "special deputy" who claims he mistook his pistol for a taser.</t>
  </si>
  <si>
    <t>Donald J. Hicks</t>
  </si>
  <si>
    <t>Illinois Rte 145 and Waldo Church Rd</t>
  </si>
  <si>
    <t>Metropolis</t>
  </si>
  <si>
    <t>62960</t>
  </si>
  <si>
    <t>Massac</t>
  </si>
  <si>
    <t>Metropolis Police Department</t>
  </si>
  <si>
    <t>Authorities reported that Hicks was suicidal, and when they responded to a call they found him driving. As a car chase ended because Hicks drove over spike strips, officers allege that he pointed a gun at an officer, and the officer then shot him to death.</t>
  </si>
  <si>
    <t>Aaron Marcus Rutledge</t>
  </si>
  <si>
    <t>http://www.killedbypolice.net/victims/150296.jpg</t>
  </si>
  <si>
    <t>Pineville</t>
  </si>
  <si>
    <t>71360</t>
  </si>
  <si>
    <t>Rapides</t>
  </si>
  <si>
    <t>Rapides Parish Sheriff's Office</t>
  </si>
  <si>
    <t>A Rapides Parish Sheriff's deputy fatally shot a man Thursday morning in Pineville after he had pointed a gun at deputies and had refused to drop the weapon, according to a release.</t>
  </si>
  <si>
    <t>Robert Washington</t>
  </si>
  <si>
    <t>14200 Kornblum Ave</t>
  </si>
  <si>
    <t>Hawthorne</t>
  </si>
  <si>
    <t>Hawthorne Police Department</t>
  </si>
  <si>
    <t>Denise Chiffon Berry pulled up to an officer, claiming that she and her son, 12, were being followed. She parked in front of the officer's car. A white Cadillac pulled up to the officer and the woman. Washington, in the passenger seat, began shooting. The officer shot back. Washington killed the woman and wounded her son. The officer killed Washington. Two other men in the Cadillac were arrested.</t>
  </si>
  <si>
    <t>Tyrail Ezell</t>
  </si>
  <si>
    <t>https://mgtvwkrn.files.wordpress.com/2015/03/tyrail-ezell.jpg?w=240</t>
  </si>
  <si>
    <t>2333 Rosa L Parks Blvd</t>
  </si>
  <si>
    <t>37228</t>
  </si>
  <si>
    <t>It's alleged that Ezell was shot after after another man driving the car rammed unoccupied police vehicles and swerved in the direction of the officers trying to arrest them during a cocaine peddling investigation.</t>
  </si>
  <si>
    <t>http://wkrn.com/2015/03/31/metro-police-officer-involved-in-shooting/</t>
  </si>
  <si>
    <t>Phillip White</t>
  </si>
  <si>
    <t>http://www.gannett-cdn.com/-mm-/cccdf6592c864812332bf7467463925b3d2670e1/c=0-78-621-544&amp;r=x404&amp;c=534x401/local/-/media/Vineland/2015/04/01/B9316823877Z.1_20150401144449_000_GCDACSMGE.1-0.jpg</t>
  </si>
  <si>
    <t>100 Grape Street</t>
  </si>
  <si>
    <t>Vineland</t>
  </si>
  <si>
    <t>08360</t>
  </si>
  <si>
    <t>Cumberland</t>
  </si>
  <si>
    <t>Vineland Police Department</t>
  </si>
  <si>
    <t>Beaten</t>
  </si>
  <si>
    <t>White was resisting arrest, and was kicked punched, and bitten by a police dog. At some point after that, he died in police custody.</t>
  </si>
  <si>
    <t>http://www.dailykos.com/story/2015/04/01/1374779/-Witness-Jersey-police-punched-kicked-and-dog-bit-Phillip-White-s-face-before-he-died-in-custody</t>
  </si>
  <si>
    <t>Benjamin Quezada</t>
  </si>
  <si>
    <t>http://www.killedbypolice.net/victims/150289.jpg</t>
  </si>
  <si>
    <t>West Texas and Gaillard Street</t>
  </si>
  <si>
    <t>Baytown</t>
  </si>
  <si>
    <t>Baytown Police Department</t>
  </si>
  <si>
    <t>Benjamin Quezada, 21, was shot and killed by a Baytown police officer early Tuesday after officials said he pointed what appeared to be an AR-15 at the officer. The gun turned out to be a pellet rifle.</t>
  </si>
  <si>
    <t>Jeremy James Anderson</t>
  </si>
  <si>
    <t>http://www.baynews9.com/content/dam/news/images/2015/04/1/New-Jeremy-Anderson-040115.jpg</t>
  </si>
  <si>
    <t>16040 Grass Lake Drive</t>
  </si>
  <si>
    <t>33618</t>
  </si>
  <si>
    <t>U.S. Marshals Service, Tampa Police Department</t>
  </si>
  <si>
    <t>Anderson was wanted on sex-related charges and was deemed a high-risk arrest. Federal and local officers encountered him in a residential back yard, and Anderson was fatally shot after he exchanged fire with them.</t>
  </si>
  <si>
    <t>http://www.baynews9.com/content/news/baynews9/news/article.html/content/news/articles/bn9/2015/3/31/suspect_shot_during_.html</t>
  </si>
  <si>
    <t>Dominick R. Wise</t>
  </si>
  <si>
    <t>http://www.killedbypolice.net/victims/150286.jpg</t>
  </si>
  <si>
    <t>1301 Spring Meadow Ln</t>
  </si>
  <si>
    <t>Culpeper</t>
  </si>
  <si>
    <t>Culpeper Police Department</t>
  </si>
  <si>
    <t>Officer saw Wise “acting erratically by walking in circles in the middle of the street.” Officer chased and confronted Wise and tased him an undetermined amount of times.</t>
  </si>
  <si>
    <t>http://www.fredericksburg.com/news/crime_courts/culpeper-man-dies-after-being-tasered-by-police/article_46debc2a-d727-11e4-a18f-5b06a6f5b1bd.html</t>
  </si>
  <si>
    <t>Maya Hall</t>
  </si>
  <si>
    <t>http://cnsnews.com/sites/default/files/c999213f79a54d4bb9c3d0ad0f7662cd.jpg?1427900763</t>
  </si>
  <si>
    <t>4409 Llewellyn Avenue</t>
  </si>
  <si>
    <t>Fort George Meade</t>
  </si>
  <si>
    <t>20755</t>
  </si>
  <si>
    <t>Anne Arundel</t>
  </si>
  <si>
    <t>National Security Administration Police Department</t>
  </si>
  <si>
    <t>Officers reported that Hall was driving with another person towards a restricted access gate the National Security Administration, and when she disobeyed orders to leave and sped towards a police cruiser, she was shot to death.</t>
  </si>
  <si>
    <t>http://cnsnews.com/news/article/driver-killed-nsa-identified-transgender-friend-says</t>
  </si>
  <si>
    <t>Brian Avon Babb</t>
  </si>
  <si>
    <t>https://www.facebook.com/photo.php?fbid=407462292640321&amp;set=a.117016721684881.34299.100001296626241&amp;type=1&amp;theater</t>
  </si>
  <si>
    <t>2200 Devos Street</t>
  </si>
  <si>
    <t>Eugene</t>
  </si>
  <si>
    <t>97402</t>
  </si>
  <si>
    <t>Lane</t>
  </si>
  <si>
    <t>Eugene Police Department</t>
  </si>
  <si>
    <t>Police haven't released any information except to say he died on his porch.</t>
  </si>
  <si>
    <t>http://registerguard.com/rg/news/local/32927249-75/police-suicidal-man-fatally-shot-by-eugene-officer-in-bethel-neighborhood.html.csp</t>
  </si>
  <si>
    <t>Jason Moland</t>
  </si>
  <si>
    <t>3700 Beyer Park Dr</t>
  </si>
  <si>
    <t>Ceres</t>
  </si>
  <si>
    <t>95355</t>
  </si>
  <si>
    <t>Stanislaus</t>
  </si>
  <si>
    <t>Ceres Police Department</t>
  </si>
  <si>
    <t>An off-duty police officer and a woman were in a park at night, and Moland approached them. There was a confrontation in which Moland pointed a BB gun, and the off-duty police officer shot Moland to death.</t>
  </si>
  <si>
    <t>http://www.news10.net/story/news/local/modesto/2015/03/30/ceres-officer-fatal-shooting/70660046/</t>
  </si>
  <si>
    <t>John Allen</t>
  </si>
  <si>
    <t>841 Avenue A</t>
  </si>
  <si>
    <t>Boulder City</t>
  </si>
  <si>
    <t>89005</t>
  </si>
  <si>
    <t>Boulder City Police Department</t>
  </si>
  <si>
    <t>Officers reported that they responded to a call about gunshots fired, and when they arrived Allen was outside his apartment and shot at them, at which point they shot him to death.</t>
  </si>
  <si>
    <t>http://www.reviewjournal.com/news/las-vegas/coroner-ids-man-killed-boulder-city-police</t>
  </si>
  <si>
    <t>Byron Hebert</t>
  </si>
  <si>
    <t>111 Towne Drive</t>
  </si>
  <si>
    <t>42701</t>
  </si>
  <si>
    <t>Elizabethtown Police Department</t>
  </si>
  <si>
    <t>http://www.wlky.com/news/Police-identify-man-shot-killed-by-Elizabethtown-officer/32106934</t>
  </si>
  <si>
    <t>Robert Rooker</t>
  </si>
  <si>
    <t>Fields Hollow Road</t>
  </si>
  <si>
    <t>Peebles</t>
  </si>
  <si>
    <t>Pike</t>
  </si>
  <si>
    <t>Pike County Sheriff's Office</t>
  </si>
  <si>
    <t>Pike County prosecutors report three deputies were chasing after a man who repeatedly rammed his vehicle into theirs, later shooting and killing him.</t>
  </si>
  <si>
    <t>Angelo West</t>
  </si>
  <si>
    <t>http://bostinno.streetwise.co/2015/03/28/boston-police-i-d-angelo-west-in-shooting-of-officer-john-moynihan/</t>
  </si>
  <si>
    <t>Humboldt Avenue and Ruthven Street</t>
  </si>
  <si>
    <t>02121</t>
  </si>
  <si>
    <t>Boston Police Department</t>
  </si>
  <si>
    <t>Officers of The Youth Violence Strike Force pulled West over and he began firing at them, hitting one cop point blank. They returned fire, killing him.</t>
  </si>
  <si>
    <t>http://www.killedbypolice.net/victims/150279.jpg</t>
  </si>
  <si>
    <t>500 West Vineyard Avenue</t>
  </si>
  <si>
    <t>Oxnard</t>
  </si>
  <si>
    <t>Ventura</t>
  </si>
  <si>
    <t>Oxnard Police Department</t>
  </si>
  <si>
    <t>Meagan Hockaday, of Oxnard, was pronounced dead at the scene after being shot as she advanced with a knife.</t>
  </si>
  <si>
    <t>Jamalis Hall</t>
  </si>
  <si>
    <t>http://media2.wptv.com/photo/2015/03/27/wptv-Jamalis-Hall_1427461140854_15676033_ver1.0_320_240.jpg</t>
  </si>
  <si>
    <t>1000 Mayflower Road</t>
  </si>
  <si>
    <t>Fort Pierce</t>
  </si>
  <si>
    <t>34950</t>
  </si>
  <si>
    <t>St. Lucie</t>
  </si>
  <si>
    <t>Saint Lucie County Sheriff's Office</t>
  </si>
  <si>
    <t>Task force trying to serve a warrant pulled suspect over. Suspect allegedly reached for a filet knife, and police opened fire.</t>
  </si>
  <si>
    <t>http://www.wptv.com/news/region-st-lucie-county/fort-pierce/officer-involved-shooting-in-fort-pierce</t>
  </si>
  <si>
    <t>Adrian Hernandez</t>
  </si>
  <si>
    <t>http://www.turnto23.com/news/local-news/pursuit-ends-in-gunfire-near-garces-high-school</t>
  </si>
  <si>
    <t>4000 Union Avenue</t>
  </si>
  <si>
    <t>93305</t>
  </si>
  <si>
    <t>The suspect in a rape and murder, Hernandez set fire to his ex's house and led police on a chase, ending when he got out of his car brandishing a gun.</t>
  </si>
  <si>
    <t>Name withheld by police</t>
  </si>
  <si>
    <t>Shadytree Lane and Glen Arbor Driv</t>
  </si>
  <si>
    <t>Encinitas</t>
  </si>
  <si>
    <t>92024</t>
  </si>
  <si>
    <t>Encinitas Police Department</t>
  </si>
  <si>
    <t>Police responded to a 911 hang-up and found a man sitting on his lawn pointing a shotgun at himself. He allegedly pointed it at police and asked them to kill him. They obliged.</t>
  </si>
  <si>
    <t>http://patch.com/california/encinitas/sheriffs-deputy-shoots-encinitas-man-dead-apparent-suicide-cop-0</t>
  </si>
  <si>
    <t>Neil Seifert</t>
  </si>
  <si>
    <t>40 North Main St.</t>
  </si>
  <si>
    <t>Webster</t>
  </si>
  <si>
    <t>01570</t>
  </si>
  <si>
    <t>Webster Police Department</t>
  </si>
  <si>
    <t>Officers reported that they responded to a call in which Seifert had attacked his on-again off-again girlfriend. When Seifert shot at the officers, they returned fire and killed him. The location was on Main Street in Webster, Massachusetts.</t>
  </si>
  <si>
    <t>http://www.necn.com/news/new-england/Suspect-Shot-After-Leading-Police-on-Pursuit-Opening-Fire-297759021.html</t>
  </si>
  <si>
    <t>Harvey E. Oates</t>
  </si>
  <si>
    <t>Horseshoe Run Road</t>
  </si>
  <si>
    <t>Fort Ashby</t>
  </si>
  <si>
    <t>26719</t>
  </si>
  <si>
    <t>Police responded to a man with known warrants who was "agitated" and armed. After a 90 minute negotiation, Oates allegedly charged at a cop and was shot dead.</t>
  </si>
  <si>
    <t>http://wvmetronews.com/2015/03/28/state-police-shoot-armed-man/</t>
  </si>
  <si>
    <t>Adrian Solis</t>
  </si>
  <si>
    <t>1500 Bayview Avenue</t>
  </si>
  <si>
    <t>90744</t>
  </si>
  <si>
    <t>Officers responded to a call about a suicidal man with a knife.</t>
  </si>
  <si>
    <t>http://www.dailybreeze.com/government-and-politics/20150327/knife-wielding-wilmington-man-killed-in-officer-involved-shooting-identified</t>
  </si>
  <si>
    <t>Deanne Choate</t>
  </si>
  <si>
    <t>http://www.killedbypolice.net/victims/150271.jpg</t>
  </si>
  <si>
    <t>400 North Birch Street</t>
  </si>
  <si>
    <t>Gardner</t>
  </si>
  <si>
    <t>66030</t>
  </si>
  <si>
    <t>Johnson</t>
  </si>
  <si>
    <t>Gardner Police Department</t>
  </si>
  <si>
    <t>Police responded to a call from boyfriend saying his girlfriend had discharged a gun inside her house. The details are unknown at this point.</t>
  </si>
  <si>
    <t>http://www.kshb.com/news/local-news/officer-involved-shooting-in-gardner-kan-leaves-1-woman-dead-2-officers-on-administrative-leave</t>
  </si>
  <si>
    <t>Jeremy L. Kelly</t>
  </si>
  <si>
    <t>Dixie Street</t>
  </si>
  <si>
    <t>Johnsonville</t>
  </si>
  <si>
    <t>29555</t>
  </si>
  <si>
    <t>Florence</t>
  </si>
  <si>
    <t>Officers respsonded to a call of shots fired, SWAT team called and opened fire when suspect pointed gun at them.</t>
  </si>
  <si>
    <t>http://www.carolinalive.com/news/story.aspx?id=1182204#.VRcxveEqrIW</t>
  </si>
  <si>
    <t>Victor Daniel Terrazas</t>
  </si>
  <si>
    <t>102nd Street and Vermont Avenue</t>
  </si>
  <si>
    <t>90044</t>
  </si>
  <si>
    <t>Police were investigating the murder of a woman just four block away when they found the suspect armed with a shotgun. Police opened fire killing the suspect.</t>
  </si>
  <si>
    <t>http://www.nbclosangeles.com/news/local/Deputy-Shoots-Suspected-Gunman-South-Los-Angeles-297492071.html</t>
  </si>
  <si>
    <t>Nicholas Thomas</t>
  </si>
  <si>
    <t>https://pbs.twimg.com/media/CA6KRfhW4AEFQrD.png:large</t>
  </si>
  <si>
    <t>2475 Cumberland Parkway</t>
  </si>
  <si>
    <t>30339</t>
  </si>
  <si>
    <t>Cobb</t>
  </si>
  <si>
    <t>Cobb County Police Department</t>
  </si>
  <si>
    <t>Suspect, a mechanic, was at his job when police called his boss and told them they were going to serve a warrant on the suspect. When police arrived the suspect started driving the car he was working on around the business. Police opened fire and killed him.</t>
  </si>
  <si>
    <t>http://www.cbs46.com/story/28611922/details-emerge-in-deadly-cobb-county-police-shooting</t>
  </si>
  <si>
    <t>Walter Brown III</t>
  </si>
  <si>
    <t>http://www.gannett-cdn.com/-mm-/3270c0bd35959d25475f2fbd501e8bb76dc0de70/c=5-0-3261-2448&amp;r=x383&amp;c=540x380/local/-/media/2015/03/25/WVEC/WVEC/635628941662895361-Walter-Brown.JPG</t>
  </si>
  <si>
    <t>19 Colin Drive</t>
  </si>
  <si>
    <t>23701</t>
  </si>
  <si>
    <t>Norfolk</t>
  </si>
  <si>
    <t>Virginia State Police</t>
  </si>
  <si>
    <t>Suspect was pursued by police to his home where he struggled and was Tasered twice. Police say he pulled a gun and shot him dead.</t>
  </si>
  <si>
    <t>http://wavy.com/2015/03/24/portsmouth-police-confirm-officer-involved-shooting/</t>
  </si>
  <si>
    <t>Joseph Tassinari</t>
  </si>
  <si>
    <t>https://www.linkedin.com/pub/joseph-tassinari/62/4a8/295</t>
  </si>
  <si>
    <t>North 67th Ave. and West Peoria Ave.</t>
  </si>
  <si>
    <t>Glendale</t>
  </si>
  <si>
    <t>85302</t>
  </si>
  <si>
    <t>Glendale Police Department</t>
  </si>
  <si>
    <t>Tassinari, a Vietnam veteran, "showed a gun" to a woman at an ATM machine. She gave his license plates to the police, who showed up at his home and found him in his car. He reached for something in the waistband and was tasered (to little or no effect) and then shot.</t>
  </si>
  <si>
    <t>http://www.azcentral.com/story/news/12-news/2015/03/25/12news-officer-involved-shooting-glendale-joe-tassinari/70463988/</t>
  </si>
  <si>
    <t>Scott Dunham</t>
  </si>
  <si>
    <t>http://www.kcra.com/image/view/-/32007504/medRes/1/-/maxh/460/maxw/620/-/14rfpcxz/-/ScottDunham-jpg.jpg</t>
  </si>
  <si>
    <t>2600 Senter Rd</t>
  </si>
  <si>
    <t>95111</t>
  </si>
  <si>
    <t>It's alleged that Dunham shot and killed an officer from his balcony after two officers responded to a call from Dunham's relative that he was intoxicated, mentally ill, and armed. The accompanying officer who lived then shot Dunham to death.</t>
  </si>
  <si>
    <t>http://www.kcra.com/news/pinpoint-shot-killed-man-who-gunned-down-san-jose-officer/32050018</t>
  </si>
  <si>
    <t>Steven T. Snyder</t>
  </si>
  <si>
    <t>http://wbay.com/2015/03/24/officer-shot-in-fond-du-lac-standoff/</t>
  </si>
  <si>
    <t>W Johnson St &amp; US-41</t>
  </si>
  <si>
    <t>Fond du Lac</t>
  </si>
  <si>
    <t>54937</t>
  </si>
  <si>
    <t>Wisconsin State Police</t>
  </si>
  <si>
    <t>State trooper on his first day out alone on duty thought he recognized man from bank robbery and tried to pull him over. Suspect shot and killed officer whose shots killed him..</t>
  </si>
  <si>
    <t>http://www.jsonline.com/news/crime/3-dead-including-trooper-after-trail-of-violence-ends-in-fond-du-lac-b99468884z1-297498871.html</t>
  </si>
  <si>
    <t>Vancouver</t>
  </si>
  <si>
    <t>Clark County Sheriff's Office</t>
  </si>
  <si>
    <t>Denzel Brown</t>
  </si>
  <si>
    <t>https://pbs.twimg.com/media/CAzMKPJW8AACyDP.jpg:large</t>
  </si>
  <si>
    <t>1851 West Sunrise Highway</t>
  </si>
  <si>
    <t>Islip</t>
  </si>
  <si>
    <t>11706</t>
  </si>
  <si>
    <t>Suffolk County Police Department</t>
  </si>
  <si>
    <t>https://www.longislandexchange.com/press-releases/suspect-dies-after-officer-involved-shooting-in-bay-shore/</t>
  </si>
  <si>
    <t>Devin J. Gates</t>
  </si>
  <si>
    <t>2105 Scott Blvd.</t>
  </si>
  <si>
    <t>Santa Clara Police Department</t>
  </si>
  <si>
    <t>Gates allegedly walked into a 7-11 and tried to rob it at gunpoint. Officers responded in the parking lot, shooting him dead.</t>
  </si>
  <si>
    <t>http://www.mercurynews.com/crime-courts/ci_27778858/tracy-man-identified-person-killed-by-santa-clara</t>
  </si>
  <si>
    <t>Williamsburg</t>
  </si>
  <si>
    <t>Kentucky State Police Department</t>
  </si>
  <si>
    <t>Christopher R. Healy</t>
  </si>
  <si>
    <t>http://portlandtribune.com/images/artimg/00003509972183.jpg</t>
  </si>
  <si>
    <t>2300 Southeast 130th Avenue</t>
  </si>
  <si>
    <t>97233</t>
  </si>
  <si>
    <t>Police called to a home for a burglary and were confronted by the subject with a knife. Officers opened fire and killed the man.</t>
  </si>
  <si>
    <t>http://www.oregonlive.com/pacific-northwest-news/index.ssf/2015/03/man_shot_by_police_in_east_por.html</t>
  </si>
  <si>
    <t>Tulsa Police Department</t>
  </si>
  <si>
    <t>Found Excusable</t>
  </si>
  <si>
    <t>Palatka</t>
  </si>
  <si>
    <t>32177</t>
  </si>
  <si>
    <t>Putnam County Sheriff's Office</t>
  </si>
  <si>
    <t>Gary Page</t>
  </si>
  <si>
    <t>1790 East Voorhees Street</t>
  </si>
  <si>
    <t>Harmony</t>
  </si>
  <si>
    <t>47853</t>
  </si>
  <si>
    <t>Clay</t>
  </si>
  <si>
    <t>Clay County Sheriff's Office</t>
  </si>
  <si>
    <t>Subject called police and asked them to come shoot him. They found him waving a gun and fired at him, killing him at the scene.</t>
  </si>
  <si>
    <t>http://wthitv.com/2015/03/21/one-person-dead-after-police-action-shooting/</t>
  </si>
  <si>
    <t>Jason L. Smith</t>
  </si>
  <si>
    <t>4600 Summit Street</t>
  </si>
  <si>
    <t>43202</t>
  </si>
  <si>
    <t>Columbus Police Department</t>
  </si>
  <si>
    <t>Man was making threats to his family. He returned when the police arrived and struggled with an officer who shot and killed him.</t>
  </si>
  <si>
    <t>www.nbc4i.com/story/28581173/officer-involved-shooting-on-citys-north-side</t>
  </si>
  <si>
    <t>Enoch Gaver</t>
  </si>
  <si>
    <t>2003 E Rodeo Drive</t>
  </si>
  <si>
    <t>Cottonwood Police Department</t>
  </si>
  <si>
    <t>Police responded to an assault on a female at Walmart and were greeted by a group of people who allegedly attacked them. Gaver was shot and killed in the melee. Family allegedly lived on the lot and were a Christian band.</t>
  </si>
  <si>
    <t>http://www.dailymail.co.uk/news/article-3009456/Christian-band-named-end-days-identified-group-got-deadly-gunfight-police-Walmart-parking-lot.html</t>
  </si>
  <si>
    <t>James J. Ellis</t>
  </si>
  <si>
    <t>http://www.whec.com/whecimages/repository/2015-03/ellisjames.jpg</t>
  </si>
  <si>
    <t>NY-31A</t>
  </si>
  <si>
    <t>Clarendon</t>
  </si>
  <si>
    <t>14470</t>
  </si>
  <si>
    <t>Orleans County Sheriff's Office</t>
  </si>
  <si>
    <t>Police responded to a call about a man shooting a gun in the town of Shelby. Subject fled at high speed and crashed into a telephone pole. He then went into the woods and tried to shoot the police.</t>
  </si>
  <si>
    <t>http://www.whec.com/news/stories/S3742306.shtml?cat=565</t>
  </si>
  <si>
    <t>Philip Conley</t>
  </si>
  <si>
    <t>http://www.killedbypolice.net/victims/150255.jpg</t>
  </si>
  <si>
    <t>904 Admiral Callaghan Lane</t>
  </si>
  <si>
    <t>Vallejo</t>
  </si>
  <si>
    <t>94591</t>
  </si>
  <si>
    <t>Solano</t>
  </si>
  <si>
    <t>Vallejo Police Department</t>
  </si>
  <si>
    <t>Man with a fake gun in his waistband commits suicide by cop wielding knife in parking lot. Left note for his loved ones.</t>
  </si>
  <si>
    <t>http://kron4.com/2015/03/22/vallejo-police-kill-knife-wielding-man-displaying-fake-gun-in-his-waistband/</t>
  </si>
  <si>
    <t>Richard White</t>
  </si>
  <si>
    <t>http://www.nola.com/crime/index.ssf/2015/03/new_orleans_airport_machete_at.html</t>
  </si>
  <si>
    <t>900 Airline Drive</t>
  </si>
  <si>
    <t>Kenner</t>
  </si>
  <si>
    <t>70062</t>
  </si>
  <si>
    <t>Jefferson Parish Police Department</t>
  </si>
  <si>
    <t>Subject allegedly chased a TSA agent with a machete and was shot by police.</t>
  </si>
  <si>
    <t>Tyrel W. Vick</t>
  </si>
  <si>
    <t>http://kotv.images.worldnow.com/images/7205478_G.jpg</t>
  </si>
  <si>
    <t>Highway 31B</t>
  </si>
  <si>
    <t>Wapanucka</t>
  </si>
  <si>
    <t>73461</t>
  </si>
  <si>
    <t>Police were looking for subject in the death of his brother and saw him on the hgihway in brother's truck. A chase ensued. Subject shot at police. Police shot back, killing subject.</t>
  </si>
  <si>
    <t>http://www.newson6.com/story/28578606/ohp-shots-fired-in-chase-with-suspect-vehicle-in-coal-county</t>
  </si>
  <si>
    <t>Brandon Jones</t>
  </si>
  <si>
    <t>1077 Parkwood Dr</t>
  </si>
  <si>
    <t>44108</t>
  </si>
  <si>
    <t>Cleveland Police Department</t>
  </si>
  <si>
    <t>Officers reported that they responded to a robbery call at Parkwood Grocery early in the morning when the store was closed. Accounts vary about the time of the shooting. Officers say they had a scuffle with Jones, who had a bag, and they shot him to death. There was no weapon found on Jones.</t>
  </si>
  <si>
    <t>http://newsone.com/3100355/brandon-jones-unarmed-teen-fatally-shot-by-cleveland-police/</t>
  </si>
  <si>
    <t>Kendre Alston</t>
  </si>
  <si>
    <t>http://www.killedbypolice.net/victims/150244.jpg</t>
  </si>
  <si>
    <t>1800 Helena St</t>
  </si>
  <si>
    <t>32208</t>
  </si>
  <si>
    <t>Police were chasing a stolen car when the driver wrecked. The two subjects got out and the driver pointed his gun at the officer but didn't fire. They both fled on foot but the officer tracked down the driver and killed him.</t>
  </si>
  <si>
    <t>http://jacksonville.com/news/crime/2015-03-19/story/1-dead-1-sought-jacksonville-police-shooting</t>
  </si>
  <si>
    <t>Adam Jovicic</t>
  </si>
  <si>
    <t>http://imgick.cleveland.com/home/cleve-media/pgthumb/img/akron/photo/adam-jovicic-3d8a42aef5131d68.jpg</t>
  </si>
  <si>
    <t>364 Hiwood Ave.</t>
  </si>
  <si>
    <t>Munroe Falls</t>
  </si>
  <si>
    <t>44262</t>
  </si>
  <si>
    <t>Summit</t>
  </si>
  <si>
    <t>Kent Police Department</t>
  </si>
  <si>
    <t>http://www.cleveland.com/akron/index.ssf/2015/03/kent_police_officer_fatally_sh.html</t>
  </si>
  <si>
    <t>Jamison Childress</t>
  </si>
  <si>
    <t>Kneuman Rd</t>
  </si>
  <si>
    <t>Sumas</t>
  </si>
  <si>
    <t>98295</t>
  </si>
  <si>
    <t>Whatcom</t>
  </si>
  <si>
    <t>It's alleged that Childress was wanted in a murder, and sprayed something into the agent's eyes, and the agent shot him to death.</t>
  </si>
  <si>
    <t>http://www.cbc.ca/news/canada/calgary/jamison-childress-suspect-in-brando-walker-homicide-killed-by-u-s-border-agents-1.3004636</t>
  </si>
  <si>
    <t>Robert P. Burdge</t>
  </si>
  <si>
    <t>http://www.killedbypolice.net/victims/150248.jpg</t>
  </si>
  <si>
    <t>6100 Knudsen Drive</t>
  </si>
  <si>
    <t>93308</t>
  </si>
  <si>
    <t>Subject involved in a love triangle, shot and killed his rival and barricaded himself in the lobby of the Vagabond Inn. SWAT teams killed him.</t>
  </si>
  <si>
    <t>http://www.kerngoldenempire.com/story/d/story/standoff-deadly-officer-involved-shooting-in-north/24817/acHk7QgYoE-qOGZhUfnMiw</t>
  </si>
  <si>
    <t>Shane Watkins</t>
  </si>
  <si>
    <t>http://bloximages.newyork1.vip.townnews.com/waaytv.com/content/tncms/assets/v3/editorial/3/0b/30b9ee52-ce5c-11e4-993a-6fe56894095b/550b0565c065c.image.jpg?resize=760%2C439</t>
  </si>
  <si>
    <t>County Road 249</t>
  </si>
  <si>
    <t>Langtown</t>
  </si>
  <si>
    <t>35650</t>
  </si>
  <si>
    <t>Subject was having a schizophrenic episode and called police to say his mother was going to kill him. He grabbed a box cutter and went to meet the deputies outside. He allegedly charged at them, refusing to stop and was killed.</t>
  </si>
  <si>
    <t>http://www.al.com/news/huntsville/index.ssf/2015/03/sister_of_mentally_ill_man_sla.html</t>
  </si>
  <si>
    <t>Justin Fowler</t>
  </si>
  <si>
    <t>N-13 &amp; Indn Route 13</t>
  </si>
  <si>
    <t>Lukachukai</t>
  </si>
  <si>
    <t>86507</t>
  </si>
  <si>
    <t>Navajo Nation Police Department</t>
  </si>
  <si>
    <t>Officers reported that Fowler was holding his family at gunpoint with an assault rifle, then led police on a chase, at which point he fired on them, killing one officer and was himself shot to death.</t>
  </si>
  <si>
    <t>http://hosted.ap.org/dynamic/stories/U/US_NAVAJO_OFFICER_KILLED?SITE=MTBIL&amp;SECTION=HOME&amp;TEMPLATE=DEFAULT</t>
  </si>
  <si>
    <t>Garland L. Wingo</t>
  </si>
  <si>
    <t>Lake Ella Drive</t>
  </si>
  <si>
    <t>Tallahassee</t>
  </si>
  <si>
    <t>32303</t>
  </si>
  <si>
    <t>Leon</t>
  </si>
  <si>
    <t>Tallahassee Police Department</t>
  </si>
  <si>
    <t>Officers were called to Lake Ella for a report of a white male armed with a weapon who was reportedly sitting on a park bench. Officer approached and somehow discharged his weapon, killing Wingo.</t>
  </si>
  <si>
    <t>http://www.tallahassee.com/story/news/local/2015/03/18/tpd-investigating-crime-scene-at-lake-ella/24990789/</t>
  </si>
  <si>
    <t>Brandon Rapp</t>
  </si>
  <si>
    <t>http://media.jrn.com/images/288*360/Rapp_Brandon.JPG</t>
  </si>
  <si>
    <t>9000 Charles Way</t>
  </si>
  <si>
    <t>Middleton</t>
  </si>
  <si>
    <t>83644</t>
  </si>
  <si>
    <t>Canyon</t>
  </si>
  <si>
    <t>Canyon County Police Department</t>
  </si>
  <si>
    <t>Police responded to a domestic disturbance call and were met by a man carrying a gun. Police shot and killed the man.</t>
  </si>
  <si>
    <t>http://www.kboi2.com/news/local/One-man-dead-after-officer-involved-shooting-near-Middleton-296853661.html</t>
  </si>
  <si>
    <t>Kaylene Stone</t>
  </si>
  <si>
    <t>http://www.abc15.com/news/region-west-valley/peoria/glendale-peoria-pd-investigating-shooting</t>
  </si>
  <si>
    <t>67th Avenue and Peoria</t>
  </si>
  <si>
    <t>Peoria</t>
  </si>
  <si>
    <t>85345</t>
  </si>
  <si>
    <t>Stone was seated in her vehicle when two officers approached her, she displayed a weapon and she refused to comply with officers' commands to drop the weapon and, fearing for their lives, they fired multiple shots, killing her.</t>
  </si>
  <si>
    <t>http://www.azcentral.com/story/news/local/glendale/2015/03/18/glendale-police-officer-involved-shooting-peoria/24972525/</t>
  </si>
  <si>
    <t>Askari Roberts</t>
  </si>
  <si>
    <t>http://www.killedbypolice.net/victims/150238.jpg</t>
  </si>
  <si>
    <t>3189 Morton Bend Road</t>
  </si>
  <si>
    <t>Rome</t>
  </si>
  <si>
    <t>30161</t>
  </si>
  <si>
    <t>Floyd</t>
  </si>
  <si>
    <t>Floyd County Sheriff's Office</t>
  </si>
  <si>
    <t>Roberts who allegedly used meth and cocaine the day before was showing signs of paranoia and thought a gang was coming to kill him. His wife pried his hands away from his son and police arrived and Tasered him two or three times until he became unresponsive and died at the hospital.</t>
  </si>
  <si>
    <t>http://www.northwestgeorgianews.com/rome/gbi-probes-officer-involved-death-of-askari-roberts/article_3574dd54-cd57-11e4-9b46-d3f30165f444.html</t>
  </si>
  <si>
    <t>Roberto Jose Leon</t>
  </si>
  <si>
    <t>http://www.killedbypolice.net/victims/150235.jpg</t>
  </si>
  <si>
    <t>6000 Bridgecross</t>
  </si>
  <si>
    <t>95835</t>
  </si>
  <si>
    <t>California Highway Patrol, Sacramento Sheriff's Office, Sacramento Police Department, Sacramento Sheriff's SWAT</t>
  </si>
  <si>
    <t>A CHP officer attempted to stop a motorcycle. The driver fled and carjacked a Bronco. Officers hit him with several shots, and Leon barricaded himself in his home refusing to surrender. He bled to death from his wounds.</t>
  </si>
  <si>
    <t>http://www.natomasbuzz.com/2015/03/suspect-in-chp-officer-shotting-surrounded-in-natomas/</t>
  </si>
  <si>
    <t>Declan Owen</t>
  </si>
  <si>
    <t>http://www.wwaytv3.com/files/imagecache/field_story_summary_image/owen_declan_0.JPG</t>
  </si>
  <si>
    <t>8100 Highway 41</t>
  </si>
  <si>
    <t>Dublin</t>
  </si>
  <si>
    <t>28320</t>
  </si>
  <si>
    <t>Bladen</t>
  </si>
  <si>
    <t>Officers responded to a report of a man near the high school lying in a ditch with a gun. He caught a ride with a stranger and fled into the woods. officers found Owen lying down with his back on the ground and his head propped up against a tree, he was reportedly facing the road. He allegedly pointed the gun at them and the officers fired, killing the subject.</t>
  </si>
  <si>
    <t>http://www.wect.com/story/28546766/one-dead-after-officer-involved-shooting-in-bladen-county</t>
  </si>
  <si>
    <t>Andrew Charles Shipley</t>
  </si>
  <si>
    <t>360 Argyle Court</t>
  </si>
  <si>
    <t>97501</t>
  </si>
  <si>
    <t>Officers were in a standoff after 2 welfare calls to the house of Shipley who was thought to have weapons and to be in the process of being evicted by his girlfriend. Officers reported that Shipley opened the garage and fired at them, and they returned fire killing him.</t>
  </si>
  <si>
    <t>http://kobi5.com/component/zoo/item/police-armed-standoff-in-medford.html#.VRAssJXn_vI</t>
  </si>
  <si>
    <t>Eugene Frank Smith II</t>
  </si>
  <si>
    <t>http://www.killedbypolice.net/victims/150231.jpg</t>
  </si>
  <si>
    <t>3710 US Highway 190 W</t>
  </si>
  <si>
    <t>Onalaska</t>
  </si>
  <si>
    <t>77360</t>
  </si>
  <si>
    <t>Onalaska Police Department</t>
  </si>
  <si>
    <t>Police responded to a call reporting a man at a gas station with a shotgun. When they arrived, there was a firefight, and the man was killed.</t>
  </si>
  <si>
    <t>http://www.ktre.com/story/28544196/law-enforcement-confirms-officer-involved-shooting-at-gas-station-in-onalaska</t>
  </si>
  <si>
    <t>Alice Brown</t>
  </si>
  <si>
    <t>http://sfist.com/attachments/sfist_eve/alice_brown_collage.jpg</t>
  </si>
  <si>
    <t>Van Ness Ave &amp; Pine St</t>
  </si>
  <si>
    <t>94109</t>
  </si>
  <si>
    <t>Plainclothes officers reported that they suspected the car that Brown was in as being stolen, and when they showed her their badges, she fled hitting a gas station building, and other cars along the chase. Officers claimed that she drove the car at them before they shot her to death.</t>
  </si>
  <si>
    <t>http://www.nbcbayarea.com/news/local/San-Francisco-Police-Investigating-Officer-Involved-Shooting-on-Van-Ness-Avenue-296670781.html?_osource=outbrain_recirc=obinsite</t>
  </si>
  <si>
    <t>Bradenton</t>
  </si>
  <si>
    <t>34208</t>
  </si>
  <si>
    <t>Manatee</t>
  </si>
  <si>
    <t>Manatee County Sheriff's Office</t>
  </si>
  <si>
    <t>Honolulu Police Department</t>
  </si>
  <si>
    <t>William Dean Poole</t>
  </si>
  <si>
    <t>130 Wedowee Lane</t>
  </si>
  <si>
    <t>28052</t>
  </si>
  <si>
    <t>http://www.charlotteobserver.com/news/local/crime/article14706887.html</t>
  </si>
  <si>
    <t>Justin Todd Tolkinen</t>
  </si>
  <si>
    <t>http://extras.mnginteractive.com/live/media/site569/2015/0317/20150317__150317_JustinToddTolkinen_200.jpg</t>
  </si>
  <si>
    <t>411 White Bear Avenue</t>
  </si>
  <si>
    <t>St. Paul</t>
  </si>
  <si>
    <t>55106</t>
  </si>
  <si>
    <t>Ramsey</t>
  </si>
  <si>
    <t>Police responded to a call about a man carrying a rifle outside his house. Tolkinen, who has a history of drug use and mental illness refused to come out of his house so the police shit him dead.</t>
  </si>
  <si>
    <t>http://www.twincities.com/crime/ci_27730198/man-killed-by-st-paul-police-identified</t>
  </si>
  <si>
    <t>David Werblow</t>
  </si>
  <si>
    <t>134 Burban Drive</t>
  </si>
  <si>
    <t>Branford</t>
  </si>
  <si>
    <t>06405</t>
  </si>
  <si>
    <t>New Haven</t>
  </si>
  <si>
    <t>Branford Police Department</t>
  </si>
  <si>
    <t>An unarmed David Werblow died after Branford police shot him with a Taser when he refused to get out of a parked car. Police said Werblow was being uncooperative and had previously attempted to stop cars and enter those vehicles as they passed him walking along Burban Drive in Branford. Police said they initially responded to a call of a disturbance at Werblow's residence.</t>
  </si>
  <si>
    <t>http://www.courant.com/breaking-news/hc-david-werblow-branford-police-taser-death-20150316-story.html</t>
  </si>
  <si>
    <t>Troy Ray Boyd</t>
  </si>
  <si>
    <t>http://wlbt.images.worldnow.com/images/7151035_G.jpg</t>
  </si>
  <si>
    <t>McEwien Swamp Road</t>
  </si>
  <si>
    <t>Ruth</t>
  </si>
  <si>
    <t>39662</t>
  </si>
  <si>
    <t>A sheriff and deputy reported that they were called by a witness to a bloody man riding a 4-wheeler with a machete. When the officers tried to stop Ray, they reported that he tried to run the deputy over, and the deputy shot him to death.</t>
  </si>
  <si>
    <t>http://www.wapt.com/news/central-mississippi/deputyinvolved-shooting-under-investigation-in-pike-county/31818664</t>
  </si>
  <si>
    <t>Richard Castilleja</t>
  </si>
  <si>
    <t>https://pbs.twimg.com/media/CARLUoUUUAAxlCF.jpg:large</t>
  </si>
  <si>
    <t>2600 Mossrock</t>
  </si>
  <si>
    <t>78230</t>
  </si>
  <si>
    <t>Officers responded to a call about a bar fight. One of the participants, Castilleja, allegedly ran out and came back to the scene with the intention of committing a drive-by shooting. Officers felt threatened and shot and killed him,</t>
  </si>
  <si>
    <t>http://www.kens5.com/story/news/crime/2015/03/14/officer-involved-shooting-leaves-suspect-dead/24754547/</t>
  </si>
  <si>
    <t>Aaron Siler</t>
  </si>
  <si>
    <t>https://localtvwiti.files.wordpress.com/2015/03/aaron-siler.jpg?w=370&amp;h=204&amp;crop=1</t>
  </si>
  <si>
    <t>22nd Avenue and 56th Street</t>
  </si>
  <si>
    <t>Kenosha</t>
  </si>
  <si>
    <t>53140</t>
  </si>
  <si>
    <t>Kenosha Police Department</t>
  </si>
  <si>
    <t>Officers reported that they followed Siler around 9:30 a.m. in a car as he was wanted for a warrant and on parole and probation. Siler crashed, and ran away. The officer claimed that Siler "armed himself," and the officer shot him to death.</t>
  </si>
  <si>
    <t>http://www.chicagotribune.com/news/local/breaking/chi-kenosha-officer-kills-armed-man-two-weeks-after-shooting-another-20150317-story.html</t>
  </si>
  <si>
    <t>Salome Rodriguez Jr.</t>
  </si>
  <si>
    <t>http://cdn.abclocal.go.com/content/kabc/images/cms/559309_630x354.jpg</t>
  </si>
  <si>
    <t>184 W 3rd St</t>
  </si>
  <si>
    <t>91766</t>
  </si>
  <si>
    <t>Witnesses reported that an officer shot Rodriguez in what was most likely an alcohol-fueled incident at a bar. The suspected assaulting officer is on the run.</t>
  </si>
  <si>
    <t>http://www.latimes.com/local/lanow/la-me-ln-lapd-officer-fired-20150317-story.html</t>
  </si>
  <si>
    <t>James Richard Jimenez</t>
  </si>
  <si>
    <t>http://bloximages.chicago2.vip.townnews.com/napavalleyregister.com/content/tncms/assets/v3/editorial/9/86/986d5135-6e20-50de-a7cd-808562dfe387/5504d66bc6f34.image.jpg</t>
  </si>
  <si>
    <t>Spring St &amp; Hill Ave</t>
  </si>
  <si>
    <t>Napa</t>
  </si>
  <si>
    <t>94558</t>
  </si>
  <si>
    <t>Napa Police Department</t>
  </si>
  <si>
    <t>Officers reported that they went to serve Jimenez with a warrant for drugs and gun possession, and saw him riding by on a motorcycle. They reported that they followed him, he crashed and even though officers ordered him to raise his hands, he reached for a gun, and they shot him to death. A gun and possible methamphetamine was reported found at the scene.</t>
  </si>
  <si>
    <t>http://www.sfgate.com/bayarea/article/Napa-cop-who-killed-suspect-was-cleared-in-6137333.php</t>
  </si>
  <si>
    <t>Andrew Driver</t>
  </si>
  <si>
    <t>9700 Kempster Avenue</t>
  </si>
  <si>
    <t>92335</t>
  </si>
  <si>
    <t>Driver made several calls to Fontana police threatening to kill them with a knife. When officers showed up at his house he was allegedly weilding a knife. Officers shot him and he died at the hospital.</t>
  </si>
  <si>
    <t>http://fontanacanews.com/dnews/?q=article/man-shot-death-police-after-he-allegedly-attacked-fontana-officers</t>
  </si>
  <si>
    <t>Fred E. Liggett Jr.</t>
  </si>
  <si>
    <t>8700 East 97th Terrace</t>
  </si>
  <si>
    <t>64134</t>
  </si>
  <si>
    <t>Marshals serving an arrest warrant encountered the victim and opened fire in "response to the subject's actions."</t>
  </si>
  <si>
    <t>http://www.kansascity.com/news/local/crime/article14450867.html</t>
  </si>
  <si>
    <t>Clifton Daniel Reintzel</t>
  </si>
  <si>
    <t>https://scontent-dfw.xx.fbcdn.net/hphotos-xpa1/v/t1.0-9/11065886_10206337832912845_8133721525149832170_n.jpg?oh=bf4506e572850c11d71b7abb59ae4d9b&amp;oe=5577EA6A</t>
  </si>
  <si>
    <t>1120 Main Street</t>
  </si>
  <si>
    <t>Follansbee</t>
  </si>
  <si>
    <t>26037</t>
  </si>
  <si>
    <t>Brooke</t>
  </si>
  <si>
    <t>Police responded to a call in which a man said he was cutting himself with a knife and they heard a woman screaming in the background. On arrival, Reintzel, a military veteran, allegedly charged officers with the knife. Police opened fire and killed him.</t>
  </si>
  <si>
    <t>http://www.wowktv.com/story/28497921/wva-man-shot-by-police-after-threatening-them-with-knife</t>
  </si>
  <si>
    <t>Bobby Gross</t>
  </si>
  <si>
    <t>700 14th Street NW</t>
  </si>
  <si>
    <t>DC</t>
  </si>
  <si>
    <t>20005</t>
  </si>
  <si>
    <t>District of Columbia</t>
  </si>
  <si>
    <t>DC Metro Transit Police</t>
  </si>
  <si>
    <t>http://www.washingtonpost.com/local/crime/investigation-continues-into-deadly-shooting-in-metro-tunnel-in-se-dc/2015/03/13/174b80f4-c973-11e4-aa1a-86135599fb0f_story.html</t>
  </si>
  <si>
    <t>Antonio Perez</t>
  </si>
  <si>
    <t>https://2dbdd5116ffa30a49aa8-c03f075f8191fb4e60e74b907071aee8.ssl.cf1.rackcdn.com/3698033_1426269764.975_app.png</t>
  </si>
  <si>
    <t>2400 Flower Street</t>
  </si>
  <si>
    <t>90007</t>
  </si>
  <si>
    <t>The subject was allegedly driving a stolen car, crashed it and ran, along with his female passenger. Police shot and killed him when it appeared he was reaching into his waistband.</t>
  </si>
  <si>
    <t>http://www.presstelegram.com/general-news/20150313/foot-pursuit-in-unincorporated-walnut-park-ends-in-fatal-deputy-involved-shooting</t>
  </si>
  <si>
    <t>Terry Garnett Jr.</t>
  </si>
  <si>
    <t>https://fbexternal-a.akamaihd.net/safe_image.php?d=AQCM9p_vGeh3bI5d&amp;w=158&amp;h=158&amp;url=http%3A%2F%2Fbloximages.chicago2.vip.townnews.com%2Fcecildaily.com%2Fcontent%2Ftncms%2Fassets%2Fv3%2Feditorial%2Ff%2Fd0%2Ffd02af9e-e231-5514-8fa0-089312da822f%2F550232d4e35fb.image.jpg&amp;cfs=1&amp;upscale=1&amp;sx=0&amp;sy=0&amp;sw=376&amp;sh=376</t>
  </si>
  <si>
    <t>Augustine Herman Hwy &amp; E Lewis Shore Rd</t>
  </si>
  <si>
    <t>Elkton</t>
  </si>
  <si>
    <t>21921</t>
  </si>
  <si>
    <t>Cecil County Sheriff's Office</t>
  </si>
  <si>
    <t>Deputy attempted a traffic stop. Driver of vehicle pulled into side road and then turned vehicle around and started in the direction of the police car. Officer opened fire and killed man.</t>
  </si>
  <si>
    <t>http://baltimore.cbslocal.com/2015/03/11/suspect-killed-after-brief-pursuit/</t>
  </si>
  <si>
    <t>Theodore Johnson</t>
  </si>
  <si>
    <t>http://www.killedbypolice.net/victims/150206.jpg</t>
  </si>
  <si>
    <t>Ottawa Road</t>
  </si>
  <si>
    <t>Johnson shot an officer. Then, when Johnson refused to drop the weapon and began to raise it again. Four officers fired a total of five rounds at Johnson.</t>
  </si>
  <si>
    <t>Benito Osorio</t>
  </si>
  <si>
    <t>http://s3.amazonaws.com/nixle/uploads/pub_media/user22756-1426130787-media1</t>
  </si>
  <si>
    <t>300 South Main Street</t>
  </si>
  <si>
    <t>Santa Ana</t>
  </si>
  <si>
    <t>92701</t>
  </si>
  <si>
    <t>Santa Ana Police Department</t>
  </si>
  <si>
    <t>Police responded to reports of a shooting. Osorio allegedly shot at another man but missed then got into his truck and shot himself under the chin. Police asked him to get out and drop the gun and Osorio got out with a pistol in his hand. Police opened fire and killed him.</t>
  </si>
  <si>
    <t>http://www.latimes.com/local/lanow/la-me-ln-santa-ana-police-shoot-kill-man-20150311-story.html</t>
  </si>
  <si>
    <t>Aaron Valdez</t>
  </si>
  <si>
    <t>10400 Pescadero Avenue</t>
  </si>
  <si>
    <t>South Gate</t>
  </si>
  <si>
    <t>90280</t>
  </si>
  <si>
    <t>South Gate Police Department</t>
  </si>
  <si>
    <t>Officers responded to report of an attempt to steal a car. As they detained a man who wasn't involved Valdez came at them driving a stolen Camry. Police opened fire and killed him.</t>
  </si>
  <si>
    <t>http://abc7.com/554718/</t>
  </si>
  <si>
    <t>Gilbert Fleury</t>
  </si>
  <si>
    <t>https://pbs.twimg.com/media/CAkF3sDUQAAKO-e.jpg:large</t>
  </si>
  <si>
    <t>8600 Cliff's Landing Road</t>
  </si>
  <si>
    <t>Bay Minette</t>
  </si>
  <si>
    <t>36507</t>
  </si>
  <si>
    <t>Baldwin</t>
  </si>
  <si>
    <t>Baldwin County Sheriff's Office</t>
  </si>
  <si>
    <t>Neighbors called police about a man who was reportedly destroying his home. When they arrived the man pointed a shotgun at them and was killed by police.</t>
  </si>
  <si>
    <t>http://www.al.com/news/mobile/index.ssf/2015/03/man_shot_in_confrontation_with.html</t>
  </si>
  <si>
    <t>James Greenwell</t>
  </si>
  <si>
    <t>http://mediaassets.commercialappeal.com/photo/2015/03/11/James%20Greenwell_1426112658902_14872950_ver1.0_640_480.jpg</t>
  </si>
  <si>
    <t>700 Auburndale Street</t>
  </si>
  <si>
    <t>38107</t>
  </si>
  <si>
    <t>Police responded to a call about a mentally ill man who was intoxicated and threatening his father. Police arrived to find the man sitting on his porch with a handgun. Shots were fired and the man died at the scene.</t>
  </si>
  <si>
    <t>http://www.commercialappeal.com/news/local-news/crime/police-respond-to-standoff-in-midtown</t>
  </si>
  <si>
    <t>Ryan Dean Burgess</t>
  </si>
  <si>
    <t>http://www.killedbypolice.net/victims/150215.jpg</t>
  </si>
  <si>
    <t>2200 Lucille Avenue</t>
  </si>
  <si>
    <t>Kingman</t>
  </si>
  <si>
    <t>86401</t>
  </si>
  <si>
    <t>Mojave</t>
  </si>
  <si>
    <t>Police responded to a domestic call from a mother who said her son was her son was punching holes in the wall of the residence and was acting in a violent manner. Police arrived and Burgess pointed a BB gun at an officer and refused to out it down. The officer opened fire and killed Burgess.</t>
  </si>
  <si>
    <t>http://www.reviewjournal.com/news/nevada/kingman-police-shoot-kill-man-brandishing-bb-gun</t>
  </si>
  <si>
    <t>Terrance Moxley</t>
  </si>
  <si>
    <t>http://www.gannett-cdn.com/-mm-/cf9d7ad972071133e5ed2f8a66cd827da0746439/c=0-44-200-157&amp;r=x633&amp;c=1200x630/local/-/media/2015/03/11/OHGroup/Mansfield/635616343418688579-moxley.jpg</t>
  </si>
  <si>
    <t>1280 Park Avenue</t>
  </si>
  <si>
    <t>44906</t>
  </si>
  <si>
    <t>Suspect was displaying violent behavior at a community service location. Police tasered him, he broke free and they tasered him again. He went into medical distress and died at the hospital.</t>
  </si>
  <si>
    <t>http://www.19actionnews.com/story/28382544/possible-taser-death-under-investigation-in-mansfield</t>
  </si>
  <si>
    <t>Christopher Mitchell</t>
  </si>
  <si>
    <t>8173 Old State Highway 21</t>
  </si>
  <si>
    <t>Port Wentworth</t>
  </si>
  <si>
    <t>31407</t>
  </si>
  <si>
    <t>Chatham</t>
  </si>
  <si>
    <t>Port Wentworth Police Department</t>
  </si>
  <si>
    <t>Police responded to a call about a stabbing at a mobile home park. They found two men stabbed and a man with a knife who tried to stab a police officer. Police shot and killed the man.</t>
  </si>
  <si>
    <t>http://www.wtvm.com/story/28348584/gbi-called-out-to-investigate-officer-involved-shooting-in-port-wentworth</t>
  </si>
  <si>
    <t>Jamie Croom</t>
  </si>
  <si>
    <t>http://imgick.nola.com/home/nola-media/width960/img/tpphotos/photo/2015/03/11/jamie-croom-mugjpg-4d8ffcf0919cb9b0.jpg</t>
  </si>
  <si>
    <t>10064 Elm Grove Garden Dr</t>
  </si>
  <si>
    <t>East Baton Rouge</t>
  </si>
  <si>
    <t>http://wtaq.com/news/articles/2015/mar/11/fugitive-who-shot-dead-deputy-us-marshal-in-louisiana-dies/</t>
  </si>
  <si>
    <t>William Russell Smith</t>
  </si>
  <si>
    <t>700 Valley Street</t>
  </si>
  <si>
    <t>Hoover</t>
  </si>
  <si>
    <t>35226</t>
  </si>
  <si>
    <t>Hoover Police Department</t>
  </si>
  <si>
    <t>Hoover PD called by a neighbor regarding a domestic incident. They responded around 5:34 pm CST, but were unable to find any evidence of a domestic disturbance. Three vehicles were reported leaving the scene. Those vehicles were found after 6 p.m. near a Piggly Wiggly close by. There, police found three people who had been involved in the incident, including one woman who had a minor cut. Officers then went back to the original house on Valley Street to try to talk to the fourth person involved in the incident. Two officers found Smith, who was armed, and the officers shot the man.</t>
  </si>
  <si>
    <t>http://www.al.com/news/birmingham/index.ssf/2015/03/man_fatally_shot_by_hoover_pol.html#incart_story_package</t>
  </si>
  <si>
    <t>Fern Avenue and Phillips Street</t>
  </si>
  <si>
    <t>91762</t>
  </si>
  <si>
    <t>Man called police and said he had a gun and was suicidal. When finally stopped, he got out of SUV brandishing a samurai sword. Police opened fire and killed the man.</t>
  </si>
  <si>
    <t>http://www.topix.com/forum/city/ontario-ca/TEIEOA1JJ116NH3JP</t>
  </si>
  <si>
    <t>Cedrick Lamont Bishop</t>
  </si>
  <si>
    <t>http://www.gannett-cdn.com/-mm-/863dc015c4bf456f0c7fe0f1d185c9560c19b26b/c=0-115-300-284&amp;r=x633&amp;c=1200x630/local/-/media/2015/03/10/Brevard/Brevard/635615833103771989-Bishop.jpg</t>
  </si>
  <si>
    <t>Aurora Street</t>
  </si>
  <si>
    <t>32922</t>
  </si>
  <si>
    <t>Brevard County Sheriff's Office</t>
  </si>
  <si>
    <t>Reports of shots fired in a residential district brought deputies to encounter ex-con Bishop. Reportedly Bishop fired into the deputy's vehicle. Return fire killed him.</t>
  </si>
  <si>
    <t>http://www.orlandosentinel.com/news/breaking-news/os-ap-deputy-fatal-shooting-brevard-20150310-story.html</t>
  </si>
  <si>
    <t>Anthony Hill</t>
  </si>
  <si>
    <t>https://heavy.com/news/2015/03/anthony-hill-police-shooting-shot-killed-mental-illness-bipolar-dekalb-atlanta-georgia-officer-unarmed/</t>
  </si>
  <si>
    <t>3028 Chamblee Dunwoody Rd.</t>
  </si>
  <si>
    <t>Chamblee</t>
  </si>
  <si>
    <t>30341</t>
  </si>
  <si>
    <t>Police responded to report of naked man running around apt. complex. When man ran towards cop he was shot twice and killed.</t>
  </si>
  <si>
    <t>http://www.ajc.com/news/news/naked-unarmed-man-killed-by-dekalb-police-identifi/nkR4c/</t>
  </si>
  <si>
    <t>James Brent Damon</t>
  </si>
  <si>
    <t>https://pbs.twimg.com/media/B_2Nh-7UIAEha6R.jpg:large</t>
  </si>
  <si>
    <t>U.S. Highway 40</t>
  </si>
  <si>
    <t>Craig</t>
  </si>
  <si>
    <t>81625</t>
  </si>
  <si>
    <t>Moffat</t>
  </si>
  <si>
    <t>Moffat County Sheriff's Office</t>
  </si>
  <si>
    <t>Officers saw a suspicious car pulled off the highway and upon investigating a man and a woman tried to take them them hostage. Man was killed in the scuffle.</t>
  </si>
  <si>
    <t>http://www.craigdailypress.com/news/2015/mar/10/officer-involved-shooting-near-dinosaur-under-inve/</t>
  </si>
  <si>
    <t>Lester Randolph Brown</t>
  </si>
  <si>
    <t>http://www.killedbypolice.net/victims/150201.jpg</t>
  </si>
  <si>
    <t>Talley Road</t>
  </si>
  <si>
    <t>Penrose</t>
  </si>
  <si>
    <t>28766</t>
  </si>
  <si>
    <t>Transylvania</t>
  </si>
  <si>
    <t>Police and agents from multiple law enforcement agencies were serving a warrant on Brown for allegedly operating an illegal still. Brown ran upstairs as officers arrived and grabbed a rifle, refusing to put it down. Officers from all agencies opened fire and killed Brown.</t>
  </si>
  <si>
    <t>http://www.wlos.com/news/features/top-stories/stories/one-dead-after-officer-involved-shooting-20034.shtml#.VRe2juEqrIV</t>
  </si>
  <si>
    <t>Monique Jenee Deckard</t>
  </si>
  <si>
    <t>http://images.onset.freedom.com/ocregister/nl0c7r-deckard.monique.jpg</t>
  </si>
  <si>
    <t>900 South Euclid Street</t>
  </si>
  <si>
    <t>92802</t>
  </si>
  <si>
    <t>Police responded to a report of a stabbing at a laundromat. Investigating the alleged crime, the police couldn't find a victim but found the suspect, who neighbors described as "unstable" in her apartment. After refusing to come out, the woman came out with two knives and allegedly charged at officers, who fired on her and killed her.</t>
  </si>
  <si>
    <t>http://www.nbclosangeles.com/news/local/Police-Shoot-Woman-Anaheim-Laundromat-295557591.html</t>
  </si>
  <si>
    <t>Aurelio V. Duarte</t>
  </si>
  <si>
    <t>https://localtvkfor.files.wordpress.com/2015/03/promo250212178.jpg</t>
  </si>
  <si>
    <t>10700 La Tuna Canyon Road</t>
  </si>
  <si>
    <t>73119</t>
  </si>
  <si>
    <t>Officers responded to a report of a disturbance and found a man suffering from a gunshot wound. They found the subject armed with a rifle. He allegedly refused to put it down and police shot and killed the man.</t>
  </si>
  <si>
    <t>http://www.news9.com/story/28291336/fatal-officer-involved-shooting-in-sw-okc</t>
  </si>
  <si>
    <t>Michael L. McKillop</t>
  </si>
  <si>
    <t>http://d1t3gia0in9tdj.cloudfront.net/photo/tributes/t/8/r/76x76/2835608/Michael-Mckillop-1426098807.jpg</t>
  </si>
  <si>
    <t>689 Naamans Road</t>
  </si>
  <si>
    <t>Claymont</t>
  </si>
  <si>
    <t>19703</t>
  </si>
  <si>
    <t>New Castle</t>
  </si>
  <si>
    <t>A state trooper responded to a burglar alarm in a shopping center and saw a man quickly getting into his vehicle and tryingto leave. The officer tried to stop him and the subject allegedly kept driving, dragging the officer with him as well as hitting his police vehicle. Trooper shot the man in the torso and the subject died at the scene.</t>
  </si>
  <si>
    <t>http://www.delawareonline.com/story/news/crime/2015/03/08/man-shot-killed/24605201/</t>
  </si>
  <si>
    <t>Adam O'Neal Reinhart</t>
  </si>
  <si>
    <t>http://phoenixmugs.com/img/Adam-Oneal-Reinhart__2663892.jpg</t>
  </si>
  <si>
    <t>18th Street and Palm Lane</t>
  </si>
  <si>
    <t>Maracopa</t>
  </si>
  <si>
    <t>According to police, witnesses and officers said Reinhart pulled a gun from his waistband and pointed it at the officers. An officer then shot and killed him.</t>
  </si>
  <si>
    <t>http://www.abc15.com/news/region-phoenix-metro/central-phoenix/phoenix-police-identify-man-shot-killed-by-officer-as-29-year-old-adam-oneal-reinhart</t>
  </si>
  <si>
    <t>Naeschylus Vinzant</t>
  </si>
  <si>
    <t>https://cbsdenver.files.wordpress.com/2015/03/z-133-copy-copy-copy.jpg?w=420&amp;h=237</t>
  </si>
  <si>
    <t>East 12th Avenue and Memphis Street</t>
  </si>
  <si>
    <t>Aurora</t>
  </si>
  <si>
    <t>80011</t>
  </si>
  <si>
    <t>Arapahoe</t>
  </si>
  <si>
    <t>Aurora Police Department</t>
  </si>
  <si>
    <t>Officers say the deceased was wanted for several crimes, and during a SWAT team interaction, they shot him to death, and didn't realize he was unarmed.</t>
  </si>
  <si>
    <t>http://denver.cbslocal.com/2015/03/09/aurora-police-say-suspect-killed-in-officer-involved-shooting-was-unarmed-black-man/</t>
  </si>
  <si>
    <t>30315</t>
  </si>
  <si>
    <t>Tony Terrell Robinson</t>
  </si>
  <si>
    <t>http://host.madison.com/wsj/news/local/crime_and_courts/in-mourning-shooting-victim-friends-remember-a-gentle-man-loyal/article_74c904c8-a3c2-52be-9122-3666d1f027b6.html</t>
  </si>
  <si>
    <t>1100 Williamson Street</t>
  </si>
  <si>
    <t>53703</t>
  </si>
  <si>
    <t>Madison Police Department</t>
  </si>
  <si>
    <t>Officer broke down the door to an apartment and allegedly was assaulted by Robinson and responded by shooting him.</t>
  </si>
  <si>
    <t>http://www.cnn.com/2015/03/07/us/wisconsin-protests/</t>
  </si>
  <si>
    <t>Andrew Anthony Williams</t>
  </si>
  <si>
    <t>http://jacksonville.com/sites/default/files/imagecache/premium_415_wide_scale/metputnampoliceshoot.jpg</t>
  </si>
  <si>
    <t>Putnam Loop Rd &amp; Dukes Trl</t>
  </si>
  <si>
    <t>Melrose</t>
  </si>
  <si>
    <t>32666</t>
  </si>
  <si>
    <t>During a drug-buying sting operation Williams is said to have resisted, tried to flee in his vehicle, drove into a tree, then aimed his car at deputies. Four deputies fired at him numerous times and killed him.</t>
  </si>
  <si>
    <t>http://www.gainesville.com/article/20150309/ARTICLES/150309637&amp;tc=ix</t>
  </si>
  <si>
    <t>Andy Martinez</t>
  </si>
  <si>
    <t>4100 Nashville Ave</t>
  </si>
  <si>
    <t>79903</t>
  </si>
  <si>
    <t>Officers reported that they stopped a vehicle of which the registration was out of date, and Martinez, who was in the passenger side, exited the vehicle and pointed a gun at officers, and they shot him to death.</t>
  </si>
  <si>
    <t>http://www.elpasotimes.com/latestnews/ci_27308903/el-paso-police-identify-man-shot-and-killed</t>
  </si>
  <si>
    <t>Tony Chance Ross</t>
  </si>
  <si>
    <t>http://www.killedbypolice.net/victims/150194.jpg</t>
  </si>
  <si>
    <t>Whitworth Street</t>
  </si>
  <si>
    <t>Sulphur Springs</t>
  </si>
  <si>
    <t>Hopkins</t>
  </si>
  <si>
    <t>Sulphur Springs Police Department</t>
  </si>
  <si>
    <t>When approached, Ross is said to have balled his fist and charged the officer. The officer tazed Ross but Ross was able to pull the wires out and fled. The officer pursued and a fight insured. Officers said Ross was difficult to contain and they were forced to tazed him more than once. Ross continued to resist even when taken to jail according to Chief Sanders. Ross was placed in the padded cell at Hopkins County jail. Eleven minutes after he was placed in the cell, an officer heard a noise and went to check on Ross. He was face down and unresponsive.</t>
  </si>
  <si>
    <t>Tyrone Ryerson Lawrence</t>
  </si>
  <si>
    <t>http://imgstore.jailbase.com/small/arrested/wi-mcs/2015-01-10/tyrone-ryerson-541913410.pic1.jpg</t>
  </si>
  <si>
    <t>E. Plainfield Ave. and S. Jasper Ave.</t>
  </si>
  <si>
    <t>53207</t>
  </si>
  <si>
    <t>Milwaukee Police Department</t>
  </si>
  <si>
    <t>Officers responded to a disturbance call about a man threatening his wife with a knife at her home. The subject had been issued a restraining order against seeing her. When officers arrived the man refused to drop his knife and, fearing he would stab his wife, shot the man dead.</t>
  </si>
  <si>
    <t>http://www.wisn.com/news/man-killed-in-overnight-confrontation-with-milwaukee-police/31647500</t>
  </si>
  <si>
    <t>Sergio Alexander Navas</t>
  </si>
  <si>
    <t>National Ave. and Pass Ave.</t>
  </si>
  <si>
    <t>Burbank</t>
  </si>
  <si>
    <t>91505</t>
  </si>
  <si>
    <t>A suspected car thief led police on a short chade from North Hollywood to Burbank. Police first claimed that the subject intentionally rammed their cruiser but later admitted it was from an accident. Police fired into the driver's side window, killing the subject at the scene.</t>
  </si>
  <si>
    <t>http://abc7.com/news/car-theft-suspect-killed-in-police-shooting-in-burbank-after-chase/545556/</t>
  </si>
  <si>
    <t>Tyson Damian Hubbard</t>
  </si>
  <si>
    <t>http://bloximages.chicago2.vip.townnews.com/journalstar.com/content/tncms/assets/v3/editorial/e/ae/eae4008a-1f89-5d24-8cb1-ea844af6284d/54f8d4f0e80be.image.jpg</t>
  </si>
  <si>
    <t>27th Street and Fletcher Avenue</t>
  </si>
  <si>
    <t>68504</t>
  </si>
  <si>
    <t>Metro Fugitive Task Force</t>
  </si>
  <si>
    <t>Officers reported that they were attempting to apprehend Hubbard, a fugitive, and that he eluded them and got into his car and tried to flee, but they shot him to death. They reported that he had a gun in the car, but it's not clear whether he pointed it at officers.</t>
  </si>
  <si>
    <t>http://journalstar.com/news/local/911/sheriff-quiet-as-deputies-dig-into-officer-involved-shooting/article_321df805-65b3-54b5-a175-6897d3187204.html</t>
  </si>
  <si>
    <t>Carl Lao</t>
  </si>
  <si>
    <t>South San Joaquin Steet and East Church Street</t>
  </si>
  <si>
    <t>95203</t>
  </si>
  <si>
    <t>Police responded to reports of an argument and found a man with a gun who opened fire at them.</t>
  </si>
  <si>
    <t>http://www.recordnet.com/article/20150327/NEWS/150329710/101091/A_NEWS?template=printart</t>
  </si>
  <si>
    <t>Derek Cruice</t>
  </si>
  <si>
    <t>https://heavyeditorial.files.wordpress.com/2015/03/derekcruice.jpg?quality=65&amp;strip=all&amp;w=780</t>
  </si>
  <si>
    <t>800 Maybrook Drive</t>
  </si>
  <si>
    <t>Deltona</t>
  </si>
  <si>
    <t>32725</t>
  </si>
  <si>
    <t>Volusia</t>
  </si>
  <si>
    <t>Officers were serving a marijuana warrant, and an officer shot the unarmed Cruice in the face. Police allege he was resisting arrest, but witnesses say otherwise.</t>
  </si>
  <si>
    <t>http://www.clickorlando.com/news/deputyinvolved-shooting-investigated-in-volusia/31604696</t>
  </si>
  <si>
    <t>Fednel Rhinvil</t>
  </si>
  <si>
    <t>http://www.killedbypolice.net/victims/150184.jpg</t>
  </si>
  <si>
    <t>East Road and Olivia Street</t>
  </si>
  <si>
    <t>Salisbury</t>
  </si>
  <si>
    <t>21801</t>
  </si>
  <si>
    <t>Wicomico</t>
  </si>
  <si>
    <t>Deputies were alerted of a threat made to shoot up a nearby house. At the scene officers made contact with two suspects but Rhinvil ignored their requests to stop and kept walking away. A chase ensued, and Rhinvil was grabbed climbing a fence. The subject and deputy struggled, and Rhinvil pulled his gun. The deputy fired and killed the man at the scene.</t>
  </si>
  <si>
    <t>http://www.wmdt.com/news/more-local-news/fatal-deputy-involved-shooting/31582624</t>
  </si>
  <si>
    <t>Matthew Metz</t>
  </si>
  <si>
    <t>http://www.ktar.com/emedia/az/36/3679/367963.jpg?filter=mynw/335wide</t>
  </si>
  <si>
    <t>College Avenue and Curry Road</t>
  </si>
  <si>
    <t>Tempe</t>
  </si>
  <si>
    <t>85281</t>
  </si>
  <si>
    <t>Tempe Police Department</t>
  </si>
  <si>
    <t>Police responded to a domestic violence call, heard screaming in the apartment and made entry. They were confronted by a man with a knife who had just stabbed a woman and stabbed a female officer. They shot and killed the man at the scene.</t>
  </si>
  <si>
    <t>http://www.azcentral.com/story/news/local/tempe/2015/03/03/tempe-police-officers-injured-abrk/24328149/</t>
  </si>
  <si>
    <t>Shaquille Barrow</t>
  </si>
  <si>
    <t>http://www.trbimg.com/img-54f72e4b/turbine/chi-shaquille-barrow-20150304/650/650x366</t>
  </si>
  <si>
    <t>Richards Street</t>
  </si>
  <si>
    <t>Joliet</t>
  </si>
  <si>
    <t>60433</t>
  </si>
  <si>
    <t>Will</t>
  </si>
  <si>
    <t>Joliet Police Department</t>
  </si>
  <si>
    <t>Officers say they responded to a robbery call and when searching the Barrow the officer noticed a gun on his person. He then ran away, reached for the gun, and the officer shot him to death.</t>
  </si>
  <si>
    <t>http://www.chicagotribune.com/suburbs/joliet-romeoville/crime/chi-man-shot-by-police-in-joliet-died-tuesday-20150304-story.html</t>
  </si>
  <si>
    <t>Charly Leundeu "Africa" Keunang</t>
  </si>
  <si>
    <t>http://www.trbimg.com/img-54f8ed1f/turbine/la-me-ln-coroners-official-release-id-of-homeless-man-killed-by-lapd-20150305</t>
  </si>
  <si>
    <t>500 San Pedro Street</t>
  </si>
  <si>
    <t>90013</t>
  </si>
  <si>
    <t>4 - 5 police officers are seen on video surrounding man on the ground and wrestling with him. Whether or not he actually grabbed an officer's gun is unclear, but there are at least five gunshots heard on the video.</t>
  </si>
  <si>
    <t>http://touch.latimes.com/#section/-1/article/p2p-82949388/</t>
  </si>
  <si>
    <t>Darrell "Hubbard" Gatewood</t>
  </si>
  <si>
    <t>http://www.blackchronicle.com/vendor/FlexSlider/images/151.jpg</t>
  </si>
  <si>
    <t>616 SW 59th Street</t>
  </si>
  <si>
    <t>73109</t>
  </si>
  <si>
    <t>Police responded to a disturbance call about a man breaking things and "fighting with the air." When they arrived at the scene, the man started fighting with them. Deputies tasered the man an unknonw number of times and he went into cardiac arrest and was pronounced dead at the hospital.</t>
  </si>
  <si>
    <t>http://www.news9.com/story/28233777/man-dies-after-being-tasered-by-okc-police-during-assault-officer-says</t>
  </si>
  <si>
    <t>Donald Lewis Matkins</t>
  </si>
  <si>
    <t>2244 Mount Pleasant Rd</t>
  </si>
  <si>
    <t>Lucedale</t>
  </si>
  <si>
    <t>39452</t>
  </si>
  <si>
    <t>George</t>
  </si>
  <si>
    <t>George County Sheriff's Office, Jackson County SWAT</t>
  </si>
  <si>
    <t>Police responded to a 3 a.m. call concerning a man who was shooting at mailboxes and into the air and at the house of a neighbor. On police arrival, the subject went into his house and refused to come out. Officers fired tear gas grenades into the home. When he finally emerged, he pointed a gun at police and was shot dead.</t>
  </si>
  <si>
    <t>http://www.msnewsnow.com/story/28231270/officials-suspect-shot-killed-in-george-co-standoff</t>
  </si>
  <si>
    <t>Hawaii</t>
  </si>
  <si>
    <t>Hawaii Police Department</t>
  </si>
  <si>
    <t>Deven Guilford</t>
  </si>
  <si>
    <t>https://pbs.twimg.com/profile_images/491669839748939777/rRYLHuE7_400x400.jpeg</t>
  </si>
  <si>
    <t>W Grand Ledge Hwy and Cochran Road</t>
  </si>
  <si>
    <t>Grand Ledge</t>
  </si>
  <si>
    <t>48837</t>
  </si>
  <si>
    <t>Eaton</t>
  </si>
  <si>
    <t>Michigan State Police Department</t>
  </si>
  <si>
    <t>A routine traffic stop turned into a struggle between the subject and the officer. The officer shot and killed the subject. The officer was treated for wounds at the hospital.</t>
  </si>
  <si>
    <t>http://wlns.com/2015/03/01/msp-investigates-another-officer-involved-shooting-in-eaton-county/</t>
  </si>
  <si>
    <t>Cornelius J. Parker</t>
  </si>
  <si>
    <t>http://bloximages.newyork1.vip.townnews.com/columbiatribune.com/content/tncms/assets/v3/editorial/8/6d/86de4495-903c-5b03-843a-8e864b9639a5/550073a44c6ea.image.jpg</t>
  </si>
  <si>
    <t>E Broadway &amp; Hwy 63</t>
  </si>
  <si>
    <t>Officers tried to stop Parker's vehicle at El Chaparral Avenue and Route WW and a chase ensued, O'Sullivan said. Parker tried to turn the vehicle south onto Highway 63 and ran off the road in the snowy conditions, a release said. Parker allegedly got out of the vehicle with a handgun, shots were exchanged and he was fatally shot by a deputy.</t>
  </si>
  <si>
    <t>http://www.columbiatribune.com/news/crime/three-dead-including-alleged-shooter-at-two-scenes/article_a1cb2d92-94f4-5670-92f6-3a2a73a6ea10.html</t>
  </si>
  <si>
    <t>Ian Sherrod</t>
  </si>
  <si>
    <t>https://localtvwghp.files.wordpress.com/2014/12/susect.jpg?w=613</t>
  </si>
  <si>
    <t>2300 Main Street</t>
  </si>
  <si>
    <t>Tarboro</t>
  </si>
  <si>
    <t>27886</t>
  </si>
  <si>
    <t>Edgecombe</t>
  </si>
  <si>
    <t>Tarboro Police Department</t>
  </si>
  <si>
    <t>The subject, a suspect in the murders of three people was located by police in his truck with a gun. He is believed to have suffered with paranoid schizophrenia. After trying repeatedly to get Sherrod to surrender, police say he got out of the truck and pointed the gun at officers, who shot and killed him.</t>
  </si>
  <si>
    <t>http://abc11.com/news/3-dead-in-tarboro-shootings/538892/</t>
  </si>
  <si>
    <t>Thomas Allen Jr.</t>
  </si>
  <si>
    <t>http://bloximages.newyork1.vip.townnews.com/stltoday.com/content/tncms/assets/v3/editorial/f/c0/fc078510-b702-52b0-80b1-dcd296a5822c/54f4969de6350.image.jpg</t>
  </si>
  <si>
    <t>Morton Ave and Chatham Ave</t>
  </si>
  <si>
    <t>Wellston</t>
  </si>
  <si>
    <t>63133</t>
  </si>
  <si>
    <t>St. Louis County</t>
  </si>
  <si>
    <t>Wellston Police Department</t>
  </si>
  <si>
    <t>An officer pulled over a vehicle driven by Thomas Allen for a traffic violation. While questioning Thomas, a passenger got into the car and attempted to drive away. The officer fatally shot Thomas who died in the hospital the next day.</t>
  </si>
  <si>
    <t>http://www.stltoday.com/news/local/suspect-in-wellson-police-shooting-dies-of-wounds/article_7572d365-c0d0-515f-a2d5-bc6ab6a2265d.html</t>
  </si>
  <si>
    <t>Jessica Uribe</t>
  </si>
  <si>
    <t>St. Mary's Road and Grande Avenue</t>
  </si>
  <si>
    <t>85745</t>
  </si>
  <si>
    <t>Police received a report of a suspicious woman around 9 pm near St. Mary's Road and Grande Avenue. When the officer arrived, the woman allegedly charged at him with a knife. The officer shot her and she died hours later in the hospital.</t>
  </si>
  <si>
    <t>http://www.kvoa.com/story/28230565/woman-killed-after-officer-involved-shooting-on-westside</t>
  </si>
  <si>
    <t>Chazsten Noah Freeman</t>
  </si>
  <si>
    <t>http://www.gannett-cdn.com/-mm-/8127cb3b561dacccca43c2ce218248c73d0d3b35/c=54-0-1685-2174&amp;r=537&amp;c=0-0-534-712/local/-/media/Greenville/2015/03/05/B9316488029Z.1_20150305162407_000_G4CA4STTP.1-0.jpg</t>
  </si>
  <si>
    <t>1100 SC-8</t>
  </si>
  <si>
    <t>Pelzer</t>
  </si>
  <si>
    <t>29669</t>
  </si>
  <si>
    <t>After robbing a store Freeman was found at a home by deputies. Freeman fired a gunshot prompting deputies to shoot and killed Freeman.</t>
  </si>
  <si>
    <t>http://www.wyff4.com/news/greenville-county-deputies-involved-in-shooting/31543332</t>
  </si>
  <si>
    <t>Stephanie LeJean Hill</t>
  </si>
  <si>
    <t>http://www.pressdemocrat.com/csp/mediapool/sites/dt.common.streams.StreamServer.cls?STREAMOID=v5xCkj53ZnQ$orVs374zWs$daE2N3K4ZzOUsqbU5sYt8jA7MBdqaZ3B9RvzpDzZgWCsjLu883Ygn4B49Lvm9bPe2QeMKQdVeZmXF$9l$4uCZ8QDXhaHEp3rvzXRJFdy0KqPHLoMevcTLo3h8xh70Y6N_U_CryOsw6FTOdKL_jpQ-&amp;CONTENTTYPE=image/jpeg</t>
  </si>
  <si>
    <t>I-10</t>
  </si>
  <si>
    <t>Ehrenberg</t>
  </si>
  <si>
    <t>85334</t>
  </si>
  <si>
    <t>La Paz</t>
  </si>
  <si>
    <t>Police tried to pull over two suspects wanted in a Sonoma, CA murder of an 84-year-old woman. They led police eastbound from Riverside County across the AZ border. The two were shooting at cars behind them trying to get them to crash into the police in pursuit. Once in AZ, the suspects abandoned the vehicle and the female ran off into the desert. Officers report she raised a weapon and was shot dead at the scene.</t>
  </si>
  <si>
    <t>http://sanfrancisco.cbslocal.com/2015/03/03/suspected-killer-of-elderly-sonoma-county-woman-faces-new-murder-charge-over-death-of-2nd-suspect/</t>
  </si>
  <si>
    <t>Ernesto Javier Canepa Diaz</t>
  </si>
  <si>
    <t>data:image/jpeg;base64,/9j/4AAQSkZJRgABAQAAAQABAAD/2wCEAAkGBxQSEhUUExQVFRUVGBcVFxcVFBcXFBcVGBQXFhUUFBQYHCggGBolHBQUITEhJSkrLi4uFx8zODMsNygtLiwBCgoKDg0OGhAQGywkICQsLCwsLCwsLCwsLCwsLCwsLCwsLCwsLCwsLCwsLCwsLCwsLCwsLCwsLCwsLCw3LCw3LP/AABEIAMIBAwMBIgACEQEDEQH/xAAcAAAABwEBAAAAAAAAAAAAAAAAAgMEBQYHAQj/xABHEAABAwIEAwIKBwYEBQUAAAABAAIDBBEFEiExBkFRImETMlRxgZGTobHRBxUjQsHS8BQWUlOSsmJyovEzNESC4UNjc4OE/8QAGgEAAwEBAQEAAAAAAAAAAAAAAQIDBAAFBv/EACQRAAICAwACAgIDAQAAAAAAAAABAhEDEiExQQQTMlEiI2Fx/9oADAMBAAIRAxEAPwDJTj1V5TUe3k/Mu/XtV5TUe3k/Mo5cBVaQhOfXlQQD+0VA0N/t5Lk62LRfQbXCUZj9S0tf+0TmxzH7aXK8gg2te2l9lEUctiBe3R2t273tY87q6cBcLw1plbPnHg8ha1jrCzmjU3vvv6U7a1bE90MOLuJ5JajPDUzZMjAcskjRnA7Wlx3aqGON1PlNR7eT8y2KH6NqAf8ApOd/mlefddP4eCKFv/SxHzgu+JWV5oFVBmEvx+q8pqPbyfmRocbq3bVFSfNNKfgV6ChwGlZ4tPCP/rb8k6DYmD/02+hoSfev0Pozz9DPiLvFfWnzOnPwUlBh2Lu8UVx88krf7nBbNPj9NH40zAe43+CZ1nGlLGbFzid+yw/Eofc34idp/pm1Pw1jDudQ3/PVkfCRPYeCMXPjVTmf/qmPuCtz/pEp+TJD6Gj8UlJ9I0PKN/rauc8n6Dov2R2F8DV7HBz8QebbjPM7Tpq8Kys4efzqpvQ5w+LlXKj6UACQ2nv3uf8AIIjPpFlcLiKMelxQ2zHaQbJ53BjS4udVVhub2FS9rfQAnUHC8Lfv1Lv81XOfdnsqm7jyoOwjH/afmm83G9UATmYOlmBLWR+x9UaLDhzG7A+l73f3EpaWpbELueGAcy7KFh1bxdWy6Gd4HRtm/wBoSQle+2dznHq4kn3o/VL2wKma3PxtC24je6Uj+EkD+o7+i6zurx13h5nOqHtzPcQ3w77NB+6Bm5apnSi1iFUcUYXzSEaAvd3/AHj3K2NJf9EyRLq/iPX/AJp/tnfNFPFAH/VSe1f81Q/2Y9fcfkufs7lW2S1X7L/BxPncGtqZCTt9pIPiVIsrpv50vtH/ADWbYbERNGSNMw8260WIJo9EkqHsdbL/ADZfaP8AmncdXJ/Nk9o75qHrqxsTb7uOgHM9/mUPPR1UzQ4Zg0k5Wt0v6BqfSi2kKk2Wiqx8Rmz6lzT0Mrr+q6UbiD3gObM9wOxEriPis5q8NmhfqLOBvqA6x31DgQUpLjp8I2TwbGOaLOEbcjHa+MYxo09ctgd7b3Gw2hepa6b+bL7R/wA0gcQm/my+0f8ANN6OsbNGHt5jboeYXXBcKLfWE386X2j/AJofWE386X2j/mm6AXUcOfrCb+dL7R/zQTZBdRxmwKBKKguKh45LEEcuoBHqO60P6K6sslmynxmN566b+i5KzlXT6M57VDhzLD6gRYJovjQGuo1aXFXN3TGXHzff3plj05Ed+9Vp1Upaos4lhqcacTufWomtrMwN7pi+W6K1pOgCLiMhpNbvSz3CSKxHaZt3t6J0MKlP3dO9GkphDq8gn+EdO9LRxCZBbYpOSMAcwVLtc7UtAA9aa1MLibnVGgUQkieQO7I8yQqIrHUKXwegMpDRYaXJJsAOZKDYI+RvCdUWrJ99kri8bY3WY6+XQu5OPUIr7lovy7XyQQ/+EcYzmT+ONIahzU9jOpQmwxQ8o2aKlVUv2j9fvO/uKvlK3ZZvWO+0f/md/cUMbBmXEORN3oftHemF0LquxDUeuq/1ZWPhSokyTPLT4Jjb3/xXAs0c/Gbt3KnrVOCcFc9lKx4BYWGZ3UgyFzG/2kpXNoZY0xfDeFpJWtlf47iHWOzRu0ejRXXBMNdHfNbTbT3pQ1xa57Wt1b/TtpdP8JrmTAkAtcNHNO4P4jvUMjcmaIY1FFe4uwXw0ZDAA47m3rWUY9hBgdY662v8VvmIAZVlXG7RkcXbC5HW/wCCWE2nR2TEmrIXhm7YiOWd1vNpsphyguGa0OGS1iNe46qdW1eDDLyFsgjWXHIiiZcgiFBA4zhdul6OjfK6zBfr0HnU2eGez4/a83Z9HNI5JGlRbK8rL9Hj7VjR1a8e6/4KHq8MfELusR1B/BSHBstq2HTcketpTJqwVRovEz7MaO9VpwKtOPRAlg9yZSQMa27tPOs33Vw2vFbshWVRZfsg+dJnEnX6KQlmisVD1zBa7bWTxy2SnjrwyXOPyOAaCBYW0R6KhfKbkEkp5heBhrI3O3eM1h05K54dTADQWSyzK6Kw+O3HZkLSYATysn54aYBrqrHTsujTx6KcskmVhCKdGW8T4GGahVzDX2fld3rS+J6a7FmWJsMbwRfVVxvZdIfJgoytBsSHv2SMgkDdeyCdL7+pOp69vgY25e2C4lx5g7BMs5eS468tfwVDPYVkpvqQeSe0TrlRVScv4J9hcl7Holl4Gi+ljpmbdyziro5A912O3P3T1WmQM0v3LMZHOJOp3PM9UuHthz8ob5D0K74M2vbRdcD3rrGX0VKJcHv1WWxtlebB3it5kdT0HrWv/Rw55iZJJa72tAsLAMaLNAHLTX0qg8McPOqwZJXuZTxbucSS61yY4yegB15fDUOF3xiJmQZWAANaTq1ttATzIGilkkqLYoPySWI4E18wnF2vyltwSND1Gx25ozYv2ZjpHEEn4DmUvXVYa+PMCY+bhs08i4dDsuCdsxcbjJazTfQjuUW+GjUjIcWkkAdaN0bvFNyNO4i4Kz76SaxuUNHjO9NgDclWHEv2aF5Y17nE3+xiHYve9yQAAbk696z3H4JJXukdYDZrb3ygC1iR+tU8FciWSVRoR4WfZ5vzsB0629w96twVT4fbZ2U21c0jXoD+vSrfZa4+DBPyFXHIsklk1kqERBUlBNc6C44bYVE1jbBtj1SlZVhjSbjTkTofMq5Liz76EADZM6irdIbuPo5BSUUzW50hWrnzm5v6Tz83JOOH5MtVAf8A3G+82/FRpclsPfaWM9HtPqcFSKSZJts2evZeRo7lV+JyRJbWyt8//FH+VV3iuzZG9m9wvPxv+2j1sy/qtFYc+zCkaOe5LUtVAEkDZNsMjHhLLZraPPTpmoYZLnDO5oHuVlpGaBVzh4WY2zS422CtFDO4ntxOYOpIWZY+2ehPKtVFD+lYiVUrWnLu4/dGp9Sc+GAGiiqmoMeYxR538/SqUjNcn0aYowlpBbYFZnxJT8ragrTKSeZ9/DMDdL6H3FRVJhzH1Di4XHfsLpFPVmmUPsjRj0ryUKQm5spjiGg8FVTRtbpmNvNuFDxghp89lrvh5ji4yob1TzdPMEk1cE3dGNf8Lf8AUUfCB2vQll4OXGXymZ2bjm38Fmz37rTaN32V+jT8FlrWgj0KeD2V+R2g+VJzP086UhN7g7hJvBtltc6WHO97WC0ejMblwPRh+GtZbVoANtDZzGhx033KZ0ETow+F3Zc0nKHWGZh1afVp3WVl4Jw11PTNz7uaCW9NALKnfSRiXhHsbE5jHRElzySDa3iCw1HXzBZJLh6EHwkIsU8Hpn0Nrxv8du/iOO4/V1A12KT4hP4GncY4m+O8c+4df16YTAYZ8TnEIkd4NlvCSWAyt6DTc2sPSVem4O+lljihjd4EAuzdnsvB2/iN26km9ye5drb6GeXbwiExvh808bsmaRzWggnUnfMdFA1c7Z2Ns3tBhz2uHabHTf8A3utfETJAQ7f3hUXijBRSymePxNcwHLNo70G5Rg6JSx2ZZJIGu7JLbHQ3+NlaMHxvwjcrvGA9BG11XMbbaQm1r2Itse8IuAyWlHeCPgrpmWUS2Tv1SaDiuJyAa6CR8G46h1h0y3990Eth1ZTCUFwIIljqPG6xB6EH3ogXVwDcQ674j1YPgojjhhbkeNrFPIq4NjgduTE23qCLXuMzLP26LzJ3DNse9DE8uHUzuFznElDD4niVpsd1PVUAGwACSpJQ19/OFqWa/BkfwtX1l/warMTQGszPdsOXnPcrFTGYxkykNP8ACAE1wCFrmNI6BTdZHlYRzKCbo6VKaQ1pxdidU7LjRJQStDQBuErC4dQgkdNvoJYbDVVylqhHNJm2I0841VqnfdvoWecSYg2neXvbmGosOpFguce8OxzqLbKHjuKukqHvv942HuCSmoHjLHbtu7f46+hINBlkLmjmXdyEdXIXF5JJHP5LUkjz3K22NqiGwcOfNO8LjHL1pOa3g3Ozdq+3XvS+Dx6DvSy4horpZ6J/2b+5rvc0rNYhoLdFo+YBs3dG+39JWbRbBJh9jZvQd24I8x/FXH6OsB8PUeHeLsiPZHJ0nXzD42VQyE95Onr0C3HgqhbDAxg5DXvO5J85unyypV+xcMLZZMQqckQA3NgB3rE+M+I4nSOjjZnsSHSX3dzDdNr81qeNwOmdkBsMribb2ta1+SyDCOA6mqpP2qMsLMxblGYvu0gEkAWA1UYR2bf6L5JOPF7NB+i2SOGkYTYOmLnF1tMxOVoJ5aABaBQVGZoDm5X/AHuf9Pcsz4QlihgFLO4Nkbmyl3iyMcb5bHfcd+xCu2D4mywa54OXsi51tbS55nv7kL6MktUNKqKVtUPs3eCcD9oCOy/MbC29rW17+SYcaTFlK5xbvZp9Jtp3WV0lr2W8YesLNOM6uWucYYDaNhu99ri45Ac7I3YVZlmI1OZrW9CbHuunfDlEbmQjuH4lSdTwo2Odkbpc9yQQGlruza5GpuDmOo6KUqqTwVmja2nm6KkZJujJljJKxo4IjwbGxtbUnTQdbnQI7kkagA5CWi5B1934qkvBnj5Emxi2jQR1JJv33cboJ1+8LWdlrWEN0u69yRuduZuuqVsqURBBBVOO3XboqAXHGp0EodDS/wDxBSULS8kbBNuDKWOSiY9xs5jCBr/iKWjeA64WD5H5s+i+BK8aIfGPGI5AqLLtVN8QStJFrXKr8k1tV2JWH5MkjXOB6oOhb1GhUniOI9rIDqdydgPmqd9HVWHNOqtOK0WYhzdHNIN1bxw82k5WSuH0ulrHzu0uk66K1mtsT3ckpDM+wubo5AGqPKEuW1sEYszU3WScf1OeTKNbHVXjF+IQwPY3U7BVCPhqSrdZrg1xu5xcevTqnxR70XLyLKxRAydiFtjbtHoOZTyromxwG33N+89U2lD6GpfGXA5TldbYjdcxTFA95A8QXNv4jbZPKMr4QjKOvfJBOiOjeZ7R7hyUvhZ7QHRIti0zHxn9o9w5AI+Eg+FsdjYoS8AjxlgkYTFNbUljgLdS1VSi4Sq3jsxX/wC9g+JV1mblif3g/BSPDc2gWX7XHwaXjU/JRmcIVkTmukhcGBzS4gscAMwuTZ17LVsLlDGjuCXxOrayFxdtYi3W42VZ4LZL4LPUv1N8jXWacv3c1uZT7ufToxUODzjaomZSSeCZI6WazPs2ucWR/euWjQ2v61kMeIStidTh7xCXZjHchpdaxLh6Bptp3L0LgGINkZcdSD3EGxHuVR+kngkS3qqdv2gH2jGj/iAfeAG7x7x3qmKai6ZLNFy6ZI1o5693JHbpqND15+tAWOx/XmQstfDHbDmpeBbO70OPzUhS8TVEUXg2SWAvY5QSPSVFuVh4R4SfWh7rlrGkNzdXbm1+gt61PJqlbK43NukxfgqmM8vhnvc5zDqTq4m3M9LFWnHqLOwkbt1Hm5hSOF8Jfs7MsbiOZ0Fyep0Uk+gIb2tV57n/ACtG3RONMy5xTWsphINdCNiP1snuLsEUjwdACbeY6hRZxFnX3Fb001Z5jTToj5KKW50B7wbX9C4pBtaw63CCHBrZWUEEERwLi6uIBLpgNUW08e/3hv8A4indRiJcbXI7tlGYCwup2Hk17wfcUpWyWN2jlzQnh2dmjB8qWNV6DzOKjZ396cwvuDncrBg2D0skDqiR4AabG99+4c0Pr0Q0s/2ypCfCFRJA3wwHYvY/NXrDOKY3yEE6WCzPFsUjLfBQ5snfoPQEbA6R723jPabu3nbqOqCx31i/aotKJtEGJsyl7jYXsFEcQY+ACxlyXbWVToYXyDK+XKOYAOb37KwYdgzQfsw4nbO7U+jojrFBc3JkfhuHukeM2pOrjvbuT/G6ctezLcW000+CstBhoib39UjiuGfZPmkOVsbXO7yQNPfZTVynwvKUYQ6YvjxvNIb37R+CipAntTqXHvTWVmy2as8tytiIncNiU7oK5wkDjY29GiaOalqOPVI42MpFqrsXbJBJl0cGmwPVS3DUwc1pGxCq2G0Yke1jr2cSNN9jz9SnMCidTyuiOrRZ7HdQSQQehBHvWLNBJUjZim2+krxHWOzWPiMse47E+4qo8QztncPByB1r5rSFw8azbC9hYN5dVoFRA2cWPS17bX3tdVCT6PQw5oZ3A7dtgII6aWSY5KqZWd+kJ8F4yaWXI5x8HIef3Xn4ArZKOqD2rAcZwmqh0cGkHZzb6/Iq68E8UOLWxy3D26G/MdR1VGvYifplxruE6YyOn8Cwud44LQQ63O3XXfmorFuAqSVmaNngnWuCwnL/AEHRW6hqxI3RM8QmEbLDzDr3BLco9TDonxoxnD+FZJqx1KHWEdjJIBcNYRcED+I30B7+i2bCKOOmibDE0BjBYdSebnHmSdSe9Q0NYyAEmMtc/Vx8GQXHqTbVN63ibKLtjc49Nh70Z5ZSFhiUSzvqmptUzAjRUufiud3/AEw9MnyCr9bxFV5uwxrf+4u/AKdWUtIbfSHRuNS3KN2a66A5iq2MLNtXegfNTVXVSyuzTePtptbuSC14+RSMOT82RkdGwDVpPpcup+6IHX8UERbKqgggmOOIIFcQCXHhJw/Z335SfFg+S5iUwGya8MC8MoHJ7D62uH4J3UR33WlfiiXtkPITzSrpnBgF9N7cro1ULmwTZ3RBqjkw8QUvgdYYZGuHI+5RF+Se0luaMY3w7anZvmFYU2ZjZMrTmAOZpHxU3BhYb3LIuAeL30rhG8kxE6j+H/E1bbTyte0OaQWuFwRzBUJ4tSyzykJMpmjU+9Zz9I3FrHNNLEQQfHffQ21yt67bqQ+kvicRsNNE7tn/AIhH3W/w36rJJhmu5zttlfFir+RGc7GT+frSLxolydD0SfI2TNCILDGDe+wF0GvuSeX62Roho5JPdYfrZTkiiJDB6h37TE1l7ude/RoabkrUKena4ZSAb7+jcqkfR5hYBdVSaZgWsB5Mvq70ke7vV8wyZjxdmpd7gOvTqvOzO5Ho4I1Hozmj8C7fsna/wS8NY1dxxrfBPzbNHjdD/EqLSYs9zA5rb919VOMWyjkkX+oEcrCx4BB/Vws94mwmSNw8Hc2N2ObqR3O7knHjlRI8sAy20PP1Kw0FI51sxJ/XRUVxJumH4SrqoN+1YARzDviAE8xOsmvmzWI2tsO8d/ehVV0VO3tvAPJvM+ga2UPX8SRNZoS93cNPWUas60vI1w/idwmdFUPN76PcdwdQCVYHNB1/2WU10hke553PLoOikcO4jliZk8YDa5NwOiaUOCKfS8zNvum74mjUAKsQ8SvebEAeZKyYi9wtdJrJhc0kExGbM8npomy7ZdyrRFUqMkuuwq4j5UEwKKiUVKZUUtTNHWFQCBCAS+wlo4Pd2KjzRn/U4fipNzQbnoobhCS3hx1jB9UjfmpWYdkkaLXD8URflkWRd/xSEsetkpG/clEaC4p2k0ImIsCdUh579yQGl0pAN7JIqmFvhKRTgNBAF/grDhHHFXTMLI3DKQQA4Xtfm3oqi0+v3JSSYWAB5K2ya6T8D6rrHOc5zyXF1ySd7nfVNWi4N0j4cWN9e9EimOvT/dFvqsCdod08V7/rkUm8N1sdkRtToR3ck0z7qcnFJFUmKGptcc0zrag5bDn8F3LdEI0WaUy0YMsmKcWufTRRwxiMRta0km73FosdB93QLuEcWzRi+S5OjnX0d005KOGDgRMkY7NmAzN5g87KUwugBsS05OXn83RZJ0bY7EpxFjM08BYGBjCN73c49OgUBwzV/cO41Hm5hTOKvEUZIPcByue5VCFxa4OHJLHwGXkvdNAxhLjoDqeaTxfiXKzLBuR4/wAglcJmbNFf9A8wq3jdC+J92+K7XuvzQDRHCV0jj4znc9yUHNPO4Vg4bOWN7rDMXWzWvYW6DdWLDsNa+xkYO0eyHAXsOvn+SpuL9ZnsdI5+jWk+bb0lL07PB3aWjN38lrL8PYBYAAegKl8YYM22dvK1/MTb8UHKwqKRUsTIDg5tteQ3sLam3fdOqWXMLqIlZZL4XLZ1uRTIlNWS9l1cKF05GgyC4ggdRUo9dNypSLBHuF3EN7tz/wCElg5DTm5/AKww1FwjKb9Dwxp9ZWqrDS3Y39FlHq51tHcXVUrocrkIysE40SvCL7Svvzid/c0/gpvEmWZpz5fJVvhx9pvOx4/0k/gp2oeXN3/2WvG/4meXkimN7KPFMACkJRlRM6opUTDOfuVzwh8yBOiIHaWSN0FKxVrtD+vSu5xokAV26XcZYxy5wsitmNrck3uutKDytjxxpC8cqTL0VAKTkWSDNKOyNEDkowpGx0iYweoDDld4p93eppk4j1BGTexPwVZjSmUKMo2VUqR3F64zEW0aNh+JTANKdujC4Ix0RSoGxNcHkmQs+6dT6FJY5VtfeNjbk8+QHzULhFT4J1xpcFt+l+af0cTvCOJsb2sRsRbkklwrjdoPhEhgdmI7J0IA99u5W2ikhBzeFBLz2bnTrlHT/wAKs+DJOgLnH+kI8tJk7W4vr/hd1slT/ZSUOWiUxWRzpQMxyXubHfawt6/WkMbhzROud9bdOYCfQtFg4kbKCx7EQ/sN25lNsKim1ceiRo4+0ntWy50S9NBlHemj0lMUXLI112yoZ9Ql0F3KgjYNWVGGUtKl6Sr2UKGpVmZutrItAjOi7U9QCLFRNfQCV1mH022TNlZcaKQppGtjzZgHX57Ec1PWi7akI02BPhka4HM3tAkDa7CNUJ36Dkj/ALxkdkDfT1pjI8u1WjFJpdM2SMW/4hqkg2sdt0na+nRJsK619lR5L6IsaQHCyJdHe7VJlTciiiC6cUkDpHBrRqUiwK18J0lgZCNToPxQs5qkRFdg74txcdQo+1lpUkQcLHVQVZw8w3yktPuQs5Mp5K5dL1cJY8tO40TdKyiAClYt0mGpzDGd0rGSJWgpr6nYIkws4+c/FSNGbNCY1je2f1yU0+jtcG5RQV1wXAE1goXiKm8Hk112UDGn9JLl1SvwPFF0kYTEclg7kfiko6HwZBccweLknUbbJOTEMsQLLkk2sPelIKtx7DgLH13tuoNGhNkVU65mx3sLg9B5lGVTCxuoVkdhrgb3Ab6z6lD4yy4sEt0GkQUGuqVKJSM0ShC0RfDNNdOLt1yyBCaxKAuoqC4BU4GvGouB12HrQkHV1/11KI+Qnc3XArmagwfbZcJPNdQsgOkcZupTnZRrWqUI99vgimdQkW6oSBGmCQcdEbGoBKC41BIEd0cBe4NHNXiB7Y2ho5Cyp2EmxLu5SBqifMg2HVPyWGSv6JpNiDxzUSakhKibMO9TdlYxg0R2Ky53Zj5imOVSD6ZzmuNtBuUhTU+a/cnbEr0hOCG5TnIumO2h35LsZvukbHSJOnOgSNfo7zgFKwbJLER4p7lP2OxoXLgKKSuXTgFQ5LRvTUFGa5ccTuH1mXQ6t+HerJhjYiQ8HM7lroPMFRWSJ7RV3gzcJHEdSL3V3bvoFTsamBJA5p3W8SvkZksAoDNzJuUuls5TpdFALCyTJRXyomdVSJtiuZDMkcyGZGhbFroJHMgjqCzU/wB36TyWn9jH+VD936TyWn9jH+VBBUMwP3fpPJaf2Mf5UP3fpPJaf2Mf5UEFwQfu/SeS0/sY/wAqMcApfJqf2Mf5UEETjh4fpPJqf2Mf5Vz936TyWn9jH+VcQXBO/u9SeS0/sY/yofu/SeS0/sY/yoIIHCjcBpbf8tB7GP5LpwOm8ng9iz5LqC44AwOm8ng9iz5IzcEpvJ4fZM+S4ggwpjh2EU/g7eAit08Ey3qskIsEpgNKeEeaJnyXEFz8BTOS4JTHengPniZ8lwYHTX/5eD2LPkgglDbFmYPT/wAiH2TPkhNg1ObXghPniZ8kEEvs62IfUVN5NB7FnyXPqGl8mg9jH8kEEx1s6MCpfJoPYs+S79R03k8HsWfJdQRBbAMDpvJ4PZM+S6MFpvJ4fZM+SCC46w31NT/yIfZM+S4cFpvJ4fZM+SCC46zn1JTeTw+yZ8kPqSm8nh9kz5IILjrB9SU3k8PsmfJD6kpvJ4fZM+SCCIDv1JTeTw+yZ8lxBBE6z//Z</t>
  </si>
  <si>
    <t>1000 West 3rd Street</t>
  </si>
  <si>
    <t>92703</t>
  </si>
  <si>
    <t>Officers who were searching for a robbery suspect spotted a man sitting inside a car who matched the description of the suspect. It's not clear what ensued but police shot the man to death. A fake gun was found in the car.</t>
  </si>
  <si>
    <t>http://www.latimes.com/local/lanow/la-me-ln-santa-ana-officer-involved-shooting-20150227-story.html</t>
  </si>
  <si>
    <t>Amilcar Perez-Lopez</t>
  </si>
  <si>
    <t>24th St. and Folsom St.</t>
  </si>
  <si>
    <t>94110</t>
  </si>
  <si>
    <t>Police shot subject they say was carrying a knife and attempting to rob a bicyclist. Witnesses dispute police account and say the bicyclist had actually stolen the subject's cellphone prior to the officers' arrival.</t>
  </si>
  <si>
    <t>http://www.sfgate.com/crime/article/Man-killed-by-S-F-police-didn-t-speak-English-6110102.php#photo-7598730</t>
  </si>
  <si>
    <t>US 49 &amp; Middle Driveway</t>
  </si>
  <si>
    <t>Gulfport</t>
  </si>
  <si>
    <t>39503</t>
  </si>
  <si>
    <t>Harrison</t>
  </si>
  <si>
    <t>Gulfport Police Department</t>
  </si>
  <si>
    <t>http://www.fox10tv.com/story/28217368/police-gulfport-officer-shot-victim-after-he-reached-for-a-gun</t>
  </si>
  <si>
    <t>David Cuevas</t>
  </si>
  <si>
    <t>4660 N Socrum Loop Rd</t>
  </si>
  <si>
    <t>Lakeland</t>
  </si>
  <si>
    <t>33809</t>
  </si>
  <si>
    <t>Lakeland Police Department</t>
  </si>
  <si>
    <t>Cuevas' ex-girlfriend alerted police as the man, arrested then released in Pennsylvania on Florida sexual battery charges, sent her a string of threatening texts as he returned to Florida. Police encountered him in a hamburger restaurant parking lot. He was armed, went for the gun in his waistband, and was fatally shot.</t>
  </si>
  <si>
    <t>http://www.orlandosentinel.com/news/breaking-news/os-officer-involved-shooting-scorum-loop-road-lakeland-20150226-story.html</t>
  </si>
  <si>
    <t>Crystal Lee Miley Harry</t>
  </si>
  <si>
    <t>https://encrypted-tbn1.gstatic.com/images?q=tbn:ANd9GcT_Uy149ARRiaD2gsIRANTDOk38jskW6SOSilOCnkeQq1LSWLBptw</t>
  </si>
  <si>
    <t>5101 Hwy 133</t>
  </si>
  <si>
    <t>Sylvester</t>
  </si>
  <si>
    <t>31791</t>
  </si>
  <si>
    <t>Worth</t>
  </si>
  <si>
    <t>Worth County Sheriff's Office</t>
  </si>
  <si>
    <t>Worth County sheriff's deputies tried to pull over Harry and Kelly in their Nissan Sentra, but they refused to stop, Johnson said. "They got into a chase with them and had an accident in the ditch,'' Johnson said. "They overturned the car." Harry, he said, got out of the car brandishing a pistol. He said he couldn't confirm reports that she had a gun in both hands. "She pointed it at the deputies and they fired on her and killed her,'' the coroner said.</t>
  </si>
  <si>
    <t>http://worthit2u.net/worth/2015/02/26/police-chase-ends-in-crash-and-possible-shooting/</t>
  </si>
  <si>
    <t>Glenn C. Lewis</t>
  </si>
  <si>
    <t>http://www.killedbypolice.net/victims/150164.jpg</t>
  </si>
  <si>
    <t>NW 27th St &amp; N Youngs Blvd</t>
  </si>
  <si>
    <t>73107</t>
  </si>
  <si>
    <t>Officers attempted to pull over the subjects vehicle for a traffic stop but the subject didn't stop. He led them on a chase and ended up at the end of a dead-end street. The subject allegedly turned the car around and drove at the officers. They fired upon him and killed him at the scene.</t>
  </si>
  <si>
    <t>http://www.news9.com/story/28195051/okc-police-driver-who-attempted-to-strike-officers-shot-and-killed</t>
  </si>
  <si>
    <t>Chambersburg</t>
  </si>
  <si>
    <t>Francis Spivey</t>
  </si>
  <si>
    <t>http://ak-cache.legacy.net/legacy/images/Cobrands/gastongazette/Photos/e7f1e90e-cbd1-43fe-b334-6593e2d4c6ad.jpg</t>
  </si>
  <si>
    <t>5300 Craig Road</t>
  </si>
  <si>
    <t>89115</t>
  </si>
  <si>
    <t>The subject, a military veteran was dressed in military fatigues and armed with a rifle outside an apartment building. He shot into the air and into a neighbor's apartment. A SWAT sharpshooter fired and killed him at the scene.</t>
  </si>
  <si>
    <t>http://www.fox5vegas.com/story/28196978/suspect-dead-in-officer-involved-shooting</t>
  </si>
  <si>
    <t>Alexander Phillip Long</t>
  </si>
  <si>
    <t>http://www.killedbypolice.net/victims/150165.jpg</t>
  </si>
  <si>
    <t>Terre Haute</t>
  </si>
  <si>
    <t>Vigo</t>
  </si>
  <si>
    <t>Alexander had a warrent for his arrest. After a chase, officers broke the side windows of the vehicle and used a Taser, but they say it had apparently no effect on the suspect. Police say the suspect then made an "aggressive threatening move" with his hands inside the car, causing a police officer to shoot him in the right torso area.</t>
  </si>
  <si>
    <t>Joseph Biegert</t>
  </si>
  <si>
    <t>https://encrypted-tbn1.gstatic.com/images?q=tbn:ANd9GcTiIpaRUxqeoxGOXNNUtJKUzGxn1N4LfEn0BZMGZL__xcoFo1Mx7Yv00A</t>
  </si>
  <si>
    <t>1493 Plymouth Ln</t>
  </si>
  <si>
    <t>54303</t>
  </si>
  <si>
    <t>Brown</t>
  </si>
  <si>
    <t>Green Bay Police Department</t>
  </si>
  <si>
    <t>Police responded to a welfare check on a suicidal man. On arrival, the man stabbed a police officer. The officer shot him dead at the scene.</t>
  </si>
  <si>
    <t>http://www.jrn.com/nbc26/news/State-Officials-Investigate-Officer-Involved-Shooting-in-Green-Bay-293969301.html</t>
  </si>
  <si>
    <t>A'Donte Washington</t>
  </si>
  <si>
    <t>Clearview Lane</t>
  </si>
  <si>
    <t>Millbrook</t>
  </si>
  <si>
    <t>36025</t>
  </si>
  <si>
    <t>Elmore</t>
  </si>
  <si>
    <t>Hillbrook Police Department</t>
  </si>
  <si>
    <t>Millbrook PD received a report of a possible house burglary. Responding officers were advised that a suspicious vehicle pulled into the driveway of a residence and that several male subjects went into the backyard, behind the residence. When officers arrived, took one person into custody and set up a perimeter around the residence to await backup. There was movement at the front door of the residence and officers confronted an individual at the door who retreated into the home and fired several shots at the officer. Four suspects fled the residence into the backyard, firing at the officers. The officers returned fire. Three suspects jumped the back fence and fled the area on foot. Washington exited the backyard through a fence towards the front of the residence, brandishing a firearm. He encountered an officer who shot him.</t>
  </si>
  <si>
    <t>http://www.wsfa.com/story/28177937/1-dead-4-in-custody-after-millbrook-house-burglary</t>
  </si>
  <si>
    <t>Robert Kohl</t>
  </si>
  <si>
    <t>175 Bass Pro Blvd.</t>
  </si>
  <si>
    <t>Denham Springs</t>
  </si>
  <si>
    <t>70726</t>
  </si>
  <si>
    <t>Livingston</t>
  </si>
  <si>
    <t>Denham Springs Police Department</t>
  </si>
  <si>
    <t>Kohl's mother called police saying that he was talking about killing himself. Officers said that when they confronted Kohl, he pointed a gun at them, and they shot him to death.</t>
  </si>
  <si>
    <t>http://www.nola.com/crime/baton-rouge/index.ssf/2015/03/bass_pro_shooting_officer_clea.html</t>
  </si>
  <si>
    <t>Jerome Nichols</t>
  </si>
  <si>
    <t>http://imgick.lehighvalleylive.com/home/lvlive-media/width620/img/breaking-news_impact/photo/jerome-nichols--a1928ee805cc6cbc.jpg</t>
  </si>
  <si>
    <t>North Plymouth Street</t>
  </si>
  <si>
    <t>Allentown</t>
  </si>
  <si>
    <t>18109</t>
  </si>
  <si>
    <t>Lehigh</t>
  </si>
  <si>
    <t>Catasauqua Police Department, Pennsylvania State Police</t>
  </si>
  <si>
    <t>Nichols stabbed woman in Whitehall Township and then stabbed Catasauqua police officer before he was shot</t>
  </si>
  <si>
    <t>http://www.lehighvalleylive.com/breaking-news/index.ssf/2015/02/officer_shoots_catasauqua_man.html</t>
  </si>
  <si>
    <t>Wayne Smashey</t>
  </si>
  <si>
    <t>http://www.11alive.com/story/news/local/austell-powder-springs/2015/02/23/powder-springs-officer-involved-shooting/23907679/</t>
  </si>
  <si>
    <t>4800 West McEachern Woods Drive</t>
  </si>
  <si>
    <t>Powder Springs</t>
  </si>
  <si>
    <t>30127</t>
  </si>
  <si>
    <t>Officers from multi-agencies attempted to arrest a man on a warrant for allegedly robbed a Waffle House at gunpoint. Details have not been released, but officers shot and killed the subject at his home.</t>
  </si>
  <si>
    <t>http://www.ajc.com/news/news/suspect-killed-in-officer-involved-shooting-in-cob/nkHRj/</t>
  </si>
  <si>
    <t>Daniel A. Elrod</t>
  </si>
  <si>
    <t>https://www.google.com/url?sa=i&amp;rct=j&amp;q=&amp;esrc=s&amp;source=images&amp;cd=&amp;cad=rja&amp;uact=8&amp;ved=0CAcQjRw&amp;url=http%3A%2F%2Fwww.wowt.com%2Fhome%2Fheadlines%2F293928901.html&amp;ei=ybYVVYDHCMOgNreIhJgL&amp;bvm=bv.89381419,d.eXY&amp;psig=AFQjCNH7talB-wvFqFwK_YmaxbverobazA&amp;ust=1427572805583692</t>
  </si>
  <si>
    <t>1725 S 13th St</t>
  </si>
  <si>
    <t>68108</t>
  </si>
  <si>
    <t>Elrod just robbed a dollar store. When police arrived he shouted he had a weapon and reached for his waistband. An officer tasered him, but it was uneffective. Elrod was ultimately shot and killed. There was no weapon found.</t>
  </si>
  <si>
    <t>http://www.jrn.com/kmtv/news/Man-dies-after-officer-involved-shooting--293808161.html</t>
  </si>
  <si>
    <t>Calvon A. Reid</t>
  </si>
  <si>
    <t>http://wsvn.images.worldnow.com/images/6901288_G.jpg</t>
  </si>
  <si>
    <t>1701 Andros Isle</t>
  </si>
  <si>
    <t>Coconut Creek</t>
  </si>
  <si>
    <t>33066</t>
  </si>
  <si>
    <t>Coconut Creek Police Department</t>
  </si>
  <si>
    <t>No press release, no public statement, no official confirmation of the number of officers involved or how many times the unarmed Reid was tasered -- local police stonewalled after the incident. They'd been summoned by apartment security. Reid died two days later. The embattled chief of police chose to retire rather than answer questions (such as why 3 of 4 officers weren't certified for Tasers) or address allegations of "enhanced interrogation" in another case.</t>
  </si>
  <si>
    <t>http://www.local10.com/news/coconut-creek-inmate-dies-in-police-custody/31526866</t>
  </si>
  <si>
    <t>Bradford Samuel Leonard</t>
  </si>
  <si>
    <t>970 Castile Rd SE</t>
  </si>
  <si>
    <t>Palm Bay</t>
  </si>
  <si>
    <t>32909</t>
  </si>
  <si>
    <t>Palm Bay Police Department</t>
  </si>
  <si>
    <t>Police were called out on a 5:30 a.m. 911 call and arrived to find Leonard shooting out of his residence windows at them. They returned fire and shot him fatally.</t>
  </si>
  <si>
    <t>http://webcache.googleusercontent.com/search?q=cache:pz9ZEPMioeIJ:www.orlandosentinel.com/news/breaking-news/os-palm-bay-police-shooting-20150222-story.html+&amp;cd=17&amp;hl=en&amp;ct=clnk&amp;gl=us</t>
  </si>
  <si>
    <t>Anthony Giaquinta</t>
  </si>
  <si>
    <t>http://www.gannett-cdn.com/-mm-/9e3bff266982469a700bebacaefc86fdaa29e89c/c=242-0-1678-1080&amp;r=x404&amp;c=534x401/local/-/media/2015/02/23/WXIA/WXIA/635602979112888836-Still0223-00000.jpg</t>
  </si>
  <si>
    <t>281 Lower Pond Ct</t>
  </si>
  <si>
    <t>Clarkesville</t>
  </si>
  <si>
    <t>30523</t>
  </si>
  <si>
    <t>Habersham</t>
  </si>
  <si>
    <t>Habersham County Sheriff's Office</t>
  </si>
  <si>
    <t>Officers reported that they responded to a domestic dispute call from Giaquinta's daughter, and when they arrived at the home they found a sheriff's deputy and his girlfriend, Giaquinta's ex-wife dead. Giaquinta exchanged gunfire with officers, and he was shot to death. Giaquinta had previously worked with the sheriff's office.</t>
  </si>
  <si>
    <t>http://www.11alive.com/story/news/local/gainesville/2015/02/22/deputies-shot-habersham-county/23861713/</t>
  </si>
  <si>
    <t>Jason Moncrief Carter</t>
  </si>
  <si>
    <t>http://extras.mnginteractive.com/live/media/site561/2015/0224/20150224__ADN-L-PoliceShooting-0224~p1.jpg</t>
  </si>
  <si>
    <t>127 NM-37</t>
  </si>
  <si>
    <t>Capitan</t>
  </si>
  <si>
    <t>88316</t>
  </si>
  <si>
    <t>Authorities said that Fowler was on the run for a warrant for sexual contact with a minor, and after a 16-hour standoff with him inside of his RV with a gun and threatening officers, they shot him to death.</t>
  </si>
  <si>
    <t>http://www.alamogordonews.com/alamogordo-news/ci_27588464/texas-fugitive-fatally-shot-near-ruidoso</t>
  </si>
  <si>
    <t>Kent Norman</t>
  </si>
  <si>
    <t>http://www.killedbypolice.net/victims/150152.jpg</t>
  </si>
  <si>
    <t>1800 Heather Circle</t>
  </si>
  <si>
    <t>46229</t>
  </si>
  <si>
    <t>Officers received a 911 call and heard screaming on the other end of the phone but no voice. Arriving at the scene, they allegedly found the subject trying to kill his 74-year-old mother. Police entered the home and killed the subject.</t>
  </si>
  <si>
    <t>Stanley Lamar Grant</t>
  </si>
  <si>
    <t>http://www.killedbypolice.net/victims/150149.jpg</t>
  </si>
  <si>
    <t>2200 Green Springs Highway</t>
  </si>
  <si>
    <t>Birmingham</t>
  </si>
  <si>
    <t>35205</t>
  </si>
  <si>
    <t>Homewood Police Department</t>
  </si>
  <si>
    <t>Police were trying to serve a warrant for drugs when they entered the apartment and were immediately shot at. They returned fire and killed the subject.</t>
  </si>
  <si>
    <t>http://www.al.com/news/birmingham/index.ssf/2015/02/man_shot_and_killed_during_hom.html</t>
  </si>
  <si>
    <t>Terry Price</t>
  </si>
  <si>
    <t>http://www.killedbypolice.net/victims/150154.jpg</t>
  </si>
  <si>
    <t>951 W 36th Street North</t>
  </si>
  <si>
    <t>74127</t>
  </si>
  <si>
    <t>Osage</t>
  </si>
  <si>
    <t>Osage County Sheriff's Office</t>
  </si>
  <si>
    <t>Deputies responded to a call from casino security saying the subject who was banned from the premises was there and needed to be removed. The subject fled the scene and then returned. He ran into the woods where police tasered him. The subject collapsed and died.</t>
  </si>
  <si>
    <t>http://www.fox23.com/news/news/local/man-dies-after-altercation-law-enforcement-osage-c/nkGTc/</t>
  </si>
  <si>
    <t>Alejandro Salazar</t>
  </si>
  <si>
    <t>http://www.click2houston.com/news/deputy-involved-shooting-reported-in-n-harris-county/31386020</t>
  </si>
  <si>
    <t>Ruben Garcia Villalpando</t>
  </si>
  <si>
    <t>http://www.star-telegram.com/news/local/community/northeast-tarrant/xzr2i/picture12354170/ALTERNATES/LANDSCAPE_1140/Rub%C3%A9n%20Garc%C3%ADa%20Villalpando.JPG</t>
  </si>
  <si>
    <t>Highway 121</t>
  </si>
  <si>
    <t>Euless</t>
  </si>
  <si>
    <t>76021</t>
  </si>
  <si>
    <t>Grapevine Police Department</t>
  </si>
  <si>
    <t>http://dfw.cbslocal.com/2015/03/12/witness-to-deadly-grapevine-officer-involved-shooting-comes-forward/</t>
  </si>
  <si>
    <t>Douglas Harris</t>
  </si>
  <si>
    <t>7900 First Avenue South</t>
  </si>
  <si>
    <t>35206</t>
  </si>
  <si>
    <t>Birmingham Police Department</t>
  </si>
  <si>
    <t>Police conducting a February 20 welfare check on the elderly man found him in his room pointing a gun at them. They fired at him and he died a month later.</t>
  </si>
  <si>
    <t>http://www.al.com/news/birmingham/index.ssf/2015/03/elderly_man_shot_by_birmingham_1.html</t>
  </si>
  <si>
    <t>Chance Dale Thompson</t>
  </si>
  <si>
    <t>http://bloximages.newyork1.vip.townnews.com/appeal-democrat.com/content/tncms/assets/v3/editorial/6/f5/6f50ee98-b99b-11e4-8ca5-67bdd8a572d9/54e83421cf2a1.image.jpg?resize=760%2C553</t>
  </si>
  <si>
    <t>Hammonton Smartville Rd and Doolittle Drive</t>
  </si>
  <si>
    <t>95901</t>
  </si>
  <si>
    <t>Witnesses saw a man on a wall who looked like he was performing karate or dancing. A deputy was telling the man to come down. "The cop grabs him by the back of the pants and pulls him down. As he's coming down, he lands on top of the cop and throws his arm around the cop." "The two start pushing each other and the female cop is standing back with a Taser pointed at him. You hear the Taser go off and taser him. The guy went down on the ground."</t>
  </si>
  <si>
    <t>http://www.appeal-democrat.com/news/video-emerges-in-taser-death/article_6cff9672-b99a-11e4-8f80-df55106151ee.html</t>
  </si>
  <si>
    <t>Michael Steven Ireland</t>
  </si>
  <si>
    <t>http://www.killedbypolice.net/victims/150146.jpg</t>
  </si>
  <si>
    <t>1400 North Marion</t>
  </si>
  <si>
    <t>Springfield</t>
  </si>
  <si>
    <t>65802</t>
  </si>
  <si>
    <t>Christian</t>
  </si>
  <si>
    <t>Springfield Police Department</t>
  </si>
  <si>
    <t>Police were called to a location on Springfield's north side to investigate "suspicious activity." They pursued a suspect on foot. The man was unarmed but police shot, killing the subject.</t>
  </si>
  <si>
    <t>http://www.news-leader.com/story/news/crime/2015/02/18/police-one-dead-in-northwest-springfield-shooting/23604403/</t>
  </si>
  <si>
    <t>Janisha Fonville</t>
  </si>
  <si>
    <t>http://www.charlotteobserver.com/news/local/crime/so5o7t/picture10685642/ALTERNATES/FREE_960/Janisha%20Fonville.jpg</t>
  </si>
  <si>
    <t>2700 Bellefonte Dr</t>
  </si>
  <si>
    <t>Charlotte</t>
  </si>
  <si>
    <t>28206</t>
  </si>
  <si>
    <t>Mecklenburg</t>
  </si>
  <si>
    <t>Charlotte-Mecklenburg Police Department</t>
  </si>
  <si>
    <t>Police say Janisha Fonville, 20, refused to drop a kitchen knife and lunged at officers before Officer Anthony Holzhauer pulled his service pistol and shot her twice – in the hand and in the shoulder.</t>
  </si>
  <si>
    <t>http://www.charlotteobserver.com/2015/02/19/5524914/cmpd-officer-fatally-shot-woman.html#.VOXprE33-ix</t>
  </si>
  <si>
    <t>Pedro "Pete" Juan Saldivar</t>
  </si>
  <si>
    <t>http://www.killedbypolice.net/victims/150145.jpg</t>
  </si>
  <si>
    <t>U.S. Highway 90 East and Charles Drive</t>
  </si>
  <si>
    <t>Del Rio</t>
  </si>
  <si>
    <t>78840</t>
  </si>
  <si>
    <t>Val Verde</t>
  </si>
  <si>
    <t>Del Rio Police Department</t>
  </si>
  <si>
    <t>Saldivar, an 18-wheeler driver, reportedly caused a disturbance in a nearby location, threatening individuals with a machete, before attempting to run over several officers with his rig. Officers opened fire and killed the subject.</t>
  </si>
  <si>
    <t>http://www.kens5.com/story/news/crime/2015/02/17/mayor-machete-wielding-man-shot-killed-by-police-in-del-rio/23586269/</t>
  </si>
  <si>
    <t>Doug Sparks</t>
  </si>
  <si>
    <t>55 Forest Ave</t>
  </si>
  <si>
    <t>Tewksbury</t>
  </si>
  <si>
    <t>01876</t>
  </si>
  <si>
    <t>Tewksbury Police Department</t>
  </si>
  <si>
    <t>http://www.bostonglobe.com/metro/2015/02/17/fatal-shooting-tewksbury-under-investigation-middlesex-ryan-office/qSuLp469vrqFvZsnrRquMP/story.html?hootPostID=e62cc4f7c631ae271ca9ad883aef5db8</t>
  </si>
  <si>
    <t>Matthew Lundy</t>
  </si>
  <si>
    <t>http://www.obitsforlife.com/uploaded-images/converted/494323-54ed112f7fc10-shrink-x180.jpg</t>
  </si>
  <si>
    <t>3800 Canfield Road</t>
  </si>
  <si>
    <t>Eaton Rapids Township</t>
  </si>
  <si>
    <t>48827</t>
  </si>
  <si>
    <t>Eaton County Sheriff's Office</t>
  </si>
  <si>
    <t>Lundy was armed when police approached him while responding to a call involving a vehicle in the ditch on Canfield Road in Eaton Rapids Township, a statement from the Michigan State Police said.</t>
  </si>
  <si>
    <t>http://www.mlive.com/news/jackson/index.ssf/2015/02/man_killed_in_police_involved.html</t>
  </si>
  <si>
    <t>Betty Diane Sexton</t>
  </si>
  <si>
    <t>http://i.dailymail.co.uk/i/pix/2015/02/20/25DD76BA00000578-2961378-image-m-11_1424433245329.jpg</t>
  </si>
  <si>
    <t>2325 Union Road</t>
  </si>
  <si>
    <t>28054</t>
  </si>
  <si>
    <t>Gastonia Police Department</t>
  </si>
  <si>
    <t>It's reported that Sexton called the police to help he remove unwanted house-guests, but was shot in the chest to death by one of the officers. Family said that Sexton had the gun to protect herself against the unwanted guests, and that she was trying to put it down when the police arrived.</t>
  </si>
  <si>
    <t>http://www.dailymail.co.uk/news/article-2961378/North-Carolina-Mother-shot-dead-Gastonia-police-called-help-getting-rid-unwanted-guests.html</t>
  </si>
  <si>
    <t>Daniel Lawrence Caldwell</t>
  </si>
  <si>
    <t>I-10 &amp; Cortaro Road</t>
  </si>
  <si>
    <t>Marana</t>
  </si>
  <si>
    <t>85743</t>
  </si>
  <si>
    <t>Marana Police Department</t>
  </si>
  <si>
    <t>Marana Police Officer Cesar Nelson was sitting in his vehicle in the parking lot of Cracker Barrel Restaurant, when he saw Caldwell walking up behind him, holding a firearm, police said. Officer Nelson left his vehicle and saw Caldwell raise the gun in his direction, before shooting Caldwell.</t>
  </si>
  <si>
    <t>http://www.kvoa.com/story/28117600/marana-police-shooting-near-cortaro-and-i-10</t>
  </si>
  <si>
    <t>Michael K. Casper</t>
  </si>
  <si>
    <t>http://www.killedbypolice.net/victims/150139.jpg</t>
  </si>
  <si>
    <t>Malad St &amp; Gourley St</t>
  </si>
  <si>
    <t>Boise</t>
  </si>
  <si>
    <t>83705</t>
  </si>
  <si>
    <t>Ada</t>
  </si>
  <si>
    <t>Boise Police Department</t>
  </si>
  <si>
    <t>Casper was fatally shot by Officer Jason Green of the Boise Police Department after Casper pointed a gun at another officer, according to a description of events sent out Monday by the police department. Police were responding to an early morning report of a man using a crowbar to break windows at the home at Malad and Gourley streets on the Boise Bench.</t>
  </si>
  <si>
    <t>http://www.idahostatesman.com/2015/02/16/3647534/1-dead-after-officer-involved.html</t>
  </si>
  <si>
    <t>Lavall Hall</t>
  </si>
  <si>
    <t>http://wsvn.images.worldnow.com/images/6730963_G.jpg</t>
  </si>
  <si>
    <t>19157 NW Third Ave.</t>
  </si>
  <si>
    <t>Miami Gardens</t>
  </si>
  <si>
    <t>33169</t>
  </si>
  <si>
    <t>Miami Gardens Police Department</t>
  </si>
  <si>
    <t>http://miami.cbslocal.com/2015/03/02/family-files-suit-in-deadly-miami-gardens-police-shooting/</t>
  </si>
  <si>
    <t>Bruce Lee Steward</t>
  </si>
  <si>
    <t>http://d3trabu2dfbdfb.cloudfront.net/4/0/4080219_o.jpeg</t>
  </si>
  <si>
    <t>29000 S Wall St</t>
  </si>
  <si>
    <t>Colton</t>
  </si>
  <si>
    <t>97017</t>
  </si>
  <si>
    <t>Clackamas</t>
  </si>
  <si>
    <t>Clackamas County Sheriff's Office</t>
  </si>
  <si>
    <t>Steward called 911 just after 10:30 Sunday morning to report that someone had been stabbed and the suspect at the scene was armed with a gun, said Sgt. Nathan Thompson.Deputies responding to the area, in the 29000 block South Wall Street, did not find a stabbing victim. But they encountered Steward and he was armed with a hatchet.Thompson said Steward refused the deputies' commands to drop the hatchet and he charged at them.</t>
  </si>
  <si>
    <t>http://www.kgw.com/story/news/2015/02/15/colton-officer-involved-shooting/23459905/</t>
  </si>
  <si>
    <t>Howard Brent Means Jr.</t>
  </si>
  <si>
    <t>http://shoalsnews.net/wp-content/uploads/2015/02/Howard-Brent-Means-Jr.jpg</t>
  </si>
  <si>
    <t>1110 Battleground Dr</t>
  </si>
  <si>
    <t>Iuka</t>
  </si>
  <si>
    <t>38852</t>
  </si>
  <si>
    <t>Tishomingo</t>
  </si>
  <si>
    <t>Iuka Police department</t>
  </si>
  <si>
    <t>According to Mississippi Highway Patrol spokesman Warren Strain, Means was shot and killed after he ran into the store and exchanged gunfire with officers.</t>
  </si>
  <si>
    <t>http://djournal.com/news/man-shot-dead-police-iuka-walmart/</t>
  </si>
  <si>
    <t>Cody Evans</t>
  </si>
  <si>
    <t>http://www.good4utah.com/media/lib/5/2/7/7/2771a20d-defb-4129-b63e-450be1b71c44/Story.jpg</t>
  </si>
  <si>
    <t>1800 West and 600 South</t>
  </si>
  <si>
    <t>Provo</t>
  </si>
  <si>
    <t>84601</t>
  </si>
  <si>
    <t>Provo Police Department</t>
  </si>
  <si>
    <t>Cody Evans, 24, of Springville, was shot and killed by police after he pointed an AR-15 style airsoft gun at officers.</t>
  </si>
  <si>
    <t>http://www.sltrib.com/home/2183362-155/provo-police-handling-an-officer-involved-shooting</t>
  </si>
  <si>
    <t>Roy Joy Day</t>
  </si>
  <si>
    <t>Gale Street and East Drive</t>
  </si>
  <si>
    <t>Laredo</t>
  </si>
  <si>
    <t>78041</t>
  </si>
  <si>
    <t>Webb</t>
  </si>
  <si>
    <t>Laredo Police Department</t>
  </si>
  <si>
    <t>Police say they pulled Day over for accelerating too quickly. When he got out of the vehicle, police say he was acting nervously, and went to frisk him. That's when they say he started shooting. They returned fire and killed him.</t>
  </si>
  <si>
    <t>http://www.kgns.tv/news/local/headlines/Police-Answer-Questions-On-Fatal-Officer-Involved-Shooting--292033591.html</t>
  </si>
  <si>
    <t>Jason C. Hendrix</t>
  </si>
  <si>
    <t>http://i.dailymail.co.uk/i/pix/2015/02/16/25B7B86A00000578-2955180-Authorities_suspect_that_Jason_Hendrix_pictured_may_have_killed_-m-3_1424065524879.jpg</t>
  </si>
  <si>
    <t>1399 Hyde Park Rd</t>
  </si>
  <si>
    <t>21221</t>
  </si>
  <si>
    <t>The 16-year-old, identified by police as Jason C. Hendrix of Corbin, Ky., was killed Saturday morning by Baltimore County police officers, who shot him after they say he opened fire on them at Route 702 and Hyde Park Road. Hendrix was suspected of killing his father, mother and sister.</t>
  </si>
  <si>
    <t>http://www.baltimoresun.com/news/maryland/bs-md-officer-shot-0214-20150214-story.html</t>
  </si>
  <si>
    <t>Andres D. Lara-Rodriguez</t>
  </si>
  <si>
    <t>1100 Ruby Avenue</t>
  </si>
  <si>
    <t>66103</t>
  </si>
  <si>
    <t>Officers allege that Lara-Rodriguez carjacked someone at gunpoint and led police on a chase. Upon crashing Lara-Rodriguez attempted to point a gun at officers, and they shot him to death.</t>
  </si>
  <si>
    <t>http://www.kansascity.com/news/local/crime/article10022345.html</t>
  </si>
  <si>
    <t>Daniel Mejia</t>
  </si>
  <si>
    <t>https://fbexternal-a.akamaihd.net/safe_image.php?d=AQDXRh3clqzZ6fr6&amp;w=470&amp;h=246&amp;url=https%3A%2F%2Fscontent-atl.xx.fbcdn.net%2Fhphotos-xaf1%2Fv%2Ft1.0-9%2F10527393_990745760953561_4874249687349994817_n.jpg%3Foh%3De60b86cbfc3b65e2303f75711939ef27%26oe%3D5558785D&amp;cfs=1&amp;upscale=1&amp;sx=0&amp;sy=97&amp;sw=640&amp;sh=335</t>
  </si>
  <si>
    <t>200 S McNab Pkwy</t>
  </si>
  <si>
    <t>San Manuel</t>
  </si>
  <si>
    <t>85631</t>
  </si>
  <si>
    <t>Meiji moved toward a deputy with a knife after refusing to drop the weapon. The deputy shot and killed Meija.</t>
  </si>
  <si>
    <t>http://www.azcentral.com/story/news/local/arizona/2015/02/15/pinal-county-sheriffs-deputy-involved-shooting/23466847/</t>
  </si>
  <si>
    <t>Matthew D. Belk</t>
  </si>
  <si>
    <t>2500 Terry Road</t>
  </si>
  <si>
    <t>Atwood</t>
  </si>
  <si>
    <t>38220</t>
  </si>
  <si>
    <t>Carroll County Sheriff's Office</t>
  </si>
  <si>
    <t>Officers responded to a call about a domestic disturbance. Once on the scene they pursued the subject who drew a gun. Officers fired and killed the man.</t>
  </si>
  <si>
    <t>http://www.jacksonsun.com/story/news/local/2015/02/14/officer-involved-shooting-carroll-county/23419113/</t>
  </si>
  <si>
    <t>Richard Carlin</t>
  </si>
  <si>
    <t>http://www.homefacts.com/offender-detail/AZ041981/Richard-F-Carlin.html</t>
  </si>
  <si>
    <t>414 Rehr St.</t>
  </si>
  <si>
    <t>Reading</t>
  </si>
  <si>
    <t>Berks</t>
  </si>
  <si>
    <t>Shot by state police officer who was assisting in warrant being served for arrest on multiple charges including aggravated assault with a deadly weapon</t>
  </si>
  <si>
    <t>Jonathan Larry Harden</t>
  </si>
  <si>
    <t>http://images.onset.freedom.com/pressenterprise/gallery/njrvvc-sbpursuitshootingmug.jpg</t>
  </si>
  <si>
    <t>Mojave Fwy</t>
  </si>
  <si>
    <t>92407</t>
  </si>
  <si>
    <t>San Bernardino Police Department</t>
  </si>
  <si>
    <t>Police were chasing the subject in a stolen car on the freeway. The subject crashed into several motorists and attempted to ram the officers with his car. Five officers shot 18 rounds into the car killing the subject at the scene.</t>
  </si>
  <si>
    <t>http://www.sbsun.com/general-news/20150213/suspect-shot-killed-during-pursuit-on-215-freeway-in-san-bernardino</t>
  </si>
  <si>
    <t>Phillip Watkins</t>
  </si>
  <si>
    <t>http://www.killedbypolice.net/victims/150126.jpg</t>
  </si>
  <si>
    <t>1300 Sherman Street</t>
  </si>
  <si>
    <t>95110</t>
  </si>
  <si>
    <t>Police responded to a 911 call about a man entering a home with a knife. When they arrived, the subject allegedly charged them and was shot dead.</t>
  </si>
  <si>
    <t>http://www.ktvu.com/story/28087930/san-jose-police-investigating-officer-involved-shooting</t>
  </si>
  <si>
    <t>Fletcher Ray Stewart</t>
  </si>
  <si>
    <t>Booger Hollow Road</t>
  </si>
  <si>
    <t>Dadeville</t>
  </si>
  <si>
    <t>Tallapoosa</t>
  </si>
  <si>
    <t>Tallapoosa County Sheriff's Office</t>
  </si>
  <si>
    <t>The sheriff's department received a call around noon Wednesday that deceased was walking on Booger Hollow Road in Dadeville waving a pistol. The deceased lived on that street, according to officials. When a deputy made contact, Stewart allegedly ran into a wooded area and brandished his weapon - a BB gun --at law enforcement. The shooting was captured on a body camera the deputy was wearing, which has been turned over to the Alabama State Bureau of Investigation.</t>
  </si>
  <si>
    <t>http://www.wsfa.com/story/28086836/dadeville-man-shot-and-killed-by-tallapoosa-county-deputy</t>
  </si>
  <si>
    <t>Jonathan Paul Pierce</t>
  </si>
  <si>
    <t>http://www.newsherald.com/polopoly_fs/1.438844.1424128922!/fileImage/httpImage/image.jpg_gen/derivatives/landscape_445/jonathan-paul-pierce.jpg</t>
  </si>
  <si>
    <t>410 Williams Ave</t>
  </si>
  <si>
    <t>Port St. Joe</t>
  </si>
  <si>
    <t>32456</t>
  </si>
  <si>
    <t>Gulf</t>
  </si>
  <si>
    <t>Port St. Joe Police Department</t>
  </si>
  <si>
    <t>Pending investigation, all that is known is that the subject was arrested and transported to jail and was involved in an "officer related shooting."</t>
  </si>
  <si>
    <t>Anthony Bess</t>
  </si>
  <si>
    <t>http://www.localmemphis.com/media/lib/10/a/2/7/a273292d-0b04-4e4e-a836-a9cf3e8fcb99/Story.jpg</t>
  </si>
  <si>
    <t>4500 Aldridge Drive</t>
  </si>
  <si>
    <t>38109</t>
  </si>
  <si>
    <t>Officers said that they were attempting to serve an assault warrant and that gunfire was exchanged at the home, killing Bess.</t>
  </si>
  <si>
    <t>http://www.wmcactionnews5.com/story/28076932/police-investigate-reports-of-shooting-in-whitehaven</t>
  </si>
  <si>
    <t>Antonio Zambrano-Montes</t>
  </si>
  <si>
    <t>https://heavyeditorial.files.wordpress.com/2015/02/antonio-zambrano-montes.jpg?quality=65&amp;strip=all&amp;w=780&amp;h=440</t>
  </si>
  <si>
    <t>1107 W. Lewis St</t>
  </si>
  <si>
    <t>Pasco</t>
  </si>
  <si>
    <t>99301</t>
  </si>
  <si>
    <t>Pasco Police Department</t>
  </si>
  <si>
    <t>Zambrano-Montes was throwing rocks at cars about 5 p.m. Tuesday near Fiesta Foods when police were called. He hit two officers with rocks and refused to listen to commands, Police Chief Bob Metzger said. Police gave him orders to surrender and unsuccessfully tried using a Taser. The officers chased him across the intersection of 10th Avenue and Lewis Street and eventually shot him in front of a business on Lewis Street.</t>
  </si>
  <si>
    <t>http://www.tri-cityherald.com/2015/02/11/3405116/man-shot-by-pasco-police-identified.html</t>
  </si>
  <si>
    <t>Brian P. Fritze</t>
  </si>
  <si>
    <t>http://www.gjsentinel.com/images/photos/imgkit_sized/FRITZE_Brian_600x400.jpg</t>
  </si>
  <si>
    <t>I-70 &amp; US-6</t>
  </si>
  <si>
    <t>Glenwood Springs</t>
  </si>
  <si>
    <t>81601</t>
  </si>
  <si>
    <t>Garfield</t>
  </si>
  <si>
    <t>Garfield County Sheriff's Office</t>
  </si>
  <si>
    <t>Suspect in domestic violence incident was shot multiple times after a high-speed chase. After stopping and exiting the vehicle, the suspect held a gun to his head, and then headed with the gun toward the highway, after which he was shot multiple times by one or more sheriff's deputies.</t>
  </si>
  <si>
    <t>http://www.gjsentinel.com/news/articles/man-shot--8232near-i708232-had-long-8232rap-sheet</t>
  </si>
  <si>
    <t>Kenneth Kreyssig</t>
  </si>
  <si>
    <t>http://i0.wp.com/static.bangordailynews.com/wp-content/uploads/2014/01/10022121_H12111985-250x250.jpg?quality=90&amp;w=635</t>
  </si>
  <si>
    <t>645 Smyrna Center Road</t>
  </si>
  <si>
    <t>Smyrna Mills</t>
  </si>
  <si>
    <t>ME</t>
  </si>
  <si>
    <t>04780</t>
  </si>
  <si>
    <t>Aroostook</t>
  </si>
  <si>
    <t>Maine State Police Department</t>
  </si>
  <si>
    <t>The subject's family called 911 to report that he was suicidal and armed with a gun. When officers made contact, the man refused to put the gun down and was killed at the scene by police.</t>
  </si>
  <si>
    <t>http://www.mainenewssimply.com/content/bangor-daily-news/authorities-release-transcript-911-call-fatal-police-shooting-smyrna-man</t>
  </si>
  <si>
    <t>Desmond Luster Sr.</t>
  </si>
  <si>
    <t>data:image/jpeg;base64,/9j/4AAQSkZJRgABAQAAAQABAAD/2wCEAAkGBxQQEhUUEhQQFBUVGBUVFhUWFBIUFBQVFRUXFhYUFRQYHCggGBolHBQUITEhJSkrLi4uFx8zODMsNygtLisBCgoKDg0OGhAQFyscFxwsLCwsLCwsLCwrLCwsLCwsLCwsLCssLCwrLCs3NywrKyssLCsrKysrKysrKysrKysrK//AABEIAJ0AiwMBIgACEQEDEQH/xAAcAAABBQEBAQAAAAAAAAAAAAAHAgMEBQYBAAj/xABKEAABAwEDBwUIEAQHAAAAAAABAAIDEQQFIQYHEjFBYXETIlGRsSM1VHOBlKG0FBclMjM0QlJicrLB0dPj8BUkguFTY5Kis8LS/8QAGQEAAwEBAQAAAAAAAAAAAAAAAQIDBAAF/8QAHBEAAgMBAQEBAAAAAAAAAAAAAAECETEhA0ES/9oADAMBAAIRAxEAPwAoxJZSIksrEaDlUkpRSKoBPFcBXnLi4444pCUVWXzfMVkYXSHg0e+cR0D711HIsCaJJKG1vywtMp7nSJh2DE9ahR31awa8s87sKI/hh6wqlJWLuXLF1Q20gdAkA7QtkyQEVFCDqOvXtSNUE8UlxSkgoHCHpspx6b0lyOAvfvxibxj/ALSMOa/vZBxn9YlQev74xN4x/wBooxZr+9kHGb1iVehHDE1bL6JOJuJOFYzUsEPSUpySgE8QkheK80LjipylvptjiL3YuODGfOOzyIVz2p87zJKauPU3cFZ5cXibRbC0Hmx80Y7flFUoNMBQq0VSBpKjFVLZHuUBpkGILelWdktFW1cMQp+lmvypjE8NFq8irfpNMLji3FvDaFmrbaWDWmLBePJStew1xFeBOKVJtCeqSCpVIquRSBzQRqIB6wupSQhyacU65NFccBu/B/MTeMf2oxZsR7mwcZvWJUHL9+MS+Mf2ox5se9sHGb1iVehHDG9LqE4Dh9ydKj2V1Wt4DsCfWI0o4SkkrpKSuCeokuOB3ApYKo8rLYY7O4NNHv5o6d646gVyAulkc7WXu7UiSzk6sE68446zrUqzp5yop5wt0RWWc0INT0buKmXeSK11b1IncGNx2r1njDhgW4b1GU2zVDyor55qkmgoFGmeKYCh7VYmzipBxCjGyjSB11IHpGCpGXCPrB2FG6xSGOuvQb2J6q9G2jQOgAehcSMiccU2UspBQOA1fnxiXxj/ALRRizYd7IOM3rEqDt9/Dy+Mf2lGLNf3sg4zesSrcnwxvS0u81Yw7gpZUO6jWJn1Qpjlma6aI4JckEpRTbzglGOF9FlssIy8MI+TWo4q+tEuiCs/a5zQncVSMLE/dMwM7ucUqCehTNpfzjvxTIci42UhN2WNqnEmvFQuTLcWkt3bEmOMayT14Ka4N0ea/wAiH5SKuTZ27HU0i47NpUqws5SaNvS9vaqZjiFoMjouUtLT8wEpXGjn6coIxSEopFVMmccmnFOOKZeh9O+Advo93l8Y/tKMWa/vZBxm9YlQcvn4eXxj+0oyZr+9kHGb1iVb0rSMb0nXOe5M4KxKq7iPcW+XtVnVZmumiOCXFMyuTryolplDRVxDR0k06qoUFsr7yfgqwWMzBzR0GnGmCbtd68q8ss7JJ3DXoCrQd7tS0Nx3ZMyI8toaZdpBrfkDoLtqrdIko2wSW6zFji1wIIrUKGcEar6yXitrMRoygYPG07whTfV0SWWTQlaW11O2HyorCl0RIG1S57PRRxVq5JKSloZSG3nFELIW7OTiMrvfSatzVg7JZXSODQCSTSlMcUXrJHoMa3VQAehLOXw5WxxIclFJIURhBTbk4Uy5CuheAcvj4eXxj/tFGTNePcyDjP6xKgzeprNL4x/2kZ81/eyDjP6xKvQWGJ6PXA/uXAn91SLzyos0GDnhzvms53pGCtbuuVrGaLquxqdiGOX91ex7QXNHMfqOyo2KKVstdIlXll/ITSFjGdDnYnyDYsnb72lnPdZHu6RXDqGCivSCqqKJNs2mbW/RZ5+ScaRy0G5rxq7UYCxfNsTyDUYEEEcRtR2yHvr2ZZmuNNNnNeN+wlS9Y10eDNBEyhUW/wC5IrZEY5BwdtaVManwuiCT6AfKLJqWxvLXYtPvX4UIru2qtsV2SSvDGAucdQA7dyPF+XfHPE5sowpr1EGmsKBk/dtns7DyIBOpzj74nf0LpPvB0+FJdGS7LHFU0dO4UrrayvQpGLBzwB9KuB/ur90JdVx8irZIBK2SF2ot17nVxHlUZ6VjhDckVQ9s2U09jkdDL3RrHFpB98ACcVs7sviK0isbwSNbTg4cRtQcGgKXSY8ppyccU0Uo7wDl5N7rJ9d/2kZ82A9zIOM3rEqDt4/CyfXf2oyZsu9sHGb1iRbU6RjemtjFNqzecC52zWR7wOdHzhwrUhakNSbTCJGOYdTgR1hJHR5Hza9NOCn3jZjHI5h1tJb1EqCWrQsJsSFt82N8chaeTceZNzafSHvViU9Zpixwc3AtIIPQRiEs48DE+lQEthVRk1eotdnjlBrUUd9Ya1aLPjHeGVy2vgQmJhJ0HEl1Kc7R+TwXLtZ7HLXAVjlAeSDUAnUsXnLZKbUQWksja0tp0ONCeO5bLN/aWz2CNpFdCsbuLUaSd2Mr/JpJn4CmNdqhTWZ5c0hwAFKtprG3elWaEsOiHVaKkV2bKV8qZ/hz/ZImbJRuiWvYcQ7oI6FKa6MmB7OPZuSt0tB77Rf1j8QszHO5pBa4tcMajWtvncZS2jfE0+khYRy0RVrpFvpuMn8s60ZadZoOUoKf1DYtiJA6hBBBGB3IKAok5uJTNZ5WEkuhILdpLHDV1qfp50rRWE/hhbf8I/67+1GXNl3tg4zesSIOXk2kklcOe77RRjzZD3Ng4zesSKq6iT02tF6m1dXHnBBILAZl5Z9C2zDpdpdazJC2+dOKlsJ+cxp40qsQ5WiI0NleauOXEWCwi5qb75OR1ncebLizc8VwHGvoRZC+abHaHRua9ho5pDhxGIX0Fk3fLbZZ2SgipwcOhwwIWf0iOmJvqxsd3RzQ4jA1+btBVJYGssLo42YRyOIdtppHB3Xgtg9tRQ7cFjL6smkHs2sZX/yVk9E1JSLwlao1WGkQNgHWf2E4wKmyUtjp4dN1a6WjXp0QP7q6CrdiAZzturbjujj/AOxosI5a/OhLW8JaY0a0cN3pWQctMMJPRIRBzPms84/yan/UUPwiZmVslX2iToa2Pr5x7UZ4GOkfObcQYfZLBRpwk6AdhWtzZyD+GwUI1zf88itr9u8TxyRuFQ9pafKCAVWZvbK6CwRxPB0mPtDdWwWmWnoopwY80bYLhXl4o4KDDO1ZcYZB9Jh9B/FDNyLGdY9xZ9f7kKHqsBJDZSarpKQnFFgrY5uspvYk2hITyUpAPQ06g7gsYuV/f3JJRsZM+n2u1bQdqrLzsYNXUxLaFYLN1lsAG2a0u3RyHV0Bj/RRE6QaQI6QcfvWT1820UjKikyTh0LM0bSXn/cfwVyD+P76kzYbPycbW9Fe2qzecDKNtjgcwHusgLWjEFoIxK6MQtggyptvLWqaStdKR1OAwHYqcpx7k3RakqJnQ1HTNfZBFd8bqUMhe+u01NBXyAIIQRFxDRUlxDRxdgO1fRt0WbkoIox8hjW06KAJZsMUOTCv71JywWYBgw2uPlLiT6SVxw9CkQNOiMentUorpSWDy4Vxjd6UWqjEBvnXk7nEOl59ACFrkbcsslvZwYBLyei4n4PTrUDZpBZQ5qz4WPN/1U8HQkgbuKQ4okHNQfCx5v8AqrntTnwwebn81PaFBtVeqiT7U58MHm36q97U58MHm36qFo7oOA5bLJbL+ey0Y8iWIbHV02D6LqY+VWvtTHwwebfqrwzTu8MHm36qRpMZHL+zmTnCCNsLSMHu5z8doFKBD622x8ry+RznuOsuJJ9OpE235tpJgzTtjToDRH8vsqT/AIqhnNK7wwebH85cqCwaLyJXtSO8MHmx/OXfald4YPNj+cjYDO5vLt5e2R1ALY6yO/p1elHcDpWVyKyMFg0zyokc+lTyehQDYOcVruR3qc+jpkeQKTDq6+1IMO9OMZQKcUFs/9k=</t>
  </si>
  <si>
    <t>7100 Bonnie View Rd</t>
  </si>
  <si>
    <t>75241</t>
  </si>
  <si>
    <t>33069</t>
  </si>
  <si>
    <t>Broward County Sheriff's Office</t>
  </si>
  <si>
    <t>Larry Hostetter</t>
  </si>
  <si>
    <t>http://cbsnews2.cbsistatic.com/hub/i/r/2015/02/09/244b550c-7399-447f-b8c3-986fb9565c62/thumbnail/620x350/4cff51321c4c4ab8796040af140cb798/larry-bryan-hostetter.jpg</t>
  </si>
  <si>
    <t>200 Jordan Drive</t>
  </si>
  <si>
    <t>Nocona</t>
  </si>
  <si>
    <t>76255</t>
  </si>
  <si>
    <t>Montague</t>
  </si>
  <si>
    <t>Nocona Police Department</t>
  </si>
  <si>
    <t>An officer reportedly responded to a domestic disturbance call and shot an off-duty deputy living there to death.</t>
  </si>
  <si>
    <t>Vincent Cordaro</t>
  </si>
  <si>
    <t>https://cbsnewyork.files.wordpress.com/2015/02/vincent-cordaro.jpg?w=620&amp;h=349&amp;crop=1</t>
  </si>
  <si>
    <t>67 N. Little Tor Road</t>
  </si>
  <si>
    <t>New City</t>
  </si>
  <si>
    <t>10956</t>
  </si>
  <si>
    <t>Rockland</t>
  </si>
  <si>
    <t>Clarkstown Police Department</t>
  </si>
  <si>
    <t>Officers received a call from the subject's family saying they felt threatened and he was armed and possibly drunk or high. On arrival, the subject fired at the officers who returned fire and killed the man.</t>
  </si>
  <si>
    <t>Natasha McKenna</t>
  </si>
  <si>
    <t>http://www.killedbypolice.net/victims/150114.jpg</t>
  </si>
  <si>
    <t>10520 Judicial Dr</t>
  </si>
  <si>
    <t>Fairfax</t>
  </si>
  <si>
    <t>Fairfax County Sheriff's Office</t>
  </si>
  <si>
    <t>John Martin Whittaker</t>
  </si>
  <si>
    <t>http://d14rj7v0r2qnrv.cloudfront.net/wp-content/uploads/2015/02/10210721/john-martin-whittaker-fb.jpg</t>
  </si>
  <si>
    <t>E 15th Ave &amp; Medfra St</t>
  </si>
  <si>
    <t>Anchorage</t>
  </si>
  <si>
    <t>99501</t>
  </si>
  <si>
    <t>Anchorage Police Department</t>
  </si>
  <si>
    <t>Whittaker was shot and killed Sunday after allegedly leading police on a pursuit through the streets of the city and exchanging gunfire with officers in the Anchorage neighborhood of Fairview Sunday morning.</t>
  </si>
  <si>
    <t>http://www.adn.com/article/20150210/anchorage-police-id-suspect-sunday-car-chase-and-shooting</t>
  </si>
  <si>
    <t>Joseph Paffen</t>
  </si>
  <si>
    <t>4501 Hoffner Avenue</t>
  </si>
  <si>
    <t>Orange County Sheriff's Office</t>
  </si>
  <si>
    <t>Paffen opened fire on officers, they responded and shot him.</t>
  </si>
  <si>
    <t>Sawyer Flache</t>
  </si>
  <si>
    <t>http://www.gannett-cdn.com/-mm-/6da36d601f576df6d13ff9afc6c8e8eae96153bf/c=13-0-371-477&amp;r=537&amp;c=0-0-534-712/local/-/media/2015/02/08/KVUE/KVUE/635590217831825997-gbf.jpg</t>
  </si>
  <si>
    <t>Silvermine Drive and Highway 71</t>
  </si>
  <si>
    <t>78735</t>
  </si>
  <si>
    <t>Apparently he shot at a police helicopter and then the cops shot back.</t>
  </si>
  <si>
    <t>http://www.kvue.com/story/news/2015/02/08/breaking-austin-police-shoot-man-who-fired-at-officers-in-helicopter/23074647/</t>
  </si>
  <si>
    <t>James Howard Allen</t>
  </si>
  <si>
    <t>2701 Mary Avenue</t>
  </si>
  <si>
    <t>Anson</t>
  </si>
  <si>
    <t>The family of the deceased asked police to check on elderly hard-of-hearing man after heart surgery, officers kicked in door, deceased had gun, police shot after he didn't obey to drop gun.</t>
  </si>
  <si>
    <t>Alan James</t>
  </si>
  <si>
    <t>http://www.killedbypolice.net/victims/150111.jpg</t>
  </si>
  <si>
    <t xml:space="preserve">Himes Street SE and Jefferson Avenue SE </t>
  </si>
  <si>
    <t>Wyoming</t>
  </si>
  <si>
    <t>Wyoming Police Department</t>
  </si>
  <si>
    <t xml:space="preserve">James was living in the home with his second wife at the time of the incident. When officers arrived at the scene, they were able to get a her out of the house.After James allegedly opened fire, police returned fire and James was struck in the chest with a bullet. </t>
  </si>
  <si>
    <t>Herbert Hill</t>
  </si>
  <si>
    <t>data:image/jpeg;base64,/9j/4AAQSkZJRgABAQAAAQABAAD/2wCEAAkGBxQSEhQUExQVFBUXFxQUFBcXGBUaGBQUFRQWFhQUFRQYHCggGBolHBQUITEhJSkrLi4uFx8zODMsNygtLiwBCgoKDg0OGhAQGiwcHBwsLCwsLCwsLCwsLCwsLCwsLCwsLCwsLCwsLCw3LCssLCw3LDcsLCssLCw3LCssNywsLP/AABEIAKgBLAMBIgACEQEDEQH/xAAbAAACAwEBAQAAAAAAAAAAAAAAAQIEBQYDB//EADgQAAIBAgQEBAMHAwQDAAAAAAABAgMRBAUhMRJBUfAGYXGBEyKRFDJSobHB8ULR4QcjgpJDYnL/xAAZAQADAQEBAAAAAAAAAAAAAAAAAQIDBAX/xAAiEQEBAAICAwACAwEAAAAAAAAAAQIRAyESMUEEURMycSL/2gAMAwEAAhEDEQA/ANlEhIaM2KS77QxDQQBAO3egD0NBMAuPvvQWgQ0P6r6fsCQeg8K+JUFdtL9DjM+zl1ZcMXaK6bPzNXxdD5eJytbRJW19Tj6cbu9xz12rTRyzC3u2r9DYgilg46GhSRzcmXbs4MFrDUzRoUijhzRpIy+vSl1HrClc0MLhypTiaVBLqaYyJyt0tQoaFXEYbyL9CS6CrcHdzaxhvthV6VjNro6DFRVtDBxKOfPHtvjVGoipicNGW6uW6xBxFjdVPJjMp25XF4RxlojwtqbuZ4bW+vsY9enZ6fU7MbuPJ5MdXTrvB2a8d6Um21rHVtnUSXep8tynESo1IzTs76+nM+pQlxJNWs0uae4VlpBLyIsnIi0URW71Q++YmIR6NCsO4gnRE0DXdgAYOPr+X72JX8/zRFW6r0HfvQmbpqaABoWiNP1GIaKkI7C07uFgQb0Z98x99oTC4tA17ErCQ0HYcd41xXzRjqrq7VjmsLG771Njxxf46vouFWMzL0F9NI2sKtEaFMoUEX6RzZO7iXaBepxKWETNOjAyyruwm4lTZo0H5HnRoJlikuHkXj7OzpbpRdhVE+hcw1mWZ00l1N525Le3LYinu0zIxN77m/ma1aS/sYOITM82uCpJEGycjwqSMtLvp44t6M53EQ1s7W5G/XkYeY23SOvjvTzfyJ2oJrbZ/sd34JxPFTlDnFr3RwMpKW2h1ngSaU5x5tJq3M005a7VoiTauQFpKMu9f8CHciOdA17A1fvQjYl3sIEg72AACVu7fuMiu9EFghqiGu9BIdxbSa7/AIAWhIIYsOwCsMjSGmKwWGIa9vYkl3dEV32iUe9CdHtwvjylapCWlrW9NTIyvc1PG8ZfFTa02RlZW9X6BfS8W7hINmxh4RtucxGtN6LQU6MvxP0uY3jl+urDks9R21GpBFpVlfc+dRryi9blmnnU1/kjLhvxvh+VPsfRsPiLFlYhM4zBZzxLfUuU8wuZdx2TOZTbrqeJtsxVMytvI5apmJzWaZpOUtJM0x3emWeeOL6HUzanzehmVsxot6SXmfP6mMqPZnmpVHvJW8/8Gk4v3XNl+Td9R3U6tN3tJfUoYjqrNeRz0KNR68UfWNrntKdWOu4fxyF/PlfcX5T3MnHU9zQwtfjWu/Mp5hZPUrG9seXubYNXR6bHU+Bad6l1NR0tZ7tc7HNYulrprc6TwBH/AHnpe0d7bGznr6DN96nnfvQ9JLu55NB8RsriAQEf0C4NhcRi4L1AdggpDQBcP8JVsCEhgAiSQkCDQSQfUAAF3sh/kNAu9xg4kokUiXpvy9RfDc944wblRi0tU3e3JW5nIZQr8XoWsRxSnOcZSU7tS1evk1zPPLo24tLak73Gvjpew8dbGrRWG2m036t/kjDlProufoWMNms4J/BpxSWt7GVxrowzk9tivluFkm4uUPNxml/2asYWLwHC9HdfqXY+O8a4/Dfw5QenCk7vy8ypUqtys4OlJ68PJ+hfobmSlSdn0NfDKT2Rn18O97WOu8OYRPhvzIz014pWFjKUkjHktTu/EuGWqWmhycsBJJySbS3DBXJi8aVBf1Oy5nWZBg6DWmGdd9ZcKT9OLVnJRn8ySXFLkuS9QxuNxlCaXH8N7pw/ZlsLZHVZu6KdpYR0rdLfsZMowt8jvH9DNw+LxdROpKbqpbubu372IQxKk7/dfNE6VOSWNCjFJlfNI6Fiih5jF8GgY5dp5J/y5etodv4DwDjFzf8AVaybW3UwMhyGeKqNLSCfzSeyRr5zmFPDz+HQSk42TkuvqaZZfGWPF5TdunayR5yR45divi0ac3o5RT9+Z7t96FfHPZ287+oMd/ULd2Y4CYJDuIXYA9AB9/yBi/kAhoWtJVEiSEBVCQAhk9gIYrjKADvvUQwBolFkV3YaFYbg83pOniattr3+upCnrqupe8XQtXv1jF/S6/Yz8A7pGddM70lVoLmWcBWhD+1tC5HDKSCWTw5qT/5OxHnK2nHZ2WFzDDUpcXweKXJRWt/c0nUhiE+PCqmt03Uk5366WSM+nRjT+6kvTf6mphk+G7HctKnHus3MIpuKS2SXrY6Xw3TScb8jnZ6y01OpyPBz0eiM8st10YYdV5+IKacm0Z2CguGpD8SXvZ7XNbOaE/UyKTs7ixuqvPHeOlTE4GMPmo0oO29Nyle/VMrV87ov5a2HqRt1cWvZtGzmGGcl8SH3uduZlfaeP5aiT9Un+pt5SuS8d2qYrNYSio00ox6fLf8AI8suwKlrb0NmhlVDf4cV7F6OHilokvQyy5NdNsOBkSw3CVMRG8WvI1MZIy6r3DD9p5pJNHHNHGjGnBW0V0t2+rMytlz0b57kcfgZxcZXdntY08Imo3abs1uVu76TJvHt1WUw4aNNL8K8mWe+YqMUoxWuiXTp6j771Oh5tvZXYr+d/T+AYuICAJ+oBcAbff8AAu+9A/P6iQA7jQrABaVkADDQA7isMNEaALgPZgAuAgaQ0QJoYc94spfNTl1i4/R3Oeoyt5HY+IqSdG73g1JfocfVmm217mboxvTTwWIL3zy52MTCy1N/Bq5z5TTv4ruJ0MIk+r8yxi3aNlq+i5nrTieGLzaFCd5paK4vdbXWMGXYCaackk3y6HaZMlBq585xPjOM5fI0i5hfFLtqGrLspnhZ47d9mfC231OSzPCSTbirrd26GNi/F0o66e574T/UOm/lnZ+2g/G+9CZ4f122cvleJ4YvL+J7XXXRNehLLMfCo24bf3L1aQ50dx2wvhSh1a9Vcl9odtdC7iXoZOImZ5TfS96jxxFW7M+vM95vcqTe5rxxxcuW2zlkY1KSU2r6KK56buxazKhGnSUb3lUlFJaXSvvYr5LjqdGg3FJ1ZqzcteFdIolluCU63xHduKu7vS/kh4zWQz5NcbobbeR5vvVk2Qb1OiPNILkUMYSuDEu/4ABQABcCAIGO3qLQVh3I3HcYO4yKYxAxXGACBAAd7jB2Gn7e9yNvYkpd3av7oKHnjMOqkJQel1o/PkcJi8FUpTcakXHo+Ul1TPoKZzvjLan01WxNXjfjDw71N3Bz0OfpSNPC1TDLF38WWnQ4edzC8RxcpKyTsaOHq6HhVpq92xY9Vvyascq8v4v/ABJedz0jl00tFp0ubNSvHi4UrHtl8L8T30dvXobduPU2xFlEnrKPF5EZYFragr+RvYfESV+TXLl6l6hmkG/nilyuhW1eMx9Ve8MYNQoK6tJ6suYiSR4xxUbfKyvXxBjt3Y4yQsRVMuuz1q4gqzkTMfqc8ulepoVKr0ZaqyKlXZm2EcXLV7KozmopUZy0WrTUV5ts6vCYfgjZ6t6vp7CwMpfDgpXVopWuerka+Ejky5LlNHfvQjJ+bQkxTfqNmQ799simSTDZpA2JMBkdwEhiAJJsiFwCqgTFcLgSQ0RQxhK4IiO/eoGYCuP6fmACJIiNBQncxPF0L0ovpJfmbUSpm1DjpTSV215fuKnHC05lylUKKRYpsix045aatLFWW548bqSt9W9EkUMRdpWPN1JJWjCUr9A8TudtdFhXSjtFVH1l932XM2aOdxSUatODXLgtH6nJ0Msxc18tNJf+0kiVfIsdFfNQbXJpqwTHbbG6np1dfN1PRU6XD03l6cRkV1SlpH/bl+F7e0inh/CuYyV1SjFdZzSPLF5BjYL5ownb8M07Dsot38Wo1nSdnL+T2jieJX5nPyVRrhnCatza2fqW8vk7O5GWH1GHJZdLlSZ4ymObPKREi8syep4z1aXVr9SbZ65PS460dLpPiZrjGHJl07KirJLyXMbkDYmaOUXAjYGIbD71/Qkjz75Ek33YN7CdxoiA4NHcaZEdxeyMEK4WAKiYXIgPRJJkkyA7ho07krnmhjCa77uBEYbCSJEEMQTYP2I3JXDRuGzSioVppbX05HjTR1OfZWqkXNW4kvVv+xzEOnTcVjXGvThLOFqcOx4xkeyafkLS5lpq4bGt87PruaMM0qrS911OTqVmtmQePqr+oXjY6cfyZrVdbPOJ/wBTl9dPoVqmbSexzTzKq92voShXb5hqqy/K3NRq4mvx/edyq4pEIyJcQrP25/PZyPGauerPGpLoEx7Tll08asjf8JUvknPTWVvPQ5yfT6nYeHaXDQjpvd6epcZZVoSINkpM82UyNiYpCbJoCY4y8yFhp/yMPRMkmQTBMY2ncaZEaEErh3y/uRuD72A1K40CkCH2k0DEMNFtJAhAGjSGmQGh2BO40yCY7iNNSJr3/P8AY8k+9iUWFN7QZxfiVcGJbStdRb878zX8Q5/9majFXqNX1/pRy9fFzrNzqfefTpyRK5HtCsmT4inT0e10e6fQNK29/h3D7L5kVUJKbBpLHrDAp8z2WW25ngsS1sTjjCbKfli91hSLjYj9pbIVMRbzCS/RllPhzna5UnUvsRnK7JRRXpl7KMTtMosqNPbY5CCNnLvEVWilCVOnXp8ozXzR/wDmaCFlNxvSZC/ep6ZbjMFimoxnVw1V6cDfFG//ACvf2LOZZHXoJydqsFvKKtKK6yj09C9bZM9sCKnfVO/QZNgDfeo0yId93Q9EmO5FDTAbTQXI3C/ehE2adx3Iki9UKQwAEhAgAvQA7iAJDh3BMAFTO4cWqSTcnskrt+iQALRtnCeHaslepamvwrWXvyRfjlkaadlr57gA8p0jyu3x/wAWxf22rfytfpY8KD0ADL46I9LE4SsIBwV6qaHcYDTCchqQAA2cZD4WABTnYcSUYgBO16eqR6QjcAErSGIwSnuvRrRrzTR1H+nniHE08RHB4ibrU5qXwKkvvxcVxOEnzVkwAvjvei5MJ47dhm/hiFRuVKXwZve0U4SfWUOvmrHMY/BVcO7VopLlOP3H7v7r8mAGtjiwytunhF32Gu/8ABFWGhgBINMaAAM7Dt5AA07f/9k=</t>
  </si>
  <si>
    <t>1000 SW 62nd St</t>
  </si>
  <si>
    <t>73139</t>
  </si>
  <si>
    <t>http://kfor.com/2015/02/06/breaking-officer-involved-shooting-in-okc/</t>
  </si>
  <si>
    <t>John Sawyer</t>
  </si>
  <si>
    <t>1200 Calimesa Blvd.</t>
  </si>
  <si>
    <t>Calimesa</t>
  </si>
  <si>
    <t>92320</t>
  </si>
  <si>
    <t>Deputies made contact with two men who they thought were engaged in narcotics activity. One man removed a handgun from his pocket and was killed by deputies.</t>
  </si>
  <si>
    <t>http://www.newsmirror.net/news/article_4ac58666-ae23-11e4-a6b8-bb786bd2cf62.html</t>
  </si>
  <si>
    <t>Markell Atkins</t>
  </si>
  <si>
    <t>http://www.killedbypolice.net/victims/150104.jpg</t>
  </si>
  <si>
    <t>3800 Vernon Avenue</t>
  </si>
  <si>
    <t>38122</t>
  </si>
  <si>
    <t>Marshals were serving a warrant on the subject in the death of a 1-year-old. The subject allegedly met them outside with a knife and was shot dead.</t>
  </si>
  <si>
    <t>http://www.wmcactionnews5.com/story/28023546/fugitive-shot-by-law-enforcement-near-nutbush</t>
  </si>
  <si>
    <t>Jimmy Ray Robinson Jr.</t>
  </si>
  <si>
    <t>http://bloximages.chicago2.vip.townnews.com/wacotrib.com/content/tncms/assets/v3/editorial/d/bc/dbc5b9d9-a7ad-5bf9-a0b7-a0039454f45d/54d53a2c72d79.image.jpg?resize=300%2C400</t>
  </si>
  <si>
    <t>I-35</t>
  </si>
  <si>
    <t>Lorena</t>
  </si>
  <si>
    <t>76655</t>
  </si>
  <si>
    <t>http://www.killedbypolice.net/victims/150102.jpg</t>
  </si>
  <si>
    <t>E. Baseline Road and 48th Street</t>
  </si>
  <si>
    <t>A suspect allegedly pulled out a gun, pointed it at officers and that's when four officers, one from Tempe, one from Chandler and two from Mesa, opened fire. Witnesses reported hearing at least six shots. It is unclear at this time if Muna actually fired his weapon. Hernandez was hurt in the crossfire and died.</t>
  </si>
  <si>
    <t>http://www.abc15.com/news/region-phoenix-metro/south-phoenix/tempe-police-shoot-2-suspects-near-48th-street-and-baseline-condition-of-suspects-unknown</t>
  </si>
  <si>
    <t>Izzy Colon</t>
  </si>
  <si>
    <t>4304 Pershing Pointe Pl</t>
  </si>
  <si>
    <t>32822</t>
  </si>
  <si>
    <t>Two undercover narcotics detectives were working in an apartment complex when they noticed two nearby men openly firing handguns. After a brief confrontation one of the men, Colon, was fatally shot, and the other taken into custody.</t>
  </si>
  <si>
    <t>http://www.orlandosentinel.com/news/breaking-news/os-police-shooting-orlando-pershing-20150205-story.html</t>
  </si>
  <si>
    <t>Salvador Muna</t>
  </si>
  <si>
    <t>http://www.gannett-cdn.com/-mm-/8334042135d7f679c06190b7cdf533ced74a407e/c=15-0-465-600&amp;r=537&amp;c=0-0-534-712/local/-/media/2015/02/04/Phoenix/Phoenix/635586889030311552-muna.jpg</t>
  </si>
  <si>
    <t>85042</t>
  </si>
  <si>
    <t>Trying to apprehend Muna, the subject escaped in a vehicle with a friend. Police pinned his car making it unable for him to escape. He brandished a weapon and was shot dead by at least three different officers.</t>
  </si>
  <si>
    <t>Jeremy Lett</t>
  </si>
  <si>
    <t>2424 W Tharpe Street</t>
  </si>
  <si>
    <t>An officer responding to a burglary call at an apartment complex encountered Lett, and the two entered into a physical confrontation. The officer tried the Taser, but in the rain he only shocked himself. Lett had the officer pinned to the ground when the officer fired and fatally wounded him.</t>
  </si>
  <si>
    <t>http://www.wctv.tv/home/headlines/Crime-Scene-Unfolding-in-Tallahassee-290858461.html</t>
  </si>
  <si>
    <t>Paul Alfred Eugene Johnson</t>
  </si>
  <si>
    <t>http://media.nbclosangeles.com/images/1215*675/paul-johnson-bank-robbery.jpg</t>
  </si>
  <si>
    <t>Euclid Ave and Pine Ave</t>
  </si>
  <si>
    <t>Chino</t>
  </si>
  <si>
    <t>91708</t>
  </si>
  <si>
    <t>Corona Police Department</t>
  </si>
  <si>
    <t>Gunshot, Vehicle</t>
  </si>
  <si>
    <t>Police were pursuing a suspect in a bank robbery in Corona, CA when he carjacked a van and led them on a chase to Chino. The man lost control of the van and crashed into a light pole. Police opened fire and killed the subject.</t>
  </si>
  <si>
    <t>Dewayne Deshawn Ward Jr.</t>
  </si>
  <si>
    <t>http://ww4.hdnux.com/photos/34/47/64/7503163/3/920x920.jpg</t>
  </si>
  <si>
    <t>1000 Claudia Ct</t>
  </si>
  <si>
    <t>94509</t>
  </si>
  <si>
    <t>Contra Costa</t>
  </si>
  <si>
    <t>Contra Costa Sheriff's Office</t>
  </si>
  <si>
    <t>Ward was being served a restraining order. When deputies arrived Ward charged at them with a knife. A deputy responded by shooting and killing Ward.</t>
  </si>
  <si>
    <t>http://www.contracostatimes.com/breaking-news/ci_27451514/antioch-one-person-killed-officer-involved-shooting</t>
  </si>
  <si>
    <t>Yuvette Henderson</t>
  </si>
  <si>
    <t>http://www.killedbypolice.net/victims/150096.jpg</t>
  </si>
  <si>
    <t>3400 Hollis Street</t>
  </si>
  <si>
    <t>Emeryville</t>
  </si>
  <si>
    <t>94608</t>
  </si>
  <si>
    <t>Emeryville Police Department</t>
  </si>
  <si>
    <t>Police chased a woman armed with a gun who was allegedly stealing from a store for about four blocks. They saw her with a gun and immediately opened fire, killing her at the scene.</t>
  </si>
  <si>
    <t>http://www.ktvu.com/story/28015839/woman-shot-in-emeryville-officer-involved-shooting</t>
  </si>
  <si>
    <t>Ledarius D. Williams</t>
  </si>
  <si>
    <t>http://www.nydailynews.com/news/world/man-killed-st-louis-survived-2009-police-shooting-article-1.2102871#</t>
  </si>
  <si>
    <t>4100 Minnesota Avenue</t>
  </si>
  <si>
    <t>63118</t>
  </si>
  <si>
    <t>St. Louis Metropolitan Police Department</t>
  </si>
  <si>
    <t>Officers on patrol in the Dutchtown section of St. Louis saw a man run away from them. They chased him into the bushes and struggled with him to get his gun away. Officers fired and killed the man.</t>
  </si>
  <si>
    <t>Wilber Castillo-Gongora</t>
  </si>
  <si>
    <t>U.S. 287</t>
  </si>
  <si>
    <t>Electra</t>
  </si>
  <si>
    <t>76360</t>
  </si>
  <si>
    <t>Wichita County Sheriff's Office</t>
  </si>
  <si>
    <t>The subject called police to report that he was out of gas. He was said to be behaving erratically, running in the lanes of the highway. When he refused to come back from the other side of the highway, deputies tasered him at least twice. The man became unresponsive and died in the hospital several days later.</t>
  </si>
  <si>
    <t>http://www.texomashomepage.com/story/d/story/update-man-tased-by-deputies-on-287-has-died/12327/-Cbzo4k8DE6GANb1my21Yw</t>
  </si>
  <si>
    <t>Anthony Purvis</t>
  </si>
  <si>
    <t>1404 North June Ave</t>
  </si>
  <si>
    <t>31533</t>
  </si>
  <si>
    <t>Coffee</t>
  </si>
  <si>
    <t>Douglas Police Department</t>
  </si>
  <si>
    <t>Officers said they responded to a call from a woman who'd been shot in the hand, and when they arrived they found Purvis sitting on a front porch with a gun to his chin. When Purvis pointed the gun at an officer, the officer shot him to death.</t>
  </si>
  <si>
    <t>http://www.walb.com/story/28014993/man-woman-injured-in-douglas-officer-involved-shooting</t>
  </si>
  <si>
    <t>David Kassick</t>
  </si>
  <si>
    <t>https://mgtvwhtm.files.wordpress.com/2015/02/b88n8qgieaevoxh.jpg</t>
  </si>
  <si>
    <t>36 Grandview Road</t>
  </si>
  <si>
    <t>Hummelstown</t>
  </si>
  <si>
    <t>17036</t>
  </si>
  <si>
    <t>Dauphin</t>
  </si>
  <si>
    <t>Hummelstown Police Department</t>
  </si>
  <si>
    <t>An officer reported that she attempted to stop Kassick for expired stickers, at which point he fled in his vehicle to where he was staying. Upon fleeing the vehicle, the officer used her stun gun, and thought that Kassick was reaching for his waist, and shot him to death in his back while he was lying on the ground. The DA noted that the camera footage seemed as though Kassick was reaching to pull the stun-gun probe from his back. Drugs were found near Kassick and in his system.</t>
  </si>
  <si>
    <t>http://news.yahoo.com/pa-officer-charged-fatal-shooting-unarmed-motorist-165424205.html</t>
  </si>
  <si>
    <t>Jacob M. Haglund</t>
  </si>
  <si>
    <t>http://www.killedbypolice.net/victims/150141.jpg</t>
  </si>
  <si>
    <t>1600 3rd St</t>
  </si>
  <si>
    <t>Bay City</t>
  </si>
  <si>
    <t>48708</t>
  </si>
  <si>
    <t>Bay City Police Department</t>
  </si>
  <si>
    <t>While the other officer spoke with the homeowner, Murphy tracked the suspect's footprints through freshly fallen snow, encountering him in the 1600 block Fourth Street at 1:36 a.m., police said. The suspect responded to Murphy's orders by pulling a gun and opening fire on him, striking him once in the left thigh, police said.Murphy returned fire, police said.</t>
  </si>
  <si>
    <t>http://www.mlive.com/news/bay-city/index.ssf/2015/02/police_bay_county_teen_who_eng.html</t>
  </si>
  <si>
    <t>Francis Murphy Rose III</t>
  </si>
  <si>
    <t>http://cdn.abclocal.go.com/content/kabc/images/cms/504652_1280x720.jpg</t>
  </si>
  <si>
    <t>9000 Buena Vista St</t>
  </si>
  <si>
    <t>Apple Valley</t>
  </si>
  <si>
    <t>92308</t>
  </si>
  <si>
    <t>Victor Valley Sheriff's Office</t>
  </si>
  <si>
    <t>Deputies responded to the location and Rose allegedly began firing at the deputies in their patrol cars and in the helicopter. Those on the ground returned fire and Rose was struck, authorities said.</t>
  </si>
  <si>
    <t>http://abc7.com/news/suspect-killed-in-apple-valley-deputy-involved-shooting/502080/</t>
  </si>
  <si>
    <t>Victor Reyes</t>
  </si>
  <si>
    <t>Little York and Fry Road</t>
  </si>
  <si>
    <t>Katy</t>
  </si>
  <si>
    <t>77448</t>
  </si>
  <si>
    <t>The subject was seen by a deputy shooting at another vehicle. The deputy pursued the subject until the man crashed into a field. He got out of his vehicle with a gun and refused to drop it so the deputy fired and killed the man.</t>
  </si>
  <si>
    <t>http://www.chron.com/news/houston-texas/article/Man-killed-by-deputy-served-time-for-drug-charge-6055318.php</t>
  </si>
  <si>
    <t>Edward Donnell Bright Sr.</t>
  </si>
  <si>
    <t>http://www.wbaltv.com/image/view/-/31036368/medRes/2/-/maxh/630/maxw/1200/-/t9kwl2z/-/img-Police-Knife-wielding-man-shot-by-officers-dies.jpg</t>
  </si>
  <si>
    <t>9856 Liberty Rd</t>
  </si>
  <si>
    <t>Randallstown</t>
  </si>
  <si>
    <t>21133</t>
  </si>
  <si>
    <t>Bright had a knife and refused officer's orders to drop his weapon. Officers then tasered him, but he was still approaching the officers. Bright was subsequently shot and killed.</t>
  </si>
  <si>
    <t>http://www.wbaltv.com/news/baltimore-county-officers-shoot-kill-knifewielding-man-police-say/31024372</t>
  </si>
  <si>
    <t>John Barry Marshall</t>
  </si>
  <si>
    <t>http://krtv.images.worldnow.com/images/6616127_G.jpg</t>
  </si>
  <si>
    <t>2800 10th Ave N</t>
  </si>
  <si>
    <t>Billings</t>
  </si>
  <si>
    <t>59101</t>
  </si>
  <si>
    <t>Yellowstone</t>
  </si>
  <si>
    <t>Yellowstone County sheriff's Office, United States Marshal, Billings Police Department</t>
  </si>
  <si>
    <t>Officers were trying to arrest Marshall for violating the terms of his release on the burglary charge when he ran away, tripped and a shot fired from his gun into the window of the Billings Clinic hospital Friday, authorities said. Three city police officers, two deputy U.S. marshals and a Yellowstone County sheriff's deputy then fired multiple shots at Marshall.</t>
  </si>
  <si>
    <t>http://www.kulr8.com/story/27988700/developing-shooting-reported-at-billings-clinic</t>
  </si>
  <si>
    <t>Ralph Willis</t>
  </si>
  <si>
    <t>http://bloximages.chicago2.vip.townnews.com/stwnewspress.com/content/tncms/assets/v3/editorial/6/10/610ceb42-a8df-11e4-9d2f-237a3de4110e/54cc2101ded9a.image.jpg</t>
  </si>
  <si>
    <t>N. Perkins Road and E. Virginia Avenue</t>
  </si>
  <si>
    <t>Stillwater</t>
  </si>
  <si>
    <t>74075</t>
  </si>
  <si>
    <t>Stillwater Police Department</t>
  </si>
  <si>
    <t>Authorities responded to a fire at an apartment, where Ralph Willis lived. He was identified as a person of interest and when he was spotted later at a Walmart, he began running after officers approached him. According to authorities, Willis made an aggressive move toward officers two blocks from the Walmart, and officers shot him in response.</t>
  </si>
  <si>
    <t>Wendell King</t>
  </si>
  <si>
    <t>http://www.star-telegram.com/news/local/crime/vcaufj/picture8830676/ALTERNATES/FREE_960/King1.JPG</t>
  </si>
  <si>
    <t>4800 Hildring Drive</t>
  </si>
  <si>
    <t>76109</t>
  </si>
  <si>
    <t>http://www.star-telegram.com/news/local/crime/article8830685.html</t>
  </si>
  <si>
    <t>Traylor Stadium</t>
  </si>
  <si>
    <t>Rosenberg</t>
  </si>
  <si>
    <t>Rosenberg Police Department</t>
  </si>
  <si>
    <t>http://www.click2houston.com/news/rosenberg-police-shoot-kill-suspect-wanted-in-deadly-shooting/30960552</t>
  </si>
  <si>
    <t>Alan Lance Alverson</t>
  </si>
  <si>
    <t>Sunset</t>
  </si>
  <si>
    <t>Alan was killed in a shoot-out with law officers Wednesday afternoon, following a pursuit that ended with his death.</t>
  </si>
  <si>
    <t>http://www.wfaa.com/story/news/crime/2015/01/28/suspect-shot-in-rural-wise-county/22487953/</t>
  </si>
  <si>
    <t>Jermonte Fletcher</t>
  </si>
  <si>
    <t>https://localtvwjw.files.wordpress.com/2015/01/jermonte-fletcher.jpg</t>
  </si>
  <si>
    <t>200 Buffalo Court</t>
  </si>
  <si>
    <t>43207</t>
  </si>
  <si>
    <t>Police located Jermonte Fletcher, who was a member of gang being investigated by authorities. They located him at a residence and told him to surrender. Fletcher shot at officers, so they fired back.</t>
  </si>
  <si>
    <t>http://www.nbc4i.com/story/27949788/2-injured-after-officer-involved-shooting</t>
  </si>
  <si>
    <t>Nicholas Tewa</t>
  </si>
  <si>
    <t>http://media2.abc15.com/photo/2015/01/28/KNXV%20Nicholas%20Tewa_1422480483218_12855454_ver1.0_900_675.jpg</t>
  </si>
  <si>
    <t>4130 North Black Canyon Highway</t>
  </si>
  <si>
    <t>85017</t>
  </si>
  <si>
    <t>Phoenix police say they got a tip a man wanted in connection with at least six armed robbery attempts was staying at Motel 6. When they tried to arrest Tewa; he attempted to leave in a stolen vehicle. Officers ordered him to display his hands and leave the vehicle. Police said Tewa refused to comply and began ramming the occupied police vehicle with the stolen vehicle. Authorities say two officers shot at Tewa "to end the violent encounter."</t>
  </si>
  <si>
    <t>http://www.abc15.com/news/region-phoenix-metro/central-phoenix/police-investigating-officer-involved-shooting-at-motel-6-in-west-phoenix</t>
  </si>
  <si>
    <t>Matautu Nuu</t>
  </si>
  <si>
    <t>N El Dorado St &amp; Martinique Ct</t>
  </si>
  <si>
    <t>95210</t>
  </si>
  <si>
    <t>Officers asked Nuu repeatedly to put down a hammer, but Nuu yelled back at the officers to shoot him, according to police. When Nuu refused to put down his weapon, a 3-year-old police dog was sent to take Nuu into custody. Nuu then hit Nitro with the hammer, which cut him on his snout, officials said. As officers went near Nuu to rescue Nitro, Nuu then came at them with the claw hammer, so two police officers shot and killed him.</t>
  </si>
  <si>
    <t>http://www.kcra.com/news/local-news/news-stockton/police-man-killed-after-attacking-k9-officer-with-hammer/30961686</t>
  </si>
  <si>
    <t>Tiffany D. Terry</t>
  </si>
  <si>
    <t>http://www.killedbypolice.net/victims/150088.jpg</t>
  </si>
  <si>
    <t>1702 S. 50th Street</t>
  </si>
  <si>
    <t>68106</t>
  </si>
  <si>
    <t>Police responded to a report about a mother attacking her children. When they showed up, the subject threw a knife at an officer and was shot dead.</t>
  </si>
  <si>
    <t>http://www.omaha.com/news/crime/omaha-police-woman-shot-after-she-threw-knife-at-officer/article_dc2efa28-a762-11e4-9226-6392f1080cab.html</t>
  </si>
  <si>
    <t>San Bruno</t>
  </si>
  <si>
    <t>San Mateo</t>
  </si>
  <si>
    <t>Jessica Hernandez</t>
  </si>
  <si>
    <t>http://i.dailymail.co.uk/i/pix/2015/01/27/2520A6BC00000578-2927449-image-m-19_1422401287646.jpg</t>
  </si>
  <si>
    <t>E. 25th Ave. and Newport St.</t>
  </si>
  <si>
    <t>Witnesses say police shot victim in a car from the side-corroborated by forensics; police say they shot in self-defense.</t>
  </si>
  <si>
    <t>http://www.democracynow.org/2015/2/13/denver_police_killing_of_lgbt_teen</t>
  </si>
  <si>
    <t>David Garcia</t>
  </si>
  <si>
    <t>1134 E Street</t>
  </si>
  <si>
    <t>Wasco</t>
  </si>
  <si>
    <t>93280</t>
  </si>
  <si>
    <t>Deputies responded to call from suspect who was making threats to harm himself.  They forced themselves in and were met by Garcia wielding a knife.  Suspect was shot.</t>
  </si>
  <si>
    <t>http://www.bakersfieldnow.com/news/local/Shots-fired-by-deputy-in-Wasco-encounter-ruled-justified-291464201.html</t>
  </si>
  <si>
    <t>Joshua Omar Garcia</t>
  </si>
  <si>
    <t>http://www.everythinglubbock.com/media/lib/197/3/3/d/33d162c6-2467-4a39-9e4d-23f0fc95f096/Headline.jpg</t>
  </si>
  <si>
    <t>US Hwy 380</t>
  </si>
  <si>
    <t>Tahoka</t>
  </si>
  <si>
    <t>79373</t>
  </si>
  <si>
    <t>The subject was arrested after leading officers on a chase. Once arrested, he slipped the handcuffs to the front and tried to drive off in a deputy's cruiser. He was shot and killed at the scene.</t>
  </si>
  <si>
    <t>http://www.everythinglubbock.com/story/d/story/lynn-co-chase-ends-in-crash-officer-involved-shoot/19449/g8Lzux4P5E64-schXceQtQ</t>
  </si>
  <si>
    <t>Chris Ingram</t>
  </si>
  <si>
    <t>4500 US-191</t>
  </si>
  <si>
    <t>Morenci</t>
  </si>
  <si>
    <t>85540</t>
  </si>
  <si>
    <t>Greenlee</t>
  </si>
  <si>
    <t>Authorities said the two officers responded to a domestic violence call at around in the town of Morenci, which is northwest of Clifton. The suspect had left the scene and a traffic stop was made on U.S. Highway 191. Gunfire was exchanged, and the two officers were struck, authorities said. The suspect, Chris Ingram, 29, was also shot and died from his wounds later in the emergency room at the Gila Health Clinic in Morenci.</t>
  </si>
  <si>
    <t>http://tucson.com/news/blogs/police-beat/officers-wounded-suspect-killed-in-morenci-shooting/article_fdde1ef4-a64c-11e4-8f01-073c51a39565.html</t>
  </si>
  <si>
    <t>97381</t>
  </si>
  <si>
    <t>Raymond Kmetz</t>
  </si>
  <si>
    <t>https://encrypted-tbn3.gstatic.com/images?q=tbn:ANd9GcRodS18giNfsIlDDXvHJ1QVMC56dAEVNVhv-eJuWkhSRhkhzdkIXBinLWJqnhpjiGcjs9gwKNWn</t>
  </si>
  <si>
    <t>4401 Xylon Avenue North</t>
  </si>
  <si>
    <t>New Hope</t>
  </si>
  <si>
    <t>55427</t>
  </si>
  <si>
    <t>New Hope Police Department</t>
  </si>
  <si>
    <t>Two officers were being sworn in at a city council meeting when Kmetz shot at the officers, injuring them. Other officers returned fire, killing Kmetz.</t>
  </si>
  <si>
    <t>http://www.ksfy.com/home/headlines/Documents-Minn-shooting-suspect-had-history-of-violence-289983461.html</t>
  </si>
  <si>
    <t>Orlando Jude Lopez</t>
  </si>
  <si>
    <t>http://www.krdo.com/image/view/-/30926046/highRes/3/-/maxh/640/maxw/640/-/dohryx/-/orlando-jude-lopez-jpg.jpg</t>
  </si>
  <si>
    <t>2000 Troy Ave.</t>
  </si>
  <si>
    <t>Pueblo</t>
  </si>
  <si>
    <t>81001</t>
  </si>
  <si>
    <t>Pueblo Police Department</t>
  </si>
  <si>
    <t>Lopez and a second man, Roberto Felix Rodriguez-Garcia, 22, were being pursued by police as suspects in a home invasion. Police caught up to Lopez where there was an exchange of gunfire between he and police officers.</t>
  </si>
  <si>
    <t>Pending Investigation</t>
  </si>
  <si>
    <t>http://www.chieftain.com/news/pueblo/3281920-120/officers-police-incident-lopez</t>
  </si>
  <si>
    <t>William Campbell</t>
  </si>
  <si>
    <t>300 New Brooklyn Road</t>
  </si>
  <si>
    <t>Winslow</t>
  </si>
  <si>
    <t>08081</t>
  </si>
  <si>
    <t>South Jersey Police Department</t>
  </si>
  <si>
    <t>An officer responded to a domestic disturbance after a report of a woman being held at gunpoint by a relative. When the officer arrived at the home, a woman approached his vehicle and tried to get inside while screaming about a man armed with a gun. The officer saw William Campbell approaching his vehicle while pointing his gun at him. The officer shot Campbell.</t>
  </si>
  <si>
    <t>http://www.nbcphiladelphia.com/news/breaking/Winslow-Township-Police-Response-289717891.html</t>
  </si>
  <si>
    <t>Darin Hutchins</t>
  </si>
  <si>
    <t>http://www.killedbypolice.net/victims/150070.jpg</t>
  </si>
  <si>
    <t>1900 McHenry St</t>
  </si>
  <si>
    <t>21223</t>
  </si>
  <si>
    <t>Baltimore City</t>
  </si>
  <si>
    <t>Authorities said a person flagged down an officer on routine patrol and that a man was threatening to stab people at a house celebrating a toddler's birthday. According to police, when the officer located the man, identified Tuesday as 26-year-old Darin Hutchins, he refused to drop the knife and obey commands. The officer shot him once in the chest.</t>
  </si>
  <si>
    <t>http://www.wbaltv.com/news/baltimore-police-involved-in-officerinvolved-shooting/30905860</t>
  </si>
  <si>
    <t>Daryl Myler</t>
  </si>
  <si>
    <t>164 E Main St</t>
  </si>
  <si>
    <t>Rexburg</t>
  </si>
  <si>
    <t>83440</t>
  </si>
  <si>
    <t>Rexburg Police Department</t>
  </si>
  <si>
    <t>Shortly after robbing a Walgreens, Myler was shot and killed by officers.</t>
  </si>
  <si>
    <t>http://www.kpvi.com/mostpopular/story/Witnesses-Recount-Rexburg-Shootout/Waf5XkxxPEmdh5RS2rra7w.cspx</t>
  </si>
  <si>
    <t>Jose Antonio Espinoza Ruiz</t>
  </si>
  <si>
    <t>15th Street and Avenue A</t>
  </si>
  <si>
    <t>Levelland</t>
  </si>
  <si>
    <t>79336</t>
  </si>
  <si>
    <t>Hockley</t>
  </si>
  <si>
    <t>Levelland Police Department</t>
  </si>
  <si>
    <t>Officers responded to a domestic disturbance call where they allegedly found the subject with a knife, threatening his wife. Officers discharged their weapons and killed the man at the scene.</t>
  </si>
  <si>
    <t>http://www.everythinglubbock.com/story/d/story/levelland-police-release-name-after-deadly-officer/13185/r_D6-mz1GE2tY0Frp8HpVg</t>
  </si>
  <si>
    <t>Demaris Turner</t>
  </si>
  <si>
    <t>1980 NW 46 Avenue</t>
  </si>
  <si>
    <t>Lauderhill</t>
  </si>
  <si>
    <t>33313</t>
  </si>
  <si>
    <t>Lauderhill Police Department</t>
  </si>
  <si>
    <t>Local police investigating a stolen car found Turner in a Hyundai Genesis. Turner is said to have rammed "the marked K-9 vehicle with the officer and his K-9 partner inside," and he was fatally shot.</t>
  </si>
  <si>
    <t>http://www.sheriff.org/posts/post.cfm?id=01726FAD-ED67-AADA-421B-3ED8348F9DB7</t>
  </si>
  <si>
    <t>Robert Francis Mesch</t>
  </si>
  <si>
    <t>http://www.killedbypolice.net/victims/150064.jpg</t>
  </si>
  <si>
    <t>Slaughter Lane and Congress Avenue</t>
  </si>
  <si>
    <t>78745</t>
  </si>
  <si>
    <t>Police got the report of a despondent possibly suicidal man from his wife in Austin, who they located and proceeded to chase for some blocks. The truck came to a stop after spike strips were used and the man was shot and killed by officers in what appears to be "suicide by cop."</t>
  </si>
  <si>
    <t>Tiano Meton</t>
  </si>
  <si>
    <t>Interstate 10</t>
  </si>
  <si>
    <t>Sierra Blanca</t>
  </si>
  <si>
    <t>79851</t>
  </si>
  <si>
    <t>Hudspeth</t>
  </si>
  <si>
    <t>U.S. Border Patrol</t>
  </si>
  <si>
    <t>Meton drove through a West Texas checkpoint without stopping and drove 30 more miles before he stopped. "Four agents approached the vehicle and one of them yelled 'gun,'" the AP reported. Two of the agents fired their weapons at the vehicle. A pistol-shaped pellet gun was recovered from Meton's vehicle.</t>
  </si>
  <si>
    <t>http://www.elpasotimes.com/news/ci_27431545/fbi-releases-name-man-shot-and-killed-by</t>
  </si>
  <si>
    <t>Kristiana Coignard</t>
  </si>
  <si>
    <t>http://www.killedbypolice.net/victims/150063.jpg</t>
  </si>
  <si>
    <t>302 W. Cotton Street</t>
  </si>
  <si>
    <t>75601</t>
  </si>
  <si>
    <t>The teen girl entered the police station presumably to get help. Officers believed she was armed with a gun. She allegedly had a knife and was tasered to no effect. Officers shot and killed her.</t>
  </si>
  <si>
    <t>https://www.wsws.org/en/articles/2015/01/30/polie-j30.html</t>
  </si>
  <si>
    <t>Isaac Holmes</t>
  </si>
  <si>
    <t>http://bloximages.newyork1.vip.townnews.com/stltoday.com/content/tncms/assets/v3/editorial/7/71/771dac67-b4b2-5713-95c1-91997c6fd078/54c16e7195906.image.jpg</t>
  </si>
  <si>
    <t>Marcus Avenue and Cottage Avenue</t>
  </si>
  <si>
    <t>63113</t>
  </si>
  <si>
    <t>Police attempted to make a traffic stop, but the car fled. They located at an intersection and followed it. The car drove down an alley and hit a wall. Holmes got out of the car and pulled out a gun. Officers told him to drop the weapon and when he didn't, they shot him.</t>
  </si>
  <si>
    <t>http://www.latimes.com/nation/la-na-st-louis-police-shooting-20150122-story.html?track=rss&amp;utm_source=feedburner&amp;utm_medium=feed&amp;utm_campaign=Feed%3A+latimes%2Fnews%2Fnationworld%2Fnation+%28L.A.+Times+-+National+News%29</t>
  </si>
  <si>
    <t>Miguel Anguel de Santos-Rodriguez</t>
  </si>
  <si>
    <t>http://bloximages.newyork1.vip.townnews.com/themonitor.com/content/tncms/assets/v3/editorial/2/85/2858d322-b23c-11e4-848b-8f6b364e9b7a/54dbd5d4b9b8a.image.jpg?resize=580%2C760</t>
  </si>
  <si>
    <t>Chapeño Road</t>
  </si>
  <si>
    <t>Roma</t>
  </si>
  <si>
    <t>78584</t>
  </si>
  <si>
    <t>Starr</t>
  </si>
  <si>
    <t>A border patrol agent investigating drug-smuggling allegedly came under fire from the subject and returned fire, killing the man.</t>
  </si>
  <si>
    <t>http://www.valleycentral.com/news/story.aspx?id=1162650#.VSdDUpPZHIU</t>
  </si>
  <si>
    <t>Andrew J. Toto</t>
  </si>
  <si>
    <t>Scobie Pond Road and Julian Road</t>
  </si>
  <si>
    <t>Derry</t>
  </si>
  <si>
    <t>03038</t>
  </si>
  <si>
    <t>Rockingham</t>
  </si>
  <si>
    <t>Derry Police Department</t>
  </si>
  <si>
    <t>http://nutfieldnews.net/2015/01/police-officer-involved-fatal-derry-shooting/</t>
  </si>
  <si>
    <t>John Ballard Gorman</t>
  </si>
  <si>
    <t>http://www.goheroes.us/uploads/3/1/9/3/31932445/932769.jpg?1421875251</t>
  </si>
  <si>
    <t>3468 Casino Way</t>
  </si>
  <si>
    <t>Robinsonville</t>
  </si>
  <si>
    <t>38664</t>
  </si>
  <si>
    <t>Tunica</t>
  </si>
  <si>
    <t>Mississippi Gaming Commission</t>
  </si>
  <si>
    <t>http://wreg.com/2015/01/21/mississippi-gaming-officer-shot-in-tunica/</t>
  </si>
  <si>
    <t>Todd Allen Hodge</t>
  </si>
  <si>
    <t>http://3.bp.blogspot.com/-IiJiw1cLpJY/VMKzBgbaFCI/AAAAAAAABV8/eK3YWUbZ4Bk/s400/chu15-0121-HodgeTodd.jpg</t>
  </si>
  <si>
    <t>40200 Clark Dr.</t>
  </si>
  <si>
    <t>Todd Hodge was under a house. San Jacinto Police k-9 Handler, Deputy Mark Wallace and his dog, Sultan responded. Sultan was unleashed to the crawl space. Hodge shot Sultan in the neck. Sultan retreated, and was taken to the veterinarian where he died of his injuries. A lengthy stand off began. Later in the evening S.W.A.T. fired tear gas and flash grenades forcing Hodge from under the house. When the subject appeared he was carrying a handgun, at which time officers shot and killed him</t>
  </si>
  <si>
    <t>http://ktla.com/2015/01/23/hemet-man-idd-as-person-who-allegedly-shot-killed-police-k-9-sultan/</t>
  </si>
  <si>
    <t>Paul Campbell</t>
  </si>
  <si>
    <t>https://theologyandcriminaljustice.files.wordpress.com/2015/01/campbell-paul.jpg</t>
  </si>
  <si>
    <t>69 Prospect Hill Drive</t>
  </si>
  <si>
    <t>Weymouth</t>
  </si>
  <si>
    <t>02191</t>
  </si>
  <si>
    <t>Weymouth Police Department</t>
  </si>
  <si>
    <t>Police arrived at a residence and found a woman dead. They encountered her son holding knives and shot him.</t>
  </si>
  <si>
    <t>http://www.necn.com/news/new-england/2-Injured-in-Domestic-Violence-Altercation-289007141.html</t>
  </si>
  <si>
    <t>Carter Ray Castle</t>
  </si>
  <si>
    <t>http://wlex.images.worldnow.com/images/6480680_G.jpg</t>
  </si>
  <si>
    <t>Kentucky 7</t>
  </si>
  <si>
    <t>Gunlock</t>
  </si>
  <si>
    <t>41632</t>
  </si>
  <si>
    <t>Magoffin</t>
  </si>
  <si>
    <t>Kentucky State Police, Magoffin County Sheriff's Office</t>
  </si>
  <si>
    <t>Officers attempted to serve an arrest warrant on Castle. When they arrived at his home, they found him waiting outside where he revealed a gun. officers attempted to negotiate with him and used taser but they didn't work. Castle turned toward the officers with his gun in hand. An officer shot Castle.</t>
  </si>
  <si>
    <t>http://www.lex18.com/story/27884078/magoffin-co-man-dies-after-police-standoff</t>
  </si>
  <si>
    <t>Johnathon Guillory</t>
  </si>
  <si>
    <t>http://www.inmaricopa.com/uploads/media/54befbac0ac79.gif</t>
  </si>
  <si>
    <t>AZ-347 &amp; Cobblestone Farms Dr</t>
  </si>
  <si>
    <t>85138</t>
  </si>
  <si>
    <t>Maricopa Police Department</t>
  </si>
  <si>
    <t>Police went to the Guillory's home after receiving several hang-up 911 calls. They found 32-year-old Johnathon Guillory walking down the street with a weapon. After some sort of confrontation, authorities say two officers felt threatened and shot and killed Guillory.</t>
  </si>
  <si>
    <t>http://www.abc15.com/news/region-central-southern-az/other/suspect-killed-in-police-shooting-in-maricopa-</t>
  </si>
  <si>
    <t>Daniel Brumley</t>
  </si>
  <si>
    <t>http://ak-cache.legacy.net/legacy/images/cobrands/dfw/photos/photo_170707_102243_0_1421699311brumleydaniel_20150120.jpgx?w=130&amp;h=180&amp;option=1&amp;v=0x000000002f30d619</t>
  </si>
  <si>
    <t>1700 NE 36th St</t>
  </si>
  <si>
    <t>76106</t>
  </si>
  <si>
    <t>Brumley stabbed an officer in the leg. The officer then shot and killed Brumley.</t>
  </si>
  <si>
    <t>http://www.star-telegram.com/news/local/crime/article7169225.html</t>
  </si>
  <si>
    <t>Terence Walker</t>
  </si>
  <si>
    <t>http://muskogeenow.com/story_images/1421550186.jpg</t>
  </si>
  <si>
    <t>1800 North 24th Street</t>
  </si>
  <si>
    <t>74401</t>
  </si>
  <si>
    <t>Muskogee Police Department</t>
  </si>
  <si>
    <t>Police responded to domestic disturbance involving a man and woman. The woman was trying to enter a church to attend a wedding but the man, Terence Walker, was outside with a gun and asked the woman to exit the building. When a police officer arrived, Walker reportedly began running from him. While running, an item fell from him and he reached to pick it up, then turned toward the officer. A witness reported that Walker tried to hand them the weapon but they refused to carry it. The officer saw the weapon and shot Walker.</t>
  </si>
  <si>
    <t>http://www.tulsaworld.com/news/crimewatch/muskogee-police-investigating-fatal-officer-involved-shooting-saturday/article_2bf1e887-361b-5fff-b6ee-ff59aedcb466.html</t>
  </si>
  <si>
    <t>Pablo Meza</t>
  </si>
  <si>
    <t>http://www.google.com/url?sa=i&amp;rct=j&amp;q=&amp;esrc=s&amp;source=images&amp;cd=&amp;cad=rja&amp;uact=8&amp;ved=0CAcQjRw&amp;url=http%3A%2F%2Fabc7.com%2Fnews%2Fdowntown-los-angeles-officer-involved-shooting-suspect-identified%2F481010%2F&amp;ei=lBn9VO6lDYLaoASs-4D4Cw&amp;bvm=bv.87611401,d.cGU&amp;psig=AFQjCNHxvopNAZCl_6qQs56WsEWIOuJz_w&amp;ust=1425959697824725</t>
  </si>
  <si>
    <t>E 6th St &amp; Mateo St</t>
  </si>
  <si>
    <t>90021</t>
  </si>
  <si>
    <t>A shirtless man was shooting a gun in the air and waving the gun around in the middle of the street and tried to carjack a car. Police arrived on the scene and ordered him to put the gun down. Meza pointed the gun at police instead and officers shot him.</t>
  </si>
  <si>
    <t>http://www.nbclosangeles.com/news/local/Shooting-Downtown-LA-Saturday-288941271.html</t>
  </si>
  <si>
    <t>Sinthanouxay Khottavongsa</t>
  </si>
  <si>
    <t>http://www.killedbypolice.net/victims/150065.jpg</t>
  </si>
  <si>
    <t>5806 Xerxes Ave N</t>
  </si>
  <si>
    <t>Brooklyn Center</t>
  </si>
  <si>
    <t>55430</t>
  </si>
  <si>
    <t>Hennepin County Sheriff's Office</t>
  </si>
  <si>
    <t>Police were called to investigate a disturbance or fight with weapons in a parking lot near the Brooklyn Center Pizza Hut. The subject allegedly had a crowbar in his hand that he refused to drop and was tasered. He fell head first to the pavement and later died from blunt force trauma to the head.</t>
  </si>
  <si>
    <t>http://minnesota.cbslocal.com/2015/01/23/st-paul-man-dies-of-head-injury/</t>
  </si>
  <si>
    <t>Rodney Walker</t>
  </si>
  <si>
    <t>http://bloximages.newyork1.vip.townnews.com/tulsaworld.com/content/tncms/assets/v3/editorial/5/ba/5baa9b34-1bc8-5e35-a2d8-7b4c9888262f/54bb20114e970.image.jpg</t>
  </si>
  <si>
    <t>1000 South Denver Avenue</t>
  </si>
  <si>
    <t>74119</t>
  </si>
  <si>
    <t>Department of Veterans Affairs</t>
  </si>
  <si>
    <t>Witnesses say they saw a domestic disturbance occur blocks from a concert, in which Walker was abusing a woman. An officer witnessed the altercation and tried to intervene. When he approached Walker, the officer said he saw Walker reach for a gun so he shot Walker.</t>
  </si>
  <si>
    <t>12810 Gulf Freeway</t>
  </si>
  <si>
    <t>An off-duty police officer shot and killed a man early Friday morning after he pointed a gun at the officer outside a bar along Interstate 45 in southeast Houston, officials said.</t>
  </si>
  <si>
    <t>http://www.chron.com/houston/article/HPD-shoots-kills-armed-man-outside-SE-Houston-bar-6019879.php</t>
  </si>
  <si>
    <t>Zaki Shinwary</t>
  </si>
  <si>
    <t>Lake Arrowhead Avenue and Great Salt Lake Drive</t>
  </si>
  <si>
    <t>94555</t>
  </si>
  <si>
    <t>Shinwary was reported threatening kids on street with knife.  Officers arrived.  One tasered him; another shot and killed him.</t>
  </si>
  <si>
    <t>http://www.sfgate.com/crime/article/Fremont-police-involved-in-shooting-6021295.php</t>
  </si>
  <si>
    <t>County Road 2718</t>
  </si>
  <si>
    <t>Mabank</t>
  </si>
  <si>
    <t>One suspect was shot dead at the scene after a police chase involving wanted persons that went from Kaufman County to Van Zandt County.</t>
  </si>
  <si>
    <t>http://www.wfaa.com/story/news/crime/2015/01/16/one-shot-3-in-custody-after-kaufman-co-police-chase/21880631/</t>
  </si>
  <si>
    <t>Kavonda Earl Payton</t>
  </si>
  <si>
    <t>http://images.westword.com/imager/b/original/6280801/2f00/kavonda.earl.payton.facebook.1.565x300.jpg</t>
  </si>
  <si>
    <t>East Sixth Avenue and North Tower Road</t>
  </si>
  <si>
    <t>Payton was involved in an armed robbery. Officers caught up with him and after a short chase Payton left his vehicle with a gun. He ignored officer's orders and was shot and killed.</t>
  </si>
  <si>
    <t>http://www.9news.com/story/news/crime/2015/01/21/man-killed-by-officer-after-chase-identified/22138879/</t>
  </si>
  <si>
    <t>Mario A. Jordan</t>
  </si>
  <si>
    <t>http://media.hamptonroads.com/cache/files/images/1747361.jpg</t>
  </si>
  <si>
    <t>1100 Sir Gawaine Drive</t>
  </si>
  <si>
    <t>Chesapeake</t>
  </si>
  <si>
    <t>23323</t>
  </si>
  <si>
    <t>Chesapeake Police Department</t>
  </si>
  <si>
    <t>Police were called about a suicidal man. When they arrived, the man pointed a rifle at them and allegedly fired. The man was killed at the scene.</t>
  </si>
  <si>
    <t>http://hamptonroads.com/2015/01/man-dies-after-exchange-gunfire-chesapeake-police</t>
  </si>
  <si>
    <t>Donte Sowell</t>
  </si>
  <si>
    <t>http://www.gannett-cdn.com/-mm-/8334042135d7f679c06190b7cdf533ced74a407e/c=15-0-465-600&amp;r=537&amp;c=0-0-534-712/local/-/media/2015/01/16/Indianapolis/Indianapolis/635569969569895596-shoot-suspect.jpg</t>
  </si>
  <si>
    <t>East 38th Street and North Mitthoeffer Road</t>
  </si>
  <si>
    <t>46235</t>
  </si>
  <si>
    <t>Officers made a traffic stop at a gas station. One of the passengers of the car, Donte Sowell got out of the car and ran running toward an apartment complex. An officer chased after the man. When Sowell got to the apartment complex, he turned around and shot at the officer, and the officer returned fire.</t>
  </si>
  <si>
    <t>http://www.theindychannel.com/news/local-news/impd-officer-injured-in-shooting-on-citys-east-side</t>
  </si>
  <si>
    <t>DeWayne Carr</t>
  </si>
  <si>
    <t>http://www.gannett-cdn.com/-mm-/2776121618994ee398c11d3346eae8f929d4ce7c/c=45-0-359-418&amp;r=537&amp;c=0-0-534-712/local/-/media/2015/01/20/Phoenix/Phoenix/635573772136401069-Dewayne-Carr.jpg</t>
  </si>
  <si>
    <t>Chaparral Road and Hayden Road</t>
  </si>
  <si>
    <t>85250</t>
  </si>
  <si>
    <t>Scottsdale Police Department</t>
  </si>
  <si>
    <t>Carr appears to have been driving a car that the police attempted to box in. He rammed the police cars and was shot.</t>
  </si>
  <si>
    <t>http://www.azcentral.com/story/news/12-news/2015/01/20/12-news-shooting-scottsdale-police-ramming/22077173/</t>
  </si>
  <si>
    <t>Jose Ceja</t>
  </si>
  <si>
    <t>2000 Sousa Court</t>
  </si>
  <si>
    <t>Fairfield</t>
  </si>
  <si>
    <t>94533</t>
  </si>
  <si>
    <t>Fairfield Police Department</t>
  </si>
  <si>
    <t>The subject was allegedly drunk and threatening, in his home armed with a knife. He allegedly charged officers when they arrived and was killed at the scene.</t>
  </si>
  <si>
    <t>http://www.dailyrepublic.com/news/crimecourts/police-disturbance-call-leads-to-officer-involved-shooting/</t>
  </si>
  <si>
    <t>Quincy Reed Reindl</t>
  </si>
  <si>
    <t>5800 West 99th Street</t>
  </si>
  <si>
    <t>Bloomington</t>
  </si>
  <si>
    <t>55437</t>
  </si>
  <si>
    <t>Bloomington Police Department</t>
  </si>
  <si>
    <t>Police responded to a call of a suicidal man. When they arrived, they found Reindl outside his residence with a gun. They shot him.</t>
  </si>
  <si>
    <t>http://minnesota.cbslocal.com/2015/01/18/man-killed-in-bloomington-officer-involved-shooting-idd/</t>
  </si>
  <si>
    <t>Nathan Ryan Massey</t>
  </si>
  <si>
    <t>http://www.owensandbrumley.com/sitemaker/memsol_data/2099/1503373/1503373_profile_pic.jpg</t>
  </si>
  <si>
    <t>Becky Sue St</t>
  </si>
  <si>
    <t>Ville Platte</t>
  </si>
  <si>
    <t>70586</t>
  </si>
  <si>
    <t>Evangeline</t>
  </si>
  <si>
    <t>State Police said it began after 9 a.m. in a trailer park on Becky Sue Road in rural Evangeline Parish when a Massey threatened his girlfriend and neighbors said they heard gunshots. After several hours, a trooper fatally shot Massey when the victim busted a window, screaming that he was going to kill her, Master Trooper Brooks David said.</t>
  </si>
  <si>
    <t>Marcus Ryan Golden</t>
  </si>
  <si>
    <t>http://extras.mnginteractive.com/live/media/site569/2015/0115/20150115__150115_MarcusRyanGolden_mug_200.jpg</t>
  </si>
  <si>
    <t>261 E. University Ave.</t>
  </si>
  <si>
    <t>55130</t>
  </si>
  <si>
    <t>St. Paul Police Department</t>
  </si>
  <si>
    <t>Police responded to a call at 2:15 a.m. because Golden was allegedly making death threats via text message from a parking lot. Undetermined number of shots fired and gun was found at the scene.</t>
  </si>
  <si>
    <t>http://www.twincities.com/crime/ci_27317397/st-paul-police-investigating-officer-involved-shooting-near</t>
  </si>
  <si>
    <t>Talbot Schroeder</t>
  </si>
  <si>
    <t>40 Cedar Grove Place</t>
  </si>
  <si>
    <t>Old Bridge</t>
  </si>
  <si>
    <t>08857</t>
  </si>
  <si>
    <t>Old Bridge Police Department</t>
  </si>
  <si>
    <t>Police were called to a domestic disturbance at a residence. The Schroeder had cut a family member with the knife and was threatening another family member when officers came into the house. The officers told the man to put down his weapon multiple times. When he didn't, an officer shot him.</t>
  </si>
  <si>
    <t>http://www.nj.com/middlesex/index.ssf/2015/01/never_a_hint_of_trouble_in_old_bridge_home_where_p.html</t>
  </si>
  <si>
    <t>Robert Edwards</t>
  </si>
  <si>
    <t>http://www.killedbypolice.net/victims/150037.jpg</t>
  </si>
  <si>
    <t>500 Sycamore Street</t>
  </si>
  <si>
    <t>Lake Jackson</t>
  </si>
  <si>
    <t>77566</t>
  </si>
  <si>
    <t>Brazoria</t>
  </si>
  <si>
    <t>Lake Jackson Police Department</t>
  </si>
  <si>
    <t>The subject's roommate alerted police that the subject had a gun and had pointed it at him. Police responded and found the subject in his room where he raised the gun at them and they fired and killed him.</t>
  </si>
  <si>
    <t>http://abc13.com/news/man-dead-in-lake-jackson-officer-involved-shooting/474795/</t>
  </si>
  <si>
    <t>Michael T. Goebel</t>
  </si>
  <si>
    <t>https://localtvktvi.files.wordpress.com/2015/01/promo245633054.jpg</t>
  </si>
  <si>
    <t>600 Spring Drive</t>
  </si>
  <si>
    <t>Robertsville</t>
  </si>
  <si>
    <t>63072</t>
  </si>
  <si>
    <t>Louis County Police Department, Jefferson County Police Department, Franklin County Police Department</t>
  </si>
  <si>
    <t>An alleged car thief drove through a garage door and at police officers who shot him dead.</t>
  </si>
  <si>
    <t>http://www.stltoday.com/news/local/crime-and-courts/police-shoot-two-men-one-fatally-during-auto-theft-investigation/article_3ce2cd79-c210-550f-9145-beec26b1fa76.html</t>
  </si>
  <si>
    <t>Greene</t>
  </si>
  <si>
    <t>Jeffrey R. Nielson</t>
  </si>
  <si>
    <t>http://www.good4utah.com/media/lib/5/1/e/9/1e9a1065-1729-4d01-968e-85be0925a946/Story.jpg</t>
  </si>
  <si>
    <t>120 Honey Berry Ct</t>
  </si>
  <si>
    <t>Draper</t>
  </si>
  <si>
    <t>84020</t>
  </si>
  <si>
    <t>West Valley City Police Department</t>
  </si>
  <si>
    <t>A West Valley police officer on his way to work who asked for back up from Draper police on a possible narcotics arrest shot and killed the suspect when he brandished a knife during the struggle to arrest him.</t>
  </si>
  <si>
    <t>http://www.sltrib.com/news/2057654-155/police-investigating-shooting-in-draper</t>
  </si>
  <si>
    <t>John Edward Okeefe</t>
  </si>
  <si>
    <t>http://main.abqjournal.netdna-cdn.com/wp-content/uploads/2015/01/image3-319x400.jpg</t>
  </si>
  <si>
    <t>2028 San Mateo Blvd NE</t>
  </si>
  <si>
    <t>87110</t>
  </si>
  <si>
    <t>Albuquerque Police Department</t>
  </si>
  <si>
    <t>http://www.abqjournal.com/525673/abqnewsseeker/albuquerque-police-investigating-possible-shooting.html</t>
  </si>
  <si>
    <t>Richard McClendon</t>
  </si>
  <si>
    <t>http://www.ksat.com/content/dam/pns/ksat/news/2015/01/13/RICHARD%20BRETT%20MCCLENDON.JPG</t>
  </si>
  <si>
    <t>600 Olive St.</t>
  </si>
  <si>
    <t>Jourdanton</t>
  </si>
  <si>
    <t>78026</t>
  </si>
  <si>
    <t>Atascosa</t>
  </si>
  <si>
    <t>Jourdanton Police Department</t>
  </si>
  <si>
    <t>Officers responded to call from Richard McClendon's mother who said he was having a violent episode, destroying things inside the home and possibly had a shot gun. Officers arrived to McClendon inside the bathroom and they tried to get him to come out. McClendon then confronted the officers with a knife in one hand and a pipe in the other. One of the officers tried to subdue McClendon by tasing him. When that failed, they opened fire on him once, fatally wounding him</t>
  </si>
  <si>
    <t>http://www.kens5.com/story/news/local/2015/01/13/fatal-officer-involved-shooting-in-jourdanton/21697611/</t>
  </si>
  <si>
    <t>Salvador Figueroa</t>
  </si>
  <si>
    <t>N. Eastern and E. Searles Avenue</t>
  </si>
  <si>
    <t>89101</t>
  </si>
  <si>
    <t>Officers were investigating a call involving a man and woman. While officers were investigating, Figueroa fled the area on foot, leading the police on a chase. Police said the man circled back to the parking lot and toward his vehicle, where officers used a stun gun on him. The stun gun wasn't able to subdue the man and Figueroa showed a handgun, prompting an officer to shoot him multiple times.</t>
  </si>
  <si>
    <t>http://www.fox5vegas.com/story/27824351/pd-officer-shoots-kills-man-in-north-las-vegas</t>
  </si>
  <si>
    <t>Brian Barbosa</t>
  </si>
  <si>
    <t>8900 Kauffman Avenue</t>
  </si>
  <si>
    <t>Police were investigating a carjacking when the suspect, Barbosa, walked by and was spotted by police. He ran from police and attempted to carjack another vehicle. He failed at his second attempt at carjacking and ran into a residential neighborhood. He was spotted by police with a gun and got into a confrontation with officers and was shot.</t>
  </si>
  <si>
    <t>http://ktla.com/2015/01/11/police-fatally-shoot-man-in-south-gate-investigation-underway/</t>
  </si>
  <si>
    <t>Tommy E. Smith</t>
  </si>
  <si>
    <t>http://www.killedbypolice.net/victims/150030.jpg</t>
  </si>
  <si>
    <t>224 Circle Dr</t>
  </si>
  <si>
    <t>Arcola</t>
  </si>
  <si>
    <t>61910</t>
  </si>
  <si>
    <t>Arcola Police Department</t>
  </si>
  <si>
    <t>Arcola police shot and killed Smith, who confronted them with guns as they responded to a domestic dispute Sunday night.</t>
  </si>
  <si>
    <t>http://www.news-gazette.com/news/local/2015-01-12/arcola-man-shot-and-killed-police-domestic-dispute.html</t>
  </si>
  <si>
    <t>Jimmy Foreman</t>
  </si>
  <si>
    <t>422 SE 3rd Street</t>
  </si>
  <si>
    <t>England</t>
  </si>
  <si>
    <t>72046</t>
  </si>
  <si>
    <t>England Police Department</t>
  </si>
  <si>
    <t>Foreman killed his son. When officers arrived, Foreman did not comply with officer's orders to drop his weapon so they shot and killed him.</t>
  </si>
  <si>
    <t>http://www.arkansasmatters.com/story/d/story/officer-involved-shooting-in-england-state-police/96378/ANJj1t23D0-js2QVUl5OmA</t>
  </si>
  <si>
    <t>Thomas Hamby</t>
  </si>
  <si>
    <t>http://www.killedbypolice.net/victims/150031.jpg</t>
  </si>
  <si>
    <t>2964 W. 2125 South</t>
  </si>
  <si>
    <t>Syracuse</t>
  </si>
  <si>
    <t>84075</t>
  </si>
  <si>
    <t>Davis</t>
  </si>
  <si>
    <t>Syracuse Police Department, Davis County Sheriff's Office</t>
  </si>
  <si>
    <t>A woman called police to report her boyfriend was "acting strangely" and was armed. On arrival, the man came out with a gun and was shot dead by police officers.</t>
  </si>
  <si>
    <t>http://www.deseretnews.com/article/865619452/Syracuse-man-shot-by-police-dies-of-his-injuries-police-say.html</t>
  </si>
  <si>
    <t>Artago Damon Howard</t>
  </si>
  <si>
    <t>http://thumbs.mugshots.com/gallery/images/98/e8/Artago-Damond-Howard-mugshot-32435620.400x800.jpg</t>
  </si>
  <si>
    <t>9661 Strong Highway</t>
  </si>
  <si>
    <t>Strong</t>
  </si>
  <si>
    <t>71765</t>
  </si>
  <si>
    <t>Union County Sheriff's Office</t>
  </si>
  <si>
    <t>Police responded to a burglar alrm at a pharmacy. The deputy officer struggled with the suspect and the gun discharged. The man fled but was caught outside where he later died while awaiting an ambulance.</t>
  </si>
  <si>
    <t>James Dudley Barker</t>
  </si>
  <si>
    <t>http://img.deseretnews.com/images/article/midres/1467685/1467685.jpg</t>
  </si>
  <si>
    <t>600 Second Avenue</t>
  </si>
  <si>
    <t>84103</t>
  </si>
  <si>
    <t>Police responded to a suspicious person call and when they approached the man he attacked an officer with a snow shovel. The officer fired multiple shots, killing the man.</t>
  </si>
  <si>
    <t>http://fox13now.com/2015/01/08/man-suffers-multiple-gunshot-wounds-police-respond-to-avenues-neighborhood/</t>
  </si>
  <si>
    <t>Loren Benjamin Simpson</t>
  </si>
  <si>
    <t>http://bloximages.chicago2.vip.townnews.com/billingsgazette.com/content/tncms/assets/v3/editorial/4/00/4007a622-4e2f-58f5-9a2f-dd4669827de0/54c066932f074.preview-620.jpg</t>
  </si>
  <si>
    <t>3618 White Buffalo Road</t>
  </si>
  <si>
    <t>Huntley</t>
  </si>
  <si>
    <t>59037</t>
  </si>
  <si>
    <t>Yellowstone County Sheriff's Office</t>
  </si>
  <si>
    <t>Deputies received multiple calls on a stolen purple Explorer, driven by Simpson. Two deputies pursued him and paused at the head of a dead-end road, where they knew he would have to exit. Simpson threatened them with the vehicle, they opened fire, and fatally shot him. The two deputies involved later resigned from the force.</t>
  </si>
  <si>
    <t>http://missoulian.com/news/state-and-regional/records-offer-new-details-into-fatal-jan-shooting-deputies-remain/article_fde8c24e-292d-5730-a6f1-f554ef114a0a.html</t>
  </si>
  <si>
    <t>Hashim Hanif Ibn Abdul-Rasheed</t>
  </si>
  <si>
    <t>http://www.killedbypolice.net/victims/150016.jpg</t>
  </si>
  <si>
    <t>4600 International Gateway</t>
  </si>
  <si>
    <t>43219</t>
  </si>
  <si>
    <t>Police were called when the illegally parked subject (a Muslim) tried to buy a plane ticket at the Port Columbus airport with a fake ID. As he was discussing the matter with the officers, the suspect drew a knife and lunged at one of them. Another officer opened fire, killing the subject.</t>
  </si>
  <si>
    <t>http://www.nydailynews.com/news/crime/man-armed-knives-killed-police-ohio-airport-cops-article-1.2070141</t>
  </si>
  <si>
    <t>Ronald "Maynard" Sneed</t>
  </si>
  <si>
    <t>http://cdn.abclocal.go.com/content/ktrk/images/cms/010715-ktrk-ron-sneed-img.jpg</t>
  </si>
  <si>
    <t>300 Yaupon Street</t>
  </si>
  <si>
    <t>Freeport</t>
  </si>
  <si>
    <t>77541</t>
  </si>
  <si>
    <t>Freeport Police Department</t>
  </si>
  <si>
    <t>Responding to a domestic disturbance over text messages, an officer found Sneed's door kicked down and found him on top of his girlfriend with a gun which he pointed at the officer. The policeman opened fire, killing Sneed.</t>
  </si>
  <si>
    <t>http://www.finditwestvalley.com/us/unlikely-allies-diffuse-unrest-after-police-shooting-h45858.html</t>
  </si>
  <si>
    <t>Omarr Jackson</t>
  </si>
  <si>
    <t>Lasalle St &amp; Josephine St</t>
  </si>
  <si>
    <t>70113</t>
  </si>
  <si>
    <t>Officer Matthew Bencik and his partner Devin Ashmore stopped to investigate a suspicious vehicle. The Chevrolet Avalanche truck was occupied by two men and a woman, had heavy front-end damage and was smoking from under its hood. Police allege that the driver, 37 year-old Omarr Jackson, fled when asked to step out of the vehicle and fired a handgun at the officers.</t>
  </si>
  <si>
    <t>http://www.wwltv.com/story/news/crime/2015/01/08/nopd-officer-involved-shooting-caught-on-body-camera/21465749/</t>
  </si>
  <si>
    <t>Andre Larone Murphy Sr.</t>
  </si>
  <si>
    <t>http://bloximages.newyork1.vip.townnews.com/omaha.com/content/tncms/assets/v3/editorial/a/5d/a5d3d6fe-981e-11e4-8bb9-9b119903cada/54b0054f5211c.image.jpg</t>
  </si>
  <si>
    <t>1223 Omaha Avenue</t>
  </si>
  <si>
    <t>68701</t>
  </si>
  <si>
    <t>Norfolk Police Department</t>
  </si>
  <si>
    <t>Officer responding to a disturbance call at a Super 8 Motel struggled with Murphy, finally using his taser against the suspect. Murphy died soon after at Faith Regional Health Services in Norfolk, NE.</t>
  </si>
  <si>
    <t>Nicholas Ryan Brickman</t>
  </si>
  <si>
    <t>https://localtvwhotv.files.wordpress.com/2015/01/nicholas-brickman.jpg</t>
  </si>
  <si>
    <t>SE 4th St. and Scott Ave.</t>
  </si>
  <si>
    <t>50309</t>
  </si>
  <si>
    <t>http://whotv.com/2015/01/07/suspect-shot-following-credit-union-robbery-chase/</t>
  </si>
  <si>
    <t>Joseph Caffarello</t>
  </si>
  <si>
    <t>http://3.bp.blogspot.com/-PzgUw4SlKcE/UWf4eOj4tXI/AAAAAAAAbQ0/n-THIgNEuWw/s1600/aaa.jpg</t>
  </si>
  <si>
    <t>6100 Scott Street</t>
  </si>
  <si>
    <t>Rosemont</t>
  </si>
  <si>
    <t>60018</t>
  </si>
  <si>
    <t>Rosemont Police Department</t>
  </si>
  <si>
    <t>Officer Rick Drehobl, an off-duty Rosemont Police Officer got involved in a domestic incident between his brother-in-law, Joseph Caffarello and his wife. The argument escalated into a car chase where Caffarello allegedly rammed his car into his brother-in-law's, which was carrying Caffarello's wife and his baby son. Officer Drehobl opened fire, killing Caffarello.</t>
  </si>
  <si>
    <t>http://www.dailyherald.com/article/20150107/news/150109140/</t>
  </si>
  <si>
    <t>Brian Pickett</t>
  </si>
  <si>
    <t>1600 East 123rd Street</t>
  </si>
  <si>
    <t>90059</t>
  </si>
  <si>
    <t>Pickett's mother called police to report he was under the influence and had threatened her. When police arrived, Pickett allegedly charged at them and was Tasered by a deputy. He stopped breathing when the paramedics arrived and was pronounced dead at area hospital.</t>
  </si>
  <si>
    <t>Leslie Sapp III</t>
  </si>
  <si>
    <t>https://cbspittsburgh.files.wordpress.com/2015/01/leslie_sapp.jpg?w=770</t>
  </si>
  <si>
    <t>101 Redlyn Street</t>
  </si>
  <si>
    <t>15210</t>
  </si>
  <si>
    <t>Marshals went to serve a rape warrant on the suspect who pointed a pellet gun at the officers and was killed at the scene.</t>
  </si>
  <si>
    <t>http://www.post-gazette.com/local/city/2015/01/06/Police-investigate-possible-shooting-in-Knoxville-Pittsburgh-Marshals-Service/stories/201501060150</t>
  </si>
  <si>
    <t>Patrick Wayne Wetter</t>
  </si>
  <si>
    <t>http://d1t3gia0in9tdj.cloudfront.net/photo/tributes/t/8/r/207x207/2697746/Patrick-Wetter-1421148943.jpg</t>
  </si>
  <si>
    <t>800 Howard St</t>
  </si>
  <si>
    <t>95206</t>
  </si>
  <si>
    <t>Wetter appeared to be intoxicated when he broke into a group home. Officers released a K9 on him when he did not comply with orders. Wetter stabbed the dog. Afterward Wetter reportedly raised his knife in a threatening way towards officers prompting the officers to shoot and kill Wetter.</t>
  </si>
  <si>
    <t>http://stockton-central.news10.net/news/news/411393-suspect-shot-killed-stockton-police-investigation-underway</t>
  </si>
  <si>
    <t>Brock Nichols</t>
  </si>
  <si>
    <t>http://d1t3gia0in9tdj.cloudfront.net/photo/tributes/t/8/r/207x207/2693108/Brock-Nichols-1420713958.jpg</t>
  </si>
  <si>
    <t>2388 E. Kansas Highway 4</t>
  </si>
  <si>
    <t>Assaria</t>
  </si>
  <si>
    <t>67416</t>
  </si>
  <si>
    <t>Saline</t>
  </si>
  <si>
    <t>Officers responded to a call from a woman concerned for the safety of her child. The officers arrived at the home of Nichols, who apparently had been drinking in violation of a court order. Nichols needed to go to the bathroom and was being escorted by deputies when he went into a dark room. One officer shot Nichols after turning on the light and seeing Nichols pointing a semi-automatic handgun at him.</t>
  </si>
  <si>
    <t>http://ksnt.com/2015/01/07/kansas-man-dies-after-officer-involved-shooting/</t>
  </si>
  <si>
    <t>Autumn Mae Steele</t>
  </si>
  <si>
    <t>http://www.prughfuneralservice.com/obituaries/uploads/OI804924920_201501091229180001editweb.jpg</t>
  </si>
  <si>
    <t>104 South Garfield Avenue</t>
  </si>
  <si>
    <t>Burlington</t>
  </si>
  <si>
    <t>52601</t>
  </si>
  <si>
    <t>Burlington Police Department</t>
  </si>
  <si>
    <t>Officers reported that they responded to a domestic dispute call, gunfire was exchanged, and one officer was injured, while Steele was killed.</t>
  </si>
  <si>
    <t>Ned Womack</t>
  </si>
  <si>
    <t>Jasper</t>
  </si>
  <si>
    <t>Pickens</t>
  </si>
  <si>
    <t>Pickens County Sheriff's Office</t>
  </si>
  <si>
    <t>Kenneth Arnold Buck</t>
  </si>
  <si>
    <t>http://www.gannett-cdn.com/-mm-/3221a1f017874e5965a167b7473dac7b6b71c14a/c=13-0-388-500&amp;r=537&amp;c=0-0-534-712/local/-/media/2015/01/06/Phoenix/Phoenix/635561464389412912-Kenneth-Buck.jpg</t>
  </si>
  <si>
    <t>E Knox Rd</t>
  </si>
  <si>
    <t>Chandler</t>
  </si>
  <si>
    <t>85225</t>
  </si>
  <si>
    <t>Chandler Police Department</t>
  </si>
  <si>
    <t>Buck was driving westbound on Knox Road when he slid open the truck's rear window and began firing at Chandler officers. Buck then brought the truck to a stop on Knox Road just east of Arizona Avenue and continued firing at officers Chandler police returned fire, striking Buck several times and killing him at the scene.</t>
  </si>
  <si>
    <t>http://www.azcentral.com/story/news/local/chandler/2015/01/06/chandler-police-fatal-shooting-knox-abrk/21327335/</t>
  </si>
  <si>
    <t>Michael Ray Rodriguez</t>
  </si>
  <si>
    <t>http://www.greeleytribune.com/csp/mediapool/sites/dt.common.streams.StreamServer.cls?STREAMOID=7XPJo1uiiyTLtmOdVXO$RM$daE2N3K4ZzOUsqbU5sYvoji2acwq_$FkzZ_K6t6dtWCsjLu883Ygn4B49Lvm9bPe2QeMKQdVeZmXF$9l$4uCZ8QDXhaHEp3rvzXRJFdy0KqPHLoMevcTLo3h8xh70Y6N_U_CryOsw6FTOdKL_jpQ-&amp;CONTENTTYPE=image/jpeg</t>
  </si>
  <si>
    <t>818 31st Street</t>
  </si>
  <si>
    <t>Evans</t>
  </si>
  <si>
    <t>80620</t>
  </si>
  <si>
    <t>Evans Police Department</t>
  </si>
  <si>
    <t>After receiving a call about a man outside with a gun, according to a statement from the Evans Police Department. When police arrived, officers allegedly ordered Rodriguez to drop the gun he was carrying. Rodriguez was shot at 11 times after he reportedly refused the order and raised his gun toward the officers in a threatening manner.</t>
  </si>
  <si>
    <t>http://www.thedenverchannel.com/news/local-news/man-killed-by-officer-outside-pool-hall-in-evans-identified-as-michael-ray-rodriguez</t>
  </si>
  <si>
    <t>Kenneth Brown</t>
  </si>
  <si>
    <t>http://www.killedbypolice.net/victims/150095.jpg</t>
  </si>
  <si>
    <t>300 East Harrison Ave</t>
  </si>
  <si>
    <t>Guthrie</t>
  </si>
  <si>
    <t>73044</t>
  </si>
  <si>
    <t>A trooper made a traffic stop on the subject for allegedly driving without headlights. After asking if he could search the car and being told no, the officer patted the subject down and found a handgun in his waistband. A struggle ensued and the subject was shot, succumbing to his injuries weeks later.</t>
  </si>
  <si>
    <t>http://www.news9.com/story/28012083/guthrie-teen-shot-by-ohp-trooper-dies-from-his-injuries</t>
  </si>
  <si>
    <t>Matthew Hoffman</t>
  </si>
  <si>
    <t>Valencia Street and 17th Street</t>
  </si>
  <si>
    <t>Matthew was shot and killed by San Francisco police outside a police station after brandishing a toy gun.</t>
  </si>
  <si>
    <t>http://www.insidebayarea.com/breaking-news/ci_27257662/san-francisco-police-responding-officer-involved-shooting</t>
  </si>
  <si>
    <t>Kauai</t>
  </si>
  <si>
    <t>Kauai Police Department</t>
  </si>
  <si>
    <t>John Paul Quintero</t>
  </si>
  <si>
    <t>https://lintvksnw.files.wordpress.com/2015/01/mug-shot-paul-quintero.jpg?w=132&amp;h=150</t>
  </si>
  <si>
    <t>500 N Oliver Ave</t>
  </si>
  <si>
    <t>67208</t>
  </si>
  <si>
    <t>The 23-year-old was shot twice by a Wichita police officer Saturday after reports of a violent disturbance involving a knife in the 500 block North Oliver in east Wichita. Quintero later died at Wesley Medical Center.</t>
  </si>
  <si>
    <t>http://www.kwch.com/news/local-news/officerinvolved-shooting-in-east-wichita/30519640</t>
  </si>
  <si>
    <t>Tim Elliott</t>
  </si>
  <si>
    <t>http://policekillings.info/wp-content/uploads/2015/01/tim-elliott.jpg</t>
  </si>
  <si>
    <t>600 E Island Lake Dr</t>
  </si>
  <si>
    <t>Shelton</t>
  </si>
  <si>
    <t>98584</t>
  </si>
  <si>
    <t>Mason County Sheriff's deputies say they received a 911 call around 9:30 .pm. from a family member of the man that he had just shot himself, but was still alive.When two deputies arrived at the home in the 600 block of E. Island Lake Drive, there was some sort of confrontation, and investigators say the deputy ended up shooting the man. He was pronounced dead at the scene.</t>
  </si>
  <si>
    <t>http://www.komonews.com/news/local/Wounded-suicidal-man-shot-dead-by-Mason-County-deputy-287411481.html</t>
  </si>
  <si>
    <t>Lewis Lee Lembke</t>
  </si>
  <si>
    <t>4519 S.W. Masters Loop</t>
  </si>
  <si>
    <t>97007</t>
  </si>
  <si>
    <t>Deputies responded to a call from the wife of the subject saying he was overdosing on alcohol. Having committed no crime, first responders left only to get a 911 call a few minutes later from his wife saying he was trying to kill her. The subject locked himself in the bathroom with a gun and was fatally shot by police.</t>
  </si>
  <si>
    <t>http://www.oregonlive.com/aloha/index.ssf/2015/01/aloha_man_fatally_shot_by_depu.html</t>
  </si>
  <si>
    <t>Savannah</t>
  </si>
  <si>
    <t>Roberto Fausto Ornelas</t>
  </si>
  <si>
    <t>39 NorthMarlin Avenue</t>
  </si>
  <si>
    <t>Key Largo</t>
  </si>
  <si>
    <t>33037</t>
  </si>
  <si>
    <t>Monroe County Sheriff's Office</t>
  </si>
  <si>
    <t>A county police spokesperson was quick to deny that the Tasering of Omelas, in his own bedroom in the early morning hours of New Year's Day, had anything to do with his death. He was put in a spit mask, cuffed, hobbled, and forcibly sedated. There was speculation that it might have been some new drug undetectable in blood tests.</t>
  </si>
  <si>
    <t>Barnstable</t>
  </si>
  <si>
    <t>Kevin Davis</t>
  </si>
  <si>
    <t>Eric Tyrone Forbes</t>
  </si>
  <si>
    <t>Northwest Seventh Avenue and 66th Street</t>
  </si>
  <si>
    <t>Miramar Police Department</t>
  </si>
  <si>
    <t>Martin Sanchez-Juarez</t>
  </si>
  <si>
    <t>2400 Briggs St</t>
  </si>
  <si>
    <t>Norman</t>
  </si>
  <si>
    <t>Norman Police Department</t>
  </si>
  <si>
    <t>The suspect, Martin Sanchez-Juarez, advanced on Glazier with a hammer, after repeated verbal commands to stop. After smashing the passenger-side rear view mirror of a police vehicle with the hammer, Glazier fired her pistol, striking Sanchez-Juarez three times.</t>
  </si>
  <si>
    <t>http://www.normantranscript.com/news/man-in-officer-involved-shooting-deceased/article_0f8b9cf8-906d-11e4-aefb-5be4b0e05c7c.html</t>
  </si>
  <si>
    <t>Mayra Cornejo</t>
  </si>
  <si>
    <t>Compton Boulevard and Willowbrook Avenue</t>
  </si>
  <si>
    <t>Compton</t>
  </si>
  <si>
    <t>Deputies gave the female several commands to drop the gun, however she did not comply. Fearing for the safety of the victim, that the female suspect would shoot and kill him, deputies fired at the female suspect striking her.</t>
  </si>
  <si>
    <t>Kaileb Cole Williams</t>
  </si>
  <si>
    <t>North Reserve Street</t>
  </si>
  <si>
    <t>Missoula</t>
  </si>
  <si>
    <t>Missoula County Sheriff's Office</t>
  </si>
  <si>
    <t>Kaileb was allegedly strangling his girlfriend in the car before the officer fired the lethal shot.</t>
  </si>
  <si>
    <t>http://missoulian.com/news/local/updated-missoula-officer-kills-suspect-after-domestic-violence-call-high/article_3cb67160-90fb-11e4-8cc0-bfd1af592464.html</t>
  </si>
  <si>
    <t>Ernest Lee Erwin</t>
  </si>
  <si>
    <t>Olive Hill</t>
  </si>
  <si>
    <t>Troopers and deputies saw the male with a handgun assaulting a female resident. The male then fired the handgun through a window toward officers. That is when we're told a Kentucky State Trooper fired one shot at the male, killing him.</t>
  </si>
  <si>
    <t>http://www.wowktv.com/story/27741437/a-domestic-violence-call-turns-into-fatal-officer-involved-shooting-in-carter-county-ky</t>
  </si>
  <si>
    <t>Jerame C. Reid</t>
  </si>
  <si>
    <t>http://media.nj.com/cumberland_impact/photo/jerame-c-reidjpg-94f859a88084d03d.jpg</t>
  </si>
  <si>
    <t>South Ave. and Henry St.</t>
  </si>
  <si>
    <t>Bridgeton</t>
  </si>
  <si>
    <t>08302</t>
  </si>
  <si>
    <t>Bridgeton Police Department</t>
  </si>
  <si>
    <t>Victim was exiting car with hands raised when he was shot by police - caught on dash cam video</t>
  </si>
  <si>
    <t>http://patch.com/new-jersey/tomsriver/video-cop-shooting-man-raised-hands-stirs-anger-south-jersey</t>
  </si>
  <si>
    <t>Joseph Anthony Pacini</t>
  </si>
  <si>
    <t>Drexel Hill</t>
  </si>
  <si>
    <t>Haverford Police Department</t>
  </si>
  <si>
    <t>A man was shot dead by police after they say he tried to run over several officers in Drexel Hill, Delaware County Tuesday night.</t>
  </si>
  <si>
    <t>Robert Earl Lawrence</t>
  </si>
  <si>
    <t>http://tftppull.freethoughtllc.netdna-cdn.com/wp-content/uploads/2015/01/Robert-Earl-Lawrence-800x430.png</t>
  </si>
  <si>
    <t>295 Jerry Drive</t>
  </si>
  <si>
    <t>Dothan</t>
  </si>
  <si>
    <t>36303</t>
  </si>
  <si>
    <t>Dothan Police Dept</t>
  </si>
  <si>
    <t>Lawrence, was attempting to turn over a stray animal at the Dothan City Animal shelter at around 12:30 p.m., but he allegedly became disorderly after he was told he couldn't leave the animal without showing identification. The shelter called police, an altercation ensued, and the deceased was shot once in the abdomen by the police officer.</t>
  </si>
  <si>
    <t>http://www.al.com/news/montgomery/index.ssf/2014/12/man_shot_by_dothan_police_offi.html#comments</t>
  </si>
  <si>
    <t>Timothy Edward West</t>
  </si>
  <si>
    <t>http://www.gannett-cdn.com/-mm-/286e085351884640997b3cf722cc4ec727327af1/c=0-1-258-345&amp;r=183&amp;c=0-0-180-238/local/-/media/2014/12/30/WTLV/WTLV/635555510586099023-momdad.PNG</t>
  </si>
  <si>
    <t>Old Moultrie Road and Kings Estate Road</t>
  </si>
  <si>
    <t>St. Augustine</t>
  </si>
  <si>
    <t>Timothy Edward West emerged from the home with a shotgun. West pointed his gun at Sgt. Priester and Deputy Butler and they shot him several times, killing him.</t>
  </si>
  <si>
    <t>Robert Battaglia</t>
  </si>
  <si>
    <t>Good View Drive</t>
  </si>
  <si>
    <t>Paradise</t>
  </si>
  <si>
    <t>Butte</t>
  </si>
  <si>
    <t>Knife-wielding suspect charged at deputies. Deputies shot him.</t>
  </si>
  <si>
    <t>Thomas Monts Jr.</t>
  </si>
  <si>
    <t>Safford</t>
  </si>
  <si>
    <t>Dallas County Sheriff's Department</t>
  </si>
  <si>
    <t xml:space="preserve">Thomas Monts Jr., was shot and killed during a shootout in Safford Monday morning after deputies responded to a domestic dispute call at his ex-wife's home. </t>
  </si>
  <si>
    <t>http://www.wsfa.com/story/27723843/sbi-investigating-fatal-officer-involved-shooting-in-dallas-county</t>
  </si>
  <si>
    <t>David Andre Scott</t>
  </si>
  <si>
    <t>5959 Fort Caroline Rd</t>
  </si>
  <si>
    <t>Daniel Gray</t>
  </si>
  <si>
    <t>1200 Oxbow Dr.</t>
  </si>
  <si>
    <t>Dewey</t>
  </si>
  <si>
    <t>86327</t>
  </si>
  <si>
    <t>Yavapai County Sheriff</t>
  </si>
  <si>
    <t>Gray was reported in by relative as suicidal, and armed with a gun. When deputies arrived, Gray refused to put gun down, and threatened two deputies with gun. Gray was shot by Deputy White, and transported to Yavapai Regional Medical Center, where he later died from his injury.</t>
  </si>
  <si>
    <t>http://dcourier.com/main.asp?SectionID=1&amp;SubSectionID=1086&amp;ArticleID=140129&amp;TM=48353.26</t>
  </si>
  <si>
    <t>Nicholas McGehee</t>
  </si>
  <si>
    <t>http://local.sltrib.com/charts/shootings/images/thumbs/35.jpg</t>
  </si>
  <si>
    <t>Aberdeen Lane and Merion Drive</t>
  </si>
  <si>
    <t>Stansbury Park</t>
  </si>
  <si>
    <t>84074</t>
  </si>
  <si>
    <t>Tooele</t>
  </si>
  <si>
    <t>Tooele County Sheriff's Office</t>
  </si>
  <si>
    <t>http://www.sltrib.com/news/1938044-155/shootings-by-police-vastly-underreported-in</t>
  </si>
  <si>
    <t>Darren Robert Kindgren</t>
  </si>
  <si>
    <t>94 Meadow Drive</t>
  </si>
  <si>
    <t>Holly Pond</t>
  </si>
  <si>
    <t>Cullman</t>
  </si>
  <si>
    <t>Cullman County Sheriff's Office</t>
  </si>
  <si>
    <t>When he came back outside, he was armed with an "edged weapon," and he ran toward the deputies. They warned him to stop several times, and when he drew near they tried to use a taser, then deadly force was used.</t>
  </si>
  <si>
    <t>Quentin Smith</t>
  </si>
  <si>
    <t>School Street and Pineda Street</t>
  </si>
  <si>
    <t>On Friday, deputy Richard Clements spotted Smith at an apartment complex on School and Pineda streets and called out to him, according to Ivey. Smith went into an apartment and threatened Clements with a gun, at which point Clements fired, killing Smith, Ivey said.</t>
  </si>
  <si>
    <t>Carlton Wayne Smith</t>
  </si>
  <si>
    <t>6204 Texas Ave</t>
  </si>
  <si>
    <t>Texas city</t>
  </si>
  <si>
    <t>Galveston</t>
  </si>
  <si>
    <t>Texas City Police Department</t>
  </si>
  <si>
    <t>Smith was shot five times after police said he was seen firing into a crowd outside H.T.'s Lounge early Friday morning.</t>
  </si>
  <si>
    <t>John Hebebrand</t>
  </si>
  <si>
    <t>http://woio.images.worldnow.com/images/6305071_G.jpg</t>
  </si>
  <si>
    <t>600 Archer Rd</t>
  </si>
  <si>
    <t>Bedford</t>
  </si>
  <si>
    <t>Bedford Police Department</t>
  </si>
  <si>
    <t>Bedford Police say the male resident causing the disturbance confronted officers. Officers say John Hebebrand, 43, admitted to having a weapon and kept reaching behind his back. In response, police say Hebebrand was first tased in an effort to get the situation under control. According to police, the taser was ineffective and he brandished a knife as he moved toward the officers. An officer then shot Hebebrand.</t>
  </si>
  <si>
    <t>Terrance Gilbert</t>
  </si>
  <si>
    <t>http://d1t3gia0in9tdj.cloudfront.net/photo/tributes/t/8/r/207x207/2686159/Terrance-Gilbert-1420664057.jpg</t>
  </si>
  <si>
    <t>400 East Marquette Road</t>
  </si>
  <si>
    <t>60637</t>
  </si>
  <si>
    <t>Officers responded to a call about a man threatening suicide. When they arrived Gilbert charged at officers with a knife, stabbing one officer in the vest. Gilbert started walking away, and officers went after him asking him to put down the knife. He ran at the officers again with the knife and was shot twice.</t>
  </si>
  <si>
    <t>http://chicago.suntimes.com/news-chicago/7/71/235659/cops-man-shot-police-lunching-officers-knife</t>
  </si>
  <si>
    <t>Omar Rodriguez</t>
  </si>
  <si>
    <t>Calhoun Street and Shadowrock Drive</t>
  </si>
  <si>
    <t>Coachella</t>
  </si>
  <si>
    <t>Rodriguez reportedly fought with the deputy who was in the area responding to a report of a "suspicious person" in the area. Rodriguez allegedly tried to take the deputy's baton and that's when she shot him.</t>
  </si>
  <si>
    <t>http://www.kesq.com/news/officer-involved-shooting-in-coachella/30399260</t>
  </si>
  <si>
    <t>Francisco Manuel Cesena</t>
  </si>
  <si>
    <t>720 E San Ysidro Blvd</t>
  </si>
  <si>
    <t>http://timesofsandiego.com/crime/2014/12/24/man-dies-tasered-fight-border-patrol/</t>
  </si>
  <si>
    <t>Gregory Marcus Gray</t>
  </si>
  <si>
    <t>2200 16th Street NE</t>
  </si>
  <si>
    <t>Police said Gray robbed two men at gunpoint at a bus stop in Southeast on Wednesday afternoon, and he matched the description given to officers who saw him a few minutes later and gave chase. Officers cornered him in a grassy cut between apartment buildings off Naylor Road and fired on him after they say he turned and shot at them.</t>
  </si>
  <si>
    <t>http://www.washingtonpost.com/local/person-is-shot-in-southeast-dc/2014/12/24/507f3a78-8bac-11e4-8ff4-fb93129c9c8b_story.html</t>
  </si>
  <si>
    <t>Robert J. Jenkins</t>
  </si>
  <si>
    <t>Highway 101</t>
  </si>
  <si>
    <t>Reedsport</t>
  </si>
  <si>
    <t>Reedsport Police Department</t>
  </si>
  <si>
    <t>An off-duty officer from the Oregon Department of Justice stopped and approached Jenkins, armed with a handgun, in his car. He was followed by a Reedsport Police officer and two Douglas County Sheriff's deputies. During their interactions with Jenkins, Oregon State Police say the Reedsport officer fired at him.</t>
  </si>
  <si>
    <t>Khamis Shatara</t>
  </si>
  <si>
    <t>320 Franklin Club Dr</t>
  </si>
  <si>
    <t>Delray Beach</t>
  </si>
  <si>
    <t>Palm Beach</t>
  </si>
  <si>
    <t>Shatara is the son of the deputy involved and believe the incident was domestic-related</t>
  </si>
  <si>
    <t>http://www.wptv.com/news/region-s-palm-beach-county/delray-beach/off-duty-palm-beach-county-sheriffs-deputy-involved-in-delray-beach-shooting</t>
  </si>
  <si>
    <t>http://d1t3gia0in9tdj.cloudfront.net/photo/tributes/t/8/r/207x207/2686234/Ned-Womack-1420565871.jpg</t>
  </si>
  <si>
    <t>1195 Bethany Road</t>
  </si>
  <si>
    <t>30143</t>
  </si>
  <si>
    <t>Pickens Sheriff's Office</t>
  </si>
  <si>
    <t>Pickens Sheriff's Office were dispatched to a residence located in the Bethany Moorings area in Pickens County on Christmas Eve. The deputies arrived at the residence and encountered a man with a gun in the yard of the residence. The man fired his weapon at the deputies and they returned fire, striking the suspect.</t>
  </si>
  <si>
    <t>Antonio Martin</t>
  </si>
  <si>
    <t>http://images.christianpost.com/full/79548/antonio-martin.jpg</t>
  </si>
  <si>
    <t>6800 North Hanley Road</t>
  </si>
  <si>
    <t>Berkeley</t>
  </si>
  <si>
    <t>Berkeley Police Department</t>
  </si>
  <si>
    <t>Police say Officer Andrew Weusthoff was conducting a routine business check at a gas station when he saw two men and approached them. One of the men allegedly pulled a handgun and pointed it at the officer. The officer fired several shots, striking and fatally wounding the man. Protesters dispute whether the man had a gun and point out that the officer had a body camera but was not wearing it at the time.</t>
  </si>
  <si>
    <t>James Arlen Monroe Jr.</t>
  </si>
  <si>
    <t>2804 Kathryn Ave</t>
  </si>
  <si>
    <t>James Monroe was shot and killed by Lakeland police officers Monday night after a five-hour standoff. James had just killed his wife.</t>
  </si>
  <si>
    <t>http://www.theledger.com/article/20141223/NEWS/141229713</t>
  </si>
  <si>
    <t>Jose Salas</t>
  </si>
  <si>
    <t>Espina St and Colorado Ave</t>
  </si>
  <si>
    <t xml:space="preserve">Las Cruces Police Department </t>
  </si>
  <si>
    <t>After about an hour and a half, the man in the storm drain emerged there, where he was shot and killed by authorities.</t>
  </si>
  <si>
    <t>http://www.lcsun-news.com/las_cruces-news/ci_27188392/breaking-lcpd-responds-apparent-officer-involved-shooting</t>
  </si>
  <si>
    <t>Austin Leake</t>
  </si>
  <si>
    <t>Landgraf Cove</t>
  </si>
  <si>
    <t>When officers responding to a call about a suicide attempt arrived at a home on Landgraf Cove, Leake started shooting at officers. Officers returned fire.</t>
  </si>
  <si>
    <t>http://www.ajc.com/news/news/gunman-dead-after-police-shootout-swat-standoff-in/njYQQ/</t>
  </si>
  <si>
    <t>Timothy Rundquist</t>
  </si>
  <si>
    <t>Highway 54</t>
  </si>
  <si>
    <t>Elbow Lake</t>
  </si>
  <si>
    <t>Minnesota State Police Department</t>
  </si>
  <si>
    <t>After an 11 mile chase, Rundquist's car hit stop sticks and ran head-on into a parked police car.</t>
  </si>
  <si>
    <t>Allen Berly Todd Jr.</t>
  </si>
  <si>
    <t>http://www.gannett-cdn.com/-mm-/7ceb864c11c2f9d12b4d9322a9a140fdda2819cf/c=3-0-357-472&amp;r=537&amp;c=0-0-534-712/local/-/media/2015/01/01/Cincinnati/Cincinnati/635557220828955389-toddnew.jpg</t>
  </si>
  <si>
    <t>Carol Ann Ln</t>
  </si>
  <si>
    <t>Independence</t>
  </si>
  <si>
    <t>41051</t>
  </si>
  <si>
    <t>Kenton County Sheriff's Office, Ludlow Police Department</t>
  </si>
  <si>
    <t>Todd was fleeing officers after being a suspected of robbery. When finally officers found Todd he was armed and did not comply with officers orders, resulting in Todd being shot and killed.</t>
  </si>
  <si>
    <t>http://www.cincinnati.com/story/news/2014/12/22/independence-northern-kentucky-shooting-carol-ann-lane/20758845/?from=global&amp;sessionKey=&amp;autologin=</t>
  </si>
  <si>
    <t>Nicholas Tyson Frazier</t>
  </si>
  <si>
    <t>Deer Lodge</t>
  </si>
  <si>
    <t>Powell</t>
  </si>
  <si>
    <t>Deer Lodge Police Department</t>
  </si>
  <si>
    <t>The officer was inside the home of a suspect who had threatened suicide when he shot and killed the person. Other details are unknown.</t>
  </si>
  <si>
    <t>http://mtstandard.com/news/local/deer-lodge-policeman-involved-in-shooting-death/article_ed696131-c760-518e-87b0-efe49d186270.html</t>
  </si>
  <si>
    <t>James Long</t>
  </si>
  <si>
    <t>http://www.doverpost.com/storyimage/DE/20141221/NEWS/141229971/AR/0/AR-141229971.jpg&amp;MaxW=315&amp;MaxH=315</t>
  </si>
  <si>
    <t>50 Greenway Square</t>
  </si>
  <si>
    <t>Dover</t>
  </si>
  <si>
    <t>Dover Police Department</t>
  </si>
  <si>
    <t>Officers evacuated neighboring residents and went into the apartment, at which point Long reportedly displayed what appeared to be a Colt semi-automatic handgun, he said. Officers later discovered that the weapon was a pellet gun. Officers fired two shots.</t>
  </si>
  <si>
    <t>William Everett Corson</t>
  </si>
  <si>
    <t>11800 Kemper Oaks Court</t>
  </si>
  <si>
    <t>Auburn</t>
  </si>
  <si>
    <t>The man was killed by an officer at around 4 p.m. after firing “hundreds of rounds” during a standoff that lasted more than five hours.</t>
  </si>
  <si>
    <t>Port Orange</t>
  </si>
  <si>
    <t>32127</t>
  </si>
  <si>
    <t>Port Orange Police Department</t>
  </si>
  <si>
    <t>Allen Locke</t>
  </si>
  <si>
    <t>http://d1jrw5jterzxwu.cloudfront.net/sites/default/files/article_media/allen_locke.jpg</t>
  </si>
  <si>
    <t>541 Pahasapa Road</t>
  </si>
  <si>
    <t>57701</t>
  </si>
  <si>
    <t>Pennington County Sheriff's Office</t>
  </si>
  <si>
    <t>Police were dispatched to remove an unwanted person from a house. Locke attacked with a knife, so they shot and killed him.</t>
  </si>
  <si>
    <t>http://indiancountrytodaymedianetwork.com/2014/12/22/native-american-man-who-attended-anti-police-brutality-rally-killed-police-next-day</t>
  </si>
  <si>
    <t>Terrell Beasley</t>
  </si>
  <si>
    <t>http://s27.postimg.org/kej8ctw3n/Terrell_Beasley.png</t>
  </si>
  <si>
    <t>3800 North 25th Street</t>
  </si>
  <si>
    <t>63107</t>
  </si>
  <si>
    <t>As the officer pulled to the curb in the 3800 block of North 25th Street and began to get out of his truck, Irons and Terrell drove alongside and someone in the car shot at the officer. Authorities said the officer returned fire and Terrell Beasley, 28, of the 4000 block of Cleveland Avenue, was killed during the shootout. Beasley's body was found a few hours later in a burning vehicle in the 700 block of Thrush Avenue in the Baden neighborhood. It's unclear whether Terrell was armed or the one who shot the officer.</t>
  </si>
  <si>
    <t>http://www.stltoday.com/news/local/crime-and-courts/recent-parolee-charged-in-shooting-of-off-duty-st-louis/article_da90c18a-2bb0-5767-a467-1ecf1f04d788.html</t>
  </si>
  <si>
    <t>Aaron Martin</t>
  </si>
  <si>
    <t>http://tbo.com/storyimage/TB/20141219/ARTICLE/141219194/AR/0/AR-141219194.jpg</t>
  </si>
  <si>
    <t>3252 Windfield Drive</t>
  </si>
  <si>
    <t>Holiday</t>
  </si>
  <si>
    <t>34691</t>
  </si>
  <si>
    <t>Pasco County Sheriff's Office</t>
  </si>
  <si>
    <t>Martin was suspected of beating his ex-wife and refused to let her and their son out of the house. Deputies entered the home, used a stun gun on him - with no effect - and then Martin charged at a deputies with a wooden stand, prmpting a deputy to shoot and kill him.</t>
  </si>
  <si>
    <t>http://tbo.com/pasco-county/pasco-deputy-shoots-man-during-domestic-call-20141219/</t>
  </si>
  <si>
    <t>Joshua G. Dawson</t>
  </si>
  <si>
    <t>400 W. Union Hills Dr</t>
  </si>
  <si>
    <t>When the second officer showed up, Dawson began throwing knives at him. That officer shot and wounded Dawson. He was taken to a hospital where he later died.</t>
  </si>
  <si>
    <t>Richard Fredrick Tis Mil Estrada</t>
  </si>
  <si>
    <t>http://www.krcrtv.com/image/view/-/30364270/highRes/3/-/maxw/240/-/5acyiy/-/richard-fredrick-estrada-3-jpg.jpg</t>
  </si>
  <si>
    <t>Willow Creek</t>
  </si>
  <si>
    <t>95573</t>
  </si>
  <si>
    <t>Humboldt</t>
  </si>
  <si>
    <t>Gunshot, Taser</t>
  </si>
  <si>
    <t>The boy, who was a Hoopa tribal member, crashed his car into a telephone pole at approx 2 a.m., CHP responded. Officer claims the boy attacked him with a machete, in the midst of a "good conversation." Officer shot him and went back to his car &amp; called for assistance. Second officer came to the scene and found the boy naked &amp; unarmed on the ground, bleeding out from gunshot wound and unresponsive. Tasered him a few times, and between the two officers and the help of two unnamed "good samaritans" they wrestled the boy into handcuffs. He died 10 minutes later, while waiting for an ambulance.</t>
  </si>
  <si>
    <t>http://lostcoastoutpost.com/2014/dec/19/chp-person-shot-and-killed-yesterday-confirmed-be/</t>
  </si>
  <si>
    <t>Brent Krout</t>
  </si>
  <si>
    <t>http://wthr.images.worldnow.com/images/6252453_G.jpg</t>
  </si>
  <si>
    <t>Paragon</t>
  </si>
  <si>
    <t>Morgan</t>
  </si>
  <si>
    <t>Indiana State Police Department</t>
  </si>
  <si>
    <t>When SWAT officers approached the car after a chase, they say Krout obeyed their order to get out. He opened the door, stood up in an aggressive tactical position towards the officers, raised his weapon at SWAT officers and was fired upon.</t>
  </si>
  <si>
    <t>Adam Padilla</t>
  </si>
  <si>
    <t>https://lintvkrqe.files.wordpress.com/2014/12/adam-padilla.jpg?w=510&amp;h=286&amp;crop=1</t>
  </si>
  <si>
    <t>7900 Central Ave SW</t>
  </si>
  <si>
    <t>87121</t>
  </si>
  <si>
    <t>After deputies pulled over Padilla there was a struggle between them. Deputies believed Padilla had a weapon leading deputies to shoot and kill Padilla. A weapon was recovered from the scene.</t>
  </si>
  <si>
    <t>http://krqe.com/2014/12/17/bcso-traffic-stop-ends-in-gunfire/</t>
  </si>
  <si>
    <t>Henry Castoreno</t>
  </si>
  <si>
    <t>1300 Hillcrest Dr</t>
  </si>
  <si>
    <t>One of the officers spotted the suspect and began chasing him. That's when the officer fired at least once shot. The second officer -- coming from a different direction -- also spotted the man and fired her weapon. Her shot hit the suspect, killing him.</t>
  </si>
  <si>
    <t>http://www.ksat.com/content/pns/ksat/news/2014/12/17/1-injured-in-officer-involved-shooting.html</t>
  </si>
  <si>
    <t>2220 97th Street South</t>
  </si>
  <si>
    <t>A well-known white supremacist was shot and killed after a confrontation with a deputy early Wednesday in Tacoma, investigators said.</t>
  </si>
  <si>
    <t>Cody Robert Healey</t>
  </si>
  <si>
    <t>http://www.gannett-cdn.com/-mm-/10d330ec5257309931739b9eb990b8f817e7f7ab/c=12-0-372-480&amp;r=537&amp;c=0-0-534-712/local/-/media/2014/12/17/Pensacola/Pensacola/635544236649610345-healey.jpg</t>
  </si>
  <si>
    <t>501 Cherokee Trail</t>
  </si>
  <si>
    <t>Pensacola</t>
  </si>
  <si>
    <t>Escambia</t>
  </si>
  <si>
    <t>Escambia County Sheriff's Office</t>
  </si>
  <si>
    <t>Beard tased Healey three times in an effort get him to stop resisting and comply with commands. Officers tased Healey two more times after he escaped them. Soon after, he became pale and died.</t>
  </si>
  <si>
    <t>William R. Osterlind</t>
  </si>
  <si>
    <t>5400 East Mossman Road</t>
  </si>
  <si>
    <t>The gunman then made a move toward the house, and an officer with the tactical unit who was ordered to prevent Osterlind from entering the home fired a single shot from a rifle, Crump said</t>
  </si>
  <si>
    <t>Johnathon Dean (JD) Mar</t>
  </si>
  <si>
    <t>Rice St &amp; I-694</t>
  </si>
  <si>
    <t>Shoreview</t>
  </si>
  <si>
    <t>55126</t>
  </si>
  <si>
    <t>Hennepin County Sheriff's Office, Brooklyn Center Police Department</t>
  </si>
  <si>
    <t>Maple Grove police said they found a man dead of a gunshot wound at a Maple Grove rest stop. An SUV driven by Mar was seen leaving the rest stop. Police said Mar led them on a high-speed chase that ended when Mar crashed into the median of I-694. Mar "emerged from the vehicle with a knife and began repeatedly stabbing himself," according to a statement from the BCA, which added that he "ignored repeated commands from law enforcement to stop and get on the ground." Investigators said that Mar then "charged" officers. Two officers fired.</t>
  </si>
  <si>
    <t>http://www.mprnews.org/story/2014/12/19/i-694-shooting</t>
  </si>
  <si>
    <t>Julius L. Pinson</t>
  </si>
  <si>
    <t>https://cascade.madmimi.com/promotion_images/0855/1636/original/jay2.jpg?1421295539</t>
  </si>
  <si>
    <t>3000 Jeffrey Drive</t>
  </si>
  <si>
    <t>Costa Mesa</t>
  </si>
  <si>
    <t>Costa Mesa Police Department</t>
  </si>
  <si>
    <t>Pinson resisted arrest and pulled out a gun, so the police shot him dead.</t>
  </si>
  <si>
    <t>Andrew Jay Worsfold</t>
  </si>
  <si>
    <t>2nd Avenue and Linn Street</t>
  </si>
  <si>
    <t>Marshalltown</t>
  </si>
  <si>
    <t>Marshalltown Police Department</t>
  </si>
  <si>
    <t>Officers were on routine patrol and encountered this suspect. At some point the suspect produced a handgun and shots were exchanged.</t>
  </si>
  <si>
    <t>Brandon Tate Brown</t>
  </si>
  <si>
    <t>6600 Frankford Avenue</t>
  </si>
  <si>
    <t>Police claim man was reaching for a loaded handgun when officers opened fire. "I would like to know why the police, law enforcement, has the right to kill instead of disabling," the victim's mother Tanya Dickerson said. "It has to stop, this is enough already."</t>
  </si>
  <si>
    <t>Xavier McDonald</t>
  </si>
  <si>
    <t>Murfreesboro Road</t>
  </si>
  <si>
    <t>A 16-year-old robbery suspect was shot and killed by police in Nashville when he opened fire on officers who tried to use a stun gun to subdue him, authorities said.</t>
  </si>
  <si>
    <t>Dennis Grisgby</t>
  </si>
  <si>
    <t>2700 Page Street</t>
  </si>
  <si>
    <t>Bowie</t>
  </si>
  <si>
    <t>http://www.arklatexhomepage.com/story/d/story/man-killed-in-officer-involved-shooting/87405/svnKdP8IhEqytXmsg3NyVA</t>
  </si>
  <si>
    <t>Sandra Simpson</t>
  </si>
  <si>
    <t>400 Crenshaw Drive</t>
  </si>
  <si>
    <t>A sergeant shot his wife before turning the gun on himself in a murder suicide. Midland Police say Sgt. Simpson most recently worked in the traffic division and had been employed with the department for more than nine years, also serving patrol and K-9 assignments throughout his career.</t>
  </si>
  <si>
    <t>Michael D. Sulton</t>
  </si>
  <si>
    <t>Highway 51 at Main Street</t>
  </si>
  <si>
    <t>Ridgeland</t>
  </si>
  <si>
    <t>Ridgeland Police Department</t>
  </si>
  <si>
    <t>Officers said Sulton rammed a patrol car, then got out and ran. Investigators said Sulton turned around and began firing at police. Three officers from Ridgeland and one from Madison returned fire, killing Sulton, according to police.</t>
  </si>
  <si>
    <t>Daniel Torres</t>
  </si>
  <si>
    <t>901 Black Cherry Drive</t>
  </si>
  <si>
    <t>St. Johns County Sheriff's Office</t>
  </si>
  <si>
    <t>Deputies approached this individual, who was attempting to go through the front window of the residence. At this point in time there was a confrontation between the two, and the deputy fired four or five times. Deputies claim the suspect had something in his hand.</t>
  </si>
  <si>
    <t>http://www.actionnewsjax.com/news/news/local/one-person-dead-shooting-st-johns-county/njSMd/</t>
  </si>
  <si>
    <t>Charles Gluchacki</t>
  </si>
  <si>
    <t>25000 Highway 74</t>
  </si>
  <si>
    <t>Perris</t>
  </si>
  <si>
    <t>Charles allegedly kicked in the door of the residence where an elderly couple lives. Deputies said they contacted the suspect when they arrived on scene, and an officer involved shooting occurred.</t>
  </si>
  <si>
    <t>http://losangeles.cbslocal.com/2014/12/14/suspect-killed-in-deputy-involved-shooting-in-perris/</t>
  </si>
  <si>
    <t>Michael Rodriguez</t>
  </si>
  <si>
    <t>S.W. 6th and Buchanan</t>
  </si>
  <si>
    <t>The suspect was actively pointing the handgun at bystanders and at police on the scene. Officers repeatedly asked the suspect to drop the weapon. The suspect refused these orders, and was then shot by officers on the scene.</t>
  </si>
  <si>
    <t>http://cjonline.com/news/2014-12-13/man-pointing-gun-police-bystanders-fatally-wounded-tpd-officers</t>
  </si>
  <si>
    <t>Randall Gordon</t>
  </si>
  <si>
    <t>Ernest McMahan Road</t>
  </si>
  <si>
    <t>Sevierville</t>
  </si>
  <si>
    <t>Sevier</t>
  </si>
  <si>
    <t>Sevierville Police Department</t>
  </si>
  <si>
    <t>After more than an hour, officers attempted to apprehend the man from his car. The man reportedly responded by pointing a pistol at officers and was in turn shot by Akers.</t>
  </si>
  <si>
    <t>Logan Patrick Hall</t>
  </si>
  <si>
    <t>14 Plaza Dr</t>
  </si>
  <si>
    <t>Mount Vernon Police Department</t>
  </si>
  <si>
    <t>Three officers were responding to a domestic dispute at the time when one of them shot and killed Logan Hall.</t>
  </si>
  <si>
    <t>http://www.10tv.com/content/stories/2014/12/13/mount-vernon-ohio--one-person-dies-in-mount-vernon-police-involved-shooting.html</t>
  </si>
  <si>
    <t>Thurrell Jowers</t>
  </si>
  <si>
    <t>http://4cqn6ibohco22tgqh1m974yh.wpengine.netdna-cdn.com/wp-content/uploads/2014/12/IMG_22807138364158.jpeg</t>
  </si>
  <si>
    <t>800 Lester St</t>
  </si>
  <si>
    <t>Poplar Bluff</t>
  </si>
  <si>
    <t>63901</t>
  </si>
  <si>
    <t>Butler</t>
  </si>
  <si>
    <t>Poplar Bluff Police Departmnet</t>
  </si>
  <si>
    <t>Jowers was suspected of stabbing somebody. When he was confronted by officers he didn't comply with orders to drop the knife and then reportedly charged officers - resulting in officers shooting and killing him.</t>
  </si>
  <si>
    <t>http://www.kfvs12.com/story/27616169/victim-identified-after-officer-involved-shooting-in-poplar-bluff</t>
  </si>
  <si>
    <t>Brandon Atencio</t>
  </si>
  <si>
    <t>http://ak-cache.legacy.net/legacy/images/cobrands/canoncitydailyrecord/photos/pmp_370164_12152014_20141215.jpgx?w=130&amp;h=180&amp;option=1&amp;v=0x000000002ebe3596</t>
  </si>
  <si>
    <t>N Orchard Ave</t>
  </si>
  <si>
    <t>Canon City</t>
  </si>
  <si>
    <t>Canon City Police Department</t>
  </si>
  <si>
    <t>"Police say the man, identified as Atencio, at first tried to run away. Stage and Gautreaux chased him down the residential street. Suddenly, the chase took a deadly turn. "He dropped down on his knees, he took out [a] box cutter, placed it to his throat and began to cut his throat," said Canon City Police Chief Paul Schultz.In a media conference on Friday, Schultz defended Cpl. Stage claiming Stage was trying to talk Atencio out of it. "As [Atencio] stood up, he yelled an expletive, 'Eff this' and started to charge towards Corporal Stage with the box cutter," said Schultz. Stage shot his firearm an unknown amount of times and hit Atencio twice in the chest."</t>
  </si>
  <si>
    <t>Anthony Landi</t>
  </si>
  <si>
    <t>http://media2.wptv.com/photo/2014/12/12/wptv-anthony-landi_1418424047208_10966064_ver1.0_640_480.jpg</t>
  </si>
  <si>
    <t>4123 Northlake Blvd</t>
  </si>
  <si>
    <t>Palm Beach Gardens</t>
  </si>
  <si>
    <t>33410</t>
  </si>
  <si>
    <t>Palm Beach Gardens Police Department</t>
  </si>
  <si>
    <t>"Palm Beach Gardens police say a staff member at the motel called 911 after the suspect told the front desk clerk he had a gun and asked her to call the police. According to officials, when officers arrived at the scene Landi raised his gun and pointed it at the officers. Three police officers returned fire. The suspect died on scene."</t>
  </si>
  <si>
    <t>http://www.wptv.com/news/region-n-palm-beach-county/palm-beach-gardens/fatal-shooting-outside-palm-beach-gardens-motel</t>
  </si>
  <si>
    <t>Travis Faison</t>
  </si>
  <si>
    <t>http://www.wral.com/news/local/video/14265929/</t>
  </si>
  <si>
    <t>600 Magnolia St</t>
  </si>
  <si>
    <t>Sanford</t>
  </si>
  <si>
    <t>27330</t>
  </si>
  <si>
    <t>Lee</t>
  </si>
  <si>
    <t>Thomas Edward Brazeail</t>
  </si>
  <si>
    <t>Killarney Lane</t>
  </si>
  <si>
    <t>Wildomar</t>
  </si>
  <si>
    <t>92595</t>
  </si>
  <si>
    <t>http://www.pe.com/articles/chase-756069-wildomar-baxter.html</t>
  </si>
  <si>
    <t>Calvin Peters</t>
  </si>
  <si>
    <t>770 Eastern Parkway</t>
  </si>
  <si>
    <t>11213</t>
  </si>
  <si>
    <t>Man attacked student with knife. At first put knife down when confronted by police, but then picked it back up and charged at police.</t>
  </si>
  <si>
    <t>http://www.nydailynews.com/new-york/nyc-crime/student-stabbed-chabad-lubavitch-crown-heights-article-1.2038761</t>
  </si>
  <si>
    <t>John Laco</t>
  </si>
  <si>
    <t>Lake Station</t>
  </si>
  <si>
    <t>46405</t>
  </si>
  <si>
    <t>Lake Station Police Department</t>
  </si>
  <si>
    <t>http://www.google.com/imgres?imgurl=http://bloximages.chicago2.vip.townnews.com/nwitimes.com/content/tncms/assets/v3/editorial/3/16/3162ebc0-a676-538d-8247-f755bf3906b6/548789c5e64df.preview-620.jpg&amp;imgrefurl=http://www.nwitimes.com/news/local/lake/neighbors-shocked-by-laco-s-shooting-death/article_4ce790d3-8105-56f3-8d98-75cd1bff139c.html&amp;h=826&amp;w=620&amp;tbnid=zXfbm0vM9R6pPM:&amp;zoom=1&amp;docid=Ij2cZ6aILoQ3VM&amp;ei=CpLeVPTNGsSrNvDOg6gJ&amp;tbm=isch&amp;client=opera&amp;ved=0CCMQMygBMAE</t>
  </si>
  <si>
    <t>1969 Central Avenue</t>
  </si>
  <si>
    <t>"Soon after John Laco fired a shotgun in the parking lot of the Lake Station municipal complex on Tuesday morning, three officers said they arrived to find him sitting in his car, pointing the 16-gauge shotgun barrel out of the window. After being instructed to drop his weapon, police say Laco stepped out of the vehicle and pointed the weapon at the officers, who fired multiple times."</t>
  </si>
  <si>
    <t>http://abc7chicago.com/news/armed-man-84-fatally-shot-by-police-in-lake-station-ind/428887/</t>
  </si>
  <si>
    <t>Christopher Bernard Doss</t>
  </si>
  <si>
    <t>508 Roosevelt Ave.</t>
  </si>
  <si>
    <t>78210</t>
  </si>
  <si>
    <t>Police were serving a warrant on a homicide suspect when he reached for his gun, resulting in a deputy shooting him.</t>
  </si>
  <si>
    <t>http://www.ksat.com/content/pns/ksat/news/2014/12/08/police-respond-to-officer-involved-shooting.html</t>
  </si>
  <si>
    <t>Randall Minier Jr.</t>
  </si>
  <si>
    <t>https://mgtvwlns.files.wordpress.com/2014/12/minierfb.jpg?w=1268</t>
  </si>
  <si>
    <t>2600 West Kalamazoo Street</t>
  </si>
  <si>
    <t>Lansing Township</t>
  </si>
  <si>
    <t>Ingham</t>
  </si>
  <si>
    <t>Lansing Township Police Department</t>
  </si>
  <si>
    <t>Washington said Minier had his hands raised with the gun in the air, "Like, 'I got a gun on me.' He was showing them."</t>
  </si>
  <si>
    <t>Jerry Demonte Nowlin</t>
  </si>
  <si>
    <t>http://cdn2.newsok.biz/cache/w300-522a516807e2d7e155a8e86dd6fca795.jpg</t>
  </si>
  <si>
    <t>2502 N Kelley Ave</t>
  </si>
  <si>
    <t>73111</t>
  </si>
  <si>
    <t>OKC PD tried to pull over a guy in a vehicle. The guy drove for a couple of blocks and crashed into the fence of an apartment complex. He exited the vehicle and ran through the complex. Officers gave chase and shot the man after he brandished a firearm at them, OKC PD claims.</t>
  </si>
  <si>
    <t>http://newsok.com/article/5373998</t>
  </si>
  <si>
    <t>Joshua David Merritt</t>
  </si>
  <si>
    <t>https://ncflindependent.files.wordpress.com/2014/12/merritt.jpg?w=300&amp;h=225</t>
  </si>
  <si>
    <t>Yulee</t>
  </si>
  <si>
    <t>32097</t>
  </si>
  <si>
    <t>Nassau</t>
  </si>
  <si>
    <t>Nassau County Sheriff's Office</t>
  </si>
  <si>
    <t>Police responding to a number of 911 man-with-a-gun calls found Merritt on a porch with a handgun. Police fatally shot him, but initially would not disclose how many deputies were at the scene, how many shots were fired, or other details.</t>
  </si>
  <si>
    <t>http://ncflindependent.com/2014/12/08/fatal-shooting-by-sheriffs-deputy-under-investigation-by-fdle/</t>
  </si>
  <si>
    <t>Guadalupe Ochoa-Manzo</t>
  </si>
  <si>
    <t>Springfield Street</t>
  </si>
  <si>
    <t>94603</t>
  </si>
  <si>
    <t>San Leandro Police Department</t>
  </si>
  <si>
    <t>Shot dead by San Leandro police after she allegedly rammed several police cars at the end of a chase.</t>
  </si>
  <si>
    <t>http://www.sfgate.com/crime/article/Woman-shot-dead-by-San-Leandro-police-IDd-5964308.php</t>
  </si>
  <si>
    <t>Thomas McGinty</t>
  </si>
  <si>
    <t>3300 W. 111th St.</t>
  </si>
  <si>
    <t>The confrontation began with a fight between two patrons at the bar.  Thomas McGinty, pulled a gun and shot the other man. Then, the off-duty sergeant drew his service gun and ordered McGinty to drop his weapon. When McGinty did not comply, the officer shot him.</t>
  </si>
  <si>
    <t>http://www.chicagotribune.com/news/local/breaking/chi-chicago-police-shooting-mount-greenwood-20141207-story.html</t>
  </si>
  <si>
    <t>Anthony Moore</t>
  </si>
  <si>
    <t>http://www.reviewjournal.com/sites/default/files/styles/large/public/field/media/web1_moore.jpg?itok=FQnuUsUA</t>
  </si>
  <si>
    <t>3700 W Flamingo Rd</t>
  </si>
  <si>
    <t xml:space="preserve">Detectives who confronted the suspect were trying to arrest him. Police first used a Taser, and when the suspect went for his waistband, an officer fired his weapon. A gun was found on the man. </t>
  </si>
  <si>
    <t>John Bonnell Snyder</t>
  </si>
  <si>
    <t>http://www.wcti12.com/image/view/-/30116346/medRes/1/-/maxh/360/maxw/640/-/mbg59z/-/1208-john-snyder--web--jpg.jpg</t>
  </si>
  <si>
    <t>106 Camelia Drive</t>
  </si>
  <si>
    <t>Trent Woods</t>
  </si>
  <si>
    <t>28562</t>
  </si>
  <si>
    <t>Craven</t>
  </si>
  <si>
    <t>Trent Woods Police Department</t>
  </si>
  <si>
    <t>Trent Woods police officers were attempting to serve misdemeanor larceny warrants to Snyder when he pulled out a gun. The officers then opened fire, killing Snyder.</t>
  </si>
  <si>
    <t>http://www.wcti12.com/news/officer-involved-in-shooting-under-investigation/30105822</t>
  </si>
  <si>
    <t>David Scott Wear</t>
  </si>
  <si>
    <t>Hollywood Boulevard and North Highland Avenue</t>
  </si>
  <si>
    <t>When they arrived on scene, officers found a man armed with a knife. When he saw the officers, he approached them and an office- involved shooting occurred.</t>
  </si>
  <si>
    <t>Pepper Spray</t>
  </si>
  <si>
    <t>Joseph Glenn Folsom Jr.</t>
  </si>
  <si>
    <t>2217 Blue Heron Ln</t>
  </si>
  <si>
    <t>Kershaw</t>
  </si>
  <si>
    <t>U.S. Marshals Service</t>
  </si>
  <si>
    <t>U.S. Marshals went to 61-year-old Joseph Glenn Folsom Jr.'s home near Lake Wateree when he failed to report to prison. Folsom was convicted in June of interstate transportation of stolen money. Once officers went inside inside the home, shots were fired, and Folsom was killed.</t>
  </si>
  <si>
    <t>Alejandro Noel Cordero Rivera</t>
  </si>
  <si>
    <t>http://www.mynews13.com/content/dam/news/images/2014/12/1/orange-alejandro-noel-cordero-rivera-mug-120514.JPG</t>
  </si>
  <si>
    <t>1100 Soria Avenue</t>
  </si>
  <si>
    <t>32807</t>
  </si>
  <si>
    <t>Local police responding to a burglary call found Cordero Rivera sitting in his car in the driveway. Officers approached, saw a weapon, and fatally shot him.</t>
  </si>
  <si>
    <t>http://www.mynews13.com/content/news/cfnews13/news/article.html/content/news/articles/cfn/2014/12/4/englewood_elementary.html</t>
  </si>
  <si>
    <t>Raymond Keith Martinez</t>
  </si>
  <si>
    <t>http://www.obitsforlife.com/uploaded-images/converted/468305-54939dede5ee4-shrink-x180.jpg</t>
  </si>
  <si>
    <t>N 7th St &amp; Oakland St</t>
  </si>
  <si>
    <t>West Monroe</t>
  </si>
  <si>
    <t>71291</t>
  </si>
  <si>
    <t>Ouachita</t>
  </si>
  <si>
    <t>West Monroe Police Department</t>
  </si>
  <si>
    <t>Raymond Keith Martinez was shot in front of a convenience store by West Monroe Police Officer Jody LeDoux. Mr. Martinez, believed to be homeless at the time of his death, was a known personality in West Monroe; he had a prior arrest for an incident where he walked into and then directed traffic while intoxicated.</t>
  </si>
  <si>
    <t>Charged with felony negligent homicide</t>
  </si>
  <si>
    <t>Karin S. Moller</t>
  </si>
  <si>
    <t>http://www.fatalencounters.org/wp-content/uploads/2013/10/KarenSueMoller.jpg</t>
  </si>
  <si>
    <t>Ogunquit Road</t>
  </si>
  <si>
    <t>South Berwick</t>
  </si>
  <si>
    <t>03908</t>
  </si>
  <si>
    <t>South Berwick Police Department, York Police Department</t>
  </si>
  <si>
    <t>Moller was fatally shot Thursday afternoon about a quarter-mile from the small house she shared with her father, Ronald. She had threatened to harm herself in a 30-minute telephone call to a medical facility and warned she had a gun. When she tried to drive away from the house, police used a spike mat to stop her car. As officers from South Berwick and York approached the car, she got out, pointed a gun at them and was shot, police said.</t>
  </si>
  <si>
    <t>https://www.centralmaine.com/2014/12/05/south-berwick-york-police-identify-officers-involved-in-fatal-shooting/</t>
  </si>
  <si>
    <t>William Lee Honea</t>
  </si>
  <si>
    <t>http://kten.images.worldnow.com/images/6145895_G.jpg</t>
  </si>
  <si>
    <t>1516 Highway 271 South</t>
  </si>
  <si>
    <t>Hugo Police Department</t>
  </si>
  <si>
    <t xml:space="preserve">Two Hugo Police Officers and two Choctaw County Sheriff's Deputies fired their weapons after William Lee Honea exited the stolen pickup and raised a rifle at officers. </t>
  </si>
  <si>
    <t>http://www.kten.com/story/27551869/suspect-shot-and-killed-outside-choctaw-casino-in-grant-okla</t>
  </si>
  <si>
    <t>Isaac Lee Ricks</t>
  </si>
  <si>
    <t>600 Wall St</t>
  </si>
  <si>
    <t xml:space="preserve">LAPD officer responding to a disturbance call in the 600 block of Wall Street heard screaming upon their arrival. As they entered the unit, they observed a male suspect stabbing a female victim. An officer-involved shooting ensued. </t>
  </si>
  <si>
    <t>http://abc7.com/news/lapd-kills-armed-man-after-he-stabs-woman/419552/</t>
  </si>
  <si>
    <t>Gilbert Reyna</t>
  </si>
  <si>
    <t>6033 Camp Bowie Blvd</t>
  </si>
  <si>
    <t>A police officer late Tuesday fatally shot a robbery suspect who charged at officers with a baseball bat and screwdriver, police said.</t>
  </si>
  <si>
    <t>Lincoln Price</t>
  </si>
  <si>
    <t>NW 12th and Rockwell</t>
  </si>
  <si>
    <t>A traffic stop leads to a deadly shootout with Oklahoma City police.</t>
  </si>
  <si>
    <t>Rumain Brisbon</t>
  </si>
  <si>
    <t>http://www.gannett-cdn.com/-mm-/71e0cd988bb75a05f05e8307598e50b8f9bace51/c=0-0-360-480&amp;r=537&amp;c=0-0-534-712/local/-/media/Phoenix/Phoenix/2014/12/04/635532944352170263-Rumain-Brisbon-w-child.jpg</t>
  </si>
  <si>
    <t>15400 North 25th Avenue</t>
  </si>
  <si>
    <t>85023</t>
  </si>
  <si>
    <t>Police looking for a burglary suspect approached Brisbon. The suspect fled on foot. When caught Brisbon struggled with the officer. The suspect reached into his pocket. The officer felt what he believed to be a gun in the suspect's pocket. When he could no longer control Brisbon he fired two shots. The item in Brisbon's pocket turned out to be a bottle of oxycodone pills.</t>
  </si>
  <si>
    <t>http://www.azcentral.com/story/news/local/phoenix/2014/12/03/phoenix-police-officer-shooting-greenway-abrk/19837919/</t>
  </si>
  <si>
    <t>William Mark Jones</t>
  </si>
  <si>
    <t>http://www.revelsfh.com/obituaries/uploads/OI704925068_williamjones001.jpg</t>
  </si>
  <si>
    <t>1400 Snipes Road</t>
  </si>
  <si>
    <t>Red Springs</t>
  </si>
  <si>
    <t>Robeson</t>
  </si>
  <si>
    <t>Robeson County Sheriff's Office</t>
  </si>
  <si>
    <t>Authorities said Jones was shirtless, walking erratically and bleeding. The deputies used a stun gun on Jones after authorities said he was uncooperative. Jones then died.</t>
  </si>
  <si>
    <t>http://www.wncn.com/story/27530139/man-dies-after-being-shot-with-stun-gun-by-deputies</t>
  </si>
  <si>
    <t>Fiyaz Hussain</t>
  </si>
  <si>
    <t>3300 Pebble Trace Drive</t>
  </si>
  <si>
    <t>The deputies were approaching when the man suddenly jumped up between the two homes and began shooting. The training officer fired back.</t>
  </si>
  <si>
    <t>Rosendo Gino Rodriquez</t>
  </si>
  <si>
    <t>2700 West Washington Ave</t>
  </si>
  <si>
    <t>Rosendo Gino Rodriquez, 49, was fatally shot by MPD officers after he allegedly swung a machete at the police officers who had entered the home</t>
  </si>
  <si>
    <t>http://www.mrt.com/top_stories/article_50971656-797e-11e4-bb5a-17fa97072faa.html</t>
  </si>
  <si>
    <t>John Pepper</t>
  </si>
  <si>
    <t>http://whns.images.worldnow.com/images/6120521_G.jpg</t>
  </si>
  <si>
    <t>Brogan Avenue</t>
  </si>
  <si>
    <t>29625</t>
  </si>
  <si>
    <t>Anderson County Sheriff's Office</t>
  </si>
  <si>
    <t>Sheriff's Office responded to a report of an angry man holing up in his home with a gun(s). Expressed much anger toward responding deputies. Displayed handgun, threatened to shoot. Killed by deputy with rifle.</t>
  </si>
  <si>
    <t>http://www.independentmail.com/news/sheriff-releases-police-report-on-fatal-shooting_65167299</t>
  </si>
  <si>
    <t>Jennifer Bond</t>
  </si>
  <si>
    <t>http://media2.wcpo.com/photo/2014/12/02/WCPO_Jennifer_Bond_1417557520687_10301756_ver1.0_640_480.jpg</t>
  </si>
  <si>
    <t>Violet Road</t>
  </si>
  <si>
    <t>Crittenden</t>
  </si>
  <si>
    <t>State troopers responded to a disorderly conduct call, finding and subduing Jennifer Bond with a taser. Bond became breathless.</t>
  </si>
  <si>
    <t>http://www.wcpo.com/news/region-northern-kentucky/nky-sheriffs-department-confirms-woman-died-after-taser-used-to-subdue-her</t>
  </si>
  <si>
    <t>Fernando Escovedo</t>
  </si>
  <si>
    <t>https://encrypted-tbn2.gstatic.com/images?q=tbn:ANd9GcT62pAc2ENs1fuav8vbPYLyYyPCNEma0hMrZFanZh67D8kiR7AIwQ</t>
  </si>
  <si>
    <t>23000 Marbella Ave</t>
  </si>
  <si>
    <t>Carson</t>
  </si>
  <si>
    <t>90745</t>
  </si>
  <si>
    <t>[Escovedo] was wielding a steak knife when he confronted one of the deputies and was shot and killed.</t>
  </si>
  <si>
    <t>http://www.latimes.com/local/lanow/la-me-ln-fatal-shooting-steak-knife-20141130-story.html</t>
  </si>
  <si>
    <t>Tabanico “Tommy” Ysidro Pirtle</t>
  </si>
  <si>
    <t>http://bloximages.chicago2.vip.townnews.com/elkodaily.com/content/tncms/assets/v3/editorial/a/1e/a1e01b2a-c74f-58a7-871d-4ae888f47699/547fad65ca8bb.image.jpg?resize=620%2C716</t>
  </si>
  <si>
    <t>305 Juniper St</t>
  </si>
  <si>
    <t>Elko</t>
  </si>
  <si>
    <t>89801</t>
  </si>
  <si>
    <t>Elko Police Department</t>
  </si>
  <si>
    <t>Pirtle was in a domestic situation, struggling over a semi-automatic weapon with others. When an officer arrived Pirtle retrieved the weapon, ignored officer's commands to drop the weapon. Pirtle was subsequently shot.</t>
  </si>
  <si>
    <t>http://elkodaily.com/news/more-details-released-on-elko-police-shooting-death/article_86043864-8e37-5ce1-b361-d059fceaeff5.html</t>
  </si>
  <si>
    <t>Samuel Torres</t>
  </si>
  <si>
    <t>5320 Schaefer Road</t>
  </si>
  <si>
    <t>Dearborn</t>
  </si>
  <si>
    <t>48126</t>
  </si>
  <si>
    <t>Dearborn Police Department</t>
  </si>
  <si>
    <t>Police shot and killed the man who they say beat a woman to death with a hammer earlier at a home on St. Lawrence Street. The man's daughter told police her father did it. Detroit police officers trailed the man to Macy's Cleaners in Dearborn. Police say he pulled a gun on officers, who then shot and killed him inside the business.</t>
  </si>
  <si>
    <t>http://www.arabamericannews.com/news/news/id_9798/Detroit-Police-kill-man-inside-Macys-Dry-Cleaners,-suspect-allegedly-targeted-owner.html</t>
  </si>
  <si>
    <t>Myles Roughsurface</t>
  </si>
  <si>
    <t>http://extras.mnginteractive.com/live/media/site567/2014/1201/20141201__TDT-L-SHOOTER-1202~p2_200.jpg</t>
  </si>
  <si>
    <t>Rd 3267</t>
  </si>
  <si>
    <t>Aztec</t>
  </si>
  <si>
    <t>87410</t>
  </si>
  <si>
    <t>San Juan</t>
  </si>
  <si>
    <t>Roughsurface was suspected of pointing a gun at someone. Officers searched for Roughsurface and saw a silhouette of a man who had a gun. An officer fired at the silhouette. Roughsurface was the one with the gun who was shot and killed by officers.</t>
  </si>
  <si>
    <t>http://www.abqjournal.com/504759/news/search-warrant-identifies-nm-state-police-officer-involved-in-fridays-fatal-shooting.html</t>
  </si>
  <si>
    <t>Larry Steven McQuilliams</t>
  </si>
  <si>
    <t>http://a5.img.talkingpointsmemo.com/image/upload/w_652/pmof8ooyzths2u47dyo3.jpg</t>
  </si>
  <si>
    <t>410 Baylor Street</t>
  </si>
  <si>
    <t>78703</t>
  </si>
  <si>
    <t>McQuilliams fired shots and tried to burn down the Mexican consulate building. Austin police ultimately shot and killed McQuilliams, ending the rampage.</t>
  </si>
  <si>
    <t>http://www.austinchronicle.com/news/2014-12-05/shooter-had-hate-in-his-heart/</t>
  </si>
  <si>
    <t>Mark Allan Bartlett</t>
  </si>
  <si>
    <t>http://wlbt.images.worldnow.com/images/6067515_G.jpg</t>
  </si>
  <si>
    <t>3127 Greenfield Road</t>
  </si>
  <si>
    <t>39208</t>
  </si>
  <si>
    <t>Rankin</t>
  </si>
  <si>
    <t>Pearl Police Department</t>
  </si>
  <si>
    <t>Mark Allan Bartlett, 42, was killed after police say he brandished a gun at an officer in a threatening way when police were called out to a domestic disturbance.</t>
  </si>
  <si>
    <t>http://www.msnewsnow.com/story/27504542/officer-involved-shooting-in-pearl-leaves-one-man-dead</t>
  </si>
  <si>
    <t>Matthew Cormier</t>
  </si>
  <si>
    <t>9641 Magnolia Blossom Drive</t>
  </si>
  <si>
    <t>Westchase</t>
  </si>
  <si>
    <t>33626</t>
  </si>
  <si>
    <t>Cormier barricaded himself in his condominium for more than five hours and took several pot shots at surrounding deputies, one of which struck a patrol car. Police had responded to an early afternoon call from family members about his welfare. When Cormier appeared to be fixing on a target, SWAT members fatally shot him.</t>
  </si>
  <si>
    <t>http://www.myfoxtampabay.com/story/27497868/deputies-kill-man-barricaded-in-westchase-condo</t>
  </si>
  <si>
    <t>Daniel Cedar Saulsbury</t>
  </si>
  <si>
    <t>http://www.pressdemocrat.com/csp/mediapool/sites/dt.common.streams.StreamServer.cls?STREAMOID=XFK9FY_3ldutHKUZaiDUK8$daE2N3K4ZzOUsqbU5sYszM4x7eojRZjPy7au$Sut9WCsjLu883Ygn4B49Lvm9bPe2QeMKQdVeZmXF$9l$4uCZ8QDXhaHEp3rvzXRJFdy0KqPHLoMevcTLo3h8xh70Y6N_U_CryOsw6FTOdKL_jpQ-&amp;CONTENTTYPE=image/jpeg</t>
  </si>
  <si>
    <t>Mill Street</t>
  </si>
  <si>
    <t>Point Arena</t>
  </si>
  <si>
    <t>95468</t>
  </si>
  <si>
    <t>Mendocino</t>
  </si>
  <si>
    <t>California Highway Patrol, Mendocino County Sheriff's Office</t>
  </si>
  <si>
    <t>Daniel was a robbery suspect who actively resisted arrest by California Highway patrol. CHP received backup from 2 deputies and all three tasered Daniel during arrest. He showed medical distress almost immediately and died soon after.</t>
  </si>
  <si>
    <t>Davis Thomas</t>
  </si>
  <si>
    <t>https://cbsdallas.files.wordpress.com/2014/11/thomas-mug.jpg?w=620&amp;h=349&amp;crop=1</t>
  </si>
  <si>
    <t>300 East Round Grove Road</t>
  </si>
  <si>
    <t>Lewisville</t>
  </si>
  <si>
    <t>75067</t>
  </si>
  <si>
    <t>Lewisville Police Department</t>
  </si>
  <si>
    <t>A carjacker led police on a car chase, which ended when Davis Thomas crashed into three cars and officers shot him.</t>
  </si>
  <si>
    <t>http://dfw.cbslocal.com/2014/11/28/lewisville-pd-identify-police-shooting-suspect/</t>
  </si>
  <si>
    <t>Randall Dewayne Roden</t>
  </si>
  <si>
    <t>http://www.komu.com/images/news/Randall_Roden.jpg</t>
  </si>
  <si>
    <t>18500 Second Street</t>
  </si>
  <si>
    <t>Versailles</t>
  </si>
  <si>
    <t>65084</t>
  </si>
  <si>
    <t>Versailles Police Department, Morgan County Sheriff's Office</t>
  </si>
  <si>
    <t>Police responded to a call alleging that Randall Roden had assaulted someone. Officers tasered Roden twice. Roden fired multiple shots with a weapon, wounding one officer, and was shot and killed by police.</t>
  </si>
  <si>
    <t>http://www.kansascity.com/news/local/crime/article4173586.html</t>
  </si>
  <si>
    <t>Eric Ricks</t>
  </si>
  <si>
    <t>http://www.texarkanagazette.com/content/uploads/pictures/2014/12/Ricks,-Eric_sm.jpg</t>
  </si>
  <si>
    <t>4317 Shepherd Lane</t>
  </si>
  <si>
    <t>Mesquite</t>
  </si>
  <si>
    <t>75180</t>
  </si>
  <si>
    <t>Balch Springs Police Department</t>
  </si>
  <si>
    <t>Ricks was suspected of having drugs in his system when he was violent with officers. Officers tasered Ricks, but the tasers did not seem to have an effect on him. Eventually he was cuffed. Ricks died by the time he arrived at the Balch Springs Jail.</t>
  </si>
  <si>
    <t>Robert Edwin Eaves</t>
  </si>
  <si>
    <t>http://media-cdn.timesfreepress.com/img/photos/2014/11/26/dedeff_t755_hfe3bdacfda1dab10e97dcd836c1bb67e33b147cf.jpg</t>
  </si>
  <si>
    <t>1009 Phillips St SW</t>
  </si>
  <si>
    <t>37311</t>
  </si>
  <si>
    <t>Eaves kidnapped a woman and broke into a home. When officers arrived a threatened them with a knife prompting the officers to shoot and kill Eaves.</t>
  </si>
  <si>
    <t>http://www.timesfreepress.com/news/local/story/2014/nov/26/sex-offender-shot-to-death-after-daylight/275498/</t>
  </si>
  <si>
    <t>Jon Jaquez</t>
  </si>
  <si>
    <t>http://www.killedbypolice.net/victims/140997.jpg</t>
  </si>
  <si>
    <t>E 4th St &amp; Troy Ave</t>
  </si>
  <si>
    <t>Pueblo police and sheriff's deputies arrived at the gas station, looking for a person of interest in an assault that happened earlier that day. When they arrived, they found an armed man. A law enforcement official fired at the man and he died at the scene.</t>
  </si>
  <si>
    <t>http://www.krdo.com/news/one-person-killed-in-pueblo-officerinvolved-shooting/29934022</t>
  </si>
  <si>
    <t>Sebastian Lewandowski</t>
  </si>
  <si>
    <t>11716 N.E. 49th St.</t>
  </si>
  <si>
    <t>98682</t>
  </si>
  <si>
    <t>Vancouver Police Department</t>
  </si>
  <si>
    <t>The man shot and killed by vancouver police after setting his apartment on fire was brandishing an air soft gun made to look like an AR-15.</t>
  </si>
  <si>
    <t>http://www.columbian.com/news/2014/dec/03/man-shot-killed-police-vancouver-apartment-identif/</t>
  </si>
  <si>
    <t>Leonardo Marquette Little</t>
  </si>
  <si>
    <t>http://www.gannett-cdn.com/-mm-/e5d91223a80703ebcba4b1a7383a667b4c1e7999/c=0-74-595-521&amp;r=x404&amp;c=534x401/local/-/media/WTLV/WTLV/2014/11/25/635525308722120560-Leo.jpg</t>
  </si>
  <si>
    <t>7000 103rd St</t>
  </si>
  <si>
    <t>32210</t>
  </si>
  <si>
    <t>Little was resisting arrest. He was tasered several times until he managed to retrieve the taser from the deputy. The deputy responded by shooting and killing Little.</t>
  </si>
  <si>
    <t>O'Tavis Hall</t>
  </si>
  <si>
    <t>http://www.myvalleynews.com/media/photo/330366.jpg</t>
  </si>
  <si>
    <t>32000 Westport Way</t>
  </si>
  <si>
    <t>92596</t>
  </si>
  <si>
    <t>Hall fired a shot from his rifle after arguing with his wife, prompting 911 calls. When officers arrived Hall would not come out side. Eventually, Hall raised the rifle towards deputies - the deputies shot and killed him.</t>
  </si>
  <si>
    <t>http://www.myvalleynews.com/story/74801/</t>
  </si>
  <si>
    <t>Juan Jose Enriquez</t>
  </si>
  <si>
    <t>1533 W. Elgenia Ave.</t>
  </si>
  <si>
    <t>West Covina</t>
  </si>
  <si>
    <t>91790</t>
  </si>
  <si>
    <t>Authorities say Enriquez was shot to death by West Covina police after he opened fire on officers during a foot chase, hitting and wounding a police dog.</t>
  </si>
  <si>
    <t>http://www.sgvtribune.com/general-news/20141125/west-covina-k-9-reiko-returns-home-as-police-identify-shooting-suspect-victim</t>
  </si>
  <si>
    <t>Donald R. Wendt</t>
  </si>
  <si>
    <t>http://tbo.com/storyimage/TB/20141124/ARTICLE/141129638/AR/0/AR-141129638.jpg</t>
  </si>
  <si>
    <t>3300 Oxford Drive West</t>
  </si>
  <si>
    <t>34205</t>
  </si>
  <si>
    <t>Bradenton Police Department</t>
  </si>
  <si>
    <t>Iraq veteran, recipient of the Bronze Star Medal, and firefighter Wendt appeared on his front lawn with a weapon to confront local police, responding to an evening call about a suicidal man. Wendt retreated into the house while SWAT members set up a perimeter. He then came back out to point his weapon at police. He was fatally shot.</t>
  </si>
  <si>
    <t>http://tbo.com/news/crime/bradenton-police-fatally-shoot-firefighter-in-swat-standoff-20141124/</t>
  </si>
  <si>
    <t>Justin H. Roady</t>
  </si>
  <si>
    <t>http://www.basinrepublican-rustler.com/wp-content/uploads/2014/11/Roady-Justin-paper-200x200.jpg</t>
  </si>
  <si>
    <t>3100 Silversmith Dr</t>
  </si>
  <si>
    <t>Lake Havasu</t>
  </si>
  <si>
    <t>86406</t>
  </si>
  <si>
    <t>Mohave</t>
  </si>
  <si>
    <t>Havasu Police Department</t>
  </si>
  <si>
    <t>Roady crashed his car and began shooting his gun. Officers responded to the scene and Roady pointed his gun in the officer's direction. Roady was shot and killed.</t>
  </si>
  <si>
    <t>http://www.havasunews.com/news/havasu-man-killed-in-officer-related-shooting/article_0d5c2cfc-7387-11e4-93f9-c3001318452a.html</t>
  </si>
  <si>
    <t>Tamir E. Rice</t>
  </si>
  <si>
    <t>http://www.gannett-cdn.com/-mm-/e1576bbe596bc9262bb2b6b99262357758190d11/c=72-0-430-477&amp;r=537&amp;c=0-0-534-712/local/-/media/WKYC/WKYC/2014/11/23/635523569159147332-Tamir.jpg</t>
  </si>
  <si>
    <t>1910 West Blvd</t>
  </si>
  <si>
    <t>44102</t>
  </si>
  <si>
    <t>Tamir was in a park playing with a BB gun. A caller reported that a male was point a pistol at random people, stating twice that the gun was "probably fake". Police pulled up within 10 feet from Tamir and shot him two seconds later in the abdomen. Neither officer administered first aid, instead arresting Tamir's sister who rushed to his aid. Tamir didn't receive first aid until four minutes later from a deputy who was nearby. He died soon after.</t>
  </si>
  <si>
    <t>http://www.wkyc.com/story/news/local/cleveland/2014/11/22/12-year-old-shot-at-cleveland-rec-center/19413165/</t>
  </si>
  <si>
    <t>Nestor Cruz-Ciriaco</t>
  </si>
  <si>
    <t>http://www.altavistamortuary.com/sitemaker/memsol_data/1012/1465585/1465585_profile_pic.jpg</t>
  </si>
  <si>
    <t>1600 Laguna St</t>
  </si>
  <si>
    <t>Seaside</t>
  </si>
  <si>
    <t>93955</t>
  </si>
  <si>
    <t>Seaside Police Department</t>
  </si>
  <si>
    <t>Seaside police responding to a domestic violence call shot and killed 27-year-old Nestor Cruz-Ciriaco who was wielding a sharp instrument and may have taken a small child hostage.</t>
  </si>
  <si>
    <t>http://www.montereycountyweekly.com/blogs/news_blog/seaside-police-kill-man-during-domestic-violence-call/article_74537a08-72c6-11e4-854c-b3c6d88d7177.html</t>
  </si>
  <si>
    <t>Ty Worthington</t>
  </si>
  <si>
    <t>http://www.sltrib.com/csp/mediapool/sites/dt.common.streams.StreamServer.cls?STREAMOID=iknI$WDK3AE$b4lR7nb8BM$daE2N3K4ZzOUsqbU5sYuCYryHmYGbN8mT$_biNsWlWCsjLu883Ygn4B49Lvm9bPe2QeMKQdVeZmXF$9l$4uCZ8QDXhaHEp3rvzXRJFdy0KqPHLoMevcTLo3h8xh70Y6N_U_CryOsw6FTOdKL_jpQ-&amp;CONTENTTYPE=image/jpeg</t>
  </si>
  <si>
    <t>11300 S. Brook-N-Lance Lane</t>
  </si>
  <si>
    <t>South Jordan</t>
  </si>
  <si>
    <t>84095</t>
  </si>
  <si>
    <t>South Jordan Police Department</t>
  </si>
  <si>
    <t>The shooting happened in the neighborhood near 11300 S. and 600 West. According to police they arrived on scene and went looking for the man someone had called in about. Sometime later a neighbor says they heard about six shots and two officers standing by the man.“The officer confronted Mr. Worthington in a horse corral, and during the confrontation multiple shots were fired,” said Officer Sam Winkler of the South Jordan Police Department.</t>
  </si>
  <si>
    <t>Pamela Edwards</t>
  </si>
  <si>
    <t>http://media.cmgdigital.com/shared/lt/lt_cache/thumbnail/400/img/photos/2014/11/23/5c/f9/Pamela_Edwards.jpg</t>
  </si>
  <si>
    <t>2300 Grant Street</t>
  </si>
  <si>
    <t>Eustis</t>
  </si>
  <si>
    <t>32726</t>
  </si>
  <si>
    <t>Involved in a hit and run Edwards was followed to Grant Street by an off-duty officer. Edwards then pointed a gun at investigators prompting officers to shoot and kill Edwards.</t>
  </si>
  <si>
    <t>http://www.wftv.com/news/news/local/fdle-investigating-officer-involved-shooting-eusti/njDQH/</t>
  </si>
  <si>
    <t>Curtis Wade Holley</t>
  </si>
  <si>
    <t>https://pibillwarner.files.wordpress.com/2014/11/41e39-curtis-wade-holley-mugshot-30017829_400x800.jpg?w=574&amp;h=640</t>
  </si>
  <si>
    <t>3722 Caracus Court</t>
  </si>
  <si>
    <t>Leon County Sheriff's Office, Tallahassee Police Department</t>
  </si>
  <si>
    <t>Sovereign citizen Holley set his residence on fire as a trap for first responders, and made a mid-morning 911 call. Dispatchers ignored system warnings and sent firefighters and police in. Holley fired on and killed a county deputy. As more fire engines arrived and the house fire raged, Holley engaged with officers in a 12-minute firefight, and was killed.</t>
  </si>
  <si>
    <t>http://www.splcenter.org/blog/2014/11/25/man-who-killed-fl-sheriffs-deputy-may-have-had-antigovernment-views/</t>
  </si>
  <si>
    <t>Bruce Thomas Snyder</t>
  </si>
  <si>
    <t>https://cbssacramento.files.wordpress.com/2014/11/snyder2.jpg?w=768</t>
  </si>
  <si>
    <t>4 S Washington St</t>
  </si>
  <si>
    <t>Sonora</t>
  </si>
  <si>
    <t>95370</t>
  </si>
  <si>
    <t>Tuolumne</t>
  </si>
  <si>
    <t>Sonora Police Department</t>
  </si>
  <si>
    <t>Police say the car chase ended on Washington Street in downtown Sonora. However, when Snyder got out of his car, he opened fire at officers. Snyder was fatally shot.</t>
  </si>
  <si>
    <t>Carey Smith-Viramontes</t>
  </si>
  <si>
    <t>https://fbcdn-profile-a.akamaihd.net/hprofile-ak-xaf1/v/t1.0-1/p160x160/10712871_676020245827648_8383717690568044882_n.jpg?oh=a2fb3847595c2504afb21804a572afc1&amp;oe=5508F903&amp;__gda__=1427581887_b98544619015e6195b8a420ea117bf24</t>
  </si>
  <si>
    <t>2300 Eucalyptus Ave</t>
  </si>
  <si>
    <t>90806</t>
  </si>
  <si>
    <t>An officer went to the home in response to a report of a missing young girl, according to a statement from the Long Beach Police Department. The officer learned the girl was inside the house with a young man with whom she once had a relationship. "The male adult armed himself with a knife," the police statement read. "Fearing for the safety of the parties, the officer discharged his weapon, striking the suspect." Smith-Viramontes was pronounced dead at the scene, police said.</t>
  </si>
  <si>
    <t>http://mydeathspace.com/article/2014/11/28/Carey_Smith_Viramontes_(18)_was_shot_by_police_after_he_violated_a_restraining_order</t>
  </si>
  <si>
    <t>Myron May</t>
  </si>
  <si>
    <t>116 Honors Way</t>
  </si>
  <si>
    <t>32306</t>
  </si>
  <si>
    <t>Florida State University Police Department</t>
  </si>
  <si>
    <t>Returning to Florida State University where he'd taken a degree in 2005, May went to the library in the middle of the campus and began firing at random. He ended up shooting three people, critically wounding one of them, but was the only fatality of the incident when police arrived.</t>
  </si>
  <si>
    <t>http://www.nytimes.com/2014/11/21/us/florida-state-university-shooting.html?_r=0</t>
  </si>
  <si>
    <t>Akai Gurley</t>
  </si>
  <si>
    <t>http://assets.nydailynews.com/polopoly_fs/1.2019467.1416607065!/img/httpImage/image.jpg_gen/derivatives/article_970/article-cop-1121.jpg?enlarged</t>
  </si>
  <si>
    <t>2724 Linden Boulevard</t>
  </si>
  <si>
    <t>11208</t>
  </si>
  <si>
    <t>Gurley was in stairwell of his building by rookie cop who was not supposed to be patrolling that building. Cop entered stairwell with gun drawn although there had been no threat to him from anyone.</t>
  </si>
  <si>
    <t>http://www.google.com/url?sa=t&amp;rct=j&amp;q=&amp;esrc=s&amp;source=web&amp;cd=6&amp;cad=rja&amp;uact=8&amp;ved=0CDIQFjAF&amp;url=http%3A%2F%2Fwww.nydailynews.com%2Fnew-york%2Fbrooklyn%2Fexclusive-texted-union-rep-akai-gurley-lay-dying-article-1.2034219&amp;ei=n7yDVOa7Oqq1sQS6m4KwCw&amp;usg=AFQjCNE87vpjBnlYPsaq_lb_3vYJdQ2wIQ&amp;sig2=FoA48aisQbla3dU9DhfjZw</t>
  </si>
  <si>
    <t>Charles Marcus McCauley</t>
  </si>
  <si>
    <t>http://www.gannett-cdn.com/-mm-/ab801debccc306d2cc35cbac20daebb2a1dd048c/c=1-0-300-398&amp;r=183&amp;c=0-0-180-238/local/-/media/LAGroup/Shreveport/2014/11/22/635522173605110281-charlesmccauley.jpg</t>
  </si>
  <si>
    <t>2911 Centenary Boulevard</t>
  </si>
  <si>
    <t>Shrevport</t>
  </si>
  <si>
    <t>71104</t>
  </si>
  <si>
    <t>Caddo</t>
  </si>
  <si>
    <t>Centenary College Department of Public Safety</t>
  </si>
  <si>
    <t>Shreveport resident Charles Marcus McCauley, 35, was being escorted off campus because of his "peculiar behavior" when he revealed a handgun in a struggle with two Centenary College Department of Public Safety officers, prompting one of them to shoot him dead, according to police.</t>
  </si>
  <si>
    <t>http://www.shreveporttimes.com/story/news/crime/2014/11/22/violent-end-life-veered-toward-trouble/19386681/?from=global&amp;sessionKey=&amp;autologin=</t>
  </si>
  <si>
    <t>Chelsea Fresh</t>
  </si>
  <si>
    <t>http://imgick.oregonlive.com/home/olive-media/pgmain/img/beaverton_news/photo/fresh-chelsea-1jpg-7de9bbd4439949e1.jpg</t>
  </si>
  <si>
    <t>12000 SW Conestoga Drive</t>
  </si>
  <si>
    <t>97008</t>
  </si>
  <si>
    <t>Fresh had a history of mental health issues. Her boyfriend called the police on a mid-afternoon when he felt threatened, informing them that she had firearms and knives. Police surrounded the house for about an hour, with a police negotiator on the phone. Fresh was in and out of the house with a rifle (unloaded) but was fatally shot when she pointed it.</t>
  </si>
  <si>
    <t>http://www.oregonlive.com/beaverton/index.ssf/2014/11/beaverton_police_fatally_shoot.html</t>
  </si>
  <si>
    <t>Keara Crowder</t>
  </si>
  <si>
    <t>http://wmctv.images.worldnow.com/images/5896389_G.jpg</t>
  </si>
  <si>
    <t>Bassett Hall Drive</t>
  </si>
  <si>
    <t>38125</t>
  </si>
  <si>
    <t>Victim was officer's wife. News articles do not specify if officer was on duty at time, though murder weapon is believed to be police issued firearm.</t>
  </si>
  <si>
    <t>http://www.wmcactionnews5.com/story/27435653/mother-shot-killed-saving-son-mpd-officer-charged-with-murder</t>
  </si>
  <si>
    <t>Elton R. Loughrey Jr.</t>
  </si>
  <si>
    <t>http://kfvs12.images.worldnow.com/images/5941213_G.jpg</t>
  </si>
  <si>
    <t>Clark St</t>
  </si>
  <si>
    <t>Clarkton</t>
  </si>
  <si>
    <t>63837</t>
  </si>
  <si>
    <t>Dunklin</t>
  </si>
  <si>
    <t>Dunklin County Sheriff's Office</t>
  </si>
  <si>
    <t>Loughrey was suspected of killing a Clarkton officer. Deputies were called about a man who had a gun. When they arrived it was Loughrey - he fired his gun at the deputies resulting in their retaliation and Loughrey's death.</t>
  </si>
  <si>
    <t>http://www.kfvs12.com/story/27452994/suspect-in-shooting-with-clarkton-officer-dies</t>
  </si>
  <si>
    <t>Vincent Martinez</t>
  </si>
  <si>
    <t>http://images.onset.freedom.com/pressenterprise/gallery/nfd7ve-b88265671z.120141120172144000gls6f9lc.10.jpg</t>
  </si>
  <si>
    <t>10400 Keller Avenue</t>
  </si>
  <si>
    <t>92505</t>
  </si>
  <si>
    <t>Riverside Police Department</t>
  </si>
  <si>
    <t>http://www.pe.com/articles/martinez-754681-police-riverside.html</t>
  </si>
  <si>
    <t>Michael Case</t>
  </si>
  <si>
    <t>801 Main Street</t>
  </si>
  <si>
    <t>Dunedin</t>
  </si>
  <si>
    <t>34698</t>
  </si>
  <si>
    <t>Deputies were called about a disturbance in a trailer park. When the deputies entered a home Case confronted them with a knife, he refused to comply and was shot and killed.</t>
  </si>
  <si>
    <t>http://tbo.com/pinellas-county/pinellas-deputy-fatally-shoots-man-in-dunedin-20141118/</t>
  </si>
  <si>
    <t>Charles McBennett</t>
  </si>
  <si>
    <t>http://bloximages.newyork1.vip.townnews.com/fayobserver.com/content/tncms/assets/v3/editorial/a/65/a654928a-7014-11e4-9a0a-f3cea21b60b6/546cd8bed617a.image.jpg?resize=300%2C399</t>
  </si>
  <si>
    <t>4700 Rosehill Road</t>
  </si>
  <si>
    <t>Fayetteville</t>
  </si>
  <si>
    <t>28311</t>
  </si>
  <si>
    <t>Fayetteville Police Department</t>
  </si>
  <si>
    <t>McBennett suffered from depression and was committed three times 6 months before his death. On the day of his death McBennett fired shots at officers - officers retaliated, killing McBennett.</t>
  </si>
  <si>
    <t>Lumberton</t>
  </si>
  <si>
    <t>Thomas Read</t>
  </si>
  <si>
    <t>400 South Main Street</t>
  </si>
  <si>
    <t>Phillipsburg</t>
  </si>
  <si>
    <t>08865</t>
  </si>
  <si>
    <t>Warren</t>
  </si>
  <si>
    <t>Phillipsburg Police Department</t>
  </si>
  <si>
    <t>When officers arrived at the home, they found Read on the first floor holding a knife in a "threatening manner" and refusing to come outside. Police entered the home and confronted Read, who refused to drop the knife and was shot by police.</t>
  </si>
  <si>
    <t>Cecil Chaney Tinker-Smith</t>
  </si>
  <si>
    <t>5765 Mosquito Lake Rd</t>
  </si>
  <si>
    <t>Deming</t>
  </si>
  <si>
    <t>98244</t>
  </si>
  <si>
    <t>Whatcom County Sheriff's Office</t>
  </si>
  <si>
    <t>Law enforcement reached the home to arrest Tinker-Smith for warrants and for being a felon in possession of a firearm. Once they rolled up to the house, however, they saw him running into a building and heard what sounded like a single gunshot." SWAT was brought in. Tinker fired at SWAT resulting in SWAT firing back, killing Tinker.</t>
  </si>
  <si>
    <t>http://www.bellinghamherald.com/2014/11/17/3977875/man-dead-after-shootout-with-whatcom.html</t>
  </si>
  <si>
    <t>Eduardo Bermudez</t>
  </si>
  <si>
    <t>https://cbsla.files.wordpress.com/2014/11/east-la-victim.jpg?w=300&amp;h=168</t>
  </si>
  <si>
    <t>5300 Verona Street</t>
  </si>
  <si>
    <t>East Los Angeles</t>
  </si>
  <si>
    <t>90022</t>
  </si>
  <si>
    <t>Bermudez and Avelar-Lara were driving in a car with a fake gun and pointed it at someone. Deputies were notified and when they arrived on scene Bermudez and Avelar-Lara allegedly pointed a gun in the deputies direction, prompting the deputies to shoot and kill both of them.</t>
  </si>
  <si>
    <t>http://losangeles.cbslocal.com/2014/11/16/2-killed-in-east-la-deputy-involved-shooting/</t>
  </si>
  <si>
    <t>Ricardo Avelar-Lara</t>
  </si>
  <si>
    <t>http://www.killedbypolice.net/victims/140968.jpg</t>
  </si>
  <si>
    <t>Dawn Renee Cameron</t>
  </si>
  <si>
    <t>http://wfla.images.worldnow.com/images/5830485_G.jpg</t>
  </si>
  <si>
    <t>550 North Independence Highway</t>
  </si>
  <si>
    <t>Inverness</t>
  </si>
  <si>
    <t>34453</t>
  </si>
  <si>
    <t>Citrus</t>
  </si>
  <si>
    <t>Citrus County Sheriff's Office</t>
  </si>
  <si>
    <t>Citrus County Sheriff's Office got a call about a woman trying to set her neighbor's truck on fire. When Deputy Jacob Chenoweth arrived at the park entrance, the woman identified as Dawn Renee Cameron, 46, charged at him, grabbed his taser, and pointed it at him, according to the Citrus County Sheriff's Office. Deputy Chenoweth then shot Cameron and kicked the taser away from her. Paramedics treated the woman but she died shortly after midnight Monday morning.</t>
  </si>
  <si>
    <t>http://www.wfla.com/story/27400852/woman-dies-after-officer-involved-shooting-in-citrus</t>
  </si>
  <si>
    <t>Christopher Neil Horine</t>
  </si>
  <si>
    <t>http://ak-cache.legacy.net/legacy/images/Cobrands/SentinelNews/Photos/OBIThorineChristopherNeil_20141118.jpg</t>
  </si>
  <si>
    <t>Hazel Lawn Dr</t>
  </si>
  <si>
    <t>40065</t>
  </si>
  <si>
    <t>Authorities said a woman called police asking officers to get someone off her front yard. When the trooper stopped, the suspect started firing shots. The trooper ran back to his car and returned fire, hitting Christopher Horine.</t>
  </si>
  <si>
    <t>http://www.wlky.com/news/person-killed-in-shootout-with-ksp-trooper-in-shelbyville/29769862</t>
  </si>
  <si>
    <t>Lenny Miles</t>
  </si>
  <si>
    <t>http://pioneernewsgroup.com/klamathmostwanted/wp-content/uploads/sites/14/2014/06/Miles-Lenny.jpg</t>
  </si>
  <si>
    <t>Shasta Way and Summers Lane</t>
  </si>
  <si>
    <t>Klamath Falls</t>
  </si>
  <si>
    <t>97603</t>
  </si>
  <si>
    <t>Klamath</t>
  </si>
  <si>
    <t>Miles was shot and killed in the immediate aftermath of his armed robbery of a market and a firefight with police. He had multiple outstanding felony warrants.</t>
  </si>
  <si>
    <t>http://koin.com/2014/11/17/wanted-man-dead-after-robbery-police-chase/</t>
  </si>
  <si>
    <t>John R. Smelko</t>
  </si>
  <si>
    <t>http://media.cmgdigital.com/shared/lt/lt_cache/thumbnail/188/img/photos/2014/11/17/a4/51/IMG_06631.jpg</t>
  </si>
  <si>
    <t>1101 Huffman Ave</t>
  </si>
  <si>
    <t>45403</t>
  </si>
  <si>
    <t>Dayton Police Department</t>
  </si>
  <si>
    <t>After a disconnected 911 call officers arrived at a home to Smelko pointing a gun at them. The police then shot and killed Smelko.</t>
  </si>
  <si>
    <t>http://www.whio.com/news/news/crime-law/dayton-police-investigate-shooting-on-huffman-ave/nh8bY/</t>
  </si>
  <si>
    <t>Juventino Bermudez-Arenas</t>
  </si>
  <si>
    <t>Southwest Baker Street</t>
  </si>
  <si>
    <t>97128</t>
  </si>
  <si>
    <t>McMinnville Police Department</t>
  </si>
  <si>
    <t>For reasons unknown, undocumented Christmas-tree-farm worker Bermudez-Arenas encountered a 20-year-old college football player at a 7-11 across from his school and stabbed him to death. Awhile later Bermudez-Arenas returned to the convenience store -- according to his family, he was turning himself in -- and was shot to death by local police.</t>
  </si>
  <si>
    <t>http://www.oregonlive.com/pacific-northwest-news/index.ssf/2014/11/yamhill_county_investigators_c.html#incart_m-rpt-1</t>
  </si>
  <si>
    <t>Sharrinder Garcha</t>
  </si>
  <si>
    <t>http://www.expressandstar.com/wpmvc/wp/wp-content/uploads/2014/12/Shooting-injured-cop1.jpg</t>
  </si>
  <si>
    <t>16315 County Highway J</t>
  </si>
  <si>
    <t>Chippewa Falls</t>
  </si>
  <si>
    <t>54729</t>
  </si>
  <si>
    <t>Chippewa</t>
  </si>
  <si>
    <t>Garcha was being questioned by the sheriff's office about information on a runaway girl. The sheriff drove Garcha into town and both were in the sheriff's car when Garcha stabbed the deputy. The deputy shot Garcha.</t>
  </si>
  <si>
    <t>http://chippewa.com/news/local/call-about-runaway-leads-to-stabbing-shooting/article_714d656e-8f0a-5430-84f0-3f888ea9e699.html</t>
  </si>
  <si>
    <t>Wesley Castillo</t>
  </si>
  <si>
    <t>376 Center St.</t>
  </si>
  <si>
    <t>Chula Vista</t>
  </si>
  <si>
    <t>91910</t>
  </si>
  <si>
    <t>Chula Vista Police Department</t>
  </si>
  <si>
    <t>Police Officer was visiting his family when his brother (Wesley Castillo) began fighting with their mother. The fighting escalated and Castillo stabbed his brother (police officer). The officer shot and killed his brother.</t>
  </si>
  <si>
    <t>http://www.utsandiego.com/news/2014/nov/14/shot-stabbed-chula-vista-apartment/</t>
  </si>
  <si>
    <t>William F. McNulty</t>
  </si>
  <si>
    <t>http://media.philly.com/images/william_f_mcnulty.jpg</t>
  </si>
  <si>
    <t>Harvey Road and Garfield Avenue</t>
  </si>
  <si>
    <t>Delaware State Police</t>
  </si>
  <si>
    <t>McNulty was a suspect in several local robberies. Police tried to pull him over and his car veered off the road. Police instructed him to exit vehicle, but suspect but car in reverse and drove toward officers. They shot him through the car's back window.</t>
  </si>
  <si>
    <t>http://www.philly.com/philly/news/Robbery_suspect_shot_by_Delaware_troopers_dies.html</t>
  </si>
  <si>
    <t>Shonda E. Mikelson</t>
  </si>
  <si>
    <t>http://www.keehrfuneralhome.com/obituaries/uploads/OI992847254_ShondaJohnsonMikelsonoval2014.png</t>
  </si>
  <si>
    <t>603 Main St.</t>
  </si>
  <si>
    <t>Boyceville</t>
  </si>
  <si>
    <t>54725</t>
  </si>
  <si>
    <t>Dunn</t>
  </si>
  <si>
    <t>Boyceville police Department</t>
  </si>
  <si>
    <t>When a Boyceville police officer responded to the home a 33-year old woman came to the door carrying a rifle in her hand. When the officer told the woman to drop the rifle she refused and then pulled a handgun out and pointed it at the officer. Detectives say that's when the officer fired one fatal round at the suspect.</t>
  </si>
  <si>
    <t>Tanisha N. Anderson</t>
  </si>
  <si>
    <t>http://media.cleveland.com/plain_dealer_metro/photo/16510043-small.jpg</t>
  </si>
  <si>
    <t>1300 Ansel Rd</t>
  </si>
  <si>
    <t>44106</t>
  </si>
  <si>
    <t>Taser, Physical Restraint</t>
  </si>
  <si>
    <t>Anderson suffered from schizophrenia, and officers agreed with the family that she should be taken to a medical center for evaluation. When officers cuffed Anderson and tried to place her inside their vehicle she resisted. Officers then tasered her and tackled her to the ground, forcing her head onto the ground. Anderson became unresponsive and was pronounced dead at the hospital.</t>
  </si>
  <si>
    <t>http://www.cleveland.com/metro/index.ssf/2014/11/cleveland_woman_with_mental_il_1.html</t>
  </si>
  <si>
    <t>Darnell Dayron Stafford</t>
  </si>
  <si>
    <t>http://trenton.s3.amazonaws.com/cache/photos/2014/11/13/Screen_Shot_2014-11-13_at_10.48.23_PM/225x300/89068ca4f4cb0456cf98c98bf6c47691.jpg</t>
  </si>
  <si>
    <t>10 Wilson St.</t>
  </si>
  <si>
    <t>08618</t>
  </si>
  <si>
    <t>Officers were dispatched after police received a 911 call reporting a man with a gun who had just invaded a home. Police say the call was made by an adolescent who escaped from the house. When the officers arrived on-scene, they saw Stafford, who fired at them while they were sitting in their police vehicle. The officers then returned fire, killing him.</t>
  </si>
  <si>
    <t>http://trenton.homicidewatch.org/2014/11/13/man-dead-after-police-involved-shooting/</t>
  </si>
  <si>
    <t>Ramiro James Villegas</t>
  </si>
  <si>
    <t>https://s.yimg.com/lo/api/res/1.2/iE2VwQeSY4f8FyQnJbvkfg--/YXBwaWQ9eXZpZGVvZmVlZHM7Zmk9ZmlsbDtoPTUzODt3PTk1Ng--/http://media.zenfs.com/en-US/video/video.scripps.com/5EAA9B49E667440DAE5CEEBB0536928F_large_image.jpg</t>
  </si>
  <si>
    <t>CA 178 and Mt. Vernon</t>
  </si>
  <si>
    <t>93306</t>
  </si>
  <si>
    <t>Police attempted to pull over vehicle, which resulted in a high speed chase. Villegas crashed into a pole and exited the vehicle. Witnesses state that Villegas refused to comply with officer's directions and shouted obsenities. Ramiro then reached for his waist and was shot by three officers. Another officer used his taser. Some witnesses claimed that he raised his hands in the air. No weapon was recovered at the scene.</t>
  </si>
  <si>
    <t>http://www.turnto23.com/news/breaking-news/police-pursuit-ends-on-eastside</t>
  </si>
  <si>
    <t>George Armando Ramirez</t>
  </si>
  <si>
    <t>1000 E Rialto Ave</t>
  </si>
  <si>
    <t>92408</t>
  </si>
  <si>
    <t>Ramirez was being investigated by undercover police agents from Los Angeles. He was followed to San Bernardino where he shot one of the agents and was subsequently shot and killed.</t>
  </si>
  <si>
    <t>http://www.sbsun.com/general-news/20141113/wounded-downey-officer-released-from-hospital-after-san-bernardino-shoot-out-1-suspect-dead</t>
  </si>
  <si>
    <t>Andrew Brady Davidson</t>
  </si>
  <si>
    <t>http://media.cmgdigital.com/shared/lt/lt_cache/thumbnail/188/img/photos/2014/12/12/98/ed/andrew-davidson.jpg</t>
  </si>
  <si>
    <t>6550 Miller Lane</t>
  </si>
  <si>
    <t>45414</t>
  </si>
  <si>
    <t>Butler Township Police Department</t>
  </si>
  <si>
    <t>Police said Davidson, 33, had threatened to kill employees at the Nitto Denko automotive factory in Piqua. Authorities said Davidson also threatened to kill Officers Carter and Stanley, and tried to pepper-spray them. Stanley shot and killed him.</t>
  </si>
  <si>
    <t>http://www.daytondailynews.com/news/news/crime-law/butler-twp-officers-involved-in-fatal-shooting-bac/njRYM/</t>
  </si>
  <si>
    <t>James Christopher McCown Jr.</t>
  </si>
  <si>
    <t>http://media.graytvinc.com/images/James+McCown.jpg</t>
  </si>
  <si>
    <t>8227 Chapman Highway</t>
  </si>
  <si>
    <t>37920</t>
  </si>
  <si>
    <t>Officers tracked McCown to the Chatterbox bar. They found him outside, set up a perimeter and tried to arrest him around 5:45p.m. But they say when they tried to take him into custody, McCown fired at officers. Officers returned fire, killing McCown.</t>
  </si>
  <si>
    <t>Jose Avalos</t>
  </si>
  <si>
    <t>1975 Diamond Boulevard</t>
  </si>
  <si>
    <t>Concord</t>
  </si>
  <si>
    <t>94520</t>
  </si>
  <si>
    <t>Concord Police Department</t>
  </si>
  <si>
    <t>Avalos was suspected of stealing a car. He led police on a short car chase until he drove the car into a police vehicle. Officers then shot and killed him.</t>
  </si>
  <si>
    <t>http://sanfrancisco.cbslocal.com/2014/11/13/suspected-car-thief-shot-by-police-in-concord-dies-jose-avalos-bay-point-fatal-shooting-willows-shopping-center-interstate-680/</t>
  </si>
  <si>
    <t>Trung Thanh Do</t>
  </si>
  <si>
    <t>107 S Maryland Ave</t>
  </si>
  <si>
    <t>Plant City</t>
  </si>
  <si>
    <t>33563</t>
  </si>
  <si>
    <t>Plant City Police Department</t>
  </si>
  <si>
    <t>Police responded to a 911 call to a fire. When officers arrived the car port was burning and a woman was inside the home being stabbed by Thanh Do. Officers then shot and killed Thanh Do.</t>
  </si>
  <si>
    <t>http://www.wfla.com/story/27351515/fire-criminal-investigation-in-plant-city-near-school</t>
  </si>
  <si>
    <t>David Daniel McBrayer</t>
  </si>
  <si>
    <t>http://wbma.images.worldnow.com/images/5750208_G.jpg</t>
  </si>
  <si>
    <t>Nisbet St NW</t>
  </si>
  <si>
    <t>36265</t>
  </si>
  <si>
    <t>Calhoun</t>
  </si>
  <si>
    <t>McBrayar had a knife in his hand. He disobeyed officers orders to drop it. McBrayar then pointed the knife in an officer's direction prompting an officer to shoot and kill him.</t>
  </si>
  <si>
    <t>http://www.abc3340.com/story/27361816/officer-involved-shooting-killed-one-man</t>
  </si>
  <si>
    <t>Jerry Lee Matheny</t>
  </si>
  <si>
    <t>Willow Place</t>
  </si>
  <si>
    <t>Menlo Park</t>
  </si>
  <si>
    <t>94025</t>
  </si>
  <si>
    <t>Menlo Park Police Department</t>
  </si>
  <si>
    <t>Police responded to a call of a suspicious person in the area of Willow Place. Upon arrival, officers found a male suspect involved in a burglary in progress. A foot pursuit ensued of the suspect, and a Taser device was deployed to stop the suspect. The male suspect brandished a gun at the officers. Officers shot the suspect, and he was pronounced dead at the scene by medics.</t>
  </si>
  <si>
    <t>http://www.mercurynews.com/san-mateo-county-times/ci_26923456/menlo-park-burglary-suspect-shot-killed-by-police</t>
  </si>
  <si>
    <t>Aaron Forgash</t>
  </si>
  <si>
    <t>https://www.google.com/url?sa=i&amp;rct=j&amp;q=&amp;esrc=s&amp;source=images&amp;cd=&amp;cad=rja&amp;uact=8&amp;ved=0CAcQjRw&amp;url=http%3A%2F%2Fradaris.com%2Fp%2FAaron%2FForgash%2F&amp;ei=vs_TVMfpLomfNti5hPgM&amp;bvm=bv.85464276,d.eXY&amp;psig=AFQjCNEa-1y2W461fCq1uMSs9y99uEOoDg&amp;ust=1423253820218885</t>
  </si>
  <si>
    <t>1500 Palma Bonita Ln</t>
  </si>
  <si>
    <t>92571</t>
  </si>
  <si>
    <t>Forgash led police on a chase after trying to use a fraudulent check and I.D. After the chase Forgash exited his vehicle. A deputy shot and killed Forgash, saying later he had been moving his upper body in a twisting motion. He reportedly did not have a weapon.</t>
  </si>
  <si>
    <t>http://www.pe.com/articles/shot-754737-suspect-deputies.html</t>
  </si>
  <si>
    <t>Guilford County Sheriff's Office</t>
  </si>
  <si>
    <t>Ashif Anwar</t>
  </si>
  <si>
    <t>http://crimeblog.dallasnews.com/files/2014/11/Ashif-Anwar.jpg</t>
  </si>
  <si>
    <t>3135 East Carpenter Freeway</t>
  </si>
  <si>
    <t>Irving</t>
  </si>
  <si>
    <t>75062</t>
  </si>
  <si>
    <t>Irving Police Department</t>
  </si>
  <si>
    <t>Anwar was surrounded by IPD tactical forces when he tried to flee in a vehicle. As Anwar reversed the vehicle towards officers they fired their weapons killing Anwar.</t>
  </si>
  <si>
    <t>http://crimeblog.dallasnews.com/2014/11/two-irving-police-officers-shot-killed-suspect-in-hotel-parking-lot-sunday-evening.html/</t>
  </si>
  <si>
    <t>Aura Rosser</t>
  </si>
  <si>
    <t>http://imgick.mlive.com/home/mlive-media/pgmain/img/ann-arbor_photos/photo/-78882361eaf9098d.jpg</t>
  </si>
  <si>
    <t>2083 Winewood Ave</t>
  </si>
  <si>
    <t>Ann Arbor</t>
  </si>
  <si>
    <t>48103</t>
  </si>
  <si>
    <t>Washtenaw</t>
  </si>
  <si>
    <t>Ann Arbor Police Department</t>
  </si>
  <si>
    <t>A 40-year-old woman confronted the officers with a knife when Ann Arbor Police officers were dispatched to a home for a domestic disturbance, according to police. One officer shot and killed her, and the woman died at the scene, police say</t>
  </si>
  <si>
    <t>http://www.mlive.com/news/ann-arbor/index.ssf/2014/11/ann_arbor_police_shooting_name.html</t>
  </si>
  <si>
    <t>Josue Narciso Fuentes</t>
  </si>
  <si>
    <t>https://tribktla.files.wordpress.com/2014/11/fuentes-pic.jpg?w=300&amp;h=168</t>
  </si>
  <si>
    <t>15699 Victory Blvd</t>
  </si>
  <si>
    <t>Van Nuys</t>
  </si>
  <si>
    <t>91406</t>
  </si>
  <si>
    <t>http://www.dailynews.com/general-news/20141230/family-of-pierce-college-student-fatally-shot-by-police-files-claim-against-los-angeles</t>
  </si>
  <si>
    <t>Ian Santamaria</t>
  </si>
  <si>
    <t>http://media.thedenverchannel.com/photo/2014/11/10/Santamaria_Ian_1415662656636_9545190_ver1.0_640_480.jpg</t>
  </si>
  <si>
    <t>S Tamarac St &amp; I-225</t>
  </si>
  <si>
    <t>80237</t>
  </si>
  <si>
    <t>Santamaria was pulled over. Shortly after a shootout with him and officers ensued. It was not immediately clear whether the shot that killed Santamaria was from his weapon or an officers.</t>
  </si>
  <si>
    <t>http://www.thedenverchannel.com/news/local-news/driver-shot-and-killed-deputy-injured-during-traffic-stop-in-denver-area</t>
  </si>
  <si>
    <t>Jorge Trejo</t>
  </si>
  <si>
    <t>3200 Huron St</t>
  </si>
  <si>
    <t>90065</t>
  </si>
  <si>
    <t>Trejo was wanted for assault with a deadly weapon. Trejo was spotted and began a slow police pursuit in which Trejo pointed a sawed off shotgun at officers. At the end of the pursuit Trejo pointed the shotgun at officers prompting them to shoot and kill Trejo.</t>
  </si>
  <si>
    <t>http://homicide.latimes.com/post/jorge-trejo/</t>
  </si>
  <si>
    <t>85051</t>
  </si>
  <si>
    <t>Christopher Keith O'Neal</t>
  </si>
  <si>
    <t>16th Avenue</t>
  </si>
  <si>
    <t>Lucerne</t>
  </si>
  <si>
    <t>95458</t>
  </si>
  <si>
    <t>The officers were responding to a call at a home on 16th Street when the incident occurred. The man came outside with a knife and allegedly threatened to harm the officers. When he allegedly charged them, they shot him multiple times, Anderson said.</t>
  </si>
  <si>
    <t>http://www.lakeconews.com/index.php?option=com_content&amp;view=article&amp;id=39319:autopsy-shows-man-who-charged-deputies-with-knife-was-shot-several-times&amp;catid=1:latest&amp;Itemid=197</t>
  </si>
  <si>
    <t>Manchester</t>
  </si>
  <si>
    <t>Carlos Davenport</t>
  </si>
  <si>
    <t>1100 Washington Ave.</t>
  </si>
  <si>
    <t>66102</t>
  </si>
  <si>
    <t>Suspect reportedly charged at officers with a sword who were responding to a 911 call of a man who was attempting to stab a woman.</t>
  </si>
  <si>
    <t>http://www.kansascity.com/news/local/crime/article3688180.html</t>
  </si>
  <si>
    <t>Joy Ann Sherman</t>
  </si>
  <si>
    <t>1221 South Burr St</t>
  </si>
  <si>
    <t>57301</t>
  </si>
  <si>
    <t>Davison</t>
  </si>
  <si>
    <t>Mitchell Police Department</t>
  </si>
  <si>
    <t>According to the Argus Leader: Mitchell dispatchers received a call from a treatment facility counselor saying that a former resident, Sherman, was at the Quality Inn and Suites and had a gun. Sherman was intoxicated and threatening to hurt herself and anyone else. Mitchell Police Sgt. David Beintema and an Emergency Response Unit arrived at the hotel and attempted to negotiate with Sherman. Sherman opened her door and made eye contact with Sgt. Beintema, who ordered Sherman to show her hands. At that point she stepped into the hallway and aimed her gun at Sgt. Beintema. He shot Sherman three times, and she fell onto the floor in the doorway of her room.</t>
  </si>
  <si>
    <t>https://drive.google.com/file/d/0B-l9Ys3cd80faHpXVGpKLVpFOXM/view?usp=sharing</t>
  </si>
  <si>
    <t>Troy Hart</t>
  </si>
  <si>
    <t>http://cdn.inquisitr.com/wp-content/uploads/2014/11/Troy-Hart-police-shooting-665x385.jpg</t>
  </si>
  <si>
    <t>Grand Traverse Street &amp; Clare Court</t>
  </si>
  <si>
    <t>Westland</t>
  </si>
  <si>
    <t>48186</t>
  </si>
  <si>
    <t>Westland Police Department</t>
  </si>
  <si>
    <t>Hart, a severely handicapped man, was shot and killed after police after disobeying orders to drop a knife.</t>
  </si>
  <si>
    <t>http://www.inquisitr.com/1600250/troy-hart-police-shooting/</t>
  </si>
  <si>
    <t>Jeremy Michael Sherbon</t>
  </si>
  <si>
    <t>http://www.koco.com/image/view/-/29639042/highRes/1/-/maxh/480/maxw/640/-/65qfxg/-/Sherbon-jpg.jpg</t>
  </si>
  <si>
    <t>3624 North Pennsylvania Avenue</t>
  </si>
  <si>
    <t>73112</t>
  </si>
  <si>
    <t>http://www.koco.com/news/oklahoma-city-police-kill-robbery-suspect-during-gun-battle/29617374</t>
  </si>
  <si>
    <t>Adam Thomas</t>
  </si>
  <si>
    <t>41100 Toledo Dr</t>
  </si>
  <si>
    <t>Sheriff's deputies were dispatched on an assault call, but when they pulled up to the home they found the victim suffering from multiple gunshot wounds, Riverside County sheriff's Deputy Patty Stoyer said. The victim, identified as Adam Thomas, 27, of Moreno Valley, was taken to a hospital where he was pronounced dead, Stoyer said. Sheriff's deputies arrested suspect Demery in connection with the shooting. He was booked on suspicion of murder.</t>
  </si>
  <si>
    <t>http://www.nbclosangeles.com/news/local/Argument-Leads-to-Deadly-Shooting-in-Hemet-Police-282031501.html</t>
  </si>
  <si>
    <t>David Grayson</t>
  </si>
  <si>
    <t>5800 Jacksboro Highway</t>
  </si>
  <si>
    <t>76114</t>
  </si>
  <si>
    <t>Sansom Park Police Department</t>
  </si>
  <si>
    <t>Officers responded to a domestic disturbance call. David Wyatt Grayson was armed with a knife and holding a woman inside the home. Grayson refused to let the woman go or to leave the house, so officers went inside the house, officials said. One officer shot and killed Grayson.</t>
  </si>
  <si>
    <t>http://crimeblog.dallasnews.com/2014/11/texas-rangers-investigate-fatal-shooting-in-sansom-park.html/</t>
  </si>
  <si>
    <t>Cinque D'Jahspora</t>
  </si>
  <si>
    <t>http://media.tumblr.com/03f86212c2c09bd0996d13d043e9d451/tumblr_inline_nfz9zkbP2A1ruklg0.jpg</t>
  </si>
  <si>
    <t>1104 N Parkway</t>
  </si>
  <si>
    <t>38305</t>
  </si>
  <si>
    <t>Jackson Police Department</t>
  </si>
  <si>
    <t>Shot and killed after stabbing a police officer.</t>
  </si>
  <si>
    <t>William Forrest Spargur II</t>
  </si>
  <si>
    <t>http://www.chapelofthevalleymortuary.com/obituaries/uploads/OI1192741749_101.jpg</t>
  </si>
  <si>
    <t>Rancho Vista Boulevard and Cricket Lane</t>
  </si>
  <si>
    <t>Palmdale</t>
  </si>
  <si>
    <t>93551</t>
  </si>
  <si>
    <t>http://abc7.com/news/suspect-injured-in-palmdale-deputy-involved-shooting/384773/</t>
  </si>
  <si>
    <t>Daniel Young</t>
  </si>
  <si>
    <t>100 E. 400 S.</t>
  </si>
  <si>
    <t>Jerome</t>
  </si>
  <si>
    <t>Young had a handgun. Officials have not said if Young threatened the deputies or released any other information about the events leading up to the shooting.</t>
  </si>
  <si>
    <t>Robert William Hampton III</t>
  </si>
  <si>
    <t>Terrace Drive and College Drive</t>
  </si>
  <si>
    <t>89503</t>
  </si>
  <si>
    <t>Washoe</t>
  </si>
  <si>
    <t>Washoe County Sheriff's Office, University of Nevada, Reno Police Department</t>
  </si>
  <si>
    <t>Robert William Hampton III, 33, was killed by a Washoe County Sheriff's deputy following a traffic stop on Terrace Drive just west of the Wolf Den Bar and Grill. Police said Hampton had three felony warrants for his arrest and had served time in prison in Kentucky.</t>
  </si>
  <si>
    <t>Anthony Laviolette</t>
  </si>
  <si>
    <t>West Powerhouse Rd</t>
  </si>
  <si>
    <t>Yakima</t>
  </si>
  <si>
    <t>Yakima County Sheriff's Office</t>
  </si>
  <si>
    <t>One of the deputies approached as the vehicle accelerated and drove toward him. Fearing for his safety, the deputy fired several shots as he was struck and knocked to the ground by the car. The 27-year-old male driver suffered a gunshot wound and was pronounced deceased at the scene</t>
  </si>
  <si>
    <t>Ernest F. McKnight Jr.</t>
  </si>
  <si>
    <t>Township Road 246</t>
  </si>
  <si>
    <t>Kitts Hall</t>
  </si>
  <si>
    <t>Investigators were executing a warrant at a home on Township Road 246 when they say they were confronted by Ernest F. McKnight, Jr, 64. They say McKnight pointed a weapon at them, and refused to put it down. Sheriff Jeff Lawless said Detective Aaron Bollinger, fearing for his life, shot McKnight.</t>
  </si>
  <si>
    <t>Raphael Thomas</t>
  </si>
  <si>
    <t>http://media2.newsnet5.com/photo/2014/11/04/Raupheal-Thomas-4_1415128586951_9445805_ver1.0_640_480.jpg</t>
  </si>
  <si>
    <t>Roslyn Ave &amp; Orrin St</t>
  </si>
  <si>
    <t>44320</t>
  </si>
  <si>
    <t>Akron County Police Department</t>
  </si>
  <si>
    <t>Officers received a call for two suspicious men who could be "casing" on Orrin Street near Roslyn Avenue. Two officers arrived and confronted the men. Police say one of the men became confrontational, so the officer attempted to take him into custody. During the struggle, police say shots were fired, killing Thomas. Witness says police were rough with his friend and shot him when he stood up and started to leave.</t>
  </si>
  <si>
    <t>http://www.wakr.net/news/item/157334-one-dead-in-apd-shooting</t>
  </si>
  <si>
    <t>http://www.dailyherald.com/storyimage/DA/20141103/news/141109653/AR/0/AR-141109653.jpg&amp;updated=201411031843&amp;MaxW=800&amp;maxH=800&amp;updated=201411031843&amp;noborder</t>
  </si>
  <si>
    <t>777 Park Avenue West</t>
  </si>
  <si>
    <t>Highland Park</t>
  </si>
  <si>
    <t>60035</t>
  </si>
  <si>
    <t>Highland Park Police Department</t>
  </si>
  <si>
    <t>Anderson and his daughter had been taken to the hospital after a car accident. Police were dispatched to hospital with reports of aggressive patient (Anderson). Anderson had a hand gun when police arrived, they ordered him to drop it, he refused. 2 officers fired 9 rounds hitting anderson multiple times.</t>
  </si>
  <si>
    <t>http://www.dailyherald.com/article/20141103/news/141109653/</t>
  </si>
  <si>
    <t>Northwest 151st St and Sixth Ave</t>
  </si>
  <si>
    <t>North Miami Beach</t>
  </si>
  <si>
    <t>Detectives from the Street Crime Unit were able to locate the vehicle where the bank robber was suspected to be. They followed the vehicle and then attempted to stop the vehicle, at which point alleged gunfire took place, killing the suspect.</t>
  </si>
  <si>
    <t>http://www.wsvn.com/story/27257546/2-schools-in-lockdown-after-police-pursuit-ends-in-fatal-shooting</t>
  </si>
  <si>
    <t>Marietta</t>
  </si>
  <si>
    <t>Caleb Joseph Ryan</t>
  </si>
  <si>
    <t>http://media.al.com/news_birmingham_impact/photo/16887564-large.jpg</t>
  </si>
  <si>
    <t>Martin Road</t>
  </si>
  <si>
    <t>Blountsville</t>
  </si>
  <si>
    <t>35031</t>
  </si>
  <si>
    <t>Blount</t>
  </si>
  <si>
    <t>Blount County Sheriff's Office</t>
  </si>
  <si>
    <t>A deputy responded to a domestic call about a burglary, the the suspect ran and the deputy pursued him. A fight ensued, including the suspect choking the officer and attempting to gouge out his right eye. Ryan attempted to take the officer's taser and firearm during the fight. The officer was wounded and during the altercation the suspect was shot and killed.</t>
  </si>
  <si>
    <t>http://www.al.com/news/birmingham/index.ssf/2015/01/blount_county_deputy_cleared_i.html#incart_related_stories</t>
  </si>
  <si>
    <t>Charles Emmett Logan</t>
  </si>
  <si>
    <t>http://assets.nydailynews.com/polopoly_fs/1.2002593!/img/httpImage/image.JPG_gen/derivatives/article_970/article-pole-1107.JPG</t>
  </si>
  <si>
    <t>1575 Beam Avenue</t>
  </si>
  <si>
    <t>Maplewood</t>
  </si>
  <si>
    <t>55109</t>
  </si>
  <si>
    <t>Ramsey County Sheriff's Office, Maplewood Police Department</t>
  </si>
  <si>
    <t>Logan had assaulted several nurses during an episode of confusion, then ran around the hospital with a large metal bar. When officers found him, Logan was a few blocks from the hospital still holding the metal bar. Officers tried tasering him and then pushed him to the ground and handcuffed him. He became unresponsive after being handcuffed. First responders administered CPR and he was taken back to the hospital where he was pronounced dead.</t>
  </si>
  <si>
    <t>kstp.com/news/stories/S3607822.shtml</t>
  </si>
  <si>
    <t>Jesus Zuriel Orduno Luviano</t>
  </si>
  <si>
    <t>Highwayy 111 and Shields Road</t>
  </si>
  <si>
    <t>Indio</t>
  </si>
  <si>
    <t>92201</t>
  </si>
  <si>
    <t>Indio Police Department</t>
  </si>
  <si>
    <t>California Highway Patrol attempted to pull over a drunk driver. When the suspect didn't stop, the Indio Police Department joined the chase. The suspect exited the vehicle, allegedly with a shotgun. The victim was shot down by officers. It has yet to be determined which officer fired the fatal gunshot.</t>
  </si>
  <si>
    <t>http://www.kesq.com/news/officer-involved-shooting-in-indio-leaves-one-man-dead/29497972</t>
  </si>
  <si>
    <t>William A. Collins</t>
  </si>
  <si>
    <t>Hickory St and High St</t>
  </si>
  <si>
    <t>El Dorado Springs</t>
  </si>
  <si>
    <t>Cedar</t>
  </si>
  <si>
    <t>Cedar County Sheriff's Office</t>
  </si>
  <si>
    <t xml:space="preserve">During a pursuit, police said a passenger exited the vehicle and fled on foot. The deputy then exited his vehicle and a foot chase ensued, leading to a physical altercation and exchange of gunfire. </t>
  </si>
  <si>
    <t>John T. Wilson III</t>
  </si>
  <si>
    <t>W Sahara Ave &amp; I-15</t>
  </si>
  <si>
    <t>89102</t>
  </si>
  <si>
    <t>Nevada Highway Patrol</t>
  </si>
  <si>
    <t>Officers responded to call about a man walking along the freeway holding an assault rifle. Officers arrived and shot the victim in the back. It was later learned that the victim was holding a pellet gun. The details of the shooting remain "sketchy," according to Wilson's family.</t>
  </si>
  <si>
    <t>http://www.reviewjournal.com/news/las-vegas/parents-want-answers-son-s-fatal-nhp-shooting</t>
  </si>
  <si>
    <t>Francisco David Galvez</t>
  </si>
  <si>
    <t>http://ak-cache.legacy.net/legacy/images/Cobrands/Tucson/Photos/0008306697-01_20141106.jpg</t>
  </si>
  <si>
    <t>N 1st Ave &amp; E Navajo Rd</t>
  </si>
  <si>
    <t>85705</t>
  </si>
  <si>
    <t>Officer Alon Hackett was working a surveillance operation near 1st Avenue and Navajo Road when he hit 49-year-old Francisco Galvez around 10:15 p.m. Hackett was driving northbound on 1st Avenue in an unmarked City of Tucson vehicle when the bicyclist rode in front of the 2012 Nissan Pathfinder.</t>
  </si>
  <si>
    <t>John Brantley Jr.</t>
  </si>
  <si>
    <t>http://images.onset.freedom.com/ocregister/article/nehsxa-brantly.john.f.jpg</t>
  </si>
  <si>
    <t>9900 Aldgate Avenue</t>
  </si>
  <si>
    <t>92841</t>
  </si>
  <si>
    <t>Garden Grove Police Department</t>
  </si>
  <si>
    <t>Brantley invaded a home and allegedly threatened the female resident with a knife and stabbed a male resident who had tried to arm himself with a shotgun. Police arrived on the scene and confronted the suspect and Brantley was shot.</t>
  </si>
  <si>
    <t>http://www.nbclosangeles.com/news/local/Man-Shot-Killed-by-Garden-Grove-Police-During-Suspected-Home-Invasion-281187491.html</t>
  </si>
  <si>
    <t>Richard Barrett</t>
  </si>
  <si>
    <t>300 Cherry Ave.</t>
  </si>
  <si>
    <t>90802</t>
  </si>
  <si>
    <t>Police responded to a call about a home robbery. When they arrived at the residence they were attacked by a neighbor who had broken into the home and killed the owner's dog and vandalized his home. After the victim came after police with a crowbar and a knife they shot him. The neighbor and the victim had an ongoing feud lasting nearly 10 years.</t>
  </si>
  <si>
    <t>http://laist.com/2014/11/03/police_kill_man_who_allegedly_broke.php</t>
  </si>
  <si>
    <t>Jaime Garcia</t>
  </si>
  <si>
    <t>400 N. Madeira Ave.</t>
  </si>
  <si>
    <t>Salinas</t>
  </si>
  <si>
    <t>93905</t>
  </si>
  <si>
    <t>Salinas Police Department</t>
  </si>
  <si>
    <t>Garcia was assaulting his wife with a knife and screwdriver. Police were called to the scene and got into a struggle with Garcia. Police tasered him but he still resisted. During the struggle, Garcia went into medical distress and police called paramedics. They tried CPR and took Garcia to the hospital where he was pronounced dead.</t>
  </si>
  <si>
    <t>http://www.thecalifornian.com/story/news/crime/2014/11/01/salinas-suspect-dies-following-struggle-officers/18319203/</t>
  </si>
  <si>
    <t>Steven Keith Watters</t>
  </si>
  <si>
    <t>http://www.koco.com/image/view/-/29455664/medRes/1/-/maxh/460/maxw/620/-/127e5wi/-/Steven-Watters-jpg.jpg</t>
  </si>
  <si>
    <t>S Robinson Avenue and SW 38</t>
  </si>
  <si>
    <t>Members of the Oklahoma City Metro Fugitive Squad were trying to serve an armed robbery warrant to Watters at his residence. They saw him in his vehicle with a female passenger. They called police and Watters led police on a chase. When Watters left his vehicle and ran into a creek. Police went after him and after seeing him holding a gun, they fired at him. He was pronounced dead at the scene.</t>
  </si>
  <si>
    <t>http://newsok.com/man-dies-after-officer-involved-shooting-chase-in-sw-oklahoma-city/article/5361977</t>
  </si>
  <si>
    <t>Robert Vercher</t>
  </si>
  <si>
    <t>http://www.blanchardstdenisfuneralhome.com/fh_live/10500/10503/images/obituaries/2784410.jpg</t>
  </si>
  <si>
    <t>126 2nd Street</t>
  </si>
  <si>
    <t>Natchitoches</t>
  </si>
  <si>
    <t>71457</t>
  </si>
  <si>
    <t>Natchitoches Parish Sheriff's Office</t>
  </si>
  <si>
    <t>Deputies were serving a Physicians Emergency Commitment Order to a man in a church. Gunshots were exchanged and suspect was killed.</t>
  </si>
  <si>
    <t>http://www.ksla.com/story/27157953/one-person-injured-in-officer-involved-shooting-in-natchitoches</t>
  </si>
  <si>
    <t>Clinton</t>
  </si>
  <si>
    <t>Kaldrick Donald</t>
  </si>
  <si>
    <t>http://gray-uploads.s3.amazonaws.com/captures/669/2D2/6692D220A7804DF5A167755BA4B37864</t>
  </si>
  <si>
    <t>Cornelius Harris Lane</t>
  </si>
  <si>
    <t>Gretna</t>
  </si>
  <si>
    <t>32332</t>
  </si>
  <si>
    <t>Gadsden</t>
  </si>
  <si>
    <t>Gretna Police Department</t>
  </si>
  <si>
    <t>Donald's family called 911 for assistance with getting him into a mental hospital under Florida's Baker Act. Responding police could not control him; Donald reportedly said he "didn't want to be bothered." Local officers tasered him then shot him to death with three bullets in front of his mother and pregnant sister.</t>
  </si>
  <si>
    <t>http://www.wctv.tv/news/georgianews/headlines/Man-Shot-Killed-by-Gretna-Police-Officer-280660612.html</t>
  </si>
  <si>
    <t>Angel Frescas</t>
  </si>
  <si>
    <t>http://ksaz.images.worldnow.com/images/5435770_G.jpg</t>
  </si>
  <si>
    <t>2601 East Roosevelt Street</t>
  </si>
  <si>
    <t>85008</t>
  </si>
  <si>
    <t>Maricopa County detention officers were transporting an inmate to a county hospital when the inmate tried to escape. A struggle over the one of the officer's guns ensued, and the officer shot the victim in the head.</t>
  </si>
  <si>
    <t>http://www.azcentral.com/story/news/local/phoenix/2014/10/28/sheriffs-detention-officer-shooting/18047785/</t>
  </si>
  <si>
    <t>Roger Shipton</t>
  </si>
  <si>
    <t>500 El Mar Court</t>
  </si>
  <si>
    <t>Suisun City</t>
  </si>
  <si>
    <t>94585</t>
  </si>
  <si>
    <t>Suisun City Police Department</t>
  </si>
  <si>
    <t>Police were called about a residential disturbance. When they arrived at the home, the victim pulled a gun on the officers, who then shot him in his garage, killing him.</t>
  </si>
  <si>
    <t>http://www.dailyrepublic.com/news/crimecourts/police-court-records-cast-light-on-fatal-officer-involved-shooting/</t>
  </si>
  <si>
    <t>Richard Thomas Bergeron</t>
  </si>
  <si>
    <t>http://bloximages.newyork1.vip.townnews.com/newsadvance.com/content/tncms/assets/v3/editorial/3/9e/39e0eda6-646b-11e4-add8-001a4bcf6878/545947fa7640e.image.jpg</t>
  </si>
  <si>
    <t>1625 Teass Terrace</t>
  </si>
  <si>
    <t>24523</t>
  </si>
  <si>
    <t>Bedford County Sheriff's Office</t>
  </si>
  <si>
    <t>None of the other men in the car or the officers, Rondall Carpenter and Skylar Graudick, were wounded. Police did arrest two of the men in the car with Mattingly. Both were wanted on outstanding warrants</t>
  </si>
  <si>
    <t>William Chad Mattingly</t>
  </si>
  <si>
    <t>http://wave.images.worldnow.com/images/5454956_G.jpg</t>
  </si>
  <si>
    <t>Grafton Hall Rd</t>
  </si>
  <si>
    <t>40272</t>
  </si>
  <si>
    <t>LMPD tried to make a traffic stop on a vehicle Mattingly and four other men were in. After the vehicle pulled into a driveway, Mattingly got out, started running toward the house and fired at least one shot toward police; they returned fire, killing him.</t>
  </si>
  <si>
    <t>http://www.wdrb.com/story/27147618/metrosafe-lmpd-on-scene-of-officer-involved-shooting-in-southwest-louisville</t>
  </si>
  <si>
    <t>Jeremy Martin</t>
  </si>
  <si>
    <t>https://lintvkrqe.files.wordpress.com/2014/10/jeremy-martin-so.jpg?w=150&amp;h=112</t>
  </si>
  <si>
    <t>705 South Telshor Boulevard</t>
  </si>
  <si>
    <t>88011</t>
  </si>
  <si>
    <t>Doña Ana</t>
  </si>
  <si>
    <t>Santa Fe County Sheriff's Office</t>
  </si>
  <si>
    <t>http://krqe.com/2014/10/28/2-deputies-involved-in-shooting-1-dead/</t>
  </si>
  <si>
    <t>28314</t>
  </si>
  <si>
    <t>North Carolina Highway Patrol</t>
  </si>
  <si>
    <t>Oscar Ramirez</t>
  </si>
  <si>
    <t>Paramount Boulevard and Rosecrans Avenue</t>
  </si>
  <si>
    <t>Paramount</t>
  </si>
  <si>
    <t>A school resource deputy learned that a fight was potentially about to break out shortly. Soon after, the deputy was told that one of the people involved was armed with a handgun. The gunfire erupted when a deputy attempted to make contact with two people who matched the descriptions. A handgun has not been recovered.</t>
  </si>
  <si>
    <t>http://abc7.com/news/1-suspect-killed-in-paramount-deputy-involved-shooting/368553/</t>
  </si>
  <si>
    <t>Daniel Tyson</t>
  </si>
  <si>
    <t>1800 Jackson Street</t>
  </si>
  <si>
    <t>Hollywood</t>
  </si>
  <si>
    <t>33020</t>
  </si>
  <si>
    <t>Hollywood Police Department</t>
  </si>
  <si>
    <t>Tyson, naked and deranged at his apartment complex, apparently talking to trees before police contact, attacked one of the responding officers by throwing an object at his head. The rookie officer required 13 stitches. Tyson was subdued and tasered by other officers and did not survive the incident.</t>
  </si>
  <si>
    <t>http://www.local10.com/news/hollywood-police-officer-suspect-in-fatal-altercation-identified/29388616</t>
  </si>
  <si>
    <t>Adam Daniel Lopp</t>
  </si>
  <si>
    <t>Interstate 40 and Swann Road</t>
  </si>
  <si>
    <t>Statesville</t>
  </si>
  <si>
    <t>28625</t>
  </si>
  <si>
    <t>Iredell</t>
  </si>
  <si>
    <t>Davidson County Sheriff's Office</t>
  </si>
  <si>
    <t>A deputy was transporting a mentally ill man to a hospital when a struggle ensued mid-route and the deputy shot the victim.</t>
  </si>
  <si>
    <t>http://thinkprogress.org/justice/2014/10/31/3586759/officer-shoots-dead-psychiatric-patient-while-transporting-him-to-the-hospital/</t>
  </si>
  <si>
    <t>John Wesley Helvie</t>
  </si>
  <si>
    <t>West 49th Street and 17th Court</t>
  </si>
  <si>
    <t>Hialeah</t>
  </si>
  <si>
    <t>Hialeah Police Department</t>
  </si>
  <si>
    <t>Police found the vehicle and a heavily armed man. Shortly after, he was shot and killed on the scene.</t>
  </si>
  <si>
    <t>Joseph Priolo</t>
  </si>
  <si>
    <t>43-32 Kissena Blvd</t>
  </si>
  <si>
    <t>11355</t>
  </si>
  <si>
    <t>A man entered a hospital in Queens and brandished a knife at staff while asking for syringes. He left the hospital and police found him on the street. He tried to attack officers with the knife and police shot him</t>
  </si>
  <si>
    <t>http://www.nbcnewyork.com/news/local/NYPD-Police-Shoot-Man-Who-Came-at-Officers-with-Knife-Kissena-Boulevard-280457662.html</t>
  </si>
  <si>
    <t>Jeffrey Holden Jr.</t>
  </si>
  <si>
    <t>http://media.graytvinc.com/images/353*353/jeffery+holden+1.jpg</t>
  </si>
  <si>
    <t>3000 West Douglas Avenue</t>
  </si>
  <si>
    <t>67203</t>
  </si>
  <si>
    <t>A man with known ties to gangs was walking around a neighborhood, randomly shooting at cars, houses, and police cars, was gunned down by police.</t>
  </si>
  <si>
    <t>http://www.kansas.com/news/local/crime/article3402420.html</t>
  </si>
  <si>
    <t>Craig Hall</t>
  </si>
  <si>
    <t>2000 13th Ave.</t>
  </si>
  <si>
    <t>Maywood</t>
  </si>
  <si>
    <t>60155</t>
  </si>
  <si>
    <t>Maywood Police Department</t>
  </si>
  <si>
    <t>After witnessing an alleged drug deal, a man led police on a short foot chase, where the suspect then drew a gun and police shot him.</t>
  </si>
  <si>
    <t>http://www.chicagotribune.com/news/local/breaking/chi-maywood-police-shooting-death-20141026-story.html</t>
  </si>
  <si>
    <t>Greensboro</t>
  </si>
  <si>
    <t>Luis Carlos Quintana</t>
  </si>
  <si>
    <t>http://local.sltrib.com/charts/shootings/images/thumbs/32.jpg</t>
  </si>
  <si>
    <t>8400 West and 3500 South</t>
  </si>
  <si>
    <t>Magna</t>
  </si>
  <si>
    <t>84044</t>
  </si>
  <si>
    <t>Unified Police Department</t>
  </si>
  <si>
    <t>Police went to Quintana's home in Magna after receiving a report he was hurting himself. They said they found him cutting himself with a retractable razor knife in the middle of the road. Despite orders to stop, he allegedly charged at an officer, who shot him four times.</t>
  </si>
  <si>
    <t>Bobby Shane Patrick</t>
  </si>
  <si>
    <t>http://www.arklatexhomepage.com/media/lib/186/0/2/4/0242a157-894d-4e52-9a52-73103f973b9c/Story.jpg</t>
  </si>
  <si>
    <t>AR-7</t>
  </si>
  <si>
    <t>Russellville</t>
  </si>
  <si>
    <t>72801</t>
  </si>
  <si>
    <t>Pope</t>
  </si>
  <si>
    <t>Arkansas State Police</t>
  </si>
  <si>
    <t>Officers tried to stop a car on the highway. The suspect led officers on a chase for 10 miles. When the suspect pulled over, he ran into a wooded area. Officers found a passenger in the car who was on probation for drug possession. Officers went after Patrick and when they caught up with, he pointed a gun at officers. Officers fired at him.</t>
  </si>
  <si>
    <t>http://www.thv11.com/story/news/local/2014/10/25/arkansas-state-police-involved-in-deadly-shooting/17901827/</t>
  </si>
  <si>
    <t>Daniel Walsh</t>
  </si>
  <si>
    <t>Gothard Street and Ernest Drive</t>
  </si>
  <si>
    <t>Huntington Beach</t>
  </si>
  <si>
    <t>92648</t>
  </si>
  <si>
    <t>Huntington Beach Police Department</t>
  </si>
  <si>
    <t>Walsh was driving recklessly and was involved in a car crash. He exited his vehicle after the crash and walked up the driveway of a residence with a gun. Police ordered him to stop and Walsh pointed the gun at the officer. The officer shot him.</t>
  </si>
  <si>
    <t>http://ktla.com/2014/10/25/armed-man-fatally-shot-by-officer-in-huntington-beach-police-say/</t>
  </si>
  <si>
    <t>Brian Burch</t>
  </si>
  <si>
    <t>5938 Cliffdale Road</t>
  </si>
  <si>
    <t>Cumberland County Sheriff's Office</t>
  </si>
  <si>
    <t>Authorities say a deputy stopped Burch, and he started cutting at his arms and neck. Investigators say Burch then fought with officers after being shocked with a Taser, and a deputy fired two shots.</t>
  </si>
  <si>
    <t>Edgar Amaro López</t>
  </si>
  <si>
    <t>9401 W Hermans Rd</t>
  </si>
  <si>
    <t>85746</t>
  </si>
  <si>
    <t>Lopez was shot and killed after being suspected as being a smuggler and armed with weapons.</t>
  </si>
  <si>
    <t>Rogelio Cisneros-Chavez</t>
  </si>
  <si>
    <t>http://main.abqjournal.netdna-cdn.com/wp-content/uploads/2013/10/R.-Cisneros-Chavez-131x175.jpg</t>
  </si>
  <si>
    <t>600 NM-76</t>
  </si>
  <si>
    <t>Española</t>
  </si>
  <si>
    <t>Rio Arriba</t>
  </si>
  <si>
    <t>Agents with the State Police Investigations Bureau were looking for Cisneros-Chavez, who was a suspect in a $7,600 larceny case and had a warrant out for his arrest. They found Cisneros-Chavez in apartment 323 just before 9 p.m. Multiple gunshots were fired. Cisneros-Chavez received fatal gunshot wounds and died of his injuries in the apartment</t>
  </si>
  <si>
    <t>http://www.abqjournal.com/288503/news/espanola-man-killed-state-police-officer-injured-in-shooting.html</t>
  </si>
  <si>
    <t>Richard Scheuermann III</t>
  </si>
  <si>
    <t>http://ak-cache.legacy.net/legacy/images/Cobrands/etpa/Photos/211805_20141029.jpg</t>
  </si>
  <si>
    <t>North 13th St. and Spring Garden St.</t>
  </si>
  <si>
    <t>Easton</t>
  </si>
  <si>
    <t>18042</t>
  </si>
  <si>
    <t>Northampton</t>
  </si>
  <si>
    <t>Easton and Palmer Township Police Departments</t>
  </si>
  <si>
    <t>Gunshot, Stabbed</t>
  </si>
  <si>
    <t>Deceased was driving the wrong way on street, refused to pull over and was followed through several communities before crashing his truck into a pole. Then he backed into 2 police cars and shots were fired. He was found in the truck with a knife in his neck and was hit by 2 bullets - exact cause of death has not been released yet.</t>
  </si>
  <si>
    <t>http://www.lehighvalleylive.com/easton/index.ssf/2014/10/wilson_borough_man_shot_by_pol_2.html</t>
  </si>
  <si>
    <t>Trevor Silvia</t>
  </si>
  <si>
    <t>http://headlinesurfer.com/sites/nsbnews.net/2013/trevor%20silvia%20copy.jpg</t>
  </si>
  <si>
    <t>1410 Needle Palm Drive</t>
  </si>
  <si>
    <t>Edgewater</t>
  </si>
  <si>
    <t>32132</t>
  </si>
  <si>
    <t>Edgewater Police Department</t>
  </si>
  <si>
    <t>Edgewater Officers responded to a 9-1-1 call of a disturbance. Upon their arrival, Edgewater Sgt. John Tarr and officer Charles Geiger encountered 34-year-old Trevor Silvia, who confronted them wielding a knife and making threats.The cops attempted to subdue Silvia using a Taser, but it had no impact in stopping Silvia's forward charge, and they subsequently opened fire. Silvia was transported by Volusia County Sheriff's Air-One helicopter to Halifax Health Hospital where he was later pronounced dead.</t>
  </si>
  <si>
    <t>http://headlinesurfer.com/content/414024-edgewater-cops-shoot-and-kill-confrontational-man-wielding-butcher-knife-after-taseri</t>
  </si>
  <si>
    <t>Shaun Wilson Ramo</t>
  </si>
  <si>
    <t>http://www.wbrz.com/images/video/2014-10/Iberville_deputies_shoot_rape_suspect_2014-10-26_c05d2e.jpg</t>
  </si>
  <si>
    <t>3900 La. 75</t>
  </si>
  <si>
    <t>Plaquemine</t>
  </si>
  <si>
    <t>70764</t>
  </si>
  <si>
    <t>Iberville</t>
  </si>
  <si>
    <t>Iberville Parish Sheriff's Office</t>
  </si>
  <si>
    <t>Deputies were searching for Ramo because he allegedly raped a woman. They found him in a wooded area near LA HWY 75. He had a gun and pointed it at deputies. Two officers fired at him.</t>
  </si>
  <si>
    <t>http://www.nola.com/crime/baton-rouge/index.ssf/2014/10/man_fatally_shot_by_iberville.html</t>
  </si>
  <si>
    <t>Phia Vang</t>
  </si>
  <si>
    <t>SR 604</t>
  </si>
  <si>
    <t>Jean</t>
  </si>
  <si>
    <t>89158</t>
  </si>
  <si>
    <t>Vang led officers on a car chase from California into Nevada. When officers caught up with him, he ran his car into an officer and ignored commands to stop. He was shot by highway patrol officers.</t>
  </si>
  <si>
    <t>http://www.8newsnow.com/story/26880200/california-police-chase-ends-near-jean</t>
  </si>
  <si>
    <t>Michael Ricardo Minor</t>
  </si>
  <si>
    <t>2300 Houston St</t>
  </si>
  <si>
    <t>Suitland</t>
  </si>
  <si>
    <t>20746</t>
  </si>
  <si>
    <t>Prince Georges</t>
  </si>
  <si>
    <t>Prince Georges Sheriff's Office</t>
  </si>
  <si>
    <t>Minor was drinking and involved in a domestic dispute. When officers arrived they thought Minor had a gun and did not comply with officer's orders. Minor was shot and killed. Minor did not have a weapon on him.</t>
  </si>
  <si>
    <t>http://www.washingtonpost.com/local/crime/pr-georges-sheriff-identifies-deputies-involved-in-fatal-shooting-in-suitland/2014/10/24/58dce480-5b97-11e4-b812-38518ae74c67_story.html</t>
  </si>
  <si>
    <t>Zale Thompson</t>
  </si>
  <si>
    <t>https://thenypost.files.wordpress.com/2014/10/1414185514092_wps_3_e_justice_photo_1_jpg_101041153-e1414293987917.jpg?w=248&amp;h=300</t>
  </si>
  <si>
    <t>Jamaica Ave &amp; 160th St</t>
  </si>
  <si>
    <t>Thompson, an Islamic extremist, attacked officers with a hatchet and was subsequently shot and killed.</t>
  </si>
  <si>
    <t>Jeremy Bustos</t>
  </si>
  <si>
    <t>https://pbs.twimg.com/media/B0qH-TzIgAAuoT4.jpg</t>
  </si>
  <si>
    <t>W Durango St &amp; S 111th Ave</t>
  </si>
  <si>
    <t>Avondale</t>
  </si>
  <si>
    <t>85323</t>
  </si>
  <si>
    <t>Avondale Police Department</t>
  </si>
  <si>
    <t>Bustos was being pursued by officers until he hit tire-puncturing devices causing him to slam his truck into a police car. He got out and threatened officers with a machete. Bustos then did not obey officers' commands to drop the weapon. Bustos was shot and killed.</t>
  </si>
  <si>
    <t>http://www.azcentral.com/story/news/local/southwest-valley/2014/10/23/avondale-police-shooting-abrk/17776369/</t>
  </si>
  <si>
    <t>Luis Roman</t>
  </si>
  <si>
    <t>https://lintvwpri.files.wordpress.com/2014/10/roman.jpg?w=300&amp;h=168</t>
  </si>
  <si>
    <t>Ledgewood Boulevard</t>
  </si>
  <si>
    <t>Dartmouth</t>
  </si>
  <si>
    <t>02747</t>
  </si>
  <si>
    <t>Bristol</t>
  </si>
  <si>
    <t>Dartmouth Police Department</t>
  </si>
  <si>
    <t>http://wpri.com/2014/10/24/dartmouth-cops-shoot-kill-armed-suspect/</t>
  </si>
  <si>
    <t>Cesar Javier Cepeda</t>
  </si>
  <si>
    <t>http://i2.wp.com/knvotv48v2.s3.amazonaws.com/wp-content/uploads/2014/10/INVESTIGACION1_thumb16.jpg?resize=350%2C200</t>
  </si>
  <si>
    <t>Milpa Verde</t>
  </si>
  <si>
    <t>78521</t>
  </si>
  <si>
    <t>Cepeda, a Brownsville man wanted by Willacy County authorities for the stabbing of another Brownsville man was shot to death by Brownsville police in the southernmost area of that city after he lunged at officers with an ax.</t>
  </si>
  <si>
    <t>http://www.raymondville-chronicle.com/news/2014-10-29/Front_Page/Suspect_in_Sebastian_stabbing_shot_dead_by_Brownsv.html</t>
  </si>
  <si>
    <t>Saint Clair</t>
  </si>
  <si>
    <t>Jose Calzada</t>
  </si>
  <si>
    <t>5300 South</t>
  </si>
  <si>
    <t>Roy</t>
  </si>
  <si>
    <t>84067</t>
  </si>
  <si>
    <t>Roy Police Department</t>
  </si>
  <si>
    <t>Jose Calzada, 35, placed a call to a suicide prevention hotline at 4:00 a.m. in the morning and threatened to kill himself. SWAT eventully showed up and helped him.</t>
  </si>
  <si>
    <t>http://thefreethoughtproject.com/call-suicide-prevention-hotline-killed-swat-team/#65Hig5es6WqfSAbe.99</t>
  </si>
  <si>
    <t>Laquan McDonald</t>
  </si>
  <si>
    <t>500 N Springfield Ave</t>
  </si>
  <si>
    <t>60624</t>
  </si>
  <si>
    <t>McDonald was shot and killed after being suspected of breaking into cars. McDonald also slashed an officers tire with a knife. He then led officers on a shot foot chase and refused to drop the knife, prompting an officer to shoot and kill him.</t>
  </si>
  <si>
    <t>http://chicago.suntimes.com/crime/7/71/145458/boy-17-shot-to-death-by-police-on-southwest-side-identified</t>
  </si>
  <si>
    <t>Julian Magdaleno</t>
  </si>
  <si>
    <t>http://bloximages.chicago2.vip.townnews.com/wacotrib.com/content/tncms/assets/v3/editorial/8/b9/8b9ca595-3260-577c-8aa5-e238379a06fa/5445733b13e61.image.jpg?resize=300%2C445</t>
  </si>
  <si>
    <t>1100 Dossett St</t>
  </si>
  <si>
    <t>76705</t>
  </si>
  <si>
    <t>Bellmead Police Department</t>
  </si>
  <si>
    <t>Magdaleno was suspected of burglarizing a residence in the Eagle Crest Apartments while wearing a Halloween mask and wielding a butcher knife.Officers reportedly shot him with a stun gun, but he broke free. One of the three officers chasing Magdaleno approached him, and he turned and started slashing at the officer with a knife, Alvarado said. Officers opened fire and killed him.</t>
  </si>
  <si>
    <t>http://www.wacotrib.com/news/greater_waco/bellmead/autopsy-results-man-killed-by-bellmead-officers-died-of-multiple/article_fcf482d3-b3e2-5ec3-921a-0553928b1619.html</t>
  </si>
  <si>
    <t>Marco Antonio Perez</t>
  </si>
  <si>
    <t>6099 Montana Avenue</t>
  </si>
  <si>
    <t>79925</t>
  </si>
  <si>
    <t>Police said a hotel employee was confronted and threatened by the man with a gun.The employee then went inside and called police.Three officers arrived at the scene and confronted the armed suspect. Police said officers ordered him to put the weapon down, but he refused.The suspect allegedly threatened the officers, and that is when officers fired, killing him at the scene.</t>
  </si>
  <si>
    <t>http://www.kvia.com/news/el-paso-police-release-name-of-man-killed-in-officerinvolved-shooting-outside-hotel/29325106</t>
  </si>
  <si>
    <t>Ricardo de Jesus Barrera</t>
  </si>
  <si>
    <t>1600 SE 17th St</t>
  </si>
  <si>
    <t>34471</t>
  </si>
  <si>
    <t>Barrera was involved in murdering two people. During a pursuit with Barrera an officer shot Barrera. Barrera died at a hospital.</t>
  </si>
  <si>
    <t>http://www.ocala.com/article/20150120/ARTICLES/150129987</t>
  </si>
  <si>
    <t>Gary E. Lee</t>
  </si>
  <si>
    <t>4700 Western St</t>
  </si>
  <si>
    <t>Hopewell</t>
  </si>
  <si>
    <t>23860</t>
  </si>
  <si>
    <t>Hopewell Police Department</t>
  </si>
  <si>
    <t>Lee was suspected of killing his wife. Officers then found Lee in a vehicle off the side of the road. Officers negotiated with him, but Lee pointed an object at officers that appeared to be a gun, promting the officers to shoot and kill Lee.</t>
  </si>
  <si>
    <t>http://www.richmond.com/news/local/central-virginia/article_a8b637c5-fc2b-5307-b69b-5671bd5e9046.html</t>
  </si>
  <si>
    <t>Ronnie D. McNary</t>
  </si>
  <si>
    <t>1300 Avondale Rd</t>
  </si>
  <si>
    <t>South Euclid</t>
  </si>
  <si>
    <t>44121</t>
  </si>
  <si>
    <t>South Euclid Police Department</t>
  </si>
  <si>
    <t>Officers went to a home at 4:13 a.m. to investigate a domestic dispute. When they arrived, they heard a woman yelling for help, South Euclid Chief Kevin Nietert said in a statement. Officers entered the home and saw a man assaulting the woman with a knife. The man did not obey when the officers told him to stop, and an officer shot the man in order to protect the woman.</t>
  </si>
  <si>
    <t>http://www.cleveland.com/lyndhurst-south-euclid/index.ssf/2014/10/south_euclid_officer_fatally_s.html</t>
  </si>
  <si>
    <t>Tarrell Lucas</t>
  </si>
  <si>
    <t>3778 South East Street</t>
  </si>
  <si>
    <t>46227</t>
  </si>
  <si>
    <t>Police shot Terrell Lucas, 22, during a robbery Saturday night at a GameStop store. Police said Lucas burst out of a door waving a gun and that when he refused to put the gun down, he was shot.</t>
  </si>
  <si>
    <t>http://www.chicagotribune.com/news/local/breaking/chi-chicago-man-dead-2-others-charged-in-indianapolis-robbery-20141020-story.html</t>
  </si>
  <si>
    <t>Lubbock</t>
  </si>
  <si>
    <t>Tom Rook</t>
  </si>
  <si>
    <t>http://whbq.images.worldnow.com/images/5277651_G.jpg</t>
  </si>
  <si>
    <t>Southaven</t>
  </si>
  <si>
    <t>38671</t>
  </si>
  <si>
    <t>A woman called police after she said Rook, the father of her child, kicked in the door to her home. When police arrived, Rook and another woman jumped into a white car and tried to get away. When police surrounded the car they took the woman, who was driving, into custody. That's when officials say Rook jumped in the driver's seat. Police saw a gun and fired.</t>
  </si>
  <si>
    <t>http://www.wmcactionnews5.com/story/26821428/southaven-shooting-injures-one-police-investigate</t>
  </si>
  <si>
    <t>Adam Ardett Madison</t>
  </si>
  <si>
    <t>http://www.killedbypolice.net/victims/140873.jpg</t>
  </si>
  <si>
    <t>Warrior-Trafford Rd &amp; Sibleyville Rd</t>
  </si>
  <si>
    <t>Warrior</t>
  </si>
  <si>
    <t>35180</t>
  </si>
  <si>
    <t>Warrior Police Department</t>
  </si>
  <si>
    <t>Madison was shot and killed in an altercation with the police officer on Friday, when Madison was stopped at a license-check traffic roadblock on Warrior Trafford Road. "According to statements issued by Warrior Police, Madison struggled with their officer outside of Madison's vehicle, and Madison was shot and killed in the incident."</t>
  </si>
  <si>
    <t>http://www.njeffersonnews.com/news/update-man-killed-in-warrior-incident-is-identified/article_bbae94ec-586c-11e4-b421-8f631220e05e.html?mode=jqm</t>
  </si>
  <si>
    <t>John T. Kolata</t>
  </si>
  <si>
    <t>http://bloximages.chicago2.vip.townnews.com/harrisondaily.com/content/tncms/assets/v3/editorial/3/14/31488888-58a5-11e4-9cda-ab359fb2c5b7/54458724bb54a.image.jpg</t>
  </si>
  <si>
    <t>423 Main Street</t>
  </si>
  <si>
    <t>Leslie</t>
  </si>
  <si>
    <t>72645</t>
  </si>
  <si>
    <t>Searcy</t>
  </si>
  <si>
    <t>Kolata was reportedly holding people hostage at a bakery. When officers arrived on scene and entered the bakery, Kolata fired at officers, wounding one. Officers fired back and Kolata was wounded. He died later at a hospital.</t>
  </si>
  <si>
    <t>http://asp.arkansas.gov/news-releases/detail/state-police-investigating-shooting-incident-in-searcy-county</t>
  </si>
  <si>
    <t>Harvey Mullenax</t>
  </si>
  <si>
    <t>http://www.gannett-cdn.com/-mm-/8334042135d7f679c06190b7cdf533ced74a407e/c=15-0-465-600&amp;r=537&amp;c=0-0-534-712/local/-/media/Phoenix/None/2014/10/20/635494352729860008-Harvey-Milleneux.jpg</t>
  </si>
  <si>
    <t>Highway 169 and S. River Drive</t>
  </si>
  <si>
    <t>Mullenax stole a truck and drove it up the highway, where a pursuit with officers followed. Mullenax dumped the truck, and an officer approached on foot. Mullenax entered officer's vehicle and inflicted damage to officer's person, and officer shot Mullenax. Mullenax later died of injuries at a Phoenix hospital.</t>
  </si>
  <si>
    <t>http://dcourier.com/main.asp?SectionID=1&amp;subsectionID=1086&amp;articleID=137460</t>
  </si>
  <si>
    <t>Van Buren</t>
  </si>
  <si>
    <t>Van Buren County Sheriff's Office</t>
  </si>
  <si>
    <t>Johnny Joseph Martinez</t>
  </si>
  <si>
    <t>116 Alabama St</t>
  </si>
  <si>
    <t>Dalhart</t>
  </si>
  <si>
    <t>79022</t>
  </si>
  <si>
    <t>Dallam</t>
  </si>
  <si>
    <t>Dalhart Police Department</t>
  </si>
  <si>
    <t>Martinez had a knife. During an altercation with officers he was shot and killed.</t>
  </si>
  <si>
    <t>http://www.connectamarillo.com/news/story.aspx?id=1109597#.VLWIUsaZFg0</t>
  </si>
  <si>
    <t>Freddie Cooper</t>
  </si>
  <si>
    <t>1700 Shelley Carlile Dr</t>
  </si>
  <si>
    <t>Spiro</t>
  </si>
  <si>
    <t>74959</t>
  </si>
  <si>
    <t>Le Flore</t>
  </si>
  <si>
    <t>LeFlore County Sheriff's Office</t>
  </si>
  <si>
    <t>Cooper took four people hostage after stealing a purse. Cooper came out of the house and pointed a gun at deputies. A deputy then shot and killed Cooper.</t>
  </si>
  <si>
    <t>http://5newsonline.com/2014/10/13/shooting-investigation-closes-road-near-spiro/</t>
  </si>
  <si>
    <t>Jerry Leon Hermes Jr.</t>
  </si>
  <si>
    <t>http://www.gannett-cdn.com/-mm-/39011bf09ba772ac3abe954c6654c3f0e3373139/c=12-0-415-537&amp;r=537&amp;c=0-0-534-712/local/-/media/KENS/None/2014/10/13/635488022572675699-Jerry-Hermes-Jr.JPG</t>
  </si>
  <si>
    <t>2600 Wosnig Rd</t>
  </si>
  <si>
    <t>78124</t>
  </si>
  <si>
    <t>Guadalupe</t>
  </si>
  <si>
    <t>Police searched for Jerry Leon Hermes, Jr., 35, after finding his wife Lisa dead with multiple gunshot wounds in the driver's seat of a sport utility vehicle with three children in the back seat. Authorities located Jerry Hermes in a barn. Members of the task force engaged the suspect with a handgun. A U.S. Deputy Marshal shot and killed Hermes.</t>
  </si>
  <si>
    <t>http://www.mysanantonio.com/news/local/article/New-Braunfels-police-on-hunt-for-murder-suspect-5819823.php</t>
  </si>
  <si>
    <t>Ronald Johnson</t>
  </si>
  <si>
    <t>5300 Kings Cir S</t>
  </si>
  <si>
    <t>60615</t>
  </si>
  <si>
    <t>Police were investigating a shots-fired call in the 5300 block of South King Drive, and they say when they arrived, a suspect ran and then pointed a gun at officers. They shot and killed 25-year-old Ronald Johnson. Witnesses say he did not have a gun.</t>
  </si>
  <si>
    <t>http://abc7chicago.com/news/police-shoot-kill-man-in-washington-park/346997/</t>
  </si>
  <si>
    <t>John C. Carr</t>
  </si>
  <si>
    <t>http://wfla.images.worldnow.com/images/5132252_G.jpg</t>
  </si>
  <si>
    <t>1015 Lily White Court</t>
  </si>
  <si>
    <t>33605</t>
  </si>
  <si>
    <t>Carr attempted an armed robbery of a couple at an apartment complex. The woman called 911, and Carr was immediately identified by responding local officers. He shot at those officers, and was killed in the resulting exchange of gunfire.</t>
  </si>
  <si>
    <t>http://www.tampabay.com/news/publicsafety/crime/robbery-suspect-shot-by-tampa-officer-dies-in-hospital/2203461</t>
  </si>
  <si>
    <t>Jack Jacquez Jr.</t>
  </si>
  <si>
    <t>http://extras.mnginteractive.com/live/media/site36/2014/1114/20141114__Jack-Jacquez-Jr~p1.jpg</t>
  </si>
  <si>
    <t>400 N. Third St</t>
  </si>
  <si>
    <t>Rocky Ford</t>
  </si>
  <si>
    <t>81067</t>
  </si>
  <si>
    <t>Otero</t>
  </si>
  <si>
    <t>Rocky Ford Police Department</t>
  </si>
  <si>
    <t>Jacquez returned home with his skateboard around 2:30 am, reportedly after babysitting. Officer James Ashby, 41, allegedly broke down the front door, entered, and proceeded to argue with Jacquez. Witness Sara Lindenmuth states that when Jacquez' back was turned, Ashby shot him twice and then maced or pepper sprayed him while he lay dying on the floor. She also states that when Jacquez' mother tried to call 911, Ashby threw her phone against the wall. Ashby is currently facing a 2nd degree murder charge.</t>
  </si>
  <si>
    <t>http://www.denverpost.com/news/ci_26967917/rocky-ford-officer-accused-murder-dues-court-faces</t>
  </si>
  <si>
    <t>Alan Gillotti Sr.</t>
  </si>
  <si>
    <t>Town Line Rd</t>
  </si>
  <si>
    <t>Ludlow</t>
  </si>
  <si>
    <t>04730</t>
  </si>
  <si>
    <t>http://bangordailynews.com/2014/10/12/news/aroostook/state-trooper-fatally-shoots-man-in-aroostook-county/</t>
  </si>
  <si>
    <t>Seaside Lane</t>
  </si>
  <si>
    <t>James Island</t>
  </si>
  <si>
    <t>http://www.postandcourier.com/article/20131014/PC16/131019685</t>
  </si>
  <si>
    <t>Shannon P. Bryant</t>
  </si>
  <si>
    <t>500 Northeast Greenfield Road</t>
  </si>
  <si>
    <t>64116</t>
  </si>
  <si>
    <t>Officers responded to reports of shots fired. Subject allegedly point a gun at three officers who then fired upon subject.</t>
  </si>
  <si>
    <t>http://www.kansascity.com/news/local/crime/article2912738.html</t>
  </si>
  <si>
    <t>Joseph Elliott</t>
  </si>
  <si>
    <t>5600 E Lancaster Ave</t>
  </si>
  <si>
    <t>76112</t>
  </si>
  <si>
    <t>http://www.star-telegram.com/news/local/community/fort-worth/article3877448.html</t>
  </si>
  <si>
    <t>Qusean Whitten</t>
  </si>
  <si>
    <t>http://www.10tv.com/content/graphics/2014/06/10/missing-people-update/Qusean_Whitten-columbus-17-021214.jpg?__scale=w:660,h:500,t:1,c:ffffff,q:90,r:1</t>
  </si>
  <si>
    <t>4050 Alum Creek Dr</t>
  </si>
  <si>
    <t>Police said Whitten and 20-year-old Elisha Glass were among four people involved in the armed robbery of a store police had staked out. Police surrounded the suspects' vehicle and shot and killed Glass and Whitten as they tried to escape.</t>
  </si>
  <si>
    <t>http://www.10tv.com/content/stories/2014/10/12/columbus-ohio--grieving-family-of-man-killed-in-columbus-police-involved-shooting-wants-answers.html</t>
  </si>
  <si>
    <t>Elisha Paul Glass</t>
  </si>
  <si>
    <t>http://ak-cache.legacy.net/legacy/images/Cobrands/Dispatch/Photos/0005927010-01-1_20141015.jpg</t>
  </si>
  <si>
    <t>Police said Glass and 18-year-old Qusean Whitten were among four people involved in the armed robbery of a store police had staked out. Police surrounded the suspects' vehicle and shot and killed Glass and Whitten as they tried to escape.</t>
  </si>
  <si>
    <t>Frank R. Kerr</t>
  </si>
  <si>
    <t>http://www.kvoa.com/images/thumbnails/01279C45D71912A27A71E897FF496DE2_787_442.jpg</t>
  </si>
  <si>
    <t>S 10th Ave &amp; W 36th St</t>
  </si>
  <si>
    <t>85713</t>
  </si>
  <si>
    <t>South Tucson Police Department</t>
  </si>
  <si>
    <t>Police responding to a report of shots fired encountered Kerr on a sidewalk. Kerr fired his rifle at an officer and struck the patrol car. The officer responded by shooting and killing Kerr.</t>
  </si>
  <si>
    <t>http://tucson.com/news/blogs/police-beat/update-man-shot-and-killed-by-officer-id-d/article_66af5ebc-53db-11e4-b916-6be19a4c1d9a.html</t>
  </si>
  <si>
    <t>Ahaviel T. Whitfield</t>
  </si>
  <si>
    <t>http://www.justmugshots.com/img/348860/lg/ahaviel-travionne-whitfield.jpg</t>
  </si>
  <si>
    <t>2632 Rainbow Way</t>
  </si>
  <si>
    <t>30034</t>
  </si>
  <si>
    <t>http://www.ajc.com/news/news/carjacking-suspect-killed-by-dekalb-officer-identi/nhjBK/</t>
  </si>
  <si>
    <t>William Thomas Holt</t>
  </si>
  <si>
    <t>http://www.watsongiddensfuneralhome.com/obituaries/uploads/OI1699916608_IMG0749.jpg</t>
  </si>
  <si>
    <t>2500 Lowry Ave. NE</t>
  </si>
  <si>
    <t>Minneapolis</t>
  </si>
  <si>
    <t>55418</t>
  </si>
  <si>
    <t>East Metro SWAT Team, Roseville Police Department</t>
  </si>
  <si>
    <t>Police said they received reports of shots being fired at a trailer in St. Anthony Village. As police approached, a man inside a trailer told them there were two other armed people inside and he had exchanged gunfire with them. As SWAT officers approached during a several-hour standoff, Holt came outside with a gun. A BCA investigation report said he ran toward officers and refused to drop the weapon. Officers fired, killing Holt. Later, officers entered the trailer and found nobody. Police said they believe there were never any other people involved.</t>
  </si>
  <si>
    <t>http://www.mprnews.org/story/2014/10/10/man-dies-in-st-anthony-officerinvolved-shooting</t>
  </si>
  <si>
    <t>VonDerrit D. Myers Jr.</t>
  </si>
  <si>
    <t>http://bloximages.newyork1.vip.townnews.com/stltoday.com/content/tncms/assets/v3/editorial/f/e6/fe610bd4-96b9-5a91-b3f1-9d014bcf2889/54822671e7742.image.jpg?resize=300%2C375</t>
  </si>
  <si>
    <t>4100 Shaw Blvd</t>
  </si>
  <si>
    <t>63110</t>
  </si>
  <si>
    <t>Officer Jason Flanery was off-duty but in uniform on neighborhood patrol for a private security company. The officer said that Myers ran away from a marked security car, and fired shots at Flanery during a foot chase before the officer fired back. Witnesses dispute this account, saying that VonDerrit was unarmed and a gun was planted at the scene. Myers' DNA was not found on the gun.</t>
  </si>
  <si>
    <t>http://www.washingtonpost.com/news/morning-mix/wp/2014/10/09/crowds-in-streets-of-st-louis-after-fatal-shooting-by-off-duty-police-officer/</t>
  </si>
  <si>
    <t>Miguel Reyes</t>
  </si>
  <si>
    <t>255 NJ-4</t>
  </si>
  <si>
    <t>07652</t>
  </si>
  <si>
    <t>Paramus Police Department</t>
  </si>
  <si>
    <t>Two Paramus officers responded to an alarm and found four suspects in a 2015 Kia K900. The driver, Reyes, allegedly tried to run down one of the officers, who was thrown onto the hood of the car. The officer fired multiple shots, fatally wounding Reyes, who crashed the car and fled on foot across the highway. He was pronounced dead about an hour later.</t>
  </si>
  <si>
    <t>http://pix11.com/2014/10/08/police-activity-prompts-rt-4-westbound-closure-for-four-hours/</t>
  </si>
  <si>
    <t>Ymauo Erwin</t>
  </si>
  <si>
    <t>4200 NW 57th Terrace</t>
  </si>
  <si>
    <t>64151</t>
  </si>
  <si>
    <t>Platte</t>
  </si>
  <si>
    <t>Victim was reportedly involved in a domestic disturbance, brandished a sword-like item and was shot by responding officer.</t>
  </si>
  <si>
    <t>http://www.kansascity.com/news/local/crime/article2650255.html</t>
  </si>
  <si>
    <t>Jason Rogers</t>
  </si>
  <si>
    <t>http://www.serenitytulsa.com/wp-content/uploads/2014/10/JASON-ROGERS.jpeg</t>
  </si>
  <si>
    <t>8829 E. 16th St</t>
  </si>
  <si>
    <t>74112</t>
  </si>
  <si>
    <t>Police planned to arrest Rogers for domestic violence. Police said the disturbance occurred a few nights before. Police say Rogers was in the back yard mowing when they approached him and identified themselves. They said he drew a gun from his waistband and officers fired shots in response.</t>
  </si>
  <si>
    <t>http://www.tulsaworld.com/newshomepage3/tulsa-man-killed-in-officer-involved-shooting-had-history-of/article_d3cef78c-aac2-5479-b82c-e8761af58b83.html</t>
  </si>
  <si>
    <t>Reginald Owens</t>
  </si>
  <si>
    <t>https://2dbdd5116ffa30a49aa8-c03f075f8191fb4e60e74b907071aee8.ssl.cf1.rackcdn.com/2345566_1412965974.0828.jpeg</t>
  </si>
  <si>
    <t>815 Wheeler Avenue NW</t>
  </si>
  <si>
    <t>35801</t>
  </si>
  <si>
    <t>Suspect drover in gray minivan to Huntsville PD station on Wheeler Avenue and rammed a patrol car with an on-duty officer inside. Both drivers exited vehicle. Officer claims suspect lunged at him with a knife and ignored commands to drop the knife. Officers shot the suspect, who later died at Huntsville Hospital of his injuries.</t>
  </si>
  <si>
    <t>Iretha Lilly</t>
  </si>
  <si>
    <t>3201 E State Highway 6</t>
  </si>
  <si>
    <t>The Texas Rangers are investigating the death of a 37-year-old woman who died Monday night after she was shocked with an electric stun gun while deputies tried to take her into custody earlier in the day.</t>
  </si>
  <si>
    <t>Aljarreau Cross</t>
  </si>
  <si>
    <t>http://thumbnail.newsinc.com/27570190.sf.jpg</t>
  </si>
  <si>
    <t>700 Miller Ave</t>
  </si>
  <si>
    <t>89030</t>
  </si>
  <si>
    <t>Cross reportedly was running from an officer and fired gun shots at the officer. the officer then shot and killed Cross.</t>
  </si>
  <si>
    <t>http://www.workers.org/articles/wp-content/uploads/2014/12/evans_1218.jpg</t>
  </si>
  <si>
    <t>400 Bryant St</t>
  </si>
  <si>
    <t>94107</t>
  </si>
  <si>
    <t>Evans pointed a gun at an officer, the officer responded by shooting/killing Evans. Evans was with a couple people that were suspected of burglarizing a vehicle.</t>
  </si>
  <si>
    <t>http://www.sfgate.com/crime/article/S-F-police-ID-officer-in-fatal-shooting-of-5815475.php</t>
  </si>
  <si>
    <t>Armondo Ochoa</t>
  </si>
  <si>
    <t>5900 Bonhomme Rd</t>
  </si>
  <si>
    <t>77036</t>
  </si>
  <si>
    <t>Ochoa kidnapped his estranged wife. Officers and SWAT surrounded his parked vehicle, that he barricaded him and his wife in. Ochoa ultimately exited the vehicle, pointed a gun at officers resulting in him being shot and killed.</t>
  </si>
  <si>
    <t>http://www.houstontx.gov/police/nr/2014/oct/nr141008-1.htm</t>
  </si>
  <si>
    <t>Balantine Mbegbu</t>
  </si>
  <si>
    <t>http://tribexmarketing.com/wp-content/uploads/2014/10/arizona.jpg</t>
  </si>
  <si>
    <t>7001 N 27th Ave</t>
  </si>
  <si>
    <t>Police responded to a 911 call about a fight in a home. When police arrived, things quickly escalated, and by the end of the night, Mbegbu was in a hospital morgue. Police said Mbegbu became physical with responding officers and forced them to react. Mbegbu fought with officers, spilled liquid on them and kicked an officer in the groin, according to investigators. Mbegdu was then tasered, shortly after he died.</t>
  </si>
  <si>
    <t>http://www.azcentral.com/story/news/local/phoenix/2014/10/15/phoenix-police-taser-death-abrk/17321969/</t>
  </si>
  <si>
    <t>Tino Martinez</t>
  </si>
  <si>
    <t>http://www.fatalencounters.org/wp-content/uploads/2013/10/Tino-Martinez.jpg</t>
  </si>
  <si>
    <t>S Shields St &amp; W Drake Rd</t>
  </si>
  <si>
    <t>80526</t>
  </si>
  <si>
    <t>A police officer was responding to conduct a "welfare check" on a man who was found passed out on a landing in an outside stairwell of the apartment building between the first and second floors, police said. Police said the officer and the suspect carried on a conversation until the officer asked Martinez to remove his backpack. At that point, the suspect jumped up, pulled out revolver from the backpack and fired at least one round -- possibly two or more -- at the officer, according to police.The officer returned fire, hitting the suspect and killing him.</t>
  </si>
  <si>
    <t>http://www.thedenverchannel.com/news/local-news/reports-officer-suspect-shot-in-fort-collins</t>
  </si>
  <si>
    <t>Lashano J. Gilbert</t>
  </si>
  <si>
    <t>http://i.dailymail.co.uk/i/pix/2014/10/06/1412558100593_Image_galleryImage_Connecticut_state_police_.JPG</t>
  </si>
  <si>
    <t>5 Governor Winthrop Boulevard</t>
  </si>
  <si>
    <t>New London</t>
  </si>
  <si>
    <t>06320</t>
  </si>
  <si>
    <t>New London Police Department</t>
  </si>
  <si>
    <t>Gilbert, while in an 'altered state of mind' and 'speaking in a bizarre manner,' attempted a carjacking. Gilbert reportedly told police he was hearing voices and when he behaved in a threatening manner toward them, they used the stun gun. He was taken to a hospital and treated, then taken to a New London police station.Police say while in a holding cell Gilbert began twisting his pants as if to make a noose. He rushed police when they opened the cell to take the pants. He was tasered a second time. He was rushed to the hospital again and died.</t>
  </si>
  <si>
    <t>http://www.dailymail.co.uk/news/article-2781767/Medical-school-graduate-dies-tasered-twice-police.html</t>
  </si>
  <si>
    <t>Michael Abney</t>
  </si>
  <si>
    <t>3200 Wheeler Rd SE</t>
  </si>
  <si>
    <t>20032</t>
  </si>
  <si>
    <t>Johnny Martinez</t>
  </si>
  <si>
    <t>http://www.fatalencounters.org/wp-content/uploads/2013/10/JohnnyMartinez.jpg</t>
  </si>
  <si>
    <t>Gunshot, Taser, Pepper spray</t>
  </si>
  <si>
    <t>Police were called to break up a fight and, after using a stun gun and pepper spray, shot the suspect, killing him.</t>
  </si>
  <si>
    <t>http://losangeles.cbslocal.com/2014/10/04/suspect-injured-during-deputy-involved-shooting-in-los-angeles/</t>
  </si>
  <si>
    <t>Carl Blossomgame</t>
  </si>
  <si>
    <t>685 West 6th Street</t>
  </si>
  <si>
    <t>92410</t>
  </si>
  <si>
    <t>Blossomgame was suspected of trying to break into a woman's motel room. An officer saw Blossomgame in the parking lot and tried to detain him, but Blossomgame was uncooperative. Blossomgame got away on foot after being tasered. He got in another scruffle with officers during the chase. Blossomgame took an officer's taser and tried to use it. That is when an officer shot and killed Blossomgame.</t>
  </si>
  <si>
    <t>http://www.pe.com/articles/officer-751213-officers-police.html</t>
  </si>
  <si>
    <t>Denis Volchkin</t>
  </si>
  <si>
    <t>E. 26th St. and Avenue X</t>
  </si>
  <si>
    <t>A domestic disturbance call brought police to Volchkin's mother's residence -- her son had choked her, then fled. Ninety minutes later he returned, ransacked the place, and sat on the sofa with three knives. Increasingly agitated, Volchkin lunged at the police and was fatally shot.</t>
  </si>
  <si>
    <t>http://www.nydailynews.com/new-york/nyc-crime/nypd-fatally-shoots-knife-wielding-brooklyn-man-previous-altercation-kim-kardashian-entourage-article-1.1963112</t>
  </si>
  <si>
    <t>Flagstaff</t>
  </si>
  <si>
    <t>Miguel Benton</t>
  </si>
  <si>
    <t>3630 Camp Circle</t>
  </si>
  <si>
    <t>Detectives Phillip Christy and Eddie Stubbs were transporting two inmates to jail after a court appearance on drug and armed robbery charges. One of the inmates, identified as 19-year-old Miguel Benton, managed to get an officer's gun and shot Christy twice. Stubbs then shot Benton, killing him.</t>
  </si>
  <si>
    <t>http://www.ajc.com/news/news/local/two-shot-at-dekalb-court/nhbFh/?icmp=ajc_internallink_textlink_homepage</t>
  </si>
  <si>
    <t>Larry Allen Miller</t>
  </si>
  <si>
    <t>Heather Dr NW</t>
  </si>
  <si>
    <t>Christiansburg</t>
  </si>
  <si>
    <t>24073</t>
  </si>
  <si>
    <t>Police responded to a domestic situation call and report that Miller exited the home with a gun and pointed it at them. They say they then "engaged with him," shot at him several times, and that he died "in the garage." A witness claims about ten shots were fired, and a person reported that Miller may have had Alzheimer's disease.</t>
  </si>
  <si>
    <t>http://www.nbc4i.com/story/26688677/man-killed-in-christiansburg-house-shooting</t>
  </si>
  <si>
    <t>Tracy Ann Oglesby Wade</t>
  </si>
  <si>
    <t>http://ak-cache.legacy.net/legacy/images/Cobrands/Louisville/Photos/LCJ016202-1_20141004.jpg</t>
  </si>
  <si>
    <t>5020 Roaming Plains Ct</t>
  </si>
  <si>
    <t>40229</t>
  </si>
  <si>
    <t>When police tried to serve a warrant to Wade, she reportedly locked herself with a gun and 18-month-old child inside her home for seven hours because she did not want to go back to jail. Police state that she surrendered and a SWAT team entered the home. They claim she pointed the gun at them. Sgts. Eric Culver and Paul Humphrey, Ofcr Brad Harris and Det. Michael Simpson shot at her multiple times.</t>
  </si>
  <si>
    <t>Rafael Mejia</t>
  </si>
  <si>
    <t>7000 Osbun Road</t>
  </si>
  <si>
    <t>92404</t>
  </si>
  <si>
    <t>County Sheriffs responded to a call from a husband that his wife Rosy Mejia, 27, and their three children were held hostage in a home by Rafael Mejia. A SWAT team arrived and an hour later Mejia "was shot and killed after negotiations failed." Rosy was found in the home fatally shot.</t>
  </si>
  <si>
    <t>http://www.fontanaheraldnews.com/news/article_f1643ab0-4b1a-11e4-93e9-db1f2e3a177f.html</t>
  </si>
  <si>
    <t>Ryan Kyle Champ</t>
  </si>
  <si>
    <t>11703 Kirkmeadow Dr</t>
  </si>
  <si>
    <t>77089</t>
  </si>
  <si>
    <t>Police responded to a call on a man with a gun. They report that the man led them on a 26 mile chase back to his home. When he exited the vehicle in his driveway, he reportedly pointed a gun at an officer, who fired at him. The man then fired back, a shootout ensued, and he was shot. Witnesses say they heard 40-50 gunshots.</t>
  </si>
  <si>
    <t>http://www.southbeltleader.com/Leader10-2-14.pdf</t>
  </si>
  <si>
    <t>Marlon S. Woodstock</t>
  </si>
  <si>
    <t>http://cbsmiami.files.wordpress.com/2012/04/marlon_woodstock.jpg?w=600&amp;h=349&amp;crop=1</t>
  </si>
  <si>
    <t>2301 N. University Drive</t>
  </si>
  <si>
    <t>Sunrise</t>
  </si>
  <si>
    <t>33322</t>
  </si>
  <si>
    <t>Sunrise Police Department</t>
  </si>
  <si>
    <t>Woodstock's brother called 911 to report that his brother was "mentally ill, off of his medications and acting frantic, hostile, and aggressive." Police said that when they found him, he had a knife, ran, and ignored orders to stop. They report that a stun gun and police dog used did not subdue him. Officer Gregory Loor shot and killed him.</t>
  </si>
  <si>
    <t>http://www.sun-sentinel.com/local/broward/fl-sunrise-cop-shooting-911-call-20141106-story.html</t>
  </si>
  <si>
    <t>Javonta Darden</t>
  </si>
  <si>
    <t>http://media.cmgdigital.com/shared/img/photos/2014/09/30/01/36/By0n4TUIQAAfW1N.jpg</t>
  </si>
  <si>
    <t>22 Skelton Rd</t>
  </si>
  <si>
    <t>Athens</t>
  </si>
  <si>
    <t>30605</t>
  </si>
  <si>
    <t>Bureau of Alcohol, Tobacco, Firearms and Explosives</t>
  </si>
  <si>
    <t>During a drug-related investigation that turned into a struggle, Darden may have shot and wounded an ATF agent with his own weapon. The agent reportedly shot Darden twice in the stomach during the struggle. Steven Maurice McKinley, 21, may or may not have shot the agent.</t>
  </si>
  <si>
    <t>http://www.ajc.com/news/news/atf-agent-shot-by-his-weapon-after-killing-suspect/nhb3F/</t>
  </si>
  <si>
    <t>Stevan Cortes</t>
  </si>
  <si>
    <t>http://ak-cache.legacy.net/legacy/images/cobrands/houstonchronicle/photos/w0116775-1_20141004.jpgx?w=130&amp;h=180&amp;option=1&amp;v=0x000000002e3f54ab</t>
  </si>
  <si>
    <t>19210 Gulf Fwy</t>
  </si>
  <si>
    <t>Friendswood</t>
  </si>
  <si>
    <t>77546</t>
  </si>
  <si>
    <t>Police state that during an area investigation, Officer Q. Vu and his partner pulled over a suspicious vehicle. The male passenger reportedly produced a gun and shot at Vu's partner, and during a struggle the gun was fired "several times." Vu says he repeatedly told the man to drop the gun, and then shot him. The female driver was uninjured.</t>
  </si>
  <si>
    <t>Randall Garfield Williams</t>
  </si>
  <si>
    <t>http://bloximages.chicago2.vip.townnews.com/trib.com/content/tncms/assets/v3/editorial/e/99/e9995c1f-3659-5fd3-8f09-d72542b73160/54344be5ec7a1.image.jpg</t>
  </si>
  <si>
    <t>1421 Hornchurch Ave</t>
  </si>
  <si>
    <t>82609</t>
  </si>
  <si>
    <t>Officer Benjamin Flake and another officer responded to a domestic violence call from William's son. Williams allegedly met them at the door with a gun and made suicidal statements. He got another gun, pointed both at his head, and allegedly made a remark about shooting the police then pointed a gun at them. Flake shot him twice in the abdomen. He died in the hospital 10/02/14.</t>
  </si>
  <si>
    <t>http://trib.com/news/local/crime-and-courts/authorities-man-threatened-police-with-gun-before-being-fatally-shot/article_fb208c59-5984-5d63-88ef-7aadf77741b4.html</t>
  </si>
  <si>
    <t>David Kedra</t>
  </si>
  <si>
    <t>http://cdn.bearingarms.com/uploads/2014/10/trooper-david-kedra.jpg</t>
  </si>
  <si>
    <t>1175 Conshohocken Road</t>
  </si>
  <si>
    <t>Conshohocken</t>
  </si>
  <si>
    <t>19428</t>
  </si>
  <si>
    <t>State Trooper Kedra was shot in the abdomen by his instructor during a training session at a Public Safety Training Campus. As of 12/13/2014 the shooter's name has not been released.</t>
  </si>
  <si>
    <t>http://articles.philly.com/2014-10-17/news/55112674_1_gunshot-wound-homicide-abdomen</t>
  </si>
  <si>
    <t>Rafael Laureano</t>
  </si>
  <si>
    <t>http://assets.nydailynews.com/polopoly_fs/1.1960363.1412219976!/img/httpImage/image.jpg_gen/derivatives/article_970/copshoot2n-1-web.jpg?enlarged</t>
  </si>
  <si>
    <t>820 Ocean Parkway</t>
  </si>
  <si>
    <t>11230</t>
  </si>
  <si>
    <t>Rafael Laureano died when he was hit by a bullet from police officers who were firing at Francisco Carvajal who had attacked Laureano and his girlfriend with a knife.</t>
  </si>
  <si>
    <t>http://www.huffingtonpost.com/2014/10/02/nypd-rafael-laureano_n_5922608.html</t>
  </si>
  <si>
    <t>Francisco Carvajal</t>
  </si>
  <si>
    <t>Carvajal was killed when he was shot by police officers as he attacked Rafael Laureano and his girlfriend with a knife. Laureano was accidentally shot and killed as well.</t>
  </si>
  <si>
    <t>Oliver Jarrod Gregoire</t>
  </si>
  <si>
    <t>http://bloximages.chicago2.vip.townnews.com/baytownsun.com/content/tncms/assets/v3/editorial/8/89/8896d42e-4a99-11e4-93c2-5f7e2d2f9ef0/542df6bba5ae8.image.jpg?resize=300%2C405</t>
  </si>
  <si>
    <t>4400 Wood Duck Ln</t>
  </si>
  <si>
    <t>77523</t>
  </si>
  <si>
    <t>A woman called 911 to report that Gregoire had kicked in her back door, which may have been his own residence, and attacked her with a pole. He reportedly left and returned again. Deputy Bradley Hasley spotted Gregoire exiting the house and tasered him. Gregoire fell, reportedly removed the probes and then "charged" Bradley, who then tasered him again. When EMS arrived to treat the woman, Hasley says he noticed Gregoire appeared "unresponsive." He was transported to the hospital where he was pronounced dead.</t>
  </si>
  <si>
    <t>Scott Alan Trimble</t>
  </si>
  <si>
    <t>2118 W 148th St S</t>
  </si>
  <si>
    <t>Mitchellville</t>
  </si>
  <si>
    <t>50169</t>
  </si>
  <si>
    <t>Mitchellville Police Department</t>
  </si>
  <si>
    <t>Trimble was reported for speeding by a driver and was pursued by Polk County deputies then by Mitchellville Police, who placed stop sticks on the highway. Trimble ran over them, lost control of his vehicle, crossed the meridian, hit a truck and died. His passenger and the truck driver were uninjured.</t>
  </si>
  <si>
    <t>http://www.newtondailynews.com/2014/09/28/update-deadly-weekend-i-80-crash-began-with-speeder-near-altoona/a6vy9e7/</t>
  </si>
  <si>
    <t>Eugene Williams</t>
  </si>
  <si>
    <t>https://fbexternal-a.akamaihd.net/safe_image.php?d=AQBFNZcM6k-0ZytN&amp;w=470&amp;h=246&amp;url=http%3A%2F%2Flocaltvwdaf.files.wordpress.com%2F2014%2F10%2Fpromo2365568891.jpg&amp;cfs=1&amp;upscale=1&amp;sx=0&amp;sy=8&amp;sw=640&amp;sh=335</t>
  </si>
  <si>
    <t>Cleveland Ave</t>
  </si>
  <si>
    <t>64137</t>
  </si>
  <si>
    <t>Williams was reportedly naked and on PCP when he was tasered by officers. When EMS arrived Williams was cuffed and had no pulse.</t>
  </si>
  <si>
    <t>http://fox4kc.com/2014/10/02/woman-who-witnessed-man-get-tased-by-police-speaks-out/</t>
  </si>
  <si>
    <t>2100 SE 1st St</t>
  </si>
  <si>
    <t>33033</t>
  </si>
  <si>
    <t>Homestead Police Department</t>
  </si>
  <si>
    <t>Very little is known about this case. Police responded to a 911 call from a boy whose mother was being beaten by her ex-boyfriend. When police arrived, the man allegedly "armed himself." Officers shot at him from outside the home, entered the home and shot him again.</t>
  </si>
  <si>
    <t>http://www.miamiherald.com/news/local/community/miami-dade/homestead/article2289540.html</t>
  </si>
  <si>
    <t>Shad Gerken</t>
  </si>
  <si>
    <t>South Chester Road</t>
  </si>
  <si>
    <t>04457</t>
  </si>
  <si>
    <t>Penobscot</t>
  </si>
  <si>
    <t>A state police tactical team found Gerken along Route 116 carrying a knife and acting erratically. A standoff reportedly lasted from mid-morning through about 6 p.m. One of the troopers suffered a superficial knife wound. Gerken was shot dead.</t>
  </si>
  <si>
    <t>http://bangordailynews.com/2014/09/27/news/bangor/game-warden-stabbed-in-standoff-in-chester-sheriff-says/</t>
  </si>
  <si>
    <t>Dilon Chadwick McGee</t>
  </si>
  <si>
    <t>http://www.gannett-cdn.com/-mm-/0eaa77d7f1f1341aaac4c4471ad9717123ddc2c2/c=12-0-239-302&amp;r=537&amp;c=0-0-534-712/local/-/media/JacksonTN/2014/09/29/dillonchadwickmcgee.jpg</t>
  </si>
  <si>
    <t>18 Three Way Lane</t>
  </si>
  <si>
    <t>Three Way</t>
  </si>
  <si>
    <t>38343</t>
  </si>
  <si>
    <t>Madison County Sheriff's Office</t>
  </si>
  <si>
    <t>Officials say McGee, along with his passenger, 19-year-old Robert Aspiranti were approached by deputies with the Madison County Sheriff's Office in the parking lot of 18 Three Way Lane. According to TBI Public Information Officer Susan Niland, they were individuals they wanted to speak with regarding an on-going investigation. McGee attempted to run over the officers, according to Niland. The deputy shot and killed McGee.</t>
  </si>
  <si>
    <t>http://www.wbbjtv.com/news/local/UPDATE-TBI-investigating-Deputy-involved-shooting-277318201.html</t>
  </si>
  <si>
    <t>Cody Dempsey</t>
  </si>
  <si>
    <t>http://wfmj.images.worldnow.com/images/4882508_G.jpg</t>
  </si>
  <si>
    <t>Tibbetts Wick Road and Ohio 11</t>
  </si>
  <si>
    <t>Girard</t>
  </si>
  <si>
    <t>44420</t>
  </si>
  <si>
    <t>Police from three Trumbull County agencies chased a blue 1983 Cadillac Eldorado that was reported stolen from a Kinsman auto yard. The Ohio State Highway Patrol set up stop spikes, near the Tibbetts Wick Road exit of Route 11 southbound. According to officials at an OSHP news conference, the spikes stopped the car. When officers approached the vehicle, Dempsey pulled out a semiautomatic handgun, and police shot and killed him.</t>
  </si>
  <si>
    <t>http://wkbn.com/2014/09/26/police-and-suspect-exchange-gunfire-along-route-11/</t>
  </si>
  <si>
    <t>Steven Paul Presley</t>
  </si>
  <si>
    <t>Walnut St</t>
  </si>
  <si>
    <t>Blossom</t>
  </si>
  <si>
    <t>75416</t>
  </si>
  <si>
    <t>Lamar</t>
  </si>
  <si>
    <t>Lamar County Sheriff's Office</t>
  </si>
  <si>
    <t>Lamar County Sheriff Deputies were dispatched to disturbance regarding a man with a gun at a residence.When deputies arrived they made contact with the female homeowner at the front door who said that there was a man with a gun inside. Deputies removed the woman from the residence and were told that her child was still inside. Deputies then were confronted by an armed man who started shooting at the deputies. The deputies engaged him outside the residence and he was shot and died of gunshot wounds on scene.</t>
  </si>
  <si>
    <t>https://www.eparisextra.com/911/92484/update-on-officer-involved-shooting</t>
  </si>
  <si>
    <t>Giovany Contreras Sandoval</t>
  </si>
  <si>
    <t>California St and Battery St</t>
  </si>
  <si>
    <t>94111</t>
  </si>
  <si>
    <t>Contreras reportedly carjacked an SUV and drove it across three counties, pursued by the CHP. He crashed in San Francisco after a chase by SFPD. While police were waiting for a less-lethal beanbag shotgun, Contreras fired his antique Russian revolver at a man who attempted to help him out of the car, and then reportedly turned his gun at the officers. They then fired 32 rounds at him, killing him.</t>
  </si>
  <si>
    <t>http://sanfrancisco.cbslocal.com/2014/10/07/carjacking-suspect-killed-by-police-in-san-francisco-financial-district-identified/</t>
  </si>
  <si>
    <t>David Hooks</t>
  </si>
  <si>
    <t>http://img.opposingviews.com/sites/default/files/imagecache/350x250/featured_image/alts/100314/hooks.jpeg</t>
  </si>
  <si>
    <t>1184 US Highway 319 N</t>
  </si>
  <si>
    <t>31021</t>
  </si>
  <si>
    <t>Laurens</t>
  </si>
  <si>
    <t>Laurens County Sheriff's Office</t>
  </si>
  <si>
    <t>http://www.13wmaz.com/story/news/local/dublin/2014/09/25/e-dublin-man-shot-killed-by-laurens-deputy/16201305/</t>
  </si>
  <si>
    <t>Nolan Anderson</t>
  </si>
  <si>
    <t>http://imgick.nola.com/home/nola-media/pgmain/img/tpphotos/photo/2014/09/24/nolan-anderson-c2005b79c90c729a.jpg</t>
  </si>
  <si>
    <t>261 Pine St</t>
  </si>
  <si>
    <t>LaPlace</t>
  </si>
  <si>
    <t>70068</t>
  </si>
  <si>
    <t>St. John the Baptist</t>
  </si>
  <si>
    <t>St. John the Baptist Parish Sheriff's Office</t>
  </si>
  <si>
    <t>On-duty Deputy Lt. Anderson called his own Sheriff's Office to report a domestic disturbance at his daughter's home. WSDU TV states that Anderson was holding his wife hostage and hit her with his gun. He allegedly shot several times at the deputies who arrived. They state they tried to persuade him to drop the gun but when he continued pointing it at him and holding it to his wife's head, they shot him several times.</t>
  </si>
  <si>
    <t>http://theadvocate.com/news/neworleans/neworleansnews/10436480-123/state-police-release-initial-findings</t>
  </si>
  <si>
    <t>Matthew L. Stoddard</t>
  </si>
  <si>
    <t>http://kndu.images.worldnow.com/images/4834194_G.jpg</t>
  </si>
  <si>
    <t>W Lewis St &amp; S 6th Ave</t>
  </si>
  <si>
    <t>Stoddard ran from a stolen car after him and two other men were pulled over. Police chased after Stoddard. Stoddard pulled out a gun, officers told him to drop it, Stoddard refused and was subsequently shot and killed.</t>
  </si>
  <si>
    <t>http://www.tri-cityherald.com/2014/09/24/3168462_man-shot-killed-by-police-after.html?rh=1</t>
  </si>
  <si>
    <t>John Jolley Jr.</t>
  </si>
  <si>
    <t>900 Esquire Alley</t>
  </si>
  <si>
    <t>An officer responding to a domestic disturbance call found Jolley and his fiance arguing loudly outside their apartment. Jolley allegedly pointed a handgun at the officer, causing him to fatally shoot Jolley.</t>
  </si>
  <si>
    <t>http://www.wdrb.com/story/26600585/officer-involved-shooting-in-west-louisville</t>
  </si>
  <si>
    <t>Cameron Tillman</t>
  </si>
  <si>
    <t>http://www.rawstory.com/rs/wp-content/uploads/2014/09/wwltv_tillman_140924a-3-800x430.jpg</t>
  </si>
  <si>
    <t>100 Kirkglen Loop</t>
  </si>
  <si>
    <t>70363</t>
  </si>
  <si>
    <t>Terrebonne Parish Sheriff's Department</t>
  </si>
  <si>
    <t>James A. Cave</t>
  </si>
  <si>
    <t>http://bloximages.chicago2.vip.townnews.com/qctimes.com/content/tncms/assets/v3/editorial/5/ae/5ae56afd-94fc-56f9-b512-2c35b3979b9f/5421f3f7aeda0.preview-620.jpg</t>
  </si>
  <si>
    <t>2814 Fair Ave.</t>
  </si>
  <si>
    <t>Davenport</t>
  </si>
  <si>
    <t>52803</t>
  </si>
  <si>
    <t>Scott</t>
  </si>
  <si>
    <t>Davenport Police Department</t>
  </si>
  <si>
    <t>Davenport Police Department responded to a report of a man who was waving guns and threatening to harm himself. The man began to drink and became more irrational and agitated. The man aggressively advanced toward officers with one weapon in his hand and another in his waistband. Police fired multiple rounds killing the man.</t>
  </si>
  <si>
    <t>http://qctimes.com/news/local/crime-and-courts/authorities-identify-man-killed-in-officer-involved-shooting/article_a72890f4-107b-57f2-b459-5e6c64323fb4.html</t>
  </si>
  <si>
    <t>Magnolia</t>
  </si>
  <si>
    <t>Thomas E. Klessig</t>
  </si>
  <si>
    <t>http://tribcw33.files.wordpress.com/2014/09/thomas_e_klessig.jpg</t>
  </si>
  <si>
    <t>3900 Lovers Ln</t>
  </si>
  <si>
    <t>75225</t>
  </si>
  <si>
    <t>University Park Police Department</t>
  </si>
  <si>
    <t>Police said Klessig was uncooperative when a University Park officer found him and attempted to talk with him. Four other officers were called to the scene. Police said Klessig again became physically confrontational when officers attempted to restrain him. During the scuffle, officers used pepper spray. Klessig became unresponsive and was given CPR. He was transported to the hospital, where he was pronounced dead.</t>
  </si>
  <si>
    <t>Brian Eugene Rice</t>
  </si>
  <si>
    <t>http://www.killedbypolice.net/victims/140808.jpg</t>
  </si>
  <si>
    <t>501 McClain St</t>
  </si>
  <si>
    <t>Goose Creek</t>
  </si>
  <si>
    <t>29445</t>
  </si>
  <si>
    <t>SC State Constable Rice's wife called 911 to report a domestic disturbance with a firearm. LE state that when they arrived, Rice was on the front porch with a gun, and that he fired 2- 3 shots, and that after the Goose Creek Police announced themselves, he fired 2- 3 more shots. SWAT was called in and a standoff occurred. LE states that "as tactical teams were assembling," a deputy and police officer encountered Rice behind his home, "gunfire was exchanged" and Rice was shot. He died 4 hours later.</t>
  </si>
  <si>
    <t>http://www.live5news.com/story/26611115/emergency-officials-police-on-scene-at-incident-in-goose-creek</t>
  </si>
  <si>
    <t>Joseph Adam Lee</t>
  </si>
  <si>
    <t>http://www.elkharttruth.com/image/2014/09/22/635x500/JosephLee-jpg.jpg</t>
  </si>
  <si>
    <t>403 E. Chapman Ave</t>
  </si>
  <si>
    <t>Elkhart</t>
  </si>
  <si>
    <t>46516</t>
  </si>
  <si>
    <t>Elkhart Police Department</t>
  </si>
  <si>
    <t>Gustavo Segura Acosta</t>
  </si>
  <si>
    <t>http://media.fresnobee.com/smedia/2014/09/23/14/39/W5zfa.AuHeEm.8.jpg</t>
  </si>
  <si>
    <t>2500 South Kirk Avenue</t>
  </si>
  <si>
    <t>93706</t>
  </si>
  <si>
    <t>Acosta had mental health issues, a drug problem, a criminal record, and a protective order to stay away from his wife. She happened to be a civilian employee of the Fresno PD. While trying to apprehend him police used pepper spray and a Taser, neither of which worked. When he threatened officers with a four-foot metal police he was shot to death.</t>
  </si>
  <si>
    <t>http://www.fresnobee.com/2014/09/23/4140230_man-shot-by-fresno-police-had.html?rh=1</t>
  </si>
  <si>
    <t>Shane Lambert</t>
  </si>
  <si>
    <t>http://media2.newsnet5.com/photo/2014/09/22/shane-lambert-tall_1411414092851_8311501_ver1.0_640_480.jpg</t>
  </si>
  <si>
    <t>225 Herman Ave</t>
  </si>
  <si>
    <t>44903</t>
  </si>
  <si>
    <t>Sgt. Patrick Williams and Officer Orlando Chatman went to a vacant house behind Lamberts' house, looking for him for questioning regarding a homicide or 1-3 separate breaking and enterings. They state that when they entered the house, Lambert "confronted" them. They reportedly shot him multiple times. His two sons may or may not have been present.</t>
  </si>
  <si>
    <t>http://www.mansfieldnewsjournal.com/story/news/crime/2014/10/01/review-clears-two-officers-involved-fatal-shooting/16563299/</t>
  </si>
  <si>
    <t>Daniel Diaz</t>
  </si>
  <si>
    <t>NW Blossom Drive</t>
  </si>
  <si>
    <t>97526</t>
  </si>
  <si>
    <t>Grants Pass Police Department</t>
  </si>
  <si>
    <t>Local police were called on reports of a man "going crazy", gradually learning he was armed, that he'd fired multiple shots inside a house, and that he'd barricaded himself in. SWAT officers arrived in the late evening and exchanged gunfire with Diaz for about an hour. He was found shot to death inside.</t>
  </si>
  <si>
    <t>http://www.mailtribune.com/article/20140923/News/140929863</t>
  </si>
  <si>
    <t>Steen Parker III</t>
  </si>
  <si>
    <t>3300 E La Palma Ave</t>
  </si>
  <si>
    <t>92806</t>
  </si>
  <si>
    <t>After robbing an electronic store, Parker allegedly began firing at the officers without warning. Officers returned fire, police said, and Parker was struck and killed.</t>
  </si>
  <si>
    <t>http://www.ocregister.com/articles/police-636083-parker-vehicle.html</t>
  </si>
  <si>
    <t>Daniel Satre</t>
  </si>
  <si>
    <t>Saratoga Avenue</t>
  </si>
  <si>
    <t>Ballston Spa</t>
  </si>
  <si>
    <t>12020</t>
  </si>
  <si>
    <t>Saratoga</t>
  </si>
  <si>
    <t>Ballston Spa Police Department, Saratoga County Sheriff's Department, New York State Police</t>
  </si>
  <si>
    <t>Six officers from city, county and state attempted to subdue Satre in his unprompted 11 p.m. freak-out, as he screamed, jumped in front of cars, and fought them off. He was tasered multiple times, lost consciousness, and died at the scene.</t>
  </si>
  <si>
    <t>http://www.timesunion.com/local/article/Police-to-hold-press-conference-about-Ballston-5770775.php#media-139933</t>
  </si>
  <si>
    <t>Kela Souter</t>
  </si>
  <si>
    <t>https://a1-images.myspacecdn.com/images03/29/a0115a5286234ca189ed17e6121fa6a2/300x300.jpg</t>
  </si>
  <si>
    <t>4288 South Alita Terrace</t>
  </si>
  <si>
    <t>Homosassa</t>
  </si>
  <si>
    <t>34446</t>
  </si>
  <si>
    <t>Souter had reportedly fired a gun in a home right before deputies responded to a suicide call there. Deputies report that after removing the caller from the home, Souter was repeatedly told to drop the gun. When she pointed it at a deputy, he shot her.</t>
  </si>
  <si>
    <t>http://www.wfla.com/story/26587294/armed-homosassa-woman-shot-dead-by-citrus-co-deputy</t>
  </si>
  <si>
    <t>Edward P. Miller</t>
  </si>
  <si>
    <t>http://i0.huffpost.com/gen/2092046/thumbs/n-EDWARD-MILLER-large.jpg</t>
  </si>
  <si>
    <t>722 N Segrave St</t>
  </si>
  <si>
    <t>Daytona Beach</t>
  </si>
  <si>
    <t>32114</t>
  </si>
  <si>
    <t>Edwards was deaf. He had a licensed gun on him. A deputy told him to put the weapon down, but Edwards could not hear him. The deputy felt threatened and shot and killed Edwards.</t>
  </si>
  <si>
    <t>http://www.clickorlando.com/news/offduty-deputy-involved-in-shooting/28169234</t>
  </si>
  <si>
    <t>http://extras.mnginteractive.com/live/media/site559/2014/0919/20140919__TDH-L-CHASE-0919~p2_200.jpg</t>
  </si>
  <si>
    <t>190 Avenida de Mesilla</t>
  </si>
  <si>
    <t>88005</t>
  </si>
  <si>
    <t>Las Cruces Police Department</t>
  </si>
  <si>
    <t>After a high-speed chase Smith had a standoff with officers. It ended with Williams being shot and killed.</t>
  </si>
  <si>
    <t>Courtney James VanRiper</t>
  </si>
  <si>
    <t>Highway 260 and State Route 87</t>
  </si>
  <si>
    <t>Pine</t>
  </si>
  <si>
    <t>85544</t>
  </si>
  <si>
    <t>Gila</t>
  </si>
  <si>
    <t>VanRiper may have been camping illegally. He sprayed an investigating officer with bear spray. The officer shot and killed him.</t>
  </si>
  <si>
    <t>http://www.paysonroundup.com/news/2014/sep/24/new-details-fatal-shooting/</t>
  </si>
  <si>
    <t>Levi Weaver</t>
  </si>
  <si>
    <t>666 Hillside Dr</t>
  </si>
  <si>
    <t>Cedartown</t>
  </si>
  <si>
    <t>30125</t>
  </si>
  <si>
    <t>Weaver reportedly lunged toward a deputy with a pat and a kitchen knife. The deputy shot and killed Weaver</t>
  </si>
  <si>
    <t>Kenneth "Kenny" William Umpierre</t>
  </si>
  <si>
    <t>http://www.duluthnewstribune.com/sites/default/files/styles/vert_350/public/fieldimages/7/obits/1001/dntkennethumpierre_1.jpg?itok=75dJX7mz</t>
  </si>
  <si>
    <t>5700 St Louis River Road</t>
  </si>
  <si>
    <t>Hermantown</t>
  </si>
  <si>
    <t>Hermantown Police Department</t>
  </si>
  <si>
    <t>The man continued to shout and demand that officers shoot him, while ignoring officers' commands to get on the ground. After the man put his hands in the air, the officer "made the decision to de-escalate the use of force by holstering his handgun and instead drawing his department-issued Taser," the report said. The man continued to ignore commands to get on the ground, before finally lunging at the officer, who used his Taser on the man.</t>
  </si>
  <si>
    <t>Michael M. Willis Jr.</t>
  </si>
  <si>
    <t>http://bloximages.newyork1.vip.townnews.com/stltoday.com/content/tncms/assets/v3/editorial/e/e9/ee90632a-7099-59cc-b16b-ac9d8cebcb44/541cb1f2adb4b.preview-620.jpg</t>
  </si>
  <si>
    <t>8803 Lucas and Hunt Rd</t>
  </si>
  <si>
    <t>St. Louis County Police Department</t>
  </si>
  <si>
    <t>When police responded to a second report of "man with shotgun", they say Willis' vehicle drove directly toward them and hit two police vehicles. He then jumped out of the car and after a short foot chase he reportedly pointed his rifle or shot at them. Two officers shot at him approx. 25 times, killing him.</t>
  </si>
  <si>
    <t>http://www.stltoday.com/news/local/crime-and-courts/police-kill-man-they-say-pointed-rifle-at-them-in/article_19aa9b16-4c48-53ae-ae13-eff2ff5c0682.html</t>
  </si>
  <si>
    <t>Charles Smith</t>
  </si>
  <si>
    <t>http://s2.legalinsurrection.com/wp-content/uploads/2014/09/Charles-Smith-620x389.png</t>
  </si>
  <si>
    <t>Augusta Road and Eagle Street</t>
  </si>
  <si>
    <t>31415</t>
  </si>
  <si>
    <t>Savannah-Chatham Metropolitan Police Department</t>
  </si>
  <si>
    <t>Ricky Lynn Bunch Jr</t>
  </si>
  <si>
    <t>http://www.gannett-cdn.com/-mm-/a4302d8d6f61f32a05e6fc4b714e0f0356e75aa6/c=0-174-480-446&amp;r=x1803&amp;c=3200x1800/local/-/media/WBIR/WBIR/2014/09/19/1411159213000-Ricky-Lynn-Bunch.jpg</t>
  </si>
  <si>
    <t>3200 TN-131</t>
  </si>
  <si>
    <t>Washburn</t>
  </si>
  <si>
    <t>37888</t>
  </si>
  <si>
    <t>Grainger</t>
  </si>
  <si>
    <t>Bunch's relative reported that Bunch had stolen his car. Clairborne County deputies spotted and pursued Bunch, who allegedly fired shots. Multiple LE agencies pursued until Bunch stopped, exited and allegedly created a standoff which included hostage negotiators. Bunch allegedly got in and out of his car several times with a pistol and a shotgun. "During the confrontation, Bunch was shot by law enforcement." Which agency shot him has not been reported.</t>
  </si>
  <si>
    <t>http://www.local8now.com/home/headlines/Officers-negotiate-with-armed-suspect-attempting-to-flee-in-Grainger-Co--275659561.html</t>
  </si>
  <si>
    <t>Brian Lee Beeler</t>
  </si>
  <si>
    <t>http://localtvwhotv.files.wordpress.com/2014/09/brian-beeler.jpg</t>
  </si>
  <si>
    <t>6700 SE 5th St</t>
  </si>
  <si>
    <t>50315</t>
  </si>
  <si>
    <t>Officers Peter Wilson and Cody Willis responded to a domestic disturbance and report that Beeler had two knives in his waistband and wouldn't show his hands or follow their instructions. They state that they tried to taser him but missed, and that he advanced toward them brandishing a knife. Both officers fired, hitting him in the chest or torso. Beeler died in the hospital 09/21/2014.</t>
  </si>
  <si>
    <t>http://www.desmoinesregister.com/story/news/crime-and-courts/2014/09/21/brian-beeler-police-involved-shooting-dies/16033091/</t>
  </si>
  <si>
    <t>Thomas "Tommy" McClain</t>
  </si>
  <si>
    <t>http://cdn.inquisitr.com/wp-content/uploads/2014/09/Tommy-McClain-police-shooting.jpg</t>
  </si>
  <si>
    <t>1600 Allard Avenue</t>
  </si>
  <si>
    <t>Eureka</t>
  </si>
  <si>
    <t>95503</t>
  </si>
  <si>
    <t>Eureka Police Department</t>
  </si>
  <si>
    <t>From the EPD press release: Officers from the Eureka Police Department were looking for two subjects wanted on felony warrants.An officer observed two men arguing. One of the men appeared have a handgun. Fearing the argument was escalating, he summoned additional officers who then confronted the man with the gun. As officers gave commands to the man with the gun which was now visible, the subject grabbed for the gun. A Eureka Police officer fired his weapon killing him.</t>
  </si>
  <si>
    <t>http://thefreethoughtproject.com/family-man-killed-police-week-checking-facebook-shot/</t>
  </si>
  <si>
    <t>Kashad Ashford</t>
  </si>
  <si>
    <t>http://www.northjersey.com/polopoly_fs/1.1129823.1415516362!/fileImage/httpImage/image.jpg_gen/derivatives/landscape_300/110914ashford3.jpg</t>
  </si>
  <si>
    <t>Ridge Road</t>
  </si>
  <si>
    <t>Rutherford</t>
  </si>
  <si>
    <t>07070</t>
  </si>
  <si>
    <t>After an aborted attempt to steal a car, Ashford and passenger Jemmaine T. Bynes, 30, were spotted speeding by police and were pursued. Their SUV struck a guardrail and police vehicles blocked it from escaping. Ashford allegedly reversed the SUV and rammed a police vehicle. One state trooper and two Lynd­hurst police officers fired 5-15 shots, killing Ashford.</t>
  </si>
  <si>
    <t>http://www.northjersey.com/news/crime-and-courts/mother-wants-answers-in-son-s-lyndhurst-shooting-1.1132449?page=all</t>
  </si>
  <si>
    <t>Matthew Porraz</t>
  </si>
  <si>
    <t>http://www.kmjnow.com/media/featured_image/0/paired_modules/5/1406400117_stretch.png</t>
  </si>
  <si>
    <t>First Street and Clinton Ave.</t>
  </si>
  <si>
    <t>93703</t>
  </si>
  <si>
    <t>Porraz was wanted for suspicion of murder. A tip led police to find Porraz at his girlfriend's house. Officers allege that they felt threatened before firing 6 rounds at Matthew Porraz. No weapon was found on the victim.</t>
  </si>
  <si>
    <t>William "Billy Buck" Buchanan Stingley Jr.</t>
  </si>
  <si>
    <t>http://www.ottandleefuneralhome.com/fh_live/11500/11527/images/obituaries/2689858_wlpp.jpg</t>
  </si>
  <si>
    <t>100 Burnham Dr</t>
  </si>
  <si>
    <t>Pelahatchie</t>
  </si>
  <si>
    <t>39145</t>
  </si>
  <si>
    <t>Rankin County Sheriff's Department</t>
  </si>
  <si>
    <t>Sheriff's deputies were called to a domestic disturbance at Stingley's neighbor's home and encountered Stingley outside with a handgun. Reportedly, when he pointed it at them, a deputy shot him once.</t>
  </si>
  <si>
    <t>http://www.clarionledger.com/story/news/2014/09/17/sheriff-more-details-rankin-deputy-shooting/15767767/</t>
  </si>
  <si>
    <t>Michael Bonty</t>
  </si>
  <si>
    <t>http://www.alaskanfuneral.com/sitemaker/memsol_data/1526/1427437/1427437_profile_pic.png?1417751805</t>
  </si>
  <si>
    <t>1201 N Jack Nicklaus Dr</t>
  </si>
  <si>
    <t>Wasilla</t>
  </si>
  <si>
    <t>99623</t>
  </si>
  <si>
    <t>Matanuska-Susitna</t>
  </si>
  <si>
    <t>Wasilla Police Department</t>
  </si>
  <si>
    <t>Responding to a possible domestic disturbance, Officer Andrew Kappler and another officer found Bonty "hurting himself" in his home with one or two steak knives. When he "made a threatening move" toward his mother Cynthia Bonty, Kappler shot him once. Mrs. Bonty, who has retained a lawyer, claims the police tasered him twice, which they deny.</t>
  </si>
  <si>
    <t>http://www.frontiersman.com/news/attorney-no-evidence-of-second-gunshot-at-bonty-scene/article_572a7d38-51cd-11e4-af3b-9b6f833b11a4.html</t>
  </si>
  <si>
    <t>Kerry Lynn Brown</t>
  </si>
  <si>
    <t>http://www.fatalencounters.org/wp-content/uploads/2013/10/KerryBrown.jpg</t>
  </si>
  <si>
    <t>4700 Lacey Blvd SE</t>
  </si>
  <si>
    <t>Lacey</t>
  </si>
  <si>
    <t>98503</t>
  </si>
  <si>
    <t>Thurston</t>
  </si>
  <si>
    <t>Lacey Police Department</t>
  </si>
  <si>
    <t>Police responded to a domestic disturbance call from his wife Taquisha, who said Brown, a Special Operations Army Sergeant, was having a mental "episode" in their home. Police said Brown exited the house and fired one shot from a handgun, then ran behind a building. When he allegedly reappeared with the gun, an officer shot him once in the abdomen with a rifle.</t>
  </si>
  <si>
    <t>http://www.theolympian.com/2014/09/17/3323520_man-fatally-shot-by-lacey-police.html?sp=%2F99%2F224%2F&amp;rh=1</t>
  </si>
  <si>
    <t>Caesar Adams</t>
  </si>
  <si>
    <t>901 Gretna Boulevard</t>
  </si>
  <si>
    <t>70053</t>
  </si>
  <si>
    <t>Adams and another suspect shot an officer. The officer shot and killed Adams and injured the other suspect. The motive is not clear why Adams and the other suspect shot the officer.</t>
  </si>
  <si>
    <t>Richard “Pedie” Perez III</t>
  </si>
  <si>
    <t>http://richmondconfidential.org/wp-content/uploads/2014/09/IMG_5935.JPG-620x786.jpeg</t>
  </si>
  <si>
    <t>3322 Cutting Boulevard</t>
  </si>
  <si>
    <t>94804</t>
  </si>
  <si>
    <t>The shooting death of Richard “Pedie” Perez, 24, during a scuffle with a Richmond police officer, According to police, the officer fired when Perez attempted to grab his gun, but at least one witness says he did not see Perez do so.</t>
  </si>
  <si>
    <t>http://richmondconfidential.org/2014/09/17/friends-and-family-paint-a-picture-of-richard-perez-as-sometimes-troublesome-but-not-dangerous/</t>
  </si>
  <si>
    <t>Wheeling</t>
  </si>
  <si>
    <t>Wheeling Police Department</t>
  </si>
  <si>
    <t>300 Rosemont Ave</t>
  </si>
  <si>
    <t>45204</t>
  </si>
  <si>
    <t>Mitchell was shooting a gun in his neighborhood. Neighbors were fearful and call authorities. When police arrived Mitchell was pointing the gun to his head. He then pointed the gun at officers, prompting the officers to shoot and kill Mitchell.</t>
  </si>
  <si>
    <t>http://www.cincinnati.com/story/news/crime/2014/09/15/officer-involved-shooting/15679715/</t>
  </si>
  <si>
    <t>Ricky Deangelo Hinkle</t>
  </si>
  <si>
    <t>809 Richard Arrington Jr., Blvd</t>
  </si>
  <si>
    <t>Ricky, a Jefferson County jail inmate, died after a sheriff's deputy used a Taser on him when he allegedly became combative with officers. He had been jailed based on a minor parole violation.</t>
  </si>
  <si>
    <t>Jesse Gibbons</t>
  </si>
  <si>
    <t>http://media.graytvinc.com/images/353*198/jesse+gibbons+web.jpg</t>
  </si>
  <si>
    <t>Lancaster Avenue</t>
  </si>
  <si>
    <t>40508</t>
  </si>
  <si>
    <t>Lexington Police say Gibbons punched Officer James Winter. Police say the hit stunned him long enough for Gibbons to steal his taser and get away. After leaving the scene, police say Gibbons led Lexington officers on a chase that took them to Richmond. After Gibbons's car crashed, they exchanged gunfire. Gibbons was hit several times and that eight officers with either Lexington Police, the Madison County Sheriff's Office or State Police fired at Gibbons.</t>
  </si>
  <si>
    <t>James Bradley Phillips</t>
  </si>
  <si>
    <t>http://mediaassets.knoxnews.com/photo/2014/10/09/cleared_8895019_ver1.0_640_480.jpg</t>
  </si>
  <si>
    <t>3644 Parkway</t>
  </si>
  <si>
    <t>Pigeon Forge</t>
  </si>
  <si>
    <t>37863</t>
  </si>
  <si>
    <t>Pigeon Forge Police Department</t>
  </si>
  <si>
    <t>Phillips was wanted in connection to a murder. He was found at a Wendy's. During the arrest Phillips reportedly acted as if he had a weapon. The officer responded by shooting and killing Phillips. Phillips had no real weapon, but a cellphone and hair brush.</t>
  </si>
  <si>
    <t>http://www.knoxnews.com/news/watchful-eye/pigeon-forge-officer-cleared-in-fatal-shooting-of-slaying-suspect_17102946</t>
  </si>
  <si>
    <t>Darrien Nathaniel Hunt</t>
  </si>
  <si>
    <t>http://i1.huffpost.com/gen/2057758/thumbs/n-DARRIEN-HUNT-large570.jpg</t>
  </si>
  <si>
    <t>Crossroads Boulevard and Redwood Road</t>
  </si>
  <si>
    <t>Saratoga Springs</t>
  </si>
  <si>
    <t>84043</t>
  </si>
  <si>
    <t>Saratoga Springs Police</t>
  </si>
  <si>
    <t>Hunt was outside a fast food restaurant playing with a souvenir sword and someone called the police. Police arrived and claim Hunt lunged at them so they shot him. Witnesses say Hunt was shot in back while fleeing. Hunt family attorney says independent autopsy shows multiple gunshot wounds in back.</t>
  </si>
  <si>
    <t>http://www.deseretnews.com/article/865610896/Investigators-Saratoga-Springs-man-was-shot-after-lunging-at-officers-with-sword.html</t>
  </si>
  <si>
    <t>Elijah Jackson</t>
  </si>
  <si>
    <t>http://www.gannett-cdn.com/-mm-/bcef3913a9a4abe8a4ba8f15ad49fb3b85ffc32c/c=0-0-534-712&amp;r=537&amp;c=0-0-534-712/local/-/media/WBIR/WBIR/2014/09/12/1410537066000-elijah-jackson.jpg</t>
  </si>
  <si>
    <t>Mountain Mist Ln</t>
  </si>
  <si>
    <t>37918</t>
  </si>
  <si>
    <t>According to deputies, 33-year-old Elijah Jackson was wanted for aggravated assault and violation of probation following an August stabbing at Farragut Market. Officers spotted him in North Knox County and followed him to East Beaver Creek Road, where they tried to pull him over. Deputies say the suspect rammed three police cars and attempted to run over several officers. Officers fired at Jackson and hit him.</t>
  </si>
  <si>
    <t>http://www.local8now.com/home/headlines/Shots-fired-in-North-Knox-County-subdivision-274895741.html</t>
  </si>
  <si>
    <t>Jeffrey Johnson</t>
  </si>
  <si>
    <t>http://www.bigcountryhomepage.com/media/lib/203/8/1/5/8156af68-cf5e-43bb-90f5-d4b0aeb8e1f9/Story.jpg</t>
  </si>
  <si>
    <t>7457 West Lake Road</t>
  </si>
  <si>
    <t>Abilene</t>
  </si>
  <si>
    <t>79601</t>
  </si>
  <si>
    <t>Taylor</t>
  </si>
  <si>
    <t>Abilene Police Department</t>
  </si>
  <si>
    <t>Officers responded to a check welfare call at the Best Western Hotel. The caller indicated a known person was possibly suicidal and requested patrol officers make contact with him at the hotel. Upon arrival, officers contacted Jeffrey Johnson. Johnson fled, was chased by police, and arrived at a cemetery. Johnson charged his vehicle towards a K9 unit and reached for a gun. An officer then shot and killed Johnson.</t>
  </si>
  <si>
    <t>http://www.bigcountryhomepage.com/story/d/story/investigation-continues-in-officer-involved-shooti/80145/zXzP5go_C0KyOvY6UKWyeQ</t>
  </si>
  <si>
    <t>Gerald S. Cole</t>
  </si>
  <si>
    <t>2508 Sweetbriar Dr</t>
  </si>
  <si>
    <t>San Angelo</t>
  </si>
  <si>
    <t>76904</t>
  </si>
  <si>
    <t>Tom Green</t>
  </si>
  <si>
    <t>San Angelo Police Department</t>
  </si>
  <si>
    <t>Officers responded to a domestic violence call and spotted Cole circling the area in his truck. He reportedly led them on a brief low-speed chase and "was stopped." Cole allegedly exited his vehicle with a handgun and was shot at least once.</t>
  </si>
  <si>
    <t>http://sanangelolive.com/news/crime/2014-09-19/suspect-sept-11-officer-involved-shooting-dies</t>
  </si>
  <si>
    <t>Benjamin Jay Schroff</t>
  </si>
  <si>
    <t>http://local.sltrib.com/charts/shootings/images/thumbs/2.jpg</t>
  </si>
  <si>
    <t>1575 South and Heritage Fields Drive</t>
  </si>
  <si>
    <t>Washington City</t>
  </si>
  <si>
    <t>84780</t>
  </si>
  <si>
    <t>St. George Police</t>
  </si>
  <si>
    <t>Schroff allegedly robbed a St. George bank at gunpoint and took two employees hostage, forcing one to drive him away in her car. As he fled, police said, he fired on their cruisers with a shotgun and handgun. He ran into a field. When police found him, he was “taking a shooting position toward officers,” who then shot him, investigators said.</t>
  </si>
  <si>
    <t>James Nicholas</t>
  </si>
  <si>
    <t>http://www.click2houston.com/image/view/-/28029826/highRes/1/-/7l8tehz/-/Nicholas-CormierMUGS-jpg.jpg</t>
  </si>
  <si>
    <t>14200 Nimitz St</t>
  </si>
  <si>
    <t>Channelview</t>
  </si>
  <si>
    <t>Nicholas and Kimberly Cormier, suspected in 4 homicides, led officers on a high-speed chase and crashed their vehicle. Nicholas then allegedly "exchanged a hail of gunfire" with the officers, who shot and killed him. Cormier was uninjured and arrested.</t>
  </si>
  <si>
    <t>http://abc13.com/news/couple-involved-in-shoot-out-with-us-marshals/306661/</t>
  </si>
  <si>
    <t>Shawn Brown</t>
  </si>
  <si>
    <t>564 N Pennsylvania Ave</t>
  </si>
  <si>
    <t>08401</t>
  </si>
  <si>
    <t>Police responded to the city's ShotSpotter gunfire alert system and subsequent 911 calls reporting shots fired. Three plain-clothes detectives encountered Shawn Brown, 20, of Atlantic City, who was armed with a handgun, according to police. The officers shot and killed Brown.</t>
  </si>
  <si>
    <t>http://www.nj.com/south/index.ssf/2014/09/atlantic_city_police_fatally_shoot_armed_suspect.html</t>
  </si>
  <si>
    <t>Christopher James Roskelley</t>
  </si>
  <si>
    <t>http://www.standard.net/image/2014/09/14/630x_a16-9_b0_q80/sngproc01-f-Inqueue-Announcements-Roskelley-Chris-jpg.jpg</t>
  </si>
  <si>
    <t>147 N Harrison Blvd</t>
  </si>
  <si>
    <t>84404</t>
  </si>
  <si>
    <t>Ogden Police Department</t>
  </si>
  <si>
    <t>Gang detectives or a narcotics task force, suspecting Roskelley of a prior non-fatal shooting, waited outside a home or followed his car to the home. When Roskelley pulled his car into the driveway, "multiple officers closed in" and "multiple shots were fired". Police claim he had a gun. Roskelley was killed; his male passenger was unhurt, arrested and released.</t>
  </si>
  <si>
    <t>http://www.standard.net/Police/2014/09/09/UPDATE-Officer-involved-shooting</t>
  </si>
  <si>
    <t>Alphonse Edward Perkins</t>
  </si>
  <si>
    <t>1100 West 81st Place</t>
  </si>
  <si>
    <t>Patrol officers responded to a domestic violence call at a home. The 911 operator said that gunshots were heard in the background. When officers arrived, they were confronted by Perkins, who allegedly fired a gun. Police shot and killed him.</t>
  </si>
  <si>
    <t>http://homicide.latimes.com/post/alphonse-edward-perkins/</t>
  </si>
  <si>
    <t>Benito Gonzalez</t>
  </si>
  <si>
    <t>300 N Rachal St</t>
  </si>
  <si>
    <t>Sinton</t>
  </si>
  <si>
    <t>78387</t>
  </si>
  <si>
    <t>San Patricio</t>
  </si>
  <si>
    <t>San Patricio County Sheriff's Office</t>
  </si>
  <si>
    <t>Gonzalez rammed his truck into the county sheriff's office building, jumped out, and shot at several windows. He pointed his gun at a deputy, who shot him in the chest and head. Niece Vanessa Jo Deleon commented that he had just discovered he had cancer. Sheriff Leroy Moody stated that he thought Gonzalez wanted somebody to kill him.</t>
  </si>
  <si>
    <t>http://www.kristv.com/news/suspected-case-of-suicide-by-cop-leaves-man-dead-in-sinton/</t>
  </si>
  <si>
    <t>Christopher Shane LeBlanc</t>
  </si>
  <si>
    <t>http://ak-cache.legacy.net/legacy/images/Cobrands/TheTownTalk/Photos/ATT020205-1_20140911.jpg</t>
  </si>
  <si>
    <t>500 Cummins St</t>
  </si>
  <si>
    <t>Pineville Police Department</t>
  </si>
  <si>
    <t>Officers received a report that someone had threatened another person with a weapon. When officers arrived, they found LeBlanc in the street with a machete. The Rapides Parish Sheriff's Office said Pineville officers ordered LeBlanc to drop his weapon. He then charged toward one of the officers, and the officer fired on him, killing him.</t>
  </si>
  <si>
    <t>http://www.thetowntalk.com/story/news/local/2014/09/08/rpso-pineville-man-killed-charging-police/15316907/</t>
  </si>
  <si>
    <t>Michael D. Oswald</t>
  </si>
  <si>
    <t>http://www.gannett-cdn.com/-mm-/db62cb712679717ded2c2f58579a660279d4a239/c=43-0-1047-1338&amp;r=537&amp;c=0-0-534-712/local/-/media/Indianapolis/2014/09/15/oswaldmug.jpg</t>
  </si>
  <si>
    <t>1840 Carriage Lane</t>
  </si>
  <si>
    <t>29407</t>
  </si>
  <si>
    <t>Charleston County Sheriff's Office</t>
  </si>
  <si>
    <t>Deputy Joseph Matuskovic was fatally shot through a door while responding to a report of a drunk man Michael Donovan Oswald at an apartment. Oswald was also killed by gunfire. Bullets from the weapon, which was similar to an AK-47, punctured the protective vest of the slain deputy.</t>
  </si>
  <si>
    <t>http://ninjapundit.blogspot.com/2014/09/deputy-joseph-matuskovic-and-suspect.html</t>
  </si>
  <si>
    <t>Joel Allen</t>
  </si>
  <si>
    <t>1550 Empire Central Drive</t>
  </si>
  <si>
    <t>75235</t>
  </si>
  <si>
    <t>Officer Michael DeWilde, investigating an unrelated incident and possibly not in uniform, saw Allen participating in what he thought was a drug deal and approached Allen's vehicle as he got in. Allen pulled away, hitting DeWilde, who landed on the hood of the moving vehicle. From the hood, DeWilde shot Allen and was then thrown off. Allen soon hit another vehicle on a highway. He died in the hospital a week later.</t>
  </si>
  <si>
    <t>http://crimeblog.dallasnews.com/2014/09/police-investigating-possible-officer-involved-shooting.html/</t>
  </si>
  <si>
    <t>Tyler Caraway</t>
  </si>
  <si>
    <t>http://ak-cache.legacy.net/legacy/Images/Cobrands/DignityMemorial/Photos/35cbb627-071f-4316-b953-4a41a0a6a4bd.jpg</t>
  </si>
  <si>
    <t>13700 Maye Place</t>
  </si>
  <si>
    <t>78728</t>
  </si>
  <si>
    <t>Two PD officers and the FBI were serving a warrant on Caraway, who was in his car with Jessica Schoonover. Police claim that when they approached the car, Caraway jumped out, pulled a gun and opened fired at them. Round Rock Police Detective Shawn Scott and APD detectives Scott Glasgow and Phillip Hogue shot and killed him. Schoonover claims Caraway did not have a gun and did not get out of the car.</t>
  </si>
  <si>
    <t>http://kxan.com/2014/09/10/police-chief-maintains-man-killed-by-officers-was-armed/</t>
  </si>
  <si>
    <t>Thomas Carberry</t>
  </si>
  <si>
    <t>http://www.local10.com/image/view/-/27934560/highRes/1/-/maxh/240/maxw/320/-/52xq0n/-/Thomas-Carberry.jpg</t>
  </si>
  <si>
    <t>Northwest 29th Street and Northwest Ninth Terrace</t>
  </si>
  <si>
    <t>Wilton Manors</t>
  </si>
  <si>
    <t>Wilton Manors Police Department</t>
  </si>
  <si>
    <t>Troubled Carberry, hosted by friends in a relatively affulent neighborhood in an attempt to get his life back on track, triggered a police visit as he threatened the two homeowners. Once in the driveway, gun in hand and surrounded by police, he opened challenged them to shoot him to death.</t>
  </si>
  <si>
    <t>http://www.sun-sentinel.com/local/broward/fl-wilton-manors-shooting-folo-20140908-story.html</t>
  </si>
  <si>
    <t>Aaron Ray</t>
  </si>
  <si>
    <t>http://wfla.images.worldnow.com/images/4672888_G.jpg</t>
  </si>
  <si>
    <t>2600 Race Track Rd</t>
  </si>
  <si>
    <t>32259</t>
  </si>
  <si>
    <t>Deputies responded to a report of a domestic disturbance involving shots fired. Responding deputies were advised by the female victim that the male suspect had possibly barricaded himself inside the residence. While establishing a perimeter, deputies encountered the armed suspect, who refused to drop the weapon and shots were fired, killing Ray</t>
  </si>
  <si>
    <t>http://staugustine.com/news/local-news/2014-09-06/st-johns-county-deputy-shoots-kills-man-home#.VKxencaZFg1</t>
  </si>
  <si>
    <t>Steven Lee Howell</t>
  </si>
  <si>
    <t>http://media-cdn.timesfreepress.com/img/photos/2014/09/05/Steven_Howell_mug_t755_hd1fbc4275d88523069da5f680888b33e7a07507b.jpg</t>
  </si>
  <si>
    <t>9400 Rhea County Highway</t>
  </si>
  <si>
    <t>37321</t>
  </si>
  <si>
    <t>Rhea</t>
  </si>
  <si>
    <t>Rhea County Sheriff's Office</t>
  </si>
  <si>
    <t>Howell had some injuries when he was booked at the Rhea County Jail, so two deputies took him to the hospital for treatment. At the hospital, Potter said, Howell "became belligerent" and was "aggressive physically and verbally."Howell struggled with one deputy in a treatment room and managed to get his service weapon, Potter said."The second officer that entered the room at that time had to fire a shot at Mr. Howell," he said. Emergency room staff pronounced Howell dead.</t>
  </si>
  <si>
    <t>http://www.timesfreepress.com/news/local/story/2014/sep/06/man-killed-by-deputy-in-struggle-for-gun-at-rhea/266455/</t>
  </si>
  <si>
    <t>Kapolei</t>
  </si>
  <si>
    <t>Karen Cifuentes</t>
  </si>
  <si>
    <t>N Rockwell Ave &amp; Melrose Ln</t>
  </si>
  <si>
    <t>73127</t>
  </si>
  <si>
    <t>Victim was speeding away from the scene of a drug deal sting and hit an officer who then opened fired and shot the driver of the vehicle.</t>
  </si>
  <si>
    <t>http://kfor.com/2014/09/04/okc-police-officer-kills-teen-following-alleged-drug-deal/</t>
  </si>
  <si>
    <t>Ronald David Henry Jr.</t>
  </si>
  <si>
    <t>2800 E Glenn St</t>
  </si>
  <si>
    <t>85716</t>
  </si>
  <si>
    <t>Henry pointed a gun at a family member at a convenience store. Police later arrived at Henry's residence where he was threatening to take his own life. He pointed his gun at officers. Henry was shot and killed.</t>
  </si>
  <si>
    <t>http://www.kvoa.com/news/man-id-d-in-tucson-police-involved-shooting/</t>
  </si>
  <si>
    <t>James Bowman</t>
  </si>
  <si>
    <t>East Ninth Street and Sutro Street</t>
  </si>
  <si>
    <t>89512</t>
  </si>
  <si>
    <t>Sparks Police Department, Washoe County Sheriff's Office</t>
  </si>
  <si>
    <t>Details are sketchy, but media reports say Bowman was a convicted felon and being tailed by police prior to the shooting.</t>
  </si>
  <si>
    <t>Brian Lipp</t>
  </si>
  <si>
    <t>http://www.fatalencounters.org/wp-content/uploads/2013/10/BrianLipp.png</t>
  </si>
  <si>
    <t>Bancroft Street exit on I-75</t>
  </si>
  <si>
    <t>43615</t>
  </si>
  <si>
    <t>Lipp was engaged in a car chase with police and was a suspect in a robbery that occured earlier. After a three hour car chase, Lipp was killed by police who had accidentally killed Larry Collins in the chase.</t>
  </si>
  <si>
    <t>http://www.toledoblade.com/local/2011/09/07/Friend-says-fugitive-went-out-as-he-wanted.html</t>
  </si>
  <si>
    <t>Kendrick Brown</t>
  </si>
  <si>
    <t>http://imgick.cleveland.com/home/cleve-media/pgmain/img/plain-dealer/photo/2014/09/02/cleveland-police-fatal-shooting-b20a0b71f201f510.jpg</t>
  </si>
  <si>
    <t>3400 E.140th</t>
  </si>
  <si>
    <t>44120</t>
  </si>
  <si>
    <t>Officer ordered suspect to lower weapon. He refused shot him 3 times.</t>
  </si>
  <si>
    <t>Mark Allen Kelley</t>
  </si>
  <si>
    <t>http://media2.kjrh.com/photo/2014/09/02/Officer_involved_shooting__brother_speak_1976100000_7700925_ver1.0_640_480.jpg</t>
  </si>
  <si>
    <t>300 N 25th W Ave</t>
  </si>
  <si>
    <t>Officers were responding to a report of a man with a self-inflicted stab wound in a home. As they arrived, Kelley was standing in the driveway holding the knife. Police said he refused repeated commands to drop the knife and then approached the officers. Three of them opened fire, striking Kelley several times.</t>
  </si>
  <si>
    <t>http://www.newson6.com/story/26423710/tulsa-police-shoot-kill-man-holding-eight-inch-knife</t>
  </si>
  <si>
    <t>Jesse Castillo Jr.</t>
  </si>
  <si>
    <t>I-40</t>
  </si>
  <si>
    <t>Henryetta</t>
  </si>
  <si>
    <t>74437</t>
  </si>
  <si>
    <t>Okmulgee</t>
  </si>
  <si>
    <t>Lighthorse Police Department</t>
  </si>
  <si>
    <t>Castillo was shot and killed by Lighthorse police while driving. Castillo was being pursued after refusing to stop his car. It is unclear why he was fired at.</t>
  </si>
  <si>
    <t>http://www.tulsaworld.com/news/crimewatch/osbi-releases-identity-of-man-killed-in-officer-involved-shooting/article_b16f3d46-b479-50de-8d57-e5fb822c79d9.html</t>
  </si>
  <si>
    <t>Richard Wray "Rick" Aceves</t>
  </si>
  <si>
    <t>http://ak-cache.legacy.net/legacy/images/Cobrands/AZCentral/Photos/0008279677-02-1_20140920.jpg</t>
  </si>
  <si>
    <t>W Bethany Home Rd &amp; N 15th Ave</t>
  </si>
  <si>
    <t>85015</t>
  </si>
  <si>
    <t>Aceves was shooting a gun prompting neighbors to call police. When police arrived a shootout began. Officers ultimately shot and killed Aceves.</t>
  </si>
  <si>
    <t>http://www.kpho.com/story/26424240/phoenix-police-shoot-kill-heavily-armed-man</t>
  </si>
  <si>
    <t>Eugene N. Turner III</t>
  </si>
  <si>
    <t>http://localtvwdaf.files.wordpress.com/2014/08/turnereugene.jpg?w=240&amp;h=300</t>
  </si>
  <si>
    <t>Myrtle Ave &amp; E 6 St</t>
  </si>
  <si>
    <t>64124</t>
  </si>
  <si>
    <t>Officers went to the area of Independence and Myrtle avenues to investigate a report of a suspicious person armed with a gun. Their attention soon shifted a block to the south. Turner fired several rounds at officers before being shot.</t>
  </si>
  <si>
    <t>http://fox4kc.com/2014/08/31/police-identify-28-year-old-man-who-died-during-officer-involved-shooting/</t>
  </si>
  <si>
    <t>Naim Owens</t>
  </si>
  <si>
    <t>http://assets.nydailynews.com/polopoly_fs/1.1930646!/img/httpImage/image.jpg_gen/derivatives/article_970/naim-owens.jpg</t>
  </si>
  <si>
    <t>291 Marcus Garvey Blvd</t>
  </si>
  <si>
    <t>11221</t>
  </si>
  <si>
    <t>Naim Owens, 22, grazed officer John Hirschberger in the left thigh while fleeing police. During the pursuit, cops shot Owens once in the upper back, and he was rushed to Kings County Hospital, where he suffered complications during surgery and died from internal bleeding.</t>
  </si>
  <si>
    <t>Mitch Allen Thompson</t>
  </si>
  <si>
    <t>http://d1t3gia0in9tdj.cloudfront.net/photo/tributes/t/8/r/207x207/2451402/51ee3c56-1843-429c-a16b-7712003a7e4a.jpg</t>
  </si>
  <si>
    <t>110 1st Street</t>
  </si>
  <si>
    <t>Claude</t>
  </si>
  <si>
    <t>79019</t>
  </si>
  <si>
    <t>Armstrong</t>
  </si>
  <si>
    <t>Armstrong Sheriff's Office</t>
  </si>
  <si>
    <t>Mitch Thompson, 52, was shot and killed after Thompson attacked Sheriff J.R. Walker, Potter-Randall Special Crimes Unit Lt. Erick Bohannon told the Globe-News. Earlier, Thompson was drinking and threatening his wife.</t>
  </si>
  <si>
    <t>http://amarillo.com/news/local-news/2014-09-23/armstrong-deputy-no-billed-fatal-shooting</t>
  </si>
  <si>
    <t>Royal Shawn Bingamen</t>
  </si>
  <si>
    <t>Hubbard and South Virginia street</t>
  </si>
  <si>
    <t>89502</t>
  </si>
  <si>
    <t>Reno Police Department</t>
  </si>
  <si>
    <t>Officers appeared to have shot the man during a gun battle that ensued after he was chased from a CVS Pharmacy, where the man allegedly shot a patron and robbed the store.</t>
  </si>
  <si>
    <t>http://www.rgj.com/story/news/crime/2014/09/01/reno-robbery-suspect-fatally-shot-police/14933497/</t>
  </si>
  <si>
    <t>Jose Walter Garza</t>
  </si>
  <si>
    <t>5301 Santa Maria Ave</t>
  </si>
  <si>
    <t>Garza pulled a pellet gun, a replica of a semiautomatic weapon, on officers at a truck stop at 2 a.m. Six officers killed him with over 80 rounds. Garza had a history of schizophrenia. His grandmother was forced to change burial plans because the 80 shots had essentially removed his face.</t>
  </si>
  <si>
    <t>http://www.nydailynews.com/news/national/police-fired-61-shots-killing-man-bb-gun-laredo-truck-stop-article-1.1930058</t>
  </si>
  <si>
    <t>George Carson</t>
  </si>
  <si>
    <t>NW 50 Ave and NW 190 Rd</t>
  </si>
  <si>
    <t>Hoisington</t>
  </si>
  <si>
    <t>67544</t>
  </si>
  <si>
    <t>Barton</t>
  </si>
  <si>
    <t>Kansas Highway Patrol</t>
  </si>
  <si>
    <t>Officers responding to a domestic battery call were confronted by an armed suspect. Gunfire was exchanged. Carson was transported to the Hoisington hospital where he later died of his wounds.</t>
  </si>
  <si>
    <t>http://www.kwch.com/news/local-news/one-killed-in-officer-involved-shooting/27812968</t>
  </si>
  <si>
    <t>Justin Burch</t>
  </si>
  <si>
    <t>91 Hattie Lane</t>
  </si>
  <si>
    <t>Hattiesburg</t>
  </si>
  <si>
    <t>39401</t>
  </si>
  <si>
    <t>Marion County Sheriff's Office</t>
  </si>
  <si>
    <t>County police responding to a domestic violence call found Burch inside, wielding a long gun. Burch refused to obey police commands to drop his weapon, the situation escalated, and Burch was shot and killed.</t>
  </si>
  <si>
    <t>http://www.hattiesburgamerican.com/story/news/crime/2014/09/02/justin-burch-marion-county/14959659/</t>
  </si>
  <si>
    <t>Stephen Johnston</t>
  </si>
  <si>
    <t>314 W. Prospect Street</t>
  </si>
  <si>
    <t>98119</t>
  </si>
  <si>
    <t>Local police were called to the Johnston residence multiple times, ultimately finding Johnston outside with a rifle in hand. He retreated into the house but the re-emerged and started a firefight with officers, which he lost. Neighbors were at a loss to reconcile the seemingly affable Johnston they knew with the heavily armed man in a house with an "arsenal of weapons, ammunition, body armor and hardened fighting positions" that police described.</t>
  </si>
  <si>
    <t>Jeremy Lewis</t>
  </si>
  <si>
    <t>http://media.cmgdigital.com/shared/img/photos/2014/08/29/a9/3f/Jeremy_Lewis_booking_mug_full.jpg</t>
  </si>
  <si>
    <t>25th Street</t>
  </si>
  <si>
    <t>32805</t>
  </si>
  <si>
    <t>County deputies attempted to serve a warrant to Lewis at his apartment complex, as the climax of a two-week narcotics investigation. According to police, at his doorway Lewis pointed a gun, and at least two officers responded with gunfire. He was shot several times and died at the scene.</t>
  </si>
  <si>
    <t>http://www.wesh.com/news/deputies-suspect-shot-while-deputies-serving-warrant-in-orlando/27788560</t>
  </si>
  <si>
    <t>Enebelio Garcia</t>
  </si>
  <si>
    <t>http://a-a-abailbonds.com/wp-content/gallery/most-wanted/enebelio-garcia1.jpg</t>
  </si>
  <si>
    <t>1400 Krause Lane</t>
  </si>
  <si>
    <t>New Braunfels</t>
  </si>
  <si>
    <t>78130</t>
  </si>
  <si>
    <t>Guadalupe County Sheriff's Department</t>
  </si>
  <si>
    <t>County officers on a domestic dispute call were confronted with Garcia and a carpenter's hatchet in his hand. Pepper-sprayed, Garcia refused to back down, and was fatally shot.</t>
  </si>
  <si>
    <t>http://seguingazette.com/alert/article_12cc2a72-3041-11e4-b02a-001a4bcf887a.html</t>
  </si>
  <si>
    <t>Jayson Matthew Withers</t>
  </si>
  <si>
    <t>http://media.oregonlive.com/pacific-northwest-news/photo/withers2jpeg-80a04c3cc234c7c0.jpeg</t>
  </si>
  <si>
    <t>2500 Westgate</t>
  </si>
  <si>
    <t>Pendleton</t>
  </si>
  <si>
    <t>Umatilla</t>
  </si>
  <si>
    <t>Umatilla County Sheriff's Office</t>
  </si>
  <si>
    <t>Officer shot and killed an inmate Friday morning after he and another prisoner wouldn't stop attacking a third inmate.</t>
  </si>
  <si>
    <t>http://www.oregonlive.com/pacific-northwest-news/index.ssf/2014/08/inmate_shot_and_killed_at_east.html</t>
  </si>
  <si>
    <t>John O'Connell</t>
  </si>
  <si>
    <t>http://www.stgeorgeutah.com/wp-content/uploads/2014/09/Michael-John-OConnell.jpg</t>
  </si>
  <si>
    <t>I-15</t>
  </si>
  <si>
    <t>Littlefield</t>
  </si>
  <si>
    <t>86432</t>
  </si>
  <si>
    <t>Sheriff's deputies describe O'Connell, a former engineering professor, fleeing from a traffic stop on his motorcycle in the remote Arizona strip. Officers tasered him twice; he stopped breathing while being led in handcuffs to a patrol car.</t>
  </si>
  <si>
    <t>http://www.stgeorgeutah.com/news/archive/2014/09/01/kss-sheriffs-office-ids-man-who-fled-deputies-died-felony-warrants-for-lewd-acts/</t>
  </si>
  <si>
    <t>Guillermo Culajay Canas</t>
  </si>
  <si>
    <t>Wabasha St S &amp; Plato Blvd</t>
  </si>
  <si>
    <t>55107</t>
  </si>
  <si>
    <t>Officers responded to frantic 911 calls about Canas, who was caught attacking cars with a pipe and throwing rocks. Two officers fired and killed Canas after he ignored orders to stop and approached the pair seemingly intent on throwing a large rock.</t>
  </si>
  <si>
    <t>http://www.startribune.com/local/stpaul/273013851.html</t>
  </si>
  <si>
    <t>Chaz Michael Havenor</t>
  </si>
  <si>
    <t>http://www.lakesidememorialchapel.com/fh_live/12400/12415/images/obituaries/2660106.jpg</t>
  </si>
  <si>
    <t>6139 157th Lane NW</t>
  </si>
  <si>
    <t>55303</t>
  </si>
  <si>
    <t>Ramsey Police Department</t>
  </si>
  <si>
    <t>Police said officers responded to a call of a suspicious vehicle outside the Learning Lodge day care center in Ramsey. When they arrived, Havenor jumped out of the car and began running away. According to police reports, Havenor pulled a gun as the officers chased him. Dixon and Webb told him to stop and drop the gun. When he didn't, they shot him. The toxicology report for Havenor showed he had amphetamine and methamphetamine in his blood. A round was found in the chamber of his pistol, according to the attorney's office.</t>
  </si>
  <si>
    <t>Erik Charles Lebak</t>
  </si>
  <si>
    <t>28000 Fig Tree Lane</t>
  </si>
  <si>
    <t>Redding</t>
  </si>
  <si>
    <t>96002</t>
  </si>
  <si>
    <t>Shasta</t>
  </si>
  <si>
    <t>Redding Police Department</t>
  </si>
  <si>
    <t>Erik Charles Lebak was suicidal. He was armed with a handgun and a shotgun and shot multiple times by two Redding Police Department officers who responded to the scene.</t>
  </si>
  <si>
    <t>Terry Sellars</t>
  </si>
  <si>
    <t>http://dailyhaze.com/wp-content/uploads/2014/08/Summary-of-Police-Related-Shootings-From-August-2014-Terry-Sellers.jpg</t>
  </si>
  <si>
    <t>5800 Garden Lakes Fern</t>
  </si>
  <si>
    <t>34203</t>
  </si>
  <si>
    <t>Manatee County Sheriff's Department</t>
  </si>
  <si>
    <t>Sellars' own mother called police for help after he assaulted her. County officers arrived only to be swiftly attacked by Sellars with a "very large samurai sword." He was fatally shot. Reporting noted his criminal and prison record, and that he also used the spelling "Sellers".</t>
  </si>
  <si>
    <t>http://www.bradenton.com/2014/08/28/5326434_manatee-deputy-shoots-person-in.html?sp=/99/100/&amp;rh=1</t>
  </si>
  <si>
    <t>Kerry Wesson</t>
  </si>
  <si>
    <t>12200 Santa Fe Avenue</t>
  </si>
  <si>
    <t>Lynwood</t>
  </si>
  <si>
    <t>90262</t>
  </si>
  <si>
    <t>L.A. county detectives were completing a burglary investigation when Wesson, apparently unprompted, emerged from his apartment and opened fire on them. One was wounded. The SWAT team responded for a two-hour standoff with Wesson, who eventually showed himself and was shot to death.</t>
  </si>
  <si>
    <t>http://www.crimevoice.com/man-shoots-detective-for-no-apparent-reason-swat-team-gets-involved/</t>
  </si>
  <si>
    <t>Sergio Ramos</t>
  </si>
  <si>
    <t>http://tribcw33.files.wordpress.com/2014/08/sergio-ramos1.jpeg?w=1200</t>
  </si>
  <si>
    <t>13729 N Central Expy</t>
  </si>
  <si>
    <t>75243</t>
  </si>
  <si>
    <t>Ramos attempted to rob an acquaintance at a gas station, then shot and killed him. An off-duty local officer just finishing up a private security shift at the adjacent Wal-Mart approached Ramos, saw his handgun, and fatally shot him as Ramos went for the weapon.</t>
  </si>
  <si>
    <t>http://cw33.com/2014/08/27/not-again-off-duty-dpd-officer-shoots-kills-murder-suspect/</t>
  </si>
  <si>
    <t>John Rogers</t>
  </si>
  <si>
    <t>http://extras.mnginteractive.com/live/media/site567/2014/1110/20141110__TDT-L-ROGERS-1111~p1.jpg</t>
  </si>
  <si>
    <t>414 Ruth Lane</t>
  </si>
  <si>
    <t>Bloomfield</t>
  </si>
  <si>
    <t>87413</t>
  </si>
  <si>
    <t>Bloomfield Police Department</t>
  </si>
  <si>
    <t>Local police responding to a domestic dispute call said they were confronted with Rogers holding a deadly weapon, so they shot him to death. Rogers' large family and wife of 40 years disputed practically every element of the police narrative: they said Rogers had no gun and there was no domestic dispute to begin with.</t>
  </si>
  <si>
    <t>http://www.daily-times.com/four_corners-news/ci_26425361/family-bloomfield-man-shot-by-police-claims-shooting</t>
  </si>
  <si>
    <t>Mark Jeffery Sharpe</t>
  </si>
  <si>
    <t>4700 Broadway</t>
  </si>
  <si>
    <t>Live Oak</t>
  </si>
  <si>
    <t>95953</t>
  </si>
  <si>
    <t>Sutter</t>
  </si>
  <si>
    <t>Officers responded to reported assault or suicide attempt; claim Sharpe had a gun refusing to put it down, that he said he wanted to end his life, that when they used a stun gun Sharpe pointed a gun at the officers and they shot him twice.</t>
  </si>
  <si>
    <t>http://www.sacbee.com/2014/08/29/6665290/sheirffs-officials-sutter-county.html</t>
  </si>
  <si>
    <t>Freddie LeBlanc</t>
  </si>
  <si>
    <t>http://d1t3gia0in9tdj.cloudfront.net/photo/tributes/t/8/r/207x207/2449189/b3361865-bf96-40c6-b5a2-c2eb25a0fb90.jpg</t>
  </si>
  <si>
    <t>31000 Old Baton Rouge Hwy</t>
  </si>
  <si>
    <t>Hammond</t>
  </si>
  <si>
    <t>70403</t>
  </si>
  <si>
    <t>Livingston Parish Sheriff's Office</t>
  </si>
  <si>
    <t>According to parish officials, their forces responded to reports of an attempted suicide. They found LeBlanc, who is said to have turned his gun on police. He was fatally shot.</t>
  </si>
  <si>
    <t>http://www.wafb.com/story/26388288/officials-investigate-deputy-involved-shooting-in-livingston-parish</t>
  </si>
  <si>
    <t>Cortez Washington</t>
  </si>
  <si>
    <t>http://bloximages.newyork1.vip.townnews.com/omaha.com/content/tncms/assets/v3/editorial/0/22/022c14aa-2e27-11e4-a687-001a4bcf6878/53fe3c944a054.image.jpg</t>
  </si>
  <si>
    <t>Dodge St &amp; N 43rd St</t>
  </si>
  <si>
    <t>68131</t>
  </si>
  <si>
    <t>Washington was holding up the Wendy's with an Airsoft replica gun when an OPD unit fired at least 30 shots into the restaurant. Washington exited the building and fell to the ground.</t>
  </si>
  <si>
    <t>http://www.omaha.com/news/crime/chief-id-s-wendy-s-robbery-suspect-says-he-fired/article_f64dc75c-2e06-11e4-9add-0017a43b2370.html</t>
  </si>
  <si>
    <t>Roshad McIntosh</t>
  </si>
  <si>
    <t>http://cdn.abclocal.go.com/content/wls/images/cms/287387_630x354.jpg</t>
  </si>
  <si>
    <t>2800 West Polk Street</t>
  </si>
  <si>
    <t>60612</t>
  </si>
  <si>
    <t>Police responded to a complaint of armed men near Chicago's East Garfield Park neighborhood. When officers approached McIntosh, he ran into a gangway and pulled a gun from his waistband. When he was told to drop the weapon, officers said the suspect got into an elevated position and pointed the gun at them. McIntosh was shot and taken to a local hospital where he was later pronounced dead.</t>
  </si>
  <si>
    <t>http://abc7chicago.com/news/funeral-to-be-held-for-19-year-old-shot-by-chicago-police/297327/</t>
  </si>
  <si>
    <t>Bryce Dion</t>
  </si>
  <si>
    <t>http://bloximages.newyork1.vip.townnews.com/omaha.com/content/tncms/assets/v3/editorial/1/58/15869db2-2e2d-11e4-90bd-0017a43b2370/53fe46dd3a484.image.jpg</t>
  </si>
  <si>
    <t>4308 Dodge St</t>
  </si>
  <si>
    <t>Bryce was a crew member of the "Cops" TV show filming police response to an armed robbery at a fast food restaurant. Bryce was killed by crossfire from police shooting at the robbery suspect.</t>
  </si>
  <si>
    <t>http://www.nbcnews.com/news/crime-courts/cops-crew-member-bryce-dion-killed-omaha-police-shootout-n190301</t>
  </si>
  <si>
    <t>Luke Baber</t>
  </si>
  <si>
    <t>http://i1.huffpost.com/gen/750924/thumbs/s-LUKE-BABER-large.jpg</t>
  </si>
  <si>
    <t>I-79</t>
  </si>
  <si>
    <t>Wallback</t>
  </si>
  <si>
    <t>25285</t>
  </si>
  <si>
    <t>Roane County Sheriff's Departments</t>
  </si>
  <si>
    <t>Baber was handcuffed and apparently shot two state troopers with a gun State Police said may have been hidden in his pants. Both troopers died (one on scene and one two weeks later). Baber was killed in a shootout with deputies from Clay and Roane counties.</t>
  </si>
  <si>
    <t>http://www.huffingtonpost.com/2012/08/29/luke-baber-marshall-bailey-dead_n_1840781.html</t>
  </si>
  <si>
    <t>Desean Pittman</t>
  </si>
  <si>
    <t>http://assets.dnainfo.com/generated/chicago_photo/2014/08/pittman-1409185986.png/extralarge.jpg</t>
  </si>
  <si>
    <t>Pittman was supposedly involved in a shoot out with two other men. When police arrived he was standing over a body and he pointed a gun at officers. Officers fired and killed Pittman.</t>
  </si>
  <si>
    <t>http://chicagoist.com/2014/08/26/two_weekend_shootings_involving_pol.php</t>
  </si>
  <si>
    <t>Steven Lashone Douglas</t>
  </si>
  <si>
    <t>http://crimeblog.dallasnews.com/files/2014/08/Steven_Douglas-239x300.jpg</t>
  </si>
  <si>
    <t>Lake June and Prairie Creek Roads</t>
  </si>
  <si>
    <t>75217</t>
  </si>
  <si>
    <t>An officer shot Douglas as he ran from police this morning in Pleasant Grove. Douglas was a kidnapping suspect who snatched his two children from their mother after ramming her car.</t>
  </si>
  <si>
    <t>http://crimeblog.dallasnews.com/2014/08/suspect-shot-after-brief-police-chase-in-pleasant-grove.html/</t>
  </si>
  <si>
    <t>Guadalupe Esquivel</t>
  </si>
  <si>
    <t>http://www.everythinglubbock.com/media/lib/197/0/d/d/0dd46e98-7fc0-4c57-a677-e414ee9fc6e9/Story.jpg</t>
  </si>
  <si>
    <t>2800 Cornell Street</t>
  </si>
  <si>
    <t>79415</t>
  </si>
  <si>
    <t>Lubbock Police Department</t>
  </si>
  <si>
    <t>Local police pursued Esquivel multiple times in the same evening as he threatened an estranged girlfriend and her children. When confronted at the laundromat where she worked, Esquivel appeared to reach for his gun, and was killed with eleven shots within the officer's first 15 seconds of contact.</t>
  </si>
  <si>
    <t>http://www.everythinglubbock.com/Story/d/story/police-release-911-call-related-to-deadly-shooting/29096/rAw-GFDO4UyvgHsu4qhuiA</t>
  </si>
  <si>
    <t>Joshua Crawford</t>
  </si>
  <si>
    <t>1720 Grand Ave</t>
  </si>
  <si>
    <t>Grand Junction Police Department received a call to remove Crawford from a home on Grand Avenue. The Daily Sentinel reports that a police log entry on the shooting says that a "known male threatened officers with a handgun."</t>
  </si>
  <si>
    <t>http://www.denverpost.com/news/ci_26474305/2-cops-cleared-fatal-grand-junction-shooting</t>
  </si>
  <si>
    <t>73401</t>
  </si>
  <si>
    <t>Mark Salazar</t>
  </si>
  <si>
    <t>http://www.koco.com/image/view/-/27738110/highRes/2/-/maxh/480/maxw/640/-/6mwfp6z/-/Salazar-Mark-jpg.jpg</t>
  </si>
  <si>
    <t>Johnny Bench Dr</t>
  </si>
  <si>
    <t>73104</t>
  </si>
  <si>
    <t>Local police responding to a burglary call flushed out Salazar, who led them on a high-speed chase. After his vehicle came to a stop on the side of the interstate Salazar continued to flee on foot. Officers set a police dog on him, which he stabbed, causing officers to fatally shoot him in the back. Physical evidence from Salazar's autopsy contradicted the police story. Much of the press focused on the suffering and death of the heroic dog.</t>
  </si>
  <si>
    <t>http://newsok.com/autopsy-details-differ-from-okahoma-city-police-account-in-dog-death/article/5344932</t>
  </si>
  <si>
    <t>Stephen Andrew McMilon</t>
  </si>
  <si>
    <t>http://www.kdrv.com/wp-content/uploads/2014/08/mcmilon-web.jpg</t>
  </si>
  <si>
    <t>Stewart Ave &amp; Cherry St.</t>
  </si>
  <si>
    <t>Veteran Marine with PTSD was ranting and carrying a shotgun. The police arrived in armored vehicles and surrounded him. He was shot in the back 6 times.The police were originally called over because of reports of an altercation between Stephen Andrew McMilon and a woman inside his house.</t>
  </si>
  <si>
    <t>http://www.mailtribune.com/article/20140825/News/140829614</t>
  </si>
  <si>
    <t>Timothy Shad Griffis</t>
  </si>
  <si>
    <t>http://www.mentalhealthportland.org/wp-content/uploads/2014/09/Timothy-Griffis-300x225.jpg</t>
  </si>
  <si>
    <t>100 Southwest Jamie Glen</t>
  </si>
  <si>
    <t>Lake City</t>
  </si>
  <si>
    <t>32055</t>
  </si>
  <si>
    <t>Columbia County Sheriff's Office</t>
  </si>
  <si>
    <t>Griffis threw a metal pipe at an elderly woman. Deputy Bradely showed up, Griffis threatened to kill him. Griffis was tasered and died. Deputy could not resuscitate.</t>
  </si>
  <si>
    <t>http://www.actionnewsjax.com/news/news/fdle-investigates-fatal-columbia-county-police-inc/ng8Nh/</t>
  </si>
  <si>
    <t>Randy Matheny</t>
  </si>
  <si>
    <t>East Fork 12 Pole Creek Road</t>
  </si>
  <si>
    <t>Dingess</t>
  </si>
  <si>
    <t>25671</t>
  </si>
  <si>
    <t>Mingo</t>
  </si>
  <si>
    <t>State police visited Matheny at his home following a wreck at which he allegedly discharged a firearm in the air to disperse a crowd. Upon arrival, Matheny allegedly threatened police with a handgun, and was shot. There are no other eyewitness accounts aside from those of the police.</t>
  </si>
  <si>
    <t>http://www.wowktv.com/story/26358824/wvsp-troopers-shoot-and-kill-a-suspect-in-mingo-county-west-virginia</t>
  </si>
  <si>
    <t>Anthony Lamar Brown</t>
  </si>
  <si>
    <t>http://www.wpbf.com/image/view/-/27706740/highRes/2/-/maxh/480/maxw/640/-/hv3a3oz/-/Anthony-Lamar-Brown-copy-jpg.jpg</t>
  </si>
  <si>
    <t>500 15th St</t>
  </si>
  <si>
    <t>33407</t>
  </si>
  <si>
    <t>West Palm Beach Police Department</t>
  </si>
  <si>
    <t>Brown reportedly stole a bike from someone at gunpoint. Brown was pulled over by and officer. Brown shot at the officer. The officer fired back, killing Brown.</t>
  </si>
  <si>
    <t>http://www.wpbf.com/news/west-palm-beach-police-investigating-officerinvolved-shooting/27701500</t>
  </si>
  <si>
    <t>Lowell Police Department</t>
  </si>
  <si>
    <t>Hernan Milton Ossorio</t>
  </si>
  <si>
    <t>5000 Montgomery Road</t>
  </si>
  <si>
    <t>Ellicott City</t>
  </si>
  <si>
    <t>21043</t>
  </si>
  <si>
    <t>County police were called to Friedman's residence on reports of him being suicidal. Efforts to communicate with the victim failed, he reportedly approached officers with a knife in a threatening way, and he was shot to death. One of two similar incidents within four days.</t>
  </si>
  <si>
    <t>http://www.baltimoresun.com/news/maryland/howard/ellicott-city/ph-ho-cf-police-shooting-20140826,0,1216215.story</t>
  </si>
  <si>
    <t>Mauricio Herrera-Garcia</t>
  </si>
  <si>
    <t>35th Avenue and Camelback Road</t>
  </si>
  <si>
    <t>Involved in hit-and-run. Fired several shots in air out of car window. Seen by cops several hours later; followed by helicoptor and police cars for 30 min. Pulled into gas station, blocked in by police. According to police accounts pulled gun out of his waistband. Was ordered to drop gun, but pointed it at an officer. 3 officers fired.</t>
  </si>
  <si>
    <t>http://www.azcentral.com/story/news/local/phoenix/2014/08/24/phoenix-police-officer-involved-shooting/14526153/</t>
  </si>
  <si>
    <t>Joseph Jennings</t>
  </si>
  <si>
    <t>http://kctv.images.worldnow.com/images/26355241_BG2.jpeg</t>
  </si>
  <si>
    <t>2008 Princeton Road</t>
  </si>
  <si>
    <t>Ottawa</t>
  </si>
  <si>
    <t>66067</t>
  </si>
  <si>
    <t>Officers called to the scene where a suicidal young man reportedly had a gun. Officers shot him multiple times despite his family's pleas to take into consideration his mental illness.</t>
  </si>
  <si>
    <t>http://www.kctv5.com/story/26355241/ottawa-police-involved-in-shooting</t>
  </si>
  <si>
    <t>Raymond Villarreal</t>
  </si>
  <si>
    <t>FM 1069</t>
  </si>
  <si>
    <t>Aransas Pass</t>
  </si>
  <si>
    <t>78336</t>
  </si>
  <si>
    <t>San Patricio County Sheriff's Department</t>
  </si>
  <si>
    <t>County deputies responded to a man-with-a-gun call. They found Villarreal on his own property, in a pickup, agitated and freshly informed that his wife filed for divorce. At some point Villarreal left the vehicle with a handgun and reportedly fired a shot. Officers returned fire and killed him.</t>
  </si>
  <si>
    <t>http://www.caller.com/news/local-news/man-shot-by-san-pat-co-deputy-dies-thursday_69123088</t>
  </si>
  <si>
    <t>Vernicia Woodard</t>
  </si>
  <si>
    <t>http://wgcl.images.worldnow.com/images/26391514_BG2.jpg</t>
  </si>
  <si>
    <t>Elm Street</t>
  </si>
  <si>
    <t>Hapeville</t>
  </si>
  <si>
    <t>30354</t>
  </si>
  <si>
    <t>Woodard was fatally shot multiple times by her former boyfriend, an Atlanta police officer named Tahreem Zeus Rana. After being caught trying to fly to Mexico, Rana faced charges of murder, kidnapping, and a charge of arson for setting Woodard's dead body on fire in an attempt to obscure evidence.</t>
  </si>
  <si>
    <t>http://www.cbs46.com/story/26391514/atlanta-police-officer-suspected-in-womans-death</t>
  </si>
  <si>
    <t>Alex Alvarado</t>
  </si>
  <si>
    <t>http://assets.nydailynews.com/polopoly_fs/1.1918222.1409102835!/img/httpImage/image.jpg_gen/derivatives/article_970/san-bernardino-police-department.jpg</t>
  </si>
  <si>
    <t>North Garner Avenue</t>
  </si>
  <si>
    <t>92411</t>
  </si>
  <si>
    <t>Officers approaching a small group of men were fired upon, injuring one of the officers. Another officer shot and killed one of the men, Alvarado</t>
  </si>
  <si>
    <t>http://ktla.com/2014/08/26/update-expected-on-shootout-that-injured-san-bernardino-police-officer-left-alleged-gunman-dead/</t>
  </si>
  <si>
    <t>Cape Coral</t>
  </si>
  <si>
    <t>33909</t>
  </si>
  <si>
    <t>Lee County Sheriff's Office</t>
  </si>
  <si>
    <t>Found Not Guilty</t>
  </si>
  <si>
    <t>Arvel Douglas Williams</t>
  </si>
  <si>
    <t>http://www.williamcbrownfh.com/sitemaker/memsol_data/2236/1507534/1507534_profile_pic.jpg</t>
  </si>
  <si>
    <t>9233 Cowenton Ave</t>
  </si>
  <si>
    <t>Perry Hall</t>
  </si>
  <si>
    <t>21128</t>
  </si>
  <si>
    <t>Williams led police on a car chase from Joppa to Perry Hall died late Wednesday after he was stunned with Tasers by Harford County sheriff's deputies, police said.The deputies used Tasers on 30-year-old Arvel Douglas Williams "in an effort to safely place [him] under arrest," Baltimore County Police said Thursday.Williams was in handcuffs, police said, when he "suddenly began to have a medical emergency.Police removed the handcuffs, rendered first aid and called paramedics, they said. William was taken to a local hospital, where he was pronounced dead shortly after 9 p.m.</t>
  </si>
  <si>
    <t>Jacob A. Navarre</t>
  </si>
  <si>
    <t>http://kplc.images.worldnow.com/images/4844713_G.jpg</t>
  </si>
  <si>
    <t>LA-1147</t>
  </si>
  <si>
    <t>DeRidder</t>
  </si>
  <si>
    <t>70634</t>
  </si>
  <si>
    <t>Beauregard</t>
  </si>
  <si>
    <t>Navarre allegedly attempted to strike officers with his vehicle.Deputies then fired at Navarre, killing him.</t>
  </si>
  <si>
    <t>http://www.kplctv.com/story/26628027/authorities-identify-man-fatally-shot-by-deputies</t>
  </si>
  <si>
    <t>Darren Friedman</t>
  </si>
  <si>
    <t>7600 Coachlight Lane</t>
  </si>
  <si>
    <t>Friedman was attempting to commit suicide with a knife. Police responded to find he did in fact half self-inflicted stab wounds and shot him after he "confronted them" with said knife.</t>
  </si>
  <si>
    <t>http://www.wjla.com/articles/2014/08/man-shot-by-howard-county-md-police-after-stabbing-self-with-knife-106292.html</t>
  </si>
  <si>
    <t>Darius Colegarrit</t>
  </si>
  <si>
    <t>http://assets.dnainfo.com/generated/chicago_photo/2014/08/police-involved-shooting-1408555680.JPG/larger.jpg</t>
  </si>
  <si>
    <t>13200 South Forrestville</t>
  </si>
  <si>
    <t>60827</t>
  </si>
  <si>
    <t>Police confronted him based on tip about "armed bicyclist"; according to police he pulled a gun after they shone a spotlight on him. He then ran and turned to fire, police fired and killed him.</t>
  </si>
  <si>
    <t>http://voices.suntimes.com/news/breaking-news/male-shot-by-police-on-far-south-side/</t>
  </si>
  <si>
    <t>Kajieme Powell</t>
  </si>
  <si>
    <t>http://media0.faz.net/ppmedia/aktuell/gesellschaft/685718610/1.3109554/article_multimedia_overview/kajieme-powell-kurz-vor-seinem-tod-er-geht-vor-dem-eintreffen-der-polizei-auf-dem-gehweg-auf-und-ab.jpg</t>
  </si>
  <si>
    <t>8701 Riverview Blvd.</t>
  </si>
  <si>
    <t>63147</t>
  </si>
  <si>
    <t>Two officers responded to a shoplifting call. Another call said Powell had a knife and was acting erratically. He raised the knife at the officers, and they shot and killed him.</t>
  </si>
  <si>
    <t>http://www.huffingtonpost.com/2014/08/20/kajieme-powell-shooting_n_5696546.html</t>
  </si>
  <si>
    <t>David Ellis</t>
  </si>
  <si>
    <t>Magee St and Torresdale Ave</t>
  </si>
  <si>
    <t>19135</t>
  </si>
  <si>
    <t>Victim shot at police officers who returned fire, killing him.</t>
  </si>
  <si>
    <t>Maria Fernanda Godinez</t>
  </si>
  <si>
    <t>http://i.dailymail.co.uk/i/pix/2014/08/20/article-0-20AA910700000578-766_634x628.jpg</t>
  </si>
  <si>
    <t>118 South Orange Avenue</t>
  </si>
  <si>
    <t>32801</t>
  </si>
  <si>
    <t>Orlando police said the woman who was shot and killed in a club in downtown Orlando was struck by a stray bullet from an officer's gun.</t>
  </si>
  <si>
    <t>http://www.clickorlando.com/news/woman-killed-police-officer-shot-at-orlando-nightclub/27608730</t>
  </si>
  <si>
    <t>Chad A. Leichhardt</t>
  </si>
  <si>
    <t>http://www.kansas.com/news/local/crime/mpdas0/picture1264931/alternates/FREE_960/leichhardt.jpg</t>
  </si>
  <si>
    <t>401 Sarah Lane</t>
  </si>
  <si>
    <t>Haysville</t>
  </si>
  <si>
    <t>Haysville Police Deartmentt</t>
  </si>
  <si>
    <t>Three Haysville police officers responding to the report of an active domestic violence incident in a ground-floor apartment at Village Green Apartments on Tuesday came upon a suspect barricaded in a bedroom, holding a woman at knife point, Haysville police said Wednesday. When the armed man – identified by police as 40-year-old Chad A. Leichhardt – refused numerous commands to drop the knife and continued to threaten the woman, one of the officers fired a single shot, killing him.</t>
  </si>
  <si>
    <t>http://www.kansas.com/news/local/crime/article1263892.html</t>
  </si>
  <si>
    <t>Miranda Michelle Guy</t>
  </si>
  <si>
    <t>http://www.gannett-cdn.com/-mm-/598da7356008c5c35b1e16d02bf53a95fa08736f/c=17-0-314-397&amp;r=183&amp;c=0-0-180-238/local/-/media/WBIR/WBIR/2014/08/19/1408502199000-miranda2.jpg</t>
  </si>
  <si>
    <t>Fairchild Street</t>
  </si>
  <si>
    <t>Harriman</t>
  </si>
  <si>
    <t>37748</t>
  </si>
  <si>
    <t>Roane</t>
  </si>
  <si>
    <t>The incident stemmed from a burglary call at a storage unit earlier that day. Officers said Miranda Michelle Guy, 28, was spotted driving a suspicious car and fled from officers. She then drove to her home, ran inside, grabbed a gun, and pointed it at officers, according to authorities. That is when officers said they shot Guy. Harriman Police Chief Randy Heidle said the officers inside the home included a Roane County deputy and a Harriman police officer. Crews took Guy to Roane County Medical Center in Harriman where doctors pronounced her dead.</t>
  </si>
  <si>
    <t>http://www.wbir.com/story/news/local/kingston-harriman-roane/2014/08/19/developing-officer-involved-shooting-in-harriman/14295099/</t>
  </si>
  <si>
    <t>Luther Lathron Walker</t>
  </si>
  <si>
    <t>8800 Artesia Blvd</t>
  </si>
  <si>
    <t>Bellflower</t>
  </si>
  <si>
    <t>90706</t>
  </si>
  <si>
    <t>Police received a 5:30 a.m. call about a hostage situation. Walker held his girlfriend against her will for the following six hours in a Bellflower apartment complex, until the girlfriend threw down her keys to police. When she went to escape, he tried to stop her, a struggle ensued, and SWAT members fatally shot him.</t>
  </si>
  <si>
    <t>http://homicide.latimes.com/post/luther-lathron-walker/</t>
  </si>
  <si>
    <t>Andre Maurice Jones</t>
  </si>
  <si>
    <t>http://homicide.latimes.com.s3.amazonaws.com/media/homicide/defe03bd-5412-4f10-a0ad-531a59d0699e.jpeg</t>
  </si>
  <si>
    <t>3700 South Grand Avenue</t>
  </si>
  <si>
    <t>Jones and the driver of the gold Tahoe he rode in fled from an early-morning traffic stop, beginning a rolling three-hour firefight ultimately involving SWAT forces, helicopters, and a BearCat police assault vehicle. The driver was apprehened and charged with attempted murder. An LAPD officer had his leg shattered by gunfire. Jones was fatally shot.</t>
  </si>
  <si>
    <t>Kane</t>
  </si>
  <si>
    <t>Jeffrey Towe</t>
  </si>
  <si>
    <t>411 Elliot St</t>
  </si>
  <si>
    <t>95695</t>
  </si>
  <si>
    <t>Yolo</t>
  </si>
  <si>
    <t>Police called to disturbance at apartment, Towe wielding long knife, charged police, who shot him.</t>
  </si>
  <si>
    <t>http://www.sacbee.com/2014/08/18/6636671/officer-kills-man-allegedly-charging.html</t>
  </si>
  <si>
    <t>Levon Leroy Love</t>
  </si>
  <si>
    <t>4600 Eisenhauer Rd</t>
  </si>
  <si>
    <t>Love was found passed out in a car on a highway. When EMTs began to administer first aid he resisted, drove away, crashed into a truck, then fled on foot. Officers caught him and tasered him twice. He was given a dose of Versed by EMTs because he was resistant to their second attempt at treatment. "A few moments" after his legs were shackled to a gurney, he died. In Sept. 2014 police were awaiting a toxicology report from the medical examiner.</t>
  </si>
  <si>
    <t>http://www.mysanantonio.com/news/local/article/Report-Kicking-pantsless-suspect-was-drugged-5791417.php</t>
  </si>
  <si>
    <t>Steven R. Piirainen</t>
  </si>
  <si>
    <t>http://www.pressherald.com/wp-content/uploads/2014/08/487621_Steve-Piirainen-e1408424237829.jpg</t>
  </si>
  <si>
    <t>72 Main Street</t>
  </si>
  <si>
    <t>Mexico</t>
  </si>
  <si>
    <t>04257</t>
  </si>
  <si>
    <t>Oxford</t>
  </si>
  <si>
    <t>Piirainen stole a pickup truck in Paris and led police on a chase which ended at the Circle K convenience store on Main Street in Mexico, Maine. Piirainen was killed after he exchanged fire with a state trooper and a Mexico police officer.</t>
  </si>
  <si>
    <t>http://www.wmtw.com/news/standoff-underway-in-mexico/27566894</t>
  </si>
  <si>
    <t>Frederick R. Miller</t>
  </si>
  <si>
    <t>4600 Branch Ave</t>
  </si>
  <si>
    <t>Temple Hills</t>
  </si>
  <si>
    <t>20748</t>
  </si>
  <si>
    <t>Prince George Police Department</t>
  </si>
  <si>
    <t>Miller killed 3 people, including his 3 year old daughter. After a pursuit with officers, Miller was shot and killed.</t>
  </si>
  <si>
    <t>http://www.washingtonpost.com/local/crime/lailas-father-shot-her-at-close-range-before-battle-with-officers-pr-geos-police-say/2014/08/18/af83e1ec-2700-11e4-958c-268a320a60ce_story.html</t>
  </si>
  <si>
    <t>Travis Donald Wegener</t>
  </si>
  <si>
    <t>http://mediaassets.knoxnews.com/photo/2014/08/16/Screen%20Shot%202014-08-16%20at%205.38.38%20PM_1408227286767_7404272_ver1.0_640_480.png</t>
  </si>
  <si>
    <t>5206 E Inskip Rd</t>
  </si>
  <si>
    <t>37912</t>
  </si>
  <si>
    <t>Knoxville Police Department</t>
  </si>
  <si>
    <t>Little, a police cadet, opened fire at the home of his former girlfriend, first shooting her 47-year-old mother and family friend Wegener in the driveway, then shooting the girlfriend. Wegener died, the mother seriously wounded, the girlfriend wounded in the leg. In turn the cadet was shot and killed at the scene by the girlfriend's brother.</t>
  </si>
  <si>
    <t>http://www.knoxnews.com/news/watchful-eye/police-cadet-dies-after-shooting-his-ex-and-her-mom-and-killing-a-family-friend_50591543</t>
  </si>
  <si>
    <t>60620</t>
  </si>
  <si>
    <t>Michelle Cusseaux</t>
  </si>
  <si>
    <t>http://mugshots-directory.com/offender-image/a8f/AZP986728-Michelle-Cusseaux.jpg</t>
  </si>
  <si>
    <t>3810 N. Maryvale Parkway</t>
  </si>
  <si>
    <t>85031</t>
  </si>
  <si>
    <t>Police were asked to assist with bringing subject in for mental health treatment. Subject answered the door to her apartment with a hammer that she allegedly held over her head in an attempt to attack the officers. She was shot by one of the officers and died at the hospital.</t>
  </si>
  <si>
    <t>http://www.azcentral.com/story/news/local/phoenix/2014/08/14/phoenix-officer-involved-shooting-mental-health-abrk/14085607/</t>
  </si>
  <si>
    <t>Diana Showman</t>
  </si>
  <si>
    <t>http://ak-cache.legacy.net/legacy/images/cobrands/mercurynews/photos/wb0073759-1_20140818.jpgx?w=200&amp;h=200&amp;option=1&amp;fc=fff</t>
  </si>
  <si>
    <t>700 Blossom Hill Road</t>
  </si>
  <si>
    <t>95123</t>
  </si>
  <si>
    <t>http://www.sfgate.com/crime/article/Teen-shot-by-San-Jose-cop-while-holding-drill-ID-d-5696601.php</t>
  </si>
  <si>
    <t>Sonny Wagner</t>
  </si>
  <si>
    <t>http://www.kansas.com/news/local/crime/i2uy6a/picture1237105/alternates/FREE_960/sonny%20wagner.jpg</t>
  </si>
  <si>
    <t>2107 Singletree Drive</t>
  </si>
  <si>
    <t>67114</t>
  </si>
  <si>
    <t>Newton Police Department</t>
  </si>
  <si>
    <t>Police got a 911 call at 4:08 p.m. from Wagner's wife, Leona Wagner, 52, reporting her husband was battering her. An officer met her in the front yard of the couple's home at 2107 Single Tree Dr. in Prairie Estates mobile home park at 4:11 p.m., Walton said. The officer then went into the house where Sonny Wagner confronted him in the living room, brandishing a knife. There was less than 10 feet between the officer and Wagner, a "very confined space," Walton said. The officer told Wagner repeatedly to put the weapon down. "Wagner raised the knife up and moved forward toward the officer," Walton said. "The officer dispatched two rounds from a service firearm and Wagner collapsed to the floor."</t>
  </si>
  <si>
    <t>http://www.thekansan.com/article/20140815/NEWS/140819570</t>
  </si>
  <si>
    <t>Corey Levert Tanner</t>
  </si>
  <si>
    <t>http://assets.nydailynews.com/polopoly_fs/1.1902153.1407949408!/img/httpImage/image.jpg_gen/derivatives/article_970/corey-levert-tanner.jpg?enlarged</t>
  </si>
  <si>
    <t>Espanola Rd</t>
  </si>
  <si>
    <t>Bunnell</t>
  </si>
  <si>
    <t>32110</t>
  </si>
  <si>
    <t>Flagler</t>
  </si>
  <si>
    <t>Tanner was being served a warrant for attempted murder. Marshals entered Tanner's room and shot him. It was not reported what prompted the shooting. During the shooting, four children were at the house ages 8 through 12.</t>
  </si>
  <si>
    <t>Michael Louis Vargas</t>
  </si>
  <si>
    <t>http://vazquezfuneralhome.com/wp-content/uploads/2014/08/michael-vargas1.jpg</t>
  </si>
  <si>
    <t>11900 Airline Drive</t>
  </si>
  <si>
    <t>77076</t>
  </si>
  <si>
    <t>Police were called because a man was smoking pot near a bus stop.A struggle happened and both the suspect and the officer were shot.</t>
  </si>
  <si>
    <t>http://www.chron.com/houston/article/Officer-shot-in-north-Houston-5686792.php</t>
  </si>
  <si>
    <t>Jacinto Zavala</t>
  </si>
  <si>
    <t>1300 Fourth Street</t>
  </si>
  <si>
    <t>An intoxicated Zavala confronted officers at his home at 3 a.m. and was fatally shot by police. Family statements decried the behavior and differed sharply with the police news release: instead of being heavily armed with multiple weapons, family claimed only a BB gun was found at the scene, and the police apparently also sought to dispute Zavala's status as a veteran.</t>
  </si>
  <si>
    <t>Ruben Lujano</t>
  </si>
  <si>
    <t>http://ak-cache.legacy.net/legacy/Images/Cobrands/DignityMemorial/Photos/314951cf-5d56-4183-a107-5db3eda1174c.jpg</t>
  </si>
  <si>
    <t>14700 Redbud Ln</t>
  </si>
  <si>
    <t>Officers report that they recognized a stolen truck on the road and pulled it over. When they approached the vehicle, the driver, a man described as mid 20s-30s and Hispanic, allegedly reached for a gun and pointed it at them. Officer Alton Baker shot and killed him.</t>
  </si>
  <si>
    <t>http://www.chron.com/houston/article/Police-shoot-and-kill-another-suspect-5688219.php</t>
  </si>
  <si>
    <t>Alvin Curtis Jennings</t>
  </si>
  <si>
    <t>http://bloximages.chicago2.vip.townnews.com/qctimes.com/content/tncms/assets/v3/editorial/4/ea/4ead70c1-9af6-5094-8b70-34fbbf14399c/53ed106297060.preview-620.jpg</t>
  </si>
  <si>
    <t>602 W. 9th St</t>
  </si>
  <si>
    <t>Victim was drinking and threatening Aubrey Jordan (AJ) with a knife. AJ (lifelong friend of the victim) locked himself in a bedroom and called the police. When police arrived the victim came at them with a knife and the officers fired 4 shots. Alvin Jennings' became disabled after suffering both a stroke and aneurysm in 2006. Surgeons removed a portion of his skull, his son said, and the injury contributed to his mental health issues in recent years.</t>
  </si>
  <si>
    <t>http://qctimes.com/news/local/crime-and-courts/they-shot-a-disabled-man-neighbor-says-of-fatal-officer/article_6543e8a7-ce13-504d-b3a4-33cdfd994a1b.html</t>
  </si>
  <si>
    <t>Reagan Lee Jones</t>
  </si>
  <si>
    <t>600 Firestone Ave.</t>
  </si>
  <si>
    <t>35661</t>
  </si>
  <si>
    <t>Florence, Al Police</t>
  </si>
  <si>
    <t>Florence PD called to assist Muscle Shoals PD after Jones shot and wounded his sister Christy Jones Gregory. Colbert County Coroner Carlton Utley aid Jones was angry over being denied an immediate appointment at a mental health facility Wednesday.</t>
  </si>
  <si>
    <t>http://www.al.com/news/huntsville/index.ssf/2014/08/muscle_shoals_gunman_killed_in.html</t>
  </si>
  <si>
    <t>Dante Parker</t>
  </si>
  <si>
    <t>http://www.vvdailypress.com/storyimage/VV/20140813/NEWS/140819920/AR/0/AR-140819920.jpg&amp;MaxW=650</t>
  </si>
  <si>
    <t>12900 Luna Road</t>
  </si>
  <si>
    <t>Victorville</t>
  </si>
  <si>
    <t>92392</t>
  </si>
  <si>
    <t>Victorville Police Department</t>
  </si>
  <si>
    <t>Parker matched the description of a burglar suspect in the area. He was stopped and supposedly became resistant. He was then tasered and later died.</t>
  </si>
  <si>
    <t>http://www.vvdailypress.com/article/20140813/News/140819920</t>
  </si>
  <si>
    <t>Gabriel Lopez-Gonzalez</t>
  </si>
  <si>
    <t>http://bloximages.chicago2.vip.townnews.com/sanfernandosun.com/content/tncms/assets/v3/editorial/9/77/97724cfc-2a47-11e4-92c3-001a4bcf887a/53f7bd89a31e9.image.jpg</t>
  </si>
  <si>
    <t>800 South Brand Blvd</t>
  </si>
  <si>
    <t>San Fernando</t>
  </si>
  <si>
    <t>91340</t>
  </si>
  <si>
    <t>Responding to a "man with gun" call, police say that Lopez' girlfriend ran out of her house, Lopez followed, and then shot her in the back with a handgun. They state he pointed his gun or shot at them; a witness says he shot once in the air, put his hands up and fell to his knees. They "riddled him with bullets" according to his family.</t>
  </si>
  <si>
    <t>http://www.sanfernandosun.com/news/article_67bcc65e-2a47-11e4-b0c3-001a4bcf887a.html</t>
  </si>
  <si>
    <t>Jordan Keith Willis</t>
  </si>
  <si>
    <t>162 Rolling Hills Cir</t>
  </si>
  <si>
    <t>39350</t>
  </si>
  <si>
    <t>Neshoba</t>
  </si>
  <si>
    <t>Choctaw Police Department</t>
  </si>
  <si>
    <t>A Choctaw Police Department senior officer responded to a call for help on Aug. 12 in the Pearl River community that resulted in the officer being wounded and the death of Tribal member Jordan Willis, Misty Brescia Dreifuss, director of the Office of Public Information, said in a statement emailed to the media."The officer has received medical treatment and is expected to make a full recovery. As per protocol, the Federal Bureau of Investigations was called in to conduct a weapons discharge investigation which is ongoing at this time." She went on to say that, "No employee will speak on this matter."</t>
  </si>
  <si>
    <t>Rick Ronald Pifer</t>
  </si>
  <si>
    <t>12850 Treat Highway</t>
  </si>
  <si>
    <t>Fairfield Township</t>
  </si>
  <si>
    <t>49248</t>
  </si>
  <si>
    <t>Lenawee</t>
  </si>
  <si>
    <t>Lenawee County Sheriff's Department</t>
  </si>
  <si>
    <t>Police in Monroe said, deputies responded to 12850 Treat Highway to enforce a court order for hospitalizing the man, who, according to family members, was paranoid and delusional. Deputies were allowed into the residence, where they immediately encountered the man armed with a shotgun. The man ignored repeated warnings from deputies to lower the weapon and deputies shot him.</t>
  </si>
  <si>
    <t>http://www.lenconnect.com/article/20140813/NEWS/140819616/0/SEARCH</t>
  </si>
  <si>
    <t>Dustin Keith Glover</t>
  </si>
  <si>
    <t>Joe Louis Avenue</t>
  </si>
  <si>
    <t>Port Arthur</t>
  </si>
  <si>
    <t>Port Arthur Police Department</t>
  </si>
  <si>
    <t>Officer Otis tased Glover once in the chest, but it did not have an effect on him. Shortly afterward, officers George Clark and Gerald Bush arrived on scene and Clark Tased Glover five times. Video shows Otis with a choke hold on Glover, and Bernsen says Otis punched Glover as well. After his arrest, Glover was taken to the Port Arthur Police Station, but then to Christus hospital St. Mary hospital. Once he was released from the hospital, he was taken to the Jefferson County Jail. He vomited and was bleeding, so he was taken to Baptist Hospital in Beaumont where he died two days later.</t>
  </si>
  <si>
    <t>Ezell Ford</t>
  </si>
  <si>
    <t>http://media.nbclosangeles.com/images/485*273/ezell+ford+lapd+ois+victim.PNG</t>
  </si>
  <si>
    <t>S Broadway &amp; W 65th St</t>
  </si>
  <si>
    <t>90003</t>
  </si>
  <si>
    <t>LAPD says that on Aug. 11, shortly after 8:10 p.m., two anti-gang officers shot Ford after a struggle ensued during an "investigative stop" and they claim that Ford tried to grab one of their firearms. Witnesses disputed the police story.</t>
  </si>
  <si>
    <t>http://www.huffingtonpost.com/2014/08/19/ezell-ford-autopsy_n_5690060.html</t>
  </si>
  <si>
    <t>Homer</t>
  </si>
  <si>
    <t>Claiborne</t>
  </si>
  <si>
    <t>Torrez Harris</t>
  </si>
  <si>
    <t>http://wlbt.images.worldnow.com/images/26249119_BG10.jpg</t>
  </si>
  <si>
    <t>1216 W Peace St</t>
  </si>
  <si>
    <t>Canton</t>
  </si>
  <si>
    <t>39046</t>
  </si>
  <si>
    <t>Canton Police Department, Madison County Sheriff's Department</t>
  </si>
  <si>
    <t>Harris fatally shot his 29-year-old stepdaughter, then fled about a block away to a nearby coin laundry. Local and county officers tracked and killed him there after he refused to surrender.</t>
  </si>
  <si>
    <t>http://www.msnewsnow.com/story/26249119/breaking</t>
  </si>
  <si>
    <t>Eddie Davis</t>
  </si>
  <si>
    <t>http://www.arklatexhomepage.com/media/lib/186/e/f/9/ef922245-8846-4009-97cc-ea534740be7a/Story.jpg</t>
  </si>
  <si>
    <t>300 Pecan Street.</t>
  </si>
  <si>
    <t>75559</t>
  </si>
  <si>
    <t>Dekalb Police Department</t>
  </si>
  <si>
    <t>Officers called to scene of disturbance. Man inside house fired at officers who returned fire, killing suspect.</t>
  </si>
  <si>
    <t>Jose Manuel Gonzalez</t>
  </si>
  <si>
    <t>3600 Espanola Dr</t>
  </si>
  <si>
    <t>75220</t>
  </si>
  <si>
    <t>Responding to a report that Gonzalez had stabbed his parents and grandmother, Senior Cpl. Kevin Gladden found him outside his home with two knives. When he was told to drop the knives and didn't, Gladden shot him. Gonzalez tried to get up and was tasered. He died on the way to the hospital.</t>
  </si>
  <si>
    <t>http://blogs.dallasobserver.com/unfairpark/2014/08/dallas_police_department_officer_guns_down_teenager_wielding_knives.php</t>
  </si>
  <si>
    <t>Melvin Leblanc</t>
  </si>
  <si>
    <t>Crawford Ave</t>
  </si>
  <si>
    <t>Crowley</t>
  </si>
  <si>
    <t>70526</t>
  </si>
  <si>
    <t>Acadia</t>
  </si>
  <si>
    <t>Crowley Police Department</t>
  </si>
  <si>
    <t>Leblanc fire shots at officers. Officers responded by firing back, killing Leblanc.</t>
  </si>
  <si>
    <t>Andrew Scott Gaynier</t>
  </si>
  <si>
    <t>http://crimeblog.dallasnews.com/files/2014/08/Andy.jpeg</t>
  </si>
  <si>
    <t>100 N. Windomere Ave</t>
  </si>
  <si>
    <t>75208</t>
  </si>
  <si>
    <t>A few blocks away, in the 400 block of S. Rosemont Avenue, police said Hudson witnessed the man stop a passing van and try to climb in, alongside the family inside. "For the safety of the family, the officer gave loud verbal commands, but the suspect refused to comply," said Maj. Jeff Cotner. "The suspect moved toward the officer in a manner perceived to be dangerous to the officer. The officer shot the suspect."</t>
  </si>
  <si>
    <t>http://www.nbcdfw.com/news/local/Man-Dies-In-Dallas-Officer-Involved-Shooting-270705511.html</t>
  </si>
  <si>
    <t>Dickinson Police Department</t>
  </si>
  <si>
    <t>Tyrone "Ty" Bandy</t>
  </si>
  <si>
    <t>1200 SW 160th St</t>
  </si>
  <si>
    <t>Burien</t>
  </si>
  <si>
    <t>98166</t>
  </si>
  <si>
    <t>King County Sheriff's Office</t>
  </si>
  <si>
    <t>Bandy's girlfriend called 911 for a domestic dispute. Police were told he was intoxicated, removed her from the house, and tried to talk him out for 4+ hours. Witnesses say tear gas and possibly stun grenades were used. When Bandy began shooting from the house, police (possibly a sniper) shot at him multiple times.</t>
  </si>
  <si>
    <t>http://b-townblog.com/2014/10/07/inquest-ordered-into-death-of-burien-man-in-august-shootout-with-police/</t>
  </si>
  <si>
    <t>Pammi Mroczek</t>
  </si>
  <si>
    <t>http://d1t3gia0in9tdj.cloudfront.net/photo/tributes/t/8/r/207x207/2380709/64de41c4-4302-4615-bf54-7285bcd23f8d.jpg</t>
  </si>
  <si>
    <t>844 Pennsylvania Ave</t>
  </si>
  <si>
    <t>Palenville</t>
  </si>
  <si>
    <t>12463</t>
  </si>
  <si>
    <t>New York State Division of Parole</t>
  </si>
  <si>
    <t>Robert Mroczek, a 46-year-old state parole officer since 2005, confronted his estranged wife, Pammi Mroczek, and her boyfriend, Daniel Brennan, at Robert Mroczek's 844 Pennsylvania Ave. home, troopers said. Robert Mroczek shot and killed Brennan, 51, of Schenectady, in the driveway. Pammi Mroczek, 49, was found dead in the foyer. Both Pammi Mroczek and Brennan were shot multiple times with a 9mm handgun, Regan said.</t>
  </si>
  <si>
    <t>http://www.timesunion.com/local/article/No-word-on-arrests-as-cops-probe-Greene-Co-deaths-5680845.php</t>
  </si>
  <si>
    <t>Daniel Brennan</t>
  </si>
  <si>
    <t>http://www.dalyfuneralhome.com/include/storage/198640/DeathRecordStub/1928259/converted/150x215-2906395.jpg</t>
  </si>
  <si>
    <t>Malcoln Franklin</t>
  </si>
  <si>
    <t>Dolton</t>
  </si>
  <si>
    <t>60419</t>
  </si>
  <si>
    <t>Officers responding to shots fired at a parade pass an SUV with bullet holes and pursue. An occupant exited the vehicle and confronted an officer with weapons. The officer fired and killed the suspect.</t>
  </si>
  <si>
    <t>http://www.nbcchicago.com/news/local/Dolton-Police-Officer-Shot-Man-During-Confrontation-Police-270677211.html</t>
  </si>
  <si>
    <t>Michael Brown</t>
  </si>
  <si>
    <t>http://bloximages.newyork1.vip.townnews.com/stltoday.com/content/tncms/assets/v3/editorial/f/ed/fed5e621-f0a8-5baa-a11a-c748e5dc65cd/5407e41926d2b.preview-620.jpg</t>
  </si>
  <si>
    <t>2900 Canfield Drive</t>
  </si>
  <si>
    <t>Ferguson</t>
  </si>
  <si>
    <t>Ferguson Police Department</t>
  </si>
  <si>
    <t>Even after a grand jury hearing, details are unclear. Brown had either battered a police officer, or was innocently walking down the street with a friend. Witnesses say he was unarmed, with his hands in the air, and the officer shot him more than eight times.His death touched off months of protests around the United States.</t>
  </si>
  <si>
    <t>http://www.kmov.com/news/local/Heavy-police-presence--270609091.html</t>
  </si>
  <si>
    <t>Alberto Cornelio Morales</t>
  </si>
  <si>
    <t>2700 Grand Ave</t>
  </si>
  <si>
    <t>Walnut Park</t>
  </si>
  <si>
    <t>90255</t>
  </si>
  <si>
    <t>Morales, an alleged drug dealer, shot a deputy who approached him for "suspicious behavior". Deputies returned fire after Morales ran away on foot. Morales died on scene.</t>
  </si>
  <si>
    <t>http://abc7.com/news/alleged-drug-dealer-shot-by-deputies-in-south-los-angeles/251857/</t>
  </si>
  <si>
    <t>Dillon Taylor</t>
  </si>
  <si>
    <t>http://www.addictinginfo.org/wp-content/uploads/2014/08/1407889017-1265385697.jpg</t>
  </si>
  <si>
    <t>2102 S. State St.</t>
  </si>
  <si>
    <t>84115</t>
  </si>
  <si>
    <t>Officers recieved a report that someone was waving a gun at a convenience store. Upon arrival they mistook the suspect for Taylor, who was wearing headphones when officers told him to get on the ground. Taylor reached in his pocket and police opened fired - killing Taylor.</t>
  </si>
  <si>
    <t>http://www.sltrib.com/sltrib/news/58374380-78/taylor-lake-salt-shooting.html.csp</t>
  </si>
  <si>
    <t>Joseph Penderghest</t>
  </si>
  <si>
    <t>http://www.ephratareview.com/wp-content/uploads/2014/10/ER20141105_CObiPengerghastJoseph-300x336.jpg</t>
  </si>
  <si>
    <t>6600 Reynolds Mill Road</t>
  </si>
  <si>
    <t>Seven Valleys</t>
  </si>
  <si>
    <t>17360</t>
  </si>
  <si>
    <t>State troopers responding to Penderghest's 1 a.m. Mercedes SUV crash found him bloodied, stunned, and cutting himself with a knife. Despite verbal commands, pepper spray and a Taser he refused to come under control. Witnesses verified that troopers had been threatened by Penderghest and gave him ample warning before shooting him to death.</t>
  </si>
  <si>
    <t>http://www.yorkdispatch.com/business/ci_26309312/witness-police-shooting-cops-gave-him-every-chance?source=most_viewed</t>
  </si>
  <si>
    <t>Justin Wayne Higgins</t>
  </si>
  <si>
    <t>http://muskogeenow.com/muskogee/story_images/1407769154.jpg</t>
  </si>
  <si>
    <t>Aberdeen Circle and Brooken Hill Drive</t>
  </si>
  <si>
    <t>Fort Smith</t>
  </si>
  <si>
    <t>72908</t>
  </si>
  <si>
    <t>Sebastian</t>
  </si>
  <si>
    <t>Higgins was car jacking a friend of an off duty deputy. Higgins had a gun pointed to her head, the deputy shot and killed Higgins.</t>
  </si>
  <si>
    <t>http://swtimes.com/news/man-killed-after-brooken-hill-shootout-id-d</t>
  </si>
  <si>
    <t>Jose Paulino Jr</t>
  </si>
  <si>
    <t>20 Center Street</t>
  </si>
  <si>
    <t>Tamaqua</t>
  </si>
  <si>
    <t>18252</t>
  </si>
  <si>
    <t>Schuylkill</t>
  </si>
  <si>
    <t>Tamaqua Police Department</t>
  </si>
  <si>
    <t>The incident began around 4:00 Friday morning. Paulino was running around, yelling obscenities, and the employee of the market and a bystander called 911. Paulino was unarmed, but he wouldn't comply with officers, so they stunned with several times with a taser gun. The man died on the way to the hospital.</t>
  </si>
  <si>
    <t>http://www.wfmz.com/news/Regional-Poconos-Coal/Local/tamaqua-man-dies-after-shot-with-tasers-by-police/27379726</t>
  </si>
  <si>
    <t>30th Street and Warren Avenue</t>
  </si>
  <si>
    <t>48210</t>
  </si>
  <si>
    <t>Two Detroit Police officers spotted the man driving the wrong way on a one-way street. According to police, during the traffic stop, officers spotted what appeared to be drugs inside the vehicle. The man sped off with the officer hanging onto the side of the car. The officer managed to fire his gun, killing the suspect.</t>
  </si>
  <si>
    <t>http://www.wxyz.com/news/region/detroit/texas-felon-crashes-and-dies-after-dragging-detroit-police-officer-on-the-side-of-his-vehicle</t>
  </si>
  <si>
    <t>Austin David Uncles</t>
  </si>
  <si>
    <t>http://media.thedenverchannel.com/photo/2014/08/13/austin-uncles_1407947315250_7358907_ver1.0_640_480.jpg</t>
  </si>
  <si>
    <t>4849 Bannock St</t>
  </si>
  <si>
    <t>80216</t>
  </si>
  <si>
    <t>Colorado State Police</t>
  </si>
  <si>
    <t>Colorado State Troopers tracked Uncles to the Ramada Plaza at West 48th Avenue and Bannock Street last Friday during an auto theft investigation. When the undercover troopers tried to make an arrest, Uncles ran and then pulled a gun on the troopers. That's when one of the troopers fired at the suspect, who then fell to the ground on Bannock Street in front of the Ramada. Uncles was pronounced dead a few minutes later at Denver Health.</t>
  </si>
  <si>
    <t>http://www.thedenverchannel.com/news/local-news/auto-theft-suspect-shot-by-undercover-trooper-had-long-criminal-record-in-utah</t>
  </si>
  <si>
    <t>Regan Marshall Wagner</t>
  </si>
  <si>
    <t>http://bloximages.chicago2.vip.townnews.com/news-journal.com/content/tncms/assets/v3/editorial/5/df/5df21367-2523-526f-8c26-e5b21e06c98b/53e5a393243e4.preview-300.jpg</t>
  </si>
  <si>
    <t>400 Delwood</t>
  </si>
  <si>
    <t>75605</t>
  </si>
  <si>
    <t>He was pulled over in a traffic stop at about 3:50 p.m. near Akin Park, where police said gunfire was exchanged. Wagner was taken to Longview Regional Medical Center after the shooting. He had a history of terroristic threats and silent or abusive calls to 911 service.</t>
  </si>
  <si>
    <t>http://www.news-journal.com/news/police/longview-man-shot-killed-by-police-had-pleaded-to-threatening/article_7e108221-3e16-5b84-a988-84327b513005.html</t>
  </si>
  <si>
    <t>Jose M. Reyes-Torres</t>
  </si>
  <si>
    <t>300 Montrose Dr</t>
  </si>
  <si>
    <t>Folsom</t>
  </si>
  <si>
    <t>95630</t>
  </si>
  <si>
    <t>Folsom Police Department</t>
  </si>
  <si>
    <t>Torres stabbed his aunt and her baby. Torres then charged an officer, prompting the officer to shoot Torres. Torres died late rin the hospital along with the baby.</t>
  </si>
  <si>
    <t>http://www.kcra.com/news/local-news/news-sacramento/what-led-to-deadly-folsom-infant-stabbing-police-shooting/27464968</t>
  </si>
  <si>
    <t>Michael Laray Dozer</t>
  </si>
  <si>
    <t>http://d3vs4613l1445x.cloudfront.net/archive/x983253680/michael-dozer-JPG/g30e220000000000000cd6e289ef5e4a18d0e8aeb9080943a37b8c2636a.jpg</t>
  </si>
  <si>
    <t>2100 E Brundage Ln</t>
  </si>
  <si>
    <t>93307</t>
  </si>
  <si>
    <t>Dozer was acting erratically at a gas station when he walked towards an officer. Finding him to appear "aggressive", the officer shot and killed him.</t>
  </si>
  <si>
    <t>http://www.bakersfieldnow.com/news/local/Roads-closed-after-Bakersfield-OIS-270208541.html</t>
  </si>
  <si>
    <t>James Pickard Jr.</t>
  </si>
  <si>
    <t>http://www.kitv.com/image/view/-/27435374/medRes/1/-/maxh/460/maxw/620/-/11dguk6z/-/-Pickard01-0120-jpg.jpg</t>
  </si>
  <si>
    <t>2100 Komo Mai Dr</t>
  </si>
  <si>
    <t>Pearl City</t>
  </si>
  <si>
    <t>96782</t>
  </si>
  <si>
    <t>Pickard stole a car, hit a police car and reversed towards officers. Officers then shot and killed Pickard.</t>
  </si>
  <si>
    <t>http://khon2.com/2014/08/06/hpd-investigating-early-morning-shoot-out-in-pearl-city/</t>
  </si>
  <si>
    <t>Jeremey Lake</t>
  </si>
  <si>
    <t>http://assets.nydailynews.com/polopoly_fs/1.1894247!/img/httpImage/image.jpg_gen/derivatives/article_970/tulsa7n-3-web.jpg</t>
  </si>
  <si>
    <t>100 North Maybelle</t>
  </si>
  <si>
    <t>Shannon Kepler, a 24-year veteran of the Tulsa Police Department, shot and killed Lake, his daughter's new boyfriend, in an unprovoked attack at their first meeting. Kepler had recently kicked his 14-year-old daughter out of the house; she had met Lake at a shelter. Kepler was charged with first-degree murder. His wife Gina, also a TPD officer, was charged with accessory after the fact.</t>
  </si>
  <si>
    <t>http://www.nydailynews.com/news/national/tulsparents-cops-arrested-killing-daughter-boyfriend-article-1.1894250</t>
  </si>
  <si>
    <t>John H. Crawford III</t>
  </si>
  <si>
    <t>http://hw.infowars.com/wp-content/uploads/2014/08/crawford1.jpg</t>
  </si>
  <si>
    <t>3360 Pentagon Blvd.</t>
  </si>
  <si>
    <t>Beavercreek</t>
  </si>
  <si>
    <t>45431</t>
  </si>
  <si>
    <t>Beavercreek Police Department</t>
  </si>
  <si>
    <t>Crawford was killed after police were called into a Wal-Mart for reports of a man walking through the store with a rifle. It wasn't a real gun but either a BB or pellet gun from the store</t>
  </si>
  <si>
    <t>http://www.daytondailynews.com/news/news/man-holding-realistic-looking-toy-gun-shot-killed-/ngxTX/</t>
  </si>
  <si>
    <t>Cedric Stanley</t>
  </si>
  <si>
    <t>http://www.local10.com/image/view/-/26868490/highRes/1/-/maxh/240/maxw/320/-/gnv56dz/-/Cedric-Stanley.jpg</t>
  </si>
  <si>
    <t>La Baron Drive and South Drive</t>
  </si>
  <si>
    <t>Miami Springs</t>
  </si>
  <si>
    <t>33166</t>
  </si>
  <si>
    <t>Officers pursued Stanley after a hit-and-run incident. He fled the area and hit a pedestrian with his car, pinning the victim against another vehicle. Then he hit several other cars and fled on foot. When an officer tried to apprehend him, a struggle ensued. Another officer shot and killed Stanley.</t>
  </si>
  <si>
    <t>Daniel Row</t>
  </si>
  <si>
    <t>Gilbert Avenue near Dixmont Avenue</t>
  </si>
  <si>
    <t>45207</t>
  </si>
  <si>
    <t>Two local officers pulled over a BMW SUV for a minor traffic violation at 12:30 a.m. Rowe, a passenger, dashed out of the car and attempted to escape on foot, then pulled a weapon. He was fatally shot. Rowe had served 40 months in prison for an earlier similar incident.</t>
  </si>
  <si>
    <t>Dennis Dean Morrell</t>
  </si>
  <si>
    <t>Rocky Hill Road</t>
  </si>
  <si>
    <t>24202</t>
  </si>
  <si>
    <t>Washington County Police Department</t>
  </si>
  <si>
    <t>http://www.wcyb.com/news/standoff-underway-in-washington-county-va/26847554</t>
  </si>
  <si>
    <t>Aaron Lepak</t>
  </si>
  <si>
    <t>3910 West Highway 98</t>
  </si>
  <si>
    <t>Bay County Sheriff's Office</t>
  </si>
  <si>
    <t>Lepak was wanted by police in connection with domestic violence charges. He'd left his wife paralyzed and in critical condition. When found he engaged in a two-hour armed standoff with police from multiple agencies, holed up in a room in a down-and-out roadside motel. When he gestured his weapon towards an officer, he was fatally shot.</t>
  </si>
  <si>
    <t>20020</t>
  </si>
  <si>
    <t>Manuel Flores</t>
  </si>
  <si>
    <t>http://www.kob.com/kobtvimages/repository/2014-08/Picture1.jpg</t>
  </si>
  <si>
    <t>4330 Coors Blvd SW</t>
  </si>
  <si>
    <t>Bernalillo County Sheriff's Office</t>
  </si>
  <si>
    <t>Flores rammed a deputies car twice, trapping the deputy inside. The deputy feared for his life and shot and killed Flores .</t>
  </si>
  <si>
    <t>http://www.kob.com/article/stories/s3523792.shtml#.VGvPJzTF98E</t>
  </si>
  <si>
    <t>Yee Vang</t>
  </si>
  <si>
    <t>West Minnehaha Avenue at North Arundel Street</t>
  </si>
  <si>
    <t>55103</t>
  </si>
  <si>
    <t>Following a mid-afternoon car crash into a suburban fence, Vang tried and failed to steal a bicycle, then carjacked an SUV with two people in it. Encountering police Vang leapt from the SUV and started shooting. Witnesses reported 5 or 6 shots. He was fatally wounded. A 14-year-old passerby also took a stray bullet in the stomach.</t>
  </si>
  <si>
    <t>http://www.myfoxboston.com/story/26188104/police-shoot-kill-carjacking-suspect-near-frogtown</t>
  </si>
  <si>
    <t>Jacorey Calhoun</t>
  </si>
  <si>
    <t>http://www.mentalhealthportland.org/wp-content/uploads/2014/09/Jacorey-Calhoun.jpg</t>
  </si>
  <si>
    <t>105th Avenue and Edes Avenue</t>
  </si>
  <si>
    <t>Alameda County Deputy Thoms fatally shot Jacorey Calhoun, 23, on Aug. 3 near 105th and Edes avenues after Calhoun allegedly fled from an Oakland police car stop. Officers had tried to stop Calhoun as he drove a 2001 Volvo near 55th and Fairfax avenues in East Oakland. The Volvo was connected to a home-invasion robbery July 12.</t>
  </si>
  <si>
    <t>Maria Rodriguez</t>
  </si>
  <si>
    <t>http://media.turnto23.com/photo/2014/08/04/Family_Remembers_Maria_Rodriguez_1873990001_7220080_ver1.0_640_480.jpg</t>
  </si>
  <si>
    <t>1601 South Union Avenue</t>
  </si>
  <si>
    <t>Maria Rodriguez was on top of a stone pile at a stone manufacturing business. Three officers arrived on the scene to persuade her to leave the business. Maria then pulled out a replica of a gun and pointed it at the officers. Officers then fired on Maria, killing her. Sheriffs initially identified the victim as Sarah Bustamante, but later retracted this name and identified the victim as Maria Rodriguez.</t>
  </si>
  <si>
    <t>http://www.officer.com/news/11611198/calif-deputies-kill-woman-with-replica-gun</t>
  </si>
  <si>
    <t>Ryan James Swearingen</t>
  </si>
  <si>
    <t>http://bloximages.chicago2.vip.townnews.com/dailydem.com/content/tncms/assets/v3/editorial/5/a6/5a67fc3a-1d90-11e4-b407-0019bb2963f4/53e267dfb0cef.image.jpg</t>
  </si>
  <si>
    <t>1527 Ave E</t>
  </si>
  <si>
    <t>Fort Madison</t>
  </si>
  <si>
    <t>52627</t>
  </si>
  <si>
    <t>Fort Madison Police Department</t>
  </si>
  <si>
    <t>Victim was slashing car tires with a knife in the alley between the 1400 block of Avenue E and Avenue D. He ran to a home at 1527 Ave E where he exited a closet and brandished a knife at the officers. In the past, he had been accused of marijuana possession, curfew violations, escape or absence of custody, past-due court fines, operating a vehicle while intoxicated, theft, child support delinquency and traffic tickets.</t>
  </si>
  <si>
    <t>http://www.connecttristates.com/news/story.aspx?id=1078563</t>
  </si>
  <si>
    <t>Vincent Lee Heims</t>
  </si>
  <si>
    <t>http://ak-cache.legacy.net/legacy/Images/Cobrands/DignityMemorial/Photos/0457222b-73c2-4d10-ae45-48b2d8a29679.jpg</t>
  </si>
  <si>
    <t>13400 West Road</t>
  </si>
  <si>
    <t>An armed bank robbery suspect was shot by Harris County Sheriff deputies. Officers were not identified.</t>
  </si>
  <si>
    <t>http://www.khou.com/story/news/crime/2014/08/03/hcso-responds-to-standoff-with-robbery-suspect-in-nw-houston/13545081/</t>
  </si>
  <si>
    <t>Lewis Conlogue</t>
  </si>
  <si>
    <t>http://static.bangordailynews.com/wp-content/uploads/2014/08/42BAA44413a8220937MNN137A6BD-250x250.jpg</t>
  </si>
  <si>
    <t>5572 Bennoch Rd</t>
  </si>
  <si>
    <t>Lagrange</t>
  </si>
  <si>
    <t>04453</t>
  </si>
  <si>
    <t>Omar Abrego</t>
  </si>
  <si>
    <t>https://scontent-sjc.xx.fbcdn.net/hphotos-xfa1/v/t1.0-9/11274_506194952848754_9185177201341797379_n.jpg?oh=f6270d0b863a581f2a20f520f08ad8be&amp;oe=55A87FB6</t>
  </si>
  <si>
    <t>6900 South Main Street</t>
  </si>
  <si>
    <t>Two gang-unit sergeants saw a white vehicle driving erratically at high speed, just missing a pedestrian. As the sergeants reached the 6900 block of South Main Street, Abrego jumped out of the car and attempted to run on foot. A physical altercation ensued, and the sergeants were able to take the suspect into custody. Abrego sustained a laceration and was taken to a hospital where he was pronounced dead.</t>
  </si>
  <si>
    <t>http://www.latimes.com/local/lanow/la-me-ln-man-dies-lapd-arrest-altercation-20140812-story.html</t>
  </si>
  <si>
    <t>Cedric Oscar Ramirez</t>
  </si>
  <si>
    <t>http://tribktla.files.wordpress.com/2014/08/cedric-ramirez.jpg?w=278&amp;h=300</t>
  </si>
  <si>
    <t>9015 Rosehedge Drive</t>
  </si>
  <si>
    <t>Pico Rivera</t>
  </si>
  <si>
    <t>90660</t>
  </si>
  <si>
    <t>County deputies sought Cedric Oscar Ramirez on outstanding warrants. Spotting them, Raimiez fled but was caught in a residential driveway. After a physical struggle, he produced a handgun and shot at the officers. Police returned fire and killed a bystander Frank Al Mendoza. Ramirez held Mendoza's 60-year-old wife hostage for over seven hours before a tactical team fatally shot him.</t>
  </si>
  <si>
    <t>http://homicide.latimes.com/post/cedric-oscar-ramirez/</t>
  </si>
  <si>
    <t>Mark L. Lanza</t>
  </si>
  <si>
    <t>35th and Northern Avenue</t>
  </si>
  <si>
    <t>Lanza shot at officers after he burglarized a condo. Officers then shot and killed Lanza.</t>
  </si>
  <si>
    <t>http://www.azcentral.com/story/news/local/phoenix/2014/08/04/phoenix-police-shooting-mark-lanza-abrk/13587871/</t>
  </si>
  <si>
    <t>Justin Armstrong</t>
  </si>
  <si>
    <t>777 Highway 260</t>
  </si>
  <si>
    <t>Pinetop</t>
  </si>
  <si>
    <t>85935</t>
  </si>
  <si>
    <t>Navajo</t>
  </si>
  <si>
    <t>White Mountain Apache Police Department, Pinetop-Lakeside Police Department</t>
  </si>
  <si>
    <t>Armstrong got into a fight with his wife in a casino parking lot. A guard investigated, and he shot him. When police arrived, he wouldn't put down the gun, shot they shot and killed him.</t>
  </si>
  <si>
    <t>http://www.azfamily.com/news/Incident-at-Hon-Dah-casino-leads-to-lockdown-269711741.html</t>
  </si>
  <si>
    <t>Steve Matthew Doll</t>
  </si>
  <si>
    <t>East Foppiano Lane and Oneto Road</t>
  </si>
  <si>
    <t>95212</t>
  </si>
  <si>
    <t>Alerted by Doll's reckless driving and near misses with other vehicles at up to 80 MPH, a state trooper found him and his vehicle crashed into a cherry orchard. Doll approached the trooper with a knife and was shot to death.</t>
  </si>
  <si>
    <t>http://www.recordnet.com/article/20140819/News/140819647</t>
  </si>
  <si>
    <t>Anthony Callaway</t>
  </si>
  <si>
    <t>Washington Road and Desert Drive</t>
  </si>
  <si>
    <t>East Point</t>
  </si>
  <si>
    <t>30337</t>
  </si>
  <si>
    <t>Fulton County Sheriff's Office</t>
  </si>
  <si>
    <t>Callaway shot a police dog after refusing to comply with orders. Deputies then shot and killed Callaway.</t>
  </si>
  <si>
    <t>Daniel Pierre</t>
  </si>
  <si>
    <t>400 Berlin New Freedom Rd</t>
  </si>
  <si>
    <t>Berlin</t>
  </si>
  <si>
    <t>08009</t>
  </si>
  <si>
    <t>Winslow Police Department</t>
  </si>
  <si>
    <t>Pierre was shot in the head and the torso by officers. Victim killed at home.  Other details were not published.</t>
  </si>
  <si>
    <t>http://www.courierpostonline.com/story/news/local/south-jersey/2014/08/01/shooting-winslow/13454685/</t>
  </si>
  <si>
    <t>Frank Mendoza</t>
  </si>
  <si>
    <t>http://tribktla.files.wordpress.com/2014/08/mendoza.jpg?w=300&amp;h=168</t>
  </si>
  <si>
    <t>9000 Rosehedge Dr</t>
  </si>
  <si>
    <t>http://ktla.com/2014/08/07/pico-rivera-deputy-involved-shooting-autopsy-results-to-be-discussed-at-news-conference/</t>
  </si>
  <si>
    <t>900 Wakeling Street</t>
  </si>
  <si>
    <t>19124</t>
  </si>
  <si>
    <t>http://www.nbcphiladelphia.com/news/local/Police-Invovled-Shooting-Burglary-Philly-269502951.html</t>
  </si>
  <si>
    <t>Donn Eastman</t>
  </si>
  <si>
    <t>http://ww3.hdnux.com/photos/31/37/74/6684438/5/622x350.jpg</t>
  </si>
  <si>
    <t>2500 Nacogdoches Rd</t>
  </si>
  <si>
    <t>78217</t>
  </si>
  <si>
    <t>Eastman tried to break into a car. When officers approached Eastman, he fired a gun at them. Officers then shot and killed Eastman.</t>
  </si>
  <si>
    <t>http://www.mysanantonio.com/news/local/article/Man-killed-by-officer-had-past-murder-conviction-5667993.php#photo-6684438</t>
  </si>
  <si>
    <t>David A. Mendoza</t>
  </si>
  <si>
    <t>Oakwood Knolls Drive</t>
  </si>
  <si>
    <t>Mendoza was the suspect in a string of crimes, a home invasion, attempted auto theft and shop break-in in one evening and evading police overnight. After midnight officers spotted a pickup driving recklessly, Mendoza at the wheel. Cornered on a dead-end road, he attempted to ram the police vehicle, and was shot to death.</t>
  </si>
  <si>
    <t>http://www.roanoke.com/news/crime/bedford_county/state-police-id-man-shot-by-bedford-county-deputy-sheriff/article_b9ed5463-3297-5b52-9cd2-d9ab3f1a764b.html</t>
  </si>
  <si>
    <t>Richard Lee Nelson</t>
  </si>
  <si>
    <t>Kuhio Ave &amp; Kapuni St</t>
  </si>
  <si>
    <t>96815</t>
  </si>
  <si>
    <t>Nelson was spotted by a police officer rear-ending a bus and drinking an alcoholic beverage behind the wheel. After the officer tried to prevent Nelson from taking off, he made U-turns and drove his car onto a sidewalk and hitting a tree, prompting police to fire and kill Nelson. Honolulu Police defended the decision to shoot Nelson, claiming it was done to prevent further safety risks.</t>
  </si>
  <si>
    <t>http://www.hawaiinewsnow.com/story/26158090/happening-now-portion-of-kuhio-avenue-closed-as-police-investigate-shooting</t>
  </si>
  <si>
    <t>Larry Andrew Flynn</t>
  </si>
  <si>
    <t>2101 N Northlake Way</t>
  </si>
  <si>
    <t>98103</t>
  </si>
  <si>
    <t>Victim was intoxicated and armed only with a broken bottle. Officers tasered Larry which had no effect and then they opened fire shooting him several times. I was unable to determine exactly how many times he was shot. He died at Harborview medical center</t>
  </si>
  <si>
    <t>http://blogs.seattletimes.com/today/2014/07/man-shot-by-seattle-police-in-gas-works-park-this-morning/</t>
  </si>
  <si>
    <t>Andrew J. Michaelis</t>
  </si>
  <si>
    <t>http://wwwcache.wral.com/asset/news/local/2014/07/30/13854873/1406932073-michaelis-640x360.jpg</t>
  </si>
  <si>
    <t>5100 New Moon Drive</t>
  </si>
  <si>
    <t>28306</t>
  </si>
  <si>
    <t>Michaelis was involved in a domestic fight with his wife. He attacked her with a knife and a gun. She escaped to her father's home, but her husband followed. Michaelis killed two family members and escaped into the nearby woods where he was killed. An autopsy report showed Michaelis suffered five gunshot wounds including one self-inflicted. The result of the autopsy was inconclusive as to whether he died from the self-inflicted wound or killed by officers.</t>
  </si>
  <si>
    <t>http://www.wate.com/story/27319931/man-who-killed-father-in-law-nephew-shot-himself-in-head</t>
  </si>
  <si>
    <t>Jesse Vigil</t>
  </si>
  <si>
    <t>Horizon Drive and Boulder Highway</t>
  </si>
  <si>
    <t>89002</t>
  </si>
  <si>
    <t>Vigil was asked questions by officers when he became combative and stabbed an officer in the thigh. Vigil was shot and killed.</t>
  </si>
  <si>
    <t>Emilio Solis</t>
  </si>
  <si>
    <t>http://static2.nydailynews.com/polopoly_fs/1.2051008.1419008379!/img/httpImage/image.jpg_gen/derivatives/article_635/hedwig20n-3-web.jpg</t>
  </si>
  <si>
    <t>Hedwig</t>
  </si>
  <si>
    <t>Hedwig Village Police Department</t>
  </si>
  <si>
    <t>At first, it appeared, on the video, that Solis was about to give himself.  Solis then pulled a gun from his waistband and immediately fired at least three shots.  Gibson fired back.  Police said a total of 17 shots were fired</t>
  </si>
  <si>
    <t>http://www.click2houston.com/news/hedwig-village-police-to-release-video-of-officerinvolved-in-shooting/30298286</t>
  </si>
  <si>
    <t>Brad D. Jensen</t>
  </si>
  <si>
    <t>4200 Desert Pl</t>
  </si>
  <si>
    <t>Jensen refused orders to drop a knife. Officers shot and killed Jensen.</t>
  </si>
  <si>
    <t>Josh A. Edwards</t>
  </si>
  <si>
    <t>1400 E 350 North Rd.</t>
  </si>
  <si>
    <t>Pana</t>
  </si>
  <si>
    <t>62557</t>
  </si>
  <si>
    <t>Christian County Sheriff's Office</t>
  </si>
  <si>
    <t>Christian County deputies went to Edwards' home to investigate "an unlawful use of weapons." Residents allowed the officers to come into the house. Police called for backup after seeing drug paraphernalia. Edwards shot at the police and jumped out of a window onto the roof. There was a standoff for hours. Edwards finally set the roof on fire with a cigarette lighter. While the roof was smoldering, he fired at SWAT officers who returned fire and killed him.</t>
  </si>
  <si>
    <t>http://herald-review.com/news/local/suspect-shot-to-death-during-police-standoff-identified/article_30def91d-b8d6-5052-9019-48ba72b65fe2.html</t>
  </si>
  <si>
    <t>Justin Phillip Steele</t>
  </si>
  <si>
    <t>http://www.ktvq.com/images/steele.jpg</t>
  </si>
  <si>
    <t>Blue Sky Highway</t>
  </si>
  <si>
    <t>Ethete</t>
  </si>
  <si>
    <t>82520</t>
  </si>
  <si>
    <t>Fremont County Sheriff's Department, Wind River Police Department (Bureau of Indian Affairs)</t>
  </si>
  <si>
    <t>Steele was pulled over on reservation land for a weapons offense that occurred elsewhere. Two other people in his car were compliant with the officer's commands, but Steele was not. He was fatally shot by a federal officer of the reservation police, a branch of the BIA. Stelle was not native American.</t>
  </si>
  <si>
    <t>http://oilcitywyo.com/2014/07/30/federal-officer-reportedly-involved-in-fatal-shooting-on-wind-river-indian-reservation/</t>
  </si>
  <si>
    <t>Cody David Winters</t>
  </si>
  <si>
    <t>http://www.reviewjournal.com/sites/default/files/styles/large/public/field/media/web1_web_winters_jackson_2.jpg?itok=Ei6unM5z</t>
  </si>
  <si>
    <t>Almondwood Dr.</t>
  </si>
  <si>
    <t>89120</t>
  </si>
  <si>
    <t>Cody David Winters and Natasha Galenn Jackson terrorized a southeast Las Vegas neighborhood, choosing their victims at random in a frantic attempt to escape capture. Eventually, Winters broke a window and entered a home on Almondwood Dr. He demanded car keys from the woman who lived there, shot her in the stomach and dragged her outside as a hostage. When the wounded woman fell to the ground, officers shot and killed Winters.</t>
  </si>
  <si>
    <t>http://www.reviewjournal.com/news/las-vegas/police-burglars-turned-killers-terrorized-neighborhood</t>
  </si>
  <si>
    <t>Steven Isby</t>
  </si>
  <si>
    <t>http://s8.postimg.org/977p1pdj9/Screen_Shot_2015_04_11_at_7_51_23_PM.png</t>
  </si>
  <si>
    <t>Marshfield Avenue and Wabansia Avenue</t>
  </si>
  <si>
    <t>60622</t>
  </si>
  <si>
    <t>Cop returning home from shift very late at night (off duty at the time of the shooting) and sees man in nearby construction. Officer approaches man, identifies himself as a police officer, sees something in the hand of the man, which turned out to be a screw driver. Officer fired several shots (the officer shot himself first before shooting the victim). The victim turned out to be homeless.</t>
  </si>
  <si>
    <t>http://www.chicagotribune.com/news/local/breaking/chi-man-fatally-shot-by-offduty-officer-in-bucktown-identified-20140730-story.html</t>
  </si>
  <si>
    <t>Patrick Small</t>
  </si>
  <si>
    <t>http://bloximages.newyork1.vip.townnews.com/scnow.com/content/tncms/assets/v3/editorial/0/02/0020ef3a-172c-11e4-8124-0017a43b2370/53d7aea6c7545.image.jpg</t>
  </si>
  <si>
    <t>1524 West Palmetto Street</t>
  </si>
  <si>
    <t>29501</t>
  </si>
  <si>
    <t>Florence Police Department</t>
  </si>
  <si>
    <t>Small robbed a gas station, on his way out an officer shot Small after he pointed a gun at him.</t>
  </si>
  <si>
    <t>http://www.wmbfnews.com/story/26135343/officer-involved-shooting-at-florence-gas-station</t>
  </si>
  <si>
    <t>Charles Mozdir</t>
  </si>
  <si>
    <t>http://www.gannett-cdn.com/-mm-/832d1ccb99f03d3282a43ae2ca6833178979815f/c=0-138-306-368&amp;r=x383&amp;c=540x380/local/-/media/USATODAY/USATODAY/2014/07/28/1406574382000-charles-mozdir1.jpg</t>
  </si>
  <si>
    <t>45 Christopher St</t>
  </si>
  <si>
    <t>10014</t>
  </si>
  <si>
    <t>Suspected child molester killed in gunfight with NYPD at Greenwich Village smoke shop.</t>
  </si>
  <si>
    <t>http://www.dnainfo.com/new-york/20140730/greenwich-village/detective-hurt-during-greenwich-village-shootout-leaves-hospital</t>
  </si>
  <si>
    <t>90016</t>
  </si>
  <si>
    <t>96001</t>
  </si>
  <si>
    <t>Ronald Carden</t>
  </si>
  <si>
    <t>http://mediaassets.knoxnews.com/photo/2014/07/28/carden_7104802_ver1.0_640_480.jpg</t>
  </si>
  <si>
    <t>214 Vanosdale Rd</t>
  </si>
  <si>
    <t>37909</t>
  </si>
  <si>
    <t>Carden had a flat tire when an officer stopped. Shortly after Carden attacked the officer, yelling he wouldn't go back to prison (he had narcotics on him). The officer pulled out his weapon and shot and killed Carden.</t>
  </si>
  <si>
    <t>Charles Alver Jones Jr.</t>
  </si>
  <si>
    <t>http://ak-cache.legacy.net/legacy/images/Cobrands/ShreveportTimes/Photos/SPT024924-1_20140728.jpg</t>
  </si>
  <si>
    <t>County Road 4915</t>
  </si>
  <si>
    <t>Bloomburg</t>
  </si>
  <si>
    <t>75556</t>
  </si>
  <si>
    <t>Cass</t>
  </si>
  <si>
    <t>Jones was being served felony warrants for his arrest. It is unreported why the shooting took place.</t>
  </si>
  <si>
    <t>http://txktoday.com/news/deputy-involved-deadly-shooting-back-patrol/</t>
  </si>
  <si>
    <t>Robert Henderson</t>
  </si>
  <si>
    <t>2010 3rd Ave</t>
  </si>
  <si>
    <t>Huntington</t>
  </si>
  <si>
    <t>25703</t>
  </si>
  <si>
    <t>Cabell</t>
  </si>
  <si>
    <t>Huntington Police Department</t>
  </si>
  <si>
    <t>Henderson was arguing with someone at a restaurant. When police arrived he was waving a gun around. police feared for their lives, Henderson was shot and killed.</t>
  </si>
  <si>
    <t>http://www.wsaz.com/home/headlines/Suspect-Shot-and-Killed-by-Huntington-Police-268698962.html</t>
  </si>
  <si>
    <t>John Wrana</t>
  </si>
  <si>
    <t>http://i.huffpost.com/gen/1369198/thumbs/o-JOHN-WRANA-DEATH-facebook.jpg</t>
  </si>
  <si>
    <t>101 Main St.</t>
  </si>
  <si>
    <t>Park Forest</t>
  </si>
  <si>
    <t>60466</t>
  </si>
  <si>
    <t>Park Forest Police Department</t>
  </si>
  <si>
    <t>Bean bag</t>
  </si>
  <si>
    <t>Police were called to Mr. Wrana's assisted living facility because he was "belligerent" and refusing treatment. Wrana, who was frail and dependent on a cane or walker, was armed with his cane, a 2-foot-long metal shoehorn, and a butcher knife. Five officers responded. Wrana refused to drop the knife. After one taser failed to hit Wrana, officer Craig Taylor fired 5 beanbag rounds from a distance of 6-8 feet. No attempt was made to defuse the situation before firing. After the fifth shot, Wrana dropped the knife but remained standing. The commander on scene knocked him to the floor with a riot shield and cuffed him. Wrana died hours later in a local hospital.Officer Taylor is charged with reckless misconduct. Trial is scheduled for September 15, 2014.</t>
  </si>
  <si>
    <t>http://articles.chicagotribune.com/2014-04-02/news/chi-cop-charged-john-wrana-death-kass-20140402_1_john-wrana-craig-taylor-beanbag-rounds</t>
  </si>
  <si>
    <t>Luis Jobel</t>
  </si>
  <si>
    <t>6700 Hayvenhurst Ave</t>
  </si>
  <si>
    <t>http://www.nbclosangeles.com/news/local/Officer-Involved-Shooting-in-Van-Nuys-268572702.html</t>
  </si>
  <si>
    <t>78741</t>
  </si>
  <si>
    <t>Nicholas Lister</t>
  </si>
  <si>
    <t>http://ak-cache.legacy.net/legacy/images/cobrands/saltlaketribune/photos/mou0034469-1_20140730.jpgx?w=130&amp;h=180&amp;option=1&amp;v=0x000000002dd373e4</t>
  </si>
  <si>
    <t>360 E 4000 S</t>
  </si>
  <si>
    <t>84107</t>
  </si>
  <si>
    <t>Unified Police Department i</t>
  </si>
  <si>
    <t>Lister was drunk and suicidal when he threatened officers with a gun. Officers feared for their life and shot and killed Lister</t>
  </si>
  <si>
    <t>Lori Knowles</t>
  </si>
  <si>
    <t>Cobb Ct</t>
  </si>
  <si>
    <t>Hampton</t>
  </si>
  <si>
    <t>30228</t>
  </si>
  <si>
    <t>Henry</t>
  </si>
  <si>
    <t>Henry County Police Department</t>
  </si>
  <si>
    <t>Knowles was acting disturbed and had a gun at her side. She made an 'offensive' movement towards the gun and officers shot and killed her.</t>
  </si>
  <si>
    <t>http://www.wsbtv.com/news/news/local/investigators-scene-officer-involved-shooting-henr/ngnDZ/</t>
  </si>
  <si>
    <t>Harrison Carter</t>
  </si>
  <si>
    <t>http://www.wesh.com/image/view/-/27111478/highRes/1/-/maxh/480/maxw/640/-/sekpsz/-/Carter--Harrison-071814-mug-jpg.jpg</t>
  </si>
  <si>
    <t>5332 Hawford Circle</t>
  </si>
  <si>
    <t>Belle Isle</t>
  </si>
  <si>
    <t>32812</t>
  </si>
  <si>
    <t>County deputies performed a mid-morning "controlled delivery" of a package containing marijuana to Carter's residence. When USAF veteran Carter came out to retrieve it, undercover officers tried to arrest him. This developed into an armed standoff and firefight as Carter barricaded himself inside the house and police locked down the neighborhood. He was found fatally wounded in his garage around noon.</t>
  </si>
  <si>
    <t>http://www.wesh.com/news/deputies-shots-fired-suspect-barricaded-in-orange-county/27107876</t>
  </si>
  <si>
    <t>David Newmeyer</t>
  </si>
  <si>
    <t>http://www.ocalapost.com/wp-content/uploads/2014/07/David-Newmeyer.jpg</t>
  </si>
  <si>
    <t>15135 U.S. 19</t>
  </si>
  <si>
    <t>Cross City</t>
  </si>
  <si>
    <t>32628</t>
  </si>
  <si>
    <t>Dixie</t>
  </si>
  <si>
    <t>Dixie County Sheriff's Office</t>
  </si>
  <si>
    <t>Young Newmeyer, already with a criminal history and three open felony cases in which he was considered an adult, stole the keys of a black Dodge Ram pickup from a spa in the early morning and led police on a high-speed chase across four Florida counties. The pickup flipped when a county officer deliberately rammed it. The collision killed Newmeyer. Two other teen passengers were unhurt.</t>
  </si>
  <si>
    <t>http://www.ocalapost.com/high-speed-chase-in-four-counties-leaves-one-dead/</t>
  </si>
  <si>
    <t>Charles Leon Johnson II</t>
  </si>
  <si>
    <t>http://augustacrime.com/wp-content/uploads/2014/07/Charles-Leon-Johnson-II-cop-shooting-180x271.jpg</t>
  </si>
  <si>
    <t>941 Georgia 140</t>
  </si>
  <si>
    <t>Adairsville</t>
  </si>
  <si>
    <t>30103</t>
  </si>
  <si>
    <t>Adairsville Police Department</t>
  </si>
  <si>
    <t>Johnson was about to be placed under arrest after a traffic stop. Johnson tried to flee, and allegedly dragged the officer. The officer then shot and killed Johnson.</t>
  </si>
  <si>
    <t>Vamond Arqui Elmore</t>
  </si>
  <si>
    <t>http://www.postandcourier.com/storyimage/CP/20140722/PC16/140729831/AR/0/AR-140729831.jpg&amp;maxw=400&amp;q=90</t>
  </si>
  <si>
    <t>114 Winningham Rd</t>
  </si>
  <si>
    <t>St. George</t>
  </si>
  <si>
    <t>29477</t>
  </si>
  <si>
    <t>Elmore was a suspect in a Connecticut homicide, and had a long criminal record. A multi-jurisdictional team found him in a motel. As he left his room, armed with a pistol, he refused to drop his weapon and turned towards officers. He was shot to death by South Carolina state agents.</t>
  </si>
  <si>
    <t>http://www.postandcourier.com/article/20140722/PC16/140729831</t>
  </si>
  <si>
    <t>Briatay McDuffie</t>
  </si>
  <si>
    <t>http://www.fatalencounters.org/wp-content/uploads/2013/10/BriatayMcDuffie.jpg</t>
  </si>
  <si>
    <t>5500 Kathryns Ct</t>
  </si>
  <si>
    <t>White Marsh</t>
  </si>
  <si>
    <t>21162</t>
  </si>
  <si>
    <t>McDuffie was a suspect in a theft of a car. McDuffie had a struggle with officers leading to him being shot and killed.</t>
  </si>
  <si>
    <t>http://www.baltimoresun.com/news/maryland/baltimore-county/white-marsh/bs-md-co-police-involved-shooting-20140722-story.html</t>
  </si>
  <si>
    <t>Joaquin Cibrian</t>
  </si>
  <si>
    <t>http://www.revcom.us/i/355/joaquin-cibrian.jpg</t>
  </si>
  <si>
    <t>100 W 9th 1/2 St</t>
  </si>
  <si>
    <t>La Joya</t>
  </si>
  <si>
    <t>78560</t>
  </si>
  <si>
    <t>Cibrian was barricaded in a house firing at officers. Cibrian was wanted on capital murder charges. Officers rammed the door down and shot and killed Cibrian.</t>
  </si>
  <si>
    <t>http://www.brownsvilleherald.com/news/local/article_2b259a1a-11ef-11e4-a201-0017a43b2370.html</t>
  </si>
  <si>
    <t>Jeremy Robertson</t>
  </si>
  <si>
    <t>http://www.kob.com/kobtvimages/repositoryThumbs/2014-07/Jeremy-Robertson.jpg</t>
  </si>
  <si>
    <t>198 Glorieta St NE</t>
  </si>
  <si>
    <t>87123</t>
  </si>
  <si>
    <t>Robertson ran from police on foot after being served a warrant for his arrest. At one point Robertson took a gun from his waistband and pointed it at officers, prompting the officers to shoot and kill Robertson.</t>
  </si>
  <si>
    <t>Donovan Bayton</t>
  </si>
  <si>
    <t>8470 Arliss St</t>
  </si>
  <si>
    <t>20912</t>
  </si>
  <si>
    <t>The victim was inside the bank and a bank employee called the police to report the man was acting strange. Police arrived, the man didn't comply, they shot him. They found Bayton, who displayed a knife and was “acting erratically.”</t>
  </si>
  <si>
    <t>http://www.washingtonpost.com/local/crime/montgomery-police-officer-involved-in-shooting-at-silver-spring-bank/2014/07/22/db848504-11c4-11e4-9285-4243a40ddc97_story.html4243a40ddc97_story.html</t>
  </si>
  <si>
    <t>Richard Duncalf</t>
  </si>
  <si>
    <t>22915 86th Ave S</t>
  </si>
  <si>
    <t>98031</t>
  </si>
  <si>
    <t>Duncalf supposedly assaulted an officer and fled. He then reportedly fired at officers. Officers returned fire killing Duncalf. An eyewitness however disputes the official police report.</t>
  </si>
  <si>
    <t>Jeffrey Carter McMillan</t>
  </si>
  <si>
    <t>4015 Battleship Pkwy</t>
  </si>
  <si>
    <t>Spanish Fort</t>
  </si>
  <si>
    <t>36527</t>
  </si>
  <si>
    <t>Mobile County Constables Office</t>
  </si>
  <si>
    <t>Mobile County Constable Larry Lambert Sheffield was arrested Sunday and charged with murdering McMillan.</t>
  </si>
  <si>
    <t>http://www.al.com/news/mobile/index.ssf/2014/07/mobile_county_constable_charge.html</t>
  </si>
  <si>
    <t>Francisco Rocha</t>
  </si>
  <si>
    <t>3500 W 38th St</t>
  </si>
  <si>
    <t>60632</t>
  </si>
  <si>
    <t>Rocha was reportedly fighting with two people. An officer then tasered Rocha. Rocha was transported to a hospital where he was pronounced dead.</t>
  </si>
  <si>
    <t>http://wgntv.com/2014/07/20/man-dies-after-being-tased-by-chicago-police-officer/</t>
  </si>
  <si>
    <t>Jonathan L. Williams</t>
  </si>
  <si>
    <t>http://www.gannett-cdn.com/-mm-/fe8262a9eb90969f5425a9591bbda2e647ffed15/c=9-0-459-600&amp;r=537&amp;c=0-0-534-712/local/-/media/Phoenix/GenericImages/2014/07/21/1405978069000-williams.jpg</t>
  </si>
  <si>
    <t>1612 N Scottsdale Rd</t>
  </si>
  <si>
    <t>Williams reportedly fired a gun at an officer. An officer returned fire, killing Williams.</t>
  </si>
  <si>
    <t>Cadence Harris</t>
  </si>
  <si>
    <t>http://images.latinpost.com/data/images/full/17465/cadence-harris.jpg?w=600</t>
  </si>
  <si>
    <t>20th Street and Metropolitan Avenue</t>
  </si>
  <si>
    <t>Leavenworth</t>
  </si>
  <si>
    <t>66048</t>
  </si>
  <si>
    <t>Leavenworth Police Department</t>
  </si>
  <si>
    <t>Suspect Marcas McGowan abducted young Harris away from her mother, from a home the three shared, and led police on a high-speed chase that ended with him wounded and Harris in the back seat, shot to death. Slow and loathe to make any admissions, police and prosecutor reports have gradually revealed that she died from police bullets -- but he has been charged for her murder.</t>
  </si>
  <si>
    <t>http://cjonline.com/news/2014-11-21/kansas-man-pleads-not-guilty-death-child-police-chase</t>
  </si>
  <si>
    <t>Kenneth Johnson</t>
  </si>
  <si>
    <t>6000 Revere St</t>
  </si>
  <si>
    <t>89032</t>
  </si>
  <si>
    <t>Johnson was in a confrontation with officers when he pulled out a fake gun. Officers responded by shooting and killing Johnson.</t>
  </si>
  <si>
    <t>Andre Milton</t>
  </si>
  <si>
    <t>168th Avenue and East 14th Street</t>
  </si>
  <si>
    <t>94578</t>
  </si>
  <si>
    <t>Milton was violently beating his girlfriends head against against a car when a deputy shot and killed him.</t>
  </si>
  <si>
    <t>http://www.mercurynews.com/crime-courts/ci_26204391/woman-attacked-before-fatal-police-shooting-is-out</t>
  </si>
  <si>
    <t>Eric Garner</t>
  </si>
  <si>
    <t>http://d.ibtimes.co.uk/en/full/1392076/garners.jpg</t>
  </si>
  <si>
    <t>Victory Boulevard and Bay Street</t>
  </si>
  <si>
    <t>10301</t>
  </si>
  <si>
    <t>http://youtu.be/5LSBpwmMnVM</t>
  </si>
  <si>
    <t>Allen Jay Foste</t>
  </si>
  <si>
    <t>120 Bremond Street</t>
  </si>
  <si>
    <t>Belton</t>
  </si>
  <si>
    <t>76513</t>
  </si>
  <si>
    <t>Bell</t>
  </si>
  <si>
    <t>http://radiolegendary.com/2014/07/officer-involved-shootings-described-in-past-exonerative/</t>
  </si>
  <si>
    <t>Glenn Ray Glancey</t>
  </si>
  <si>
    <t>1000 N. Eighth Street</t>
  </si>
  <si>
    <t>97467</t>
  </si>
  <si>
    <t>Reedsport Police Department, Douglas County Sheriff's Department</t>
  </si>
  <si>
    <t>In the early afternoon four Reedsport and county officers responded to a call about a verbal and physical fight about a mobile home park. They found and exchanged fire with resident Glancey, who was armed with a handgun. Glancey was shot once, and died of his injuries three days later.</t>
  </si>
  <si>
    <t>http://registerguard.com/rg/news/local/31938467-75/glancey-reedsport-police-officer-shooting.html.csp</t>
  </si>
  <si>
    <t>Dominique Charon Lewis</t>
  </si>
  <si>
    <t>Flushing Road and Mitson Boulevard</t>
  </si>
  <si>
    <t>Flint Township</t>
  </si>
  <si>
    <t>48504</t>
  </si>
  <si>
    <t>Genesee</t>
  </si>
  <si>
    <t>Flint Township Police Department</t>
  </si>
  <si>
    <t>The incident started with a routine traffic stop. Three adults and one child were in the car. The officer was removing people from the car when Lewis jumped back into the driver's seat and sped off. Another officer fired twice at the car because it was allegedly coming toward him. Lewis died at Hurley Medical Center later.</t>
  </si>
  <si>
    <t>http://www.mlive.com/news/flint/index.ssf/2014/07/police_fatally_shoot_motorist.html</t>
  </si>
  <si>
    <t>Alex Gregory Martinez</t>
  </si>
  <si>
    <t>http://www.kcra.com/image/view/-/27033456/medRes/1/-/maxh/220/maxw/220/-/3vlvm2z/-/2-new-suspects-jpg.jpg</t>
  </si>
  <si>
    <t>1440 E Hammer Ln</t>
  </si>
  <si>
    <t>ALEX GREGORY MARTINEZ AND GILBERT RENTERIA JR and others robbed a bank. Some suspects got away, but Martinez and Renteria were shot and killed by officers.</t>
  </si>
  <si>
    <t>http://www.kcra.com/news/local-news/news-stockton/who-dropped-off-3-armed-men-before-deadly-crime-spree/27024354</t>
  </si>
  <si>
    <t>Gilbert Renteria Jr.</t>
  </si>
  <si>
    <t>Misty Holt-Singh</t>
  </si>
  <si>
    <t>http://media.nbcbayarea.com/images/misty.jpg</t>
  </si>
  <si>
    <t>Thornton Road and Otto Drive</t>
  </si>
  <si>
    <t>95209</t>
  </si>
  <si>
    <t>Hostage from a bank robbery shot by police</t>
  </si>
  <si>
    <t>http://www.reviewjournal.com/news/nation-and-world/calif-bank-robbery-hostage-was-killed-police-authorities-say</t>
  </si>
  <si>
    <t>Justin Neil Davis</t>
  </si>
  <si>
    <t>http://mediaassets.commercialappeal.com/photo/2014/07/18/justin%20neil%20davis_1405661253707_6887819_ver1.0_640_480.jpg</t>
  </si>
  <si>
    <t>Cameron Brown Park</t>
  </si>
  <si>
    <t>Germantown</t>
  </si>
  <si>
    <t>38139</t>
  </si>
  <si>
    <t>Germantown Police Department</t>
  </si>
  <si>
    <t>Iraq veteran Davis was found by police sitting in a local park, in his car, toying with a rifle. They'd been alerted that he was unstable, armed, and possibly suicidal. Three officers cleared the park and began communicating with him via cell phone and a PA system. Davis was shot and killed.</t>
  </si>
  <si>
    <t>http://www.walb.com/story/26034113/man-shot-killed-by-germantown-police-officers</t>
  </si>
  <si>
    <t>Michael Reams</t>
  </si>
  <si>
    <t>http://media.fresnobee.com/smedia/2014/07/15/18/16/1uRI5r.AuSt.8.jpeg</t>
  </si>
  <si>
    <t>S Modoc St &amp; E El Dorado St</t>
  </si>
  <si>
    <t>Two police officers responded to a domestic violence call and went to Reams' home. A woman was heard screaming inside and struggling with a male suspect. Police says Reams shouted if officers went inside, he would kill her. After a few seconds, the police couldn't hear the woman anymore. Once the officers broke into the home, an officer fired four rounds and killed Reams who died on the scene. The woman was found stabbed to death.</t>
  </si>
  <si>
    <t>http://abc30.com/news/woman-stabbed-to-death%3B-suspect-fatally-shot-by-officer-in-sw-fresno/184878/</t>
  </si>
  <si>
    <t>Timothy Mitchell</t>
  </si>
  <si>
    <t>http://www.upmatters.com/media/lib/207/0/7/f/07f6e9d9-1528-4d07-b0c3-79dcdffc5182/Story.jpg</t>
  </si>
  <si>
    <t>National Forest Development Road 13 and Buckhorn Road</t>
  </si>
  <si>
    <t>Munising Township</t>
  </si>
  <si>
    <t>49895</t>
  </si>
  <si>
    <t>Alger</t>
  </si>
  <si>
    <t>Munising City Police Department</t>
  </si>
  <si>
    <t>Mitchell was driving at speeds of 100 mph. Mitchel ran off the road near highway 13 and Buckhorn Road where Officer Schlabach told Mitchel' to get on the the ground. Mitchell advanced the officer in an aggressive manner and was subsequently shot and killed.</t>
  </si>
  <si>
    <t>http://www.uppermichiganssource.com/news/story.aspx?id=1085494#.U_z4lo10yie</t>
  </si>
  <si>
    <t>Armando Noah Aleman</t>
  </si>
  <si>
    <t>http://mediaassets.timesrecordnews.com/photo/2014/07/24/Alemanobit_7045006_ver1.0_640_480.jpg</t>
  </si>
  <si>
    <t>1400 N Scott Ave</t>
  </si>
  <si>
    <t>Wichita Falls</t>
  </si>
  <si>
    <t>76306</t>
  </si>
  <si>
    <t>Wichita Falls Police Department</t>
  </si>
  <si>
    <t>Aleman reportedly assaulted someone with a handgun. The officer was in a foot chase with Aleman. Aleman then allegedly pointed a gun at the officer, prompting the officer to shoot and kill Aleman.</t>
  </si>
  <si>
    <t>http://www.timesrecordnews.com/news/local-news/officerinvolved-shooting-update_11059196</t>
  </si>
  <si>
    <t>Ja Ma Lo Day</t>
  </si>
  <si>
    <t>http://tribkswb.files.wordpress.com/2014/07/jama-lo-da.gif?w=300&amp;h=166</t>
  </si>
  <si>
    <t>3800 Menlo Ave</t>
  </si>
  <si>
    <t>92105</t>
  </si>
  <si>
    <t>Day was agitated and was threatening his family with a knife. When officers arrived they tried to subdue him with a taser. A police canine then tried to stop him. Day then attacked the canine with a machete prompting officers to shoot and kill him Day.</t>
  </si>
  <si>
    <t>http://fox5sandiego.com/2014/07/14/mentally-ill-refugee-killed-by-police/</t>
  </si>
  <si>
    <t>Lawrence Campbell</t>
  </si>
  <si>
    <t>http://media.nj.com/hudsoncountynow_impact/photo/15401902-large.jpg</t>
  </si>
  <si>
    <t>2395 John F Kennedy Blvd</t>
  </si>
  <si>
    <t>Jersey City</t>
  </si>
  <si>
    <t>07047</t>
  </si>
  <si>
    <t>Jersey City Police Department</t>
  </si>
  <si>
    <t>Campbell was shot and killed by police during an armed robbery at Walgreens at the corner of Communipaw Avenue and Kennedy Boulevard in Jersey City. Police Officer Melvin Santiago was also killed during the standoff.</t>
  </si>
  <si>
    <t>http://www.nj.com/hudson/index.ssf/2014/07/man_who_killed_jersey_city_police_officer_is_identified.html</t>
  </si>
  <si>
    <t>Adrian Eugene King</t>
  </si>
  <si>
    <t>146 3rd Ave W</t>
  </si>
  <si>
    <t>28792</t>
  </si>
  <si>
    <t>King stabbed an officer prompting the wounded officer's partner to shoot and kill King.</t>
  </si>
  <si>
    <t>Edward Lee Farlow</t>
  </si>
  <si>
    <t>Montana Avenue</t>
  </si>
  <si>
    <t>Basin</t>
  </si>
  <si>
    <t>82410</t>
  </si>
  <si>
    <t>Big Horn</t>
  </si>
  <si>
    <t>Basin Police Department</t>
  </si>
  <si>
    <t>http://www.kulr8.com/story/26027893/basin-shooting</t>
  </si>
  <si>
    <t>New Hanover</t>
  </si>
  <si>
    <t>New Hanover County Sheriff's Office</t>
  </si>
  <si>
    <t>David Brandstetter</t>
  </si>
  <si>
    <t>https://scontent-a-lga.xx.fbcdn.net/hphotos-xaf1/v/t1.0-9/10459912_10152285556007734_2108169410173040636_n.jpg?oh=67a6da396917680f2524f8663edd63ca&amp;oe=551B905B</t>
  </si>
  <si>
    <t>17400 El Pueblo Boulevard</t>
  </si>
  <si>
    <t>Fountain Hills</t>
  </si>
  <si>
    <t>85268</t>
  </si>
  <si>
    <t>Army veteran was reported to have been acting erratically and walking around naked. When police came upon him they shot him to death.</t>
  </si>
  <si>
    <t>http://www.fhtimes.com/news/local_news/deputy-shoots-kills-fh-man/article_a54087d8-0c4a-11e4-8a23-0017a43b2370.html</t>
  </si>
  <si>
    <t>Valerie Abbott Harrington</t>
  </si>
  <si>
    <t>http://wbtw.images.worldnow.com/images/4207982_G.jpg</t>
  </si>
  <si>
    <t>Ashcraft Circle</t>
  </si>
  <si>
    <t>Pawleys Island</t>
  </si>
  <si>
    <t>29585</t>
  </si>
  <si>
    <t>Georgetown</t>
  </si>
  <si>
    <t>http://www.wbtw.com/story/26016692/friends-family-mourn-litchfield-beach-mom-shot-by-deputies</t>
  </si>
  <si>
    <t>Harold F. Roudebush</t>
  </si>
  <si>
    <t>2934 Griffin View Dr</t>
  </si>
  <si>
    <t>Lady Lake</t>
  </si>
  <si>
    <t>32159</t>
  </si>
  <si>
    <t>Police were called because Roudebush had a gun to his head. When officers arrived Roudebush pointed his gun at them, which resulted in officers shooting and killing Roudebush.</t>
  </si>
  <si>
    <t>http://www.mynews13.com/content/news/cfnews13/news/article.html/content/news/articles/cfn/2014/7/12/lake_county_man_kill.html</t>
  </si>
  <si>
    <t>Coty Champagne</t>
  </si>
  <si>
    <t>http://bloximages.chicago2.vip.townnews.com/iberianet.com/content/tncms/assets/v3/editorial/3/2f/32f6643c-0cfd-11e4-98d9-001a4bcf887a/53c6992eb78d0.image.jpg</t>
  </si>
  <si>
    <t>400 S Evangeline St</t>
  </si>
  <si>
    <t>New Iberia</t>
  </si>
  <si>
    <t>70560</t>
  </si>
  <si>
    <t>Iberia</t>
  </si>
  <si>
    <t>Iberia Parish Sheriff's Office</t>
  </si>
  <si>
    <t>A deputy was responding to a domestic disturbance call. When the deputy knocked on the door Champagne pointed a gun at the deputy, prompting the deputy to shoot and kill Champagne</t>
  </si>
  <si>
    <t>http://www.kadn.com/news/iberia-parish-sheriffs-deputy-involved-shooting-death-33-year-old-coty-champagne</t>
  </si>
  <si>
    <t>Ira James Arquette</t>
  </si>
  <si>
    <t>http://www.yakimaherald.com/csp/mediapool/sites/dt.common.streams.StreamServer.cls?STREAMOID=l$OYyNMc508Gw1pPm$Do8s$daE2N3K4ZzOUsqbU5sYu5UeJTYvwXevbqbc2qL6pRWCsjLu883Ygn4B49Lvm9bPe2QeMKQdVeZmXF$9l$4uCZ8QDXhaHEp3rvzXRJFdy0KqPHLoMevcTLo3h8xh70Y6N_U_CryOsw6FTOdKL_jpQ-&amp;CONTENTTYPE=image/jpeg</t>
  </si>
  <si>
    <t>S Wapato Road</t>
  </si>
  <si>
    <t>Wapato</t>
  </si>
  <si>
    <t>98951</t>
  </si>
  <si>
    <t>Yakama Nation Police</t>
  </si>
  <si>
    <t>Police responded to a domestic disturbance. Arquette fled in a vehicle, allegedly shooting at the pursuing officer. He allegedly stopped and continued shooting at the officer, who then shot Arquette in the heart and leg.</t>
  </si>
  <si>
    <t>http://www.komonews.com/news/local/Yakama-tribal-police-involved-in-fatal-shooting-266825381.html</t>
  </si>
  <si>
    <t>Joseph K. Greer</t>
  </si>
  <si>
    <t>http://www.obitssetx.com/files/photos/big1405700480Untitled-Scanned-38.jpg</t>
  </si>
  <si>
    <t>1700 E Railroad St</t>
  </si>
  <si>
    <t>Vidor</t>
  </si>
  <si>
    <t>77662</t>
  </si>
  <si>
    <t>Vidor Police Department</t>
  </si>
  <si>
    <t>Greer pulled out a knife on officers. Officers then shot and killed Greer.</t>
  </si>
  <si>
    <t>James E. Hamm</t>
  </si>
  <si>
    <t>208 N. Jefferson St</t>
  </si>
  <si>
    <t>Princeton</t>
  </si>
  <si>
    <t>42445</t>
  </si>
  <si>
    <t>Caldwell</t>
  </si>
  <si>
    <t>Princeton Police Department</t>
  </si>
  <si>
    <t>Police Chief Don Weedman was in a bank when Hamm reportedly entered with a mask, bag and gun. Weedman says he told Hamm to drop the gun, and Hamm fired at him. Weedman shot him multiple times.</t>
  </si>
  <si>
    <t>http://www.dailyindependent.com/news/local_news/article_aa462702-3075-11e4-b196-0019bb2963f4.html?mode=jqm</t>
  </si>
  <si>
    <t>Tyshawn Hancock</t>
  </si>
  <si>
    <t>http://guenettefuneralhome.frontrunnerpro.com/runtime/90466/include/storage/thumb.php?edgeFade=4&amp;imgName=90466/DeathRecordStub/1908007/2855508.jpg&amp;imgWidth=72</t>
  </si>
  <si>
    <t>2850 Petzinger Road</t>
  </si>
  <si>
    <t>43209</t>
  </si>
  <si>
    <t>Probation officer John Farnsworth and police went to Hancock's home to arrest him. They did not wait for Hancock's grandfather to retrieve him and rushed into his bedroom guns drawn, in the presence of two small children. They claim Hancock "dove for a gun" and that Farnsworth wrestled with him for it. A family witness, says she did not see a gun in Hancock's hand. Farnsworth and possibly another officer shot him three times before or after he allegedly shot and critically injured Farnsworth. The Probation Dept. was aware of Hancock's history of mental illness. The family has reportedly retained an attorney.</t>
  </si>
  <si>
    <t>Frank Alvarado</t>
  </si>
  <si>
    <t>http://bloximages.newyork1.vip.townnews.com/montereycountyweekly.com/content/tncms/assets/v3/editorial/8/41/841b4ee4-0880-11e4-acdc-001a4bcf6878/53bfc4509fc39.preview-1000.jpg?resize=768%2C512</t>
  </si>
  <si>
    <t>1024 Fairview Ave</t>
  </si>
  <si>
    <t>After Alvarado broke into his grandfather's home and vandalized the place, family members called police to report the 40-year-old was on meth and wouldn't go back to prison. Alvarado was shot by police after rushing at them while holding an object, later revealed to be a cellphone.</t>
  </si>
  <si>
    <t>http://www.thecalifornian.com/story/news/local/2014/07/11/family-speaks-man-killed-police/12539801/</t>
  </si>
  <si>
    <t>Charles K. Goodridge</t>
  </si>
  <si>
    <t>https://scontent-b-sjc.xx.fbcdn.net/hphotos-xpf1/v/t1.0-9/10712896_701334586615905_4699821546276185739_n.jpg?oh=d55e92a748dd1597b68a35c78acc8ce9&amp;oe=552579A6</t>
  </si>
  <si>
    <t>11800 Grant Rd</t>
  </si>
  <si>
    <t>Cypress</t>
  </si>
  <si>
    <t>77429</t>
  </si>
  <si>
    <t>Harris County Constable Precinct 4</t>
  </si>
  <si>
    <t>Off-duty deputy constable Francisco Ruiz was working security for his apartment complex and encountered Goodridge, unarmed and allegedly trespassing the property on which he had lived for nine years until recently evicted. Ruiz says he attempted to arrest Goodridge. Witness David Hall says that Goodridge pushed Ruiz away. The deputy says he chased him and there was a scuffle. He then shot Goodridge twice in the stomach. Ruiz suffered either scratches on his back, a back injury or a concussion. The District Attorney's Civil Rights Division is currently investigating.</t>
  </si>
  <si>
    <t>http://www.houstonchronicle.com/news/houston-texas/houston/article/Family-searches-for-answers-in-man-s-death-by-5772363.php</t>
  </si>
  <si>
    <t>Richard Robert Howard</t>
  </si>
  <si>
    <t>http://bloximages.chicago2.vip.townnews.com/cdapress.com/content/tncms/assets/v3/editorial/6/12/612800de-0d40-11e4-ac00-0019bb2963f4/53c709d3c746a.preview-300.png</t>
  </si>
  <si>
    <t>5714 Sacramento Dr</t>
  </si>
  <si>
    <t>Benton County Sheriff's Office</t>
  </si>
  <si>
    <t>Howard was allegedly mentally unstable and highly intoxicated when he left his home and began firing, while armed with several firearms. An officer shot Howard in the chest after a short standoff that ended with officers shooting the 49-year-old after he pointed a gun at them.</t>
  </si>
  <si>
    <t>http://www.kvewtv.com/article/2014/jul/09/police-standoff-pasco/</t>
  </si>
  <si>
    <t>Stephen S. Minch</t>
  </si>
  <si>
    <t>http://d1t3gia0in9tdj.cloudfront.net/photo/tributes/t/8/r/207x207/2330716/da15ef98-b04a-47ff-992b-407f3614c8e0.jpg</t>
  </si>
  <si>
    <t>3215 Edwardsville Road</t>
  </si>
  <si>
    <t>Granite City</t>
  </si>
  <si>
    <t>62040</t>
  </si>
  <si>
    <t>Granite City Police Department</t>
  </si>
  <si>
    <t>Minch called 911, insisting police show up at a Phillips 66 station. When two officers arrived, he was sitting in his car parked behind the station. One officer saw him holding a gun. Police says when he raised the gun toward the officers, one of the deputies shot him multiple times. Minch died at the scene.</t>
  </si>
  <si>
    <t>http://www.stltoday.com/news/local/crime-and-courts/granite-city-police-involved-in-fatal-shooting/article_d24dc99c-bce3-52af-a16e-92ce17017483.html</t>
  </si>
  <si>
    <t>Luis Monroig</t>
  </si>
  <si>
    <t>http://www.gannett-cdn.com/-mm-/0053ae3c14076c2b1c917671a2886d30d874d392/c=0-0-1022-768&amp;r=x404&amp;c=534x401/local/-/media/FortMyers/FortMyers/2014/07/09/1404923150000-Fotor0709122220.jpg</t>
  </si>
  <si>
    <t>21790 Sunset Lake Ct</t>
  </si>
  <si>
    <t>Estero</t>
  </si>
  <si>
    <t>33928</t>
  </si>
  <si>
    <t>Naples Police Department</t>
  </si>
  <si>
    <t>Amy E. Young, 40, and Luis Monroig, 37 two officers, living with each other and dating. They got into a domestic dispute and shot each other. Monroig died from his injuries.</t>
  </si>
  <si>
    <t>http://www.abc-7.com/story/26157217/ex-wife-of-slain-naples-police-officer-obtains-restraining-order#.VF1meoc4Rg1</t>
  </si>
  <si>
    <t>Christopher Alexander Stone</t>
  </si>
  <si>
    <t>http://www.fortbendstar.com/wp-content/uploads/2014/07/Stone-204x300.jpg</t>
  </si>
  <si>
    <t>3100 Timber View Dr</t>
  </si>
  <si>
    <t>Sugar Land</t>
  </si>
  <si>
    <t>77479</t>
  </si>
  <si>
    <t>Sugar Land Police Department</t>
  </si>
  <si>
    <t>Stone allegedly called police and threatened to start shooting people. After police arrived, Stone was fatally shot after pointing a handgun at arriving officers.</t>
  </si>
  <si>
    <t>http://www.khou.com/news/local/Sugar-Land-police-shoot-kill-suspect-who-fired-on-officers-266577131.html</t>
  </si>
  <si>
    <t>Jeanetta Marie Riley</t>
  </si>
  <si>
    <t>http://www.lakeviewfuneral.com/sitemaker/memsol_data/819/1360516/1360516_profile_pic.jpg?1415398437</t>
  </si>
  <si>
    <t>520 N 3rd Ave</t>
  </si>
  <si>
    <t>83864</t>
  </si>
  <si>
    <t>Bonner County Sheriff's Office</t>
  </si>
  <si>
    <t>Riley was acting erratic with a knife at a hospital. She refused to follow authorities orders to drop the knife. She was shot and killed for not complying.</t>
  </si>
  <si>
    <t>http://www.ktvb.com/story/news/local/2014/07/18/hospital-shooting-woman-erratic/12830341/</t>
  </si>
  <si>
    <t>Shane Lucan Griffin</t>
  </si>
  <si>
    <t>30200 South Highway 213</t>
  </si>
  <si>
    <t>Molalla</t>
  </si>
  <si>
    <t>97038</t>
  </si>
  <si>
    <t>County SWAT members fatally shot Griffin after a three-hour standoff. It began as a domestic disturbance call, and ended when Griffin finally emerged from his front door flourishing multiple weapons.</t>
  </si>
  <si>
    <t>http://www.oregonlive.com/clackamascounty/index.ssf/2014/07/clackamas_swat_deputies_identi.html</t>
  </si>
  <si>
    <t>James McKinney</t>
  </si>
  <si>
    <t>500 W A St</t>
  </si>
  <si>
    <t>Hayward</t>
  </si>
  <si>
    <t>94541</t>
  </si>
  <si>
    <t>Hayward Police Department</t>
  </si>
  <si>
    <t>McKinney broke into a woman's motel room. When officers arrived it appeared he may have been under a controlled substance. McKinney lunged for the officer's guns, which resulted in McKinney being shot by officers and dying from his wounds.</t>
  </si>
  <si>
    <t>http://www.mercurynews.com/crime-courts/ci_26118759/man-fatally-shot-by-police-at-motel-idd</t>
  </si>
  <si>
    <t>Rajko Utvic</t>
  </si>
  <si>
    <t>http://bloximages.chicago2.vip.townnews.com/journaltimes.com/content/tncms/assets/v3/editorial/1/d3/1d3c7d3a-0621-11e4-84ba-0019bb2963f4/53bb180b2acf6.preview-620.jpg</t>
  </si>
  <si>
    <t>3000 Durand Avenue</t>
  </si>
  <si>
    <t>Racoine</t>
  </si>
  <si>
    <t>53403</t>
  </si>
  <si>
    <t>Racine</t>
  </si>
  <si>
    <t>Would not drop a knife after ordered to. Utvic advanced towards the officers and was shot.</t>
  </si>
  <si>
    <t>Christopher Jones</t>
  </si>
  <si>
    <t>http://bloximages.newyork1.vip.townnews.com/stltoday.com/content/tncms/assets/v3/editorial/9/da/9dab6cd4-296e-5bac-a448-9b18bb973f1c/545432b61edad.image.jpg?resize=620%2C543</t>
  </si>
  <si>
    <t>Interstate 170 at the 70 interchange</t>
  </si>
  <si>
    <t>Pine Lawn</t>
  </si>
  <si>
    <t>Pine Lawn Police Department</t>
  </si>
  <si>
    <t>Warren Robinson</t>
  </si>
  <si>
    <t>http://i.dailymail.co.uk/i/pix/2014/07/07/article-2683419-1F75896B00000578-975_306x423.jpg</t>
  </si>
  <si>
    <t>8700 South Morgan</t>
  </si>
  <si>
    <t>Police respond to report of shots fired, chase boy who matched report description through alley and into private home. He then hides under car where police order him to come out; he allegedly failed to drop the 'gun' he was holding and the police shot him. Neighbors reported boy had hands up when shot.</t>
  </si>
  <si>
    <t>http://www.chicagotribune.com/news/local/breaking/chi-police-shoot-4th-person-since-friday-morning-20140705-story.html</t>
  </si>
  <si>
    <t>Marilyn Denise Boyd</t>
  </si>
  <si>
    <t>915 SW Springfield Drive</t>
  </si>
  <si>
    <t>Ankeny</t>
  </si>
  <si>
    <t>50023</t>
  </si>
  <si>
    <t>Ankeny Police Department</t>
  </si>
  <si>
    <t>Police went to Boyd's house after receiving a report that a suicidal woman was there. Officers found her with a semi-automatic firearm. Police said Boyd refused to drop the weapon and pointed the gun at an officer. The officer then shot Boyd. She was taken to Mercy Medical Center where she later died. Police said Boyd had a blood alcohol content of 0.145 when she was admitted to the hospital. An autopsy shows she died as a result of two gunshot wounds. A grand jury later ruled there was not enough evidence to warrant an indictment against Officer Aaron King.</t>
  </si>
  <si>
    <t>http://www.desmoinesregister.com/story/news/crime-and-courts/2014/07/05/ankeny-police-shoot-kill-armed-woman/12260917/</t>
  </si>
  <si>
    <t>Nicholas Popplewell</t>
  </si>
  <si>
    <t>http://localtvkfor.files.wordpress.com/2014/07/capture52.png?w=355&amp;h=225&amp;crop=1</t>
  </si>
  <si>
    <t>24th Avenue SW and W. Boyd Street</t>
  </si>
  <si>
    <t>73069</t>
  </si>
  <si>
    <t>Popplewell carjacked a deputy's vehicle during a traffic stop. Another deputy tried to stop Popplewell and was dragged a short distance. This prompted the deputies to shoot and kill Popplewell.</t>
  </si>
  <si>
    <t>http://www.koco.com/news/suspects-identified-in-saturdays-deputyinvolved-shooting-in-norman/26816080</t>
  </si>
  <si>
    <t>Fairview</t>
  </si>
  <si>
    <t>Erie</t>
  </si>
  <si>
    <t>Icarus Randolph</t>
  </si>
  <si>
    <t>http://media.kansas.com/smedia/2014/07/07/18/46/6a1gd.Em.80.jpg</t>
  </si>
  <si>
    <t>7815 E Clay St</t>
  </si>
  <si>
    <t>67207</t>
  </si>
  <si>
    <t>911 called about a suicidal individual. Randolph had a knife moving towards officers and shots were fired, killing Randolph.</t>
  </si>
  <si>
    <t>http://www.kansas.com/2014/07/07/3542623/police-chief-man-killed-in-shooting.html</t>
  </si>
  <si>
    <t>Pedro Rios Jr.</t>
  </si>
  <si>
    <t>http://assets.dnainfo.com/generated/chicago_photo/2014/07/pedrorios-1404767523.jpg/extralarge.jpg</t>
  </si>
  <si>
    <t>Portage Park</t>
  </si>
  <si>
    <t>60641</t>
  </si>
  <si>
    <t>"Pedro Rios Jr. was walking about 10 p.m. in Portage Park when police spotted an object protruding from the boy's waistband, police said. When officers tried to question Rios, he reached for what turned out to be a .44 Magnum revolver, they said.Police opened fire. Rios was pronounced dead at 10:07 p.m. on the scene, according to the Cook County Medical Examiner's Office."</t>
  </si>
  <si>
    <t>http://www.dnainfo.com/chicago/20140707/rogers-park/family-of-boy-14-shot-dead-by-police-citys-children-need-protection</t>
  </si>
  <si>
    <t>Lenoir City</t>
  </si>
  <si>
    <t>37771</t>
  </si>
  <si>
    <t>Loudon</t>
  </si>
  <si>
    <t>Tennessee Highway Patrol</t>
  </si>
  <si>
    <t>Flint</t>
  </si>
  <si>
    <t>48505</t>
  </si>
  <si>
    <t>Ryan Ronquillo</t>
  </si>
  <si>
    <t>http://media.thedenverchannel.com/photo/2014/07/03/Ronquillo_Ryan_1404451949168_6668001_ver1.0_640_480.jpg</t>
  </si>
  <si>
    <t>4750 Tejon St</t>
  </si>
  <si>
    <t>80211</t>
  </si>
  <si>
    <t>Ronquillo was in a stolen car. Police attempted arrest. Ronquillo reversed striking an officer with the vehicle. Officers shot 12 rounds, ultimately killing Ronquillo.</t>
  </si>
  <si>
    <t>http://www.denverpost.com/news/ci_26100032/ryan-ronquillos-family-seeks-answers-after-denver-police</t>
  </si>
  <si>
    <t>Richard Arruda</t>
  </si>
  <si>
    <t>535 N Andrews Ave</t>
  </si>
  <si>
    <t>33301</t>
  </si>
  <si>
    <t>Shotwell was off duty, assisting a woman in a domestic dispute. Arruda, the woman's boy friend, shot at Shotwell as a result. Shotwell then shot and killed Arruda.</t>
  </si>
  <si>
    <t>http://www.local10.com/news/broward-sheriffs-office-investigates-fatal-shooting-involving-fort-lauderdale-police-officer/26797716</t>
  </si>
  <si>
    <t>Lewis L. Williams</t>
  </si>
  <si>
    <t>70 Claire Dr SE</t>
  </si>
  <si>
    <t>Williams suffered from dementia. He allegedly attacked an officer with an ax, prompting the officer to shoot and kill Williams.</t>
  </si>
  <si>
    <t>Joseph Valverde</t>
  </si>
  <si>
    <t>http://www.gannett-cdn.com/-mm-/93a309dcf30bf6d358b3eeac4bd883289702fe9e/c=1-0-640-480&amp;r=x513&amp;c=680x510/local/-/media/KUSA/KUSA/2014/07/04/1404491029000-bank-robber1.jpg</t>
  </si>
  <si>
    <t>South Platte River Drive and West Florida Avenue</t>
  </si>
  <si>
    <t>80223</t>
  </si>
  <si>
    <t>Suspect pulled a handgun on police during an undercover drug sting.</t>
  </si>
  <si>
    <t>http://www.9news.com/story/news/local/2014/07/03/officer-involved-shootings-denver/12153205/</t>
  </si>
  <si>
    <t>Anthony Jacob Chavez</t>
  </si>
  <si>
    <t>http://fmhotd.files.wordpress.com/2014/08/anthony-chavez.jpg?w=614</t>
  </si>
  <si>
    <t>98th St. SW and Dennis Chavez</t>
  </si>
  <si>
    <t>Chavez was served an arrest warrant when he pointed a BB gun at a marshal, prompting the marshal to shoot and kill Chavez. Chavez was on amphetamines at the time.</t>
  </si>
  <si>
    <t>http://fav-meth-head-of-the-day.com/2014/08/20/toxicology-report-methamphetamine-found-in-system-of-anthony-jacob-chavez-27-shot-by-us-marshal-in-santa-fe/</t>
  </si>
  <si>
    <t>Jerry Brown</t>
  </si>
  <si>
    <t>http://www.tampabay.com/resources/images/dti/rendered/2014/07/b4s_passhootfolo070314_13451564_8col.jpg</t>
  </si>
  <si>
    <t>4128 Gall Blvd.</t>
  </si>
  <si>
    <t>Zephyrhills</t>
  </si>
  <si>
    <t>33542</t>
  </si>
  <si>
    <t>Brown was a suspected prescription-drug dealer. During an undercover drug deal, the detective bought a "large" amount of pills from Brown outside the tire shop. When the deal was completed, detectives waiting "in gear" moved in to arrest him. Brown was reportedly shot because he would not show his hands. The Pasco Sheriff's office justified the shooting as "any failure to comply indicates a threat." Family and friends organized protests of the shooting.</t>
  </si>
  <si>
    <t>http://www.tampabay.com/news/publicsafety/pasco-sheriff-slain-suspect-made-detectives-fear-for-their-lives/2186914</t>
  </si>
  <si>
    <t>Michael Jones Keys Sr.</t>
  </si>
  <si>
    <t>3600 Wilson Blvd</t>
  </si>
  <si>
    <t>Keys was acting suicidal when he pointed a revolver at officers, resulting getting shot and killed.</t>
  </si>
  <si>
    <t>http://jacksonville.com/news/crime/2014-07-01/story/man-killed-police-involved-shooting-tuesday-jacksonville</t>
  </si>
  <si>
    <t>Austin J. Derby</t>
  </si>
  <si>
    <t>http://ww3.hdnux.com/photos/30/76/73/6549234/4/628x471.jpg</t>
  </si>
  <si>
    <t>Swift Avenue South and South Eddy Street</t>
  </si>
  <si>
    <t>98108</t>
  </si>
  <si>
    <t>Derby pointed a gun at an officer while hiding shortly after a crashing his truck. The officer shot and killed Derby.</t>
  </si>
  <si>
    <t>http://www.seattlepi.com/local/article/Seattle-police-kill-armed-man-on-Beacon-Hill-5595162.php</t>
  </si>
  <si>
    <t>Oscar Perez Giron</t>
  </si>
  <si>
    <t>http://3b4efb995be6c5c64252-c03f075f8191fb4e60e74b907071aee8.r12.cf1.rackcdn.com/1648577_1404407103.4505.jpg</t>
  </si>
  <si>
    <t>5th Ave S &amp; S Lander St</t>
  </si>
  <si>
    <t>98134</t>
  </si>
  <si>
    <t>Giron &amp; 2 friends found to not be carrying proof of payment on Light Rail, escorted off train by fare enforcement. Police support called by fare enforcement. Giron refused to show identity and attempted to flee. Altercation ensued, Giron pulled gun on police. Police shot Giron. Giron was a known felon with past criminal history.</t>
  </si>
  <si>
    <t>http://spdblotter.seattle.gov/2014/07/09/video-man-points-gun-at-deputy-moments-before-fatal-sodo-light-rail-shooting/</t>
  </si>
  <si>
    <t>John Omar DelValle</t>
  </si>
  <si>
    <t>300 Union Ave</t>
  </si>
  <si>
    <t>Elizabeth</t>
  </si>
  <si>
    <t>07208</t>
  </si>
  <si>
    <t>Elizabeth Police Department</t>
  </si>
  <si>
    <t>DelValle was holding a woman up at knife point. An officer had an altercation with DelValle, resulting in DelValle getting shot and killed. Eye witness accounts, however, say that DelValle had a knife to his own throat when the officer killed him.</t>
  </si>
  <si>
    <t>http://www.nj.com/union/index.ssf/2014/06/elizabeth_man_shot_by_police_was_threatening_woman_with_knife_authorities_say.html</t>
  </si>
  <si>
    <t>Paul M. Edmundson</t>
  </si>
  <si>
    <t>520 S Tower Ave</t>
  </si>
  <si>
    <t>Centralia</t>
  </si>
  <si>
    <t>98531</t>
  </si>
  <si>
    <t>Centralia Police Department</t>
  </si>
  <si>
    <t>An officer was trying to detain Edmundson for stealing a burrito, he was combative and pulled out a gun. The officer shot and killed Edmundson.</t>
  </si>
  <si>
    <t>http://www.lewiscountysirens.com/?aul M. Edmundson=26104</t>
  </si>
  <si>
    <t>93535</t>
  </si>
  <si>
    <t>Paul Ray Kemp Jr.</t>
  </si>
  <si>
    <t>http://homicide.latimes.com.s3.amazonaws.com/media/homicide/ce379a77-68fc-47d5-af46-98ad8cdbbe08.jpeg</t>
  </si>
  <si>
    <t>3800 W 113th St</t>
  </si>
  <si>
    <t>Inglewood</t>
  </si>
  <si>
    <t>90303</t>
  </si>
  <si>
    <t>Inglewood Police Department</t>
  </si>
  <si>
    <t xml:space="preserve">Police responding to a disturbance call found Kemp fighting with another man and then attempting to flee from police. Kemp was caught and fought with officers before being fatally shot. Residents and friends state that Kemp was unarmed and shot in the back. They also state that the officer, whose name has not been released, shot himself in the hand. </t>
  </si>
  <si>
    <t>http://homicide.latimes.com/post/paul-ray-kemp-jr/</t>
  </si>
  <si>
    <t>Nyocomus Garnett</t>
  </si>
  <si>
    <t>http://kwes.images.worldnow.com/images/4080931_G.jpg</t>
  </si>
  <si>
    <t>2700 N Big Spring St</t>
  </si>
  <si>
    <t>79705</t>
  </si>
  <si>
    <t>Garnett was robbing a restaurant. An off-duty detective confronted Garnett. Garnett pointed a gun at the detective, prompting him to shoot Garnett.</t>
  </si>
  <si>
    <t>http://www.newswest9.com/story/25896979/employees-at-midland-restaurant-react-to-officer-involved-shooting</t>
  </si>
  <si>
    <t>Andres Morales</t>
  </si>
  <si>
    <t>https://2dbdd5116ffa30a49aa8-c03f075f8191fb4e60e74b907071aee8.ssl.cf1.rackcdn.com/1620166_1403912127.0438.jpg</t>
  </si>
  <si>
    <t>4 Dewey Pl</t>
  </si>
  <si>
    <t>Bay Shore</t>
  </si>
  <si>
    <t>Morales fled from police when a car he was traveling in was pulled over by police. He was shot after police caught up to him and the 27-year-old produced a handgun.</t>
  </si>
  <si>
    <t>Aaron Wright</t>
  </si>
  <si>
    <t>http://kndu.images.worldnow.com/images/4073575_G.jpg</t>
  </si>
  <si>
    <t>North Volland Street and Klamath Avenue</t>
  </si>
  <si>
    <t>99336</t>
  </si>
  <si>
    <t>Kennewick Police Department</t>
  </si>
  <si>
    <t>Police spotted Wright driving a stolen vehicle. Wright fled, leading police on a lengthy car chase during which he repeatedly held a pistol to his head. Wright crashed near his residence and fled on foot with the pistol. Police fired on Wright as he fled into an apartment complex and then fired on him again when he reappeared waving the pistol, killing him. The pistol turned out to be a pellet gun. Wright had attempted "suicide-by-cop" four years prior to this incident.</t>
  </si>
  <si>
    <t>http://www.tri-cityherald.com/2014/06/27/3040213_kennewick-police-at-shooting-scene.html?rh=1</t>
  </si>
  <si>
    <t>Michael Huffman</t>
  </si>
  <si>
    <t>http://bloximages.newyork1.vip.townnews.com/tricities.com/content/tncms/assets/v3/editorial/9/9d/99dbf7a6-e577-5e73-a66c-88e8414d583c/53b24f0c704f2.preview-300.jpg</t>
  </si>
  <si>
    <t>Zion Church Rd</t>
  </si>
  <si>
    <t>Damascus</t>
  </si>
  <si>
    <t>24236</t>
  </si>
  <si>
    <t>Police say when the deputy went inside the home he found 56-year-old Michael Huffman inside. Huffman was armed with a handgun, threatened to shoot the deputy, and was shot. Family member dispute this, however.</t>
  </si>
  <si>
    <t>Rodney Hodge</t>
  </si>
  <si>
    <t>4900 Wadsworth Drive</t>
  </si>
  <si>
    <t>75216</t>
  </si>
  <si>
    <t>Unresponsive to police attempts at conversation, Hodge had been walking in the neighborhood with a gun, shooting it, pointing it at others. He'd had frequent although relatively minor prior contacts with police. When he moved towards officers he was fatally shot.</t>
  </si>
  <si>
    <t>http://crimeblog.dallasnews.com/2014/06/one-suspect-dead-in-officer-involved-shooting.html/</t>
  </si>
  <si>
    <t>Dominic Graffeo</t>
  </si>
  <si>
    <t>Hawthorne Street</t>
  </si>
  <si>
    <t>Chelsea</t>
  </si>
  <si>
    <t>02150</t>
  </si>
  <si>
    <t>Chelsea Police Department</t>
  </si>
  <si>
    <t>http://www.bostonglobe.com/metro/2014/06/27/chelsea-man-dies-after-struggle-with-police-may-have-been-suffering-from-drug-overdose/Xqq2hFZB3LTkjSJ1jRvKbL/story.html</t>
  </si>
  <si>
    <t>David J. Kingsbury</t>
  </si>
  <si>
    <t>128 Mill St.</t>
  </si>
  <si>
    <t>01108</t>
  </si>
  <si>
    <t>Hampden</t>
  </si>
  <si>
    <t>Police received multiple 911 calls and was summoned to the apartment complex where Kingsbury lived. The reports indicated a man was slashing tires in the parking lot with a knife and breaking windows. A witness showed police Kingsbury's apartment. He attempted to barricade himself inside. Two officers forced their way in and were confronted by Kingsbury. He was armed with a large kitchen knife. They ordered him to drop the knife and stay back, but he did not comply. One of the officers shot Kingsbury who was later pronounced dead at Baystate Medical Center.</t>
  </si>
  <si>
    <t>http://www.masslive.com/news/index.ssf/2014/06/springfield_police_fatally_sho.html</t>
  </si>
  <si>
    <t>Michael Berry</t>
  </si>
  <si>
    <t>http://www.bigcountryhomepage.com/media/lib/203/1/f/d/1fda76cf-76e1-4f64-9fbc-635dfb7f26c1/Story.jpg</t>
  </si>
  <si>
    <t>West Broadway St</t>
  </si>
  <si>
    <t>Sweetwater</t>
  </si>
  <si>
    <t>79556</t>
  </si>
  <si>
    <t>Nolan</t>
  </si>
  <si>
    <t>Police investigating a felony theft investigation ended up in a standoff with Berry after he emerged from his home with a gun. Berry, who may have suffered from a mental illness, was fatally shot by a SWAT team after exchanging gunfire with police.</t>
  </si>
  <si>
    <t>http://www.bigcountryhomepage.com/story/d/story/police-sweetwater-standoff-suspect-shot-killed-aft/30835/jM2dxVZE2E6ydjb_-nt6tw</t>
  </si>
  <si>
    <t>Samuel Johnson</t>
  </si>
  <si>
    <t>3701 Stocker St</t>
  </si>
  <si>
    <t>90008</t>
  </si>
  <si>
    <t>Johnson was stopped by a mall security guard who accused him of shoplifting, and then fired and missed the guard. Police later found Johnson and fatally shot him as officers attempted to take him into custody.</t>
  </si>
  <si>
    <t>http://homicide.latimes.com/post/samuel-johnson/</t>
  </si>
  <si>
    <t>Dennis Hicks</t>
  </si>
  <si>
    <t>Bay Hill Road</t>
  </si>
  <si>
    <t>19962</t>
  </si>
  <si>
    <t>Hicks fled from an attempted traffic stop from state police. When stopped he exited his vehicle with a semiautomatic handgun, firing on the trooper. In the firefight the trooper was wounded and Hicks fatally shot.</t>
  </si>
  <si>
    <t>http://philadelphia.cbslocal.com/2014/06/25/delaware-state-trooper-shot-during-traffic-stop/</t>
  </si>
  <si>
    <t>Mimi Goldberg</t>
  </si>
  <si>
    <t>http://thumbnail.newsinc.com/26317725.sf.jpg</t>
  </si>
  <si>
    <t>7230 S. Las Vegas Blvd</t>
  </si>
  <si>
    <t>89119</t>
  </si>
  <si>
    <t>Goldberg was stabbing a woman. Officers shot Goldberg. Goldberg died three hours later.</t>
  </si>
  <si>
    <t>http://www.reviewjournal.com/news/las-vegas/police-identify-las-vegas-officer-who-shot-woman-wednesday</t>
  </si>
  <si>
    <t>James Jaimez</t>
  </si>
  <si>
    <t>23000 Laramie St.</t>
  </si>
  <si>
    <t>Jaimez was a murder suspect spotted by LA county deputies on the road. After a brief early-evening chase, Jaimez emerged from his car with "an immediate exchange of gunfire". He was fatally shot; one of the deputies sustained a minor wound.</t>
  </si>
  <si>
    <t>http://www.crimevoice.com/slain-murder-suspects-identity-revealed-by-coroner/</t>
  </si>
  <si>
    <t>Antoine Dominique Hunter</t>
  </si>
  <si>
    <t>https://tribktla.files.wordpress.com/2014/06/antoinuehunter.jpeg</t>
  </si>
  <si>
    <t>North Poinsettia Avenue and East Palmer Street</t>
  </si>
  <si>
    <t>90221</t>
  </si>
  <si>
    <t>Hunter refused to pull over after possibly driving intoxicated. He then reportedly grabbed for a gun. Officers then shot and killed Hunter. Later, it was found that Hunter did not shoot a gun but rather the officer did, prompting another officer to shoot Hunter. "My son is no angel, but he didn't carry a gun and he didn't deserve to die like this," said Hunter's mother, Martha Willis.</t>
  </si>
  <si>
    <t>http://www.nbclosangeles.com/news/local/Compton-LA-Los-Angeles-County-Sheriffs-Deputy-Shooting-264555461.html</t>
  </si>
  <si>
    <t>Lavon King</t>
  </si>
  <si>
    <t>http://imgick.nj.com/home/njo-media/pgmain/img/jersey-journal/photo/2014/06/26/man-shot-on-ege-avenue-in-jersey-city-june-24-2014-589d06b6f9a402ce.jpg</t>
  </si>
  <si>
    <t>119-121 Ege Ave</t>
  </si>
  <si>
    <t>07304</t>
  </si>
  <si>
    <t>A pair of Jersey City police officers from the Emergency Services Unit spotted King on Kearney Avenue at approximately 4:30 p.m. While one officer pursued him on foot, another followed in a police vehicle. King was tracked to an Ege Avenue backyard, where he entered an unlocked shed. As one of the officers entered the shed with his firearm drawn, King struggled with the officer. At that point, the officer fired one round, striking the 20-year-old in his chest. Witness could hear Lavon say 'Why did you shoot me?' after being shot.</t>
  </si>
  <si>
    <t>Stanley Leger</t>
  </si>
  <si>
    <t>http://www.theexaminer.com/sites/default/files/Leger,%20Stanley.jpg</t>
  </si>
  <si>
    <t>4870 Galveston Street</t>
  </si>
  <si>
    <t>Beaumont</t>
  </si>
  <si>
    <t>77703</t>
  </si>
  <si>
    <t>Beaumont Police Department</t>
  </si>
  <si>
    <t>Landlord and taxidermist Leger had filed a complaint against destructive tenants, and in return received death threats. Police investigating a report that he'd filed a .22 rifle at one tenant found Leger -- according to their narrative -- leveling the same rifle at them. He was shot to death. Witnesses disputed police accounts; the police confiscated private video of the event.</t>
  </si>
  <si>
    <t>http://www.12newsnow.com/story/25930868/family-of-elderly-man-shot-and-killed-by-beaumont-police-officer-demands-third-party-investigation</t>
  </si>
  <si>
    <t>Juan May</t>
  </si>
  <si>
    <t>http://kdfw.images.worldnow.com/images/4075390_G.jpg</t>
  </si>
  <si>
    <t>800 E Hwy 67</t>
  </si>
  <si>
    <t>Duncanville</t>
  </si>
  <si>
    <t>75137</t>
  </si>
  <si>
    <t>May was shot by an off-duty police sergeant after the two got in an argument and then a fight in the parking lot of a restaurant. The shooting is still under investigation, but the sergeant has returned to work.</t>
  </si>
  <si>
    <t>Ray Junior Barber</t>
  </si>
  <si>
    <t>http://i.imgur.com/EHHPZUF.png</t>
  </si>
  <si>
    <t>536 Cynthia Rd</t>
  </si>
  <si>
    <t>27406</t>
  </si>
  <si>
    <t>Police arrived after Barber's wife called and reported a domestic disturbance, and that her husband had barricaded himself in a shed with a gun. Barber was fatally shot after pointing a gun at officers.</t>
  </si>
  <si>
    <t>http://www.wfmynews2.com/story/news/local/2014/06/22/man-barricaded-in-pleasant-garden-home/11241325/</t>
  </si>
  <si>
    <t>Jose Cardenas Beltran</t>
  </si>
  <si>
    <t>http://cbsnews2.cbsistatic.com/hub/i/r/2014/06/23/41706df4-c728-4497-b944-e50739b30717/thumbnail/620x350/2aa20601154a171960c608ca6686f37a/untitled.png</t>
  </si>
  <si>
    <t>4202 Cold Creek Way</t>
  </si>
  <si>
    <t>95838</t>
  </si>
  <si>
    <t>Officers called to scene of drunk man threatening his brother with a knife. Officers demanded suspect drop the knife, and opened fire when he threatened to throw it at them.</t>
  </si>
  <si>
    <t>http://www.sacbee.com/news/local/crime/article2606125.html</t>
  </si>
  <si>
    <t>James Moala Kofu</t>
  </si>
  <si>
    <t>http://bloximages.chicago2.vip.townnews.com/highlandnews.net/content/tncms/assets/v3/editorial/f/78/f78ef8ee-fae3-11e3-aa01-001a4bcf887a/53a83c0272a69.image.jpg</t>
  </si>
  <si>
    <t>800 blk. N. Davidson Avenue</t>
  </si>
  <si>
    <t>Police investigating a murder were approached by two armed men, one of whom pointed a sawed-off rifle at the officers. Officers shot and killed one of the men.</t>
  </si>
  <si>
    <t>http://ktla.com/2014/06/21/armed-man-shot-killed-by-officers-second-man-arrested-san-bernardino-police/</t>
  </si>
  <si>
    <t>Timothy Ray Bowling</t>
  </si>
  <si>
    <t>http://bloximages.chicago2.vip.townnews.com/bismarcktribune.com/content/tncms/assets/v3/editorial/2/83/2838f7ba-fb20-11e3-b842-001a4bcf887a/53a8a0eb1a95b.preview-620.jpg</t>
  </si>
  <si>
    <t>1000 Carroll Street</t>
  </si>
  <si>
    <t>Dickinson</t>
  </si>
  <si>
    <t>58601</t>
  </si>
  <si>
    <t>A stranger in town, Bowling was tracked by local and county police by his driving a stolen pickup truck connected to a string of robberies. After a high-speed chase they sought him at the house of a known acquaintance. He was fatally shot when producing a handgun while attempting to escape.</t>
  </si>
  <si>
    <t>http://bismarcktribune.com/news/local/crime-and-courts/man-shot-by-dickinson-police-identified/article_abcf64f2-fb1f-11e3-a966-001a4bcf887a.html</t>
  </si>
  <si>
    <t>Douglas M. Seaton</t>
  </si>
  <si>
    <t>http://www.tristatehomepage.com/media/lib/190/a/c/1/ac146c7e-843c-431d-9d7b-347554720458/Story.jpg</t>
  </si>
  <si>
    <t>200 Hall St</t>
  </si>
  <si>
    <t>Madisonville</t>
  </si>
  <si>
    <t>42431</t>
  </si>
  <si>
    <t>Seaton led officer on a car chase. When he stopped, he had a gun, would not respond to orders and was subsequently shot and killed.</t>
  </si>
  <si>
    <t>http://www.tristatehomepage.com/story/d/story/update-name-released-in-officer-involved-shooting/14655/maJ6ZyNMlUS0pnzhg841vA</t>
  </si>
  <si>
    <t>John Kapeluch</t>
  </si>
  <si>
    <t>37692 Lola Drive</t>
  </si>
  <si>
    <t>Sterling Heights</t>
  </si>
  <si>
    <t>48312</t>
  </si>
  <si>
    <t>Sterling Heights Police Department</t>
  </si>
  <si>
    <t>Police received a call from a family member that an armed Kapeluch was allegedly assaulting his wife in their home. When police arrived, he was standing over her with a rifle. Police ordered Kapeluch to drop the weapon, instead he pointed it at them, and police open fired, killing Kapeluch. Kapeluch's wife had recently applied for divorce and moved out of the house with the couple's daughter.</t>
  </si>
  <si>
    <t>http://www.macombdaily.com/general-news/20140621/update-man-shot-by-sterling-heights-police-assaulted-wife-carried-rifle-chief-says</t>
  </si>
  <si>
    <t>Ismael Sadiq</t>
  </si>
  <si>
    <t>http://kdfw.images.worldnow.com/images/4022777_G.jpg</t>
  </si>
  <si>
    <t>3347 West Walnut Street</t>
  </si>
  <si>
    <t>75042</t>
  </si>
  <si>
    <t>Suspect charged police officer with a knife.</t>
  </si>
  <si>
    <t>Denzel Curnell</t>
  </si>
  <si>
    <t>http://www.postandcourier.com/storyimage/CP/20140718/PC16/140719342/EP/1/1/EP-140719342.jpg&amp;Maxw=620&amp;q=85</t>
  </si>
  <si>
    <t>108 N Romney St</t>
  </si>
  <si>
    <t>29403</t>
  </si>
  <si>
    <t>Charleston Police Department</t>
  </si>
  <si>
    <t>After a brief stint in basic training and Army discharge, Curnell took a pistol and walked to his sister's apartment house nearby. Detained by the police as suspicious Curnell was made to lie down at gunpoint. As the officer reholstered his pistol, according to the officer, Curnell shot himself in the head. The reported forensic evidence was largely consistent with that story but doubts remained with the family.</t>
  </si>
  <si>
    <t>http://www.charlestoncitypaper.com/charleston/gaps-remain-in-the-denzel-curnell-suicide-narrative/Content?oid=4957874</t>
  </si>
  <si>
    <t>Ray Dakota Scholfield</t>
  </si>
  <si>
    <t>http://www.krcrtv.com/image/view/-/26643012/highRes/2/-/d876rh/-/Ray-Dakota-Scholfield--33713-jpg.jpg</t>
  </si>
  <si>
    <t>1616 Willis Street</t>
  </si>
  <si>
    <t>The suspect stabbed his cousin to death with a knife, then came at officers with the weapon.</t>
  </si>
  <si>
    <t>http://www.redding.com/news/local-news/redding-police-identify-officers-involved-in-fatal-shooting_35014164</t>
  </si>
  <si>
    <t>1500 Post Oak Drive</t>
  </si>
  <si>
    <t>30021</t>
  </si>
  <si>
    <t>Officers responded to a call for a man making noise at an apartment complex. When they confronted him, he allegedly pulled a replica pistol out of a holster and pointed it at them. One of the officers fired several shots; the man died at a hospital a short time later. Police stated that " the suspect had several knives with him.”</t>
  </si>
  <si>
    <t>http://patch.com/georgia/dunwoody/man-killed-after-aiming-fake-pistol-at-dekalb-police</t>
  </si>
  <si>
    <t>Ernest Wayne Rials</t>
  </si>
  <si>
    <t>http://www.messenger-news.com/wp-content/uploads/2014/06/obit-Ernest-Wayne-Rials-pic.jpg</t>
  </si>
  <si>
    <t>2230 S US Highway 281</t>
  </si>
  <si>
    <t>76531</t>
  </si>
  <si>
    <t>Rials's ex-wife called police after he tried and failed to shoot her at her place of employment. Police found Rials at his home and briefly exchanged gunfire with the 70-year-old before fatally shooting him.</t>
  </si>
  <si>
    <t>http://www.kwkt.com/news/hamilton-police-involved-shooting-resulting-one-man-dead</t>
  </si>
  <si>
    <t>Jason T. Van Buskirk</t>
  </si>
  <si>
    <t>http://bloximages.newyork1.vip.townnews.com/omaha.com/content/tncms/assets/v3/editorial/b/4d/b4d7467d-d36e-5cd6-83f3-5292f8e6e4fd/53a7865c04c54.image.jpg</t>
  </si>
  <si>
    <t>U.S. Highway 30 and County Road 10</t>
  </si>
  <si>
    <t>Schuyler</t>
  </si>
  <si>
    <t>68661</t>
  </si>
  <si>
    <t>Colfax</t>
  </si>
  <si>
    <t>Nebraska State Patrol, Columbus Police Department, Schuyler Police Department</t>
  </si>
  <si>
    <t>Police received reports about an armed man pursuing a woman and found Van Buskirk in his vehicle near the scene. Van Buskirk shot at the officers, the officers fired back, and Van Buskirk fled, leading police on a chase across several jurisdictions. Van Buskirk's vehicle was ultimately disabled after he crashed into two patrol cars. Police open fired and killed Van Buskirk at the accident scene. Grand Jury cleared officers of wrongdoing.</t>
  </si>
  <si>
    <t>http://www.omaha.com/news/metro/columbus-nebraska-man-fatally-shot-by-police-had-crime-in/article_9d98d163-6560-5983-982b-6fdcc0bc7865.html</t>
  </si>
  <si>
    <t>Darrell Haymon</t>
  </si>
  <si>
    <t>2495 Hope Mills Rd</t>
  </si>
  <si>
    <t>Hope Mills</t>
  </si>
  <si>
    <t>28304</t>
  </si>
  <si>
    <t>Hope Mills Police Department</t>
  </si>
  <si>
    <t>Haymon was stabbing his wife when police arrived. Haymon, then put the knife up to his wife's throat, officers then shot and killed Haymon.</t>
  </si>
  <si>
    <t>http://myfox8.com/2014/06/19/police-shoot-kill-man-in-nc-parking-lot/</t>
  </si>
  <si>
    <t>Jason Carulla</t>
  </si>
  <si>
    <t>http://media3.s-nbcnews.com/i/newscms/2014_25/523641/140621-jason-carulla-1835_3186a9343b1aeb38d1dfe1b619a83560.jpg</t>
  </si>
  <si>
    <t>3099 NW 79th St</t>
  </si>
  <si>
    <t>33147</t>
  </si>
  <si>
    <t>Coral Gables Police Department</t>
  </si>
  <si>
    <t>A joint-police stolen car sting attempted to apprehend Carulla in a stolen vehicle. When a Sergeant pulled his unmarked vehicle behind Carulla, police say he rammed the police car. One or two officers fired, shooting Carulla five times.</t>
  </si>
  <si>
    <t>http://www.local10.com/news/funeral-held-for-teenager-shot-by-police-in-stolen-vehicle-sting/26627318</t>
  </si>
  <si>
    <t>Carlos Hernandez</t>
  </si>
  <si>
    <t>1026 Ruiz Street</t>
  </si>
  <si>
    <t>78207</t>
  </si>
  <si>
    <t>Officers Joseph Gorena and Juan Hernandez responded to a call from Fidencio Soto, 39, who stated that Hernandez had shot him in the head (non-lethal injury). Police say that when they arrived, Hernandez, wheelchair bound from being shot by police at 16, refused to put his hands up and pointed his loaded, cocked handgun at them. They shot him several times in the torso.</t>
  </si>
  <si>
    <t>http://www.mysanantonio.com/news/local/article/Officers-shoot-to-death-wheelchair-bound-gunman-5566205.php</t>
  </si>
  <si>
    <t>Paul Westbrook</t>
  </si>
  <si>
    <t>Marysville Blvd Ivy St Alley and Harris Ave</t>
  </si>
  <si>
    <t>Two officers say that after a "proactive stop" of Westbrook, they determined he had warrants. He ran and they chased him into an alley, where he allegedly pulled a knife. One of the officers shot and killed him.</t>
  </si>
  <si>
    <t>http://www.sacbee.com/news/local/crime/article2602397.html</t>
  </si>
  <si>
    <t>William Lee Workman Jr.</t>
  </si>
  <si>
    <t>https://scontent-lax.xx.fbcdn.net/hphotos-xfp1/v/t1.0-9/10409370_10204377842235148_2889348193902052018_n.jpg?oh=c9f2a1215609683f57cbde02bc0e42c8&amp;oe=55A792DE</t>
  </si>
  <si>
    <t>4365 Bayberry Drive</t>
  </si>
  <si>
    <t>Little River</t>
  </si>
  <si>
    <t>29566</t>
  </si>
  <si>
    <t>Officers went to Workman's home to serve a warrant on a third degree sexual assault charge. While attempting to handcuff him, one officer shot and killed him for an unknown reason in the doorway of his home. Workman's wife and two children may have been in the house at the time.</t>
  </si>
  <si>
    <t>http://www.carolinalive.com/news/story.aspx?id=1106578</t>
  </si>
  <si>
    <t>Thomas D. Rogers</t>
  </si>
  <si>
    <t>http://ktul.images.worldnow.com/images/4021382_G.jpg</t>
  </si>
  <si>
    <t>1750 Village Lane S.E.</t>
  </si>
  <si>
    <t>Port Orchard</t>
  </si>
  <si>
    <t>98366</t>
  </si>
  <si>
    <t>Kitsap</t>
  </si>
  <si>
    <t>Port Orchard Police Department</t>
  </si>
  <si>
    <t>Police were serving arrest warrant on suspect, who charged officers with a knife.</t>
  </si>
  <si>
    <t>Devaron Ricardo Wilburn</t>
  </si>
  <si>
    <t>http://media.charlotteobserver.com/smedia/2014/06/19/06/39/14bd9L.Em.138.jpeg</t>
  </si>
  <si>
    <t>7700 N Tryon St</t>
  </si>
  <si>
    <t>28262</t>
  </si>
  <si>
    <t>Wilburn allegedly shot at officers a few days prior. Officers found Wilburn, the confrontation ended with Wilburn being shot and killed.</t>
  </si>
  <si>
    <t>http://www.charlotteobserver.com/2014/06/19/4988816/police-kill-man-wanted-for-firing.html#.VFQM04c4Rg0</t>
  </si>
  <si>
    <t>John Schneider</t>
  </si>
  <si>
    <t>http://media.cmgdigital.com/shared/lt/lt_cache/thumbnail/188/img/photos/2014/06/16/7e/56/suspect.PNG</t>
  </si>
  <si>
    <t>2999 Lawrenceville Hwy</t>
  </si>
  <si>
    <t>Gwinnett Police Department</t>
  </si>
  <si>
    <t>Schneider robbed a bank, and was shot and killed after a he attacked an officer.</t>
  </si>
  <si>
    <t>http://patch.com/georgia/loganville/update-officer-shot-killed-robbery-suspect-as-man-attacked-him</t>
  </si>
  <si>
    <t>Joshua Stand</t>
  </si>
  <si>
    <t>http://kotv.images.worldnow.com/images/4432858_G.jpg</t>
  </si>
  <si>
    <t>E 160 Rd and U.S. 169</t>
  </si>
  <si>
    <t>74027</t>
  </si>
  <si>
    <t>Nowata</t>
  </si>
  <si>
    <t>Stand had a knife and allegedly charged at an officer. The officer then shot and killed Stand.</t>
  </si>
  <si>
    <t>http://www.newson6.com/story/26237548/community-shocked-ohp-trooper-involved-in-fatal-shooting-back-on-duty</t>
  </si>
  <si>
    <t>Eric Harris</t>
  </si>
  <si>
    <t>http://media2.abc2news.com/photo/2014/06/26/Candlelight_vigil_held_for_man_shot_by_p_1743830004_6540131_ver1.0_640_480.jpg</t>
  </si>
  <si>
    <t>5000 Beaufort Ave</t>
  </si>
  <si>
    <t>21215</t>
  </si>
  <si>
    <t>Two suspects were shooting at each other when an officer arrived. The officer fired at them, killing Harris.</t>
  </si>
  <si>
    <t>http://www.baltimoresun.com/news/maryland/crime/blog/bs-md-ci-police-involved-shooting-20140615-story.html</t>
  </si>
  <si>
    <t>Gregory Johnson</t>
  </si>
  <si>
    <t>2451 Center Street</t>
  </si>
  <si>
    <t>Johnson was a resident at an elder care facility who became angry and agitated and armed himself with a knife. The facility placed a 911 call, and when deputies arrived, Johnson was standing in the driveway with the knife. The deputies confronted Johnson, he allegedly charged them with the knife, and they open fired and killed him.</t>
  </si>
  <si>
    <t>http://www.crimevoice.com/knife-wielding-elderly-man-is-shot-killed-by-police/</t>
  </si>
  <si>
    <t>Anthony Skyles Jr.</t>
  </si>
  <si>
    <t>http://www.clickorlando.com/image/view/-/26502788/highRes/2/-/ho0cnc/-/Anthony-Skyles-jpg.jpg</t>
  </si>
  <si>
    <t>285 Lorraine Dr.</t>
  </si>
  <si>
    <t>Altamonte Springs</t>
  </si>
  <si>
    <t>32714</t>
  </si>
  <si>
    <t>Seminole</t>
  </si>
  <si>
    <t>Altamonte Springs Police Department</t>
  </si>
  <si>
    <t>A family member called for help to have him Baker Acted (checked for mental welfare), the cop came up and shot him from about 20 feet away. The officer said Skyles confronted him with a knife immediately upon his arrival.</t>
  </si>
  <si>
    <t>http://www.clickorlando.com/news/officer-kills-knife-wielding-man/26498722</t>
  </si>
  <si>
    <t>Jonathan K. Whitehead</t>
  </si>
  <si>
    <t>http://media.cmgdigital.com/shared/lt/lt_cache/thumbnail/400/img/photos/2014/06/19/db/70/whiteheadhorcherweb.JPG</t>
  </si>
  <si>
    <t>Ship Canal Bridge, I-5</t>
  </si>
  <si>
    <t>98195</t>
  </si>
  <si>
    <t>Washington State Patrol</t>
  </si>
  <si>
    <t>In Seattle, Washington, on the Ship Canal Bridge on Interstate 5 southbound, Jonathan K. Whitehead, 33, died from multiple gunshot wounds after he lunged at police with a knife who were forced to shoot him as a deadly threat. He skidded his Chevy S10 pickup sideways to a stop across the 2 center lanes, appearing insane and agitated, and drew a large green circle with spray paint across 2 lanes after setting his truck on fire. After he was shot, they found improvised Molotov cocktail fire bombs in his truck. The freeway was closed for several hours. His mother later said that he was painting a circle of "truth", and was hooked on prescription methadone. and believes her son was going through drug withdrawal. “It wasn't so much that he was coming after the officers-- as protecting himself to stay in the circle of truth.” Her son had been struggling with drug use to combat pain since he beat leukemia at a very young age.</t>
  </si>
  <si>
    <t>Jason Harrison</t>
  </si>
  <si>
    <t>http://static1.dallasblack.com/Articles%5CJasonHarrison_article.jpg</t>
  </si>
  <si>
    <t>200 Glencairn Drive</t>
  </si>
  <si>
    <t>75232</t>
  </si>
  <si>
    <t>Mother of mentally ill man called 911. Video footage shows Harrison's mother opening the door to the awaiting officers while Harrison appears behind her twiddling a screwdriver. The officers immediately demanded he drop the tool and within seconds fired several shots, killing Harrison before he was able to react.</t>
  </si>
  <si>
    <t>http://www.wfaa.com/news/crime/Man-shot-killed-by-Dallas-officer--263168561.html</t>
  </si>
  <si>
    <t>Victor Hernandez</t>
  </si>
  <si>
    <t>700 7th St</t>
  </si>
  <si>
    <t>Hernandez reportedly had a gun. Officers contacted him and shots ensued, ending in Hernandez's death.</t>
  </si>
  <si>
    <t>http://www.greeleytribune.com/news/11822434-113/police-greeley-gunfire-injured</t>
  </si>
  <si>
    <t>Jason A. Moore</t>
  </si>
  <si>
    <t>1110 N Main St</t>
  </si>
  <si>
    <t>East Peoria</t>
  </si>
  <si>
    <t>61611</t>
  </si>
  <si>
    <t>Tazewell</t>
  </si>
  <si>
    <t>Moore shot and killed his ex-wife and boyfriend at her High School reunion. An off-duty FBI agent shot and killed Moore in response.</t>
  </si>
  <si>
    <t>http://www.pjstar.com/article/20140614/NEWS/140619439</t>
  </si>
  <si>
    <t>Frank Rhodes</t>
  </si>
  <si>
    <t>12400 Holliman Cir</t>
  </si>
  <si>
    <t>Rhodes reportedly fired gunshots. When officers arrived it ended with Rhodes being shot and killed.</t>
  </si>
  <si>
    <t>http://www.wlox.com/story/25778330/gulfport-shooting-victims-family-speaks-out</t>
  </si>
  <si>
    <t>Joe Hernandez</t>
  </si>
  <si>
    <t>2000 Loving Ave</t>
  </si>
  <si>
    <t>76164</t>
  </si>
  <si>
    <t>Hernandez was a burglary suspect and he pointed a gun at officers. Hernandez was shot and killed.</t>
  </si>
  <si>
    <t>http://www.star-telegram.com/2014/06/16/5904394/teen-fatally-shot-by-fort-worth.html</t>
  </si>
  <si>
    <t>Anthony Gustave Nelson</t>
  </si>
  <si>
    <t>http://www.carsonnow.org/sites/www.carsonnow.org/files/71299-washoedoub1_resized.jpg</t>
  </si>
  <si>
    <t>Sand Mountain Recreation Area</t>
  </si>
  <si>
    <t>Fallon</t>
  </si>
  <si>
    <t>89406</t>
  </si>
  <si>
    <t>Churchill</t>
  </si>
  <si>
    <t>Nelson was a suspect in up to three murders. He led police on a high-speed chase to Sand Mountain Recreation Area, 25 miles east of Fallon, where he shot it out with police and was killed.</t>
  </si>
  <si>
    <t>http://www.carsonnow.org/story/06/18/2014/suspect-washoe-valley-killings-recently-released-prison-tied-arizona-murder</t>
  </si>
  <si>
    <t>Sanford Police Department</t>
  </si>
  <si>
    <t>Nicholas Glendon Davis</t>
  </si>
  <si>
    <t>http://lintvkoin.files.wordpress.com/2014/06/nicholas-glendon-davis-06132014.jpg?w=640</t>
  </si>
  <si>
    <t>Southeast Foster Road and Springwater Corridor trail</t>
  </si>
  <si>
    <t>97266</t>
  </si>
  <si>
    <t>Obviously mentally ill man allegedly wielded crowbar and police shot him.</t>
  </si>
  <si>
    <t>http://www.oregonlive.com/portland/index.ssf/2014/07/portland_police_officer_who_fa.html</t>
  </si>
  <si>
    <t>Travis Utley</t>
  </si>
  <si>
    <t>http://lintvkoin.files.wordpress.com/2014/06/travis-blake-utley-06122014.jpg?w=640</t>
  </si>
  <si>
    <t>SE Johnson Creek Blvd &amp; SE 32nd Ave</t>
  </si>
  <si>
    <t>Milwaukie</t>
  </si>
  <si>
    <t>97222</t>
  </si>
  <si>
    <t>Milwaukie Police Department</t>
  </si>
  <si>
    <t>With outstanding warrants, Utley fled a traffic stop and was chased for about a mile, then forcibly stopped by local police with a PIT maneuver. Utley tried to ram a cruiser with his vehicle and was fatally shot.</t>
  </si>
  <si>
    <t>http://koin.com/2014/06/12/man-killed-during-traffic-stop-tried-to-flee-arrest/</t>
  </si>
  <si>
    <t>Timothy Hill</t>
  </si>
  <si>
    <t>http://wvva.images.worldnow.com/images/3960263_G.jpg</t>
  </si>
  <si>
    <t>Kegley Trestle Road</t>
  </si>
  <si>
    <t>Kegley</t>
  </si>
  <si>
    <t>24740</t>
  </si>
  <si>
    <t>Timothy's mother reports that the officer harassed Timothy prior to Timothy's death. On night of incident, officer claims that Timothy was vandalizing his property. Officer chased Timothy and a struggle began. A bystander intervened. At some point, officer used mace. Bystander testimony changed over time and some sources say that bystander was threatened by officer that he must corroborate with officer's story or meet same fate as Timothy. Bystander originally claimed that officer was standing over Timothy when Timothy was shot and unofficial sources at time of death say that Timothy was shot in the back of the head, twice. I have no information about official autopsy report. Incident occurred in small town and was said to create quite a stir there with most of the town siding with Timothy. Officer was reported to have harassed and threatened several people who drove down the road that officer lives on for months after Timothy's death.</t>
  </si>
  <si>
    <t>http://www.wvgazette.com/article/20140616/GZ01/140619437</t>
  </si>
  <si>
    <t>Larry Jerrils</t>
  </si>
  <si>
    <t>http://ktbs.images.worldnow.com/images/4121137_G.jpg</t>
  </si>
  <si>
    <t>2000 Airline Drive</t>
  </si>
  <si>
    <t>Bossier City Police Department</t>
  </si>
  <si>
    <t>Employee at Payless Shoe Store reported an armed robbery, using a silent alarm. Police responded as Jerrils was exiting store. He ran, they gave chase then shot him.</t>
  </si>
  <si>
    <t>http://www.ktbs.com/story/25937269/bossier-city-officer-involved-shooting-justified</t>
  </si>
  <si>
    <t>Miguel Moreno Torrez</t>
  </si>
  <si>
    <t>Tulare Avenue</t>
  </si>
  <si>
    <t>93721</t>
  </si>
  <si>
    <t>Police say a man who officers shot and killed Wednesday night in Southwest Fresno was intoxicated and not willing to back down. The police chief says the suspect had a large carving knife inches away from his brother and refused to put it down. He was shot and killed.</t>
  </si>
  <si>
    <t>http://abc30.com/news/police-say-they-shot-and-killed-man-for-trying-to-kill-his-brother/110882/</t>
  </si>
  <si>
    <t>Steven Kellog Neuroth</t>
  </si>
  <si>
    <t>125 E Commercial St </t>
  </si>
  <si>
    <t>Willits</t>
  </si>
  <si>
    <t>Mendocino County Sheriff's Office</t>
  </si>
  <si>
    <t>Neuroth allegedly acted paranoid and was uncooperative when he was physically and unjustly restrained, which allegedly led to asphyxia and resulted in his death even though he didn't pose a significant threat to those around him.</t>
  </si>
  <si>
    <t>http://www.ukiahdailyjournal.com/news/ci_27248614/claim-filed-against-mendocino-county-june-death-inmate</t>
  </si>
  <si>
    <t>Ryan Marone</t>
  </si>
  <si>
    <t>http://www.reviewjournal.com/sites/default/files/styles/large/public/field/media/web1_ryan_marone_web_2.jpg?itok=A0RaymQ8</t>
  </si>
  <si>
    <t>Horizon Ridge Parkway and Gibson Road</t>
  </si>
  <si>
    <t>89012</t>
  </si>
  <si>
    <t>Marone was firing a gun inside. He then went outside and fired at officers, resulting in officers retuning fire, killing Marone.</t>
  </si>
  <si>
    <t>http://www.reviewjournal.com/news/crime-courts/henderson-police-officer-wounded-suspect-killed-morning-shooting</t>
  </si>
  <si>
    <t>Yonkers</t>
  </si>
  <si>
    <t>Broderick Johnson</t>
  </si>
  <si>
    <t>http://media.cmgdigital.com/shared/img/photos/2014/06/11/ef/41/Chamblee.jpg</t>
  </si>
  <si>
    <t>4863 Buford Hwy NE</t>
  </si>
  <si>
    <t>Chamblee Police Department</t>
  </si>
  <si>
    <t>Johnson entered an AutoZone store and attempted to rob it after tying up workers. A SWAT team was called after a worker was able to escape, and Johnson was fatally shot after ignoring police orders.</t>
  </si>
  <si>
    <t>http://www.11alive.com/story/news/local/chamblee/2014/06/10/chamblee-autozone-robbery/10269415/</t>
  </si>
  <si>
    <t>Michael V. Gutierrez</t>
  </si>
  <si>
    <t>500 S Hunts Ln</t>
  </si>
  <si>
    <t>Colton Police Department</t>
  </si>
  <si>
    <t>Gutierrez was shot and killed by police after engaging in an altercation that left two officers injured. A gun was recovered at the scene.</t>
  </si>
  <si>
    <t>http://www.pe.com/articles/police-696161-officers-officer.html</t>
  </si>
  <si>
    <t>John Thomas</t>
  </si>
  <si>
    <t>http://www.fatalencounters.org/wp-content/uploads/2013/10/JohnThomas.jpg</t>
  </si>
  <si>
    <t>600 Old Exeter Rd.</t>
  </si>
  <si>
    <t>Cassville</t>
  </si>
  <si>
    <t>65625</t>
  </si>
  <si>
    <t>Barry</t>
  </si>
  <si>
    <t>Cassville Police Department</t>
  </si>
  <si>
    <t>Thomas attacked Officer Donald Privett with a metal pipe. The officer then fired his weapon. Thomas died on the way to a Springfield hospital. The officer was taken to the hospital in Cassville for his injuries, and was treated and released.</t>
  </si>
  <si>
    <t>Earl Cranston Harris</t>
  </si>
  <si>
    <t>35 Mistletoe Road</t>
  </si>
  <si>
    <t>Ashland</t>
  </si>
  <si>
    <t>97520</t>
  </si>
  <si>
    <t>Jackson County Sheriff's Office</t>
  </si>
  <si>
    <t>Deputies were serving an eviction notice when Harris retreated to a bedroom. He came out with a shotgun. Deputies shot and killed him.</t>
  </si>
  <si>
    <t>http://www.oregonlive.com/pacific-northwest-news/index.ssf/2014/06/deputies_kill_armed_73-year-ol.html</t>
  </si>
  <si>
    <t>Roylee Vell Dixon</t>
  </si>
  <si>
    <t>http://media.al.com/news_tuscaloosa_impact/photo/15173473-small.jpeg</t>
  </si>
  <si>
    <t>Shadyhill Road</t>
  </si>
  <si>
    <t>35406</t>
  </si>
  <si>
    <t>Tuscaloosa County Sheriff's Office</t>
  </si>
  <si>
    <t>After shooting his shotgun inside a neighbors house, Dixon was addressed by a deputy to drop his weapon. Dixon fired at the deputy. The deputy responded by shooting and killing Dixon.</t>
  </si>
  <si>
    <t>http://www.al.com/news/tuscaloosa/index.ssf/2014/06/tuscaloosa_deputy_kills_moundv.html</t>
  </si>
  <si>
    <t>Roc Eugene LaRue</t>
  </si>
  <si>
    <t>http://kwtv.images.worldnow.com/images/25733871_BG3.jpg</t>
  </si>
  <si>
    <t>6115 N Shawnee Ave</t>
  </si>
  <si>
    <t>LaRue allegedly stole a car and lead police on a lengthy low-speed chase before pulling over and brandishing a knife. Police fatally shot the 33-year-old after tasing and firing bean bag rounds at him to no avail.</t>
  </si>
  <si>
    <t>http://newsok.com/shooting-reported-in-northwest-oklahoma-city/article/4894106</t>
  </si>
  <si>
    <t>John D. Tilley</t>
  </si>
  <si>
    <t>http://bloximages.newyork1.vip.townnews.com/omaha.com/content/tncms/assets/v3/editorial/f/bf/fbf65688-ee4b-11e3-82ce-0017a43b2370/53931aeca1c13.image.jpg</t>
  </si>
  <si>
    <t>S 38th St &amp; Gertrude St</t>
  </si>
  <si>
    <t>Bellevue</t>
  </si>
  <si>
    <t>68147</t>
  </si>
  <si>
    <t>Sarpy</t>
  </si>
  <si>
    <t>Bellevue Police Department</t>
  </si>
  <si>
    <t>Officers spotted a large black truck crashing into several parked cars on Emiline Street. The truck drove over the curb, through fences and through residential yards before ramming three police cruisers.</t>
  </si>
  <si>
    <t>http://m.omaha.com/news/year-old-killed-in-officer-involved-shooting-in-bellevue/article_55f2ae9e-ee4b-11e3-bde0-0017a43b2370.html?mode=jqm</t>
  </si>
  <si>
    <t>Troy Kirkpatrick</t>
  </si>
  <si>
    <t>http://lintvkrqe.files.wordpress.com/2014/06/investigation-complete-in-carlsbad-police-shooting.jpg</t>
  </si>
  <si>
    <t>1900 W Church St</t>
  </si>
  <si>
    <t>Carlsbad</t>
  </si>
  <si>
    <t>88220</t>
  </si>
  <si>
    <t>Eddy</t>
  </si>
  <si>
    <t>Carlsbad Police Department</t>
  </si>
  <si>
    <t>Kirkpatrick was being escorted by corrections officers to a doctor when he attacked the officers and escaped in a van. Police pursued him and shot the 24-year-old after he crashed into a fence behind an apartment complex.</t>
  </si>
  <si>
    <t>http://www.koat.com/news/man-dead-in-carlsbad-policeinvolved-shooting/26404488#!WQFrh</t>
  </si>
  <si>
    <t>Emanuel Jean-Baptiste</t>
  </si>
  <si>
    <t>http://t0.gstatic.com/images?q=tbn:ANd9GcTfiuNLmAfX7YH-sRK8noNlqyrbLNlD414crBLm-6fa60jWZZQldtCPwjK4</t>
  </si>
  <si>
    <t>6668-6798 Mississippi 63</t>
  </si>
  <si>
    <t>Moss Point</t>
  </si>
  <si>
    <t>39563</t>
  </si>
  <si>
    <t>Moss Point Police Department</t>
  </si>
  <si>
    <t>Jean-Baptiste was shot and killed by police after exhibiting "bizarre behavior" and confronting police officers.</t>
  </si>
  <si>
    <t>http://www.wlox.com/story/25729311/suspect-killed-by-moss-point-police-officer-identified</t>
  </si>
  <si>
    <t>Victor Villalpando</t>
  </si>
  <si>
    <t>http://bloximages.newyork1.vip.townnews.com/santafenewmexican.com/content/tncms/assets/v3/editorial/f/2a/f2a948ce-2d44-54e5-9ba9-c6c056254efb/539bbc61c6410.preview-300.jpg</t>
  </si>
  <si>
    <t>Riverside Drive and Corlett Road</t>
  </si>
  <si>
    <t>87567</t>
  </si>
  <si>
    <t>Española Police Department</t>
  </si>
  <si>
    <t>A disturbed teen calls 911 to report a suspicious person, points a cap gun at police and is killed.</t>
  </si>
  <si>
    <t>http://www.abqjournal.com/419923/news/state-police-boy-was-pointing-cap-gun-when-shot-by-officers-in-espanola.html</t>
  </si>
  <si>
    <t>Jerad Miller</t>
  </si>
  <si>
    <t>http://media.cmgdigital.com/shared/img/photos/2014/06/09/4b/5c/Jerad_Miller.jpg</t>
  </si>
  <si>
    <t>201 N. Nellis Blvd.</t>
  </si>
  <si>
    <t>89110</t>
  </si>
  <si>
    <t>Husband and wife ultra-conservative team attacked and killed two law enforcement officers and fled to Wal-Mart. The wife, Amanda, committed suicide after being shot. Police shot and killed Jerad Miller.</t>
  </si>
  <si>
    <t>Lonnie Flemming</t>
  </si>
  <si>
    <t>http://media.timesfreepress.com/img/photos/2014/06/09/Flemming_Lonnie_t607_t618.jpg?ba5b5b122dd3d37cc13d83e92a6a0ec0d5bfa32a</t>
  </si>
  <si>
    <t>Selma Avenue and Chestnut Street</t>
  </si>
  <si>
    <t>East Knoxville</t>
  </si>
  <si>
    <t>37914</t>
  </si>
  <si>
    <t>Flemming shot an officer more than once. The officer returned multiple shots, killing Flemming.</t>
  </si>
  <si>
    <t>Angela Beatrice Randolph</t>
  </si>
  <si>
    <t>10 Broadview Boulevard</t>
  </si>
  <si>
    <t>Glen Burnie</t>
  </si>
  <si>
    <t>Anne Arundel County Police Department</t>
  </si>
  <si>
    <t>Police Lt. T.J. Smith said when Turpin went to speak to that woman, she assaulted and tried to choke Turpin. The woman was identified as Angela Randolph, 38, of no fixed address.</t>
  </si>
  <si>
    <t>Daniel Best</t>
  </si>
  <si>
    <t>1355 W Guadalupe Rd</t>
  </si>
  <si>
    <t>85202</t>
  </si>
  <si>
    <t>Officers arriving to a domestic disturbance call found Best naked and arguing with his wife in an apartment courtyard. Best, who had cocaine in his system, struggled against officers and was tasered several times, and died several hours later.</t>
  </si>
  <si>
    <t>http://www.azcentral.com/story/news/local/gilbert/2014/06/08/gilbert-man-dies-following-police-confrontation/10202349/</t>
  </si>
  <si>
    <t>David Latham</t>
  </si>
  <si>
    <t>http://media.hamptonroads.com/cache/images/1526611.jpg</t>
  </si>
  <si>
    <t>23508</t>
  </si>
  <si>
    <t>http://wavy.com/2014/06/06/shooting-reported-in-norfolk-3/</t>
  </si>
  <si>
    <t>Kristopher Barkus</t>
  </si>
  <si>
    <t>http://www.wtae.com/image/view/-/26384086/highRes/1/-/maxh/480/maxw/640/-/k8uubqz/-/Kristopher-Barkus.jpg</t>
  </si>
  <si>
    <t>September Dr</t>
  </si>
  <si>
    <t>16002</t>
  </si>
  <si>
    <t>Pennsylvania State Police Department</t>
  </si>
  <si>
    <t>Barkus pointed an air-powered pellet gun at an off-duty officer and then at his own head. The officer then shot and killed Barkus.</t>
  </si>
  <si>
    <t>http://www.wtae.com/news/da-trooper-justified-in-shooting-neighbor-to-death-in-butler-township/26743476</t>
  </si>
  <si>
    <t>Paul Alan L'Herault</t>
  </si>
  <si>
    <t>3300 South Nucla Way</t>
  </si>
  <si>
    <t>80013</t>
  </si>
  <si>
    <t>Unknown man was a veteran diagnosed with PTSD. He called his VA psychiatrist to report he was suicidal and mixing alcohol with his meds. Psychiatrist called police and asked for a welfare check. Police found man in his driveway holding a rifle. When the man allegedly pointed the rifle in their direction, an officer shot and killed the man. (suggest calling Aurora PD for man's name, it is not in media reports).</t>
  </si>
  <si>
    <t>http://www.thedenverchannel.com/news/local-news/aurora-police-investigate-officer-involved-shooting-on-s-nucla-way</t>
  </si>
  <si>
    <t>Dennis Ronald Marx</t>
  </si>
  <si>
    <t>http://www.gannett-cdn.com/-mm-/92b485b71c8f8d570056dd7142c9efaf43da99c7/c=0-0-3264-2448&amp;r=x513&amp;c=680x510/local/-/media/WXIA/WXIA/2014/06/06//1402083321000-Dennise-Ronald-Marx.JPG</t>
  </si>
  <si>
    <t>100 W Courthouse Square</t>
  </si>
  <si>
    <t>Cumming</t>
  </si>
  <si>
    <t>30040</t>
  </si>
  <si>
    <t>Forsyth</t>
  </si>
  <si>
    <t>Cumming Police Department, Forsyth County Sheriff's Department</t>
  </si>
  <si>
    <t>Heavily-armed gun trader Marx missed a court date at 9 a.m. but arrived at the courthouse an hour later with explosives, grenades and an assault rifle. He managed to wound a deputy in the leg before he was shot to death.</t>
  </si>
  <si>
    <t>http://www.wtsp.com/story/news/2014/06/06/officer-shot-outside-georgia-courthouse/10067345/</t>
  </si>
  <si>
    <t>Thomas L. White</t>
  </si>
  <si>
    <t>http://media.krem.com/images/470*264/thomas+white+060914.jpg</t>
  </si>
  <si>
    <t>Dragonfly Drive</t>
  </si>
  <si>
    <t>Coeur d'Alene</t>
  </si>
  <si>
    <t>83815</t>
  </si>
  <si>
    <t>Kootenai</t>
  </si>
  <si>
    <t>Coeur d'Alene Police Department</t>
  </si>
  <si>
    <t>Coeur d'Alene Police Department were called for a report of a domestic disturbance. When the troopers found White in the backyard of a neighbor's home, he climbed onto the second-floor deck. The officers saw the suspect was holding a gun, and White ignored officers' commands to drop the gun and come down from the deck. That's when White pointed the gun at the officers, according to police. After the suspect again refused again to put the gun down, "mutual exchanges of shots were fired" and White was killed.</t>
  </si>
  <si>
    <t>http://www.ktvb.com/news/ISP-Man-killed-in-officer-involved-shooting-pointed-gun-at-troopers-fired-263488691.html</t>
  </si>
  <si>
    <t>Steven Jerold Thompson</t>
  </si>
  <si>
    <t>http://cbsmiami.files.wordpress.com/2014/06/thompson-mug.jpg</t>
  </si>
  <si>
    <t>4200 Northwest 19th Street</t>
  </si>
  <si>
    <t>Police received 911 call that two women had been robbed at gunpoint by two men. During canvass of area, they found Thompson, who was armed and fled into a nearby apartment complex. Police followed him, and when Thompson shot at them in a hallway, they returned fire, fatally wounding the suspect. Thompson's alleged accomplice was later apprehended.</t>
  </si>
  <si>
    <t>http://articles.sun-sentinel.com/2014-06-06/news/fl-deputy-involved-shooting-lauderhill-20140606_1_robbery-suspect-deputy-shoots-keyla-concepcion</t>
  </si>
  <si>
    <t>Glen Griggs</t>
  </si>
  <si>
    <t>http://media.cmgdigital.com/shared/lt/lt_cache/thumbnail/400/img/photos/2014/06/06/7e/6c/griggs.jpg</t>
  </si>
  <si>
    <t>499 N Fair Oaks Ave</t>
  </si>
  <si>
    <t>94085</t>
  </si>
  <si>
    <t>Griggs was a homicide suspect. When police approached him he had a BB gun. Officers demanded him to drop his weapon, he did not comply resulting in officers shooting and killing Griggs.</t>
  </si>
  <si>
    <t>http://www.sfgate.com/crime/article/Police-Homicide-suspect-shot-by-cops-had-BB-gun-5534901.php</t>
  </si>
  <si>
    <t>Demetrice D. Presnall</t>
  </si>
  <si>
    <t>https://usgunviolence.files.wordpress.com/2014/03/demetrice-presnall.jpg?w=625</t>
  </si>
  <si>
    <t>2300 Devon Ln</t>
  </si>
  <si>
    <t>Lawrence H. Faine</t>
  </si>
  <si>
    <t>850 E Virginia Beach Blvd</t>
  </si>
  <si>
    <t>23504</t>
  </si>
  <si>
    <t>Victim was schizophrenic in an assisted living home. He was deemed a danger to himself and others and a judge issued an emergency custody order. Officer serving custody order shot Faine after he brandished a knife.</t>
  </si>
  <si>
    <t>http://hamptonroads.com/2014/06/norfolk-mans-family-questions-officers-use-force</t>
  </si>
  <si>
    <t>Thomas Dewitt Johnson</t>
  </si>
  <si>
    <t>http://www.gannett-cdn.com/-mm-/71d804bebdeb5f5d10cf1091e44afd29d7acd550/c=0-141-480-502&amp;r=x404&amp;c=534x401/local/-/media/WTLV/WTLV/2014/06/05//1401986101000-JOHNSON-THOMAS-DEWITT.jpg</t>
  </si>
  <si>
    <t>6700 London Bridge Lane near 103rd Street</t>
  </si>
  <si>
    <t>After a brief car chase, Johnson emerged from the vehicle with a gun pointed towards officer Busque. Busque then fired four shots - two of which hit Johnson. Johnson died on scene at 6:29.</t>
  </si>
  <si>
    <t>Kristopher Chase Simmons</t>
  </si>
  <si>
    <t>http://local.sltrib.com/charts/shootings/images/thumbs/31.jpg</t>
  </si>
  <si>
    <t>1100 West and 1900 South</t>
  </si>
  <si>
    <t>Marriott-Slaterville</t>
  </si>
  <si>
    <t>Ogden Metro SWAT, Ogden Police</t>
  </si>
  <si>
    <t>Simmons, who was wanted on drug warrants, barricaded himself inside a car in a West Haven auto body shop. SWAT officers went into the shop and shot Simmons when he allegedly pointed a gun at them.</t>
  </si>
  <si>
    <t>Harold Murphy</t>
  </si>
  <si>
    <t>http://bloximages.chicago2.vip.townnews.com/rapidcityjournal.com/content/tncms/assets/v3/editorial/f/a6/fa661def-a561-528e-b11c-5e9e35ffa6e1/53b3268183589.preview-620.jpg</t>
  </si>
  <si>
    <t>614 Sheridan Lake Rd</t>
  </si>
  <si>
    <t>57702</t>
  </si>
  <si>
    <t>Murphy was pursued by officers over a warrant. Murphy ran and was tackled by an officer. Murphy pulled out a gun and was subsequently shot and killed by officers.</t>
  </si>
  <si>
    <t>Timothy Ronald Lloyd</t>
  </si>
  <si>
    <t>1900 S Maxwell</t>
  </si>
  <si>
    <t>McPherson</t>
  </si>
  <si>
    <t>67460</t>
  </si>
  <si>
    <t>McPherson Police Department</t>
  </si>
  <si>
    <t>Yanira Serrano-Garcia</t>
  </si>
  <si>
    <t>https://www.indybay.org/uploads/2014/06/04/yanira_serrano_garcia_half_moon_bay.jpg</t>
  </si>
  <si>
    <t>2001 Miramontes Point Rd</t>
  </si>
  <si>
    <t>Half Moon Bay</t>
  </si>
  <si>
    <t>94019</t>
  </si>
  <si>
    <t>An 18-year-old special needs woman was killed after a confrontation with San Mateo County sheriff's deputies that escalated into an officer-involved shooting when she lunged at officers with a knife.</t>
  </si>
  <si>
    <t>http://www.nbcbayarea.com/news/local/San-Mateo-County-Sheriff-Kills-Teen-in-Half-Moon-Bay-261816771.html</t>
  </si>
  <si>
    <t>Frank McQueen</t>
  </si>
  <si>
    <t>http://cdn.abclocal.go.com/content/wpvi/images/cms/89862_1280x720.jpg</t>
  </si>
  <si>
    <t>1200 Culhane St</t>
  </si>
  <si>
    <t>McQueen is alleged to have shot at an officer. Police fired multiple rounds, killing McQueen at the scene. Investigations into the incident are ongoing.</t>
  </si>
  <si>
    <t>Deborah A. McCollum</t>
  </si>
  <si>
    <t>Andrews Circle</t>
  </si>
  <si>
    <t>29803</t>
  </si>
  <si>
    <t>McCollum called 911 call, requesting assistance because she was going to commit suicide. When police arrived on the scene, deputies saw McCollum with a handgun at the front door of her home. One the deputies shot McCollum. Emergency responders pronounced her dead at the scene.</t>
  </si>
  <si>
    <t>http://www.nbc26.tv/story/25669752/police-on-scene-of-shooting-in-aiken-county</t>
  </si>
  <si>
    <t>Drew Marian Spencer</t>
  </si>
  <si>
    <t>http://bloximages.newyork1.vip.townnews.com/hickoryrecord.com/content/tncms/assets/v3/editorial/c/c2/cc29a07b-fa81-56e0-af7f-5c6334f213b5/53927285b0c66.preview-300.jpg</t>
  </si>
  <si>
    <t>2853 N Center St</t>
  </si>
  <si>
    <t>Hickory</t>
  </si>
  <si>
    <t>28601</t>
  </si>
  <si>
    <t>Catawba</t>
  </si>
  <si>
    <t>Hickory Police Department</t>
  </si>
  <si>
    <t>Spencer pointed a gun at officers, which resulted in the officers shooting and killing Spencer.</t>
  </si>
  <si>
    <t>Jordan Franklin Browder</t>
  </si>
  <si>
    <t>http://wrcb.images.worldnow.com/images/13368468_BG1.jpg</t>
  </si>
  <si>
    <t>1625 Piedmont Hwy</t>
  </si>
  <si>
    <t>Piedmont</t>
  </si>
  <si>
    <t>29673</t>
  </si>
  <si>
    <t>Browder was in a car, deputies told him to show them his hands and exit the vehicle. Browder refused and reached at waistband. Deputies feared he was reaching for a weapon and shot and killed Browder. Browder did not have a weapon on him.</t>
  </si>
  <si>
    <t>Michael Kleinbeck</t>
  </si>
  <si>
    <t>3145 County Road 6450</t>
  </si>
  <si>
    <t>67301</t>
  </si>
  <si>
    <t>Kleinbeck reportedly had a gun with him on what may or may not have been his own property. Deputies and high way patrol engaged in a fight. Kleinbeck was shot and killed.</t>
  </si>
  <si>
    <t>http://cjonline.com/news/2014-06-02/man-killed-officer-involved-shooting</t>
  </si>
  <si>
    <t>Sandy James McCall</t>
  </si>
  <si>
    <t>http://www.directorsadvantage.net/image.php/20140613-1205458150.jpg?width=165&amp;height=202&amp;image=/obituary/obitpics/20140613-1205458150.jpg</t>
  </si>
  <si>
    <t>4900 Fayetteville Rd</t>
  </si>
  <si>
    <t>Raeford</t>
  </si>
  <si>
    <t>28376</t>
  </si>
  <si>
    <t>Hoke</t>
  </si>
  <si>
    <t>Deputies approached McCall after reports of a suspicious person. After an altercation McCall was shot and killed by deputies. Candace McCall said she doesn't understand why authorities shot her brother. McCall didn't have a history of violence. Both McCall and Wiggins said they never knew him to carry a gun.</t>
  </si>
  <si>
    <t>http://www.wral.com/one-killed-in-officer-involved-shooting-in-raeford/13690585/</t>
  </si>
  <si>
    <t>Tayler Rock</t>
  </si>
  <si>
    <t>http://www.kwch.com/image/view/-/26279694/medRes/2/-/btd8cq/-/Taylor-Rock.jpg</t>
  </si>
  <si>
    <t>U.S. 166 &amp; Kansas 15</t>
  </si>
  <si>
    <t>Cowley County</t>
  </si>
  <si>
    <t>67038</t>
  </si>
  <si>
    <t>Cowley</t>
  </si>
  <si>
    <t>Cowley County Sheriff's Department</t>
  </si>
  <si>
    <t>Tayler was pulled over for an alleged license violation. Within three minutes officer reported "shots fired".</t>
  </si>
  <si>
    <t>Etoine Baucum</t>
  </si>
  <si>
    <t>http://patersontimes.com/wp-content/uploads/2014/05/etoine-baucum.jpg</t>
  </si>
  <si>
    <t>85 Montgomery St</t>
  </si>
  <si>
    <t>Clifton</t>
  </si>
  <si>
    <t>07011</t>
  </si>
  <si>
    <t>Passaic</t>
  </si>
  <si>
    <t>Patterson Police Department</t>
  </si>
  <si>
    <t>Baucum pointed a gun at an officer resulting in Baucum getting shot and killed.</t>
  </si>
  <si>
    <t>Douglas DaMoude</t>
  </si>
  <si>
    <t>http://bloximages.chicago2.vip.townnews.com/journalstar.com/content/tncms/assets/v3/editorial/2/a0/2a072007-3e7f-5780-b9b9-8fd8a355b92c/538fb63922fbb.preview-300.jpg</t>
  </si>
  <si>
    <t>5901 English Park Ct</t>
  </si>
  <si>
    <t>68516</t>
  </si>
  <si>
    <t>Lancaster County Sheriff's Office</t>
  </si>
  <si>
    <t>Deputies were accompanying locksmiths to serve an eviction notice. The victim barricaded himself in the home. Once the door was forced opened they found him with a gun and shot him four times.</t>
  </si>
  <si>
    <t>http://journalstar.com/news/local/911/sheriff-clears-deputies-who-killed-damoude/article_7951d733-fc16-5ddf-be82-d467d5065533.html</t>
  </si>
  <si>
    <t>Mark Anthony Blocker</t>
  </si>
  <si>
    <t>3416 Curtis Drive</t>
  </si>
  <si>
    <t>Blocker had a pellet gun that looked like a real gun. Officers felt threatened and shot and killed Blocker.</t>
  </si>
  <si>
    <t>http://www.wjla.com/articles/2014/05/mark-anthony-blocker-20-shot-and-killed-by-police-103651.html</t>
  </si>
  <si>
    <t>Quintico Goolsby</t>
  </si>
  <si>
    <t>http://www.gannett-cdn.com/-mm-/c50bb050c2eef5f9c4210e953e349d2b034512da/c=32-54-435-591&amp;r=183&amp;c=0-0-180-238/local/-/media/Indianapolis/Indianapolis/2014/05/30//1401477060000-Quintico-Goolsby.jpg</t>
  </si>
  <si>
    <t>2600 N Dearborn St</t>
  </si>
  <si>
    <t>Goolsby shot and killed two of his friends then shot an officer who then returned fire, killing Goolsby.</t>
  </si>
  <si>
    <t>http://www.wthr.com/story/25655412/2014/05/30/friends-say-suspect-was-fearful-before-friday-morning-shooting</t>
  </si>
  <si>
    <t>Jose Luis Arambula</t>
  </si>
  <si>
    <t>http://soboco.org/wp-content/uploads/2012/07/JoseLuisArambula.jpg</t>
  </si>
  <si>
    <t>Abrego Drive and Camino Encanto</t>
  </si>
  <si>
    <t>Green Valley</t>
  </si>
  <si>
    <t>85614</t>
  </si>
  <si>
    <t>Agents fired on and killed unarmed suspect Arambula when he attempted to escape from a traffic stop on suspicion of distributing marijuana. After a 15-mile car chase and a foot chase through a pecan grove, the officer fired nine times and struck Arambula once behind the left ear. Stated justification: victim gestured as if he had a gun and the officer felt threatened. County officials refused to press charges.</t>
  </si>
  <si>
    <t>http://www.tucsonsentinel.com/local/report/091014_bp_shooting/county-attorney-no-charges-against-bp-agent-may-shooting-death/</t>
  </si>
  <si>
    <t>Brandon Lee Macias Jimenez</t>
  </si>
  <si>
    <t>1400 East Main Street</t>
  </si>
  <si>
    <t>95776</t>
  </si>
  <si>
    <t>Police responding to an early morning 911 call from a convenience store found an armed Jimenez holding a woman hostage nearby the store. After allegedly pointing his handgun at the woman several times, police shot Jimenez to protect the hostage, who was not injured.</t>
  </si>
  <si>
    <t>http://www.dailydemocrat.com/breakingnews/ci_25873770/woodland-police-not-releasing-any-new-information-officer</t>
  </si>
  <si>
    <t>Larry Smith</t>
  </si>
  <si>
    <t>47 Tranquility Lane</t>
  </si>
  <si>
    <t>Hazard</t>
  </si>
  <si>
    <t>41701</t>
  </si>
  <si>
    <t>Smith aimed a gun at troopers - they responded by shooting and killing Smith</t>
  </si>
  <si>
    <t>http://www.wkyt.com/wymt/home/headlines/Police-on-scene-of-standoff-in-Perry-County-261341691.html</t>
  </si>
  <si>
    <t>Danny Michael Wadsworth Jr.</t>
  </si>
  <si>
    <t>http://www.mynews3.com/media/lib/166/8/7/b/87b3baa1-31c9-4808-99e1-8562de8516fd/Story.jpg</t>
  </si>
  <si>
    <t>89109</t>
  </si>
  <si>
    <t>Wadsworth shot at officers, officers returned fire, killing Wadsworth.</t>
  </si>
  <si>
    <t>http://www.mynews3.com/content/news/story/clark-county-coroner-wadsworth-metro-shooting/SeUbsqxg60635hK6f0SuGg.cspx</t>
  </si>
  <si>
    <t>Brian Scott Hiatt</t>
  </si>
  <si>
    <t>http://cdn.abclocal.go.com/content/kfsn/images/cms/automation/vod/90439_630x354.jpg</t>
  </si>
  <si>
    <t>11000 Lander Ave</t>
  </si>
  <si>
    <t>Turlock</t>
  </si>
  <si>
    <t>95380</t>
  </si>
  <si>
    <t>Hiatt killed two women, when deputies arrived, they shot and killed Hiatt after he was aggressive towards deputies.</t>
  </si>
  <si>
    <t>http://abc30.com/news/motive-probed-in-murder-of-2-sisters-near-hilmar/90441/</t>
  </si>
  <si>
    <t>James Andrew Brown II</t>
  </si>
  <si>
    <t>http://cbsnews2.cbsistatic.com/hub/i/r/2014/06/02/b3a0a345-96ba-4fe2-bd6e-9892458931fd/thumbnail/140x90/be772a52bc6d6092bb41b8444745ba30/brown2.jpg</t>
  </si>
  <si>
    <t>Galveston Avenue and East Little Creek Road</t>
  </si>
  <si>
    <t>23505</t>
  </si>
  <si>
    <t>Brown randomly fired a gun. He killed two people. Officers tried to arrest him, but he resisted and was ultimately shot and killed.</t>
  </si>
  <si>
    <t>http://www.cbsnews.com/news/cops-virginia-man-fatally-shoots-high-school-student-then-police-officer/</t>
  </si>
  <si>
    <t>Jose Valerio</t>
  </si>
  <si>
    <t>http://ak-cache.legacy.net/legacy/images/Cobrands/NOLA/Photos/06052014_0001403484_1.jpg</t>
  </si>
  <si>
    <t>2600 Dreux St</t>
  </si>
  <si>
    <t>70122</t>
  </si>
  <si>
    <t>Southern University of New Orleans Police Department</t>
  </si>
  <si>
    <t>Suspect was committing an armed robbery when confronted by the cop</t>
  </si>
  <si>
    <t>http://www.nola.com/crime/index.ssf/2014/05/armed_robber_shot_dead_by_off-.html</t>
  </si>
  <si>
    <t>Duane Erick Strong</t>
  </si>
  <si>
    <t>http://www.gannett-cdn.com/-mm-/e0980da533ab816f8a365740568c97fbcabb27c0/c=0-4-124-169&amp;r=537&amp;c=0-0-534-712/local/-/media/Tallahassee/2014/09/08/-tlhbrd06-12-2014democrat1a00120140611imgduanestrong.jpg11bs7k.jpg</t>
  </si>
  <si>
    <t>2394 West Tennessee Street</t>
  </si>
  <si>
    <t>32304</t>
  </si>
  <si>
    <t>Police heard shots from behind a bar and found Strong idling his car in the bar's parking lot. An officer approached Strong and he bolted. Fearing Strong might hit him, the officer shot nine times. The officer's partner shot three times. Strong was hit by one bullet, killing him. Autopsy found designer drug ethylone in Strong's system. Officers cleared of criminal charges by grand jury.</t>
  </si>
  <si>
    <t>http://www.tallahassee.com/story/news/2014/09/08/officers-cleared-cheeks-shooting/15302243/</t>
  </si>
  <si>
    <t>Gerrit D. Vos</t>
  </si>
  <si>
    <t>http://images.onset.freedom.com/ocregister/gallery/n6pgb8-b8895832z.120140605095250000gaj2o2sl.10.jpg</t>
  </si>
  <si>
    <t>1400 Superior Avenue.</t>
  </si>
  <si>
    <t>Newport Beach</t>
  </si>
  <si>
    <t>92663</t>
  </si>
  <si>
    <t>Newport Beach Police Department</t>
  </si>
  <si>
    <t>Gerrit Vos, 22, of San Clemente, was shot after he charged Newport Beach Police Department officers with a “sharp metal instrument” when they were responding to an altercation at a 7-11 store in the 1400 block of Superior Ave. Vos was shot 5 times, including in the face. He had a history of mental illness including paranoia but was not on illegal drugs and had taken his meds. Vos was living at a drug rehabilitation center in San Clemente and appeared to be doing well.</t>
  </si>
  <si>
    <t>http://www.ocregister.com/articles/kekel-617157-police-newport.html</t>
  </si>
  <si>
    <t>Ransom Duane McCoy</t>
  </si>
  <si>
    <t>http://bloximages.newyork1.vip.townnews.com/tricities.com/content/tncms/assets/v3/editorial/5/8b/58b8b330-e770-11e3-92b0-0017a43b2370/53879988b2aa4.image.jpg</t>
  </si>
  <si>
    <t>100 Keith Rd</t>
  </si>
  <si>
    <t>37620</t>
  </si>
  <si>
    <t>Deputy David Clayman, recognizing McCoy from a recent arrest warrant search, said McCoy refused to stop his vehicle and rammed the front end of his cruiser to escape. Other LE joined deputies on a high speed chase until McCoy crashed through a chain link fence or after a LE cruiser blocked him, at which time he either “ran at an officer” or "repeatedly rammed his vehicle" into the cruiser. Deputy Tom Dula, standing next to McCoy's vehicle, said he commanded him to stop and then fired 8 shots, hitting him 6 times and killing him. McCoy was unarmed.</t>
  </si>
  <si>
    <t>Jeremy Vann</t>
  </si>
  <si>
    <t>https://localtvwreg.files.wordpress.com/2014/05/teon-katchens.jpg?w=400&amp;h=225&amp;crop=1</t>
  </si>
  <si>
    <t>875 State Line Rd</t>
  </si>
  <si>
    <t>When undercover narcotics officers attempted to arrest Vann and Teon Katchens, 20, in a parking lot drug deal, Vann allegedly hit or ran over an officer with his vehicle, reversed and allegedly attempted to hit him again or was trying to flee the scene. That officer, not seriously injured, and another fired at Vann, who died on the way to the hospital. A witness heard two shots fired.</t>
  </si>
  <si>
    <t>http://wreg.com/2014/05/28/one-person-shot-officer-hit-by-vehicle/</t>
  </si>
  <si>
    <t>Ricky Lee Higgins</t>
  </si>
  <si>
    <t>1521st road and Southwest 1200th road</t>
  </si>
  <si>
    <t>Holden</t>
  </si>
  <si>
    <t>64040</t>
  </si>
  <si>
    <t>Higgins was released from prison in Dec. 2013 after a 12-year stint. Police came to arrest him at his trailer for violating parole six months later. Higgins, who was armed, escaped through a secret hatch but encountered two officers in the woods. He fired two shots at the officers and they returned fire, killing him. Higgins had often stated he would die in a police shootout before going back to prison.</t>
  </si>
  <si>
    <t>http://www.dailystarjournal.com/news/local/article_1dd8ae98-7454-5370-8fe7-d4af92101eb6.html</t>
  </si>
  <si>
    <t>Albert Robert Clayburn</t>
  </si>
  <si>
    <t>http://osweb.htl.dc.publicus.com/apps/pbcsi.dll/storyimage/OS/20140724/news/307249957/AR/0/AR-307249957.jpg&amp;MaxW=550</t>
  </si>
  <si>
    <t>130 W Main St</t>
  </si>
  <si>
    <t>Hamersville</t>
  </si>
  <si>
    <t>45107</t>
  </si>
  <si>
    <t>Hamersville Police Department</t>
  </si>
  <si>
    <t>Responding to a "suspicious person" call where Clayburn was working, Officers Jared Riley and Branden Clark approached him. He allegedly "reacted in a violent manner", got into his vehicle and drove away, dragging one of the officers with it. A witness saw the other officer running and shooting at the vehicle. Clayburn, shot six times, drove into the Hamersville Village Board Of Public Affairs building, causing extensive damage. The coroner said he died from gunshot wounds, not the crash.</t>
  </si>
  <si>
    <t>http://www.wcpo.com/news/local-news/brown-county/vehicle-crashes-through-building-in-brown-county</t>
  </si>
  <si>
    <t>Jason Westcott</t>
  </si>
  <si>
    <t>http://www.tampabay.com/resources/images/dti/rendered/2014/08/b2s_swatia081614b_13390539_8col.jpg</t>
  </si>
  <si>
    <t>906 W Knollwood St.</t>
  </si>
  <si>
    <t>A TPD informer purchased approx. $160 of marijuana from Westcott over 4 mo., reporting that he carried a gun. SWAT was deployed for search warrant, and when officers opened the door to Westcott's bedroom, they found him on the other side with a loaded, 9mm Taurus Slim pistol. He was immediately shot by two officers as he was "raising his weapon," initially in his right shoulder. The search yielded only 0.2 grams — or about $2 worth — of pot.</t>
  </si>
  <si>
    <t>http://www.tampabay.com/news/publicsafety/internal-review-finds-tampa-swat-team-acted-properly-in-fatal-raid/2193215</t>
  </si>
  <si>
    <t>Terry Heath</t>
  </si>
  <si>
    <t>http://media.cmgdigital.com/shared/img/photos/2014/05/21/00/76/HEATH--TERRY-DARNELL.jpg</t>
  </si>
  <si>
    <t>820 Wyoming St</t>
  </si>
  <si>
    <t>45410</t>
  </si>
  <si>
    <t>Heath lunged at officers with a knife and was shot and killed.</t>
  </si>
  <si>
    <t>Noel Enrique Aguilar</t>
  </si>
  <si>
    <t>http://images.onset.freedom.com/ocregister/gallery/n69dp0-b8884839z.120140527173447000g5d2g164.10.jpg</t>
  </si>
  <si>
    <t>303 E 9th St</t>
  </si>
  <si>
    <t>90813</t>
  </si>
  <si>
    <t>Aguilar got into a fire fight with a deputy. The deputy got shot and recovered, Aguilar died.</t>
  </si>
  <si>
    <t>http://www.nbclosangeles.com/news/local/Los-Angeles-County-Sheriffs-Deputy-Shooting-Compton-260673091.html</t>
  </si>
  <si>
    <t>Montez Dewayne Hambric</t>
  </si>
  <si>
    <t>http://www.wxii12.com/image/view/-/26166194/highRes/1/-/maxh/480/maxw/640/-/ux004e/-/WXII-Montez-Dewayne-Hambric.jpg</t>
  </si>
  <si>
    <t>500 W. 7th Street</t>
  </si>
  <si>
    <t>Winston Salem</t>
  </si>
  <si>
    <t>27101</t>
  </si>
  <si>
    <t>Winston-Salem police officer shot Montez, which the department classifies as “homicide by law enforcement.”Hambric, a resident of Durham, fled from a car accident involving a stolen vehicle on May 25, according to police. The police said Cpl. DW Walsh fired a single round from his service weapon at Hambric after the man physically assaulted the officer during an attempt to take him into custody.</t>
  </si>
  <si>
    <t>http://myfox8.com/2014/05/25/winston-salem-police-investigate-officer-involved-shooting/</t>
  </si>
  <si>
    <t>Isaac Sims</t>
  </si>
  <si>
    <t>http://timedotcom.files.wordpress.com/2014/05/screen-shot-2014-05-27-at-9-29-42-pm1.png?w=1100</t>
  </si>
  <si>
    <t>2300 Lawndale Ave</t>
  </si>
  <si>
    <t>64127</t>
  </si>
  <si>
    <t>Sims, suffering from PTSD, fired shots at his father and neighbor. Police were called, and ultimately shot and killed Sims.</t>
  </si>
  <si>
    <t>http://time.com/121438/iraq-vet-killed-in-gunfight-with-police-was-turned-away-by-va-hospital/</t>
  </si>
  <si>
    <t>Michael Myers</t>
  </si>
  <si>
    <t>7200 South Racine Avenue</t>
  </si>
  <si>
    <t>60636</t>
  </si>
  <si>
    <t>Man threatened paramedics with knife; officers called to the scene. He charged the police while brandishing the knife and was shot after failing to drop the knife when ordered.</t>
  </si>
  <si>
    <t>http://voices.suntimes.com/news/breaking-news/police-man-threatening-officer-with-knife-shot-killed-by-police/</t>
  </si>
  <si>
    <t>Shiquan M. Krouser</t>
  </si>
  <si>
    <t>http://ak-cache.legacy.net/legacy/images/Cobrands/dailyfreeman/Photos//DailyFreeman_mers_Krouser_20140530.jpg</t>
  </si>
  <si>
    <t>Main Street and Academy Street</t>
  </si>
  <si>
    <t>Poughkeepsie</t>
  </si>
  <si>
    <t>12601</t>
  </si>
  <si>
    <t>Poughkeepsie Police Department</t>
  </si>
  <si>
    <t>Krouser was approached by an officer for disturbing the peace. He then cut the officer with a box cutter, prompting another officer to shoot and kill Krouser.</t>
  </si>
  <si>
    <t>http://www.poughkeepsiejournal.com/story/news/2014/05/24/officer-involved-shooting-poughkeepsie/9535009/</t>
  </si>
  <si>
    <t>Christian Sierra</t>
  </si>
  <si>
    <t>103 Frazer Drive</t>
  </si>
  <si>
    <t>Purcellville</t>
  </si>
  <si>
    <t>20132</t>
  </si>
  <si>
    <t>Loudoun</t>
  </si>
  <si>
    <t>Purcellville Police Department</t>
  </si>
  <si>
    <t>Police were called for a report of Sierra trying to stab himself. The caller told police the teen had already stabbed himself multiple times and two friends at the home with Sierra unsuccessfully tried to restrain him. The caller told dispatchers that Sierra jumped off the second-story of the townhome and fled. Sierra was found sitting on the side of the road by Officer T. Hood. At the time a friend was behind Sierra struggling for control of the knife. When Hood got out of his patrol vehicle, he yelled at Sierra multiple times to drop the knife Sierra, police said, “raised the knife, pointed it at Officer Hood, increased his speed, and continued to advance.” Once Sierra was within 5 to 10 feed of Hood, the officer shot and killed him.</t>
  </si>
  <si>
    <t>http://www.loudountimes.com/news/article/purcellville_teens_shooting_justified</t>
  </si>
  <si>
    <t>Carlos Ocana</t>
  </si>
  <si>
    <t>http://www.trbimg.com/img-53b4b2e4/turbine/la-me-ln-skid-row-fatal-arrest-20140702-001/750/750x422</t>
  </si>
  <si>
    <t>5th and San Pedro</t>
  </si>
  <si>
    <t>Ocana tried to avoid being arrested when we was tasered from a rooftop billboard. He fell to his death.</t>
  </si>
  <si>
    <t>http://www.latimes.com/local/lanow/la-me-ln-skid-row-death-20140702-story.html</t>
  </si>
  <si>
    <t>Henry Curtis</t>
  </si>
  <si>
    <t>900 Starr Ct</t>
  </si>
  <si>
    <t>Lebec</t>
  </si>
  <si>
    <t>93243</t>
  </si>
  <si>
    <t>Curtis lunged at a deputy with a knife and was subsequently shot and killed.</t>
  </si>
  <si>
    <t>Frank Sidney Smody</t>
  </si>
  <si>
    <t>http://www.fowlersullivanfuneralhome.com/wp-content/uploads/2014/05/bud1-560x769.jpg</t>
  </si>
  <si>
    <t>3700 State Highway BB</t>
  </si>
  <si>
    <t>Neelyville</t>
  </si>
  <si>
    <t>63954</t>
  </si>
  <si>
    <t>Butler County Sheriff's Office</t>
  </si>
  <si>
    <t>Police were called to respond to a trespasser on Smody's property. When the officer arrived he 'came under fire'. The officer returned fire, killing Smody.</t>
  </si>
  <si>
    <t>http://www.semissourian.com/story/2087405.html</t>
  </si>
  <si>
    <t>Jason Wilson</t>
  </si>
  <si>
    <t>7322 Sunrise Blvd</t>
  </si>
  <si>
    <t>Police responded to a domestic violence call and pursued Wilson when he fled the scene on a bicycle. LE helicopter spotted him entering a school campus and the police cornered him. Wilson allegedly exhibited "violent and irrational behavior throughout the incident" so when he "reached for his waistband" in a "crouched position", Officers Joseph Davis and Christopher Bosson shot and killed him. Wilson was unarmed.</t>
  </si>
  <si>
    <t>http://www.kcra.com/news/1-killed-in-officerinvolved-shooting/26154592</t>
  </si>
  <si>
    <t>Ralph Chavez</t>
  </si>
  <si>
    <t>http://www.kob.com/kobtvimages/repository/2014-05/ralph-chavez.jpg</t>
  </si>
  <si>
    <t>2nd Street NW near Arvada Avenue NW</t>
  </si>
  <si>
    <t>87102</t>
  </si>
  <si>
    <t>Police say Chavez beat a woman and stabbed another man in the neck before two officers shot him to death</t>
  </si>
  <si>
    <t>http://krqe.com/2014/05/22/audio-released-in-apd-shooting-of-stabbing-suspect/</t>
  </si>
  <si>
    <t>Joshua Marshall Foskey</t>
  </si>
  <si>
    <t>Snipesville Road</t>
  </si>
  <si>
    <t>Hazelhurst</t>
  </si>
  <si>
    <t>31532</t>
  </si>
  <si>
    <t>Jeff Davis</t>
  </si>
  <si>
    <t>Jeff Davis County Sheriff's Office</t>
  </si>
  <si>
    <t>There is little media coverage on this case. Foskey's mother may have called 911 to report that he was leaving the house in an agitated state connected with drug use. Two deputies either stopped his car on the highway or found it stopped with Foskey apparently unconscious, or not. After Foskey made a movement with his hand, Deputy Brandon Merritt shot him 1-17 times and was cleared of wrongdoing by a grand jury.</t>
  </si>
  <si>
    <t>http://wjcl.com/2014/05/22/one-death-in-officer-involved-shooting/</t>
  </si>
  <si>
    <t>Jermassioun Viondrey Rodgers</t>
  </si>
  <si>
    <t>http://westorlandonews.com/wp-content/uploads/2014/05/Rogers.png</t>
  </si>
  <si>
    <t>4400 Malibu Street</t>
  </si>
  <si>
    <t>32811</t>
  </si>
  <si>
    <t>Rodgers and two accomplices robbed a deliveryman and stole his car, and were then pursued by police before the three attempted to flee. Officers fatally shot Rodgers after the stolen car was rammed into police vehicles.</t>
  </si>
  <si>
    <t>http://articles.orlandosentinel.com/2014-05-22/news/os-dead-carjacker-identified-orlando-20140522_1_orlando-man-suspect-shot-deadly-force-situation</t>
  </si>
  <si>
    <t>Raymond Eugene Garcia</t>
  </si>
  <si>
    <t>http://blogs.westword.com/latestword/assets_c/2014/06/raymond.garcia.facebook.1-thumb-565x753.jpg</t>
  </si>
  <si>
    <t>2467 W 29th St</t>
  </si>
  <si>
    <t>Garcia was caught at a motel for soliciting a female undercover police officer for prostitution. Officers stormed the room after he paid her money. They say he "reached for a gun tucked in his waistband" while they attempted to arrest him. An officer tasered him as he allegedly raised the gun, another shot at him once, and then another shot at him 16 times. He was hit 7 times and died at the scene.</t>
  </si>
  <si>
    <t>http://www.greeleytribune.com/news/11516588-113/greeley-police-officers-undercover</t>
  </si>
  <si>
    <t>Robert Michael Duncklee</t>
  </si>
  <si>
    <t>http://www.fatalencounters.org/wp-content/uploads/2013/10/RobertMichaelDuncklee.jpg</t>
  </si>
  <si>
    <t>3810 East Monte Vista Drive</t>
  </si>
  <si>
    <t>Officers Robert Soeder and Allan Meyer responded at approx 11pm to a landlord's call that tenants who had been served an eviction notice were still in the apartment. They knocked and identified themselves, then allegedly entered through the unlocked door. Duncklee and a woman were sleeping in a bedroom. According to that woman, she and Duncklee, who was possibly hard of hearing, thought the police were intruders. When he opened the bedroom door with a stick in his hand, Meyer shot him several times and Soeder shot him twice. They also shot and injured the woman.</t>
  </si>
  <si>
    <t>http://www.tucsonnewsnow.com/story/25585064/tpd-investigating-officer-involved-shooting-in-midtown</t>
  </si>
  <si>
    <t>Carlos Mejia</t>
  </si>
  <si>
    <t>936 Del Monte Ave.</t>
  </si>
  <si>
    <t>Officers responding to a burglary call confronted Mejia and shot him after he brandished a gardening shears. Mejia's family filed a wrongful death suit against the city several days later.</t>
  </si>
  <si>
    <t>http://www.kionrightnow.com/news/local-news/shooting-reported-north-sanborn-and-del-monte-in-salinas/26079104</t>
  </si>
  <si>
    <t>Martin Figueroa</t>
  </si>
  <si>
    <t>http://www.crimevoice.com/wp-content/uploads/2014/05/Figueroa.jpg</t>
  </si>
  <si>
    <t>E Vassar Ave and N San Pablo Ave</t>
  </si>
  <si>
    <t>93704</t>
  </si>
  <si>
    <t>Figueroa's family called 911 to report him high on meth and hallucinating at home. Four officers responded and "attempted to negotiate" with Figueroa from outside for 45 minutes, after which they sent a K-9 into the home. Two officers followed and found Figueroa in a bedroom holding a steak knife. When they "pulled the K-9 off the man", he allegedly began screaming and raised the knife over his head, at which time the officers shot him. He died later that night at the hospital. His mother, Aurora Figueroa, says he was shot 17 times.</t>
  </si>
  <si>
    <t>http://www.fresnobee.com/2014/05/20/3935807/fresno-police-at-officer-involved.html</t>
  </si>
  <si>
    <t>Tiffany Morton</t>
  </si>
  <si>
    <t>9900 Slaughter Rd</t>
  </si>
  <si>
    <t>77328</t>
  </si>
  <si>
    <t>Morton was high on meth and threatening to shoot her mother and two children before setting her mobile home on fire as deputies arrived. Morton was armed with a rifle and refused to drop, causing officers to fatally shoot the 27-year-old.</t>
  </si>
  <si>
    <t>http://www.houstonchronicle.com/news/houston-texas/houston/article/Officials-Woman-on-meth-before-shooting-5496642.php</t>
  </si>
  <si>
    <t>Osbourne Broadie</t>
  </si>
  <si>
    <t>https://a3-images.myspacecdn.com/images03/16/7256619a90874bd7bfbbdac46835a876/300x300.jpg</t>
  </si>
  <si>
    <t>Clarkson Ave</t>
  </si>
  <si>
    <t>11203</t>
  </si>
  <si>
    <t>Broadie stabbed his girlfriend with scissors. Officers told Broadie to drop the scissors, but he lunged at the officers instead. Officers then shot and killed Broadie.</t>
  </si>
  <si>
    <t>http://www.nydailynews.com/new-york/nyc-crime/man-shot-killed-cops-identified-article-1.1797801</t>
  </si>
  <si>
    <t>Luis Arturo Hernandez Jr.</t>
  </si>
  <si>
    <t>http://www.wbaltv.com/image/view/-/26079326/highRes/1/-/maxh/220/maxw/220/-/6wuh1vz/-/Luis-Arturo-Hernandez.jpg</t>
  </si>
  <si>
    <t>Cedar Lane</t>
  </si>
  <si>
    <t>Bel Air</t>
  </si>
  <si>
    <t>21015</t>
  </si>
  <si>
    <t>Harford</t>
  </si>
  <si>
    <t>Harford County Sheriff's Office</t>
  </si>
  <si>
    <t>When Jamie Nicole Campbell's mother reported her missing, police tracked her car. Hernandez, her husband, was armed and holding her hostage in the car. Negotiators communicated all night via phone. In "an effort to protect Campbell and prevent Hernandez from taking his own life", deputies "were authorized to execute an emergency assault". When they approached the car, Hernandez shot Campbell in the abdomen. Deputies immediately shot and killed him.</t>
  </si>
  <si>
    <t>http://www.baltimoresun.com/news/maryland/harford/abingdon/ph-ag-hostage-followup-0523-20140521,0,6316373.story</t>
  </si>
  <si>
    <t>Robert Sharp</t>
  </si>
  <si>
    <t>18385 Benes Roush Road</t>
  </si>
  <si>
    <t>Masaryktown</t>
  </si>
  <si>
    <t>34604</t>
  </si>
  <si>
    <t>Hernando</t>
  </si>
  <si>
    <t>Hernando County Sheriff's Office</t>
  </si>
  <si>
    <t>Deputies responding to a domestic dispute after midnight fell into an armed standoff with Sharp, inside his house, who emerged at least twice to fire at the police before he was shot dead.</t>
  </si>
  <si>
    <t>http://tbo.com/he/list/news/swat-team-at-home-of-suicidal-brooksville-man-20140519/</t>
  </si>
  <si>
    <t>Kenneth Shawn Todd</t>
  </si>
  <si>
    <t>12000 U.S. 258</t>
  </si>
  <si>
    <t>Macclesfield</t>
  </si>
  <si>
    <t>27852</t>
  </si>
  <si>
    <t>Edgecombe County Sheriff's Office</t>
  </si>
  <si>
    <t>Todd approached deputy Winders with a weapon and would not respond to orders to stop, resulting in Winders shooting and killing Todd.</t>
  </si>
  <si>
    <t>http://www.wral.com/sbi-investigating-officer-involved-shooting-in-edgecombe-county/13657901/</t>
  </si>
  <si>
    <t>Curtis E. Welford</t>
  </si>
  <si>
    <t>133 Blackberry Lane</t>
  </si>
  <si>
    <t>Forest</t>
  </si>
  <si>
    <t>39074</t>
  </si>
  <si>
    <t>George County Sheriff's Department</t>
  </si>
  <si>
    <t>Deputies responding to a domestic disturbance shot a rifle-wielding man in a house outside of George county.</t>
  </si>
  <si>
    <t>http://blog.gulflive.com/mississippi-press-news/2014/05/george_county_deputy_shoots_ki.html</t>
  </si>
  <si>
    <t>Juvon Allen</t>
  </si>
  <si>
    <t>2300 Rebsamen Park Rd</t>
  </si>
  <si>
    <t>Little Rock</t>
  </si>
  <si>
    <t>72202</t>
  </si>
  <si>
    <t>Little Rock Police Department</t>
  </si>
  <si>
    <t>Allen was shot after attempting to rob an off-duty officer at gunpoint, who shot the 21-year-old three times in the chest after the officer fought him off. He later died at a nearby hospital.</t>
  </si>
  <si>
    <t>http://www.thv11.com/story/news/local/2014/05/19/little-rock-officer-involved-shooting-may-18-juvon-allen/9282051/</t>
  </si>
  <si>
    <t>Sheila Vawter</t>
  </si>
  <si>
    <t>7650 West Old US Highway 90</t>
  </si>
  <si>
    <t>Vawter advanced toward an officer with a knife, resulting in the officer shooting and killing her.</t>
  </si>
  <si>
    <t>Cory Lee Bush</t>
  </si>
  <si>
    <t>275 Refuge Avenue</t>
  </si>
  <si>
    <t>Oroville</t>
  </si>
  <si>
    <t>95966</t>
  </si>
  <si>
    <t>Butte County Sheriff's Office</t>
  </si>
  <si>
    <t>Bush was having a nervous breakdown and was 'tearing up the house'. Deputies responded and Bush was reportedly armed. Bush was ultimately shot and killed.</t>
  </si>
  <si>
    <t>http://www.krcrtv.com/news/local/butte-county-man-shot-and-killed-by-deputy/26055482</t>
  </si>
  <si>
    <t>Ashley DiPiazza</t>
  </si>
  <si>
    <t>http://wkow.images.worldnow.com/images/3782398_G.jpg</t>
  </si>
  <si>
    <t>1100 MacArthur Road</t>
  </si>
  <si>
    <t>53714</t>
  </si>
  <si>
    <t>Dane</t>
  </si>
  <si>
    <t>DiPiazza was shot and killed by officers after she refused to comply with the officer's orders to drop the gun.</t>
  </si>
  <si>
    <t>http://host.madison.com/news/local/crime_and_courts/woman-shot-and-killed-by-madison-police-after-failing-to/article_c7abe3d4-5701-5272-87c6-cf90ef6d652e.html</t>
  </si>
  <si>
    <t>Thomas N. Saunders</t>
  </si>
  <si>
    <t>Neal St</t>
  </si>
  <si>
    <t>Pearisburg</t>
  </si>
  <si>
    <t>24134</t>
  </si>
  <si>
    <t>Giles</t>
  </si>
  <si>
    <t>Pearisburg Police Department</t>
  </si>
  <si>
    <t>Saunders pointed a gun at an officer, prompting the officer to shoot and kill Saunders.</t>
  </si>
  <si>
    <t>Danny Christian Molina</t>
  </si>
  <si>
    <t>11600 Stagg St</t>
  </si>
  <si>
    <t>91605</t>
  </si>
  <si>
    <t>Police responding to an assault call found Molina throwing rocks at people and police vehicles, and pulled out two kitchen knives when officers approached him. Officers shot Molina after he approached them with the knives.</t>
  </si>
  <si>
    <t>http://ktla.com/2014/05/18/knife-wielding-man-shot-killed-by-officers-outside-north-hollywood-home-lapd/#axzz325Le3XDW</t>
  </si>
  <si>
    <t>Charles Jameson</t>
  </si>
  <si>
    <t>http://media.graytvinc.com/images/jameson.jpg</t>
  </si>
  <si>
    <t>2530 Easlan Drive</t>
  </si>
  <si>
    <t>Plover</t>
  </si>
  <si>
    <t>54467</t>
  </si>
  <si>
    <t>Jameson was wearing a mask and intruded in an acquaintance's home. Deputies arrived and shot and killed Jameson after a short fight.</t>
  </si>
  <si>
    <t>http://www.wsaw.com/home/headlines/Large-Law-Enforcement-Presence-in-Plover--259665791.html</t>
  </si>
  <si>
    <t>Charles D. Broadway Jr.</t>
  </si>
  <si>
    <t>http://images.expressionstributes.com/f76fd9e309/200/9bc8f010933ec508.png</t>
  </si>
  <si>
    <t>1700 N 73rd Terrace</t>
  </si>
  <si>
    <t>66112</t>
  </si>
  <si>
    <t>Police engaged in a standoff with Broadway, and briefly exchanged gunfire with the 24-year-old before entering his apartment and finding him dead.</t>
  </si>
  <si>
    <t>Scott Kato</t>
  </si>
  <si>
    <t>http://assets.nydailynews.com/polopoly_fs/1.1795866!/img/httpImage/image.jpg_gen/derivatives/article_970/fdr17n-12-web.jpg</t>
  </si>
  <si>
    <t>FDR Dr and E 96th St</t>
  </si>
  <si>
    <t>10021</t>
  </si>
  <si>
    <t>Under the FDR Drive at the start of a rainy rush hour, 45-year-old Scott Kato died in a hail of police bullets after police say he pulled a gun on them.</t>
  </si>
  <si>
    <t>Barnesville</t>
  </si>
  <si>
    <t>Bruce Robinson</t>
  </si>
  <si>
    <t>6826 Veterans Memorial Blvd</t>
  </si>
  <si>
    <t>Metairie</t>
  </si>
  <si>
    <t>70003</t>
  </si>
  <si>
    <t>After Robinson's brother called police to report that his brother was acting suicidal, deputies arrived to find Robinson in a wheelchair holding a shotgun. The 47-year-old was fatally shot after refusing to drop the weapon and raising it at deputies.</t>
  </si>
  <si>
    <t>http://www.nola.com/crime/index.ssf/2014/05/jpso_deputies_shoot_kill_wheel.html</t>
  </si>
  <si>
    <t>Joseph Lambert Livers III</t>
  </si>
  <si>
    <t>http://ak-cache.legacy.net/legacy/images/Cobrands/lebanonenterprise/Photos/2c59d909-988d-4e22-b7ee-b88137e0e593.jpg</t>
  </si>
  <si>
    <t>8000 St Joe Rd</t>
  </si>
  <si>
    <t>Campbellsville</t>
  </si>
  <si>
    <t>42718</t>
  </si>
  <si>
    <t>Officers responding to a call of a suicidal man found Livers in front of his home holding a gun, and fatally shot him after he pulled out the weapon.</t>
  </si>
  <si>
    <t>http://www.lex18.com/news/one-man-dead-after-officer-involved-shooting-in-marion-county</t>
  </si>
  <si>
    <t>Justin Sean Tucker</t>
  </si>
  <si>
    <t>http://media2.wptv.com/photo/2014/05/17/WPTV-Justin-Sean-Tucker_1400340173336_4816484_ver1.0_640_480.jpg</t>
  </si>
  <si>
    <t>2917 Pine Cone Circle</t>
  </si>
  <si>
    <t>Clearwater</t>
  </si>
  <si>
    <t>33760</t>
  </si>
  <si>
    <t>Pinellas County Sheriff's Office</t>
  </si>
  <si>
    <t>Tucker stabbed his mother to death. Deputies arrived after Tucker phoned 911. Tucker stormed down the stairs with a 'dark object'. Deputies ordered him to stop, he refused and deputies shot and killed Tucker.</t>
  </si>
  <si>
    <t>http://www.tampabay.com/news/publicsafety/crime/deputy-involved-shooting-reported-in-clearwater/2180127</t>
  </si>
  <si>
    <t>Valeri Hawkins</t>
  </si>
  <si>
    <t>https://scontent-sjc.xx.fbcdn.net/hphotos-xfp1/t31.0-8/459067_502756643079869_1299499954_o.jpg</t>
  </si>
  <si>
    <t>2700 Pacheco St</t>
  </si>
  <si>
    <t>94519</t>
  </si>
  <si>
    <t>A suicidal woman pointed a gun at officers. Officers then shot and killed her.</t>
  </si>
  <si>
    <t>Nicolas Foster</t>
  </si>
  <si>
    <t>Cable Avenue</t>
  </si>
  <si>
    <t>01952</t>
  </si>
  <si>
    <t>Salisbury Police Department</t>
  </si>
  <si>
    <t>Foster stabbed his wife and friend. Police then entered the conflict and would refuse to drop his weapon, resulting in him getting shot and killed by officers.</t>
  </si>
  <si>
    <t>http://www.myfoxboston.com/story/25536337/suspect-killed-after-salisbury-machete-attack-identified</t>
  </si>
  <si>
    <t>Patrick Gerome Tillery</t>
  </si>
  <si>
    <t>http://www.baynews9.com/content/dam/news/images/2014/05/3/Tillery-515.jpg</t>
  </si>
  <si>
    <t>7806 Yucca Drive</t>
  </si>
  <si>
    <t>New Port Richey</t>
  </si>
  <si>
    <t>34653</t>
  </si>
  <si>
    <t>Tillery set a car on fire at a dealership. Deputies went to Tillery's home. Tillery's wife let deputies inside, at the end of the hallway. Tillery had a weapon pointed at the deputies. The deputies shot and killed Tillery.</t>
  </si>
  <si>
    <t>http://www.tampabay.com/news/publicsafety/crime/new-port-richey-man-dead-after-shootout-with-deputies/2179872</t>
  </si>
  <si>
    <t>Joshua Powell</t>
  </si>
  <si>
    <t>http://mediaassets.timesrecordnews.com/photo/2014/06/19/Josh_Powell_6406127_ver1.0_640_480.jpg</t>
  </si>
  <si>
    <t>2000 Gloria Ln</t>
  </si>
  <si>
    <t>76309</t>
  </si>
  <si>
    <t>Powell reportedly had a weapon. An officer shot and killed him after Powell refused to drop the weapon.</t>
  </si>
  <si>
    <t>http://www.timesrecordnews.com/news/wfpd_shooting</t>
  </si>
  <si>
    <t>5901 Selinsky Road</t>
  </si>
  <si>
    <t>David James Barclay</t>
  </si>
  <si>
    <t>http://www.baynews9.com/content/dam/news/images/2014/05/3/Barclay-514.jpg</t>
  </si>
  <si>
    <t>6500 North Clayton Avenue</t>
  </si>
  <si>
    <t>Dunelion</t>
  </si>
  <si>
    <t>34434</t>
  </si>
  <si>
    <t>Barclay was estranged from his wife and their 3-year-old son. He barged his way into her house with a handgun. A visiting friend escaped and called 911. When police arrived, with a full SWAT team, Barclay refused to drop his weapon and instead shot at them. Police returned fire, killing Barclay.</t>
  </si>
  <si>
    <t>http://www.baynews9.com/content/news/baynews9/news/article.html/content/news/articles/bn9/2014/5/14/four_citrus_deputies.html</t>
  </si>
  <si>
    <t>Tracey Liniger</t>
  </si>
  <si>
    <t>http://www.gannett-cdn.com/-mm-/e75c163825adbbaa1e9c89bffd8a14946d28d626/c=0-98-614-560&amp;r=x513&amp;c=680x510/local/-/media/Springfield/Springfield/2014/05/30//1401465099001-cropDaughter.jpg</t>
  </si>
  <si>
    <t>2745 South Maple Leaf Lane</t>
  </si>
  <si>
    <t>Springfield Police Department, Greene County Sheriff's Office</t>
  </si>
  <si>
    <t>Liniger was the office manager at a storage facility. On the day of the incident, she stopped two customers leaving the storage facility at the gate, behaving very erratically. When one of them called 911, she retrieved a weapon and shot out their tire. Police arrived and tried to negotiate with Liniger, but when she raised her weapon, they open fired, killing her. Liniger battled severe depression according to her daughter.</t>
  </si>
  <si>
    <t>https://www.scribd.com/doc/236037185/Officer-Involved-Shooting-GCSO-and-SPD-May-2014-Press-Release</t>
  </si>
  <si>
    <t>James Renee White Jr.</t>
  </si>
  <si>
    <t>http://tribktla.files.wordpress.com/2014/05/james-white-dmv-citywalk-scene.jpg?w=300&amp;h=163</t>
  </si>
  <si>
    <t>100 Universal City Plaza</t>
  </si>
  <si>
    <t>Universal City</t>
  </si>
  <si>
    <t>91608</t>
  </si>
  <si>
    <t>White allegedly had a gun in a large group. An officer saw that he had a gun and shot and killed him.</t>
  </si>
  <si>
    <t>http://ktla.com/2014/05/12/officer-involved-shooting-occurs-at-universial-city-walk/#axzz31VD6LsuK</t>
  </si>
  <si>
    <t>Tommy Jackson</t>
  </si>
  <si>
    <t>http://media.graytvinc.com/images/466*350/tommy+jackson.jpg</t>
  </si>
  <si>
    <t>500 W Carolina St</t>
  </si>
  <si>
    <t>32301</t>
  </si>
  <si>
    <t>After allegedly committing robbery, Jackson and Arthur James, 40, fled by car. Chased by police, they crashed into a tree and then ran on foot with police in pursuit. Jackson allegedly shot at Officers Doug Clark, Steven Britt, Derek Kidd, Ray Garcia, Brian Perry and Matthew Wagner, who then shot him 5-7 times, according to witnesses. Jackson died in the hospital later that day. James was shot in the face at a separate location and arrested.</t>
  </si>
  <si>
    <t>http://www.tallahassee.com/story/news/breaking/2014/05/12/tpd-responding-to-crime-scene-at-call-st-and-copeland-st/9002181/</t>
  </si>
  <si>
    <t>Michael Clayton McNeil</t>
  </si>
  <si>
    <t>http://www.dothanfirst.com/media/lib/204/3/8/4/384cdad9-cce7-4af1-ad62-8c3d3fa1ee90/Story.jpg</t>
  </si>
  <si>
    <t>Whitaker Road</t>
  </si>
  <si>
    <t>Ashford</t>
  </si>
  <si>
    <t>36312</t>
  </si>
  <si>
    <t>McNeil was wanted on domestic violence charges. Officers confronted him at his home. McNeil pointed a loaded gun at officers, prompting the officers to shoot and kill McNeil.</t>
  </si>
  <si>
    <t>http://www.dothaneagle.com/news/crime_court/article_aa8f7f96-d9ff-11e3-89ee-001a4bcf6878.html</t>
  </si>
  <si>
    <t>Carbon</t>
  </si>
  <si>
    <t>Tommy J. Yancy Jr.</t>
  </si>
  <si>
    <t>http://b71b8ec5eac944ae1557-26ee6ff324193e600e1b1c904635a64b.r31.cf3.rackcdn.com/3185-Veteran-Tommy-Yancy-Allegedly-Beaten-to-Death-By.jpg</t>
  </si>
  <si>
    <t>Imperial Avenue and East 15th Street</t>
  </si>
  <si>
    <t>Imperial</t>
  </si>
  <si>
    <t>92251</t>
  </si>
  <si>
    <t>Missouri State Highway Patrol</t>
  </si>
  <si>
    <t>Gary Smith</t>
  </si>
  <si>
    <t>5400 W Madison St</t>
  </si>
  <si>
    <t>60644</t>
  </si>
  <si>
    <t>Smith raised his gun at an officer. The officer then shot and killed Smith</t>
  </si>
  <si>
    <t>Victor Luis Arenas</t>
  </si>
  <si>
    <t>http://media.azfamily.com/images/600*338/5-11-14-ELOY-OIS-3.jpg</t>
  </si>
  <si>
    <t>200 West Sixth Street</t>
  </si>
  <si>
    <t>Eloy</t>
  </si>
  <si>
    <t>85131</t>
  </si>
  <si>
    <t>Arenas heard noises outside his home around 4 a.m. He retrieved a gun and inspected the situation. He asked who was there and fired his weapon. It was in fact an officer who returned fire, killing Arenas.</t>
  </si>
  <si>
    <t>http://www.azfamily.com/news/Authorities-investigate-fatal-shooting-in-Pinal-County-258830311.html</t>
  </si>
  <si>
    <t>Ron Hillstrom</t>
  </si>
  <si>
    <t>http://libertycrier.com/wp-content/uploads/2014/05/Ron-Hillstrom.jpg</t>
  </si>
  <si>
    <t>4400 76th Avenue West</t>
  </si>
  <si>
    <t>University Place</t>
  </si>
  <si>
    <t>98466</t>
  </si>
  <si>
    <t>Pierce County Police Department</t>
  </si>
  <si>
    <t>Police called about a psychotic break. They arrive and tasered him 4 times, then beat him to death.</t>
  </si>
  <si>
    <t>Joseph Givens</t>
  </si>
  <si>
    <t>http://ak-cache.legacy.net/legacy/images/Cobrands/Dispatch/Photos/0005888621-01-1_20140514.jpg</t>
  </si>
  <si>
    <t>1526 Jonathan Drive</t>
  </si>
  <si>
    <t>Police say they shot the man “multiple times” after he charged them with a knife following an early-morning rampage through a quiet neighborhood in which the man was “yelling and banging on doors, attempting to enter multiple homes.”</t>
  </si>
  <si>
    <t>Jonathan Lee Asuzu</t>
  </si>
  <si>
    <t>http://ak-cache.legacy.net/legacy/images/Cobrands/birmingham/Photos/photo_20140515_AL0043944_1_jonathan_asuzu_20140515.jpg</t>
  </si>
  <si>
    <t>400 2nd Ave N</t>
  </si>
  <si>
    <t>35204</t>
  </si>
  <si>
    <t>Asuzu, a security guard at a strip club, got into an altercation with unarmed Brandon Cephus, another security guard. An off duty officer, also working security, attempted to break up the fight with pepper spray. Asuzu shot and injured Cephus. The officer then shot Asuzu, killing him at the scene.</t>
  </si>
  <si>
    <t>http://blog.al.com/spotnews/2014/05/off-duty_birmingham_policeman.html</t>
  </si>
  <si>
    <t>Jose Raul Herrera</t>
  </si>
  <si>
    <t>https://cbsla.files.wordpress.com/2014/05/ois.jpg?w=625</t>
  </si>
  <si>
    <t>900 North Placer Street</t>
  </si>
  <si>
    <t>Medical distress call prompted officers to arrive. Herrera appeared to be intoxicated. One officer shot and killed Herrera, it is unknown if there was a threat towards said officer.</t>
  </si>
  <si>
    <t>Shane Gumm</t>
  </si>
  <si>
    <t>105 Miller Ave</t>
  </si>
  <si>
    <t>Hinton</t>
  </si>
  <si>
    <t>25951</t>
  </si>
  <si>
    <t>Summers</t>
  </si>
  <si>
    <t>Gumm broke into his ex-wife's home and stabbed her and her boyfriend. Police arrived on scene and Gumm acted aggressive with his knife, leading police to shoot and kill him.</t>
  </si>
  <si>
    <t>http://www.wsaz.com/home/headlines/One-Man-Dead-in-Officer-Involved-Shooting-258758951.html</t>
  </si>
  <si>
    <t>Neil Wayne Saylor</t>
  </si>
  <si>
    <t>http://t1.gstatic.com/images?q=tbn:ANd9GcR0i_3IWEB28DV4VxyLuY_xJQOVzzlturVLN6o2gvDf8dk6GhY47IY3fH8</t>
  </si>
  <si>
    <t>1439 E Main St</t>
  </si>
  <si>
    <t>Saylor robbed a dollar store. Police told him to drop his weapon. He allegedly acted aggressive, prompting police to shoot him twice, killing him.</t>
  </si>
  <si>
    <t>http://www.lex18.com/news/investigation-continues-into-ksp-involved-shooting-of-harlan-county-robber</t>
  </si>
  <si>
    <t>Devante Kyshon Hinds</t>
  </si>
  <si>
    <t>http://ak-cache.legacy.net/legacy/images/cobrands/birmingham/Photos/photo_20140515_AL0043951_1_img046_20140515.jpg?v=0x000000002d48cd5a</t>
  </si>
  <si>
    <t>9248 Parkway East</t>
  </si>
  <si>
    <t>After a drug deal Hinds allegedly tried to run over an officer with his car - he was subsequently shot and killed.</t>
  </si>
  <si>
    <t>http://www.wset.com/story/25484112/jefferson-county-sheriffs-office-release-identity-of-birmingham-man-shot-and-killed-by-deputy</t>
  </si>
  <si>
    <t>Osman Hernandez</t>
  </si>
  <si>
    <t>http://griefandlossattorneys.com/wp-content/uploads/2014/10/Osman-Hernandez-II.jpg</t>
  </si>
  <si>
    <t>950 E Alisal St</t>
  </si>
  <si>
    <t>Hernandez drunk when he was chasing people with a knife. The police say as he was being arrested he grabbed for the knife again and that is when he was shot. The family of Hernandez, however, argued he was lying on the ground with no knife when he was shot.</t>
  </si>
  <si>
    <t>http://www.ksbw.com/news/central-california/salinas/family-of-man-shot-by-salinas-police-they-killed-osman-like-a-dog/26001676</t>
  </si>
  <si>
    <t>Jacklynn Rashaun Ford</t>
  </si>
  <si>
    <t>http://www.gannett-cdn.com/-mm-/f42005eae2355e1ab67eab038f7d988cdc1673f0/c=0-129-480-490&amp;r=x404&amp;c=534x401/local/-/media/Salem/Salem/2014/05/10//1399753973000-MugshotDisplay.jpeg</t>
  </si>
  <si>
    <t>Watson Ave and NE Alameda St.</t>
  </si>
  <si>
    <t>97301</t>
  </si>
  <si>
    <t>Friday's incident began about 10:07 p.m. when Salem Police Officer Trevor Morrison made a traffic stop at Watson Avenue and Alameda Street NE, one block south of Eastgate Basin Park in northeast Salem. A cover officer was requested, a foot pursuit ensued and shortly thereafter shots were fired and the suspect was wounded, said Lt. Dave Okada, a spokesman for the Salem Police Department. Officers gave first aid to the woman until medics arrived. She was pronounced dead at Salem Hospital. Morrison was with police dog Baco at the time, and neither were injured. As officers gave aid and secured the scene, they found a gun near the suspect, Okada said in a press release.</t>
  </si>
  <si>
    <t>Howard Wallace Bowe Jr.</t>
  </si>
  <si>
    <t>http://funeralinnovations.com/img/obits/large/125043_qnkvu01r5hh440mm0.JPG</t>
  </si>
  <si>
    <t>704 NW 4th St.</t>
  </si>
  <si>
    <t>Hallandale Beach</t>
  </si>
  <si>
    <t>33009</t>
  </si>
  <si>
    <t>Hallandale Beach Police Department</t>
  </si>
  <si>
    <t>A confrontation ensued while police were serving a narcotics search warrant. A police officer became scared and discharged his weapon, hitting Bowe twice. Bowe died eleven days later.</t>
  </si>
  <si>
    <t>http://articles.sun-sentinel.com/2014-05-21/news/fl-hallandale-swat-shooting-death-20140521_1_howard-bowe-swat-team-search-warrant</t>
  </si>
  <si>
    <t>Arcenio Lujan</t>
  </si>
  <si>
    <t>Castle Drive</t>
  </si>
  <si>
    <t>87701</t>
  </si>
  <si>
    <t>San Miguel</t>
  </si>
  <si>
    <t>Police came to Lujan's home because he was reported suicidal. They spoke to him for a half-hour before he leveled the rifle at them and began advancing.</t>
  </si>
  <si>
    <t>http://www.santafenewmexican.com/news/local_news/state-police-officers-shoot-kill-las-vegas-n-m-man/article_6b3a8d07-012b-5435-bbc9-57cc4619fc7f.html</t>
  </si>
  <si>
    <t>Thomas Ornelas</t>
  </si>
  <si>
    <t>http://www.fatalencounters.org/wp-content/uploads/2013/10/Thomas.Ornelas.jpg</t>
  </si>
  <si>
    <t>Interstate 70</t>
  </si>
  <si>
    <t>Dotsero</t>
  </si>
  <si>
    <t>81637</t>
  </si>
  <si>
    <t>Eagle</t>
  </si>
  <si>
    <t>Colorado State Patrol</t>
  </si>
  <si>
    <t>Ornelas was a convicted violent felon, out of prison but awaiting trial on charges stemming from a drive-by shooting. He was pulled over on the freeway when the state patrol stopped to offer assistance. As the troopers approached the car on on foot, Ornelas pulled a gun and shot one trooper in the leg. The trooper's partner returned fire, killing Ornelas. The injured trooper survived.</t>
  </si>
  <si>
    <t>http://blogs.westword.com/latestword/2014/05/thomas_ornelas_killed_eugene_hofacker_trooper_shot.php</t>
  </si>
  <si>
    <t>Jose Rodriquez-Moncada</t>
  </si>
  <si>
    <t>275 N. 16th Street</t>
  </si>
  <si>
    <t>Payette</t>
  </si>
  <si>
    <t>83661</t>
  </si>
  <si>
    <t>Payette County Sheriff's Department</t>
  </si>
  <si>
    <t>Officer approached because the vehicle appeared similar to one that fired shots near a school. Rodriquez-Moncada opened fire as soon as the officer told him to get out of the car, and the two exchanged more than a dozen shots, police say. The officer was hit and Rodriquez-Moncada was shot and killed.</t>
  </si>
  <si>
    <t>http://www.ktvb.com/news/crime/Man-who-exchanged-bullets-with-deputy-in-Payette-dies-of-his-injuries-258650931.html</t>
  </si>
  <si>
    <t>James "Jim" Palmer</t>
  </si>
  <si>
    <t>6095 California St</t>
  </si>
  <si>
    <t>Brooksville</t>
  </si>
  <si>
    <t>Palmer's landlord wanted him to leave. Palmer decided to burn the place down. Deputies responded to the fire. Palmer was aggressive and was ultimately shot and killed.</t>
  </si>
  <si>
    <t>http://www.tampabay.com/news/publicsafety/hernando-deputies-shoot-man-threatening-to-torch-his-home/2178842</t>
  </si>
  <si>
    <t>Steven Travis Goble</t>
  </si>
  <si>
    <t>http://media.mlive.com/grpress/news_impact/photo/goblejpg-d9ec06a5df6aa46b.jpg</t>
  </si>
  <si>
    <t>Hubbell Rd and Hoppough Rd</t>
  </si>
  <si>
    <t>Ionia</t>
  </si>
  <si>
    <t>Ionia County Sheriff's Office</t>
  </si>
  <si>
    <t>Following a police chase, an armed Goble allegedly shot at officers, who then returned fire.</t>
  </si>
  <si>
    <t>Dominique Franklin Jr.</t>
  </si>
  <si>
    <t>http://www.trbimg.com/img-539224aa/turbine/chi-father-remembers-son-who-died-after-taser--001/600/600x338</t>
  </si>
  <si>
    <t>1601 N Wells St</t>
  </si>
  <si>
    <t>60614</t>
  </si>
  <si>
    <t>Police pursuing Franklin after the 23-year-old robbed a store tasered him twice, causing him to fall headfirst into a streetlight. After Franklin died several weeks later, his father sued the police.</t>
  </si>
  <si>
    <t>http://www.nbcchicago.com/news/local/chicago-old-town-1600-north-wells-taser--260090471.html</t>
  </si>
  <si>
    <t>George V. King</t>
  </si>
  <si>
    <t>https://www.baltimorebrew.com/content/uploads/2014/10/king.jpg</t>
  </si>
  <si>
    <t>5601 Loch Raven Blvd</t>
  </si>
  <si>
    <t>21239</t>
  </si>
  <si>
    <t>King spent the night in the hospital for a reaction to dental work medication. After an unknown procedure, and possibly taking Keppra the next day, King allegedly became "agitated and combative" about not being immediately released. Police were called and told King was "experiencing an emotional crisis" and being combative. Two officers arrived and tasered King once while 5-10 hospital workers tried to secure him to a gurney. He resisted, was drive-stunned four times, and was given a sedative. He went into a coma and died 7-8 days later. His mother Georgette's lawyer said that King suffered cardiac arrest. After the event, Baltimore Police Department restricted their responses to hospital emergencies. In May 2014 Georgette King was planning to sue them for excessive force.</t>
  </si>
  <si>
    <t>http://articles.baltimoresun.com/2014-05-15/news/bs-md-ci-police-tasing-20140515_1_taser-shock-two-officers-teen</t>
  </si>
  <si>
    <t>Arnesto Ramos</t>
  </si>
  <si>
    <t>http://wac.450f.edgecastcdn.net/80450F/kfyo.com/files/2014/05/Arnesto-Ramos-Featured.jpg</t>
  </si>
  <si>
    <t>2000 63rd Street</t>
  </si>
  <si>
    <t>79412</t>
  </si>
  <si>
    <t>Police responded to a domestic violence call and found Ramos barricaded in his home with two knives. Police negotiated for an hour but eventually Ramos advanced toward police with his knives. Police shot Ramos with bean bag rounds which did not stop his advance. Police open fired with lethal rounds, killing Ramos. Ramos had previously threatened to commit suicide.</t>
  </si>
  <si>
    <t>http://kfyo.com/lubbock-police-release-update-on-arnesto-ramos-shooting/</t>
  </si>
  <si>
    <t>Perlie Golden</t>
  </si>
  <si>
    <t>http://i1.ytimg.com/vi/E1xbxg8PgtE/0.jpg</t>
  </si>
  <si>
    <t>Hearne</t>
  </si>
  <si>
    <t>77859</t>
  </si>
  <si>
    <t>Robertson</t>
  </si>
  <si>
    <t>Hearne Police Department</t>
  </si>
  <si>
    <t>A local officer responding to a 911 call found the 93-year-old Golden holding a handgun. Golden fired twice into the ground; the officer commanded her three times to drop the weapon, which she did not do. He shot three times and Golden was struck twice, fatally.</t>
  </si>
  <si>
    <t>Cheyne Russell Pinkney</t>
  </si>
  <si>
    <t>http://www.news4jax.com/image/view/-/25855234/medRes/1/-/lxaqp2/-/Cheyne-Pinkey.jpg</t>
  </si>
  <si>
    <t>927 Beville Rd</t>
  </si>
  <si>
    <t>South Daytona</t>
  </si>
  <si>
    <t>32119</t>
  </si>
  <si>
    <t>Pinkney allegedly robbed a tanning salon with an Airsoft pistol and raped an employee. It is unclear how the alarm was set off. When Pinkney spotted officers at the front door, he ran out of the back door into a parking lot and, as seen on raw footage, turned when he apparently heard South Daytona police Officer Michael Charla and Daytona Beach Police officer Tara Cantrell behind him at the door shout something. "Several shots were fired." He died shortly afterward at Halifax Hospital.</t>
  </si>
  <si>
    <t>http://www.wesh.com/news/police-shoot-suspect-in-south-daytona/25840006</t>
  </si>
  <si>
    <t>Christopher George Louk</t>
  </si>
  <si>
    <t>http://www.krcrtv.com/image/view/-/25854926/highRes/1/-/maxw/240/-/kpmv81/-/man-bag-robber-1-jpg.jpg</t>
  </si>
  <si>
    <t>1199 Grand Ave</t>
  </si>
  <si>
    <t>95961</t>
  </si>
  <si>
    <t>A deputy spotted Louk, who was a suspect in several bank robberies, in a parking lot. Three law enforcement vehicles, one possibly Marysville Police Department, chased Louk's SUV at high speeds. Witnesses to the chase claim bullets were being fired and that they heard a crash as Louk's vehicle became stuck in a railroad track. Investigators claim that at that poing Louk refused to surrender, and that gunfire was exchanged. Two Yuba County deputies shot at Louk's truck, killing him. Investigators also claim the fatal injury was "possibly self-inflicted."</t>
  </si>
  <si>
    <t>http://www.actionnewsnow.com/content/localnews/story/Suspected-bank-robber-dead-after-high-speed-chase/kcBc21xMR0KeHw_7Cu2aNg.cspx</t>
  </si>
  <si>
    <t>Justin Griffin</t>
  </si>
  <si>
    <t>http://www.gannett-cdn.com/-mm-/856ab7ca2fe1e4186defbcde33f4855d0df49320/c=0-8-480-370&amp;r=x404&amp;c=534x401/local/-/media/JacksonMS/JacksonMS/2014/05/06//1399407600000-Justin-Griffin.jpg</t>
  </si>
  <si>
    <t>2240 Westbrook Road</t>
  </si>
  <si>
    <t>39211</t>
  </si>
  <si>
    <t>Hinds</t>
  </si>
  <si>
    <t>Griffin, a basketball coach, allegedly argued with game referee and off-duty Hinds County deputy Joshua Adams. Griffin fought with Adams and a second unnamed off-duty uniformed deputy, who was working security, outside the facility. Parking lot surveillance footage shows blows exchanged and Adams hitting Griffin on the chin. Griffin died the next day. Adams was indicted on manslaughter 07/14.</t>
  </si>
  <si>
    <t>http://www.msnewsnow.com/story/25435949/coach-dies-after-altercation-with-hinds-co-deputies?clienttype=generic&amp;mobilecgbypass&amp;utm_content=buffer8b414&amp;utm_medium=social&amp;utm_source=twitter.com&amp;utm_campaign=buffer</t>
  </si>
  <si>
    <t>6406 Belarbor St</t>
  </si>
  <si>
    <t>77087</t>
  </si>
  <si>
    <t>The male victim was shot after attempting to flee from police by jumping over a wooden fence, and then turning and pointing a gun at the officer. The man's name was not released.</t>
  </si>
  <si>
    <t>http://www.click2houston.com/news/hpd-one-injured-in-officerinvolved-shooting-in-se-houston/25817776</t>
  </si>
  <si>
    <t>Jonathan Swindle</t>
  </si>
  <si>
    <t>http://kytx.images.worldnow.com/images/3654258_G.jpg</t>
  </si>
  <si>
    <t>TX 87 and FM139</t>
  </si>
  <si>
    <t>Center</t>
  </si>
  <si>
    <t>75935</t>
  </si>
  <si>
    <t>DPS and police put spike strips on the highway to stop Swindle, who was driving an allegedly stolen truck. Swindle swerved to avoid the strips and hit Trooper Zach Mills, breaking his leg. Witness Kateria Clifton states that she then heard the truck head straight into a pasture, then "chaos as all the law enforcement behind him followed". A reporter also states that a "Center police officer wrecked his car in the confusion". Trooper Dustin Ramos and Officer Dwayne Gordon fired 19-21 shots into the truck. Swindle, who the police claim was naked, was struck five times.</t>
  </si>
  <si>
    <t>http://www.kltv.com/story/25426579/e-texas-trooper-involved-shooting-under-investigation</t>
  </si>
  <si>
    <t>Oscar Herrera</t>
  </si>
  <si>
    <t>http://viafoura.s3.amazonaws.com/www.sfgate.com/viafoura_9ssxs92jf5kwc0c8w4go4gwg8sc80o8_l.jpg</t>
  </si>
  <si>
    <t>1700 Dublin Meadows Street</t>
  </si>
  <si>
    <t>94568</t>
  </si>
  <si>
    <t>Dublin Police Department</t>
  </si>
  <si>
    <t>Police responded to a call that Herrera was having a mental breakdown and may have assaulted his mother. He opened the door holding a metal baseball bat. An officer pulled his gun and Herrera allegedly hit his hand. He then allegedly raised the bat over his head and the officer fired four times at him, killing him. Upstairs witness Shari Vernor says she heard a woman shout "Don't shoot him!" and then gunfire. In a similar incident in nearby Livermore the previous day, Herrera was tasered and arrested by officers after fighting with a friend and threatening officers with his bat.</t>
  </si>
  <si>
    <t>http://www.mercurynews.com/ci_25697735/man-fatally-shot-by-police-responding-domestic-dispute</t>
  </si>
  <si>
    <t>Steven Goble</t>
  </si>
  <si>
    <t>http://media.mlive.com/grpress/news_impact/photo/stevegoble-2jpg-c9e76ab9461fc70f.jpg</t>
  </si>
  <si>
    <t>Hubble Road &amp; Hoppough Road</t>
  </si>
  <si>
    <t>48846</t>
  </si>
  <si>
    <t>Ionia County, Michigan State Police</t>
  </si>
  <si>
    <t>Led police on a high-speed chase after assaulting his wife. He called his employer and told them he was going to commit suicide by cop. He stopped his car at which officers gave him verbal commands that Mr. Goble ignored as he walked toward the police yelling "Shoot Me" while holding a shotgun. Goble fired a shot at police and they returned fire. Even though Goble was shot he continued hold the shotgun and pointed at officers, who at that point shot and killed Goble.</t>
  </si>
  <si>
    <t>http://www.mlive.com/news/grand-rapids/index.ssf/2014/06/prosecutor_ionia_man_committed.html</t>
  </si>
  <si>
    <t>71101</t>
  </si>
  <si>
    <t>Armand Martin</t>
  </si>
  <si>
    <t>https://lintvkrqe.files.wordpress.com/2014/05/armand-martin.jpg</t>
  </si>
  <si>
    <t>10500 Coyote Canyon NW</t>
  </si>
  <si>
    <t>87114</t>
  </si>
  <si>
    <t>http://www.abqjournal.com/apd-under-fire-incident-summaries</t>
  </si>
  <si>
    <t>Londrell E. Johnson</t>
  </si>
  <si>
    <t>http://bloximages.chicago2.vip.townnews.com/host.madison.com/content/tncms/assets/v3/editorial/e/5a/e5ae19d0-f857-5872-84d1-1af38d67e742/53e6d10ac8032.preview-620.jpg</t>
  </si>
  <si>
    <t>2617 E. Washington Ave</t>
  </si>
  <si>
    <t>Johnson threatened and then killed his neighbor, her daughter, and wounded her son. He was armed with the knife when police arrived, after the son left the apartment and called for help.</t>
  </si>
  <si>
    <t>http://host.madison.com/news/local/crime_and_courts/madison-officers-cleared-in-internal-investigation-of-londrell-johnson-shooting/article_0d4b7356-fb1f-525b-b074-50c5e9ab6ca1.html</t>
  </si>
  <si>
    <t>Eddie Macon Jr.</t>
  </si>
  <si>
    <t>http://www.elkharttruth.com/image/2014/05/03/800x800_b0/Eddie-Macon-Jr-39-of-Elkhart.png</t>
  </si>
  <si>
    <t>1015 S 11th St</t>
  </si>
  <si>
    <t>Niles</t>
  </si>
  <si>
    <t>49120</t>
  </si>
  <si>
    <t>Berrien</t>
  </si>
  <si>
    <t>Niles Police Department</t>
  </si>
  <si>
    <t>Macon was shot after an attempted armed robbery of a fast food restaurant in Niles, and was fatally shot while attempting to flee from police. The county prosecutor ruled the shooting justified.</t>
  </si>
  <si>
    <t>http://www.southbendtribune.com/news/shooting-of-niles-robber-justified-prosecutor-rules/article_ddde90a0-f569-11e3-a487-0017a43b2370.html</t>
  </si>
  <si>
    <t>Brandon Daniel Peters</t>
  </si>
  <si>
    <t>8800 Doe Ln</t>
  </si>
  <si>
    <t>32219</t>
  </si>
  <si>
    <t>Peters was shot by deputies after he lunged and severely stabbed a deputy in the arm. Deputies fired rounds from a handgun and rifle, and Peters was taken to a nearby hospital where he later died.</t>
  </si>
  <si>
    <t>http://jacksonville.com/news/2014-05-02/story/third-police-involved-shooting-weeks-man-shot-dead-after-stabbing-jacksonville</t>
  </si>
  <si>
    <t>Dean A. Caccamo</t>
  </si>
  <si>
    <t>Hanna Road</t>
  </si>
  <si>
    <t>Primrose</t>
  </si>
  <si>
    <t>54560</t>
  </si>
  <si>
    <t>The schizophrenic Caccamo severely beat his elderly mother and stepfather in the home they shared. The police arrived and used nonlethal force (stun and pepper), but Caccamo was wearing a bullet proof vest and went toward officers, two of whom were stabbed and left with nonfatal wounds. Officer James Kelley shot and killed Caccamo.</t>
  </si>
  <si>
    <t>http://www.jsonline.com/news/wisconsin/man-in-attack-on-madison-deputies-was-schizophrenic-sheriff-says-b99261529z1-257751901.html</t>
  </si>
  <si>
    <t>Dontre Hamilton</t>
  </si>
  <si>
    <t>https://localtvwiti.files.wordpress.com/2014/06/hamilton-d-phot-dontre-hamilton-photo-1provided-to-news-media.jpg</t>
  </si>
  <si>
    <t>State Street and Water Street</t>
  </si>
  <si>
    <t>53202</t>
  </si>
  <si>
    <t>Mentally ill man (Hamilton) found lying on the ground near Red Arrow park, which is across the street from Milwaukee City Hall. A police officer ordered the man to move. A scuffle ensued. Hamilton allegedly took the officer's baton away and allegedly began to hit him with it. The officer fired approximately 15 shots at Hamilton. Hamilton died at the scene.</t>
  </si>
  <si>
    <t>http://www.jsonline.com/news/crime/family-says-officer-shot-red-arrow-park-victim-15-times-b99315040z1-268006291.html</t>
  </si>
  <si>
    <t>Michael Conley</t>
  </si>
  <si>
    <t>http://www.mentalhealthportland.org/wp-content/uploads/2014/05/Michael-Conley-FB1.jpg</t>
  </si>
  <si>
    <t>4700 Lancaster Drive NE</t>
  </si>
  <si>
    <t>97305</t>
  </si>
  <si>
    <t>A man was shot at least once in the head by a Salem Police officer after threatening the officer with a knife in northeast Salem early Wednesday, April 30. It started when Officer David Baker was dispatched to the Salem Arbor Townhouse Condominiums, in the 4700 block of Lancaster Drive NE, on a report of a domestic disturbance at 7:13 a.m. When Baker arrived, he was confronted by 47-year-old Michael Conley, who was brandishing a knife. According to Salem Police, Conley advanced on Baker with the knife, despite orders to put the knife down. An officer could be heard over the scanner telling dispatchers: "He's coming at me with the knife, telling me to shoot him."</t>
  </si>
  <si>
    <t>http://koin.com/2014/05/19/grand-jury-fatal-shooting-of-salem-man-justified</t>
  </si>
  <si>
    <t>Dion Julius Brown</t>
  </si>
  <si>
    <t>http://bloximages.newyork1.vip.townnews.com/fayobserver.com/content/tncms/assets/v3/editorial/f/2b/f2b182b6-cfc7-11e3-aab1-0017a43b2370/535fe896c82dd.image.jpg</t>
  </si>
  <si>
    <t>311 2nd St</t>
  </si>
  <si>
    <t>Tabor City</t>
  </si>
  <si>
    <t>Columbus County Sheriff's Office</t>
  </si>
  <si>
    <t>Brown was wanted on warrants related to a robbery and murder of a grocery store manager earlier in April, and exchanged gunfire with deputies pursuing him. Brown was shot and killed during the pursuit, and the shooting was later ruled justified.</t>
  </si>
  <si>
    <t>http://www.fayobserver.com/news/crime_courts/article_014252e4-b8d9-5a2d-a7d0-99a24e0d2be4.html</t>
  </si>
  <si>
    <t>Daniel Ibarra</t>
  </si>
  <si>
    <t>117 N. Gage Ave</t>
  </si>
  <si>
    <t>90063</t>
  </si>
  <si>
    <t>Ibarra allegedly shot a woman in the neck during a domestic dispute. When deputies arrived to the "gunshot victm" call, they took her away and Ibarra allegedly hiding, shot at them then confronted them in front of the home. After a 1.5 hour SWAT standoff with Ibarra holding a gun and cellphone, he "wielded the weapon in a threatening manner toward the deputies" and they fired at least three shots, killing him in the driveway. Some initial reports stated he was trying to reach the two children in the home and was shot as he began to move toward the house.</t>
  </si>
  <si>
    <t>http://www.nbclosangeles.com/news/local/Person-Shot-by-Gunman-in-East-LA-257128861.html</t>
  </si>
  <si>
    <t>15000 Heyden St</t>
  </si>
  <si>
    <t>48223</t>
  </si>
  <si>
    <t>The victim allegedly tried to run over a police officer, and was later pursued by police into a house after crashing his vehicle. Officers shot the man after he pulled a gun on officers.</t>
  </si>
  <si>
    <t>http://www.myfoxtwincities.com/story/25383050/neighborhood-crash-ends-police-chase-suspect-shot-dead</t>
  </si>
  <si>
    <t>Herbert Earl Green</t>
  </si>
  <si>
    <t>5345 Palm St</t>
  </si>
  <si>
    <t>Green, a schizophrenic, threatened police with a gun. Police responded and shot and killed Green.</t>
  </si>
  <si>
    <t>http://www.reviewjournal.com/news/las-vegas/drug-problems-mental-illness-plagued-man-killed-metro</t>
  </si>
  <si>
    <t>Jeremy Arnold</t>
  </si>
  <si>
    <t>http://media.spokesman.com/photos/2014/05/01/0501_arnoldmug_t620.jpg?161ad8e426d1312361ed5892fdc121cdf327258d</t>
  </si>
  <si>
    <t>2512 N. Standard St.</t>
  </si>
  <si>
    <t>Arnold had returned to his home at 2512 N. Standard St., driving through a barricade police had set up as they investigated the stabbing death of 46-year-old Tracy Fergerstrom. When he stopped the blue pickup truck and climbed out with a gun in his hand, officers opened fire.</t>
  </si>
  <si>
    <t>http://www.spokesman.com/stories/2014/may/01/police-name-jeremy-arnold-as-homicide-suspect/</t>
  </si>
  <si>
    <t>Amber Noelle Smith</t>
  </si>
  <si>
    <t>http://wlbt.images.worldnow.com/images/25329990_BG2.jpg</t>
  </si>
  <si>
    <t>126 Caledonian Boulevard</t>
  </si>
  <si>
    <t>Brandon</t>
  </si>
  <si>
    <t>39047</t>
  </si>
  <si>
    <t>Hinds County Sheriff'sOffice</t>
  </si>
  <si>
    <t>Off duty Chris Smith got in an argument with his wife Amber Noelle Smith, he then shot and killed her then himself.</t>
  </si>
  <si>
    <t>http://www.dailymail.co.uk/news/article-2612724/Sheriffs-deputy-gunned-wife-domestic-dispute-two-young-daughters-listening-just-steps-away.html</t>
  </si>
  <si>
    <t>Victor Coleman</t>
  </si>
  <si>
    <t>http://d3vs4613l1445x.cloudfront.net/archive/x1372326128/Image/g320258000000000000cb83293ebc8cdfee4bb365f6957975d1b2e83852.jpg</t>
  </si>
  <si>
    <t>1835 Feather River Blvd</t>
  </si>
  <si>
    <t>95965</t>
  </si>
  <si>
    <t>Oroville Police Department</t>
  </si>
  <si>
    <t>Coleman's wife Lauri Coryell reported to 911 that Coleman, staying at a motel, had left a suicidal voicemail. Officers John Nickelson, Marcus Tennigkeit, Jared Cooley and Breck Wright, Sgt. Vanessa Purdy and Lt. Al Byers communicated with him through his door and via phone for several hours. When Beyers decided the suicide was imminent, Wright battered the door open and they went in with guns and a taser. Police state that Coleman was allegedly "wielding a knife and a bottle of Wild Turkey bourbon in a threatening manner, both of which he allegedly swung toward Tennigkeit, apparently connecting with the bottle." Tennigkeit, Nickelson and Cooley fired 18 shots, hitting Coleman 16 times and killing him. As of 10/14, Coryell and other victim families were fighting to have Tennigkeit, Nickelson, Cooley and other Oroville officers fired.</t>
  </si>
  <si>
    <t>http://www.orovillemr.com/news/ci_25657943/man-killed-officer-involved-shooting-at-oroville-motel</t>
  </si>
  <si>
    <t>Tere David King</t>
  </si>
  <si>
    <t>Pambrun Road</t>
  </si>
  <si>
    <t>Athena</t>
  </si>
  <si>
    <t>97813</t>
  </si>
  <si>
    <t>Athena City Police Department</t>
  </si>
  <si>
    <t>Ronald Michael Davis</t>
  </si>
  <si>
    <t>Interstate 75 Athens-Boonesboro exit</t>
  </si>
  <si>
    <t>40324</t>
  </si>
  <si>
    <t>Scott County Sheriff's Department</t>
  </si>
  <si>
    <t>Police say Davis shot a woman multiple times at a Lexington gas station and after a pursuit was himself shot and killed by a Scott County sheriff's deputy.</t>
  </si>
  <si>
    <t>http://www.kentucky.com/2013/04/27/2617868/scott-county-deputy-shoots-man.html</t>
  </si>
  <si>
    <t>Jason Conoscenti</t>
  </si>
  <si>
    <t>http://www.trbimg.com/img-536c3c3a/turbine/la-me-ln-long-beach-police-shooting-suit-20140508</t>
  </si>
  <si>
    <t>14th Place and 1900 E. Ocean Blvd</t>
  </si>
  <si>
    <t>After allegedly shoplifting in Target and brandishing scissors at a security guard, Conoscenti led Sheriffs on a 30-minute slow speed pursuit to a dead end street with stairs leading to the beach. After sitting in the car approx.15 minutes he got out carrying a wooden stick and walked quickly to the stairs. Police shot beanbags and a K-9 chased him as he ran down the stairs. When he reached the bottom, police waiting at the side shot him several times. He died a short time later at a hospital. In June 2014 his family filed a $10m wrongful death suit.</t>
  </si>
  <si>
    <t>http://lbpost.com/news/crime/2000003625-breaking-reports-of-suspect-wounded-in-officer-involved-shooting-at-ocean-and-hermosa#.U154WI1OXZ4</t>
  </si>
  <si>
    <t>Kandice M. Honiker</t>
  </si>
  <si>
    <t>1900 V St</t>
  </si>
  <si>
    <t>95340</t>
  </si>
  <si>
    <t>Merced Police Department</t>
  </si>
  <si>
    <t>Honiker pointed a gun at officers after committing a robbery. She was shot and killed.</t>
  </si>
  <si>
    <t>http://www.mercedsunstar.com/2014/06/11/3693287/merced-police-officers-cleared.html</t>
  </si>
  <si>
    <t>Samantha Ramsey</t>
  </si>
  <si>
    <t>http://wxix.images.worldnow.com/images/25350687_BG2.jpg</t>
  </si>
  <si>
    <t>River Road</t>
  </si>
  <si>
    <t>Boone County</t>
  </si>
  <si>
    <t>41048</t>
  </si>
  <si>
    <t>Boone County Sheriff's Department</t>
  </si>
  <si>
    <t>Deputy Tyler Brockman shot Ramsey four times through her windshield while she was trying to leave a field party in April. He said she tried to run him over.</t>
  </si>
  <si>
    <t>http://www.cincinnati.com/story/news/crime/2014/05/02/ksp-investigate-samantha-ramsey-death/8628801/</t>
  </si>
  <si>
    <t>Tyrone Davis</t>
  </si>
  <si>
    <t>http://media.tumblr.com/c4c02f172a468124c1146d5cb8762b76/tumblr_inline_nh38a5voco1ruklg0.jpg</t>
  </si>
  <si>
    <t>1221 Martin Luther King Junior Road</t>
  </si>
  <si>
    <t>Natchez</t>
  </si>
  <si>
    <t>Adams County Sheriff's Office</t>
  </si>
  <si>
    <t>A Natchez man died Wednesday night shortly after being shocked with a stun gun by an Adams County Sheriff's Office deputy during a traffic stop for reckless driving.</t>
  </si>
  <si>
    <t>Joe Huff</t>
  </si>
  <si>
    <t>http://www.trbimg.com/img-535ae7fb/turbine/chi-joe-huff-jr-20140425/940/530x940</t>
  </si>
  <si>
    <t>8400 S Carpenter St</t>
  </si>
  <si>
    <t>Huff fired a shotgun, harming the off duties officer's wife. The officer then shot and killed Huff</t>
  </si>
  <si>
    <t>http://www.nbcchicago.com/news/local/Neighbor-Dispute-Involving-Chicago-Cop-Leaves-Man-Dead---256758351.html</t>
  </si>
  <si>
    <t>Emmanuel Wooten</t>
  </si>
  <si>
    <t>http://www.gannett-cdn.com/-mm-/9cfe75cebafcc1598b0354a2a5df29e49ad9d04b/c=0-50-800-650&amp;r=x404&amp;c=534x401/local/-/media/JacksonMS/2014/04/25/wooten.jpg</t>
  </si>
  <si>
    <t>8th Avenue and 19th Street</t>
  </si>
  <si>
    <t>Wooten fired at authorities, led them on a small chase, held his cousin and girlfriend hostage, and after a violent standoff Wooten was shot and killed.</t>
  </si>
  <si>
    <t>Salvador Palencia-Cruz</t>
  </si>
  <si>
    <t>3817 E 56th Street</t>
  </si>
  <si>
    <t>90270</t>
  </si>
  <si>
    <t>Two deputies responded to a 911 "attempted suicide" report. Palencia-Cruz was allegedly in a kitchen holding a long metal knife-like object, and threatened them. Deputies say they repeatedly told him to drop it, that he refused and threw it near their heads. He then allegedly grabbed another long metal object that resembled a knife, pointed it at them and advanced toward them. They shot him an unspecified amount of times. Witness Jose Munoz states he heard arguing outside, then "a couple gunshots."</t>
  </si>
  <si>
    <t>http://www.nbclosangeles.com/news/local/Man-Dead-in-Maywood-Deputy-Involved-Shooting-256820521.html</t>
  </si>
  <si>
    <t>Modesto</t>
  </si>
  <si>
    <t>95354</t>
  </si>
  <si>
    <t>Modesto Police Department</t>
  </si>
  <si>
    <t>Ingrid Mayer</t>
  </si>
  <si>
    <t>http://media.cmgdigital.com/shared/lt/lt_cache/thumbnail/188/img/videothumbs/2014/04/24/6b/0b/9e32e40c-cc28-11e3-8a19-00151712edf8.jpg</t>
  </si>
  <si>
    <t>206 Grace Ave</t>
  </si>
  <si>
    <t>Mayer was driving erratically. Deputies stopped her, and Mayer then tried to hit deputies with her car, deputies then shot and killed Mayer.</t>
  </si>
  <si>
    <t>http://www.wsoctv.com/news/news/local/police-1-dead-lancaster-co-crash/nfgtW/</t>
  </si>
  <si>
    <t>Jesus Chacon</t>
  </si>
  <si>
    <t>http://kpho.images.worldnow.com/images/25321962_BG2.jpg</t>
  </si>
  <si>
    <t>1264 N Litchfield Rd</t>
  </si>
  <si>
    <t>Goodyear</t>
  </si>
  <si>
    <t>85395</t>
  </si>
  <si>
    <t>Chacon was shot and killed by deputies after he approached them with a gun drawn. Chacon was a person of interest in an earlier murder, and had a lengthy criminal record.</t>
  </si>
  <si>
    <t>http://www.kpho.com/story/25321962/suspect-wounded-in-deputy-involved-shooting-in-goodyear</t>
  </si>
  <si>
    <t>James Ransom</t>
  </si>
  <si>
    <t>441 Creed Road</t>
  </si>
  <si>
    <t>Ararat</t>
  </si>
  <si>
    <t>27007</t>
  </si>
  <si>
    <t>Surry</t>
  </si>
  <si>
    <t>Surry County Sheriff's Office</t>
  </si>
  <si>
    <t>Ransom was a mentally ill veteran who called the VA to report he was suicidal. The VA called police requesting a welfare check. In the meantime, Ransom also called 911. When a police officer arrived, Ransom was standing in the front yard with an assault rifle. He refused to put the weapon down so the police officer open fired, killing him. Local police were very familiar with Ransom. Incident is being investigated by State Bureau of Investigation.</t>
  </si>
  <si>
    <t>http://www.journalnow.com/news/crime/surry-county-deputy-shoots-kills-man/article_8f55f344-cb0f-11e3-9bdd-001a4bcf6878.html</t>
  </si>
  <si>
    <t>Elijah Waltman</t>
  </si>
  <si>
    <t>471-739 Arkansas 34</t>
  </si>
  <si>
    <t>Walnut Ridge</t>
  </si>
  <si>
    <t>72476</t>
  </si>
  <si>
    <t>Walnut Ridge Police Department</t>
  </si>
  <si>
    <t>Officers were called after Waltman's wife called to report a domestic disturbance. Officers arrived to find Waltman chasing his wife in separate vehicles, and subsequently shot her and himself in the side before police fired and killed him. The killing was ruled justified.</t>
  </si>
  <si>
    <t>http://www.kait8.com/story/25321891/arkansas-state-police-investigating-officer-involved-shooting</t>
  </si>
  <si>
    <t>Frank Charles Johnston</t>
  </si>
  <si>
    <t>1 Net Ave</t>
  </si>
  <si>
    <t>Anniston</t>
  </si>
  <si>
    <t>36201</t>
  </si>
  <si>
    <t>Anniston Police Department</t>
  </si>
  <si>
    <t>Officers were called in on a report of a man pointing a gun at neighbors, and found Johnston outside his home holding a realistic looking airsoft gun. The officers, unable to quickly discern that the gun was fake, shot Johnston after he pointed the weapon at them.</t>
  </si>
  <si>
    <t>http://www.al.com/news/anniston-gadsden/index.ssf/2014/04/anniston_man_dead_after_he_aim.html</t>
  </si>
  <si>
    <t>Donald Letterle</t>
  </si>
  <si>
    <t>http://bloximages.chicago2.vip.townnews.com/herald-review.com/content/tncms/assets/v3/editorial/f/46/f4609e9d-d5d8-55ec-bab5-1cba6b07cc54/535ae1467f373.preview-620.jpg</t>
  </si>
  <si>
    <t>700 Pulaski Street</t>
  </si>
  <si>
    <t>62656</t>
  </si>
  <si>
    <t>Lincoln Police Department</t>
  </si>
  <si>
    <t>Letterle had been drinking and fighting with his girlfriend in a bar. The bartender asked him to leave because he was too drunk. He left, but returned with a handgun. The bartender spotted the handgun and called police. Police arrived to find Letterle physically assaulting his girlfriend in the bar. At some point, Letterle fired his weapon striking his girlfriend in the hand. One officer returned fire, killing Letterle.</t>
  </si>
  <si>
    <t>http://herald-review.com/lincoln-bar-owner-praises-bartender-police-during-fatal-shooting/article_15f791f1-76d3-5dab-94a2-e16f2af37573.html</t>
  </si>
  <si>
    <t>Darrell Joseph Legnon</t>
  </si>
  <si>
    <t>http://ktre.images.worldnow.com/images/25319182_BG2.jpg</t>
  </si>
  <si>
    <t>Cypress Ave and Bearkat Dr</t>
  </si>
  <si>
    <t>75760</t>
  </si>
  <si>
    <t>Nacogdoches</t>
  </si>
  <si>
    <t>Nacogdoches County Sheriff's Office</t>
  </si>
  <si>
    <t>After a traffic stop, deputies shot Legnon after he pointed a shotgun at them. The 25-year-old had a lengthy criminal history and was a member of white supremacy group, and had spoke of wanting to shoot a police officer in the days preceding his death.</t>
  </si>
  <si>
    <t>http://www.ktre.com/story/25319182/nacogdoches-c-sheriffs-office-confirms-officer-involved-shooting</t>
  </si>
  <si>
    <t>Adrian Williams</t>
  </si>
  <si>
    <t>https://ionenewpittsburghcourier.files.wordpress.com/2014/06/adrian-k-williams.jpg</t>
  </si>
  <si>
    <t>Penn Avenue and South Trenton Avenue</t>
  </si>
  <si>
    <t>Wilkinsburg</t>
  </si>
  <si>
    <t>15221</t>
  </si>
  <si>
    <t>Police began pursuing Williams after they saw him get into a car that allegedly had a gun in it. Williams crashed into a brick wall and attempted to flee on foot. One of the officers, believing Williams to be armed and dangerous, shot the suspect six times, including twice in the back. Incident captured on police dash cam. District attorney ruled shooting justified. Officer who shot Williams was involved in a previous fatal encounter.</t>
  </si>
  <si>
    <t>Siale Angilau</t>
  </si>
  <si>
    <t>http://www.cityweekly.net/imager/siale-angilau-was-mortally-wounded-by-a-fe/b/original/2413156/83be/art19123.jpg</t>
  </si>
  <si>
    <t>450 South State Street</t>
  </si>
  <si>
    <t>84111</t>
  </si>
  <si>
    <t>Angilau, a member of the Tongan Crip Gang, was on trial in federal court on racketeering charges. As a witness testified against him, Angilau rushed the witness stand with a pen or pencil in his hand. A U.S. Marshal shot Angilau multiple times, killing him. Salt Lake City's Pacific Islander community was angered by the shooting and questioned why deadly force was necessary. Shooting is being investigated by FBI.</t>
  </si>
  <si>
    <t>http://www.cityweekly.net/utah/community-searches-for-answers-in-courtroom-shooting-of-siale-angilau/Content?oid=2413155</t>
  </si>
  <si>
    <t>Mickey Larragoitiy</t>
  </si>
  <si>
    <t>http://images.onset.freedom.com/pressenterprise/gallery/n4x1a6-sois0423handoutbinary1616387.jpg</t>
  </si>
  <si>
    <t>28200 Winged Foot Drive</t>
  </si>
  <si>
    <t>92586</t>
  </si>
  <si>
    <t>Larragoitiy was well known in his retirement community as the local "neighborhood watch." He became suicidal after being diagnosed with terminal cancer. He called a neighbor and told her he was sitting in his garage with a gun to his head. She called 911, and three deputies arrived at the garage. Larragoitiy pointed a weapon at them, and they open fired, killing him. The weapon turned out to be a BB gun.</t>
  </si>
  <si>
    <t>http://patch.com/california/murrieta/suicide-by-cop--menifee-shooting-victim-had-terminal-cancer-reports-say</t>
  </si>
  <si>
    <t>Michael Mayo</t>
  </si>
  <si>
    <t>http://www.fatalencounters.org/wp-content/uploads/2013/10/MichaelMayo.jpg</t>
  </si>
  <si>
    <t>3662 W Camp Wisdom Rd</t>
  </si>
  <si>
    <t>75237</t>
  </si>
  <si>
    <t>After one or two officers approached Mayo's car in a parking lot because they smelled marijuana, they found he had a probation violation warrant and called for backup. Mayo led police on a 5 mile car chase that ended in a mall parking lot standoff. Mayo got out of the car several times pointing his gun at his own head, and then finally pointed it at police. Swat Senior Cpls. Gerardo Huante, Robert Hamilton, and Marshall Milligan immediately open fired, killing him.</t>
  </si>
  <si>
    <t>http://www.nbcdfw.com/news/local/Dallas-Police-Involved-in-Chase-256055191.html</t>
  </si>
  <si>
    <t>Warren Gary Cook</t>
  </si>
  <si>
    <t>http://ak-cache.legacy.net/legacy/images/cobrands/hamilton/photos/photo_230237_16726840_1_1_20140503.jpgx?w=130&amp;h=180&amp;option=1&amp;v=0x000000002d3254e0</t>
  </si>
  <si>
    <t>4861 Lebanon Road</t>
  </si>
  <si>
    <t>South Lebanon</t>
  </si>
  <si>
    <t>45065</t>
  </si>
  <si>
    <t>Warren County Sheriff's Office</t>
  </si>
  <si>
    <t>Deputies were called to Cook's family home, where he was present in violation of a domestic violence protection order. Cook appeared at the door with a shotgun then barricaded himself in the house. During two hours of negotiations, Cook repeatedly threatened the lives of deputies. When he returned to the door with the shotgun, three SWAT officers opened fired and killed him. Shooting justified by district attorney.</t>
  </si>
  <si>
    <t>http://www.wcpo.com/news/local-news/warren-county/prosecutor-warren-county-cops-acted-properly-in-april-fatal-officer-involved-shooting</t>
  </si>
  <si>
    <t>Mary Hawkes</t>
  </si>
  <si>
    <t>https://s3.amazonaws.com/cdn.inside.com/slide/5356f92a415050486dd30100/medium/medium_image-5356f92a415050486dd30100-coalesced</t>
  </si>
  <si>
    <t>9000 Zuni Road SE</t>
  </si>
  <si>
    <t>Officer Jeremy Dear shot and killed 19-year-old Mary Hawkes after a footchase outside of a trailer park in SE Albuquerque. Police said that officers had seen Hawkes driving a stolen truck earlier and were attempting to locate and arrest her when the chase ensued. Police said Dear shot Hawkes after she pointed a gun at Dear during the chase.</t>
  </si>
  <si>
    <t>Veronica Rizzo-Acevedo</t>
  </si>
  <si>
    <t>http://ak-cache.legacy.net/legacy/images/Cobrands/chicagosuntimes/Photos/rizzoveronica.jpg_20140421.jpg</t>
  </si>
  <si>
    <t>5300 South Austin Avenue</t>
  </si>
  <si>
    <t>60638</t>
  </si>
  <si>
    <t>Investigators believe Acevedo, a 25-year veteran of the force, shot his wife before turning the gun on himself.</t>
  </si>
  <si>
    <t>http://www.nbcchicago.com/news/local/Corrections-Officer-Woman-Found-Shot-255923841.html</t>
  </si>
  <si>
    <t>Brandon Leonel Monroy</t>
  </si>
  <si>
    <t>http://www.everythinglubbock.com/media/lib/197/0/1/c/01c1981a-8af1-4326-813c-ba11d3edc3e2/Story.jpg</t>
  </si>
  <si>
    <t>Highway 87 and 82nd Street</t>
  </si>
  <si>
    <t>79423</t>
  </si>
  <si>
    <t>http://www.kcbd.com/story/25292262/lubbock-police-on-scene-of-officer-involved-shooting</t>
  </si>
  <si>
    <t>Lee Redoux</t>
  </si>
  <si>
    <t>7000 Culebra Road</t>
  </si>
  <si>
    <t>78238</t>
  </si>
  <si>
    <t>Police were chasing a male suspect from a robbery. The man then drove the wrong way on the Loop 410 access road and wrecked into multiple cars. An officer chased the man on foot down Culebra road. The officer was hit by a vehicle while chasing the suspect but still managed to continue. The officer was involved in a physical exchange with the suspect before he fired two shots and killed him.</t>
  </si>
  <si>
    <t>http://www.kens5.com/story/local/2014/10/19/10687896/</t>
  </si>
  <si>
    <t>Karina Sandoval-Jiminez</t>
  </si>
  <si>
    <t>2124 S. Garnett Road</t>
  </si>
  <si>
    <t>74129</t>
  </si>
  <si>
    <t>Sandoval-Jiminez was in the back seat of a car fleeing a robbery. The robbers entered a restaurant and demanded cash, cell phones and wallets. They pistol-whipped the workers. A deputy arrived at the restaurant and saw two masked men enter a vehicle parked south of the scene. As the deputy pursued them, the driver drove the vehicle toward him. Two officers fired into the vehicle, killing Sandoval-Jiminez.</t>
  </si>
  <si>
    <t>http://www.tulsaworld.com/homepagelatest/woman-dead-man-shot-by-tulsa-authorities-after-stores-robbed/article_3f937860-c7c5-11e3-aa7f-0017a43b2370.html</t>
  </si>
  <si>
    <t>W Muscat Avenue and S Cornelia Avenue</t>
  </si>
  <si>
    <t>Police responded to a call about loud music coming from a vehicle near Whitesbridge, but the man drove away. After a high-speed chase, the man then exited the SUV and ran away. Aided by a search dog, three sheriff's deputies found the man hiding in a peach orchard. They opened fire when they saw a firearm pointed at them.</t>
  </si>
  <si>
    <t>http://abc30.com/archive/9509552/</t>
  </si>
  <si>
    <t>Adrian Parra</t>
  </si>
  <si>
    <t>http://www.policestateusa.com/wp-content/uploads/2014/05/Adrian-Parra.jpg</t>
  </si>
  <si>
    <t>California 86</t>
  </si>
  <si>
    <t>Salton City</t>
  </si>
  <si>
    <t>92274</t>
  </si>
  <si>
    <t>The Imperial County Sheriff's Department is releasing very little information on this officer involved shooting. It happened just before 6pm on Friday, April 18th. Parra was pulled over by deputies on Highway 86 near Salton City In the course of that traffic stop, he was shot and killed by deputies.</t>
  </si>
  <si>
    <t>http://www.kmir.com/story/25408967/family-wants-answers-after-teenager-killed-by-officers</t>
  </si>
  <si>
    <t>Indiana</t>
  </si>
  <si>
    <t>15701</t>
  </si>
  <si>
    <t>Santiago Avila</t>
  </si>
  <si>
    <t>http://bloximages.chicago2.vip.townnews.com/tucson.com/content/tncms/assets/v3/editorial/6/1b/61b1c262-fdf1-583a-8dd8-aa10345efd88/5377083e0d85e.preview-620.jpg</t>
  </si>
  <si>
    <t>145 E. 22nd St.</t>
  </si>
  <si>
    <t>Police received an alarm call from the bank. Contact was made with someone inside the bank who told authorities that a robbery was in progress. Officers arrived and confronted the suspected robber outside the bank. Shots were fired. The man, who had a gun, was shot. Police officers performed CPR on the man, but he was pronounced dead at the scene.</t>
  </si>
  <si>
    <t>http://tucson.com/news/blogs/police-beat/bank-robbery-suspect-killed-by-tucson-police-was-a-california/article_4983d03c-20a5-5f66-ad9f-995290c857d9.html</t>
  </si>
  <si>
    <t>James Kubera</t>
  </si>
  <si>
    <t>4100 Brentwood Circle</t>
  </si>
  <si>
    <t>Grapevine</t>
  </si>
  <si>
    <t>76051</t>
  </si>
  <si>
    <t>Gapevine Police Department</t>
  </si>
  <si>
    <t>Kubera called 911 and threatened to kill himself. Officers blocked off the scene around his residence as a SWAT team was called in. Shortly after, Kubera came out of his house, firing a shotgun. Shots were exchanged between Kubera and officers, and Kubera was hit. He was pronounced dead at Baylor Grapevine.</t>
  </si>
  <si>
    <t>http://www.wfaa.com/news/local/Grapevine-police-Suicidal-man-fatally-shot-after-he-fired-on-officers-255705531.html</t>
  </si>
  <si>
    <t>Leighton C. Fitz</t>
  </si>
  <si>
    <t>http://www.dps.state.ia.us/commis/pib/Releases/2014/Leighton_Fitz.jpg</t>
  </si>
  <si>
    <t>413 College Avenue</t>
  </si>
  <si>
    <t>Iowa Falls</t>
  </si>
  <si>
    <t>50126</t>
  </si>
  <si>
    <t>Iowa Falls Police Department</t>
  </si>
  <si>
    <t>The Iowa Falls Police Department responded to an emergency call of an armed suicidal man. Upon arrival, the armed man, Fitz, exited the residence armed with several weapons and wearing a bullet-proof vest. He allegedly refused to obey commands from officers on the scene and reached for a weapon. After refusing to drop the weapon, officers fired rounds, killing Fitz.</t>
  </si>
  <si>
    <t>http://globegazette.com/news/local/latimer-native-killed-in-standoff-with-officers/article_0b0a7f83-0698-5ab4-8c5c-243e1899ece1.html</t>
  </si>
  <si>
    <t>Kimberlee Carmack</t>
  </si>
  <si>
    <t>http://www.gannett-cdn.com/-mm-/2895c85f6ac6fa390703f52b1c277a0ec4e25a8f/c=115-72-861-636&amp;r=x404&amp;c=534x401/local/-/media/Indianapolis/GenericImages/2014/04/21//1398115883000-carmack-2.jpg</t>
  </si>
  <si>
    <t>2400 Inishmore Court</t>
  </si>
  <si>
    <t>46214</t>
  </si>
  <si>
    <t>Two Indianapolis police officers were found dead in an apparent murder-suicide. Sgt. Ryan Anders and Officer Kim Carmack were found dead in her home. Neighbors had reported hearing gunfire and called police. Carmack had filed for a protective order against her ex-husband. Anders went through the back patio door of Carmack's two-story home and shot his ex-wife in the head and chest before fatally shooting himself.</t>
  </si>
  <si>
    <t>http://www.theindychannel.com/news/local-news/husband-wife-police-officers-killed-in-apparent-murder-suicide</t>
  </si>
  <si>
    <t>Claudell Webb Jr.</t>
  </si>
  <si>
    <t>http://www.southcountytimes.com/datedimages/2014/04/17/2259F8HwU1D63D8B.sm.jpg</t>
  </si>
  <si>
    <t>676 Gravois Bluffs Blvd</t>
  </si>
  <si>
    <t>Fenton</t>
  </si>
  <si>
    <t>63026</t>
  </si>
  <si>
    <t>A citizen called authorities after seeing Webb and Jabari A. Quarles act suspiciously in parking lot near Check 'n Go. After Webb and Quarles tied up staff and robbed the business, officers confronted them as they left the premises. When an officer attempted to arrest Webb, a short struggle ensued during which Webb allegedly produced a Tec-9. The officer shot him once in the chest. Webb was transported to a local hospital where he died. Quarles was arrested without injury.</t>
  </si>
  <si>
    <t>http://www.kmov.com/news/just-posted/Police-respond-to-report-of-shooting-at-Gravois-Bluffs-shopping-center-255500671.html</t>
  </si>
  <si>
    <t>Jason Lewis</t>
  </si>
  <si>
    <t>http://ak-cache.legacy.net/legacy/images/Cobrands/HoustonChronicle/Photos/W0105645-1_20140425.jpg</t>
  </si>
  <si>
    <t>14514 Chadbourne Dr</t>
  </si>
  <si>
    <t>77079</t>
  </si>
  <si>
    <t>Police arrived to find Peters surrounded by glass and attempting to harm himself. Police said that Peters was combative with paramedics and began banging his head into the ground, but the 40-year-old's family disputed that account. The family says their loved one died after being handcuffed and beaten while in HPD custody.</t>
  </si>
  <si>
    <t>http://www.khou.com/news/local/Family-says-40-year-old-man-died-after-being-handcuffed-beaten-while-in-HPD-custody-257612411.html</t>
  </si>
  <si>
    <t>Ottis Eugene Bass</t>
  </si>
  <si>
    <t>http://i2.wp.com/chickasawjournal.com/wp-content/blogs.dir/36/files/2014/04/CJ-0423-OBIT-Bass-1K.jpg.jpg</t>
  </si>
  <si>
    <t>200 E Main Street</t>
  </si>
  <si>
    <t>Nettleton</t>
  </si>
  <si>
    <t>38858</t>
  </si>
  <si>
    <t>Nettleton Police Department</t>
  </si>
  <si>
    <t>Bass' son Lance states that Bass shot his coworker Jamie C. Guin 5 times (fatal) and brother Joseph Valie once with a 9mm during an argument in the car Lance was driving. Joseph jumped from the car and Bass chased, shot and killed him. Officer Robert Davis' vehicle arrived at what he thought was a traffic accident, and while he talked to Lance in the car Bass returned, shooting several times at the police car. Davis fired, killing Bass at the scene. He was awarded the Monroe County Hometown Hero Award for bravery.</t>
  </si>
  <si>
    <t>http://www.clarionledger.com/story/news/2014/04/16/two-dead-one-injured-in-nettleton/7783979/</t>
  </si>
  <si>
    <t>Martin G. Brown</t>
  </si>
  <si>
    <t>Clark Court</t>
  </si>
  <si>
    <t>St. Charles</t>
  </si>
  <si>
    <t>63301</t>
  </si>
  <si>
    <t>Officers were called to Clark Court, near St. Charles High School, for a domestic disturbance. Neighbors said Brown was threatening them and igniting fireworks, which led to a fire. Brown was armed with weapons and failed to comply with officers' instructions. Brown allegedly repeated his threats to officers and approached them. One of the officers attempted to Taser Brown, but it was ineffective. One officer fired at him. Brown was taken to a nearby hospital but died a short time later. Brown was found to have had a BB gun.</t>
  </si>
  <si>
    <t>http://www.ksdk.com/story/news/crime/2014/04/16/clark-court-st-charles-shooting/7807685/</t>
  </si>
  <si>
    <t>Michael C. Nichols Jr.</t>
  </si>
  <si>
    <t>http://www.najamesfh.com/fh_live/13700/13729/images/obituaries/2485747.jpg</t>
  </si>
  <si>
    <t>42200 Deborah Drive</t>
  </si>
  <si>
    <t>Tangipahoa</t>
  </si>
  <si>
    <t>Deputies responded to a 911 domestic dispute call from Nichols' 70-year-old mother Barbara J. Nichols. Upon arriving they found Nichols standing over or attacking his mother with a knife. According to one report, investigators said Nichols "refused repeated commands to stop stabbing her".. At least one of the deputies open fired, killing Nichols. His mother was taken to the hospital with "moderate injuries".</t>
  </si>
  <si>
    <t>http://theadvocate.com/home/8917261-125/tangipahoa-man-in-domestic-dispute</t>
  </si>
  <si>
    <t>Richard Ramirez</t>
  </si>
  <si>
    <t>http://bloximages.chicago2.vip.townnews.com/billingsgazette.com/content/tncms/assets/v3/editorial/b/c4/bc45a6d3-3ae7-5faa-8cce-02ed70499624/534d6867df0a5.preview-620.jpg</t>
  </si>
  <si>
    <t>3898 5th Ave S</t>
  </si>
  <si>
    <t>Billings Police Department</t>
  </si>
  <si>
    <t>Ramirez was confronted by an officer who identified him as a suspect from an earlier robbery. Ramirez refused to follow the officer's commands and was shot when he made a downward reaching motion. No weapon was found.</t>
  </si>
  <si>
    <t>http://billingsgazette.com/news/local/man-dies-in-officer-involved-shooting-on-south-side/article_6b333f95-002f-5bc5-b7bc-efdf8b8bc0e7.html</t>
  </si>
  <si>
    <t>William Peyton "Billy" Ayers</t>
  </si>
  <si>
    <t>Magnolia Road</t>
  </si>
  <si>
    <t>Corinth</t>
  </si>
  <si>
    <t>38834</t>
  </si>
  <si>
    <t>Stone</t>
  </si>
  <si>
    <t>Stone County Sheriff's Office</t>
  </si>
  <si>
    <t>A deputy responding to calls of a suicidal man shot and killed Ayers after the 45-year-old allegedly fired a gun at the deputy.</t>
  </si>
  <si>
    <t>http://www.wlox.com/story/25245244/sheriff-suicidal-man-killed-after-shooting-at-deputies</t>
  </si>
  <si>
    <t>Ross Chrisman</t>
  </si>
  <si>
    <t>http://cdn2-b.examiner.com/sites/default/files/styles/image_content_width/hash/da/30/da307adf8630463dcaba34e1a4ee7f4d.jpeg?itok=6viZGOAZ</t>
  </si>
  <si>
    <t>5100 33rd St</t>
  </si>
  <si>
    <t>Chrisman was pursued by police after two armed robberies and exchanged gunfire with officers, striking one, before shooting himself.</t>
  </si>
  <si>
    <t>http://www.bradenton.com/2014/04/14/5102966/manatee-deputies-respond-to-shooting.html?sp=%2F99%2F100%2F&amp;ihp=1</t>
  </si>
  <si>
    <t>Eddie "Dougie" Phongsavad</t>
  </si>
  <si>
    <t>5270 W Sunset Blvd</t>
  </si>
  <si>
    <t>90027</t>
  </si>
  <si>
    <t>Victim went by the name of "Dougie." He got in an altercation about a shopping cart with employees of a 99 Cent Only store, who called 911. When police confronted Dougie outside the store, he brandished a knife. Police tasered Dougie to no effect. Officers then shot Dougie multiple times, killing him.</t>
  </si>
  <si>
    <t>http://www.nbclosangeles.com/news/local/Police-Shoot-Kill-Man-Allegedly-Armed-With-Knife-in-Hollywood-255112041.html</t>
  </si>
  <si>
    <t>Charles A. Brown IV</t>
  </si>
  <si>
    <t>http://www.fatalencounters.org/wp-content/uploads/2013/10/CharlesBrownIV.jpg</t>
  </si>
  <si>
    <t>16940 Halsted Street</t>
  </si>
  <si>
    <t>Police responding to a report of a burglary at a Motel 6 encountered Brown driving away from the motel. Police allege Brown attempted to crash into their car, and they opened fire and killed him because they feared for their lives. Police allege that Brown had a gun and was a suspect in another in another crime. Brown's family claims he was a bright young man with a promising future who was murdered by police. They have filed a $4 million federal lawsuit against police department.</t>
  </si>
  <si>
    <t>http://www.reuters.com/article/2014/09/29/us-usa-chicago-police-shootings-idUSKCN0HO25O20140929</t>
  </si>
  <si>
    <t>Jose Maldonado</t>
  </si>
  <si>
    <t>http://wfsb.images.worldnow.com/images/25235487_BG2.jpg</t>
  </si>
  <si>
    <t>181 Nutmeg Lane</t>
  </si>
  <si>
    <t>East Hartford</t>
  </si>
  <si>
    <t>06118</t>
  </si>
  <si>
    <t>East Hartford Police Department</t>
  </si>
  <si>
    <t>Following an incident for which Maldonado was being processed for assault, criminal mischief and other charges, Maldonado became uncooperative with police. Officers tasered him. The victim showed signs of medical distress, was taken to a local hospital, and died shortly afterward.</t>
  </si>
  <si>
    <t>http://www.wfsb.com/story/25235487/state-police-assist-east-hartford-pd-investigate-use-of-force-death</t>
  </si>
  <si>
    <t>Lauro Jesus Avechuco</t>
  </si>
  <si>
    <t>http://www.kvoa.com/images/thumbnails/DDF4D64A7FD752F478CFE773F2DE6D4E_787_442.jpg</t>
  </si>
  <si>
    <t>3900 S Mahonia Pl</t>
  </si>
  <si>
    <t>85650</t>
  </si>
  <si>
    <t>Sierra Vista Police Department</t>
  </si>
  <si>
    <t>After a failed traffic stop and brief chase, Avechuco allegedly drove his vehicle towards an officer who fatally fired and shot the 40-year-old. The shooting was later ruled justified.</t>
  </si>
  <si>
    <t>http://www.sierravistaaz.gov/eGov/apps/document/center.egov?view=item;id=4725</t>
  </si>
  <si>
    <t>5000 Lick Mill Boulevard</t>
  </si>
  <si>
    <t>95054</t>
  </si>
  <si>
    <t>Mentally ill woman, who remains unidentified in media accounts, called 911 and told the operator she was distraught, suicidal and if police were sent, she would goad them into killing her. When three officers arrived at her residence, the 5'5" woman greeted them at the door wielding an aluminium baseball bat. Two officers opened fire, killing her. Shooting caused public controversy over police treatment of mentally ill people.</t>
  </si>
  <si>
    <t>http://www.mercurynews.com/pacifica/ci_25692032/santa-clara-shooting-suicidal-woman-highlights-increasing-police</t>
  </si>
  <si>
    <t>Vincent John Farrand</t>
  </si>
  <si>
    <t>http://localtvkstu.files.wordpress.com/2014/09/roskelley.jpg?w=243&amp;h=204&amp;crop=1</t>
  </si>
  <si>
    <t>550 South 300 East</t>
  </si>
  <si>
    <t>Centerville</t>
  </si>
  <si>
    <t>84014</t>
  </si>
  <si>
    <t>Centerville Police Department</t>
  </si>
  <si>
    <t>Farrand's wife called 911 after he became enraged and suicidal about a mutual friend who had made an unwanted advance toward her. Farrand was armed when police arrived at the home. They removed the wife from the home then Farrand came outside brandishing a handgun. Three officers tried to talk him down, but Farrand put his finger on the trigger, and one of the officers shot him four times, killing him.</t>
  </si>
  <si>
    <t>http://www.deseretnews.com/article/865601015/Centerville-man-pointed-gun-at-officer-before-he-was-killed-police-say.html?pg=all</t>
  </si>
  <si>
    <t>Edward Michael Caruth</t>
  </si>
  <si>
    <t>http://ksaz.images.worldnow.com/images/25238935_BG3.jpg</t>
  </si>
  <si>
    <t>4929 W Bell Rd</t>
  </si>
  <si>
    <t>85308</t>
  </si>
  <si>
    <t>Officers responded to a local restaurant after Caruth barricaded himself inside a bathroom and began destroying property inside the building. Officers fought with Caruth and tasered him four times, and the 38-year-old died shortly after at a local hospital.</t>
  </si>
  <si>
    <t>http://www.azcentral.com/story/news/local/phoenix/2014/04/14/phoenix-police-man-dies-fight-officers-restaurant-taser-abrk/7696081/</t>
  </si>
  <si>
    <t>Maynard Paul Thomas</t>
  </si>
  <si>
    <t>http://www.wwaytv3.com/files/imagecache/field_story_image/MaynardThomas_0.jpg</t>
  </si>
  <si>
    <t>740 Sloop Point Road</t>
  </si>
  <si>
    <t>Hampstead</t>
  </si>
  <si>
    <t>28443</t>
  </si>
  <si>
    <t>Pender</t>
  </si>
  <si>
    <t>Witnesses say Thomas crashed his golf cart into his neighbor's house who then called police. Highway Patrol, Pender County Sheriff's Office, and Surf City Police arrived, went to the back of the house, and did not announce themselves. Thomas, who did not know they were police, fired a warning shot to scare them off. Police fired back, incapacitated Thomas, and continued to fire.</t>
  </si>
  <si>
    <t>Rolando H. Villanueva</t>
  </si>
  <si>
    <t>http://media.kimatv.com/images/rolando+1.jpg</t>
  </si>
  <si>
    <t>I-82 and Knob Hill Boulevard</t>
  </si>
  <si>
    <t>98901</t>
  </si>
  <si>
    <t>Yakima Police Department</t>
  </si>
  <si>
    <t>Police pulled Villanueva over for allegedly driving erratically. Villanueva pulled over at first, but then bolted, leading police on a high-speed freeway chase and crashing into at least two police vehicles. When Villanueva attempted to ram a third vehicle, the officer fired and hit Villaneuva twice, who crashed his car into the median barrier and died. Villanueva previously had told police he would some day commit "suicide by cop."</t>
  </si>
  <si>
    <t>http://www.yakimaherald.com/home/2101128-8/yakima-police-identify-suspect-officer-in-fatal-shooting</t>
  </si>
  <si>
    <t>Stephen McKenney</t>
  </si>
  <si>
    <t>http://www.dolbyfuneralchapels.com/Content/Sidebar/FV2-0001408A/S007F6F83-007F6F8D.0/4232014_82235_0.jpg</t>
  </si>
  <si>
    <t>2 Searsport Way</t>
  </si>
  <si>
    <t>Windham</t>
  </si>
  <si>
    <t>04062</t>
  </si>
  <si>
    <t>[His wife called 911 and] told dispatchers that her husband, a retired school bus driver, was suicidal and feared for his safety and hers. She said there were guns in the house. [Deputy] Mangino fired two rounds from a rifle from 69 feet away as McKenney waved his gun and approached Mangino and his cruiser, where a civilian passenger who had been participating in a ride-along was ducked down in the front seat.</t>
  </si>
  <si>
    <t>http://www.pressherald.com/2014/08/21/sheriff-deputy-justified-in-windham-shooting/</t>
  </si>
  <si>
    <t>Gary Burdine</t>
  </si>
  <si>
    <t>6665 Route 16</t>
  </si>
  <si>
    <t>Verona</t>
  </si>
  <si>
    <t>41094</t>
  </si>
  <si>
    <t>Gallatin</t>
  </si>
  <si>
    <t>Gallatin County Sheriff's Department</t>
  </si>
  <si>
    <t>Gallatin County Deputy Edwin Caldwell responded to a domestic disturbance call about an intoxicated man in a trailer home along Rt. 16. After talking to Burdine he was returning to his vehicle, only to find Burdine following behind him with a gun, words were exchanged and Burdine allegedly pointed his gun at Caldwell, who shot Burdine four times. On August 11 the County Grand Jury found the shooting justified.</t>
  </si>
  <si>
    <t>http://www.wcpo.com/news/region-northern-kentucky/gallatin-county-grand-jury-sheriffs-deputy-justified-in-use-of-fatal-force-in-april-shooting</t>
  </si>
  <si>
    <t>Jack Calvello</t>
  </si>
  <si>
    <t>31-28 38th Street</t>
  </si>
  <si>
    <t>11103</t>
  </si>
  <si>
    <t>Officers found a man armed with a gun and the man refused an order to drop his weapon, then pointed his gun at the officers; one of the officers then shot him. The 86-year-old gunman Calvello, who was also deaf, was pronounced dead at a hospital. Witnesses Bryan Garcia and Eric Soto were playing basketball across the street and saw the incident. '(Cops) were yelling 'Get out, get out!' and then he comes out with a gun, pointing at them. They said 'Drop it, drop it!' loud, and he doesn't, so then we heard two shots, and he falls back into the doorway,"</t>
  </si>
  <si>
    <t>http://www.dailymail.co.uk/news/article-2603373/Cops-fatally-shoot-86-year-old-Queens-resident-shot-own.html</t>
  </si>
  <si>
    <t>Punta Gorda</t>
  </si>
  <si>
    <t>Jameel Kareem Ofurum Harrison</t>
  </si>
  <si>
    <t>http://www.the-chesapeake.com/wp-content/uploads/2014/04/Jameel-Harrison-drug-dealer-shot-dead-by-FBI.jpg</t>
  </si>
  <si>
    <t>9700 Reisterstown Rd</t>
  </si>
  <si>
    <t>Harrison, a suspected gang member and target of a narcotics investigation, was shot by federal agents after being stopped and running into a number of other vehicles. The Baltimore County state's attorney cleared the agents of any wrongdoing.</t>
  </si>
  <si>
    <t>http://www.baltimoresun.com/news/maryland/baltimore-county/owings-mills/bs-md-co-fbi-shooting-folo-20140618-story.html</t>
  </si>
  <si>
    <t>Gregory Lewis Towns Jr</t>
  </si>
  <si>
    <t>http://i.dailymail.co.uk/i/pix/2014/08/28/1409245365515_wps_10_EAST_POINT_Ga_Only_Channe.jpg</t>
  </si>
  <si>
    <t>4173 Sun Valley Blvd</t>
  </si>
  <si>
    <t>30344</t>
  </si>
  <si>
    <t>East Point Police Department</t>
  </si>
  <si>
    <t>Officers responded to a domestic dispute at the home of Towns' ex-girlfriend, leading to mile-long foot-chase that ended with Towns laying on the ground, out-of-breath. Two officers began tasering Towns in an attempt to get him up, tasering him 14 times while he was handcuffed. Towns death was ruled a homicide due to the use of Tasers, and the two officers either resigned or were terminated by the police department. Towns' family plans to sue the city and police department.</t>
  </si>
  <si>
    <t>http://s3.documentcloud.org/documents/1281063/georgia-taser-incident-report-redacted.pdf</t>
  </si>
  <si>
    <t>Thomas Eugene Fillingim</t>
  </si>
  <si>
    <t>http://mugshotsearch.org/profile+photo/19375441305710/thomas+fillingim+escambia+county+florida</t>
  </si>
  <si>
    <t>3100 Bent Oak Rd</t>
  </si>
  <si>
    <t>32526</t>
  </si>
  <si>
    <t>Fillingim was shot and killed by police after threatening his family with a knife and then attempting to take his own life.</t>
  </si>
  <si>
    <t>http://www.pnj.com/article/20140411/NEWS11/140411001?odyssey=mod%7Cmostcom</t>
  </si>
  <si>
    <t>Jefferson Duncan</t>
  </si>
  <si>
    <t>http://kpho.images.worldnow.com/images/25231407_BG2.jpg</t>
  </si>
  <si>
    <t>11050 N Biltmore Drive</t>
  </si>
  <si>
    <t>85029</t>
  </si>
  <si>
    <t>Duncan tasered an off duty officer. When the officer recovered from the shock, Duncan threatened to taser him in the head, but the off duty officer opened fire, shooting Duncan multiple times, killing him.</t>
  </si>
  <si>
    <t>http://www.fox10phoenix.com/story/25229661/2014/04/12/suspect-shot-officer-injured-in-officer-involved-shooting</t>
  </si>
  <si>
    <t>Dennis Doty</t>
  </si>
  <si>
    <t>http://matchbin-assets.s3.amazonaws.com/public/sites/625/assets/GMNQ_DOTY__Dennis.jpg</t>
  </si>
  <si>
    <t>12182 Hwy 92</t>
  </si>
  <si>
    <t>Woodstock</t>
  </si>
  <si>
    <t>30188</t>
  </si>
  <si>
    <t>Woodstock Police Department</t>
  </si>
  <si>
    <t>Doty, who was wanted on terroristic-related charges stemming from an earlier incident at a Wal-Mart, was shot after approaching an officer with a piece of concrete rebar. The shooting was ruled justified in September 2014.</t>
  </si>
  <si>
    <t>http://www.ledgernews.com/news/top_stories/officer-cleared-in-april-shooting/article_33363212-4329-11e4-8326-001a4bcf6878.html</t>
  </si>
  <si>
    <t>John Winkler</t>
  </si>
  <si>
    <t>http://www.eonline.com/eol_images/Entire_Site/2014310/rs_634x1024-140410191833-634.John-Winkler-Facebook.ms.041014.jpg</t>
  </si>
  <si>
    <t>939 Palm Avenue</t>
  </si>
  <si>
    <t>West Hollywood</t>
  </si>
  <si>
    <t>90069</t>
  </si>
  <si>
    <t>Shortly after 9:30 p.m., deputies say two men burst out of an apartment building and ran towards them. The first man who exited was bleeding profusely from the neck. Winkler followed close behind. The deputies on scene apparently were confused when they saw Winkler “lunging at the back of the fleeing victim,” LASD Chief Bill McSweeney told CBS2/KCAL9 reporter Serene Branson. Deputies shot Winkler four times and the other victim was shot once. Winkler died from his injuries at a hospital. The other victim survived. Investigators now say Winkler and the man who was bleeding were actually victims of a third man, Alexander McDonald, who lived inside the apartment building.</t>
  </si>
  <si>
    <t>http://www.wehonews.com/z/wehonews/winklers-shooters-at-work-while-investigation-continues/</t>
  </si>
  <si>
    <t>Robert James Vancamp</t>
  </si>
  <si>
    <t>Nees Avenue and Sunnyside Ave</t>
  </si>
  <si>
    <t>Clovis</t>
  </si>
  <si>
    <t>93619</t>
  </si>
  <si>
    <t>Officers responded to Vancamp's residence after receiving a call from his mother, who told police that he was armed and suicidal. Responding deputies fatally shot Vancamp outside the home after he turned towards them while holding a handgun.</t>
  </si>
  <si>
    <t>http://abclocal.go.com/kfsn/story?section=news%2Flocal&amp;id=9498377</t>
  </si>
  <si>
    <t>David M. Zehring</t>
  </si>
  <si>
    <t>http://ak-cache.legacy.net/legacy/images/Cobrands/Kansas/Photos/wek_dzehring_20140419.jpg</t>
  </si>
  <si>
    <t>W Maple St. and S Mt Carmel St</t>
  </si>
  <si>
    <t>67213</t>
  </si>
  <si>
    <t>After a short interaction with police, Zehring lead officers on a chase that ended when he pulled over and brandished a knife at officers. After two failed tasings, an officer fired and fatally hit Zehring, who had a history of mental illness.</t>
  </si>
  <si>
    <t>Ever Ramon Martinez</t>
  </si>
  <si>
    <t>2000 Solano Ave</t>
  </si>
  <si>
    <t>94590</t>
  </si>
  <si>
    <t>Officers attempted to pull Martinez over for a traffic violation when the 29-year-old took off and lead police on a high speed chase. An officer fatally shot Martinez after he failed to get out of his vehicle and was speeding toward a civilian car.</t>
  </si>
  <si>
    <t>http://www.timesheraldonline.com/news/ci_25536262/man-killed-vallejo-officer-involved-shooting</t>
  </si>
  <si>
    <t>Abbott S. Bennett</t>
  </si>
  <si>
    <t>8300 Colee Cove Rd</t>
  </si>
  <si>
    <t>After officers responded to a domestic disturbance at Bennett's residence, the 66-year-old entered into an altercation with responding officers. After an attempt to tase Bennett failed, officers shot him after he reached for a nearby cache of guns.</t>
  </si>
  <si>
    <t>http://www.actionnewsjax.com/content/topstories/story/One-dead-after-deputy-involved-shooting-in-St/aIpQHLQ8j0SVmXn5mdFQag.cspx</t>
  </si>
  <si>
    <t>Travis Doering</t>
  </si>
  <si>
    <t>http://ak-cache.legacy.net/legacy/images/Cobrands/SCTimes/Photos/SCT025736-1_20140412.jpg</t>
  </si>
  <si>
    <t>5689 Maceta Ave</t>
  </si>
  <si>
    <t>89103</t>
  </si>
  <si>
    <t>Doering was acting bizarre and carrying a loaded rifle when his roommates called police, fearing that he would commit suicide. A SWAT officer shot Doering after a lengthy standoff that ended when the 40-year-old pointed the rifle at officers.</t>
  </si>
  <si>
    <t>http://www.reviewjournal.com/news/las-vegas-man-killed-officer-involved-shooting-talked-imaginary-people-police-said</t>
  </si>
  <si>
    <t>James Calvin Youngblood</t>
  </si>
  <si>
    <t>1220 Lurecliff Place</t>
  </si>
  <si>
    <t>Fort Mill</t>
  </si>
  <si>
    <t>29708</t>
  </si>
  <si>
    <t>York County Sheriff's Department</t>
  </si>
  <si>
    <t>Youngblood pointed a pistol in the direction of deputies, prompting them to shoot and kill Younblood.</t>
  </si>
  <si>
    <t>Daniel Christoph Yealu</t>
  </si>
  <si>
    <t>http://tribktla.files.wordpress.com/2014/04/daniel-yealu.jpg?w=300&amp;h=168</t>
  </si>
  <si>
    <t>1663 Butler Ave</t>
  </si>
  <si>
    <t>90025</t>
  </si>
  <si>
    <t>Yealu was shooting a gun at officers in the lobby of LAPDs west traffic Division was shot by officers on April 7th. He died April 24th.</t>
  </si>
  <si>
    <t>http://www.latimes.com/local/lanow/la-me-ln-suspect-in-lapd-station-shooting-20140424-story.html#axzz2zlIoPP7C</t>
  </si>
  <si>
    <t>Tinoris Williams</t>
  </si>
  <si>
    <t>http://media.cmgdigital.com/shared/lt/lt_cache/thumbnail/188/img/photos/2014/04/07/a4/ff/williams.jpg</t>
  </si>
  <si>
    <t>655 N Military Trail</t>
  </si>
  <si>
    <t>33415</t>
  </si>
  <si>
    <t>A deputy was fighting for his life when Williams took the deputies gun and put it against the deputies head. The deputy wrestled with Williams, retrieving his gun and shoots and kills Williams.</t>
  </si>
  <si>
    <t>Hector Hernandez</t>
  </si>
  <si>
    <t>http://wfld.images.worldnow.com/images/25186602_BG2.JPG</t>
  </si>
  <si>
    <t>2500 West 50th Street</t>
  </si>
  <si>
    <t>Hernandez Threatened officers with knives, resulting in officers to shoot and kill Hernandez.</t>
  </si>
  <si>
    <t>http://www.myfoxchicago.com/story/25186602/police-shoot-person-in-gage-park</t>
  </si>
  <si>
    <t>1351 N Harbor Dr</t>
  </si>
  <si>
    <t>92054</t>
  </si>
  <si>
    <t>Oceanside Police Department</t>
  </si>
  <si>
    <t>Officers called to deal with a person sleeping on a bench near a harbor office found the man armed with a handgun. The victim, who police identified as a gang member, refused to drop his weapon and was fatally shot by police.</t>
  </si>
  <si>
    <t>http://www.sandiego6.com/news/local/One-wounded-in-Oceanside-officer-involved-shooting-254219551.html</t>
  </si>
  <si>
    <t>John Nightingale</t>
  </si>
  <si>
    <t>http://www.dailyherald.com/storyimage/DA/20140409/news/140408133/EP/1/3/EP-140408133.jpg&amp;updated=201404100916&amp;MaxW=800&amp;maxH=800&amp;updated=201404100916&amp;noborder</t>
  </si>
  <si>
    <t>100 Slocum Lake Road</t>
  </si>
  <si>
    <t>Wauconda</t>
  </si>
  <si>
    <t>60084</t>
  </si>
  <si>
    <t>Wauconda Police Department</t>
  </si>
  <si>
    <t>Nightingale's roommate called police to report him as a possible car thief. Police arrived, Nightingale answered the door with a handgun, would not drop his weapon, and was fatally shot four times.</t>
  </si>
  <si>
    <t>http://www.dailyherald.com/article/20140421/news/140429802/</t>
  </si>
  <si>
    <t>Isaac Little</t>
  </si>
  <si>
    <t>4500 C St</t>
  </si>
  <si>
    <t>20019</t>
  </si>
  <si>
    <t>Little was walking near an elementary school when police arrived and ordered him to drop his firearm. When he refused, an officer opened fire and fatally struck Little.</t>
  </si>
  <si>
    <t>http://www.wusa9.com/story/news/local/dc/2014/04/07/man-killed-police-shooting-plummer-elementary-school/7410219/</t>
  </si>
  <si>
    <t>Santa Rosa Police Department</t>
  </si>
  <si>
    <t>Wesley Mallory White</t>
  </si>
  <si>
    <t>http://montgomerycountypolicereporter.com/wp-content/uploads/c19ebd5de342_F531/WHITEWESLEYMALOY_thumb.jpg</t>
  </si>
  <si>
    <t>Carlisle St and Ashland Dr</t>
  </si>
  <si>
    <t>Conroe</t>
  </si>
  <si>
    <t>77385</t>
  </si>
  <si>
    <t>Officers serving a felony warrant entered the home where White was staying, and shot him after he pointed a handgun at officers.</t>
  </si>
  <si>
    <t>Remis M. Andrews</t>
  </si>
  <si>
    <t>http://blackstonian.com/info/wp-content/uploads/2013/06/Remis-Andrews-Lenox-St-225x300.jpg</t>
  </si>
  <si>
    <t>Massachusetts Avenue and Tremont Street</t>
  </si>
  <si>
    <t>02118</t>
  </si>
  <si>
    <t>A Boston police officer shot and killed a man who allegedly lunged at officers with knives. The shooting took place after police received a 911 call from a woman who said she was being assaulted by her boyfriend at 77 Lenox St. in the South End. The officers attempted to place the suspect under arrest, at which time the suspect armed himself with multiple knives and lunged at the officers. One of the officers discharged his weapon striking and killing the suspect.</t>
  </si>
  <si>
    <t>http://boston.cbslocal.com/2014/04/05/boston-police-suspect-shot-dead-by-officer-in-south-end/</t>
  </si>
  <si>
    <t>Robert Antonio Jones</t>
  </si>
  <si>
    <t>http://www.oninstagram.com/photo/httpwwwgofundmecomdonations-for-tony-robert-antonio-jones-was-wrongfully-murdered-by-tha-p-695062218451800726_192011875#.VPkdvyROB8s.twitter</t>
  </si>
  <si>
    <t>5098 Lee Jay Dr</t>
  </si>
  <si>
    <t>20747</t>
  </si>
  <si>
    <t>Two patrolling officers heard shots fired, and found Jones leaving the area on foot. Jones allegedly reached for a handgun when officers approached him, leading them to fatally shoot Jones.</t>
  </si>
  <si>
    <t>Jairo Armando Pedraza</t>
  </si>
  <si>
    <t>6445 Olcott St.</t>
  </si>
  <si>
    <t>91042</t>
  </si>
  <si>
    <t>Officers responding to a call of a man trying to kill himself arrived to find Pedraza attempting suicide with a knife. Pedraza was tasered to no effect and fatally shot after confronting police with a knife.</t>
  </si>
  <si>
    <t>http://www.dailynews.com/general-news/20140407/officers-identify-knife-wielding-man-after-shooting-in-tujunga</t>
  </si>
  <si>
    <t>Michael J. Santiago</t>
  </si>
  <si>
    <t>959 Putney Road</t>
  </si>
  <si>
    <t>Brattleboro</t>
  </si>
  <si>
    <t>VT</t>
  </si>
  <si>
    <t>05301</t>
  </si>
  <si>
    <t>Brattleboro Police Department</t>
  </si>
  <si>
    <t>Shot while entering hotel room during a drug search.</t>
  </si>
  <si>
    <t>http://bit.ly/1g8I6nJ</t>
  </si>
  <si>
    <t>Codi Ben Bullard</t>
  </si>
  <si>
    <t>http://oi58.tinypic.com/epgif7.jpg</t>
  </si>
  <si>
    <t>1200 S Lamar St</t>
  </si>
  <si>
    <t>75215</t>
  </si>
  <si>
    <t>An off-duty police officer fatally shot Bullard after seeing him stabbing another man. Bullard was pronounced dead at the scene, and the officer was honored by the Dallas Police Association for saving the man's life.</t>
  </si>
  <si>
    <t>http://www.wfaa.com/news/local/Police-at-scene-of-officer-involved-shooting-near-on-South-Lamar-253898801.html</t>
  </si>
  <si>
    <t>William Arthur Stogner Jr.</t>
  </si>
  <si>
    <t>http://localtvwhnt.files.wordpress.com/2014/04/stogner300.jpg?w=148&amp;h=150</t>
  </si>
  <si>
    <t>2024 Stanford Drive</t>
  </si>
  <si>
    <t>Stogner shot an officer. Officers then shot and killed Stogner.</t>
  </si>
  <si>
    <t>Gibson</t>
  </si>
  <si>
    <t>27407</t>
  </si>
  <si>
    <t>Cody Spafford</t>
  </si>
  <si>
    <t>http://www.thestranger.com/binary/749b/1396635147-image.jpeg</t>
  </si>
  <si>
    <t>100 39th Avenue East</t>
  </si>
  <si>
    <t>98112</t>
  </si>
  <si>
    <t>Spafford reportedly robbed a bank and fled. His car was found flipped. He was hiding in a yard where an officer found him with a knife. The officer felt threatened and shot and killed Spafford.</t>
  </si>
  <si>
    <t>http://slog.thestranger.com/slog/archives/2014/04/04/the-man-seattle-police-killed-yesterday-26-year-old-chef-cody-spafford</t>
  </si>
  <si>
    <t>Stanley "Laransie" Whitman</t>
  </si>
  <si>
    <t>http://wrcb.images.worldnow.com/images/25166937_BG1.jpg</t>
  </si>
  <si>
    <t>Marion Avenue</t>
  </si>
  <si>
    <t>Richard City</t>
  </si>
  <si>
    <t>37380</t>
  </si>
  <si>
    <t>Monteagle Police Department</t>
  </si>
  <si>
    <t>Chief McNeese was on a hunting trip with a friend when he accidentally shot and killed his friend Whitman.</t>
  </si>
  <si>
    <t>http://www.wrcbtv.com/story/25166937/monteagle-police-chief-involved-in-hunting-accident</t>
  </si>
  <si>
    <t>Marcus Garner</t>
  </si>
  <si>
    <t>http://media.cmgdigital.com/shared/lt/lt_cache/thumbnail/188/img/photos/2014/04/02/a3/cc/Marcus_Garner.JPG</t>
  </si>
  <si>
    <t>3100 Sweetwater Rd</t>
  </si>
  <si>
    <t>Two officers were called to the Sweetwater apartments in Lawrenceville due to a suspicious vehicle. After chasing the occupants, an officer returned to the car to find Garner fighting with another officer. Garner allegedly retrieved the officer's gun, pointed it at the officer, and the other officer shot and killed Garner.</t>
  </si>
  <si>
    <t>Hartsville</t>
  </si>
  <si>
    <t>Darlington</t>
  </si>
  <si>
    <t>Darlington County Sheriff's Office</t>
  </si>
  <si>
    <t>Matthew Troy Pollow</t>
  </si>
  <si>
    <t>http://media.cmgdigital.com/shared/lt/lt_cache/thumbnail/275/img/photos/2014/04/03/14/1c/boca-shoot</t>
  </si>
  <si>
    <t>23200 Camino Del Mar</t>
  </si>
  <si>
    <t>Boca Raton</t>
  </si>
  <si>
    <t>33433</t>
  </si>
  <si>
    <t>Deputies were called for an armed disturbance. On scene was Pollow; he was ordered to empty his pockets. He allegedly drew a knife and charged at a deputy prompting the deputy to shoot and kill him.</t>
  </si>
  <si>
    <t>http://www.mypalmbeachpost.com/news/news/crime-law/multiple-witnesses-say-they-heard-shots-deputy-fir/nfRMF/</t>
  </si>
  <si>
    <t>Doña Ana County Sheriff's Office</t>
  </si>
  <si>
    <t>Shirley Joyce Brown</t>
  </si>
  <si>
    <t>195 Russell Braden Road</t>
  </si>
  <si>
    <t>30016</t>
  </si>
  <si>
    <t>Brown was threatening suicide when she walked out of her home with a rifle. She pointed it at an officer. Officer(s) fired. Brown later died at the hospital from her wounds.</t>
  </si>
  <si>
    <t>http://www.newtoncitizen.com/news/2014/apr/01/74-year-old-woman-id8217d-as-victim-in-fatal/</t>
  </si>
  <si>
    <t>Kimberly Dawn Whitworth</t>
  </si>
  <si>
    <t>http://ak-cache.legacy.net/legacy/images/Cobrands/shelbystar/Photos/c76deab4-1a58-42b9-9ceb-5893825eb21a.jpg</t>
  </si>
  <si>
    <t>NC-9 &amp; US-74</t>
  </si>
  <si>
    <t>Tryon</t>
  </si>
  <si>
    <t>28782</t>
  </si>
  <si>
    <t>Whitworth was the passenger in a car driven by her boyfriend, in a police chase that spanned three counties and ended with her boyfriend losing control of the vehicle after running over spike strips. Several days after the crash Whitworth died. Authorities had discovered $2,000 worth of meth on her, concealed in a body cavity.</t>
  </si>
  <si>
    <t>http://www.gastongazette.com/news/local/man-charged-with-second-degree-murder-in-wreck-1.368844</t>
  </si>
  <si>
    <t>James Clark</t>
  </si>
  <si>
    <t>http://media.wbng.com/images/Clark+gallery+1.JPG</t>
  </si>
  <si>
    <t>32 Harrison St</t>
  </si>
  <si>
    <t>Johnson City</t>
  </si>
  <si>
    <t>Broome</t>
  </si>
  <si>
    <t>Johnson City Police Department</t>
  </si>
  <si>
    <t>Police said Clark shot Officer Smith two times and then fired on responding officers, who then shot him.</t>
  </si>
  <si>
    <t>Zikarious Flint</t>
  </si>
  <si>
    <t>https://scontent-lax.xx.fbcdn.net/hphotos-xpf1/t31.0-8/10848802_824533634272919_7973339299895571120_o.jpg</t>
  </si>
  <si>
    <t>4225 University Ave</t>
  </si>
  <si>
    <t>31907</t>
  </si>
  <si>
    <t>Muscogee</t>
  </si>
  <si>
    <t>Columbus State University Campus Police</t>
  </si>
  <si>
    <t>Campus police received reports that Flint, not a student, was seen loading a gun. Officers responded and Flint fled on foot. Officers fatally shot him in the back and the back of the neck. Witnesses maintain Flint was unarmed.</t>
  </si>
  <si>
    <t>Raason Shaw</t>
  </si>
  <si>
    <t>http://www.revcom.us/i/336/Raason-Shaw-Pic.jpg</t>
  </si>
  <si>
    <t>7800 South Merrill Avenue</t>
  </si>
  <si>
    <t>Shaw reportedly fired a shot at officers while they were picking him up with an arrest warrant. Ultimately, officers shot and killed Shaw.</t>
  </si>
  <si>
    <t>Bryant Augustus "Fluke" Stallings</t>
  </si>
  <si>
    <t>http://wnct.images.worldnow.com/images/3445240_G.jpg</t>
  </si>
  <si>
    <t>175 Craven Terrace</t>
  </si>
  <si>
    <t>New Bern</t>
  </si>
  <si>
    <t>28560</t>
  </si>
  <si>
    <t>New Bern Police Department</t>
  </si>
  <si>
    <t>An officer stopped Stallings in the area of Craven Terrace. Stallings ran away from police and started shooting at two officers. Police fired back and killed Stallings. One of the officers, Thalmann, also died later from his injuries. "I see him coming up and see him putting the bike down. I'm seeing the police car pull up and asking him to 'come here'. He was like, 'sir why are you stopping me' and I guess it was because of the bike because he did not have a light, but he did have a light on the bike."</t>
  </si>
  <si>
    <t>Tracy L. McCraw</t>
  </si>
  <si>
    <t>http://wave.images.worldnow.com/images/25105217_BG5.jpg</t>
  </si>
  <si>
    <t>3100 Melody Acres Lane</t>
  </si>
  <si>
    <t>40216</t>
  </si>
  <si>
    <t>McCraw was visiting friends in the neighborhood and had an argument with his girlfriend. Officers first responded to a call about someone firing a gun. When they arrived, they didn't find a shooter or victim. So they left. About forty five minutes later, several calls came in that a man was firing a gun. When officers arrived, they found McCraw wielding a handgun. He then ran and fired a round at the police. Officers fired back. McCraw died at University of Louisville Hospital.</t>
  </si>
  <si>
    <t>http://www.wave3.com/story/25105217/man-who-died-in-officer-involved-shooting-identified</t>
  </si>
  <si>
    <t>Christopher Leo Knight</t>
  </si>
  <si>
    <t>300 South West Temple</t>
  </si>
  <si>
    <t>84101</t>
  </si>
  <si>
    <t>Knight was the passenger in a car pulled over because of a broken headlight. Police found out the driver's license was suspended with traffic-related warrants. One officer questioned Knight to determine whether he could drive the car. When Knight gave two different names, police became suspicious. Knight refused to come out of the car, and an altercation ensued. Police says Knight pulled a gun and shot at the officers.</t>
  </si>
  <si>
    <t>http://www.deseretnews.com/article/865603048/Report-Officer-justified-in-shooting-killing-man-who-fired-at-police.html?pg=all</t>
  </si>
  <si>
    <t>Anthony Ray Osburn</t>
  </si>
  <si>
    <t>112 Colonial Village Dr</t>
  </si>
  <si>
    <t>Lincolnton</t>
  </si>
  <si>
    <t>28092</t>
  </si>
  <si>
    <t>Lincoln County Sheriff's Office</t>
  </si>
  <si>
    <t>Osburn was a suspect in a murder investigation of a woman in Lincolnton. During a traffic stop, he attempted to shoot an officer and then fled into the Lantern Ridge apartment complex. There was a standoff for hours. Then Osburn exited the complex with a weapon and fired at officers. Police returned fire and killed Osburn.</t>
  </si>
  <si>
    <t>http://www.lincolntimesnews.com/2014/03/28/suspect-killed-by-swat-team/</t>
  </si>
  <si>
    <t>Jason Roy Wilson</t>
  </si>
  <si>
    <t>5800 Brushwood Court</t>
  </si>
  <si>
    <t>Chino Hills</t>
  </si>
  <si>
    <t>91709</t>
  </si>
  <si>
    <t>Wilson broke into a house, and the owner confronted him. Wilson ran out of the house and charged at deputies. He was holding a gun and a knife. Wilson was shot to death by one of the deputies.</t>
  </si>
  <si>
    <t>http://blog.pe.com/crime/2014/03/28/chino-hills-perimeter-formed-around-neighborhood-for-search/</t>
  </si>
  <si>
    <t>Antoquan T. Watson</t>
  </si>
  <si>
    <t>South Missouri Avenue and Atlantic Avenue</t>
  </si>
  <si>
    <t>Antoquan Watson led police on a 7-mile chase that ended in a hail of gunfire. The chase began over an unpaid restaurant bill of less than $9. Watson led police on a chase from La Escondida II restaurant in Pleasantville through parts of Egg Harbor Township and Ventnor into Atlantic City. At Atlantic Avenue, witnesses and police said, he fired at officers. Officers then returned fire and killed him.</t>
  </si>
  <si>
    <t>http://www.pressofatlanticcity.com/news/crime/little-known-about-man-killed-in-atlantic-city-after-chase/article_37d0a94c-b6c5-11e3-a65c-001a4bcf887a.html</t>
  </si>
  <si>
    <t>Eduardo Rodriguez</t>
  </si>
  <si>
    <t>John Avenue and Peek Avenue</t>
  </si>
  <si>
    <t>77642</t>
  </si>
  <si>
    <t>Port Arthur Pollice Department</t>
  </si>
  <si>
    <t>http://www.12newsnow.com/story/25092399/port-arthur-shooting</t>
  </si>
  <si>
    <t>Lonnie Duane "L.D." Baker</t>
  </si>
  <si>
    <t>100 Bosque Street</t>
  </si>
  <si>
    <t>Glen Rose</t>
  </si>
  <si>
    <t>76043</t>
  </si>
  <si>
    <t>Somervell</t>
  </si>
  <si>
    <t>Somervell County Sheriff's Office</t>
  </si>
  <si>
    <t>Dispatchers received a report of a disturbance. Caller said screams could be heard coming from a residence, and a gun was fired. Deputies responded and confronted Baker who had a gun. One of the officers fired a shot. Baker was pronounced dead at the hospital shortly after the incident.</t>
  </si>
  <si>
    <t>http://www.yourglenrosetx.com/news/local/article_07513166-2501-5e4c-9f96-82a4e7e50785.html</t>
  </si>
  <si>
    <t>Larry Dale Plaster</t>
  </si>
  <si>
    <t>http://localtvkfor.files.wordpress.com/2014/03/plaster_larry.jpg?w=640</t>
  </si>
  <si>
    <t>200 South Broadway St.</t>
  </si>
  <si>
    <t>Sayre</t>
  </si>
  <si>
    <t>73662</t>
  </si>
  <si>
    <t>Beckham</t>
  </si>
  <si>
    <t>Beckham County Sheriff's Office</t>
  </si>
  <si>
    <t>Two Sayre police officers tried to serve Plaster a felony warrants for failure to pay child support and attempting to elude police while under the influence. Police chased Plaster and called for backup. A Beckham County deputy responded and attempted to arrest Plaster. Police says Plaster hit the deputy several times with an axe. The deputy fired several shots, and at least one bullet struck and killed Plaster.</t>
  </si>
  <si>
    <t>http://www.koco.com/news/1-dead-in-beckham-county-officerinvolved-shooting/25199176</t>
  </si>
  <si>
    <t>Christopher McDaniel</t>
  </si>
  <si>
    <t>300 Beardsley Avenue</t>
  </si>
  <si>
    <t>Oildale</t>
  </si>
  <si>
    <t>Deputies attempted to pull over McDaniel on a motorcycle for a vehicle code violation. He didn't stop, and there was a short pursuit in Oildale until he crashed his motorcycle. Witnesses say McDaniel put his hands in the air to surrender, but police shot him. He was struck at least once and was later pronounced dead at Kern Medical Center.</t>
  </si>
  <si>
    <t>http://www.bakersfieldnow.com/news/local/Breaking-News-Officer-involved-shooting-leaves-1-dead-252589101.html</t>
  </si>
  <si>
    <t>Steven Charles Corkery</t>
  </si>
  <si>
    <t>http://khq.images.worldnow.com/images/3437178_G.jpg</t>
  </si>
  <si>
    <t>West Grace Avenue &amp; North Maple Street</t>
  </si>
  <si>
    <t>99205</t>
  </si>
  <si>
    <t>Detectives received information about a possible suspect in a recent armed robbery and had Corkery's home under surveillance when the suspect appeared. The detectives called in the SWAT team as they attempted to get Corkery out of the house using a PA system. He eventually came out of the house and appeared to have a gun in his left hand. While speaking with officers, Corkery made a threatening move, and officers opened fire. A weapon was recovered at the scene on the porch close to where Corkery was standing.</t>
  </si>
  <si>
    <t>http://www.khq.com/story/25084883/breaking-shots-fired-at-police-situation-in-north-spokane</t>
  </si>
  <si>
    <t>Chieu-di Thi Vo</t>
  </si>
  <si>
    <t>http://ak-cache.legacy.net/legacy/Images/Cobrands/DignityMemorial/Photos/6b6106fb-65c5-43c2-9e52-a11d9f1874ee.jpg</t>
  </si>
  <si>
    <t>1007 Pineland St</t>
  </si>
  <si>
    <t>Greensboro Police Department</t>
  </si>
  <si>
    <t>Police responding to a report of domestic dispute found one woman threatening another with a knife. Officer T.J. Bloch ordered the armed woman to put the knife down. Instead, she approached him with it in a "threatening manner." He shot her. She was shot 3/25/14 and died at Moses Cone Memorial Hospital 3/28/14.</t>
  </si>
  <si>
    <t>http://www.wfmynews2.com/story/news/local/2014/03/27/woman-shot-greensboro-police-officer-dies-chieu-di--thi-vo/6974805/</t>
  </si>
  <si>
    <t>DeAndre Lloyd Starks</t>
  </si>
  <si>
    <t>http://bloximages.newyork1.vip.townnews.com/tulsaworld.com/content/tncms/assets/v3/editorial/7/58/75856a84-b4f4-11e3-8b9a-0017a43b2370/5332e6c208317.preview-300.jpg</t>
  </si>
  <si>
    <t>239 East Young Street</t>
  </si>
  <si>
    <t>74106</t>
  </si>
  <si>
    <t>Police served a search warrant for drugs at a house where Starks and several other people were present. Starks was wearing loose clothing and concealing his hands and repeatedly refused police orders to display his hands. Fearing Starks was armed, one officer shot and killed Starks. Starks was unarmed but in possession of crack cocaine. The officer who shot Starks had been involved in a previous fatal encounter.</t>
  </si>
  <si>
    <t>http://www.mapinc.org/drugnews/v14/n282/a06.html</t>
  </si>
  <si>
    <t>Alfred Redwine</t>
  </si>
  <si>
    <t>http://binaryapi.ap.org/8ecf5045cf444117ac32baa2f30d254a/460x.jpg</t>
  </si>
  <si>
    <t>228 60th Street NW</t>
  </si>
  <si>
    <t>87105</t>
  </si>
  <si>
    <t>Officer James Eichel shot and killed 30-year-old Alfred Redwine after police said Redwine shot at least one shot while standing outside of his apartment near 60th Street and Central. Police were called to the scene after a 14-year-old girl said Redwine pointed a gun at her.</t>
  </si>
  <si>
    <t>Sakhar Williye Robinson</t>
  </si>
  <si>
    <t>http://northcarolina.arrests.org/mugs/Rowan/22126.jpg</t>
  </si>
  <si>
    <t>205 North Arlington Road</t>
  </si>
  <si>
    <t>28144</t>
  </si>
  <si>
    <t>Rowan</t>
  </si>
  <si>
    <t>Rowan County Sheriff's Office</t>
  </si>
  <si>
    <t>Wearing a mask and armed with a shotgun, Robinson attempted to rob a Chinese restaurant. An off-duty correctional officer who was dining at the restaurant showed Robinson his badge, but he continued to menace customers. The officer shot Robinson three times, killing him. Sheriff's office cleared officer, investigation pending.</t>
  </si>
  <si>
    <t>http://rowanfreepress.com/2014/03/26/off-duty-sheriffs-deputy-guns-down-robber-at-china-buffet-in-salisbury-n-c/</t>
  </si>
  <si>
    <t>Charles D. Welborn</t>
  </si>
  <si>
    <t>http://sanangelolive.com/sites/default/files/styles/iosslider_node/public/field/image/welborn_0.jpg?itok=9ERKmrwm</t>
  </si>
  <si>
    <t>610 W 29Th St</t>
  </si>
  <si>
    <t>Suspect broke into gun case at Wal-Mart and attempted to take a rifle. After employee fought off suspect he ran to parking lot. Suspect lunged at SAPD officer with broken bottle and was shot 3 times.</t>
  </si>
  <si>
    <t>http://sanangelolive.com/news/crime/2014-03-27/family-member-incident-Wal-Mart-prompted-string-tragedies</t>
  </si>
  <si>
    <t>Israel Rondon</t>
  </si>
  <si>
    <t>http://www.splcenter.org/blog/wp-content/uploads/2014/03/Israel-Rondon1.jpg</t>
  </si>
  <si>
    <t>15445 Sheldon Road</t>
  </si>
  <si>
    <t>Middleburg</t>
  </si>
  <si>
    <t>44130</t>
  </si>
  <si>
    <t>Cuyahoga County Sheriff's Office</t>
  </si>
  <si>
    <t>Rondon was a sovereign citizen or "freeman" well known to local police. After he violated his parole, three officers came to his house to serve a warrant. He greeted them with a beer in his hand and a rifle. He refused to put the weapon down and instead aimed it at one of the officers. The other two officers shot and killed Rondon. Rondon's rifle misfired, according to police.</t>
  </si>
  <si>
    <t>http://prosecutor.cuyahogacounty.us/en-US/20140715-PR-Prosecutor-concludes-use-of-deadly-force-justified.aspx</t>
  </si>
  <si>
    <t>Brendan K. Wright</t>
  </si>
  <si>
    <t>http://thumbs.mugshots.com/gallery/images/2/bd/53/Brendan-K-Wright_mugshot.400x800.jpg</t>
  </si>
  <si>
    <t>2400 Scott Road</t>
  </si>
  <si>
    <t>Rice</t>
  </si>
  <si>
    <t>99167</t>
  </si>
  <si>
    <t>Stevens County Sheriff's Department</t>
  </si>
  <si>
    <t>Wright was causing a violent disturbance outside a man's house in a rural area. The man called a neighbor, who was a detective with the sheriff's department. The detective was off-duty, but put his uniform on and proceeded to the residence. When the detective arrived, Wright immediately began shooting at him with a shotgun. Wright's BAC was over legal driving limit. Spokane Investigative Regional Response team found shooting justified.</t>
  </si>
  <si>
    <t>http://www.spokesman.com/stories/2014/aug/18/stevens-co-prosecutor-no-charges-officer-involved-/</t>
  </si>
  <si>
    <t>Michael Valentino</t>
  </si>
  <si>
    <t>http://media.nbclosangeles.com/images/652*370/valentino-michael-hollywood-hills-ois.gif</t>
  </si>
  <si>
    <t>8100 Gould Avenue</t>
  </si>
  <si>
    <t>90046</t>
  </si>
  <si>
    <t>Officers responded to a call for domestic violence and went to Valentino's home. Police says he opened fired, and officers returned fire. Valentino had a history of criminal convictions including forgery, battery and burglary.</t>
  </si>
  <si>
    <t>http://www.nbclosangeles.com/news/local/Hollywood-Hills-Shooting-LAPD-Police-Shootout-Michael-Valentino-252672211.html</t>
  </si>
  <si>
    <t>Willie Neall Harden</t>
  </si>
  <si>
    <t>https://apps.azcorrections.gov/mugshots/210560.jpg</t>
  </si>
  <si>
    <t>North 59th Avenue and West McDowell Road</t>
  </si>
  <si>
    <t>85035</t>
  </si>
  <si>
    <t>Harden approached a police sergeant who was parked in a patrol car filling out a report. The sergeant rolled down his window, they began conversing, when suddenly Harden tried to grab the sergeant through the window. There was a struggle, the sergeant shot Harden one time and killed him.</t>
  </si>
  <si>
    <t>http://www.azcentral.com/story/news/local/phoenix/2014/03/25/name-man-killed-phoenix-police-sergent-released-abrk/6874563/</t>
  </si>
  <si>
    <t>Gail Dean Fairless</t>
  </si>
  <si>
    <t>http://www.koco.com/image/view/-/25135332/highRes/1/-/maxh/480/maxw/640/-/14oi4w1/-/Mug-Gail-Fairless-jpg.jpg</t>
  </si>
  <si>
    <t>4300 Northwest 21st Terrace</t>
  </si>
  <si>
    <t>Fairless' wife called police and reported her husband was suicidal and armed. Four officers found Fairless in the master bedroom, sitting on the bed with a handgun close by. Police ordered him to move away from the weapon, instead he allegedly picked the weapon up and all four officers opened fire, killing him. Fairless family requested an investigation but was apparently denied.</t>
  </si>
  <si>
    <t>http://www.koco.com/news/man-killed-in-officerinvolved-shooting-idd-by-oklahoma-city-police/25135226</t>
  </si>
  <si>
    <t>Douglas Cooper</t>
  </si>
  <si>
    <t>http://i1.ytimg.com/vi/fYoM_iHSt0o/0.jpg</t>
  </si>
  <si>
    <t>100 Canton Street</t>
  </si>
  <si>
    <t>02908</t>
  </si>
  <si>
    <t>Police happened across two rival street groups in an active firefight, Cooper among them. Three local plainclothes officers engaged both groups when they were fired on. Cooper was the only shooting victim.</t>
  </si>
  <si>
    <t>http://www.providencejournal.com/breaking-news/content/20140323-update-providence-police-say-undetermined-who-fired-fatal-shot-in-gunfight.ece</t>
  </si>
  <si>
    <t>Brian McLeod</t>
  </si>
  <si>
    <t>http://tribkcpq.files.wordpress.com/2014/04/brianmcleod2.jpg</t>
  </si>
  <si>
    <t>5098 Grandview Drive West</t>
  </si>
  <si>
    <t>Pierce County Sheriff's Department</t>
  </si>
  <si>
    <t>McLeod was an Army veteran with heavy combat experience in Afghanistan. Police were called to McLeod's apartment, where he and an Army buddy had been drinking then fighting. McLeod's friend told police McLeod had stabbed him. McLeod came out carrying a shotgun. When he pointed it at police, a deputy opened fire, killing him. McLeod's friends believe he suffered from PTSD. His family requested and was denied a special coroner's inquest.</t>
  </si>
  <si>
    <t>http://www.military.com/daily-news/2014/07/11/prosecutor-fatal-shooting-of-soldier-justified.html</t>
  </si>
  <si>
    <t>Rajsaun McCray</t>
  </si>
  <si>
    <t>http://bloximages.chicago2.vip.townnews.com/myeasternshoremd.com/content/tncms/assets/v3/editorial/e/15/e1510f2c-b18f-5df2-bfbc-5e4ee9e146c5/533142c71b815.preview-300.jpg</t>
  </si>
  <si>
    <t>1000 Middelton Road</t>
  </si>
  <si>
    <t>Aberdeen</t>
  </si>
  <si>
    <t>21001</t>
  </si>
  <si>
    <t>http://www.myeasternshoremd.com/news/queen_annes_county/article_43def559-3c33-58d2-83aa-f690df5cb7c8.html?mode=jqm</t>
  </si>
  <si>
    <t>Homer Ken Warren</t>
  </si>
  <si>
    <t>Division Street and 25th Street</t>
  </si>
  <si>
    <t>32209</t>
  </si>
  <si>
    <t>Warren was with two other individuals in an automobile known by police to be stolen. A police officer spotted them and after a short pursuit, Warren and the other two individuals parked and fled on foot. The officer pursued on foot, and when Warren turned and pointed a handgun at him, the officer shot Warren multiple times.</t>
  </si>
  <si>
    <t>http://jacksonville.com/news/crime/2014-03-21/story/carjacking-supsects-chased-1-shot-dead-jacksonville-police</t>
  </si>
  <si>
    <t>Aaron Dino Smith Jr.</t>
  </si>
  <si>
    <t>http://www.gannett-cdn.com/-mm-/5873f4735443538603636ed5a1e808455211ca98/c=22-0-690-890&amp;r=537&amp;c=0-0-534-712/local/-/media/Nashville/2014/05/08/aarondinosmith.jpg</t>
  </si>
  <si>
    <t>Elliston Place</t>
  </si>
  <si>
    <t>37203</t>
  </si>
  <si>
    <t>A police officer investigating credit card theft encountered Smith, the suspect pulled a gun and pointed it at the officer. He then fled, hijacking an automobile. An hour later, police cornered Smith near a busy shopping center. Smith now had two guns, and he pointed one at his head and one at his stomach. When he pointed one of the guns at police, five officers open fired, killing him.</t>
  </si>
  <si>
    <t>Alejandro "Alex" Nieto</t>
  </si>
  <si>
    <t>http://hiphopandpolitics.com/wp-content/uploads/2014/03/Screen-Shot-2014-03-25-at-7.43.54-PM.png</t>
  </si>
  <si>
    <t>Bernal Heights Park</t>
  </si>
  <si>
    <t>Police officers were investigating reports of a man with a gun at Bernal Heights Park, acting erratically and threatening passersby. Police said he appeared to reach for a weapon - friends and witnesses suggested it was a Taser stun gun - and officers shot and killed him.</t>
  </si>
  <si>
    <t>http://www.sfgate.com/crime/article/Man-killed-by-S-F-police-was-inspiration-but-5344159.php</t>
  </si>
  <si>
    <t>William Slade Sullivan</t>
  </si>
  <si>
    <t>http://bloximages.newyork1.vip.townnews.com/kdhnews.com/content/tncms/assets/v3/editorial/3/50/3505ff74-d276-11e3-bb76-0017a43b2370/536467f1d200b.preview-300.jpg</t>
  </si>
  <si>
    <t>201 Seton Pkwy</t>
  </si>
  <si>
    <t>Round Rock</t>
  </si>
  <si>
    <t>78665</t>
  </si>
  <si>
    <t>Round Rock Police Department</t>
  </si>
  <si>
    <t>A handicapped man who was pulled from his truck and thrown to the ground by police who thought he was attempting to drive while intoxicated. As a result of the assault, he was paralyzed from the neck down. He died from complications related to the paralysis on 8/18/14.</t>
  </si>
  <si>
    <t>http://kdhnews.com/news/lawyer-florence-man-dies-from-arrest-related-injuries/article_d13c5c94-27f8-11e4-81c1-001a4bcf6878.html?mode=jqm</t>
  </si>
  <si>
    <t>Monty Wayne Barker</t>
  </si>
  <si>
    <t>http://homicide.latimes.com.s3.amazonaws.com/media/homicide/4954780a-fb11-4c9e-ae85-d226bc07ce9d.jpg</t>
  </si>
  <si>
    <t>5249 Mecca Ave.</t>
  </si>
  <si>
    <t>When officers arrived on the scene, Barker walked from the rear of his Mecca Avenue residence to the front, still carrying a shotgun. He confronted the officers and there was an officer-involved shooting.</t>
  </si>
  <si>
    <t>http://homicide.latimes.com/post/monty-wayne-barker/</t>
  </si>
  <si>
    <t>Angel Ruiz</t>
  </si>
  <si>
    <t>http://bloximages.newyork1.vip.townnews.com/montereycountyweekly.com/content/tncms/assets/v3/editorial/3/0f/30f22dd6-b467-11e3-af2d-0017a43b2370/5331f9e1c69f5.preview-300.jpg</t>
  </si>
  <si>
    <t>1488 Constitution Boulevard</t>
  </si>
  <si>
    <t>Ruiz went on a crime spree that allegedly included a hit and run accident in which he shot at a CHP motorcycle officer and the armed robbery of a restaurant. Police confronted Ruiz outside the restaurant. He attempted to go for his gun, and three officers shot and killed him. The weapon turned out to be an Aersoft pellet gun.</t>
  </si>
  <si>
    <t>http://www.montereycountyweekly.com/blogs/news_blog/man-killed-by-salinas-police-linked-to-multiple-crimes-including/article_9ea4dd3e-b466-11e3-90b0-0017a43b2370.html</t>
  </si>
  <si>
    <t>Hector Chairez</t>
  </si>
  <si>
    <t>http://extras.mnginteractive.com/live/media/site570/2014/0325/20140325__MCH-L-bigsur-0326~1_GALLERY.jpg</t>
  </si>
  <si>
    <t>Palo Colorado Canyon Road</t>
  </si>
  <si>
    <t>Big Sur</t>
  </si>
  <si>
    <t>93923</t>
  </si>
  <si>
    <t>Chairez was a parolee at-large who was wanted for multiple felonies. Deputies recognized Chairez's car and tried to pull him over, but he led them on a high-speed chase. During the high-speed chase, California Highway Patrol officers described Chairez as a burglary suspect. Chairez was killed after he bailed out of the car and was running on foot with a female passenger. The woman was captured and arrested.</t>
  </si>
  <si>
    <t>http://www.ksbw.com/news/central-california/monterey/man-killed-by-deputies-in-big-sur-identified/25143778</t>
  </si>
  <si>
    <t>Robert Moreno Jr.</t>
  </si>
  <si>
    <t>http://blogs.ocweekly.com/navelgazing/lil_clumsy_anaheim.jpg</t>
  </si>
  <si>
    <t>1100 Mayfair Avenue</t>
  </si>
  <si>
    <t>Anaheim police was searching for suspects to search for three suspects. Two suspects took off running, but Moreno pulled a handgun out and shot a K-9. Police fired back, killing Moreno.</t>
  </si>
  <si>
    <t>Willie D. Michilak</t>
  </si>
  <si>
    <t>http://cdn.nebraskaradionetwork.com/wp-content/uploads/2014/03/Michalak-Willie.jpg</t>
  </si>
  <si>
    <t>S 11th St &amp; Dorcas St</t>
  </si>
  <si>
    <t>Authorities said as officers approached Michalak, gunshots were fired by multiple officers from multiple agencies. In total, five officers from three agencies fired their duty weapons, two from the Omaha Police Department, two from the United States Marshals Service and one from the U.S. Immigration and Customs Enforcement (ICE).</t>
  </si>
  <si>
    <t>Errol Chang</t>
  </si>
  <si>
    <t>http://www.fatalencounters.org/wp-content/uploads/2013/10/ErrolChang.jpg</t>
  </si>
  <si>
    <t>300 San Pedro Avenue</t>
  </si>
  <si>
    <t>Pacifica</t>
  </si>
  <si>
    <t>94044</t>
  </si>
  <si>
    <t>San Mateo Police Department</t>
  </si>
  <si>
    <t>Officers found Chang in the backyard, but he refused to obey their commands and brandished the ax at them, Spanheimer said. He said officers were told by Chang's relatives that he may have had access to a rifle and ammunition hidden in the house, Spanheimer said... More than six hours after the standoff began, the SWAT team used a flash-bang grenade in hopes of getting Chang to come out of the home, then made their way inside, at which point Chang stabbed one of the officers with a knife, police said.</t>
  </si>
  <si>
    <t>http://www.sfgate.com/crime/article/Daly-City-police-shoot-kill-man-after-standoff-5329745.php</t>
  </si>
  <si>
    <t>Joe Gorden</t>
  </si>
  <si>
    <t>http://blogs.westword.com/latestword/assets_c/2014/03/joe.gorden.facebook.2-thumb-565x706.jpg</t>
  </si>
  <si>
    <t>East 16th Avenue and North Quentin Street</t>
  </si>
  <si>
    <t>80045</t>
  </si>
  <si>
    <t>Officers from the University of Colorado Denver Police Department were initially sent to a parking garage on the campus on a report of a suicidal man. When they found Gorden, he drove off. CU Denver police officers followed him, pulling him over at 16th Avenue and Quentin Street, and that's when shots were fired, hitting the man. He was taken to the emergency department at the University of Colorado Hospital where he was pronounced dead.</t>
  </si>
  <si>
    <t>http://denver.cbslocal.com/2014/03/21/coroner-identifies-man-shot-killed-by-police/</t>
  </si>
  <si>
    <t>Daquan Hendrix</t>
  </si>
  <si>
    <t>198 K St NW</t>
  </si>
  <si>
    <t>20001</t>
  </si>
  <si>
    <t>Capital Area Regional Fugitive Task Force</t>
  </si>
  <si>
    <t>A regional task force was serving a warrant on Hendrix related to the earlier death of another woman. Hendrix left his apartment building and fired at officers, leading them to return fire and fatally kill Hendrix.</t>
  </si>
  <si>
    <t>Winfield Carlton Fisher III</t>
  </si>
  <si>
    <t>http://www.wbaltv.com/image/view/-/25056774/highRes/1/-/yl87ed/-/Winfield-Fisher.jpg</t>
  </si>
  <si>
    <t>2765 N Salisbury Blvd</t>
  </si>
  <si>
    <t>Fisher had received an "safety equipment repair order" for his vehicle and came to the state police barracks to have it approved. The duty officer met him in the parking lot -- then called for help. Two more troopers found the duty officer lying with injuries consistent with being run down, and Fisher in his car, yards away, fatally shot.</t>
  </si>
  <si>
    <t>http://www.wbaltv.com/news/man-killed-during-incident-at-md-state-police-barracks/25051400</t>
  </si>
  <si>
    <t>Ryan Charles Deitrich</t>
  </si>
  <si>
    <t>8600 Oakleigh Road</t>
  </si>
  <si>
    <t>Parkville</t>
  </si>
  <si>
    <t>21234</t>
  </si>
  <si>
    <t>Officers who were called to check on the well-being of a man in the 8600 block of Oakleigh Road. When they arrived, Deitrich was outside his home. He threatened officers with a knife and charged them. At least one officer shot him multiple times. An emergency medical team treated Deitrich lying in the street for about 15 minutes, while tactical units searched the house to make sure no one else was inside.</t>
  </si>
  <si>
    <t>http://www.baltimoresun.com/news/maryland/baltimore-county/parkville/bs-md-co-towson-shooting-0319-20140318,0,812046.story</t>
  </si>
  <si>
    <t>Craig Uran</t>
  </si>
  <si>
    <t>http://www.gannett-cdn.com/-mm-/6a1ea7af7b4b6e444ce35057fe1b2e8bb6fae8ff/c=0-0-450-600&amp;r=183&amp;c=0-0-180-238/local/-/media/Phoenix/GenericImages/2014/03/19//1395261243000-uran.jpg</t>
  </si>
  <si>
    <t>1 East Washington Street</t>
  </si>
  <si>
    <t>85004</t>
  </si>
  <si>
    <t>Hallis Kinsey</t>
  </si>
  <si>
    <t>http://www.millerjosey.com/sitemaker/memsol_data/748/1272988/1272988_profile_pic.jpg?1425610668</t>
  </si>
  <si>
    <t>9638 Plainfield St</t>
  </si>
  <si>
    <t>Kinsey was stopped by police after he allegedly tried to rob a motel patron, and was found making boxing motions in a nearby street. After struggling with the officer, Kinsey was shot after charging at the officer. Hotel guests say they saw the man hanging around overnight. They say he stood around for hours and didn't seem a bother to anyone. They wonder if whatever happened here could have gone differently. "He was just cold and homeless and innocent. I'm thinking he was really mentally ill," said eyewitness Robbie Meraz.</t>
  </si>
  <si>
    <t>http://abclocal.go.com/ktrk/story?section=news%2Flocal&amp;id=9468645</t>
  </si>
  <si>
    <t>Kenny Roger Drake</t>
  </si>
  <si>
    <t>7900 Nicholson Rd</t>
  </si>
  <si>
    <t>30028</t>
  </si>
  <si>
    <t>Forsyth County Sheriff's Office</t>
  </si>
  <si>
    <t>Officers responding to a "routine 911 call" shot and killed Drake after he threatened them with a gun. The county District Attorney cleared the officers of any wrongdoing.</t>
  </si>
  <si>
    <t>William L. Daniels</t>
  </si>
  <si>
    <t>12 S Clinton St</t>
  </si>
  <si>
    <t>City of Poughkeepsie Police Department</t>
  </si>
  <si>
    <t>Police were called after a woman reported that Daniels had taken drugs and began acting violent. Officers attempted to tase Daniels to little effect, and shot him after he lunged at them with a knife.</t>
  </si>
  <si>
    <t>http://www.dailyfreeman.com/general-news/20140319/poughkeepsie-police-id-officer-deceased-suspect-in-monday-shooting</t>
  </si>
  <si>
    <t>Deosaran Maharaj</t>
  </si>
  <si>
    <t>http://wsvn.images.worldnow.com/images/3394598_G.jpg</t>
  </si>
  <si>
    <t>1101 NW 31st Ave</t>
  </si>
  <si>
    <t>Maharaj allegedly threatened a woman with a machete, and was soon pulled over by an officer. He was shot after ignoring the officer's orders to stand down.</t>
  </si>
  <si>
    <t>http://www.nbcmiami.com/news/local/Suspect-Killed-in-Deputy-Involved-Shooting-in-Pompano-Beach-BSO-250583181.html</t>
  </si>
  <si>
    <t>Daniel Martin</t>
  </si>
  <si>
    <t>http://cdn2.newsok.biz/cache/r960-a2ba8a2cbff574ed782d1c3a02a9e368.jpg</t>
  </si>
  <si>
    <t>4100 SW Parkridge Blvd</t>
  </si>
  <si>
    <t>Lawton</t>
  </si>
  <si>
    <t>73505</t>
  </si>
  <si>
    <t>Comanche</t>
  </si>
  <si>
    <t>Lawton Police Department</t>
  </si>
  <si>
    <t>Martin initially called police regarding vandals in his front yard. Officers shot Martin, who suffered from post-traumatic stress disorder and had methamphetamine in his system, after he answered the door holding a gun. The officers were cleared of any wrongdoing.</t>
  </si>
  <si>
    <t>http://www.news9.com/story/24987893/osbi-investigates-deadly-officer-involved-shooting-in-lawton</t>
  </si>
  <si>
    <t>Ronald Wayne Tate</t>
  </si>
  <si>
    <t>23600 S Las Vegas Blvd</t>
  </si>
  <si>
    <t>89019</t>
  </si>
  <si>
    <t>After threatening a number of skydiving employees with a gun, Tate was shot and killed by police after chambering a round into a shotgun pointed toward officers. Tate had no prior criminal history, and had earlier talked about having a bomb in his RV.</t>
  </si>
  <si>
    <t>http://www.mynews3.com/content/news/story/Standoff-with-Metro-SWAT-ends-with-RV-occupant/37u0MWSjcUagXZmutmnPTw.cspx</t>
  </si>
  <si>
    <t>James M. Boyd</t>
  </si>
  <si>
    <t>Tramway Blvd NE &amp; Copper Ave NE</t>
  </si>
  <si>
    <t>Detective Keith Sandy and officer Dominique Perez shot 38-year-old James Boyd after APD responded to the Copper Trailhead after receiving reports of an illegal camper in the Sandia foothills.</t>
  </si>
  <si>
    <t>Brian Garber</t>
  </si>
  <si>
    <t>http://www.gannett-cdn.com/-mm-/23854a3075019acea0972b883bfbd1d497943c5b/c=124-0-835-533&amp;r=x404&amp;c=534x401/local/-/media/Mansfield/2014/08/15/briangarber.jpg</t>
  </si>
  <si>
    <t>Mill Run Road</t>
  </si>
  <si>
    <t>44904</t>
  </si>
  <si>
    <t>Richland County Sheriff's Office</t>
  </si>
  <si>
    <t>Garber became involved in a domestic incident with his estranged wife while having an adverse reaction to an antidepressant he had been prescribed. He left the scene before police arrived and eventually returned to his parents' home, where he was living. He sent a text to his wife that he had a gun and was going to kill her. Police arrived, rushed into his bedroom without any attempt to talk to him and reportedly fired 16 shots, 14 of which hit Garber, killing him. No gun was found.</t>
  </si>
  <si>
    <t>http://www.mansfieldnewsjournal.com/story/news/investigations/2014/08/15/action-mo-shooting-brings-local-case-question/14137475/</t>
  </si>
  <si>
    <t>Derral Kenneth "Kenny" Mosby</t>
  </si>
  <si>
    <t>http://columbian.media.clients.ellingtoncms.com/img/photos/2014/03/07/424622_fricops_gee_creek_1_t410.jpg?abf12a76e9e2bd182938a896e77d4d6f18815d64</t>
  </si>
  <si>
    <t>19306 NE 29th Ave</t>
  </si>
  <si>
    <t>Ridgefield</t>
  </si>
  <si>
    <t>98642</t>
  </si>
  <si>
    <t>Clark County Regional SWAT</t>
  </si>
  <si>
    <t>Mosby, who was wanted by police for a number of burglaries, was found hiding in his parents house and engaged in a short standoff with a SWAT team. He was shot after leaving the home while holding a firearm.</t>
  </si>
  <si>
    <t>http://www.columbian.com/news/2014/mar/14/swat-team-searched-wanted-subject-ridgefield/</t>
  </si>
  <si>
    <t>Jimmy Eugene Barker</t>
  </si>
  <si>
    <t>http://bloximages.chicago2.vip.townnews.com/thedailytimes.com/content/tncms/assets/v3/editorial/f/ba/fba29b8e-ae12-11e3-9ffc-001a4bcf887a/53275c545e946.image.jpg</t>
  </si>
  <si>
    <t>1400 E Duval St</t>
  </si>
  <si>
    <t>Lake City Police Department</t>
  </si>
  <si>
    <t>Barker was shot and killed at a DUI checkpoint after attempting to pull a gun on an officer. The officer was later cleared of any wrongdoing.</t>
  </si>
  <si>
    <t>Raul Altimirano Suarez Jr.</t>
  </si>
  <si>
    <t>N 51st St and E Thomas Rd</t>
  </si>
  <si>
    <t>Police were called to Suarez's home due to his erratic behavior. Upon arrival, Suarez told police that he had taken drugs and threatened to kill the officers. After a brief struggle and failed taser use, an officer fatally shot Suarez.</t>
  </si>
  <si>
    <t>http://www.kpho.com/story/24970140/phoenix-pd-officer-injured-suspect-dead-in-shooting</t>
  </si>
  <si>
    <t>Stanley Preston Thompson</t>
  </si>
  <si>
    <t>2900 Hillview Dr</t>
  </si>
  <si>
    <t>Yuba City</t>
  </si>
  <si>
    <t>95993</t>
  </si>
  <si>
    <t>Yuba City Police Department</t>
  </si>
  <si>
    <t>Police were called to Thompson's home after he allegedly threatened neighbors with a gun, and subsequently engaged gunfire with police intermittently for an hour before succumbing to fatal gunshot wounds. Neighbors said Thompson had shown signs of mental illness.</t>
  </si>
  <si>
    <t>http://www.mercedsunstar.com/2014/03/14/3547169/man-dies-in-shootout-with-yuba.html</t>
  </si>
  <si>
    <t>Eric Paul Andrews</t>
  </si>
  <si>
    <t>6800 Victoria Ave</t>
  </si>
  <si>
    <t>Deputies found the suspect standing over the victim who had been moderately injured by a sharp object, she added. As deputies approached the two, the suspect turned, raised a hatchet over his head and ran toward deputies. A deputy-involved shooting occurred.</t>
  </si>
  <si>
    <t>http://www.sbsun.com/general-news/20140312/highland-deputies-shoot-kill-hatchet-wielding-man</t>
  </si>
  <si>
    <t>Troy David Whisnant</t>
  </si>
  <si>
    <t>http://heavyeditorial.files.wordpress.com/2014/03/whisnant-mug.jpg?w=640&amp;h=473</t>
  </si>
  <si>
    <t>5500 Fish Hatchery Rd</t>
  </si>
  <si>
    <t>28655</t>
  </si>
  <si>
    <t>Burke</t>
  </si>
  <si>
    <t>Whisnant, who earlier had killed his parents in a double homicide, also shot and killed another officer during a massive manhunt. Whisnant was eventually found and shot after exchanging gunfire with other police.</t>
  </si>
  <si>
    <t>http://www2.wataugademocrat.com/News/story/Update-Sheriff-releases-names-in-double-homicide-officer-killing-id-014365</t>
  </si>
  <si>
    <t>Kelly Vern Mark Swoboda</t>
  </si>
  <si>
    <t>http://media.katu.com/images/140128_kelly_vern_swoboda_405.jpg</t>
  </si>
  <si>
    <t>1217 SW Cheltenham St</t>
  </si>
  <si>
    <t>97239</t>
  </si>
  <si>
    <t>An officer shot Swoboda after identifying his van as one involved in an earlier kidnapping, then stopping him and briefly exchanging gunfire. Swoboda was a fugitive and suspected of stalking women in the Portland area, and a grand jury cleared the officer of any charges following the shooting.</t>
  </si>
  <si>
    <t>http://www.oregonlive.com/portland/index.ssf/2014/04/detectives_found_evidence_fugi.html</t>
  </si>
  <si>
    <t>Michael Snyder</t>
  </si>
  <si>
    <t>U.S. Route 90</t>
  </si>
  <si>
    <t>Chipley</t>
  </si>
  <si>
    <t>32428</t>
  </si>
  <si>
    <t>Police were called to Snyder's location and attempted to negotiate with him, asking him to put down what was later revealed to be an air rifle. Snyder refused to do so and was eventually shot by police after pointing the air gun at officers. The shooting was later determined to be justified.</t>
  </si>
  <si>
    <t>http://www.newsherald.com/news/crime-public-safety/fdle-officer-involved-fatal-shooting-ruled-justified-1.374053?page=0</t>
  </si>
  <si>
    <t>Albert William Keyes</t>
  </si>
  <si>
    <t>http://www.gannett-cdn.com/-mm-/2203a2fa5e4d01f89c2156854411118b9f179df5/c=0-1-300-402&amp;r=537&amp;c=0-0-534-712/local/-/media/USATODAY/USATODAY/2014/03/12//1394667338000-Albert-William-Keyes-031214.jpg</t>
  </si>
  <si>
    <t>4609 Poplar Level Rd</t>
  </si>
  <si>
    <t>40213</t>
  </si>
  <si>
    <t>Jefferson County Sheriff's Department</t>
  </si>
  <si>
    <t>Deputies serving a warrant for another man found Keyes instead, who nevertheless fled in a vehicle, eventually stopping and brandishing a knife at officers. Keyes, who was wanted in connection to a number of bank robberies in other states, was fatally shot.</t>
  </si>
  <si>
    <t>http://www.wdrb.com/story/24954338/man-fatally-shot-by-sheriffs-deputies-wasnt-suspect-they-were-looking-for</t>
  </si>
  <si>
    <t>David L. Robinson</t>
  </si>
  <si>
    <t>1799 Woodard St</t>
  </si>
  <si>
    <t>After an early-morning confrontation with an officer, the homeless Robinson was shot and killed in the backyard of an abandoned house. Robinson was armed with a knife at the time of the shooting. He was shot in the back.</t>
  </si>
  <si>
    <t>Andrew Rael</t>
  </si>
  <si>
    <t>http://kpho.images.worldnow.com/images/24929858_BG3.JPG</t>
  </si>
  <si>
    <t>4153 S Priest Dr</t>
  </si>
  <si>
    <t>85282</t>
  </si>
  <si>
    <t>Arizona Department of Public Safety</t>
  </si>
  <si>
    <t>Rael was killed in a shootout with police following a short car chase. He had recently been released from prison and was connected to two recent murders in Arizona.</t>
  </si>
  <si>
    <t>http://www.kpho.com/story/24929858/suspect-shot-dead-by-dps-officersprobably-suspect-in-buckeye-homicide</t>
  </si>
  <si>
    <t>18000 Westphalia Street</t>
  </si>
  <si>
    <t>48025</t>
  </si>
  <si>
    <t>An off-duty Border Patrol agent from California shot and killed an unknown man in a residential area of Detroit after socializing with family members. Remarkably the name of the victim, the circumstances and any justification for the homicide have been withheld from the public without explanation.</t>
  </si>
  <si>
    <t>http://www.clickondetroit.com/news/detroit-police-offduty-border-patrol-agent-involved-in-fatal-shooting-on-citys-east-side/24896026</t>
  </si>
  <si>
    <t>John Weipert</t>
  </si>
  <si>
    <t>http://bloximages.newyork1.vip.townnews.com/newspressnow.com/content/tncms/assets/v3/editorial/5/bb/5bbc2128-6b03-52ad-8d67-79411ee86928/5320f1fb3c7aa.image.jpg</t>
  </si>
  <si>
    <t>1510 S. 41st St.</t>
  </si>
  <si>
    <t>St. Joseph</t>
  </si>
  <si>
    <t>64507</t>
  </si>
  <si>
    <t>Buchanan</t>
  </si>
  <si>
    <t>St. Joseph Police Department</t>
  </si>
  <si>
    <t>http://www.newspressnow.com/news/local_news/article_f508d924-5208-5a01-a84a-57631e99e732.html</t>
  </si>
  <si>
    <t>Ben Shannon</t>
  </si>
  <si>
    <t>Periwinkle Drive</t>
  </si>
  <si>
    <t>03868</t>
  </si>
  <si>
    <t>Strafford</t>
  </si>
  <si>
    <t>Brian P. Spooner</t>
  </si>
  <si>
    <t>http://media.graytvinc.com/images/brian-spooner.JPG</t>
  </si>
  <si>
    <t>700 E Commercial St</t>
  </si>
  <si>
    <t>Oberlin</t>
  </si>
  <si>
    <t>67749</t>
  </si>
  <si>
    <t>Police responding to reports of an armed man making threats shot Spooner after he fled a home and exchanged gunfire with a group of police.</t>
  </si>
  <si>
    <t>http://www.salina.com/news/Oberlin2014-03-12T16-27-32</t>
  </si>
  <si>
    <t>Erdenebileg Sambuunyam</t>
  </si>
  <si>
    <t>http://bullseye-prod.aggrego.org/wp-ag/wp-content/mercury/uploads/sites/33/2014/03/stalking-BGC-03132014.jpg?o=eyJ3aWR0aCI6NjI4LCJoZWlnaHQiOjQ3NiwieCI6MC41LCJ5IjowLjV9&amp;s=b5y1heXN4RElTHzPMWvqoqf6XWc%3D</t>
  </si>
  <si>
    <t>1200 Deerfield Pkwy</t>
  </si>
  <si>
    <t>Buffalo Grove</t>
  </si>
  <si>
    <t>60089</t>
  </si>
  <si>
    <t>Sleepy Hollow Police Department</t>
  </si>
  <si>
    <t>Police arriving on a call of a domestic disturbance found an injured woman along with Sambuunyam chasing another person. The officers shot Sambuunyam, who was under investigation for stalking, after he brandished a knife at them.</t>
  </si>
  <si>
    <t>http://buffalogrove.suntimes.com/2014/03/13/kane-cops-say-man-shot-dead-by-sleepy-hollow-police-was-suspect-in-stalking-incident/</t>
  </si>
  <si>
    <t>Victor White III</t>
  </si>
  <si>
    <t>http://media3.s-nbcnews.com/i/newscms/2014_34/633596/140824-victor-white-file2_e23f82acd335572b3e140a9c62fda718.jpg</t>
  </si>
  <si>
    <t>3616 Par Road 515</t>
  </si>
  <si>
    <t>White was apprehended for fighting and for possession of illegal drugs. Transported to the parish sheriff's office, he refused to exit the vehicle. According to officers and a report from the State Police, while handcuffed White produced a pistol and fatally shot himself in the back. An autopsy from the parish coroner's office released in August 2014 contradicts the initial report and describes White's gunshot wound as a chest wound. Only the first page of the autopsy report was released to the public.</t>
  </si>
  <si>
    <t>http://www1.katc.com/news/autopsy-report-victor-white-iii-shot-in-the-chest-not-back/</t>
  </si>
  <si>
    <t>Floyd Gene Hodge</t>
  </si>
  <si>
    <t>215 Plantation Dr</t>
  </si>
  <si>
    <t>Sebring</t>
  </si>
  <si>
    <t>33876</t>
  </si>
  <si>
    <t>Highlands</t>
  </si>
  <si>
    <t>Highlands County Sheriff's Department</t>
  </si>
  <si>
    <t>Hodge's wife frantically called police to report issues with her husband, who was equipped with a high-powered rifle. Police arrived and engaged in a short gun battle with Hodge, fatally shooting him.</t>
  </si>
  <si>
    <t>Justin Aguilar</t>
  </si>
  <si>
    <t>http://bloximages.chicago2.vip.townnews.com/news-journal.com/content/tncms/assets/v3/editorial/a/e8/ae8c20fa-a894-11e3-8af5-0019bb2963f4/531e242fb5503.image.jpg</t>
  </si>
  <si>
    <t>Avalon Avenue and Edgefield Avenue E</t>
  </si>
  <si>
    <t>75602</t>
  </si>
  <si>
    <t>Justin Aguilar was shot by police after he opened fire against them following an attempted robbery at the New-Way convenience store in the 1300 block of South Green Street.</t>
  </si>
  <si>
    <t>http://www.news-journal.com/news/police/mom-of-robbery-suspect-shot-by-police-i-just-don/article_27eab4f8-a86c-11e3-a4e6-0019bb2963f4.html</t>
  </si>
  <si>
    <t>Herbert Wayne Morehead</t>
  </si>
  <si>
    <t>Taliaferro Springs Rd</t>
  </si>
  <si>
    <t>Lyerly</t>
  </si>
  <si>
    <t>30730</t>
  </si>
  <si>
    <t>Chattooga</t>
  </si>
  <si>
    <t>Chattooga County Sheriff's Department</t>
  </si>
  <si>
    <t>An officer responding to a domestic disturbance call was shot at by Morehead, who was equipped with a high-power rifle. The officer returned fire and fatally shot Morehead, and was later cleared of any wrongdoing by the county District Attorney.</t>
  </si>
  <si>
    <t>http://timesfreepress.com/news/2014/mar/10/one-dead-after-standoff-chattooga-county/</t>
  </si>
  <si>
    <t>Gordon E. Samel</t>
  </si>
  <si>
    <t>http://www.newsmatsu.com/news/1405/images/09samel.jpg</t>
  </si>
  <si>
    <t>Seward Meridian Rd &amp; E Whispering Woods Dr</t>
  </si>
  <si>
    <t>99654</t>
  </si>
  <si>
    <t>Alaska State Troopers</t>
  </si>
  <si>
    <t>A drunk driver was reported in Wasilla, Ak, leading troopers to pursue the driver and eventually corner him in an intersection. Cornered, the Samel's truck quickly reversed towards the officers, prompting them to fire into the cab of the truck, killing Samel and wounding a passenger. Samel suffered from bipolar disorder and was one of the hunters who discovered the body of Chris McCandless, whose death was captured in the book and movie "Into The Wild."</t>
  </si>
  <si>
    <t>http://www.reuters.com/article/2014/03/14/us-usa-alaska-intothewild-idUSBREA2D1LD20140314</t>
  </si>
  <si>
    <t>Emerson Clayton Jr.</t>
  </si>
  <si>
    <t>http://greenecountydemocrat.com/wp-content/uploads/2014/06/Emerson-Crayton-Jr..jpg</t>
  </si>
  <si>
    <t>4727 U.S. 280</t>
  </si>
  <si>
    <t>Alexander City</t>
  </si>
  <si>
    <t>35010</t>
  </si>
  <si>
    <t>Alexander City Police Department</t>
  </si>
  <si>
    <t>An officer responding to calls of a fight at a local restaurant found Clayton in his car and revving the engine. The officer fatally shot Clayton, and was later cleared of wrongdoing by a grand jury despite significant protests.</t>
  </si>
  <si>
    <t>http://www.alexcityoutlook.com/2014/05/28/breaking-grand-jury-finds-officer-not-at-fault-in-huddle-house-shooting-death/</t>
  </si>
  <si>
    <t>John Harmon</t>
  </si>
  <si>
    <t>R St &amp; 13th St</t>
  </si>
  <si>
    <t>95811</t>
  </si>
  <si>
    <t>Harmon was allegedly threatening to commit suicide on a light-rail train in downtown Sacramento, then brandished a knife and implored responding officers to shoot him. Harmon was fatally shot after being tasered twice to little effect.</t>
  </si>
  <si>
    <t>http://www.sacbee.com/2014/03/12/6230774/armed-man-shot-by-police-on-light.html</t>
  </si>
  <si>
    <t>Thomas Hawes</t>
  </si>
  <si>
    <t>http://media2.abc15.com//photo/2013/03/08/hawes_20130308164413_640_480.JPG</t>
  </si>
  <si>
    <t>N. 83rd St. and E. Vista Dr.</t>
  </si>
  <si>
    <t>Police were trying to contact Hawes for questioning about past sex crimes and were following him southbound on 83rd St. Hawes pulled over his vehicle and police said he had a gun pointed at himself. Hawes then exited the vehicle and fired at officers, who returned fire and killed him.</t>
  </si>
  <si>
    <t>http://www.abc15.com/news/region-northeast-valley/scottsdale/scottsdale-police-forced-to-use-deadly-force-on-suicidal-man</t>
  </si>
  <si>
    <t>Veronica Canter</t>
  </si>
  <si>
    <t>San Bruno Ave and N 4th St</t>
  </si>
  <si>
    <t>93710</t>
  </si>
  <si>
    <t>Police were called after Carter entered an apartment of an acquaintance and started acting strange. The 49-year-old allegedly approached officers while holding a kitchen knife, and was fatally tasered before being shot.</t>
  </si>
  <si>
    <t>JoAnna Miller</t>
  </si>
  <si>
    <t>http://www.rawstory.com/rs/wp-content/uploads/2014/03/wcau_miller_140310a-800x430.jpg</t>
  </si>
  <si>
    <t>3000 Stoney Creek Rd</t>
  </si>
  <si>
    <t>Norristown</t>
  </si>
  <si>
    <t>19401</t>
  </si>
  <si>
    <t>Miller's husband accidentally shot her in the head when he was cleaning his gun. She was 22 weeks pregnant, and the child died after an emergency c-section. The killing was ruled accidental.</t>
  </si>
  <si>
    <t>http://www.rawstory.com/rs/2014/03/10/pennsylvania-trooper-fatally-shoots-pregnant-wife-in-the-head-while-cleaning-his-gun/</t>
  </si>
  <si>
    <t>503 West Road</t>
  </si>
  <si>
    <t>77038</t>
  </si>
  <si>
    <t>An off-duty Houston Police officer awoke to find three men breaking into his house, and began firing toward them and then chasing the three. One of the burglars pointed a handgun at the officer, causing the officer to fatally shoot the man.</t>
  </si>
  <si>
    <t>http://www.chron.com/news/houston-texas/houston/article/Off-duty-officer-shoots-burglary-suspect-in-north-5293756.php</t>
  </si>
  <si>
    <t>Kenny Clinton Walker</t>
  </si>
  <si>
    <t>9617 South San Pedro Street</t>
  </si>
  <si>
    <t>http://homicide.latimes.com/post/kenny-clinton-walker/</t>
  </si>
  <si>
    <t>Lonnie Gene Roberts</t>
  </si>
  <si>
    <t>http://bloximages.chicago2.vip.townnews.com/ravallirepublic.com/content/tncms/assets/v3/editorial/2/17/217a963a-afd6-11e3-a014-0019bb2963f4/532a5242d90ec.preview-620.jpg</t>
  </si>
  <si>
    <t>899 Cuff Ln</t>
  </si>
  <si>
    <t>59840</t>
  </si>
  <si>
    <t>Ravalli</t>
  </si>
  <si>
    <t>Ravalli County Sheriff's Department</t>
  </si>
  <si>
    <t>A sheriff's deputy was called to Roberts' home for a domestic disturbance, where he found Roberts acting agitated and accusing the deputy of not being an actual officer. Roberts was shot after picking up a weapon and pointing it at the deputy.</t>
  </si>
  <si>
    <t>http://www.nbcmontana.com/news/officer-involved-shooting-south-of-hamilton/24859042</t>
  </si>
  <si>
    <t>James Stutchman</t>
  </si>
  <si>
    <t>http://kotv.images.worldnow.com/images/24910001_BG1.jpg</t>
  </si>
  <si>
    <t>1300 East First Street</t>
  </si>
  <si>
    <t>74447</t>
  </si>
  <si>
    <t>Okmulgee Police Department</t>
  </si>
  <si>
    <t>Police attempted to stop Stutchman for a traffic violation at 2 a.m. Stutchman sped off and a pursuit ensued. Stutchman crashed his SUV and got out of the vehicle brandishing a handgun. Officers opened fire, hitting Stutchman multiple times and killing him. Stutchman's sister told reporters that her brother had several warrants out for his arrest. Oklahoma State Bureau of Investigation found shooting justified.</t>
  </si>
  <si>
    <t>http://www.news9.com/story/24910001/neighbors-react-to-okmulgee-mans-death</t>
  </si>
  <si>
    <t>Clifford Crowe</t>
  </si>
  <si>
    <t>http://wate.images.worldnow.com/images/24911343_BG4.JPG</t>
  </si>
  <si>
    <t>4111 Tazewell Pike</t>
  </si>
  <si>
    <t>Crowe's sister initially called police and told them that her brother was acting suicidal, and was threatening to shoot anyone who came into his house. Arriving officers found Crowe, who was bipolar, hiding under a bed and began shooting towards the officers, leading them to exchange gunfire at fatally hit Crowe.</t>
  </si>
  <si>
    <t>http://www.wate.com/story/24911343/suicide-call-turns-into-shots-fired-on-officers</t>
  </si>
  <si>
    <t>Robert J. Storay</t>
  </si>
  <si>
    <t>http://www.gannett-cdn.com/-mm-/786c4c7fec9569a09edc8a24d7b9044a7e7c4a42/c=0-10-480-371&amp;r=x404&amp;c=534x401/local/-/media/KTHV/KTHV/2014/03/06//1394133736000-robert-storay.jpg</t>
  </si>
  <si>
    <t>400 South Maple Street</t>
  </si>
  <si>
    <t>72205</t>
  </si>
  <si>
    <t>North Little Rock Police Department</t>
  </si>
  <si>
    <t>Police responded to a call that Storay was causing a disturbance on a city bus. As the officer escorted Storay off the bus, Storay allegedly hit him with a cane. The officer responded by shooting and killing Storay. Storay was a disabled Army veteran who required the cane to walk. In 2011, Storay filed a lawsuit against the North Little Rock Police Department after three officers allegedly assaulted him.</t>
  </si>
  <si>
    <t>http://joeland7.blogspot.com/2014/03/north-little-rock-police-shoot-pulaski_6.html</t>
  </si>
  <si>
    <t>Eddy Barrios</t>
  </si>
  <si>
    <t>E Road</t>
  </si>
  <si>
    <t>LaBelle</t>
  </si>
  <si>
    <t>33935</t>
  </si>
  <si>
    <t>Hendry</t>
  </si>
  <si>
    <t>Hendry County Sheriff's Office</t>
  </si>
  <si>
    <t>Barrios was suspected of battery and police went to his home to interrogate him. They found Barrios in the road outside his home holding a sawed-off shotgun and another firearm. Barrios pointed the firearms in the direction of the deputies, and three out of four of the officers opened fire, killing him. The four officers were placed on leave pending an investigation by the Florida Department of Law Enforcement.</t>
  </si>
  <si>
    <t>http://www.jrn.com/fox4now/news/Deputy-involved-shooting-248722341.html</t>
  </si>
  <si>
    <t>Robert James Gonzales</t>
  </si>
  <si>
    <t>http://www.fatalencounters.org/wp-content/uploads/2013/10/RobertJamesGozalez.jpg</t>
  </si>
  <si>
    <t>1600 Jackson Street</t>
  </si>
  <si>
    <t>81004</t>
  </si>
  <si>
    <t>Police responded to a call that Gonzales was threatening two women at gunpoint in a home. Gonzales fired a shot above one woman's head just as police arrived. Gonzales ignored commands to drop his weapon and instead turned it on police. Police opened fire, killing Gonzales. Pueblo County District Attorney found shooting justified.</t>
  </si>
  <si>
    <t>http://www.krdo.com/news/pueblo-police-chief-talks-about-officerinvolved-shootings/25010024</t>
  </si>
  <si>
    <t>Gary E. Wenzel</t>
  </si>
  <si>
    <t>http://bloximages.newyork1.vip.townnews.com/stltoday.com/content/tncms/assets/v3/editorial/f/84/f84a02f4-de9b-59b6-a34b-832d4485fb0c/5318984566f2d.preview-620.jpg</t>
  </si>
  <si>
    <t>3756 State Highway J</t>
  </si>
  <si>
    <t>Bourbon</t>
  </si>
  <si>
    <t>65441</t>
  </si>
  <si>
    <t>Crawford</t>
  </si>
  <si>
    <t>Bourbon Police Department</t>
  </si>
  <si>
    <t>Wenzel spent ten years in prison on drug-related charges and was well known to local police. Police attempted to pull him over for warrants, but Wenzel eluded them. He was later spotted by another patrol car, and a high-speed chase ensued. Wenzel, who was unarmed, crashed his car. He then approached the first officer at the scene, who shot and killed Wenzel because he felt threatened.</t>
  </si>
  <si>
    <t>http://www.sullivanjournal.com/news/article_83321136-a9e7-11e3-887d-001a4bcf6878.html</t>
  </si>
  <si>
    <t>Andrew Sizemore</t>
  </si>
  <si>
    <t>http://www.gannett-cdn.com/-mm-/8334042135d7f679c06190b7cdf533ced74a407e/c=15-0-465-600&amp;r=537&amp;c=0-0-534-712/local/-/media/Indianapolis/Indianapolis/2014/03/06//1394107533000-sizemore-andrew.jpg</t>
  </si>
  <si>
    <t>1600 South State Avenue</t>
  </si>
  <si>
    <t>46203</t>
  </si>
  <si>
    <t>The officers from Special Weapons and Tactics came under fire from a suspect, Andrew Sizemore, 27, of Indianapolis, who was killed in the gunbattle about 7:41 p.m. in the home in the 1600 block of South State Avenue, according to the Indianapolis Metropolitan Police Department. Indy Star</t>
  </si>
  <si>
    <t>Lew G. Tyree II</t>
  </si>
  <si>
    <t>http://www.baynews9.com/content/dam/news/images/2014/03/1/Lew-Tyree-34.jpg</t>
  </si>
  <si>
    <t>2100 Bloomingdale Villas Court</t>
  </si>
  <si>
    <t>33511</t>
  </si>
  <si>
    <t>Officers responded to calls that Tyree was threatening passersby with a knife and 20-pound dumbbell. Officers attempted to subdue Tyree with a taser to no effect, and shot him when he charged them.</t>
  </si>
  <si>
    <t>http://www.baynews9.com/content/news/baynews9/news/article.html/content/news/articles/bn9/2014/3/4/deputy_involved_shoo.html</t>
  </si>
  <si>
    <t>Federico Osorio</t>
  </si>
  <si>
    <t>10511 SW 108th Ave.</t>
  </si>
  <si>
    <t>33176</t>
  </si>
  <si>
    <t>Osorio's mother called 911 after he threatened to kill her and his sister with knives. Police attempted to use a tazer, which malfunctioned, to subdue Osorio. Armed with knives, he charged at officers who then fatally shot him. Osorio was reported as being bipolar.</t>
  </si>
  <si>
    <t>http://www.local10.com/news/police-investigate-officerinvolved-shooting-in-kendall/24796220</t>
  </si>
  <si>
    <t>Charles Muse III</t>
  </si>
  <si>
    <t>http://img01.funeralnet.com/obit_photo.php?type=obit&amp;fullsize=1&amp;id=1351747&amp;clientid=desmondfuneralhome&amp;rand=1412622318</t>
  </si>
  <si>
    <t>400 Phillips Avenue</t>
  </si>
  <si>
    <t>Clawson</t>
  </si>
  <si>
    <t>48017</t>
  </si>
  <si>
    <t>Police received a call that Muse was armed and threatening his wife and three children. By the time they arrived, his family had escaped and Muse, armed with a shotgun, had barricaded himself in the house. Deputies attempted to get Muse to surrender, but he refused. When a deputy approached the front of the house, Muse shot at him and the deputy fired back, killing Muse. Muse's wife said her husband was intoxicated.</t>
  </si>
  <si>
    <t>http://www.dailytribune.com/general-news/20140306/clawson-man-was-kind-neighbor-churchgoer-before-fatal-shootout-with-police</t>
  </si>
  <si>
    <t>Rebecca Lynn Oliver</t>
  </si>
  <si>
    <t>http://whns.images.worldnow.com/images/7346362_G.jpg</t>
  </si>
  <si>
    <t>255 S 33</t>
  </si>
  <si>
    <t>Duncan</t>
  </si>
  <si>
    <t>29334</t>
  </si>
  <si>
    <t>Duncan Police Department</t>
  </si>
  <si>
    <t>After an officer responded to a couple causing a disturbance and allegedly tampering with a vehicle, the officer shot and killed Oliver when she got behind the wheel of his patrol car and put it in drive.</t>
  </si>
  <si>
    <t>http://www.goupstate.com/article/20140304/ARTICLES/140309896?Title=Chief-Duncan-officer-fatally-shoots-woman-near-I-85</t>
  </si>
  <si>
    <t>Clay Spotted Bear</t>
  </si>
  <si>
    <t>Browning</t>
  </si>
  <si>
    <t>59417</t>
  </si>
  <si>
    <t>Glacier</t>
  </si>
  <si>
    <t>Blackfeet Police Department</t>
  </si>
  <si>
    <t>Blackfeet police officers were responding to reports of a man with a gun. According to the FBI, Spotted Bear was armed during the incident and shots were exchanged, and Spotted Bear was hit during the exchange and died upon arrival at the hospital.</t>
  </si>
  <si>
    <t>http://www.krtv.com/news/fbi-releases-name-of-teen-shot-and-killed-on-blackfeet-reservation/</t>
  </si>
  <si>
    <t>Michael Cravey</t>
  </si>
  <si>
    <t>http://www.ocala.com/apps/pbcsi.dll/bilde?Site=OS&amp;Date=20140303&amp;Category=ARTICLES&amp;ArtNo=140309940&amp;Ref=V2&amp;MaxW=728&amp;logo=/images/watermark.gif&amp;logoxpos=0&amp;logoypos=0</t>
  </si>
  <si>
    <t>3750 SW Archer Rd</t>
  </si>
  <si>
    <t>Gainesville</t>
  </si>
  <si>
    <t>32608</t>
  </si>
  <si>
    <t>Gainesville Police Department</t>
  </si>
  <si>
    <t>Cravey was being chased after he allegedly stabbed a stranger on University of Florida campus. After wrecking his vehicle, he allegedly approached officers with a raised hatchet.</t>
  </si>
  <si>
    <t>http://www.gainesville.com/article/20140303/ARTICLES/140309941</t>
  </si>
  <si>
    <t>William Thornton</t>
  </si>
  <si>
    <t>43rd Avenue and Bethany Home Road</t>
  </si>
  <si>
    <t>85301</t>
  </si>
  <si>
    <t>Two officers on fugitive apprehension detail were pursuing a suspect wanted on a felony warrant at about 3:20 p.m. Thornton, realizing he was being followed, collided with several other vehicles at 43rd Avenue and Bethany Home Road. Two people were injured in the crash - a 50-year-old man and an 83-year-old woman. Thornton fled on foot around a building. The officers got out of their car and chased Thornton. The suspect started shooting at the two officers. A third undercover officer with the fugitive apprehension squad appeared on the scene and heard gunshots. The officer saw the suspect shooting at the two other officers. The third officer shot and killed Thornton.</t>
  </si>
  <si>
    <t>http://www.kpho.com/story/24874138/pd-2-officers-shot-in-phoenix</t>
  </si>
  <si>
    <t>Gabriella Monique Nevarez</t>
  </si>
  <si>
    <t>7323 Sunset Ave</t>
  </si>
  <si>
    <t>Fair Oaks</t>
  </si>
  <si>
    <t>95628</t>
  </si>
  <si>
    <t>Citrus Heights police spokesman Bryan Fritsch said officers had pulled over a suspected stolen vehicle at about 11:30 a.m. on the 7000 block of Madison Avenue. The female occupant rammed one police vehicle and then drove away, leading to a pursuit at up to 70 mph. She subsequently rammed a second police vehicle on the 7500 block of Sunset Avenue just east of San Juan Avenue. At that point, officers shot and killed her.</t>
  </si>
  <si>
    <t>http://www.kcra.com/news/officers-shoot-at-woman-in-stolen-vehicle-in-citrus-heights/24766092</t>
  </si>
  <si>
    <t>Robert Joseph Minjarez Jr.</t>
  </si>
  <si>
    <t>http://www.kinchenfuneralhome.com/fh_live/10900/10975/images/obituaries/2476096.jpg</t>
  </si>
  <si>
    <t>120 East Pont Des Mouton Road</t>
  </si>
  <si>
    <t>Lafayette</t>
  </si>
  <si>
    <t>70507</t>
  </si>
  <si>
    <t>Lafayette Parish Sheriff's Office, Carencro Police Department, Scott Police Department</t>
  </si>
  <si>
    <t>Minjarez was hallucinating when police were called. Minjarez was then pinned facedown to the ground by 3 or 4 officers. One officer was on his legs, another on his thighs, and two on his back. According to an audio recording from the scene, Minjarez is heard pleading for his life, repeatedly telling the officers he was unable to breathe. He was arrested and died six days later. The autopsy ruled Minjarez's death a homicide.</t>
  </si>
  <si>
    <t>http://theind.com/article-18557-another-dead-at-the-hands-of-local-police.html</t>
  </si>
  <si>
    <t>Ryan Matthew Shannon</t>
  </si>
  <si>
    <t>Don Julio Boulevard and Antelope Road</t>
  </si>
  <si>
    <t>Antelope</t>
  </si>
  <si>
    <t>95843</t>
  </si>
  <si>
    <t>Deputies were responding to a report of shots fired. When they approached Shannon, he fired on them. They shot and killed him.</t>
  </si>
  <si>
    <t>http://www.sacbee.com/news/local/crime/article2592271.html</t>
  </si>
  <si>
    <t>Anthony Kovac</t>
  </si>
  <si>
    <t>2000 Old Hwy 79</t>
  </si>
  <si>
    <t>O'Fallon</t>
  </si>
  <si>
    <t>63366</t>
  </si>
  <si>
    <t>Saint Charles County Sheriff's Office</t>
  </si>
  <si>
    <t>Kovac was shot in a home after threatening to hurt himself and then pointing the gun at a responding officer.</t>
  </si>
  <si>
    <t>http://www.stltoday.com/news/local/crime-and-courts/suicidal-man-killed-after-pointing-gun-at-st-charles-county/article_815fa09e-dcf5-5cbb-93f4-1e5cd24de1a5.html</t>
  </si>
  <si>
    <t>Marquise Jones</t>
  </si>
  <si>
    <t>http://opnateye.com/wp-content/uploads/2014/03/Marquise-Jones.png</t>
  </si>
  <si>
    <t>8614 Perrin Beitel Road</t>
  </si>
  <si>
    <t>Jones was the passenger in a car involved in a minor accident in a drive-through restaurant, exited the vehicle, and attempted to run away. An off-duty but uniformed SAPD officer working security shot him in the back on the claim that Jones had a weapon. Many witnesses dispute the officer's account.</t>
  </si>
  <si>
    <t>http://www.mysanantonio.com/news/local/article/Off-duty-SAPD-officer-fatally-shoots-man-on-5276687.php</t>
  </si>
  <si>
    <t>Maykel Antonio Barrera</t>
  </si>
  <si>
    <t>http://www.nbcmiami.com/news/local/Miami-Dade-Officers-Injured-After-Responding-to-Domestic-Disturbance-247765331.html</t>
  </si>
  <si>
    <t>21240 SW 202nd St</t>
  </si>
  <si>
    <t>33177</t>
  </si>
  <si>
    <t>Barrera was tasered after fleeing a police response to a domestic-disturbance call in his apartment.</t>
  </si>
  <si>
    <t>http://www.miamiherald.com/2014/02/28/3965145/gerogia-man-visiting-family-in.html</t>
  </si>
  <si>
    <t>Robert Striffler</t>
  </si>
  <si>
    <t>http://www.wesh.com/image/view/-/24750854/medRes/1/-/maxh/460/maxw/620/-/70ddxlz/-/Robert-Striffler.jpg</t>
  </si>
  <si>
    <t>2825 Judge Fran Jamieson Way</t>
  </si>
  <si>
    <t>32940</t>
  </si>
  <si>
    <t>Striffler was shot after brandishing a gun in the traffic circle outside courthouse after law enforcement failed to taser him and he attempted to flee the shootout. Records state he'd threatened to bomb the courthouse two weeks prior.</t>
  </si>
  <si>
    <t>http://www.clickorlando.com/news/gunman-prompts-lockdown-at-brevard-county-courthouse/-/1637132/24732712/-/56lgb4z/-/index.html</t>
  </si>
  <si>
    <t>Treon "Tree" Johnson</t>
  </si>
  <si>
    <t>http://media.nbcmiami.com/images/1200*675/Treon-Johnson.jpg</t>
  </si>
  <si>
    <t>East 7th Avenue and 24th Street</t>
  </si>
  <si>
    <t>33013</t>
  </si>
  <si>
    <t>Police said they responded to a 911 emergency disturbance call in the area of East 7th Avenue and 24th Street and found Johnson was beating two dogs. Johnson resisted arrest and was shot with a Taser. He died later after several hospital transfers.</t>
  </si>
  <si>
    <t>http://www.nbcmiami.com/news/local/Family-Friends-Mourn-Man-Fatally-Shot-With-Police-Taser-250479101.html</t>
  </si>
  <si>
    <t>Ye Hua Jian</t>
  </si>
  <si>
    <t>Interstate 95</t>
  </si>
  <si>
    <t>Norwalk</t>
  </si>
  <si>
    <t>06854</t>
  </si>
  <si>
    <t>A man who slashed two passengers in a box-cutter rampage aboard a casino-bound tour bus was shot to death on Interstate 95 by a Connecticut state trooper, who also accidentally shot one of the injured passengers</t>
  </si>
  <si>
    <t>http://www.nbcconnecticut.com/news/local/I-95-North-Closed-in-Norwalk-279226252.html</t>
  </si>
  <si>
    <t>Gray Hill Court</t>
  </si>
  <si>
    <t>Police shot and killed a man in Shelbyville on Tuesday night after he barricaded himself inside his house and fired on officers "numerous times,"</t>
  </si>
  <si>
    <t>http://www.kentucky.com/2014/02/26/3109277/police-shoot-man-who-fired-at.html</t>
  </si>
  <si>
    <t>John Edward Chesney</t>
  </si>
  <si>
    <t>http://media.nbcsandiego.com/images/1200*675/john+chesney+ois+.JPG</t>
  </si>
  <si>
    <t>900 Broadway</t>
  </si>
  <si>
    <t>92101</t>
  </si>
  <si>
    <t>John Edward Chesney, 62, was shot and killed by police in his apartment after an hour long standoff. Chesney was said to be suicidal at the time of his death.</t>
  </si>
  <si>
    <t>Scott Islam</t>
  </si>
  <si>
    <t>North Logan Ave and Kimber Street</t>
  </si>
  <si>
    <t>Danville</t>
  </si>
  <si>
    <t>61832</t>
  </si>
  <si>
    <t>Vermilion</t>
  </si>
  <si>
    <t>Danville Police Department</t>
  </si>
  <si>
    <t>Islam was shot after a car chase with police that ended in a shootout.</t>
  </si>
  <si>
    <t>Vanessa Pitofsky</t>
  </si>
  <si>
    <t>http://cbsdallas.files.wordpress.com/2014/02/vanessa-and-nick-pitofsky.jpg?w=620&amp;h=349&amp;crop=1</t>
  </si>
  <si>
    <t>1800 Browder St</t>
  </si>
  <si>
    <t>Crandall Police Department</t>
  </si>
  <si>
    <t>http://www.wfaa.com/story/local/2014/10/05/14175584/</t>
  </si>
  <si>
    <t>Billie Joe Woolford</t>
  </si>
  <si>
    <t>395 Labadie Court</t>
  </si>
  <si>
    <t>Ecorse</t>
  </si>
  <si>
    <t>48229</t>
  </si>
  <si>
    <t>Downriver SWAT Team</t>
  </si>
  <si>
    <t>Woolford was acting agitated in his trailer park neighborhood and a park employee called the police. SWAT was called, who Woolford fired on. SWAT shot him.</t>
  </si>
  <si>
    <t>Harold Lynn Phelps</t>
  </si>
  <si>
    <t>http://media2.abc15.com/photo/2014/02/25/KNXV%20Harold%20Phelps_1393386295241_3150912_ver1.0_640_480.jpg</t>
  </si>
  <si>
    <t>9860 E. Broadway Road</t>
  </si>
  <si>
    <t>85208</t>
  </si>
  <si>
    <t>After being identified as a bank robbery suspect, Phelps led law enforcement on an extended chase before being shot to death after threatening officers.</t>
  </si>
  <si>
    <t>http://www.azcentral.com/community/gilbert/articles/20140225gilbert--officer-involved-shooting-abrk.html</t>
  </si>
  <si>
    <t>Bobby Canipe</t>
  </si>
  <si>
    <t>http://wbtw.images.worldnow.com/images/24833263_BG2.JPG</t>
  </si>
  <si>
    <t>Clover</t>
  </si>
  <si>
    <t>York County Sheriff's Office</t>
  </si>
  <si>
    <t>York County deputies say an officer shot a 70-year-old man reaching for a cane during a traffic stop because he thought the man was grabbing a rifle from the bed of his pickup truck.</t>
  </si>
  <si>
    <t>http://www.wbtw.com/story/24833263/70-year-old-man-reaching-for-cane-is-shot-during-sc-traffic-stop</t>
  </si>
  <si>
    <t>Gregory Sanders</t>
  </si>
  <si>
    <t>http://i.ytimg.com/vi/JuuCm2lsStc/hqdefault.jpg</t>
  </si>
  <si>
    <t>1200 Lincoln Avenue</t>
  </si>
  <si>
    <t>45206</t>
  </si>
  <si>
    <t>Sanders called 911 to report that he had just stabbed his mother to death. When police arrived, he approached with a rifle in his hands. Three officers opened fire when he refused to drop the weapon.</t>
  </si>
  <si>
    <t>http://www.fox19.com/story/24802127/one-man-dead-after-being-stabbed-in-walnut-hills</t>
  </si>
  <si>
    <t>Joseph Ma</t>
  </si>
  <si>
    <t>http://opnateye.com/wp-content/uploads/2014/02/Joseph-Ma.png</t>
  </si>
  <si>
    <t>Lorena Avenue and Bardell Avenue</t>
  </si>
  <si>
    <t>Police pulled over a car for not having plates. Three suspects ran and officers pursued, fatally shooting one who was armed.</t>
  </si>
  <si>
    <t>http://abclocal.go.com/kfsn/story?section=news%2Flocal&amp;id=9442643</t>
  </si>
  <si>
    <t>Armando Alvarez</t>
  </si>
  <si>
    <t>5600 E 9th Street</t>
  </si>
  <si>
    <t>85711</t>
  </si>
  <si>
    <t>Alvarez was suspected of bank robbery and was apprehended by police after fleeing the scene. He allegedly pointed something, later found to be a wrench-like tool, at the officers who then opened fire.</t>
  </si>
  <si>
    <t>http://www.jrn.com/kgun9/news/Police-responding-to-officer-involved-shooting--246690951.html</t>
  </si>
  <si>
    <t>Antonio Guzman Lopez</t>
  </si>
  <si>
    <t>https://www.indybay.org/uploads/2014/03/23/josiah_and_antonio_lopez_san_jose.jpg</t>
  </si>
  <si>
    <t>South 8th Street and San Salvador Street</t>
  </si>
  <si>
    <t>95112</t>
  </si>
  <si>
    <t>San Jose State University Police</t>
  </si>
  <si>
    <t>Two officers responded to a call about a man carrying a knife. Lopez was carrying a drywall saw he used for his job. After approaching one officer and refusing to drop the saw, he was shot twice in the back.</t>
  </si>
  <si>
    <t>http://sanfrancisco.cbslocal.com/2014/02/21/reports-of-officer-involved-shooting-near-san-jose-sate-university/</t>
  </si>
  <si>
    <t>James Marlowe Ness</t>
  </si>
  <si>
    <t>U.S. Highway 2</t>
  </si>
  <si>
    <t>Glacier County Sheriff's Department</t>
  </si>
  <si>
    <t>Ness left his home with a shotgun and no indication of where he was going. His wife called police to conduct a welfare check. After a multi-county car chase, deputies fatally shot Ness who allegedly fired upon law enforcement with the shotgun. Ness was described as suicidal.</t>
  </si>
  <si>
    <t>http://flatheadbeacon.com/2014/02/22/helena-man-shot-and-killed-after-high-speed-chase-on-marias-pass/</t>
  </si>
  <si>
    <t>David Goins</t>
  </si>
  <si>
    <t>97 Paseo Grande</t>
  </si>
  <si>
    <t>San Lorenzo</t>
  </si>
  <si>
    <t>94580</t>
  </si>
  <si>
    <t>Deputies responding to a paramedic dispute fatally shot Goins after he became combative with a baseball bat after they entered his home for a welfare check. Goins was apparently suffering a seizure at the time of the response.</t>
  </si>
  <si>
    <t>http://www.timesheraldonline.com/news/ci_25169426/san-lorenzo-man-dies-officer-involved-shooting</t>
  </si>
  <si>
    <t>Jesus Flores-Cruz</t>
  </si>
  <si>
    <t>Alta Road</t>
  </si>
  <si>
    <t>92154</t>
  </si>
  <si>
    <t>http://www.nbcsandiego.com/news/local/Shooting-San-Diego-Border-Patrol-Otay-Truck-Trail--245985161.html</t>
  </si>
  <si>
    <t>Randy Ray Vinson</t>
  </si>
  <si>
    <t>http://kltv.images.worldnow.com/images/3313007_G.jpg</t>
  </si>
  <si>
    <t>Rabbit Creek Drive</t>
  </si>
  <si>
    <t>Kilgore</t>
  </si>
  <si>
    <t>75662</t>
  </si>
  <si>
    <t>Gregg County Sheriff's Office, Kilgore Police Department</t>
  </si>
  <si>
    <t>Elizabeth Ann Vinson was shot and killed in a vehicle outside a residence. When officers arrived at the home, her brother-in-law 37-year-old Randy Ray Vinson, armed with a rifle, was on the bridge over Rabbit Creek. When Randy fired his weapon, he was shot and killed by officers from the Kilgore Police Department and the Gregg County Sheriff's Department.</t>
  </si>
  <si>
    <t>http://www.news-journal.com/news/police/police-release-name-of-woman-killed-gun-shot-by-officers/article_a840e406-98bd-11e3-ae3d-001a4bcf887a.html</t>
  </si>
  <si>
    <t>Oscar Gaspar</t>
  </si>
  <si>
    <t>http://www.guns.com/wp-content/uploads/2014/02/Screenshot-126.jpg</t>
  </si>
  <si>
    <t>700 West Gulf Bank Road</t>
  </si>
  <si>
    <t>77088</t>
  </si>
  <si>
    <t>Off-duty officer witnessed two suspects beating a pedestrian outside of a convenience store. Officer told them to stop and was approached by one suspect who apparently brandished a gun. Officer fired from his truck.</t>
  </si>
  <si>
    <t>http://abclocal.go.com/ktrk/story?section=news%2Flocal&amp;id=9434538</t>
  </si>
  <si>
    <t>66106</t>
  </si>
  <si>
    <t>John E. Brown II</t>
  </si>
  <si>
    <t>6600 Ohio Avenue</t>
  </si>
  <si>
    <t>46323</t>
  </si>
  <si>
    <t>Hammond Police Department</t>
  </si>
  <si>
    <t>Police responding to a domestic disturbance fatally shot Brown after he stabbed his wife and brandished two knives at police.</t>
  </si>
  <si>
    <t>http://www.nwitimes.com/news/local/lake/hammond/man-dies-in-cop-related-shooting-in-hammond/article_9e95243b-9294-5d4e-bfa4-8fa4a7594b93.html</t>
  </si>
  <si>
    <t>Yvette Smith</t>
  </si>
  <si>
    <t>http://www.policestateusa.com/wp-content/uploads/2014/02/Yvette-Smith-272x300.jpg</t>
  </si>
  <si>
    <t>105 Zimmerman Avenue</t>
  </si>
  <si>
    <t>Bastrop</t>
  </si>
  <si>
    <t>78602</t>
  </si>
  <si>
    <t>Bastrop County Sheriff's Office</t>
  </si>
  <si>
    <t>Bastrop deputies responded to a 911 call regarding gunshots. Reports are unclear as to what exactly happened. Yvette was shot when coming out the door at the direction of the police. They may have believed she had a gun, though she did not. The Sheriff's department initially claimed that she was disregarding officer commands, but later retracted that statement</t>
  </si>
  <si>
    <t>http://www.scribd.com/doc/208230113/Yvette-Smith-Shooting-First-Police-Statement</t>
  </si>
  <si>
    <t>Keith Atkinson</t>
  </si>
  <si>
    <t>http://media.nola.com/tpphotos/photo/2014/02/14299610-standard.jpg</t>
  </si>
  <si>
    <t>8638 Belfast St</t>
  </si>
  <si>
    <t>70118</t>
  </si>
  <si>
    <t>Police say that Atkinson was a perceived threat when officers encountered him for allegedly shoplifting juice from a convenient store. Police say a gun was found near his body.</t>
  </si>
  <si>
    <t>http://www.nola.com/crime/index.ssf/2014/02/family_of_man_slain_by_nopd_of.html</t>
  </si>
  <si>
    <t>Efland</t>
  </si>
  <si>
    <t>15100 Perdido Drive</t>
  </si>
  <si>
    <t>32828</t>
  </si>
  <si>
    <t>Man was reported to have been threatening his family with shotgun. After standoff, was shot once by deputy after refusing to lower shotgun.</t>
  </si>
  <si>
    <t>http://www.wesh.com/news/central-florida/orange-county/man-fatally-shot-after-aiming-shotgun-at-deputies/24514162#mid=18357185</t>
  </si>
  <si>
    <t>Riley Leif Ottersen</t>
  </si>
  <si>
    <t>http://ak-cache.legacy.net/legacy/images/Cobrands/Spokesman/Photos/43B745ED07d0e23692Wkm3721F8F_0_43B745ED07d0e23803Lnx372A75F_031450.jpg</t>
  </si>
  <si>
    <t>5335 92nd St SW</t>
  </si>
  <si>
    <t>Mukilteo</t>
  </si>
  <si>
    <t>98275</t>
  </si>
  <si>
    <t>Snohomish County Multi-Agency Response Team</t>
  </si>
  <si>
    <t>Police began pursuing Ottersen after an earlier double shooting, and engaged in a high-speed pursuit that ended when he crashed his car into a ditch. Police shot Otterson after he went for his gun, and he died a month later.</t>
  </si>
  <si>
    <t>http://heraldnet.com/article/20140318/NEWS01/140319163/Man-shot-by-police-last-month-in-Mukilteo-dies</t>
  </si>
  <si>
    <t>Bernard Lofton</t>
  </si>
  <si>
    <t>1800 Spence St.</t>
  </si>
  <si>
    <t>21230</t>
  </si>
  <si>
    <t>Two officers walked into a southwest Baltimore home to investigate a report of a burglary and found two men inside wearing clothing bearing the word "police." One of the men was armed with a handgun, police said, and two officers fatally shot him after he did not follow orders to drop his weapon. The man who was killed was identified as Bernard Lofton, 22, of Parkville.</t>
  </si>
  <si>
    <t>http://articles.baltimoresun.com/2014-02-15/news/bs-md-ci-police-involved-shootings-ids-20140215_1_two-officers-shootings-cash-register</t>
  </si>
  <si>
    <t>Luis Antonio Elena Rodriguez</t>
  </si>
  <si>
    <t>http://www.koco.com/image/view/-/24682116/medRes/2/-/maxh/480/maxw/640/-/uyw3nj/-/img-Family-releases-video-of-Norman-man-s-in-custody-death-at-Warren-Theater.jpg</t>
  </si>
  <si>
    <t>Warren Theatre, 1000 S Telephone Rd</t>
  </si>
  <si>
    <t>73160</t>
  </si>
  <si>
    <t>Moore Police Department</t>
  </si>
  <si>
    <t>Officers confronted Luis Rodriguez and asked to see his identification. According to Lunahi and Nair Rodriguez , he tried to bypass the officers to stop his wife from driving off because she was so angry. They said officers took him down and it escalated.Lunahi Rodriguez said that five officers beat her father to death right in front of her, in the parking lot of the movie theater.</t>
  </si>
  <si>
    <t>http://www.news9.com/story/24735856/family-says-moore-police-beat-father-to-death</t>
  </si>
  <si>
    <t>Jeffrey M. Harris</t>
  </si>
  <si>
    <t>http://media.syracuse.com/news/photo/2014/02/14293582-small.jpg</t>
  </si>
  <si>
    <t>11 Barber Street</t>
  </si>
  <si>
    <t>13021</t>
  </si>
  <si>
    <t>Cayuga</t>
  </si>
  <si>
    <t>Auburn Police Department</t>
  </si>
  <si>
    <t>Two officers were involved in the killing of an estranged husband who had broken into his wife's home and attacked with a meat cleaver, Auburn police said.</t>
  </si>
  <si>
    <t>http://www.syracuse.com/news/index.ssf/2014/02/auburn_police_name_two_officers_involved_in_shooting_of_estranged_husband_who_at.html</t>
  </si>
  <si>
    <t>Brandon Keeler</t>
  </si>
  <si>
    <t>1100 Sipple Avenue</t>
  </si>
  <si>
    <t>45011</t>
  </si>
  <si>
    <t>Keeler was openly firing an AK-47 in a residential area. He struck an officer who returned fire and killed Keeler.</t>
  </si>
  <si>
    <t>http://news.cincinnati.com/article/20140215/NEWS/302150037/AirCare-responds-officer-involved-shooting-Hamilton</t>
  </si>
  <si>
    <t>http://www.reviewjournal.com/sites/default/files/field/media/web1_WEB_Berghardt_Red_Rock_OIS_mug_1.jpg</t>
  </si>
  <si>
    <t>Calico Basin Road and Blue Diamond Road</t>
  </si>
  <si>
    <t>89161</t>
  </si>
  <si>
    <t>Bureau of Land Management</t>
  </si>
  <si>
    <t>A pedestrian in the Red Rock Canyon National Conservation Area got in an argument with two bicyclists. Upon arrival of NHP a struggle ensued, and the pedestrian was killed.</t>
  </si>
  <si>
    <t>Christopher Roupe</t>
  </si>
  <si>
    <t>http://media.cmgdigital.com/shared/lt/lt_cache/thumbnail/615/img/photos/2014/02/18/c9/ca/Teen_Killed.jpg</t>
  </si>
  <si>
    <t>937 Euharlee Road</t>
  </si>
  <si>
    <t>Euharlee</t>
  </si>
  <si>
    <t>Euharlee Police Department</t>
  </si>
  <si>
    <t>http://www.wsbtv.com/news/news/local/euharlee-police-officer-wont-be-charged-fatal-shoo/nggyG/</t>
  </si>
  <si>
    <t>Jose Manuel Meza Avendano</t>
  </si>
  <si>
    <t>19th Avenue and McDowell Road</t>
  </si>
  <si>
    <t>Officers approached suspicious looking vehicle. Avendano was shot after swinging a sword at officers, who were unable to use a Taser.</t>
  </si>
  <si>
    <t>Javier Mendez</t>
  </si>
  <si>
    <t>19100 Elberland Street</t>
  </si>
  <si>
    <t>91792</t>
  </si>
  <si>
    <t>http://www.sgvtribune.com/general-news/20140214/man-killed-in-west-covina-area-deputy-involved-shooting-is-identified</t>
  </si>
  <si>
    <t>Joseph R. Wharton</t>
  </si>
  <si>
    <t>http://www.lewiscountysirens.com/wp-content/uploads/2014/02/2014.0214.joseph.wharton.jpg</t>
  </si>
  <si>
    <t>1200 Mellen Street</t>
  </si>
  <si>
    <t>Wharton was running from an officer after he approached him outside Fiddler's Coffee shop. He turned and showed a knife halfway through the chase and was shot when he attempted to scale a fence.</t>
  </si>
  <si>
    <t>Stephon Averyhart</t>
  </si>
  <si>
    <t>http://blogs.riverfronttimes.com/dailyrft/stephon.jpg</t>
  </si>
  <si>
    <t>5300 Union Blvd</t>
  </si>
  <si>
    <t>63115</t>
  </si>
  <si>
    <t>Detectives were in pursuit of the deceased and were able to disable his vehicle. After a brief foot chase, police say the suspect pointed a gun at their direction at which time the officers opened fire multiple times causing death.</t>
  </si>
  <si>
    <t>http://blogs.riverfronttimes.com/dailyrft/2014/02/police_kill_stephon_averyhart.php</t>
  </si>
  <si>
    <t>Dennis Grohn</t>
  </si>
  <si>
    <t>http://bloximages.chicago2.vip.townnews.com/chippewa.com/content/tncms/assets/v3/editorial/1/3a/13a1a89f-de48-566c-9fc3-caba76051f05/5329a5650f921.preview-300.jpg</t>
  </si>
  <si>
    <t>E5480 708th Ave.</t>
  </si>
  <si>
    <t>Menomonie</t>
  </si>
  <si>
    <t>54751</t>
  </si>
  <si>
    <t>Eau Claire S.W.A.T</t>
  </si>
  <si>
    <t>After SWAT entered the home, Grohn charged two officers and wrestled one to the ground. Shot once by both officers.</t>
  </si>
  <si>
    <t>Pamela Hutcherson</t>
  </si>
  <si>
    <t>1500 Bridgecrest Drive.</t>
  </si>
  <si>
    <t>37013</t>
  </si>
  <si>
    <t>Officers arrived at Hutcherson's residence with gun making suicidal threats. She closed door of her home on officers who then made a forced entry into home. She allegedly pointed gun at officers who then shot her. She died from her wounds at hospital.</t>
  </si>
  <si>
    <t>http://www.tennessean.com/story/news/crime/2014/02/11/shooting-reported-at-antioch-townhome/5404479/</t>
  </si>
  <si>
    <t>Jedadiah Zillmer</t>
  </si>
  <si>
    <t>http://assets.nydailynews.com/polopoly_fs/1.1769091.1398454908!/img/httpImage/image.jpg_gen/derivatives/article_970/veteran26n-3-web.jpg?enlarged</t>
  </si>
  <si>
    <t>14700 E Indiana Ave</t>
  </si>
  <si>
    <t>Spokane Valley</t>
  </si>
  <si>
    <t>99216</t>
  </si>
  <si>
    <t>A motorist described as despondent and possibly suicidal was shot and killed following a police chase that ended near Spokane Valley Mall.</t>
  </si>
  <si>
    <t>Anthony Bartley</t>
  </si>
  <si>
    <t>http://www.news4jax.com/image/view/-/27727962/medRes/1/-/4nbd3xz/-/More-from-Nassau-police-shooting-911-calls.jpg</t>
  </si>
  <si>
    <t>Amelia Concourse southeast of Yulee</t>
  </si>
  <si>
    <t>32034</t>
  </si>
  <si>
    <t>Several neighbors called the police on Anthony after he had gotten in a fight with someone whose house he spent the night at. One officer came, they got in an argument, the officer used a Taser gun on him but did not have the desired effect. The officer then proceeded to shoot him once, when Anthony did not go to the ground the officer shot him 4-5 more times until he was pronounced dead.</t>
  </si>
  <si>
    <t>http://fernandinaobserver.com/2014/08/25/north-hampton-shooting-summary-of-facts-from-states-attorney-investigation/</t>
  </si>
  <si>
    <t>Ernest Satterwhite</t>
  </si>
  <si>
    <t>http://i.kinja-img.com/gawker-media/image/upload/s--fP71seuY--/ltnicvlp7f9vjat3txmq.jpg</t>
  </si>
  <si>
    <t>Rose Drive</t>
  </si>
  <si>
    <t>29860</t>
  </si>
  <si>
    <t>Edgefield</t>
  </si>
  <si>
    <t>North Augusta Department of Public Safety</t>
  </si>
  <si>
    <t>Officer Craven chased Satterwhite for 9 miles beyond city limits to the man's driveway in Edgefield County. After Satterwhite parked, the officer repeatedly fired through the driver-side door, prosecutors said. The 25-year-old officer faces up to 10 years in prison if convicted of the gun charge.</t>
  </si>
  <si>
    <t>Deonta Dewight Mackey</t>
  </si>
  <si>
    <t>103rd Street and Cottage Grove Avenue</t>
  </si>
  <si>
    <t>60628</t>
  </si>
  <si>
    <t>Cook County Sheriff's Office</t>
  </si>
  <si>
    <t>A sergeant was filling his car at the Citgo station when Mackey and two other individuals tried to rob him. Mackey was shot in the head and died at the scene.</t>
  </si>
  <si>
    <t>http://www.chicagotribune.com/news/local/breaking/chi-at-least-2-wounded-in-separate-south-side-shootings-20140210-story.html</t>
  </si>
  <si>
    <t>Leroy Turner</t>
  </si>
  <si>
    <t>http://s16.postimg.org/vy8swh5md/leroyturner.png</t>
  </si>
  <si>
    <t>7550 Kirby</t>
  </si>
  <si>
    <t>77030</t>
  </si>
  <si>
    <t>University of Texas Police Department</t>
  </si>
  <si>
    <t>An off-duty police officer shot and killed a burglary suspect at an upscale apartment complex. The University of Texas police officer was working security at the Arcadian Apartments when he responded to a call about a possible break-in. The officer found the door of apartment 731 kicked in. He went inside and confronted an apparent burglar. The suspect immediately charged him. As the two men fought,the officer managed to break free. He pulled his gun and fired. The suspect was pronounced dead at the scene.</t>
  </si>
  <si>
    <t>http://www.khou.com/news/editors-pick/Off-duty-officer-kills-burglary-suspect-at-upscale-apartments-on-Kirby-244790931.html</t>
  </si>
  <si>
    <t>Robert Miguel Gutierrez Villa</t>
  </si>
  <si>
    <t>http://images.onset.freedom.com/ocregister/gallery/n0v3mm-b781264554z.120140211184003000g6m1igfvr.1.jpg</t>
  </si>
  <si>
    <t>Red Hill Avenue and Nisson Road</t>
  </si>
  <si>
    <t>Tustin</t>
  </si>
  <si>
    <t>92780</t>
  </si>
  <si>
    <t>Tustin Police Department</t>
  </si>
  <si>
    <t>Officers were called to the area of Red Hill Avenue and Nisson Road for a domestic disturbance. At the apartment building, officers confronted the man, who appeared to be holding a weapon. The man was armed with a knife. Multiple officers fired their weapons. Paramedics took him to Western Medical Center Santa Ana where he died from his injuries.</t>
  </si>
  <si>
    <t>http://www.ocregister.com/articles/villa-601348-officers-police.html</t>
  </si>
  <si>
    <t>Fernandina Beach</t>
  </si>
  <si>
    <t>http://members.jacksonville.com/news/crime/2014-02-10/story/sheriff-nassau-deputy-fatally-shoots-suspected-burglar-during-struggle</t>
  </si>
  <si>
    <t>Donald Haynes</t>
  </si>
  <si>
    <t>https://scontent-lax.xx.fbcdn.net/hphotos-xpf1/v/t1.0-9/971231_1438866803024613_1527015152947715617_n.png?oh=d0726eb2a04b954a00322c52c4d4f008&amp;oe=5582B4FD</t>
  </si>
  <si>
    <t>1658 S. Airport Way</t>
  </si>
  <si>
    <t>Police were called to the scene of a domestic dispute. After stopping Haynes in a traffic stop, he refused to drop a 20-inch bayonet and was shot by police.</t>
  </si>
  <si>
    <t>http://sacramento.cbslocal.com/2014/02/09/stockton-assault-suspect-dies-in-violent-confrontation-with-police/</t>
  </si>
  <si>
    <t>Johnny Rico Richardson</t>
  </si>
  <si>
    <t>South Farmerville Street and Martin Luther King Drive</t>
  </si>
  <si>
    <t>Ruston</t>
  </si>
  <si>
    <t>71270</t>
  </si>
  <si>
    <t>Deputies were on routine duty around a Mini-Mart in Ruston. They came into contact with a group of individuals in the parking lot of the convenience store. One of those individuals was Richardson. He immediately began running from the deputy who pursuit him on foot. A deputy identified himself and ordered the suspect to stop. As the pursuit continued, Richardson suddenly stopped and pointed a weapon at police. A deputy fired multiple shots. Richardson was taken to North Louisiana Medical Center for treatment and was later pronounced dead.</t>
  </si>
  <si>
    <t>Mathew Vincent Serbus</t>
  </si>
  <si>
    <t>HWY 212</t>
  </si>
  <si>
    <t>Eden Prairie</t>
  </si>
  <si>
    <t>55344</t>
  </si>
  <si>
    <t>Chaska Police Department/Minnesota State Patrol/Carver County sheriff's office</t>
  </si>
  <si>
    <t>"The incident began with a hit-and-run report at 7:30 a.m. Feb. 7 in Chaska. According to police, the suspect vehicle -- a red Saab -- was located and led police on a high-speed chase on U.S. 212, at times reaching 90 mph and with its hood popped open against the windshield. The chase ended in Eden Prairie when the Saab veered to the shoulder and hit a retaining wall. Police said the driver, Matthew Vincent Serbus, 36, had a knife and refused to put it down. He was shot and killed. The passenger, Dawn Marie Pfister, 34, then allegedly picked the knife up. She also was shot and died. Four officers fired their weapons and were placed on leave: Sgt. Brady Juell and officer Trent Wurtz of the Chaska Police Department; trooper Mark Lund of the Minnesota State Patrol; and Corp. Nathan Mueller of the Carver County sheriff's office."</t>
  </si>
  <si>
    <t>http://www.twincities.com/localnews/ci_25898660/eden-prairie-police-shooting-reviewed-by-hennepin-county?source=pkg</t>
  </si>
  <si>
    <t>Keith Walker</t>
  </si>
  <si>
    <t>http://www.click2houston.com/image/view/-/24393380/highRes/2/-/maxh/360/maxw/640/-/wi6qauz/-/Keith-Walker.png</t>
  </si>
  <si>
    <t>3900 5th Street</t>
  </si>
  <si>
    <t>77423</t>
  </si>
  <si>
    <t>After robbing a bank with a gun, Walker was stopped by an off-duty officer working as private security. Walker was shot and killed when he turned on the officer, gun in hand.</t>
  </si>
  <si>
    <t>http://www.chron.com/news/houston-texas/article/Reports-Officer-kills-suspect-outside-Brookshire-5215607.php?cmpid=htx</t>
  </si>
  <si>
    <t>Brad Allen Mason</t>
  </si>
  <si>
    <t>http://tribwxmi.files.wordpress.com/2014/02/brad-mason-mdoc-mugshot.jpg</t>
  </si>
  <si>
    <t>100 Dutton St.</t>
  </si>
  <si>
    <t>49007</t>
  </si>
  <si>
    <t>Kalamazoo Department of Public Safety</t>
  </si>
  <si>
    <t>Mason was shot and killed by Public Safety Officers during an ongoing sexual assault investigation. The Michigan Sex Offender Registry show Mason was a registered sex offender.</t>
  </si>
  <si>
    <t>http://fox17online.com/2014/02/07/family-identifies-sex-assault-suspect-shot-killed-by-officers/</t>
  </si>
  <si>
    <t>Dawn Marie Pfister</t>
  </si>
  <si>
    <t>"The incident began with a hit-and-run report at 7:30 a.m. Feb. 7 in Chaska. According to police, the suspect vehicle -- a red Saab -- was located and led police on a high-speed chase on U.S. 212, at times reaching 90 mph and with its hood popped open against the windshield. The chase ended in Eden Prairie when the Saab veered to the shoulder and hit a retaining wall. Police said the driver, Matthew Vincent Serbus, 36, had a knife and refused to put it down. He was shot and killed. The passenger, Dawn Marie Pfister, 34, then allegedly picked the knife up. She also was shot and died." http://www.twincities.com/localnews/ci_25898660/eden-prairie-police-shooting-reviewed-by-hennepin-county?source=pkg</t>
  </si>
  <si>
    <t>Stephen Wayne Ross</t>
  </si>
  <si>
    <t>North 59th Avenue and Thunderbird Road</t>
  </si>
  <si>
    <t>85306</t>
  </si>
  <si>
    <t>Ross was shot multiple times as he tried to escape from authorities who were serving warrants for his arrest. Ross had outstanding felony warrants for dangerous drugs and aggravated identity theft and forgery, and had a history of fleeing from police. While they did find a gun in the suspect's truck, there is no indication the suspect fired on officers.</t>
  </si>
  <si>
    <t>http://www.kpho.com/story/24653868/glendale-officer-shoots-kills-wanted-fugitive</t>
  </si>
  <si>
    <t>Willie James Sams</t>
  </si>
  <si>
    <t>http://blogs.miaminewtimes.com/riptide/assets_c/2014/02/Willie_Sams_profile-thumb-200x229.jpg</t>
  </si>
  <si>
    <t>1635 NW 75th St</t>
  </si>
  <si>
    <t>Liberty City</t>
  </si>
  <si>
    <t>Sams was tasered by police during a domestic dispute call.</t>
  </si>
  <si>
    <t>James L. Norris</t>
  </si>
  <si>
    <t>http://cmsimg.delmarvanow.com/apps/pbcsi.dll/bilde?Site=A7&amp;Date=20140204&amp;Category=NEWS01&amp;ArtNo=302040042&amp;Ref=AR&amp;MaxW=300&amp;Border=0&amp;Man-who-died-in-Salisbury-shooting-identified-Milton-Rodriguez-James-L-Norris</t>
  </si>
  <si>
    <t>E Philadelphia Ave and N Salisbury Road</t>
  </si>
  <si>
    <t>Norris was a fugitive and a passenger in a car stopped at a traffic light. A member of the Maryland State Apprehension Team that takes violent fugitives into custody shot him. Norris was armed with two revolvers.</t>
  </si>
  <si>
    <t>Earl Edward Clague Jr.</t>
  </si>
  <si>
    <t>2400 South Byron Butler Parkway</t>
  </si>
  <si>
    <t>32348</t>
  </si>
  <si>
    <t>Taylor County Sheriff's Office</t>
  </si>
  <si>
    <t>Taylor County Deputy Robert Lundy was on duty, getting his patrol car serviced at the dealership on the 24-hundred block of South Byron Butler Parkway. That's when Claugue crashed his vehicle into the front of the building and opened fire. Deputy Lundy and the suspect exchanged shots, and Claugue was killed.</t>
  </si>
  <si>
    <t>Anesson Joseph</t>
  </si>
  <si>
    <t>http://assets.nydailynews.com/polopoly_fs/1.1604178.1391692968!/img/httpImage/image.jpg_gen/derivatives/article_970/naked7n-6-web.jpg?enlarged</t>
  </si>
  <si>
    <t>Modern Drive and South Military Trail</t>
  </si>
  <si>
    <t>33484</t>
  </si>
  <si>
    <t>Deputies in Florida shot Anesson Joseph after he beat several victims including biting a teen's face in a random street attack. Deputies tasered Joseph, but he continued ranting and raving. Joseph was naked. One cop opened fire and shot Joseph in the torso and twice on his lower body. He was taken to Delray Medical Center where he later died.</t>
  </si>
  <si>
    <t>http://www.nydailynews.com/news/national/florida-man-shot-dead-attack-teen-face-article-1.1604155</t>
  </si>
  <si>
    <t>Don Pooley</t>
  </si>
  <si>
    <t>http://ak-cache.legacy.net/legacy/images/Cobrands/lcsun-news/Photos/76b32872-7c17-4e0f-9df4-b39ca652e53a.jpg</t>
  </si>
  <si>
    <t>West 62nd Avenue and Gray Street</t>
  </si>
  <si>
    <t>Arvada</t>
  </si>
  <si>
    <t>80003</t>
  </si>
  <si>
    <t>Arvada Police Department</t>
  </si>
  <si>
    <t>Police were initially called to the neighborhood on a domestic disturbance call. When police arrived, Pooley fled the house, ran into another home and took a 13-year-old hostage. The situation was resolved when Pooley went to the front door to retrieve some items. The SWAT team shot him.</t>
  </si>
  <si>
    <t>http://denver.cbslocal.com/2014/02/05/man-who-took-teen-hostage-had-recently-violated-parole/</t>
  </si>
  <si>
    <t>Randall Hatori</t>
  </si>
  <si>
    <t>http://bigislandnow.com/wp-content/uploads/2014/02/randall-hatori.jpg</t>
  </si>
  <si>
    <t>Palani Road</t>
  </si>
  <si>
    <t>Kailua-Kona</t>
  </si>
  <si>
    <t>96740</t>
  </si>
  <si>
    <t>Hawaii County Police Department</t>
  </si>
  <si>
    <t>6500 Castor Avenue</t>
  </si>
  <si>
    <t>19149</t>
  </si>
  <si>
    <t>An officer witnessed a strong armed robbery in action. When he intervened, the suspect punched him several times in the face. The officer pulled his tasered the suspect two times, but it had no effect. The suspect ran off with a stolen phone and a wad of cash. The officer gave chase. The suspect picked up the officer and slammed him violently onto the concrete. The officer took out his gun and told the suspect to get on the ground. He refused, and the officer shot him.</t>
  </si>
  <si>
    <t>http://6abc.com/archive/9419416/</t>
  </si>
  <si>
    <t>Ariel Levy</t>
  </si>
  <si>
    <t>21700 Foothill Blvd</t>
  </si>
  <si>
    <t>Mark Garcia</t>
  </si>
  <si>
    <t>5200 North Milwaukee Avenue</t>
  </si>
  <si>
    <t>60630</t>
  </si>
  <si>
    <t>An off-duty Chicago police officer fatally shot a robbery suspect at a Walgreens store. The officer walked into the store to use the ATM machine. The officer became suspicious when he saw a female employee frantically stashing money in a bag behind the counter while a large man stood in front of the register. The officer walked toward the man, identified himself as an officer and asked the man to get down. There was a struggle, and the officer discharged his weapon. Police recovered a semi-automatic handgun from the scene.</t>
  </si>
  <si>
    <t>http://www.chicagotribune.com/news/local/breaking/chi-police-person-wounded-by-officer-on-northwest-side-20140203,0,5401765.story</t>
  </si>
  <si>
    <t>Kevin Dejon Grissett</t>
  </si>
  <si>
    <t>National Avenue and Snow Hill Road</t>
  </si>
  <si>
    <t>Grissett was shot by a police officer after crashing his car into law enforcement vehicles. The high-speed chase started after authorities tried to pull him over in connection with a drug investigation. It ended when Grissett rammed his car into two law enforcement vehicles. Officers fired at the car, hitting Grissett.</t>
  </si>
  <si>
    <t>http://www.wral.com/man-dies-from-injuries-sustained-following-hope-mills-chase-shooting/13351322/</t>
  </si>
  <si>
    <t>Michael Bourquin-Burch</t>
  </si>
  <si>
    <t>174th Street and Pacific Ave South</t>
  </si>
  <si>
    <t>Spanaway</t>
  </si>
  <si>
    <t>98387</t>
  </si>
  <si>
    <t>Pierce County Sheriff's Department Deputies</t>
  </si>
  <si>
    <t>Burch was shot in a traffic stop when police "knew" he was wanted for a federal drug charge and identity theft warrant. Shot after macing officers, who punched him first.</t>
  </si>
  <si>
    <t>http://www.kirotv.com/news/news/one-person-dead-after-early-morning-officer-involv/nc9HL/</t>
  </si>
  <si>
    <t>Zachary Andrews</t>
  </si>
  <si>
    <t>3675 Needles Highway</t>
  </si>
  <si>
    <t>Laughlin</t>
  </si>
  <si>
    <t>89029</t>
  </si>
  <si>
    <t>Zachary Andrews had been approached for robbing a convenience store. He placed a gun to his head and told officers to "kill him." Officer opened fire after Andrews approached him, gun in hand.</t>
  </si>
  <si>
    <t>http://www.fox5vegas.com/story/24608408/armed-robbery-suspect-dead-after-officer-involved-shooting-in-laughlin</t>
  </si>
  <si>
    <t>Alton Reaves</t>
  </si>
  <si>
    <t>Main Street and Railroad Avenue</t>
  </si>
  <si>
    <t>Kingstree</t>
  </si>
  <si>
    <t>29556</t>
  </si>
  <si>
    <t>Kingstree Police Department</t>
  </si>
  <si>
    <t>Reaves was waving a gun near a building on Railroad Avenue. Police received a call and responded. When an officer approached him, he pointed the gun toward the officer who shot Reaves. He died on Friday night at the Medical University of Charleston.</t>
  </si>
  <si>
    <t>http://www.carolinalive.com/news/story.aspx?id=1002336#.VDBGWRYXNrt</t>
  </si>
  <si>
    <t>Michael Paul Napier</t>
  </si>
  <si>
    <t>http://media.utsandiego.com/img/photos/2014/02/01/napier_t730.png?b0f0cf804b45a2830ba759010b8a41b9b1684c1a</t>
  </si>
  <si>
    <t>2000 South Melrose Drive</t>
  </si>
  <si>
    <t>Vista</t>
  </si>
  <si>
    <t>92081</t>
  </si>
  <si>
    <t>Michael Paul Napier was confronted in his parents garage about a drug-related arrest warrant. Two deputies opened fire after he reached for his waistband. He was unarmed.</t>
  </si>
  <si>
    <t>Jose Angel Garcia Jauregui</t>
  </si>
  <si>
    <t>http://cdn2-b.examiner.com/sites/default/files/styles/image_content_width/hash/3d/3b/3d3b00c116fa58f92355508c58d0124f.jpg?itok=1G0T6cXM</t>
  </si>
  <si>
    <t>Exit 222, I-15</t>
  </si>
  <si>
    <t>Nephi</t>
  </si>
  <si>
    <t>84648</t>
  </si>
  <si>
    <t>Juab</t>
  </si>
  <si>
    <t>Juab County Sheriff's Department Deputies</t>
  </si>
  <si>
    <t>Garcia Juargeui was a parolee who shot a Utah County Sheriff in a traffic stop in Eagle Mountain, a multi-county chase ensued, Juargeui was shot after his car was disabled on I-15 the same day</t>
  </si>
  <si>
    <t>http://fox13now.com/2014/01/31/suspect-who-allegedly-shot-two-officers-in-utah-county-has-died/</t>
  </si>
  <si>
    <t>Mark Anthony Ayala</t>
  </si>
  <si>
    <t>http://ak-cache.legacy.net/legacy/images/Cobrands/IVPressOnline/Photos/AyalaMark__20140211_0.jpg</t>
  </si>
  <si>
    <t>500 Woodward Ave.</t>
  </si>
  <si>
    <t>El Centro</t>
  </si>
  <si>
    <t>92243</t>
  </si>
  <si>
    <t>Ayala was parolee with a misdemeanor warrant. When authorities made contact, a shootout occurred. Ayala was shot and killed.</t>
  </si>
  <si>
    <t>Steven Burke Pettersen</t>
  </si>
  <si>
    <t>http://tribktla.files.wordpress.com/2014/01/pettersen.jpg</t>
  </si>
  <si>
    <t>Soledad Canyon Road and Sierra Highway</t>
  </si>
  <si>
    <t>Santa Clarita</t>
  </si>
  <si>
    <t>91351</t>
  </si>
  <si>
    <t>Police received a call that a man with a spear, Pettersen, was running wildly in and out of freeway traffic. Police first shot Pettersen after he struck a car with the "spear." Pettersen then approached them with a knife and police shot and killed him. Petersen, a veteran diagnosed with PTSD, was in his underwear and the "spear" turned out to be a hockey stick. In May 2014, Pettersen's son filed a civil rights lawsuit against Los Angeles County.</t>
  </si>
  <si>
    <t>http://www.dailynews.com/general-news/20140519/los-angeles-county-sued-over-unarmed-fathers-deputy-involved-shooting-death-in-santa-clarita</t>
  </si>
  <si>
    <t>Christopher Stirkens</t>
  </si>
  <si>
    <t>http://img.washingtonpost.com/rw/2010-2019/WashingtonPost/2014/01/30/Local/Images/GaithersburgShooting0041391108951.jpg?uuid=A2p8koniEeOnYKhkFdCUTQ</t>
  </si>
  <si>
    <t>7400 Lake Katrine Terrace</t>
  </si>
  <si>
    <t>Gaithersburg</t>
  </si>
  <si>
    <t>20879</t>
  </si>
  <si>
    <t>Christopher Stirkens, 25, lived with his mother and father, Denise and James Stirkens. James, a 27-year police veteran, was off-duty at home when he heard Christopher arguing with his mother. James went to investigate, and found Christopher stabbing his mother. James shot his son with his service handgun, killing him. Denise died later in the hospital. No charges have been filed against James Stirkens.</t>
  </si>
  <si>
    <t>http://www.washingtonpost.com/local/crime/montgomery-police-sergeant-shoots-son-while-defending-wife-police-say/2014/01/30/64973086-89b6-11e3-833c-33098f9e5267_story.html</t>
  </si>
  <si>
    <t>Cornelius Turner</t>
  </si>
  <si>
    <t>https://localtvwiti.files.wordpress.com/2014/01/turner-250.jpg</t>
  </si>
  <si>
    <t>5300 N 58th St</t>
  </si>
  <si>
    <t>53218</t>
  </si>
  <si>
    <t>Turner and a friend had conspired to rob a beer delivery truck but ran after police arrived. An officer caught Turner and struggled with him before fatally shooting him.</t>
  </si>
  <si>
    <t>http://www.jsonline.com/news/milwaukee/fatal-shooting-reported-on-northwest-side-b99194891z1-242673201.html</t>
  </si>
  <si>
    <t>Lawrence D. Chavez</t>
  </si>
  <si>
    <t>300 Wilson Street</t>
  </si>
  <si>
    <t>DeRidder Police Department</t>
  </si>
  <si>
    <t>Chavez was an Army veteran who served in Afghanistan and Iraq. Police received a call from family members that Chavez was armed and suicidal. Chavez was outside but went inside when the police arrived. Three officers cornered Chavez in a bedroom. Chavez attempted to shoot himself, but the gun misfired. As he cycled the weapon, one of the officers shot him. Then Chavez shot himself in the chest. Louisiana State Patrol investigated, results unknown.</t>
  </si>
  <si>
    <t>http://www.beauregarddailynews.net/article/20140130/News/140139972</t>
  </si>
  <si>
    <t>Curley Edward Spry</t>
  </si>
  <si>
    <t>http://ak-cache.legacy.net/legacy/images/Cobrands/loganbanner/Photos//3024430_web_curley-spry_20140201.jpg</t>
  </si>
  <si>
    <t>Harts Creek Road and Briar Branch Road</t>
  </si>
  <si>
    <t>Chapmanville</t>
  </si>
  <si>
    <t>25508</t>
  </si>
  <si>
    <t>Spry had been battling depression for more than a year. His wife called 911 to report he was armed and threatening the family. State troopers found Spry laying on the couch with a handgun. He pointed the gun at one of the troopers and the trooper, sensing an imminent threat, shot and killed him. Spry's wife said her husband had stopped taking his medication.</t>
  </si>
  <si>
    <t>http://www.loganbanner.com/apps/pbcs.dll/article?AID=/20140131/news/301319960/</t>
  </si>
  <si>
    <t>Felix Navarette</t>
  </si>
  <si>
    <t>http://bloximages.chicago2.vip.townnews.com/siouxcityjournal.com/content/tncms/assets/v3/editorial/5/f2/5f298c3e-82d3-5e66-8e0d-ad4a44af4b1b/52e9921477bf0.preview-620.jpg</t>
  </si>
  <si>
    <t>2728 South Helen Street</t>
  </si>
  <si>
    <t>Sioux City</t>
  </si>
  <si>
    <t>51106</t>
  </si>
  <si>
    <t>Woodbury</t>
  </si>
  <si>
    <t>Sioux City Police Department</t>
  </si>
  <si>
    <t>Navarette was a homicide suspect with a criminal history who vowed not to not go down without a fight. In a raid led by Sioux City Police Department's SWAT team, police broke down Navarette's door and used a flash bang grenade to disable the suspect, who fled to the second floor. He was leaning out an upstairs window when a police sniper shot and killed him after he appeared to threaten officers on the street below. A handgun was found in Navarette's waistband.</t>
  </si>
  <si>
    <t>https://www.facebook.com/siouxcitylockup/photos/pcb.1402168316709445/1402168226709454/?type=1&amp;theater</t>
  </si>
  <si>
    <t>Michael Gabriele</t>
  </si>
  <si>
    <t>200 Pennington Avenue</t>
  </si>
  <si>
    <t>07055</t>
  </si>
  <si>
    <t>Passaic Police Department</t>
  </si>
  <si>
    <t>Police were called to a senior citizen home where Gabriele was arguing with his mother. When police arrived at the apartment, Gabriele grabbed a kitchen knife and charged them. One officer fired one shot, killing Gabriele. Gabriele had a criminal history, including burglary and drug possession charges. More information needed about this encounter.</t>
  </si>
  <si>
    <t>http://www.northjersey.com/story-archives/prosecutor-passaic-man-fatally-shot-after-charging-at-cops-with-knife-1.667275</t>
  </si>
  <si>
    <t>Grace Louise Denk</t>
  </si>
  <si>
    <t>http://ak-cache.legacy.net/legacy/images/Cobrands/bozemandailychronicle/Photos/b0f536f9-a0e0-40e2-a901-a168990f958e.jpg</t>
  </si>
  <si>
    <t>Sunglow Drive and Tabor Lane</t>
  </si>
  <si>
    <t>28405</t>
  </si>
  <si>
    <t>Denk was a 21-year-old Marine suffering from depression since her return from Afghanistan. After an alcohol-fueled argument with her boyfriend, she got in her car with a handgun and began texting suicidal messages to him. Her boyfriend called 911. Police encountered Denk parked outside. Both officers claim Denk raised her gun, so they shot her four times in self defense. District Attorney said shooting justified. Denk family considering legal action.</t>
  </si>
  <si>
    <t>http://www.wwaytv3.com/2014/03/14/only-3-shooting-victims-sister-says-police-could-have-done-more</t>
  </si>
  <si>
    <t>Cameron Lupton</t>
  </si>
  <si>
    <t>http://ak-cache.legacy.net/legacy/images/cobrands/daily-chronicle/photos/5cb2a5f8-dde8-422b-8b87-047061336abe.jpgx?w=130&amp;h=180&amp;option=1&amp;v=0x000000002ca5d1f5</t>
  </si>
  <si>
    <t>1020 Quail Run</t>
  </si>
  <si>
    <t>60115</t>
  </si>
  <si>
    <t>Lupton was an Afghanistan War veteran with a history of mental illness. Police were in the process of conducting a well-being check on Lupton when they received a call he was attacking his father and step-mother with a knife at their residence. Upon their arrival, one officer tasered Lupton, to no effect, after which the second officer shot and killed him. Lupton's father and step-mother survived the attack.</t>
  </si>
  <si>
    <t>http://northernstar.info/city/article_928328f4-98cc-11e3-b98e-001a4bcf6878.html</t>
  </si>
  <si>
    <t>Charles Hull</t>
  </si>
  <si>
    <t>http://www.fatalencounters.org/wp-content/uploads/2013/10/CharlesHull.jpg</t>
  </si>
  <si>
    <t>10000 Calvin St</t>
  </si>
  <si>
    <t>Penn Hills</t>
  </si>
  <si>
    <t>15235</t>
  </si>
  <si>
    <t>Penn Hills Police Department</t>
  </si>
  <si>
    <t>Officers arrived at Hull's home after his girlfriend called police worried that the 56-year-old was going to kill himself. Officers shot and killed Hull after he became agitated and pointed a rifle at responding officers.</t>
  </si>
  <si>
    <t>http://triblive.com/news/adminpage/5486399-74/county-hills-penn#axzz3EwmwN4dH</t>
  </si>
  <si>
    <t>Luis Morin</t>
  </si>
  <si>
    <t>48800 Camino Real</t>
  </si>
  <si>
    <t>92236</t>
  </si>
  <si>
    <t>Morin was wanted on two nonviolent felony warrants. He was visiting relatives and a deputy staked out the relative's house in order to serve arrest Morin. When Morin and his relatives returned home from dinner, the deputy attempted to arrest the unarmed Morin, a scuffle ensued, ending with the deputy shooting and killing Morin in front of his family. A federal civil rights lawsuit was filed against Riverside County on Aug. 26.</t>
  </si>
  <si>
    <t>http://www.desertsun.com/story/news/crime/2014/01/27/sheriffs-deputy-kills-man-in-coachella-officials-say/4956737/</t>
  </si>
  <si>
    <t>Julius Cecil Freeman</t>
  </si>
  <si>
    <t>http://archives.webexpressventures.com/fullsize/16/27/1627a5ac311740b53e37205588a1a9dd5cd6e772.jpg</t>
  </si>
  <si>
    <t>207 Commerce Ave</t>
  </si>
  <si>
    <t>Chesterfield</t>
  </si>
  <si>
    <t>29709</t>
  </si>
  <si>
    <t>Department of Probation, Parole and Pardon Services</t>
  </si>
  <si>
    <t>A South Carolina probation officer shot and killed a patient at a Chesterfield mental health clinic after the patient attacked a receptionist. Freeman was unarmed at the time of the shooting.</t>
  </si>
  <si>
    <t>http://www.southcarolinaradionetwork.com/2014/02/03/mental-health-patient-fatally-shot-in-chesterfield-was-unarmed/</t>
  </si>
  <si>
    <t>Pierree Davis</t>
  </si>
  <si>
    <t>8495 Pecos St</t>
  </si>
  <si>
    <t>Federal Heights</t>
  </si>
  <si>
    <t>80260</t>
  </si>
  <si>
    <t>Federal Heights Police Department</t>
  </si>
  <si>
    <t>Davis was in the middle of robbing a Family Dollar store when officers arrived and ordered him to surrender. Davis attempted to flee and was shot several times. The officer involved in the shooting was cleared of any wrongdoing.</t>
  </si>
  <si>
    <t>http://www.denverpost.com/News/ci_25753369/Federal-Heights-officer-cleared-in-January</t>
  </si>
  <si>
    <t>Aaron DeVenere</t>
  </si>
  <si>
    <t>http://media.utsandiego.com/img/photos/2014/01/26/devenere2_t180.jpg?6ec45598a0efd272cf6d6631efc8bbae7a2ee918</t>
  </si>
  <si>
    <t>3050 S Centre City Pkwy</t>
  </si>
  <si>
    <t>Escondido</t>
  </si>
  <si>
    <t>92025</t>
  </si>
  <si>
    <t>DeVenere led police on a high-speed chase while holding the female driver of the car hostage. After being slowed with spike strips, the vehicle came to a stop and an officer fired and killed DeVenere.</t>
  </si>
  <si>
    <t>http://www.utsandiego.com/news/2014/jan/27/officer-involved-shooting-escondido-sdpd/</t>
  </si>
  <si>
    <t>Praminder Singh Shergill</t>
  </si>
  <si>
    <t>https://d3n8a8pro7vhmx.cloudfront.net/jakara/pages/418/attachments/original/1393035698/shergill.jpeg?1393035698</t>
  </si>
  <si>
    <t>Elderica Way</t>
  </si>
  <si>
    <t>95242</t>
  </si>
  <si>
    <t>Victim suffered from PTSD. Family called police, they shot him 12 times. Police allege Shergill was armed with a knife. Family believes his death was unwarrented.</t>
  </si>
  <si>
    <t>http://sacramento.cbslocal.com/2014/05/05/911-call-released-in-lodi-police-shooting-of-gulf-war-veteran/</t>
  </si>
  <si>
    <t>Zachary J. Sumner</t>
  </si>
  <si>
    <t>http://www.koco.com/image/view/-/24148058/medRes/1/-/jcv4fiz/-/img-New-details-in-weekend-trooper-involved-shooting.jpg</t>
  </si>
  <si>
    <t>1101 S Sunnylane Rd</t>
  </si>
  <si>
    <t>Del City</t>
  </si>
  <si>
    <t>73115</t>
  </si>
  <si>
    <t>Troopers began pursuing Sumner after he ran a stop sign, ending several miles later. Sumner exchanged gunfire with troopers and injured two before being shot and killed.</t>
  </si>
  <si>
    <t>http://newsok.com/troopers-identify-midwest-city-man-involved-in-pursuit-officer-involved-shooting/article/3927759</t>
  </si>
  <si>
    <t>Lakeview</t>
  </si>
  <si>
    <t>Clint Evans McKinney</t>
  </si>
  <si>
    <t>http://d1t3gia0in9tdj.cloudfront.net/photo/tributes/t/8/r/207x207/1800678/1a4f6508-7306-4b42-9586-01a5644fa63a.jpg</t>
  </si>
  <si>
    <t>160 Sarratt School Rd</t>
  </si>
  <si>
    <t>Gaffney</t>
  </si>
  <si>
    <t>29341</t>
  </si>
  <si>
    <t>South Carolina Highway Patrol, Gaffney Police department, Cherokee County Sheriff's Office</t>
  </si>
  <si>
    <t>McKinney was in his trailer firing rounds towards Police. Police returned fire, killing McKinney</t>
  </si>
  <si>
    <t>Kevin Shane McCoshum</t>
  </si>
  <si>
    <t>http://bloximages.newyork1.vip.townnews.com/appeal-democrat.com/content/tncms/assets/v3/editorial/1/8f/18f44cac-8981-11e3-82bc-001a4bcf6878/52ea01227f781.preview-300.jpg</t>
  </si>
  <si>
    <t>216 Wilbur Ave</t>
  </si>
  <si>
    <t>95991</t>
  </si>
  <si>
    <t>Yuba City Police department</t>
  </si>
  <si>
    <t>McCoshum had a rifle and was not listen to the police. Police say he moved the rifle in a threatening manner and responded by shooting and killing McCoshum.</t>
  </si>
  <si>
    <t>http://www.appeal-democrat.com/news/yuba-city-police-shoot-armed-man-officials-suspect-in-mobile/article_12362f68-8597-11e3-9c69-001a4bcf6878.html</t>
  </si>
  <si>
    <t>100 Joy Circle</t>
  </si>
  <si>
    <t>The suspect abandoned the car he stole and fired a shot at officers. Officers returned fire, killing the suspect.</t>
  </si>
  <si>
    <t>http://www.chron.com/news/houston-texas/houston/article/Houston-police-kill-suspect-outside-home-near-5170340.php</t>
  </si>
  <si>
    <t>Harold Powers</t>
  </si>
  <si>
    <t>http://www.wlky.com/image/view/-/24085730/medRes/2/-/110x88uz/-/img-Police-believe-retaliation-led-to-deputy-involved-shooting.jpg</t>
  </si>
  <si>
    <t>Hawesville</t>
  </si>
  <si>
    <t>42348</t>
  </si>
  <si>
    <t>Powers attempted to kill off-duty deputy Eubanks. Eubanks fired his weapon in self-defense, killing Powers.</t>
  </si>
  <si>
    <t>http://www.tristatehomepage.com/story/man-dies-following-shootout-with-off-duty-hancock/d/story/3R_mG1yEmEilb0y8qvsfpA</t>
  </si>
  <si>
    <t>Eldrin Smart</t>
  </si>
  <si>
    <t>http://www.wdsu.com/image/view/-/24058474/medRes/1/-/maxh/358/maxw/538/-/7ja6sk/-/Kenner-shooting-crash1-JPG.jpg</t>
  </si>
  <si>
    <t>1000 Clay St</t>
  </si>
  <si>
    <t>Kenner Police Department</t>
  </si>
  <si>
    <t>Officers were speaking with Smart and a passenger as part of a narcotics investigation when Smart suddenly accelerated, pulling an officer into the car and punching him. The officer fired and hit Smart several times, forcing the car to crash. Smart was pronounced dead at the scene.</t>
  </si>
  <si>
    <t>http://www.nola.com/crime/index.ssf/2014/01/kenner_police_officer_fatally.html</t>
  </si>
  <si>
    <t>Antonio Mestas</t>
  </si>
  <si>
    <t>5700 E 15th St</t>
  </si>
  <si>
    <t>94621</t>
  </si>
  <si>
    <t>Mestas led officers on a chase in a stolen SUV through east Oakland after they attempted to pull him over. Officers fired and hit Mestas after he fled the vehicle while holding a loaded handgun.</t>
  </si>
  <si>
    <t>http://www.sfgate.com/crime/article/Man-shot-dead-by-CHP-in-Oakland-identified-5180347.php</t>
  </si>
  <si>
    <t>Jose Munguia</t>
  </si>
  <si>
    <t>1500 67th Ave</t>
  </si>
  <si>
    <t>Officers pulled over Munguia's SUV for not having license plates, leading the 21-year-old to flee with a loaded handgun. Officers with a police dog were able to catch up to Munguia, and shot him after he pointed his gun at them.</t>
  </si>
  <si>
    <t>Joshua Seth Layne</t>
  </si>
  <si>
    <t>http://video-static.clipsyndicate.com/zStorage/clipsyndicate/247/2014/01/22/23/09/nlumgydhugkjspgfukbf.jpg</t>
  </si>
  <si>
    <t>East Valley Road</t>
  </si>
  <si>
    <t>Dunlap</t>
  </si>
  <si>
    <t>37327</t>
  </si>
  <si>
    <t>Sequatchie</t>
  </si>
  <si>
    <t>Sequatchie Sheriff's Office</t>
  </si>
  <si>
    <t>Layne opened fire on officers serving him a warrant. Officers retaliated by shooting and killing Layne.</t>
  </si>
  <si>
    <t>Tom Smith, Jr.</t>
  </si>
  <si>
    <t>http://ww4.hdnux.com/photos/25/76/07/5759451/13/628x471.jpg</t>
  </si>
  <si>
    <t>6400 Dougherty Rd</t>
  </si>
  <si>
    <t>Bay Area Rapid Transit Police Department</t>
  </si>
  <si>
    <t>http://www.mercurynews.com/breaking-news/ci_24960548/dublin-bart-police-officer-shot-during-warrant-service</t>
  </si>
  <si>
    <t>Earl Douglas Braddy</t>
  </si>
  <si>
    <t>County Road 49</t>
  </si>
  <si>
    <t>Loxley</t>
  </si>
  <si>
    <t>36551</t>
  </si>
  <si>
    <t>Loxley Police Department</t>
  </si>
  <si>
    <t>Officers responding to a domestic disturbance call found Braddy struggling with his wife over a handgun, after he had shot her through the hand. Braddy refused to drop the gun and was subsequently shot by police.</t>
  </si>
  <si>
    <t>http://blog.al.com/live/2014/01/police_shoot_kill_man_in_loxle.html</t>
  </si>
  <si>
    <t>Andrew Law</t>
  </si>
  <si>
    <t>http://media.komonews.com/images/140121_law_small.jpg</t>
  </si>
  <si>
    <t>1st Ave S &amp; S Hanford St</t>
  </si>
  <si>
    <t>Law was allegedly drunk, fighting a homeless man and pointing a gun at passing cars when officers arrived to his location. Law was shot after pointing the gun, later revealed as fake, at the officers.</t>
  </si>
  <si>
    <t>http://blog.seattlepi.com/seattle911/2014/01/22/more-details-emerge-in-seattle-officer-involved-shootings/</t>
  </si>
  <si>
    <t>Keith Ronald Koster</t>
  </si>
  <si>
    <t>http://www.leppertmortuary.com/obit_images/1390591433.jpg</t>
  </si>
  <si>
    <t>8200 Harcourt Rd</t>
  </si>
  <si>
    <t>46260</t>
  </si>
  <si>
    <t>After a welfare check, Koster and police engaged in a short standoff after Koster began acting strangely and pointing a gun at officers. Police shot Koster after he waved his gun at responding paramedics.</t>
  </si>
  <si>
    <t>http://www.indystar.com/article/20140121/NEWS02/301210019/Police-fatally-shoot-man-Far-Northside-during-standoff</t>
  </si>
  <si>
    <t>Rodney Golden</t>
  </si>
  <si>
    <t>http://www.post-gazette.com/image/2014/01/20/ca51,0,1627,1051/20140120golden.jpg</t>
  </si>
  <si>
    <t>2500 S. Grande Blvd</t>
  </si>
  <si>
    <t>Greensburg</t>
  </si>
  <si>
    <t>15601</t>
  </si>
  <si>
    <t>Westmoreland</t>
  </si>
  <si>
    <t>Golden was shot to death by a state trooper after he slashed a woman's throat.</t>
  </si>
  <si>
    <t>http://www.post-gazette.com/local/east/2014/01/19/Westmoreland-County-authorities-converge-on-attempted-homicide-scene/stories/201401190201</t>
  </si>
  <si>
    <t>Caleb Surface</t>
  </si>
  <si>
    <t>http://media.cmgdigital.com/shared/lt/lt_cache/thumbnail/188/img/photos/2014/01/24/a8/6e/Surface-Caleb-1.jpg</t>
  </si>
  <si>
    <t>2000 St Andrews Ct</t>
  </si>
  <si>
    <t>45014</t>
  </si>
  <si>
    <t>Fairfield Township Police Department</t>
  </si>
  <si>
    <t>After getting into a fight with his father and suffering from depression, Surface was found by police and ordered to stop. Surface allegedly threatened the officer and was shot after reaching into his pocket. Surface was found to be reaching for a silver portable telephone in his pocket. The officer was later cleared of any wrongdoing.</t>
  </si>
  <si>
    <t>http://raycomgroup.worldnow.com/story/25039475/no-charges-against-against-fairfield-officer-who-shot-man</t>
  </si>
  <si>
    <t>Gabriel Sanchez Velasquez</t>
  </si>
  <si>
    <t>https://facebook.com/KilledByPolice/posts/613431745371112</t>
  </si>
  <si>
    <t>Jordan Baker</t>
  </si>
  <si>
    <t>http://forwardtimesonline.com/2013/images/Jordan%20-%20LEAD%20-%20Copy.jpg</t>
  </si>
  <si>
    <t>9500 Hempstead Hwy</t>
  </si>
  <si>
    <t>77092</t>
  </si>
  <si>
    <t>http://forwardtimesonline.com/2013/index.php/state-local/item/1004-another-mother-left-to-mourn-unarmed-black-man-mistaken-for-criminal-shot</t>
  </si>
  <si>
    <t>Henry Jackson</t>
  </si>
  <si>
    <t>http://media.graytvinc.com/images/henry+jackson+mug.jpg</t>
  </si>
  <si>
    <t>Martin Luther King Blvd. and H Street NE</t>
  </si>
  <si>
    <t>Jackson was responsible for a string of robberies. Police were on his tail when Jackson shot at them, prompting them to fire back, killing Jackson</t>
  </si>
  <si>
    <t>http://www.cbsnews.com/news/teen-who-shot-4-including-2-atf-agents-is-killed-by-cops-they-say/</t>
  </si>
  <si>
    <t>Raymond Roberts</t>
  </si>
  <si>
    <t>18492 Dexter Ave</t>
  </si>
  <si>
    <t>Lake Elsinore</t>
  </si>
  <si>
    <t>92532</t>
  </si>
  <si>
    <t>Lake Elsinore Police Department</t>
  </si>
  <si>
    <t>An officer matched Roberts' vehicle to one connected in an earlier assault, and moved to surround the car. Roberts refused to exit the car and backed over an officer's foot, leading four officers to fire into the car and kill Roberts.</t>
  </si>
  <si>
    <t>http://patch.com/california/lakeelsinore-wildomar/coroner-releases-id-of-man-shot-dead-by-deputies-in-lake-elsinore#.VCxF1CmVnaY</t>
  </si>
  <si>
    <t>Haley Boren</t>
  </si>
  <si>
    <t>http://img.deseretnews.com/images/article/midres/1285227/1285227.jpg</t>
  </si>
  <si>
    <t>37 N 630 W</t>
  </si>
  <si>
    <t>84660</t>
  </si>
  <si>
    <t>Lindon City Police Department</t>
  </si>
  <si>
    <t>Borden, who suffered from a number of mental illnesses and depression, shot and killed his wife, two children, mother-in-law and himself.</t>
  </si>
  <si>
    <t>http://www.deseretnews.com/article/865594341/5-found-dead-in-Spanish-Fork-home-suspected-murder-suicide.html</t>
  </si>
  <si>
    <t>Joshua "Jaden" Boren</t>
  </si>
  <si>
    <t>http://img.deseretnews.com/images/article/midres/1285226/1285226.jpg</t>
  </si>
  <si>
    <t>Kelly Boren</t>
  </si>
  <si>
    <t>http://img.deseretnews.com/images/article/midres/1285225/1285225.jpg</t>
  </si>
  <si>
    <t>Marie King</t>
  </si>
  <si>
    <t>http://img.deseretnews.com/images/article/mcontentimage/1370387/1370387.jpg</t>
  </si>
  <si>
    <t>Shawn Walter Bair</t>
  </si>
  <si>
    <t>http://www.gannett-cdn.com/-mm-/f360b50fa027bcfed5c262b6ee12ae6d88fb1da3/c=0-144-436-473&amp;r=x513&amp;c=680x510/local/-/media/Indianapolis/Indianapolis/2014/01/16//1389894688000-elkhart-shooter.jpg</t>
  </si>
  <si>
    <t>3900 E Bristol St</t>
  </si>
  <si>
    <t>46514</t>
  </si>
  <si>
    <t>Bair walked in a Martin's Grocery and shot and killed two people. Police were in the area and responded within 3 minutes. they shot and killed Bair when they arrived.</t>
  </si>
  <si>
    <t>http://www.nydailynews.com/news/national/3-dead-including-gunman-indiana-supermarket-shooting-article-1.1581555</t>
  </si>
  <si>
    <t>Bernard Adams</t>
  </si>
  <si>
    <t>Standard Road and Kennedy Street</t>
  </si>
  <si>
    <t>Houghton Lake</t>
  </si>
  <si>
    <t>48629</t>
  </si>
  <si>
    <t>Roscommon</t>
  </si>
  <si>
    <t>Police arrived to a domestic violence situation.A 75-year-old resident came out on the porch with a handgun. Officers told him to put it down, he refused and was shot and killed.</t>
  </si>
  <si>
    <t>http://www.mlive.com/news/bay-city/index.ssf/2014/01/police_shoot_kill_75-year-old.html</t>
  </si>
  <si>
    <t>Gregory Vaughn Hill Jr</t>
  </si>
  <si>
    <t>http://media2.wptv.com//photo/2014/01/15/WPTV_Hill_20140115172200_640_480.JPG</t>
  </si>
  <si>
    <t>1500 Ave Q</t>
  </si>
  <si>
    <t>Saint Lucie Sheriff's Department</t>
  </si>
  <si>
    <t>Deputies arrived at Hill's residence. Hill manually opened the garage and raised a gun towards deputies prompting them to shoot and kill Hill.</t>
  </si>
  <si>
    <t>Paul Smith</t>
  </si>
  <si>
    <t>1059 W. 62nd St.</t>
  </si>
  <si>
    <t>A man fled after a robbery. Officers found the suspect held up in a house. LAPD snipers shot and killed him.</t>
  </si>
  <si>
    <t>http://ktla.com/2014/01/14/man-barricades-himself-inside-south-l-a-home-after-robbery/#axzz2qQObbRqN</t>
  </si>
  <si>
    <t>Manuel Oscar Longoria</t>
  </si>
  <si>
    <t>https://charlescarrollsociety.com/wp-content/uploads/2014/02/PinalCounty1.jpg</t>
  </si>
  <si>
    <t>East 10th and North Sunshine Boulevard</t>
  </si>
  <si>
    <t>Pinal County Sheriff's Department</t>
  </si>
  <si>
    <t>Longoria led officers in a car chase. His vehicle was rammed. Longoria later got out turned around with his hands up when an officer fired a shot, killing him.</t>
  </si>
  <si>
    <t>http://www.kpho.com/story/24450273/az-deputy-shoots-kills-man-after-car-chase-in-eloy</t>
  </si>
  <si>
    <t>Steven Lewis Pfalzgraf</t>
  </si>
  <si>
    <t>Grand Central Mall</t>
  </si>
  <si>
    <t>Vienna</t>
  </si>
  <si>
    <t>26105</t>
  </si>
  <si>
    <t>Wood</t>
  </si>
  <si>
    <t>Parkersburg Police Department</t>
  </si>
  <si>
    <t>Pfalzgraf was driving the get-away car after a purse-snatching at a nearby mall when he allegedly swerved towards a police officer. The officer shot and killed Pfalzgraf, and was later cleared of any wrongdoing.</t>
  </si>
  <si>
    <t>http://wvmetronews.com/2014/01/15/man-shot-and-killed-in-parkersburg-robbery-attempt/</t>
  </si>
  <si>
    <t>Blas Leroux</t>
  </si>
  <si>
    <t>http://assets.nydailynews.com/polopoly_fs/1.1586348!/img/httpImage/image.jpg_gen/derivatives/article_970/denver22n-4-web.jpg</t>
  </si>
  <si>
    <t>1490 Perry St</t>
  </si>
  <si>
    <t>80204</t>
  </si>
  <si>
    <t>Leroux held customers hostage in a 7-11. He tried to use a hostage as a human shield, but was gunned down. He died 3 days later from a gunshot wound to the neck.</t>
  </si>
  <si>
    <t>http://kdvr.com/2014/01/20/suspect-shot-in-7-eleven-hostage-situation-dies-of-wounds/</t>
  </si>
  <si>
    <t>William Jackson Marble</t>
  </si>
  <si>
    <t>http://bloximages.chicago2.vip.townnews.com/shorelinemedia.net/content/tncms/assets/v3/editorial/a/eb/aebe83fc-82e6-11e3-b2fa-0019bb2963f4/52deecda099a1.image.jpg</t>
  </si>
  <si>
    <t>1200 North Dennis Road</t>
  </si>
  <si>
    <t>Ludington</t>
  </si>
  <si>
    <t>49431</t>
  </si>
  <si>
    <t>Marble, drunk, pointed his pistol in officers' direction - prompting officers to shoot and kill Marble.</t>
  </si>
  <si>
    <t>http://www.mlive.com/news/muskegon/index.ssf/2014/02/troopers_fatal_shooting_of_mas.html</t>
  </si>
  <si>
    <t>Perry Webb</t>
  </si>
  <si>
    <t>1800 E. Lanvale St</t>
  </si>
  <si>
    <t>21213</t>
  </si>
  <si>
    <t>Officers were patrolling in an unmarked police car when they saw two men inside of a parked white Nissan Altima with out of state license plates. The officers felt concerned over the situation, and they called for backup. When additional officers arrived, Rodriguez said, one of the officers saw a gun and shot him to death.</t>
  </si>
  <si>
    <t>Enrique Carlos Rodarte</t>
  </si>
  <si>
    <t>16700 Lacy St</t>
  </si>
  <si>
    <t>92395</t>
  </si>
  <si>
    <t>Anthony Mascarino</t>
  </si>
  <si>
    <t>https://apps.azcorrections.gov/mugshots/122875.jpg</t>
  </si>
  <si>
    <t>8055 E. Thomas Rd.</t>
  </si>
  <si>
    <t>85251</t>
  </si>
  <si>
    <t>Mascarino had been arguing with a relative inside a condo unit when he fired his shotgun. He then went outside and fired the shotgun multiple times. Police arrived on the scene, Mascarino pointed the shotgun at officers and three officers fired their weapons, striking Mascarino and fatally injuring him.</t>
  </si>
  <si>
    <t>http://www.scottsdaleaz.gov/Police/newsPIO/Officer_Involved_Shooting_16537?DateTime=635252022000000000&amp;PageMode=View</t>
  </si>
  <si>
    <t>Jeffrey Ragland</t>
  </si>
  <si>
    <t>http://assets.nydailynews.com/polopoly_fs/1.1575334.1389385798!/img/httpImage/image.jpg_gen/derivatives/article_970/slain11n-2-web.jpg?enlarged</t>
  </si>
  <si>
    <t>227th St. and 108th Ave.</t>
  </si>
  <si>
    <t>11429</t>
  </si>
  <si>
    <t>Jeffrey Ragland was fatally shot by a city correction officer after he allegedly had relations with the woman both men had coveted.</t>
  </si>
  <si>
    <t>http://www.nydailynews.com/new-york/nyc-crime/man-shot-killed-street-queens-article-1.1575100</t>
  </si>
  <si>
    <t>Jose Luis Navarro</t>
  </si>
  <si>
    <t>http://media.nbcsandiego.com/images/1200*675/josenavaroo.jpg</t>
  </si>
  <si>
    <t>41st Street at Hilltop Drive</t>
  </si>
  <si>
    <t>92102</t>
  </si>
  <si>
    <t>Jose Luis Navarro was critically injured when officers shot him following a car chase. The pursuit began when a sergeant tried to stop him for talking on his cellphone while driving. While the Saturn was stopped, police said the suspect raised the gun towards officers, and fearing for their safety and the safety of others, four SDPD officers opened fire at the suspect in the vehicle. Navarro died two days later in the hospital.</t>
  </si>
  <si>
    <t>http://www.10news.com/news/suspect-shot-by-police-in-mount-hope-following-pursuit-dies-at-the-hospital011214</t>
  </si>
  <si>
    <t>Jerry Delagarza</t>
  </si>
  <si>
    <t>1761 Farm to Market Road 351</t>
  </si>
  <si>
    <t>Beeville</t>
  </si>
  <si>
    <t>78102</t>
  </si>
  <si>
    <t>Bee</t>
  </si>
  <si>
    <t>Bee County Police Department</t>
  </si>
  <si>
    <t>A warrant had been issued for Delagarza's arrest for domestic violence. He was already on parole for a prior assault conviction. He was cruising around Live Oak County in his Hummer when state troopers and deputies started chasing him. Police put down spike strips that flattened both of his tires. But he did not give up even after authorities spun his Hummer around. Finally, when Delagarza tried to hit a deputy with his car, police opened fire. He died at the scene.</t>
  </si>
  <si>
    <t>http://www.kztv10.com/news/bee-county-deputies-cleared-in-fatal-shooting-of-wanted-parolee/</t>
  </si>
  <si>
    <t>Michael Anthony Ware</t>
  </si>
  <si>
    <t>4303 Aggie Road</t>
  </si>
  <si>
    <t>72401</t>
  </si>
  <si>
    <t>Officers were investigating the theft of a vehicle on Aggie Road. During the investigation, Ware who was a suspect was in trailer #33 with a woman and several children. He fired at officers, and Corporal John Eidson fired back. The Jonesboro Police Department's Tactical Unit arrived and was able to pull the children to safety from a rear window. Ware was found dead in the trailer.</t>
  </si>
  <si>
    <t>http://www.kait8.com/story/24407468/police-shooting-at-jonesboro-mobile-home-park-was-officer-involved</t>
  </si>
  <si>
    <t>Nathan Massey</t>
  </si>
  <si>
    <t>https://scontent-sjc.xx.fbcdn.net/hphotos-xaf1/v/t1.0-9/1014101_1412913878959489_1362540006_n.jpg?oh=f45a3ca183e632a7d253599e14aad355&amp;oe=55B20980</t>
  </si>
  <si>
    <t>Josephine and Lasalle streets</t>
  </si>
  <si>
    <t>A New Orleans police officer shot the man late Wednesday (Jan. 7) after gunfire was exchanged following a traffic stop at the intersection of Josephine and Lasalle streets in Central City, police said.</t>
  </si>
  <si>
    <t>http://www.nola.com/crime/index.ssf/2015/01/man_shot_by_nopd_officer_after.html#incart_story_package</t>
  </si>
  <si>
    <t>Ernest Attebery</t>
  </si>
  <si>
    <t>http://www.kob.com/kobtvimages/repositoryThumbs/2014-01/ernest-attebery.jpg</t>
  </si>
  <si>
    <t>700 Lexco Road</t>
  </si>
  <si>
    <t>Moriarty</t>
  </si>
  <si>
    <t>87035</t>
  </si>
  <si>
    <t>Torrance</t>
  </si>
  <si>
    <t>Attebery may have fired his rifle at officers. SWAT responded and fired on Attebery, killing him.</t>
  </si>
  <si>
    <t>http://www.koat.com/news/new-mexico/nm-police-id-man-killed-after-barricade-situation/23864988</t>
  </si>
  <si>
    <t>Vernum Blunk</t>
  </si>
  <si>
    <t>2700 Laurel Holow Drive</t>
  </si>
  <si>
    <t>Leesburg</t>
  </si>
  <si>
    <t>34748</t>
  </si>
  <si>
    <t>Eustis Police Department</t>
  </si>
  <si>
    <t>Police allege Blunk sexually abused a minor and was in possession of child pornography. An officer and a detective visited Blunk to interrogate him. During the interrogation, Blunk pulled a gun he had hidden and threatened them. The detective warned him to put the gun down and when Blunk didn't comply he shot and killed him. Florida Department of Law Enforcement found shooting justified.</t>
  </si>
  <si>
    <t>http://www.wftv.com/news/news/local/one-dead-after-officer-involved-shooting-leesburg/ncfjT/</t>
  </si>
  <si>
    <t>Shon Aaron Spencer</t>
  </si>
  <si>
    <t>http://www.arre.st/Jails/WVJails.info/images2/ShonSpencer3792790.jpg</t>
  </si>
  <si>
    <t>Interstate 79</t>
  </si>
  <si>
    <t>Anmoore</t>
  </si>
  <si>
    <t>26323</t>
  </si>
  <si>
    <t>Harrison County Sheriff's Office</t>
  </si>
  <si>
    <t>Two women called police and reported that Spencer was stalking them. When police arrived, Spencer fled in his pickup, leading police on a dangerous high-speed chase. Deputies cornered Spencer, who then attempted to ram them with his vehicle. Deputies shot and killed Spencer because they feared for their own safety. Spencer had recently been arrested and was reportedly having family problems.</t>
  </si>
  <si>
    <t>http://www.connect-bridgeport.com/connect.cfm?func=view&amp;section=News&amp;item=UPDATE-Man-Identified-by-Law-Enforcement-that-Was-Shot-Killed-Following-Car-Pursuit-Monday6487</t>
  </si>
  <si>
    <t>Keith Vidal</t>
  </si>
  <si>
    <t>http://tftppull.freethoughtllc.netdna-cdn.com/wp-content/uploads/2014/01/why.jpg</t>
  </si>
  <si>
    <t>1100 President Drive</t>
  </si>
  <si>
    <t>Boiling Spring Lakes</t>
  </si>
  <si>
    <t>28461</t>
  </si>
  <si>
    <t>Brunswick</t>
  </si>
  <si>
    <t>Southport Police Department</t>
  </si>
  <si>
    <t>http://thefreethoughtproject.com/cop-shoots-dead-unarmed-tased-subdued-teen-we-time-this-bang/</t>
  </si>
  <si>
    <t>Deacon James Clark</t>
  </si>
  <si>
    <t>http://www.heraldtribune.com/apps/pbcsi.dll/bilde?Site=SH&amp;Date=20140328&amp;Category=ARTICLE&amp;ArtNo=140329625&amp;Ref=AR&amp;MaxW=198&amp;border=0</t>
  </si>
  <si>
    <t>1000 42nd Street</t>
  </si>
  <si>
    <t>34234</t>
  </si>
  <si>
    <t>A pair of officers on bicycle patrol encountered Clark in a park known for drug sales and prostitution. Clark was pushing a bicycle and holding a weapon. Police ordered him to drop it, but instead he aimed and fired at them. Both officers returned fire killing Clark. State Attorney declared shooting justified. Clark had long history of drug abuse and criminal convictions.</t>
  </si>
  <si>
    <t>http://www.heraldtribune.com/article/20140328/ARTICLE/140329625</t>
  </si>
  <si>
    <t>Rocendo Arias</t>
  </si>
  <si>
    <t>http://i.imgur.com/1NuazfX.png</t>
  </si>
  <si>
    <t>907 E. Nob Hill Blvd.</t>
  </si>
  <si>
    <t>http://www.yakimaherald.com/news/latestlocalnews/1811549-8/man-shot-by-police-at-car-wash-identified</t>
  </si>
  <si>
    <t>Frankie Martinez</t>
  </si>
  <si>
    <t>1600 Gaylord Avenue</t>
  </si>
  <si>
    <t>http://www.chieftain.com/news/pueblo/2396419-120/martinez-officers-shooting-carpenter</t>
  </si>
  <si>
    <t>John Murray</t>
  </si>
  <si>
    <t>Rosa Parks Boulevard and Franklin Street</t>
  </si>
  <si>
    <t>Paterson</t>
  </si>
  <si>
    <t>07524</t>
  </si>
  <si>
    <t>Paterson Police Department</t>
  </si>
  <si>
    <t>Police encountered a motorist who fit the description of a man wanted in connection with the home invasion. A struggle ensued, and the officer fired one round which hit the suspect. The man was taken to a hospital where he died a short time later.</t>
  </si>
  <si>
    <t>http://patersontimes.com/2014/01/05/man-shot-by-officer-on-franklin-street-identified-as-a-haledon-resident/</t>
  </si>
  <si>
    <t>Igor Skorev</t>
  </si>
  <si>
    <t>http://media.thedenverchannel.com/photo/2012/09/01/Igor-Skorev-Arrested-in-Glenwood-Springs-State-Patrol-High-Speed-Chase-30937714_67688_ver1.0_320_240.jpg</t>
  </si>
  <si>
    <t>8600 W 62nd Ave</t>
  </si>
  <si>
    <t>80004</t>
  </si>
  <si>
    <t>Skorev was involved in an attempted homicide after an argument over a pool game. Officers tried to stop his car as he drove toward officers. Officers opened fire. Skorev got away but died not long after.</t>
  </si>
  <si>
    <t>http://archive.9news.com/rss/story.aspx?storyid=371955</t>
  </si>
  <si>
    <t>Michael Estrada</t>
  </si>
  <si>
    <t>http://www.svherald.com/sites/default/files/imagecache/Really_Big/6725-2378_177.jpg</t>
  </si>
  <si>
    <t>1251 Paseo San Luis Blvd.</t>
  </si>
  <si>
    <t>85635</t>
  </si>
  <si>
    <t>Two patrol units were dispatched to 1200 block of Paseo San Luis where Estrada was in the front yard of the residence brandishing a machete. Estrada began making aggressive statements and started walking toward one of the officers. Officer Michael Rathmann fired his department-issue weapon at Estrada, who sustained multiple gunshot wounds. Emergency Medical Personnel were contacted and quickly responded to provide life-saving measures. Estrada was transported to the Emergency Department at the Sierra Vista Regional Health Center where he was pronounced dead shortly thereafter.</t>
  </si>
  <si>
    <t>http://www.tucsonnewsnow.com/story/24362816/sierra-vista-man-killed-in-officer-involved-shooting</t>
  </si>
  <si>
    <t>Robert Coleman</t>
  </si>
  <si>
    <t>3800 Smokemist Trace</t>
  </si>
  <si>
    <t>Officers received a call about a burglary in progress. Two officers encountered Coleman while checking the residence and shots were fired. Coleman died at the scene. One of the two officers was shot in the leg and taken to a hospital with non-life-threatening injuries and later released.</t>
  </si>
  <si>
    <t>http://www.ajc.com/news/news/breaking-news/shooting-in-lawrenceville-leaves-suspect-dead-offi/nccgt/</t>
  </si>
  <si>
    <t>Noah Scott</t>
  </si>
  <si>
    <t>http://imgick.nola.com/home/nola-media/width620/img/crime_impact/photo/14051807-mmmain.jpg</t>
  </si>
  <si>
    <t>1342 Pier Avenue</t>
  </si>
  <si>
    <t>70005</t>
  </si>
  <si>
    <t>Noah Scott had a long history of drug abuse, including heroin. When his girlfriend backed out on marriage plans, he stabbed her seven times. Deputies found her bleeding to death on the lawn across the street from Scott's house. Scott confronted them in the doorway with a knife, asking the officers to shoot and kill him. When they didn't, he lunged at them, and three deputies shot him 29 times. His girlfriend succumbed to her injuries. The sheriff called it a case of "suicide by cop."</t>
  </si>
  <si>
    <t>http://www.nola.com/crime/index.ssf/2014/01/sister_of_bucktown_stabbing_su.html</t>
  </si>
  <si>
    <t>Joeshawn Edward Williams</t>
  </si>
  <si>
    <t>http://ak-cache.legacy.net/legacy/images/cobrands/nola/photos/01162014_0001368667_1.jpg?v=0x000000002daf358c</t>
  </si>
  <si>
    <t>10900 N Western Ave</t>
  </si>
  <si>
    <t>73114</t>
  </si>
  <si>
    <t>Two officers were patrolling looking for criminal activity when they spotted Williams standing near a 7-Eleven store. When the officers approached Williams, he ran into traffic, crossing a four-lane intersection. During the pursuit, one officer approached Williams on foot, and the other pursued Williams in his patrol car. Williams fired at Cortez as he approached him on foot. Cortez returned fire striking Williams several times. He died at the scene.</t>
  </si>
  <si>
    <t>Wesley Maldonado</t>
  </si>
  <si>
    <t>http://extras.mnginteractive.com/live/media/site36/2014/0103/20140103__wesley_maldonado~p1.jpg</t>
  </si>
  <si>
    <t>300 East 88th Avenue</t>
  </si>
  <si>
    <t>Thornton</t>
  </si>
  <si>
    <t>80229</t>
  </si>
  <si>
    <t>Thornton Police Department</t>
  </si>
  <si>
    <t>Maldonado showed up at his ex-girlfriend's apartment, who had a restraining order against him, with a sawed-off 410 shotgun. He got in a confrontation with a man there, and fired off a shot. Police were called, and Maldonado fled in a stolen SUV. He led police on a high speed chase to Denver and back to the apartment in Thornton. There, police cornered him, and when Maldonado raised his gun, three police unloaded on him, firing 21 times and striking him 17. He died on the spot. The Thornton County DA found officers justified. An autopsy found methamphetamine and alcohol in Maldonado's system.</t>
  </si>
  <si>
    <t>http://www.denverpost.com/news/ci_24838223/thornton-police-scene-reported-shootout-car-chase-suspect</t>
  </si>
  <si>
    <t>Brandon Lee Melton</t>
  </si>
  <si>
    <t>http://cbsdallas.files.wordpress.com/2014/01/brandon-melton.jpg?w=420&amp;h=315</t>
  </si>
  <si>
    <t>6400 Patsy Lane</t>
  </si>
  <si>
    <t>Watauga</t>
  </si>
  <si>
    <t>76148</t>
  </si>
  <si>
    <t>Watauga Police Department</t>
  </si>
  <si>
    <t>Brandon Lee Melton's girlfriend was pregnant and leaving him. A friend was helping her move her stuff out of the house. The police officer who responded to the domestic violence call found the friend stabbed and bleeding and Melton astride his pregnant wife on the front lawn, stabbing her repeatedly. The officer fired one shot, hitting Melton in the head. He died several days later. Both women survived the attack. A Grand Jury declined to indict the officer.</t>
  </si>
  <si>
    <t>http://www.star-telegram.com/2014/06/12/5896081/watauga-officer-no-billed-in-fatal.html</t>
  </si>
  <si>
    <t>Patrick L. Jones</t>
  </si>
  <si>
    <t>2272 Siskin Ave.</t>
  </si>
  <si>
    <t>43228</t>
  </si>
  <si>
    <t>A caseworker at the Association for the Developmentally Disabled of Worthington called 911, saying she had been threatened by a resident. When officers arrived, a man came at them with a knife and an officer shot him. The caseworker locked herself in a bathroom.</t>
  </si>
  <si>
    <t>http://www.dispatch.com/content/stories/local/2014/01/03/One-dead-in-officer-involved-shooting.html</t>
  </si>
  <si>
    <t>Jesse J. Humphrey</t>
  </si>
  <si>
    <t>431-435 S. Rushmore Road</t>
  </si>
  <si>
    <t>Selah</t>
  </si>
  <si>
    <t>98942</t>
  </si>
  <si>
    <t>Deputies went to Humphrey's home with a search warrant after two theft investigations were linked to the address. When the deputies searching the property asked him to get out of it, he opened fire. The deputies returned fire and called for backup. More than 50 officers from several law enforcement agencies assisted at the scene. Humphrey called 911 from inside the motor home during the standoff. He spent nearly an hour talking with a Yakima police negotiator, but they were unable to reach a solution. Humphrey was killed by officers returning fire. He was a convicted sex offender who had failed to register.</t>
  </si>
  <si>
    <t>http://www.yakimaherald.com/news/latestlocalnews/1808760-8/man-killed-by-police-in-selah-standoff-identified</t>
  </si>
  <si>
    <t>Rasheik Calhoun</t>
  </si>
  <si>
    <t>http://bloximages.newyork1.vip.townnews.com/unionspringsherald.com/content/tncms/assets/v3/editorial/8/7d/87d3d26a-7d37-11e3-aee2-0019bb30f31a/52d56380e40e9.image.jpg?resize=300%2C299</t>
  </si>
  <si>
    <t>462 N. Savage St.</t>
  </si>
  <si>
    <t>Crestview</t>
  </si>
  <si>
    <t>32536</t>
  </si>
  <si>
    <t>Okaloosa</t>
  </si>
  <si>
    <t>Crestview Police Department</t>
  </si>
  <si>
    <t>Police had obtained a search warrant for the house in connection to an investigation. When officers went to the house to execute the warrant, gunfire was exchanged.</t>
  </si>
  <si>
    <t>Michael Edward Schmidt</t>
  </si>
  <si>
    <t>http://a.abcnews.com/images/US/ht_michael_edward_schmidt_sr_130103_16x9_992.jpg</t>
  </si>
  <si>
    <t>2728 McKinnon Street</t>
  </si>
  <si>
    <t>75201</t>
  </si>
  <si>
    <t>Schmidt was a prominent attorney who lived in the Glass House at Windsor apartment tower. He called police and reported a burglary, then barricaded himself in a hallway with a gun. When police arrived, he started shooting. Police returned fire, hitting him nine times and killing him. Autopsy revealed large amount of cocaine mixed with other drugs in Schmidt's system.</t>
  </si>
  <si>
    <t>http://crimeblog.dallasnews.com/2014/01/burglary-suspect-shot-killed-in-confrontation-with-police-at-uptown-condos.html/</t>
  </si>
  <si>
    <t>Keith Jason Martin</t>
  </si>
  <si>
    <t>3 miles north of Hondo</t>
  </si>
  <si>
    <t>Hondo</t>
  </si>
  <si>
    <t>78861</t>
  </si>
  <si>
    <t>Medina</t>
  </si>
  <si>
    <t>Martin was shot and killed by a fellow U.S. Border Patrol agent, Adam S. Garibay. Garibay discovered that his wife and Martin had had an affair, assaulted and handcuffed his wife in Corpus Christi, then drove to Hondo to kill Martin. Garibay has been charged with murder.</t>
  </si>
  <si>
    <t>http://www.expressnews.com/news/local/article/Wife-of-accused-border-agent-reveals-love-5112565.php</t>
  </si>
  <si>
    <t>Julias Michael Reese</t>
  </si>
  <si>
    <t>http://www.southernstylefunerals.com/obituaries/Julias-Reece/memorial/picture/main/julias-reece-obituary.jpg</t>
  </si>
  <si>
    <t>West Seven Mile Road and Grand River Avenue</t>
  </si>
  <si>
    <t>Redford Charter Township</t>
  </si>
  <si>
    <t>48240</t>
  </si>
  <si>
    <t>Redford Police Department</t>
  </si>
  <si>
    <t>Reece was suspected of two carjackings in which two people had been shot and injured. When stopped, Reece attempted to flee on foot and was shot by police. Very few details are available about this shooting.</t>
  </si>
  <si>
    <t>http://www.freep.com/article/20140102/NEWS05/301020071/carjacking-suspect-redford-detroit-shot-killed</t>
  </si>
  <si>
    <t>Shane Bridges</t>
  </si>
  <si>
    <t>13650 South 4250 Road</t>
  </si>
  <si>
    <t>74016</t>
  </si>
  <si>
    <t>Mayes</t>
  </si>
  <si>
    <t>Deputy was called to rural location on report of suicidal man. Man was standing on porch with a gun when deputy arrived, and fired at deputy. Deputy returned fire, killing man. Shooting was referred to Oklahoma State Board of Investigation. Results of investigation unknown.</t>
  </si>
  <si>
    <t>http://www.kjrh.com/news/state/mayes-county-deputy-fatally-shoots-man</t>
  </si>
  <si>
    <t>Ricky Junior Toney</t>
  </si>
  <si>
    <t>http://www.wilsontimes.com/assets/10326011/28048230_dioStoryImage.jpg</t>
  </si>
  <si>
    <t>Cheeks Quarter Road and Smith Road</t>
  </si>
  <si>
    <t>27537</t>
  </si>
  <si>
    <t>Authorities shot and killed Toney accused of gunning down his estranged wife and her daughter at their rural Franklin County home.</t>
  </si>
  <si>
    <t>Dontae Daveon Lewis Hayes</t>
  </si>
  <si>
    <t>3860 Van Buren Boulevard</t>
  </si>
  <si>
    <t>92503</t>
  </si>
  <si>
    <t>Officers from the Riverside Police Department Problem Oriented Policing (POP) Team were conducting a pedestrian check on two individuals at Arlington Park. While speaking with these individuals, it was determined that Hayes would be handcuffed because he had a felony warrant for his arrest for receiving stolen property. As one of the officers attempted to make contact with Hayes, he pulled a handgun from the waistband of his pants. The officer shot and killed him.</t>
  </si>
  <si>
    <t>http://blog.pe.com/breaking-news/2013/12/31/riverside-police-tape-off-arlington-park-man-down/</t>
  </si>
  <si>
    <t>James M. Eshelman</t>
  </si>
  <si>
    <t>2000 S Belair Drive</t>
  </si>
  <si>
    <t>Moses Lake</t>
  </si>
  <si>
    <t>98837</t>
  </si>
  <si>
    <t>Moses Lake Police Department</t>
  </si>
  <si>
    <t>Eshelman was shot after officers responded to a disturbance call. He was armed with a large knife when officers contacted him. At some point, the police shot Eshelman who was transported to Samaritan Hospital in Moses Lake where he was pronounced dead.</t>
  </si>
  <si>
    <t>http://www.columbiabasinherald.com/news/article_2204a92e-7273-11e3-9ba8-0019bb2963f4.html</t>
  </si>
  <si>
    <t>Jaspal Singh</t>
  </si>
  <si>
    <t>Police received a call about a domestic dispute. When two police officers arrived, Singh was outside and holding a firearm. He pointed the firearm at the police, and one of the officers fired five shots at him. Singh was pronounced dead at Kern Medical Center.</t>
  </si>
  <si>
    <t>http://www.bakersfieldcalifornian.com/local/x1149425044/East-Bakersfield-man-shot-killed-by-police</t>
  </si>
  <si>
    <t>William Jackson</t>
  </si>
  <si>
    <t>http://whtm.images.worldnow.com/images/24327660_BG2.jpg</t>
  </si>
  <si>
    <t>Brensinger Alley and Schuylkill Street</t>
  </si>
  <si>
    <t>Harrisburg</t>
  </si>
  <si>
    <t>17110</t>
  </si>
  <si>
    <t>Harrisburg Police Department</t>
  </si>
  <si>
    <t>Officers were investigating a suspicious vehicle and discovered Jackson inside the truck. He tried to use his truck to hit Harrisburg police officers. They opened fire and killed him.</t>
  </si>
  <si>
    <t>http://fox43.com/2013/12/30/dauphin-da-investigates-harrisburg-police-involved-shooting/#axzz2p10Zpmqa</t>
  </si>
  <si>
    <t>Kendall Alexander</t>
  </si>
  <si>
    <t>http://www.pellerinfuneralhome.com/sitemaker/memsol_data/1825/1205136/1205136_profile_pic.jpg</t>
  </si>
  <si>
    <t>450 East Mills Avenue</t>
  </si>
  <si>
    <t>Breaux Bridge</t>
  </si>
  <si>
    <t>70517</t>
  </si>
  <si>
    <t>St. Martin</t>
  </si>
  <si>
    <t>St. Martin Parish Sheriff's Office</t>
  </si>
  <si>
    <t>Kendall Alexander was a former police officer married to Crystal Alexander, a St. Martin Parish Sheriff's Office deputy. They had a rocky relationship which included several restraining orders against Kendall. In circumstances that remain unclear, Crystal shot and killed Kendall in their apartment. She was off duty at the time. Crystal no longer works at the Sheriff's Office and was indicted on second-degree murder charge in July, 2014. At this writing, September 2014, she is awaiting trial.</t>
  </si>
  <si>
    <t>http://theadvocate.com/home/9576990-125/former-st-martin-deputy-charged</t>
  </si>
  <si>
    <t>Joseph Glenn</t>
  </si>
  <si>
    <t>1315 N Trenton St</t>
  </si>
  <si>
    <t>Ruston Police Departmen</t>
  </si>
  <si>
    <t>Glenn was identified as a suspect in the armed robbery and kidnapping. Officers were responding to a telephone tip when they found him at Hampton Inn. Glenn didn't comply with the officers' commands to show his hands before confronting them with a replica firearm. He was shot and taken to Northern Louisiana Medical Center where he died.</t>
  </si>
  <si>
    <t>http://www.nola.com/crime/index.ssf/2013/12/police_shoot_ruston_armed_robb.html</t>
  </si>
  <si>
    <t>Franklin Jones III</t>
  </si>
  <si>
    <t>West Franklin and South Monroe Street</t>
  </si>
  <si>
    <t>45373</t>
  </si>
  <si>
    <t>Jones allegedly shot Sammy Butler who suffered two gunshot wounds. The initial shooting stemmed from a domestic dispute. Police responded to multiple 911 calls indicating a shooting had occurred in the area. An officer spotted the alleged shooter and that's when gunfire was exchanged between police and Jones.</t>
  </si>
  <si>
    <t>http://www.daytondailynews.com/news/news/crime-law/man-killed-officer-shot-downtown-troy-shootout/ncXdz/</t>
  </si>
  <si>
    <t>Mitchell Allen Street</t>
  </si>
  <si>
    <t>http://bloximages.newyork1.vip.townnews.com/journalpatriot.com/content/tncms/assets/v3/editorial/6/46/64639302-6f2b-11e3-ad73-0019bb30f31a/52bdd3b3db8bb.image.jpg?resize=300%2C400</t>
  </si>
  <si>
    <t>Folger Road</t>
  </si>
  <si>
    <t>Sparta</t>
  </si>
  <si>
    <t>28675</t>
  </si>
  <si>
    <t>Alleghany</t>
  </si>
  <si>
    <t>Police responded to a report of domestic dispute, went to Street's house and saw Street with a high-powered rifle. The officers identified themselves and ordered Street to put down his weapon. He refused and then pointed the gun at the officers who fired in response.</t>
  </si>
  <si>
    <t>http://myfox8.com/2013/12/29/sparta-man-killed-in-officer-involved-shooting/</t>
  </si>
  <si>
    <t>Christopher George</t>
  </si>
  <si>
    <t>http://extras.mnginteractive.com/live/media/site46/2013/1230/20131230__31tcasho-2_300.jpg</t>
  </si>
  <si>
    <t>8309 N. 95th St</t>
  </si>
  <si>
    <t>Longmont</t>
  </si>
  <si>
    <t>80504</t>
  </si>
  <si>
    <t>Christopher George's mother called deputies reporting he had been locked in his room for several days. She told deputies that the man did not have access to weapons. Two deputies arrived about 10 minutes later to speak with him. George pulled a gun during the conversation, and one of the deputies fired multiple shots in response.</t>
  </si>
  <si>
    <t>http://www.denverpost.com/dnc/ci_24808013/boulder-county-deputy-shoots-injures-man-home-near</t>
  </si>
  <si>
    <t>Bethany Lytle</t>
  </si>
  <si>
    <t>Taft</t>
  </si>
  <si>
    <t>93268</t>
  </si>
  <si>
    <t>http://www.turnto23.com/news/local-news/police-fatally-shoot-woman-after-threatening-police</t>
  </si>
  <si>
    <t>Somourian Jamal Wingo</t>
  </si>
  <si>
    <t>http://jacksonville.com/sites/default/files/imagecache/story_slideshow_thumb/12946833.jpg</t>
  </si>
  <si>
    <t>South Second Street and Laurel Street</t>
  </si>
  <si>
    <t>Trooper Lawrence Andrew Litzell was trying to stop Wingo following a traffic stop and foot chase in Palatka when Wingo fired a .25-caliber handgun at the officer. Litzell fired back, killing Wingo.</t>
  </si>
  <si>
    <t>http://jacksonville.com/news/2013-12-28/story/trooper-involved-shooting-putnam-county-leaves-one-dead</t>
  </si>
  <si>
    <t>Dante Chavful</t>
  </si>
  <si>
    <t>Prairie View Police Department</t>
  </si>
  <si>
    <t>http://www.chron.com/news/houston-texas/houston/article/Authorities-Off-duty-officer-kills-man-who-5099348.php?cmpid=hpbn</t>
  </si>
  <si>
    <t>Mario Edward Garnett</t>
  </si>
  <si>
    <t>3400 W. Thomas Road</t>
  </si>
  <si>
    <t>Officers were involved in a shooting near the scene of a bank robbery. When the first responding officer arrived at the scene, he noticed a peculiarly-parked white vehicle in the branch parking lot. Moments later, a Hispanic male with a bandanna covering his face was seen exiting the building with a bag in one hand and a gun in the other. Following a shoot out, the suspect was killed.</t>
  </si>
  <si>
    <t>http://ktar.com/22/1688035/Phoenix-bank-robber-dead-after-shootout</t>
  </si>
  <si>
    <t>Darrell King</t>
  </si>
  <si>
    <t>http://cdn2.newsok.biz/cache/w300-3a744757c017c66f9ce1508ecc40cf03.jpg</t>
  </si>
  <si>
    <t>An off-duty Oklahoma Highway Patrol trooper fatally shot a suspected intruder in an apartment in Deep Deuce.</t>
  </si>
  <si>
    <t>Anthony Darnell King</t>
  </si>
  <si>
    <t>200 NE 2nd Street</t>
  </si>
  <si>
    <t>http://www.okcfox.com/story/24316925/police-off-duty-ohp-officer-shoots-intruder</t>
  </si>
  <si>
    <t>John A. Massey</t>
  </si>
  <si>
    <t>30067</t>
  </si>
  <si>
    <t>Officers initiated an investigation involving a stolen motorcycle parked in the parking lot of an Extended Stay Hotel.During the investigation, officers came into contact with Massey in one of the hotel rooms. A physical altercation began between Massey and officers, and Massey produced a handgun. An officer fired his weapon, killing Massey.</t>
  </si>
  <si>
    <t>http://www.cbsatlanta.com/story/24317007/cobb-pd-investigating-a-fatal-officer-involved-shooting</t>
  </si>
  <si>
    <t>John Lincoln</t>
  </si>
  <si>
    <t>http://kdfw.images.worldnow.com/images/24314137_SA.jpg</t>
  </si>
  <si>
    <t>Colleyville</t>
  </si>
  <si>
    <t>76034</t>
  </si>
  <si>
    <t>North Richland Hills Police Department</t>
  </si>
  <si>
    <t>Lincoln was shot and killed by police after a several-hour standoff, where he took his own daughter hostage. Lincoln's family claimed he suffered from bipolar disorder, and was "talking crazy" before the shooting.</t>
  </si>
  <si>
    <t>http://www.star-telegram.com/2013/12/27/5445512/man-shot-by-police-during-standoff.html</t>
  </si>
  <si>
    <t>James Torres</t>
  </si>
  <si>
    <t>http://assets.nydailynews.com/polopoly_fs/1.1558782.1388077496!/img/httpImage/image.jpg_gen/derivatives/article_970/article-shot2-1226.jpg?enlarged</t>
  </si>
  <si>
    <t>1985 Davidson Ave</t>
  </si>
  <si>
    <t>10453</t>
  </si>
  <si>
    <t>Police began pursuing Torres after he allegedly robbed a man at an ATM at gunpoint. Torres fled into a nearby apartment building, and was shot after grappling with an officer.</t>
  </si>
  <si>
    <t>http://www.nytimes.com/2013/12/27/nyregion/police-fatally-shoot-an-armed-robbery-suspect-in-the-bronx.html</t>
  </si>
  <si>
    <t>Asa James Dolak</t>
  </si>
  <si>
    <t>http://www.gannett-cdn.com/-mm-/d10f47fef04d3c86b967d71daed78cdf914da83a/c=0-106-300-332&amp;r=x404&amp;c=534x401/local/-/media/USATODAY/test/2013/12/26//1388110196000-asa-dolak.jpg</t>
  </si>
  <si>
    <t>21364 Madrona Ave</t>
  </si>
  <si>
    <t>90503</t>
  </si>
  <si>
    <t>Torrance Police Department</t>
  </si>
  <si>
    <t>Dolak, who had previously set fire to his girlfriend and mother's home, was found in the bathroom of a local middle school holding a knife. After escaping to a school field, Dolak entered into another confrontation with police and was eventually shot and killed.</t>
  </si>
  <si>
    <t>http://www.latimes.com/local/lanow/la-me-ln-torrance-police-fatal-20131226,0,2081122.story#axzz2oe0tGkQ5</t>
  </si>
  <si>
    <t>Peyton Cole Barbour</t>
  </si>
  <si>
    <t>http://www.dallasnews.com/incoming/20131226-1487353_3796438445982_1017569710_n.jpg.ece/ALTERNATES/w130h200/1487353_3796438445982_1017569710_n.jpg</t>
  </si>
  <si>
    <t>600 E Seeton Road</t>
  </si>
  <si>
    <t>Grand Prairie</t>
  </si>
  <si>
    <t>75054</t>
  </si>
  <si>
    <t>Grand Prairie Police Department</t>
  </si>
  <si>
    <t>Barbour, a white high school sophomore, was parked in a stolen car early Christmas morning when police attempted to question him. He sped away and after a short chase, ditched the car and fled on foot, firing shots at the officer from a 9 mm Glock stolen in a residential burglary. The officer returned fire. No one was hit. Later that afternoon, police cornered Barbour and pleaded with him to give up. He refused, shooting at and injuring two officers. Police then shot and killed Barbour. The injured police recovered and a grand jury declined to indict the officers involved in the shooting.</t>
  </si>
  <si>
    <t>http://www.nbcdfw.com/news/local/Grand-Prairie-Police-Search-for-Man-Who-Shot-at-Officer-237232591.html</t>
  </si>
  <si>
    <t>Michael Rosales</t>
  </si>
  <si>
    <t>http://kiii.images.worldnow.com/images/24310334_BG2.jpg</t>
  </si>
  <si>
    <t>4100 Herndon Street</t>
  </si>
  <si>
    <t>Corpus Christi</t>
  </si>
  <si>
    <t>78411</t>
  </si>
  <si>
    <t>Nueces</t>
  </si>
  <si>
    <t>Corpus Christi Police Department</t>
  </si>
  <si>
    <t>Rosales allegedly had been drinking heavily on Christmas Eve, and brandishing two handguns, took shots at his girlfriend and other family members. No one was injured. Neighbors called police, and when they arrived, Rosales began firing at them. Police returned fire and killed Rosales. Police video footage confirms police account of this fatal encounter. Police Chief declared shooting justified.</t>
  </si>
  <si>
    <t>http://www.kristv.com/news/police-chief-3-officers-justified-in-christmas-eve-shooting/</t>
  </si>
  <si>
    <t>William Goodman</t>
  </si>
  <si>
    <t>Bayfront Pkwy and N 17th Ave</t>
  </si>
  <si>
    <t>32502</t>
  </si>
  <si>
    <t>Pensacola Police Department</t>
  </si>
  <si>
    <t>After Goodman was boxed in by police following a high-speed chase, he repeatedly rammed into police vehicles and ran over one officer's leg. An officer fired into Goodman's car, hitting him twice in the chest. Goodman was found to have a BAC over the legal limit, and was facing vehicular manslaughter charges from an earlier incident.</t>
  </si>
  <si>
    <t>http://www.northescambia.com/2013/12/teen-dead-in-officer-involved-shooting</t>
  </si>
  <si>
    <t>Matthew Clowers</t>
  </si>
  <si>
    <t>http://www.bringfuneralhome.com/obituaries/Matthew-Clowers/memorial/picture/main/matthew-clowers-obituary.jpg</t>
  </si>
  <si>
    <t>Arizona 87 and E Alsdorf Road</t>
  </si>
  <si>
    <t>Clowers and an accomplice were being chased by police after allegedly robbing a sex shop, when the two abandoned their vehicle and attempted to flee on foot. Though the sheriff's office initially said gunfire was exchanged before Clowers was killed, but later media reports found that the pair was unarmed and Clowers was shot in the back as he fled.</t>
  </si>
  <si>
    <t>http://www.azcentral.com/story/news/local/pinal/2014/03/14/records-fatal-shooting-deputy-gunbattle/6407201/</t>
  </si>
  <si>
    <t>James Lewis Brown</t>
  </si>
  <si>
    <t>http://wnct.images.worldnow.com/images/3127733_G.jpg</t>
  </si>
  <si>
    <t>4700 Reedy Branch Road</t>
  </si>
  <si>
    <t>Winterville</t>
  </si>
  <si>
    <t>28590</t>
  </si>
  <si>
    <t>Police responding to calls of a suicidal man found Brown on a small bridge on Forlines Road. After the officers approached him, Brown raised his gun, leading the officers to fire at Brown. North Carolina's State Bureau of Investigation found the shooting to be justified.</t>
  </si>
  <si>
    <t>http://www.witn.com/home/headlines/SBI-Investigating-Greenville-Officers-Involved-Shooting-236961671.html</t>
  </si>
  <si>
    <t>Mah-hi-vist Goodblanket</t>
  </si>
  <si>
    <t>http://cdn2.newsok.biz/cache/w300-c_d54215b1cfc3c9f8161866d9138fcd51.jpg</t>
  </si>
  <si>
    <t>10354 North 2200 Road</t>
  </si>
  <si>
    <t>73601</t>
  </si>
  <si>
    <t>Custer</t>
  </si>
  <si>
    <t>Custer County Sheriff's Department</t>
  </si>
  <si>
    <t>The family called emergency services because Mah-hi-vist was suffering an ODD episode. Several police agencies showed up, allegedly did not ask questions of the family, obtain any information, or try to assess the situation as a mental health crisis. Several officers stormed into the house with weapons drawn and fired on Mah-hi-vist, shooting him multiple times.</t>
  </si>
  <si>
    <t>David P. Giliberti</t>
  </si>
  <si>
    <t>http://bloximages.newyork1.vip.townnews.com/lancasteronline.com/content/tncms/assets/v3/editorial/4/25/42512ed0-9e30-11e3-bdce-0017a43b2370/530cb4a858568.image.jpg?resize=300%2C300</t>
  </si>
  <si>
    <t>101 Arrowhead Dr</t>
  </si>
  <si>
    <t>Lititz</t>
  </si>
  <si>
    <t>17543</t>
  </si>
  <si>
    <t>Lititz Borough Police Department</t>
  </si>
  <si>
    <t>An officer responding to a number of 911 calls from Giliberti's grandmother's home found the 22-year-old in the middle of a “psychotic episode," and tasered him to little effect. The officer shot Giliberti six times after he approached the officer with a kitchen knife. The county DA cleared the officer of any wrongdoing.</t>
  </si>
  <si>
    <t>http://lancasteronline.com/news/local/da-lititz-police-officer-justified-in-shooting-man-six-times/article_18696452-9e30-11e3-8138-0017a43b2370.html</t>
  </si>
  <si>
    <t>Sharon Rebecca McDowell</t>
  </si>
  <si>
    <t>http://mediaassets.independentmail.com/photo/2014/03/11/414255_3364055_ver1.0_640_480.JPG</t>
  </si>
  <si>
    <t>West Whitner Street and Appleton Street</t>
  </si>
  <si>
    <t>Anderson Police Department</t>
  </si>
  <si>
    <t>McDowell was shot and killed after officers pursued her car from the site of an alleged shoplifting. After being cornered on a dirt road, McDowell rammed a police car and appeared poised to hit two officers on foot, which is when police opened fire. McDowell was pronounced dead at the scene.</t>
  </si>
  <si>
    <t>http://www.foxcarolina.com/story/24278010/police-shoplifting-suspect-shot-and-killed-in-anderson</t>
  </si>
  <si>
    <t>Andrew Beard</t>
  </si>
  <si>
    <t>78254</t>
  </si>
  <si>
    <t>Beard was standing in his mother's backyard and told officers he wanted to be shot by police. During the negotiation with investigators, two SAPD officers shot Beard. Paramedics were called, but Beard died at the scene.</t>
  </si>
  <si>
    <t>Cimarron Lamar Lamb</t>
  </si>
  <si>
    <t>http://media.al.com/montgomery/photo/13967489-small.png</t>
  </si>
  <si>
    <t>2100 16th Ave</t>
  </si>
  <si>
    <t>Phenix City</t>
  </si>
  <si>
    <t>36867</t>
  </si>
  <si>
    <t>Russell</t>
  </si>
  <si>
    <t>Phenix City Police Department</t>
  </si>
  <si>
    <t>Lamb, along with an accomplice, lead police on a brief chase before fleeing on foot after police received reports of an armed robbery. Lamb was found hiding under a vehicle and was shot after refusing to surrender.</t>
  </si>
  <si>
    <t>Duane Slentz</t>
  </si>
  <si>
    <t>http://www.gannett-cdn.com/-mm-/71d804bebdeb5f5d10cf1091e44afd29d7acd550/c=0-141-480-502&amp;r=x404&amp;c=534x401/local/-/media/Indianapolis/Indianapolis/2013/12/19//1387470689000-slentz-duane.jpg</t>
  </si>
  <si>
    <t>3800 S Franklin Rd</t>
  </si>
  <si>
    <t>46239</t>
  </si>
  <si>
    <t>Slentz was initially approached by a park ranger at a local park for smelling like alcohol, but later ran off and lead police on a chase that ended after he crashed his car near his home. Officers fired and killed Slentz after hearing him cock a gun through an open window.</t>
  </si>
  <si>
    <t>Kevin Ross</t>
  </si>
  <si>
    <t>http://4.bp.blogspot.com/-3HQJ3hOofTY/UrSmCkfGqdI/AAAAAAAAmBI/XW9pU_LjDXw/s640/chi-evanston-murder-bank-robbery-20131220.jpg</t>
  </si>
  <si>
    <t>Maple &amp; Davis</t>
  </si>
  <si>
    <t>Evanston</t>
  </si>
  <si>
    <t>60201</t>
  </si>
  <si>
    <t>Evanston Police Deparment</t>
  </si>
  <si>
    <t>Police responded to bank robbery, and found a man (Kevin) that matched the description a couple of blocks away from the bank. When the police asked him to drop his gun, he refused and the officers opened fire. An investigation done after the death tied the deceased to a double murder in the same block a few months earlier.</t>
  </si>
  <si>
    <t>http://evanstonroundtable.com/main.asp?FromHome=1&amp;TypeID=1&amp;ArticleID=8107&amp;SectionID=15&amp;SubSectionID=26</t>
  </si>
  <si>
    <t>Darold Vadenheuvel</t>
  </si>
  <si>
    <t>http://newcomernet.com/Photos/76183.jpg</t>
  </si>
  <si>
    <t>1499 Capitol Dr</t>
  </si>
  <si>
    <t>Vadenheuvel's ex-wife called police to report that he was in her apartment complex and had a gun, violating her restraining order. Officers responding to the scene found Vadenheuvel, and shot him after he pulled a gun. The officer was cleared by the county District Attorney in January 2014.</t>
  </si>
  <si>
    <t>http://www.jrn.com/nbc26/news/Officers-Respond-to-Reports-of-a-Shooting-on-Green-Bays-West-Side-236009901.html</t>
  </si>
  <si>
    <t>90220</t>
  </si>
  <si>
    <t>Victor Rivera</t>
  </si>
  <si>
    <t>94-926 Hiapo St</t>
  </si>
  <si>
    <t>Waipahu</t>
  </si>
  <si>
    <t>96797</t>
  </si>
  <si>
    <t>Officers shot and killed Rivera, who suffered from a mental illness, after he threatened them with a blade attached to a long metal pole. Officers first attempted to taser Rivera and then shot him five times after it was deemed ineffective.</t>
  </si>
  <si>
    <t>http://www.staradvertiser.com/news/breaking/20131214_Police_investigating_fatal_shooting_in_Waipahu.html?id=235862061</t>
  </si>
  <si>
    <t>Lawrence Sanchez</t>
  </si>
  <si>
    <t>http://www.chieftain.com/csp/mediapool/sites/dt.common.streams.StreamServer.cls?STREAMOID=wu9znUTMyFrFI0TmeAtGfs$daE2N3K4ZzOUsqbU5sYsFLzcFl2pYCRKg6O8ENWz6WCsjLu883Ygn4B49Lvm9bPe2QeMKQdVeZmXF$9l$4uCZ8QDXhaHEp3rvzXRJFdy0KqPHLoMevcTLo3h8xh70Y6N_U_CryOsw6FTOdKL_jpQ-&amp;CONTENTTYPE=image/jpeg</t>
  </si>
  <si>
    <t>3200 B 1/2 Rd</t>
  </si>
  <si>
    <t>81503</t>
  </si>
  <si>
    <t>Mesa County Sheriff's Office</t>
  </si>
  <si>
    <t>Sanchez, who was wanted for escaping a halfway house at the time of his death, was shot and killed after an hours-long standoff with Mesa County Sheriff's deputies. The county's DA found no wrong-doing on the part of the sheriff's office.</t>
  </si>
  <si>
    <t>http://www.nbc11news.com/home/headlines/Roads-closed-for-police-activity-235875351.html</t>
  </si>
  <si>
    <t>Roy D. Rhodes</t>
  </si>
  <si>
    <t>600 Milford Harrington Hwy</t>
  </si>
  <si>
    <t>Milford</t>
  </si>
  <si>
    <t>19963</t>
  </si>
  <si>
    <t>Milford Police Department</t>
  </si>
  <si>
    <t>After a near car-collision, Rhodes and another driver began arguing and fighting when a Milford police officer arrived. Rhodes allegedly pulled a gun from his car, and after ignoring demands to put it down was shot several times by the officer.</t>
  </si>
  <si>
    <t>http://www.milfordbeacon.com/article/20131214/News/131219871</t>
  </si>
  <si>
    <t>Eric M. Anderson</t>
  </si>
  <si>
    <t>http://www.trbimg.com/img-5335c6c8/turbine/chi-131213-gunman-eric-anderson-arlington-heights-photo/600/600x338</t>
  </si>
  <si>
    <t>Arlington Heights</t>
  </si>
  <si>
    <t>60004</t>
  </si>
  <si>
    <t>Arlington Heights Police Department</t>
  </si>
  <si>
    <t>Anderson, who had faced previous legal trouble for the harassment of an ex-girlfriend, took the woman hostage in her mother's home and shot an officer during a multi-hour standoff. After leaving the residence, Anderson confronted police officers who shot him multiple times.</t>
  </si>
  <si>
    <t>http://www.chicagotribune.com/news/local/suburbs/arlington_heights/chi-arlington-heights-police-officer-shot-20131212,0,3283722.story</t>
  </si>
  <si>
    <t>Ricky Taylor</t>
  </si>
  <si>
    <t>http://fnetobits.memorialobituaries.com/galleries/geschefh/1323105/717182.jpg</t>
  </si>
  <si>
    <t>1009 Grand Ave</t>
  </si>
  <si>
    <t>Neillsville</t>
  </si>
  <si>
    <t>54456</t>
  </si>
  <si>
    <t>Taylor's mother initially called police to help defuse a domestic situation, as Taylor had been drinking. An officer fired and killed Taylor after the 23-year-old refused to put down a knife he had pointed at the officer. The Clark County District Attorney found that the officer's use of force was justified, though "regrettable."</t>
  </si>
  <si>
    <t>http://www.weau.com/home/headlines/Person-killed-in-officer-involved-shooting-in-Neillsville-235749741.html</t>
  </si>
  <si>
    <t>Gregory Bendas</t>
  </si>
  <si>
    <t>https://fbcdn-sphotos-c-a.akamaihd.net/hphotos-ak-xaf1/v/t1.0-9/302513_102223163220384_1460178054_n.jpg?oh=10f37a4277c1f8813c47d603b64ea80b&amp;oe=5584C685&amp;__gda__=1434502228_cf899423ad0a11a9ff70a3fe342ac3b2</t>
  </si>
  <si>
    <t>3 Butternut Dr.</t>
  </si>
  <si>
    <t>Farmington</t>
  </si>
  <si>
    <t>06085</t>
  </si>
  <si>
    <t>Farmington Police Department</t>
  </si>
  <si>
    <t>Police responding to reports of a domestic dispute arrived to find Bendas standing in the street, holding a handgun. After failing to drop the weapon, officers fired on Bendas, who was pronounced dead at the scene.</t>
  </si>
  <si>
    <t>http://www.boston.com/news/local/connecticut/2013/12/13/man-fatally-wounded-connecticut-police-shooting/FWM0XEe78aWFN0HyWUPjlL/story.html</t>
  </si>
  <si>
    <t>Brian Newt Beaird</t>
  </si>
  <si>
    <t>http://www.trbimg.com/img-53f581cd/turbine/la-1661176-me-1220-corvette-driver-lapd-003-ik-jpg-20140820/550/550x309</t>
  </si>
  <si>
    <t>198 E Olympic Blvd</t>
  </si>
  <si>
    <t>90015</t>
  </si>
  <si>
    <t>Beaird, a National Guard veteran, was pursued by LAPD and other officers during a lengthy high-speed chase that ended in a collision near downtown Los Angeles. The unarmed Beaird stumbled out of the car and was later shot by pursuing officers. Beaird's family won a $5 million civil suit against the city for Beaird's death.</t>
  </si>
  <si>
    <t>Insufficient Evidence</t>
  </si>
  <si>
    <t>http://www.latimes.com/local/crime/la-me-0821-lapd-shooting-settlement-20140821-story.html#page=1</t>
  </si>
  <si>
    <t>Kenneth R. Herring</t>
  </si>
  <si>
    <t>http://wcmh.images.worldnow.com/images/24199897_BG2.jpg</t>
  </si>
  <si>
    <t>43206</t>
  </si>
  <si>
    <t>Columbus Division of Police</t>
  </si>
  <si>
    <t>After shooting his girlfriend in the mouth, Herring fled the scene and was later found by five plainclothes officers. Dixon was shot multiple times and pronounced dead on the scene. The five officers were cleared of any wrongdoing by a Franklin County grand jury in April 2014.</t>
  </si>
  <si>
    <t>http://www.nbc4i.com/story/24199897/assault-suspect-killed-in-officer-involved-shooting</t>
  </si>
  <si>
    <t>John Knudsen</t>
  </si>
  <si>
    <t>http://www.pressherald.com/wp-content/uploads/2013/12/20131214_976446.xml-20131213Shooting_2+2.jpg</t>
  </si>
  <si>
    <t>33 Little Falls Rd</t>
  </si>
  <si>
    <t>Hollis</t>
  </si>
  <si>
    <t>04042</t>
  </si>
  <si>
    <t>Knudsen, who suffered from alcohol addiction, was shot after briefly exchanging gunfire with officers responding to a domestic dispute. Maine's Attorney General found the use of force was justified.</t>
  </si>
  <si>
    <t>http://www.pressherald.com/2014/04/01/maine_ag__deadly_force_justified_in_fatal_shooting_of_hollis_man/</t>
  </si>
  <si>
    <t>Robert Jeffrey Harris</t>
  </si>
  <si>
    <t>410 Valley Mall Pkwy</t>
  </si>
  <si>
    <t>Wenatchee</t>
  </si>
  <si>
    <t>98802</t>
  </si>
  <si>
    <t>Wenatchee Police Department</t>
  </si>
  <si>
    <t>In what police described as an undercover drug deal gone bad, police shot and killed Harris after he hit an officer with his vehicle and began dragging him around a Taco Bell parking lot. Harris was a former informant, and the officer who shot him was cleared of any wrongdoing in June 2014.</t>
  </si>
  <si>
    <t>http://blogs.seattletimes.com/today/2014/06/wenatchee-police-officer-cleared-in-fatal-shooting/</t>
  </si>
  <si>
    <t>Krystal Marie Barrows</t>
  </si>
  <si>
    <t>http://cdn01.dailycaller.com/wp-content/uploads/2013/12/Krystal-Barrows.jpg</t>
  </si>
  <si>
    <t>467 Rt. 23 South</t>
  </si>
  <si>
    <t>Chillicothe</t>
  </si>
  <si>
    <t>45690</t>
  </si>
  <si>
    <t>Ross County Sheriff's Department</t>
  </si>
  <si>
    <t>During a drug task force raid on a trailer near Chillicothe, Ohio, police detonated a flash-bang grenade then entered the residence to find Krystal Barrows on a couch with a fatal gunshot wound in the head. The shot came from the rifle of Sgt. Brett McKnight, reportedly unaware his weapon had discharged. McKnight was put on leave. The county police refused to release an incident report, in defiance of rulings from the state supreme court. Barrows had no criminal history and was the mother of three small children.</t>
  </si>
  <si>
    <t>http://www.dispatch.com/content/stories/local/2013/12/13/woman-accidentally-shot-by-ross-county-deputies-in-raid.html</t>
  </si>
  <si>
    <t>Rodney Stevens</t>
  </si>
  <si>
    <t>http://media.cmgdigital.com/shared/img/photos/2014/02/27/55/8e/a9d068d1-bbc2-4c3d-b44e-6cc6a6920cb3_1</t>
  </si>
  <si>
    <t>385 Katnack Road</t>
  </si>
  <si>
    <t>32095</t>
  </si>
  <si>
    <t>St. John's County Sheriff's Department</t>
  </si>
  <si>
    <t>Stevens, who had a number of outstanding warrants, told family members that he wouldn't turn himself in. After police responded to his home on a call of a domestic disturbance, Stevens refused to drop his gun and was shot by police.</t>
  </si>
  <si>
    <t>http://www.actionnewsjax.com/news/news/man-killed-by-st-johns-county-deputies-identifie-1/ndyLC/</t>
  </si>
  <si>
    <t>Corsini Valdes</t>
  </si>
  <si>
    <t>http://cbsmiami.files.wordpress.com/2013/12/valdes-mug.jpg</t>
  </si>
  <si>
    <t>NW 27th Ave and 65th St.</t>
  </si>
  <si>
    <t>Adrian Montesano's attempted robbery of a Walgreen's turned into a multi-hour manhunt with numerous officers injured before ending in a fatal shootout. Montesano and Corsini Valdes, Valdes blameless and both unarmed, were hit dozens of times as around 23 police officers fired hundreds of rounds into the car.</t>
  </si>
  <si>
    <t>http://miami.cbslocal.com/2014/05/06/police-shooting-frenzy-raises-concerns/</t>
  </si>
  <si>
    <t>Adrian Montesano</t>
  </si>
  <si>
    <t>http://i.dailymail.co.uk/i/pix/2013/12/11/article-2521664-1A03904800000578-615_306x429.jpg</t>
  </si>
  <si>
    <t>Montesano's attempted robbery of a Walgreen's turned into a multi-hour manhunt with numerous officers injured before ending in a fatal shootout. Montesano and Corsini Valdes, who were both unarmed, were hit dozens of times as around 23 police officers fired hundreds of rounds into the car.</t>
  </si>
  <si>
    <t>Brandon Marshall</t>
  </si>
  <si>
    <t>http://extras.mnginteractive.com/live/media/site568/2014/0911/20140911__brandonmarshall~1.JPG</t>
  </si>
  <si>
    <t>12980 Saratoga Ave</t>
  </si>
  <si>
    <t>95070</t>
  </si>
  <si>
    <t>While leaving his workplace Marshall, with a history of mental illness and some notoriety as a Silicon Valley whistleblower, ingested medication at a furious pace and began to act erratically. Two deputies approached him from behind. His reaction was to twirl and brandish an object that police described as a "5-1/2 inch metal spike" and others describe as a short, rounded aluminum key fob. Fearing for her life, one of the deputies fatally shot Marshall in the stomach. His family has filed a wrongful-death suit.</t>
  </si>
  <si>
    <t>http://www.mercurynews.com/scott-herhold/ci_26513302/strange-sad-history-brandon-marshall</t>
  </si>
  <si>
    <t>Paul Slimick</t>
  </si>
  <si>
    <t>https://www.youtube.com/watch?v=sa5xpCIqZOo</t>
  </si>
  <si>
    <t>Monroeville</t>
  </si>
  <si>
    <t>15146</t>
  </si>
  <si>
    <t>Monroeville Police Department</t>
  </si>
  <si>
    <t>Officers responding to reports of a home invasion found Slimick leaving the home and armed with a handgun. Police and Slimick exchanged gunfire, and a wounded Slimick allegedly took his own life shortly after.</t>
  </si>
  <si>
    <t>http://www.wpxi.com/news/news/man-shot-killed-police-during-home-invasion-monroe/ncGjb/</t>
  </si>
  <si>
    <t>Jared Brown-Garnham</t>
  </si>
  <si>
    <t>http://media.masslive.com/breakingnews/photo/2013/12/13918428-small.jpg</t>
  </si>
  <si>
    <t>Lindbergh Drive</t>
  </si>
  <si>
    <t>Moon</t>
  </si>
  <si>
    <t>15108</t>
  </si>
  <si>
    <t>Garnham kidnapped his baby. He plowed his car through a police barricade. He threatened himself and his baby with a knife; an officer fired at him and he died.</t>
  </si>
  <si>
    <t>http://www.post-gazette.com/breaking/2013/12/08/Suspect-in-child-abduction-shot-by-police/stories/201312080193</t>
  </si>
  <si>
    <t>Jesus Valdes</t>
  </si>
  <si>
    <t>11755 S.W. 18th Street</t>
  </si>
  <si>
    <t>33175</t>
  </si>
  <si>
    <t>Police responded to a domestic disturbance involving a gun. Two victims escaped from the apartment, one of them with a gunshot wound, while Valdes opened fire on the officers and barricaded himself in. He was killed in the ensuing exchange of fire and raid of the SWAT-like Special Response Team.</t>
  </si>
  <si>
    <t>Ruben Pupo</t>
  </si>
  <si>
    <t>http://www.sheriffleefl.org/main/index.php?r=mug/jailDsiPhoto&amp;id=976778</t>
  </si>
  <si>
    <t>5325 NE 2nd Ave</t>
  </si>
  <si>
    <t>33137</t>
  </si>
  <si>
    <t>A Miami Police Officer attempting to break up a dispute between a security guard and barbershop employee shot and killed the guard after he shot the barbershop worker.</t>
  </si>
  <si>
    <t>http://www.nbcmiami.com/news/local/Security-Guards-Guns-256618341.html</t>
  </si>
  <si>
    <t>Andy Snider</t>
  </si>
  <si>
    <t>http://www.koat.com/image/view/-/23390672/highRes/5/-/maxw/620/-/m1rwugz/-/img-Man-Dead-After-Officer-Involved-Shooting.jpg</t>
  </si>
  <si>
    <t>Gold Ave SE &amp; Mesa St SE</t>
  </si>
  <si>
    <t>87106</t>
  </si>
  <si>
    <t>Officer Hector Marquez shot and killed 37-year-old Andy Snider, who was armed with a hammer, after officers responded to an assault call at the 7-Eleven on University and Central.</t>
  </si>
  <si>
    <t>Darryl Dookhran</t>
  </si>
  <si>
    <t>http://blackstonian.com/info/wp-content/uploads/2013/06/dookhran.jpg</t>
  </si>
  <si>
    <t>Geneva Avenue and Westville Street</t>
  </si>
  <si>
    <t>02124</t>
  </si>
  <si>
    <t>Dookhran, with a significant criminal record, was one of two people detained by "two plainclothes officers of a youth violence strike force". According to police Dookhran turned and ran, then pulled out a semi-automatic weapon and fired at officers, wounding one in the arm. Officers returned fire and shot him dead.</t>
  </si>
  <si>
    <t>http://www.bostonglobe.com/metro/2013/12/09/man-shot-dead-police-identified-having-lengthy-record-gun-charges-accomplice-face-assault-and-battery-charges/lqCkU3vlWlSH0XXhBZEWQM/story.html</t>
  </si>
  <si>
    <t>230 Andover Park E</t>
  </si>
  <si>
    <t>Tukwila</t>
  </si>
  <si>
    <t>98188</t>
  </si>
  <si>
    <t>Tukwila Police Department</t>
  </si>
  <si>
    <t>Davis was allegedly robbing a grocery store when officers responded and surrounded the store. After emerging from the store, Davis exchanged gunfire with police before being shot and killed.</t>
  </si>
  <si>
    <t>http://www.komonews.com/news/local/Takeover-Style-Robbery-Suspect-Killed-234931771.html</t>
  </si>
  <si>
    <t>http://www.8newsnow.com/story/24162836/father-of-police-shooting-victims-speaks-out</t>
  </si>
  <si>
    <t>Patrick Heki</t>
  </si>
  <si>
    <t>http://klas.images.worldnow.com/images/24162836_BG1.jpg</t>
  </si>
  <si>
    <t>3950 Mountain Vista St</t>
  </si>
  <si>
    <t>89121</t>
  </si>
  <si>
    <t>Heki was firing a shotgun and police officers fired many rounds killing Heki.</t>
  </si>
  <si>
    <t>Isaac Lankisch</t>
  </si>
  <si>
    <t>http://media.azfamily.com/images/12-7-13-ISAAC-LANKISCH-AZ-DOC.JPG.JPG</t>
  </si>
  <si>
    <t>2500 S 27th Ave</t>
  </si>
  <si>
    <t>85009</t>
  </si>
  <si>
    <t>Lankisch approached officers with an axe in an aggressive manner - he was subsequently shot and died.</t>
  </si>
  <si>
    <t>http://www.azcentral.com/community/phoenix/articles/20131207phoenix-police-shoot-man-throws-ax-dies-officers-arizona-brk.html</t>
  </si>
  <si>
    <t>Robert Cameron Redus</t>
  </si>
  <si>
    <t>101 Arcadia Place</t>
  </si>
  <si>
    <t>78209</t>
  </si>
  <si>
    <t>http://media2.s-nbcnews.com/j/streams/2013/December/131211/2D9900349-today-redus-131211-04.blocks_desktop_small.jpg</t>
  </si>
  <si>
    <t>Alamo Heights</t>
  </si>
  <si>
    <t>University of the Incarnate Word Campus Police Department</t>
  </si>
  <si>
    <t>George D. Reynolds</t>
  </si>
  <si>
    <t>64057</t>
  </si>
  <si>
    <t>Officers responding to a domestic dispute entered a home to find Reynolds emerging from a back bedroom and holding a handgun. After Reynolds ignored demands to drop his weapon, officers opened fire on Reynolds, who died at the scene.</t>
  </si>
  <si>
    <t>http://www.kshb.com/dpp/news/region_missouri/independence/independence-police-shoot-injure-suspect</t>
  </si>
  <si>
    <t>Robert Craig Perry</t>
  </si>
  <si>
    <t>Alpine Ave &amp; Interstate 5</t>
  </si>
  <si>
    <t>Perry lead officers on a high speed chase. He blew a tire and officers approached Perry, who had a knife. An officers shot him to death.</t>
  </si>
  <si>
    <t>http://www.kcra.com/news/local-news/news-stockton/officerinvolved-shooting-closes-i5-in-stockton/23302392</t>
  </si>
  <si>
    <t>Ananias Shaw</t>
  </si>
  <si>
    <t>1208 Broad St.</t>
  </si>
  <si>
    <t>Selma</t>
  </si>
  <si>
    <t>36701</t>
  </si>
  <si>
    <t>Selma Police Department</t>
  </si>
  <si>
    <t>Officers responding to a disturbance call found Shaw in a nearby abandoned building. A responding officer fired and killed Shaw after he allegedly produced a hatchet and charged the officers.</t>
  </si>
  <si>
    <t>http://www.selmatimesjournal.com/2013/12/05/rules-for-firearms-set-in-stone-stone/</t>
  </si>
  <si>
    <t>Dixon Rodriguez</t>
  </si>
  <si>
    <t>http://media.nj.com/middlesex_impact/photo/rodriguezjpeg-1d2c41fbdc4d58ed.jpeg</t>
  </si>
  <si>
    <t>207 Hall Ave</t>
  </si>
  <si>
    <t>Perth Amboy</t>
  </si>
  <si>
    <t>08861</t>
  </si>
  <si>
    <t>Perth Amboy Police Department</t>
  </si>
  <si>
    <t>Rodriguez attacked officers with a knife and was shot and killed.</t>
  </si>
  <si>
    <t>http://7online.com/archive/9348752/</t>
  </si>
  <si>
    <t>Darius Jamal Murphy</t>
  </si>
  <si>
    <t>20002</t>
  </si>
  <si>
    <t>Gun Recovery Unit were investigating a shooting the previous night, they approached Murphy, who ran from them. Officers chased Murphy, who pulled a handgun and fired at them, striking one. That officer returned fire, striking Murphy.</t>
  </si>
  <si>
    <t>http://www.nbcwashington.com/news/local/Officer-Suspect-Shot-in-Northeast-DC--234336291.html</t>
  </si>
  <si>
    <t>Steven Jon Vogel</t>
  </si>
  <si>
    <t>http://blogs.desmoinesregister.com/dmr/wp-content/uploads/2013/12/steven-vogel.jpg</t>
  </si>
  <si>
    <t>Vogel was firing rounds off at cars and houses. Officers ultimately shot and killed him.</t>
  </si>
  <si>
    <t>http://www.kcci.com/news/central-iowa/witnesses-describe-shooting-on-creston-avenue/23298402</t>
  </si>
  <si>
    <t>Jonathan D. Rodgers</t>
  </si>
  <si>
    <t>http://www.dispatch.com/content/graphics/2013/12/03/charlie-bear-art-gj1ptlqi-1charlie-bear-jpg.jpg?__scale=w:200,h:248,t:1</t>
  </si>
  <si>
    <t>2885 Olentangy River Road</t>
  </si>
  <si>
    <t>Rodgers got in altercation with unidentified man at night club around 2 a.m. He went to the parking lot retrieved a handgun from his car then shot at man as he exited night club. Two police officers on special duty at the night club confronted Rodgers and shot him multiple times. Grand Jury found shooting was justified.</t>
  </si>
  <si>
    <t>http://www.dispatch.com/content/stories/local/2013/12/03/man-fatally-shot-outside-nightclub.html</t>
  </si>
  <si>
    <t>Scott Mitchell</t>
  </si>
  <si>
    <t>Pima County Sheriff's Department</t>
  </si>
  <si>
    <t>Mitchell barricaded himself in his home. He was firing his gun towards SWAT. SGT. Derek Tyra fired back, killing Mitchell.</t>
  </si>
  <si>
    <t>http://www.kvoa.com/news/pcsd-investigating-deadly-officer-involved-shooting/</t>
  </si>
  <si>
    <t>David Greenwood</t>
  </si>
  <si>
    <t>http://www.gannett-cdn.com/-mm-/420876448aa6b13f7ad08e439c0c510aac339f32/c=0-100-300-326&amp;r=x404&amp;c=534x401/local/-/media/WBIR/WBIR/2013/12/03//1386086168000-david-greenwood.jpg</t>
  </si>
  <si>
    <t>Etowah</t>
  </si>
  <si>
    <t>37331</t>
  </si>
  <si>
    <t>McMinn</t>
  </si>
  <si>
    <t>Etowah Police Department</t>
  </si>
  <si>
    <t>Police pulled Greenwood's car over for a traffic violation. He fled the scene, hitting a cruiser. Shortly after, he exited the vehicle with a gun and was shot to death. He was a person of interest for a recent house fire which killed his girlfriend. It's not clear if the officers were aware of this connection at the time of the shooting.</t>
  </si>
  <si>
    <t>http://www.wbir.com/story/news/local/mcminn-monroe/2013/12/02/officer-involved-in-etowah-traffic-stop-shooting/3823291/</t>
  </si>
  <si>
    <t>Okeechobee</t>
  </si>
  <si>
    <t>Joshua D. Ford</t>
  </si>
  <si>
    <t>http://cmsimg.news-leader.com/apps/pbcsi.dll/bilde?Site=DO&amp;Date=20131202&amp;Category=NEWS01&amp;ArtNo=312020056&amp;Ref=AR&amp;MaxW=640&amp;Border=0&amp;Man-shot-killed-by-Greene-County-deputies-identified</t>
  </si>
  <si>
    <t>65612</t>
  </si>
  <si>
    <t>Greene County Sheriff's Office</t>
  </si>
  <si>
    <t>Police responded to a man with a weapon outside a residence. Ford's hands were covered by a shirt, and he positioned his arms as if ready to shoot the officers, and told them he would. After several verbal warnings, he was shot and later died at a hospital. He was unarmed.</t>
  </si>
  <si>
    <t>http://www.news-leader.com/article/20140103/NEWS12/301030037/Greene-County-sheriff-deputy-fatal-shooting?odyssey=nav%7Chead</t>
  </si>
  <si>
    <t>Anthony Bruno</t>
  </si>
  <si>
    <t>http://localtvwdaf.files.wordpress.com/2013/12/hubbardweb.jpg</t>
  </si>
  <si>
    <t>Baltimore Ave. and 12th St.</t>
  </si>
  <si>
    <t>64105</t>
  </si>
  <si>
    <t>http://www.kansascity.com/news/local/article340116/Case-file-describes-the-moments-before-police-officer-fatally-shot-newlywed-firefighter-in-downtown-KC.html</t>
  </si>
  <si>
    <t>Lorenzo Cesar Aguilar</t>
  </si>
  <si>
    <t>700 East Alosta Avenue</t>
  </si>
  <si>
    <t>Asuza Police Department</t>
  </si>
  <si>
    <t>http://homicide.latimes.com/post/lorenzo-cesar-aguilar/</t>
  </si>
  <si>
    <t>Jerry Paul Stovall III</t>
  </si>
  <si>
    <t>http://images.texas.ynn.com/media/2013/12/2/images/ENLARGE_01JerryStovall.jpg</t>
  </si>
  <si>
    <t>Interstate 35</t>
  </si>
  <si>
    <t>Kyle</t>
  </si>
  <si>
    <t>78610</t>
  </si>
  <si>
    <t>Hays</t>
  </si>
  <si>
    <t>Hays County SWAT</t>
  </si>
  <si>
    <t>Police said Stovall kidnapped his ex-girlfriend at her job in Bulverde early Friday morning. He then stole a police car and led several law enforcement agencies on a lengthy pursuit through Comal and Hays counties. The car came to stop about 10 miles away near the Caldwell County line. Stovall threatened to kill his hostage and aimed his weapon at officers, prompting two of the SWAT members—both officers with the San Marcos Police Department—to fire one shot each, killing him.</t>
  </si>
  <si>
    <t>http://austin.twcnews.com/content/news/296449/dps-identifies-man-killed-by-hays-county-swat-team</t>
  </si>
  <si>
    <t>Leonid Kalyuzhnyy</t>
  </si>
  <si>
    <t>109 23rd Avenue East</t>
  </si>
  <si>
    <t>Police responded to a 911 call on a man with a gun at an apartment complex. Kalyuzhnyy reportedly pointed and fired his rifle at police from an upstairs window. Officer Brad Devore fired back, killing him.</t>
  </si>
  <si>
    <t>http://blogs.seattletimes.com/today/2014/03/inquest-ordered-into-fatal-seattle-police-shooting/</t>
  </si>
  <si>
    <t>Albert Manuel Vasquez</t>
  </si>
  <si>
    <t>http://extras.mnginteractive.com/live/media/site568/2013/1203/20131203__1204oisfolo~1.JPG</t>
  </si>
  <si>
    <t>95133</t>
  </si>
  <si>
    <t>Police allege that Vasquez stabbed three people and then carjacked a van. Officer Kevin Peters states that he spotted and pursued the van into a cul-de-sac, and that after he blocked the van, Vasquez rammed his vehicle. Peters shot and killed him.</t>
  </si>
  <si>
    <t>http://www.mercurynews.com/crime-courts/ci_24646201/san-jose-authorities-identify-man-killed-by-police</t>
  </si>
  <si>
    <t>Scott Alan Pfeffer</t>
  </si>
  <si>
    <t>http://www.cremationsocietyofco.com/wp-content/uploads/obits/1320395/714969.jpg</t>
  </si>
  <si>
    <t>1323 Monroe St</t>
  </si>
  <si>
    <t>Deputies Tim Phillips and Andrew McCormick responded to a 911 call about a man who had been "acting weird" with a gun outside a bar. They report they arrived and saw Pfeffer pointing a shotgun at the bar door and that he ignored their commands to drop his weapon. Pfeffer walked away from them, and when he turned or spun around, they fired multiple shots, hitting him in the back and leg.</t>
  </si>
  <si>
    <t>http://www.da18.org/Portals/0/Users/001/01/11-28-13%201323%20North%20Monroe%20St.,%20Strasburg,%20CO.pdf</t>
  </si>
  <si>
    <t>Troy D. Harden</t>
  </si>
  <si>
    <t>http://media.theindychannel.com/photo/2013/11/29/Troy_Harden_1385742915175_1381182_ver1.0_640_480.jpg</t>
  </si>
  <si>
    <t>Annandale Dr</t>
  </si>
  <si>
    <t>47448</t>
  </si>
  <si>
    <t>Brown County Sheriff's Department</t>
  </si>
  <si>
    <t>Indiana State Police released details on the shooting Monday night. ISP said authorities entered the home in which Harden lived and found him there. Officers on the scene said he resisted arrest and told them to "kill him." They said they then saw he had a black handgun in his possession, at which point a stun gun was deployed, but Harden escaped through a window.officers chased him through nearby woods and were able to make contact with Harden with a stun gun. ISP said he fell, but then "distinctly" pointed his gun at them. ISP said that's when authorities fired twice at Harden. Harden later died from his wounds.</t>
  </si>
  <si>
    <t>http://www.theindychannel.com/news/local-news/suspect-dies-after-shooting-involving-police-officer</t>
  </si>
  <si>
    <t>Charles Eimers</t>
  </si>
  <si>
    <t>http://thebluepaper.com/-/wp-content/uploads/2014/04/Charles-Eimers-photo-1-cropped.jpg</t>
  </si>
  <si>
    <t>1405 Duval Street</t>
  </si>
  <si>
    <t>Key West</t>
  </si>
  <si>
    <t>33040</t>
  </si>
  <si>
    <t>Key West Police Department</t>
  </si>
  <si>
    <t>Asphyxiated</t>
  </si>
  <si>
    <t>http://thebluepaper.com/article/police-deny-responsibility-in-death-of-tourist-thanksgiving-day/</t>
  </si>
  <si>
    <t>Simon Pascual Ramirez</t>
  </si>
  <si>
    <t>http://localtvkfor.files.wordpress.com/2013/11/simon-p-ramirez-e1386004502565.jpg?w=352</t>
  </si>
  <si>
    <t>4600 S Westminster Rd</t>
  </si>
  <si>
    <t>73150</t>
  </si>
  <si>
    <t>Officers report they were randomly searching for stolen cars and spotted Ramirez with a woman inside a stolen vehicle. The two ran. Police state Ramirez had a gun and crossed into a freeway. When he allegedly pointed the gun at traffic and at police, Detective Sgt. Tony Foreman and Officer Samuel Pagel shot him.</t>
  </si>
  <si>
    <t>http://www.koco.com/news/oklahomanews/okc/more-information-released-in-fatal-officerinvolved-shooting/23244524</t>
  </si>
  <si>
    <t>Ervin Edwards</t>
  </si>
  <si>
    <t>850 8th Street</t>
  </si>
  <si>
    <t>Port Allen</t>
  </si>
  <si>
    <t>West Baton Rouge Parish</t>
  </si>
  <si>
    <t>West Baton Rouge Parish Sheriff's Office</t>
  </si>
  <si>
    <t>http://www.wafb.com/story/27810613/9news-investigators-video-of-final-moments-of-inmates-life-prompts-questions-from-victims-family</t>
  </si>
  <si>
    <t>Brian Christopher Leggitt</t>
  </si>
  <si>
    <t>http://www.clickorlando.com/image/view/-/23170436/highRes/1/-/r0ijf2/-/Brian-Christopher-Leggitt.jpg</t>
  </si>
  <si>
    <t>1126 Wentwood Ave</t>
  </si>
  <si>
    <t>32804</t>
  </si>
  <si>
    <t>An officer pulled over Leggitt on suspicion of having fled an earlier traffic stop. As the officer approached on foot, Leggitt allegedly put his car in reverse, "tried to run him down," and hit the patrol car. The officer then shot Leggitt.</t>
  </si>
  <si>
    <t>http://www.wftv.com/news/news/local/officials-orlando-officer-involved-shooting/nb44G/</t>
  </si>
  <si>
    <t>Carnell Lanair Williams</t>
  </si>
  <si>
    <t>http://ak-cache.legacy.net/legacy/images/Cobrands/CTPost/Photos/CT0021521-1_20131129.jpg</t>
  </si>
  <si>
    <t>193 Boston Ave</t>
  </si>
  <si>
    <t>Bridgeport</t>
  </si>
  <si>
    <t>06610</t>
  </si>
  <si>
    <t>Bridgeport Police Department</t>
  </si>
  <si>
    <t>Members of the Statewide Urban Violence Cooperative Crime Control Task Force on a "gun-running" stakeout reportedly approached a car in which Williams was a passenger. Police state that driver Kiara Davis and/or Williams pointed guns at them in an attempt to escape. Four officers including Det. Christopher Barona, who had killed Bryan Stukes 04/13, opened fire, shooting possibly more than 40 rounds into the car. Williams was hit "numerous times" and Davis was wounded in the face.</t>
  </si>
  <si>
    <t>http://www.ct.gov/despp/cwp/view.asp?Q=535840&amp;A=4226</t>
  </si>
  <si>
    <t>Clarence Dorris</t>
  </si>
  <si>
    <t>1500 Donna St SW</t>
  </si>
  <si>
    <t>Mableton</t>
  </si>
  <si>
    <t>30126</t>
  </si>
  <si>
    <t>Dorris raised a weapon at officers after Dorris had an argument with his wife. Officers shot and killed Dorris after he raised his weapon.</t>
  </si>
  <si>
    <t>http://www.ajc.com/news/news/local/man-shot-and-killed-by-cobb-police-officers/nb4Bm/</t>
  </si>
  <si>
    <t>Robert Reagh Gillon</t>
  </si>
  <si>
    <t>12740 Woodley Ave</t>
  </si>
  <si>
    <t>Granada Hills</t>
  </si>
  <si>
    <t>91344</t>
  </si>
  <si>
    <t>Neighbors called 911 about shots fired in Gillon's yard. When police arrived, they report, Gillon was "going in and out of his house" with a rifle and handgun via his backyard and that they commanded him to drop his weapons. When he exited his rear door, an officer shot and killed him. Police report that he may have suffered from mental illness.</t>
  </si>
  <si>
    <t>http://ktla.com/2013/11/26/armed-man-killed-in-officer-involved-shooting-police-say/</t>
  </si>
  <si>
    <t>Robert Brown</t>
  </si>
  <si>
    <t>Officers investigating a previous homicide encountered Brown with a handgun. Commanded to drop his weapon, Brown did not, and was fatally shot.</t>
  </si>
  <si>
    <t>http://homicidewatch.org/2013/11/26/man-shot-by-police-in-se-dc-dies-of-injuries/</t>
  </si>
  <si>
    <t>Otavis Hall</t>
  </si>
  <si>
    <t>3200 Westport Way</t>
  </si>
  <si>
    <t>French Valley</t>
  </si>
  <si>
    <t>Michael W. Habay</t>
  </si>
  <si>
    <t>3009 Madison Ave</t>
  </si>
  <si>
    <t>80303</t>
  </si>
  <si>
    <t>Police responded to a domestic disturbance call about a man with a knife and machete. Officers report that they knocked on Habay's door and when he didn't answer, they forced the door open, believing a woman was inside. They report that they saw him with a knife and machete, and that he did not follow commands to get down and/or drop the knife. When he swung the knives at them as he ran out the door, Officer Vincent Gallerani shot him twice.</t>
  </si>
  <si>
    <t>http://www.scribd.com/doc/193399948/DA-Stan-Garnett-s-memo-on-Nov-24-officer-involved-shooting</t>
  </si>
  <si>
    <t>Jimmy Cruz</t>
  </si>
  <si>
    <t>Police responded to a 911 domestic disturbance call with a man possibly armed, the Sheriff's Headquarters Bureau said. They say he did not cooperate and tried to flee "while continually grasping at his waistband area." When he reportedly turned back toward them, an officer feared he had armed himself and shot and killed him.</t>
  </si>
  <si>
    <t>http://www.ksl.com/?sid=31772096</t>
  </si>
  <si>
    <t>Jeremy McGee</t>
  </si>
  <si>
    <t>http://ak-cache.legacy.net/legacy/images/cobrands/dfw/photos/photo_164220_86870_0_1385493736jeremymcgee_20131128.jpgx?w=130&amp;h=180&amp;option=1&amp;v=0x000000002cef17ab</t>
  </si>
  <si>
    <t>8841 Avril Court North</t>
  </si>
  <si>
    <t>76116</t>
  </si>
  <si>
    <t>Officers were attempting to take McGee into custody on charges of evading, credit card abuse and felony parole violation burglary. He attempted to flee in a vehicle and hit several parked cars, then turned and began driving toward officers and bystanders. An officer fired into the vehicle.</t>
  </si>
  <si>
    <t>http://www.star-telegram.com/2013/11/24/5365841/fort-worth-officer-fatally-shoots.html</t>
  </si>
  <si>
    <t>Danny Thornton</t>
  </si>
  <si>
    <t>http://wcmh.images.worldnow.com/images/24042714_BG1.jpg</t>
  </si>
  <si>
    <t>3950 Morse Rd</t>
  </si>
  <si>
    <t>Thornton shot and killed two people, one of which was a 9-year old boy. Afterwards he was in a standoff between SWAT. Thornton was ultimately shot and killed.</t>
  </si>
  <si>
    <t>http://www.nbc4i.com/story/24042714/shooting-near-highland-park-elementary-prompts-lockdown</t>
  </si>
  <si>
    <t>Jose Jovanny Mendoza</t>
  </si>
  <si>
    <t>Burbank Blvd and Riverton Ave</t>
  </si>
  <si>
    <t>91601</t>
  </si>
  <si>
    <t>Responding to a "man with gun" call in an intersection, police reportedly spotted Mendoza walking in the street. They report that when they approached him in their vehicle, he produced a gun. They shot and killed him.</t>
  </si>
  <si>
    <t>http://www.lapdonline.org/newsroom/news_view/54948</t>
  </si>
  <si>
    <t>Adolfo Ramirez</t>
  </si>
  <si>
    <t>3000 E La Cadena Drive</t>
  </si>
  <si>
    <t>92507</t>
  </si>
  <si>
    <t>A Riverside Police Department patrol officer was checking on an occupied vehicle parked near a closed gas station. As the officer exited his vehicle, Ramirez produced a handgun and there was an exchange of gunfire between Ramirez and the officer. Ramirez was shot and killed.</t>
  </si>
  <si>
    <t>http://blog.pe.com/breaking-news/2013/11/23/riverside-police-officer-involved-in-shooting/</t>
  </si>
  <si>
    <t>Tyler Keinonen</t>
  </si>
  <si>
    <t>http://oregon.arrests.org/mugs/Deschutes/130158.jpg</t>
  </si>
  <si>
    <t>2878 NE Jackdaw Drive</t>
  </si>
  <si>
    <t>Bend</t>
  </si>
  <si>
    <t>97701</t>
  </si>
  <si>
    <t>Deschutes</t>
  </si>
  <si>
    <t>Bend Police Department</t>
  </si>
  <si>
    <t>Around 10:30 in the evening Keinonen was exiting the back door of a house that had been the target of a drugs, guns, and vehicle theft investigation earlier in the day. Unarmed and unthreatening, he was fatally shot once in the chest by police. Keinonen and his brother had been arrested earlier in the year for a drug operation said to be county-wide. The district attorney's documented justification is a classic of its kind: http://www.deschutesda.org/files/3713/8980/2989/Keinonen_01.15.14.pdf</t>
  </si>
  <si>
    <t>Thomas Bradley Garza</t>
  </si>
  <si>
    <t>http://d1t3gia0in9tdj.cloudfront.net/photo/tributes/t/8/r/207x207/1706493/cdd68fdf-597a-404e-b139-0ad12f095e5d.jpg</t>
  </si>
  <si>
    <t>76137</t>
  </si>
  <si>
    <t>A narcotics officer who fatally shot a suspect after he pointed a shotgun at officers executing a search warrant at a north Fort Worth house.</t>
  </si>
  <si>
    <t>http://www.wfaa.com/news/local/Tarrant-County-officer-involved-shooting-233107731.html</t>
  </si>
  <si>
    <t>Shane David Cataline</t>
  </si>
  <si>
    <t>http://www.saukvalley.com/_internal/cimg!0/o5dsd3zg29iw5c5ka8fjhqgoyszcdlk</t>
  </si>
  <si>
    <t>E Rock Falls Rd &amp; Ronald Reagan Memorial Tollway</t>
  </si>
  <si>
    <t>Rock Falls</t>
  </si>
  <si>
    <t>61071</t>
  </si>
  <si>
    <t>Whiteside</t>
  </si>
  <si>
    <t>Illinois Department of Natural Resources Conservation Police</t>
  </si>
  <si>
    <t>An ISP trooper conducted a traffic stop. The driver of the stopped car aggressively pinned the trooper between his (car) and another while the trooper was on foot. Shots were fired and an (Illinois) DNR officer who responded to the scene in fear for his life and the life of the trooper discharged his weapon and killed the offender.</t>
  </si>
  <si>
    <t>http://www.kwqc.com/story/24045932/crash-on-i-88-in-whiteside-co</t>
  </si>
  <si>
    <t>Andrew Murnieks</t>
  </si>
  <si>
    <t>http://media.nj.com/star-ledger/photo/2013/11/-7bac874d19562ffa.jpg</t>
  </si>
  <si>
    <t>Hannah Drive</t>
  </si>
  <si>
    <t>South Brunswick</t>
  </si>
  <si>
    <t>08810</t>
  </si>
  <si>
    <t>Middlesex County Special Operations Response Team</t>
  </si>
  <si>
    <t>Victim was schizophrenic, and per his mother, not taking his medications. His mother called the police. Murnieks had a knife and after a crisis negotiator failed in trying to get Murnieks to disarm, the special operations team shot Murnieks.</t>
  </si>
  <si>
    <t>http://newjersey.news12.com/news/police-shoot-kill-man-during-standoff-in-south-brunswick-1.6473615</t>
  </si>
  <si>
    <t>Timothy Mahoney</t>
  </si>
  <si>
    <t>http://archive.firstcoastnews.com/images/300/169/2/assetpool/images/131121041916_MAHONEY%2c%20TIMOTHY%20%20%20.jpg</t>
  </si>
  <si>
    <t>32187</t>
  </si>
  <si>
    <t>The Putnam County Sheriff's Office responded to calls following reports of shots fired. When deputies arrived on scene, Mahoney was on his back porch with a handgun. Negotiators worked with Mahoney for an hour in an attempt to get him to put the gun down. Mahoney allegedly refused and deputies deployed a taser, but it was not effective. Mahoney then fired his gun hitting a deputy in the arm. Deputies returned fire, striking Mahoney who was transported to the hospital. He died on the way.</t>
  </si>
  <si>
    <t>http://archive.firstcoastnews.com/topstories/article/336014/483/Police-involved-shooting-kills-one</t>
  </si>
  <si>
    <t>Marty Maiden II</t>
  </si>
  <si>
    <t>http://d1t3gia0in9tdj.cloudfront.net/photo/tributes/t/8/r/207x207/1700380/3dd496c1-3c17-4777-920b-6904eba8e01b.jpg</t>
  </si>
  <si>
    <t>Tuscon</t>
  </si>
  <si>
    <t>85757</t>
  </si>
  <si>
    <t>Maiden or his family called 911 to report that he was suicidal at the home of his late father, who reportedly committed suicide during a SWAT standoff a month earlier. A SWAT team was called to the home and "was attempting to diffuse the situation." When Maiden reportedly stepped outside with a rifle and shotgun, he ignored commands to drop his weapons. Deputy Gilbert Caudillo shot him once, killing him.</t>
  </si>
  <si>
    <t>http://tucson.com/news/blogs/police-beat/sheriff-suicidal-tucson-man-killed-when-he-presented-a-threat/article_d1b6b12b-5a4b-50ff-bd96-946624a1854c.html</t>
  </si>
  <si>
    <t>Lennard Whittle</t>
  </si>
  <si>
    <t>http://www.recordonline.com/apps/pbcsi.dll/bilde?Site=TH&amp;Date=20131120&amp;Category=NEWS&amp;ArtNo=131129986&amp;Ref=AR&amp;maxH=230&amp;maxW=370&amp;border=0&amp;Q=80</t>
  </si>
  <si>
    <t>90 Academy Avenue</t>
  </si>
  <si>
    <t>10940</t>
  </si>
  <si>
    <t>Middletown Police Department</t>
  </si>
  <si>
    <t>Police responded to reports of two men in a dispute in and around a Sam's Food Store. One of those two was Whittle, armed with a knife, who refused police commands to drop his weapon. Police fatally shot him and their actions were upheld by a grand jury.</t>
  </si>
  <si>
    <t>http://www.hvinsider.com/articles/middletown-police-shoot-and-kill-knife-wielding-man/</t>
  </si>
  <si>
    <t>Christopher Lee Koziatek</t>
  </si>
  <si>
    <t>1850 Bailey Hill Rd</t>
  </si>
  <si>
    <t>97405</t>
  </si>
  <si>
    <t>http://www.eugene-or.gov/CivicAlerts.aspx?AID=985</t>
  </si>
  <si>
    <t>Tyler Damon Woods</t>
  </si>
  <si>
    <t>http://cdn.abclocal.go.com/images/kabc/cms_exf_2007/news/local/los_angeles/9337816_600x338.jpg</t>
  </si>
  <si>
    <t>1506 E 5th Street</t>
  </si>
  <si>
    <t>Woods stopped in a traffic stop and fled on foot. He ran to a rooftop, where police confronted him and shot him to death</t>
  </si>
  <si>
    <t>27701</t>
  </si>
  <si>
    <t>Wayne A. Courtright</t>
  </si>
  <si>
    <t>16320 1st St</t>
  </si>
  <si>
    <t>Guerneville</t>
  </si>
  <si>
    <t>95446</t>
  </si>
  <si>
    <t>Courtright's wife phoned police to tell them that her husband had a rifle and was intoxicated and suicidal. Responding deputies and Courtright exchanged gunfire before Courtright was fatally shot, and was pronounced dead at the scene.</t>
  </si>
  <si>
    <t>http://www.pressdemocrat.com/article/20131119/articles/131119546</t>
  </si>
  <si>
    <t>Joshua Hathaway</t>
  </si>
  <si>
    <t>http://bloximages.newyork1.vip.townnews.com/newsadvance.com/content/tncms/assets/v3/editorial/9/64/964695c6-9fc4-11e3-b5ca-0017a43b2370/530f5b00bf04f.image.jpg</t>
  </si>
  <si>
    <t>Odd Fellows Road</t>
  </si>
  <si>
    <t>Lynchburg</t>
  </si>
  <si>
    <t>24501</t>
  </si>
  <si>
    <t>Lynchburg City</t>
  </si>
  <si>
    <t>Liberty University Police Department</t>
  </si>
  <si>
    <t>Officer was attacked by Hathaway with a wooden mallet. A fight ensued and as Hathaway struggled for the officer's gun, the officer shot him twice.</t>
  </si>
  <si>
    <t>http://www.newsadvance.com/news/local/no-charges-in-fatal-shooting-of-liberty-university-student/article_66cbc4c0-9fc3-11e3-864f-0017a43b2370.html</t>
  </si>
  <si>
    <t>Larry Clay</t>
  </si>
  <si>
    <t>http://www.dcourier.com/SiteImages/Article/125852a.jpg</t>
  </si>
  <si>
    <t>86301</t>
  </si>
  <si>
    <t>Prescott Police Department</t>
  </si>
  <si>
    <t>Officer Jared Willis responded to a report of a suicidal man in the 4800 block Hornet Drive at about 8:45 p.m. and ultimately shot and killed Clay, whom he said had a knife in each hand and charged him with them.</t>
  </si>
  <si>
    <t>http://www.dcourier.com/main.asp?SectionID=1&amp;subsectionID=1086&amp;articleID=125852</t>
  </si>
  <si>
    <t>Peter J. Oien</t>
  </si>
  <si>
    <t>https://d3jpl91pxevbkh.cloudfront.net/gf/image/upload/c_crop,w_422,h_596,x_0,y_23/c_limit,h_340,w_647/v1385094583/EQphyBDmQQ2H98n2q6euNQ.jpg</t>
  </si>
  <si>
    <t>15700 Tern St</t>
  </si>
  <si>
    <t>Officers were called to the home on report of a stabbing, where they found Oien armed with a knife. He allegedly tried to attack deputies with the knife, forcing them to fire. Oien later died at a nearby hospital.</t>
  </si>
  <si>
    <t>http://www.dailybulletin.com/general-news/20131119/knife-wielding-man-killed-in-chino-hills-deputy-involved-shooting</t>
  </si>
  <si>
    <t>Antoine Duane Goodrum</t>
  </si>
  <si>
    <t>19001 Grotto Ln</t>
  </si>
  <si>
    <t>20874</t>
  </si>
  <si>
    <t>Goodrum initially called police and told them that he shot his roommate and grandmother, and was later found a few blocks away carrying an assault rifle and a tactical vest. After a short negotiation, police shot and killed Goodrum.</t>
  </si>
  <si>
    <t>http://www.baltimorenewsjournal.com/2013/11/18/germantown-shooting-gunman-on-the-loose/</t>
  </si>
  <si>
    <t>Rexford Dasrath</t>
  </si>
  <si>
    <t>http://static.wixstatic.com/media/f8a96d_5432be60cb734e94b5282177daf37463.png_srz_336_570_85_22_0.50_1.20_0.00_png_srz</t>
  </si>
  <si>
    <t>11237</t>
  </si>
  <si>
    <t>NYPD were called when a man wielding a knife threatened to kill someone. When NYPD arrived, the man banged on the patrol car with the blade. Before they exit, he flings a bottle at a taxi. The cops got out of the car and split up to approach Dasrath, whom a source said weighed about 300 pounds. The cop fired on the man from a distance of about five or six feet. An NYPD press release said Dasrath was shot in the chest and one of his hands, but a cop source said he had five bullet wounds, though some may have been exit wounds. Dasrath, who was said to have had learning disabilities, was taken to Woodhull Hospital, where he died.</t>
  </si>
  <si>
    <t>http://www.nydailynews.com/new-york/nyc-crime/knife-wielding-man-shot-dead-cops-brookyln-sources-article-1.1521073</t>
  </si>
  <si>
    <t>92173</t>
  </si>
  <si>
    <t>James Steven Fay</t>
  </si>
  <si>
    <t>http://media2.wptv.com//photo/2013/11/20/WPTV-James-Steven-Fay_20131120052719_640_480.JPG</t>
  </si>
  <si>
    <t>6800 Camille St</t>
  </si>
  <si>
    <t>Boynton Beach</t>
  </si>
  <si>
    <t>33437</t>
  </si>
  <si>
    <t>After police were called to Fay's home on a domestic disturbance call, the 55-year-old allegedly came out of his house holding a handgun. Officers shot and killed Fay after he allegedly raised his gun at them.</t>
  </si>
  <si>
    <t>http://articles.sun-sentinel.com/2013-11-19/news/fl-pbso-deputy-involved-shooting-20131119_1_palm-beach-county-sheriff-deputies-ric-bradshaw</t>
  </si>
  <si>
    <t>Steven J. Bell</t>
  </si>
  <si>
    <t>http://www.obitsforlife.com/uploaded-images/converted/324106-528cb4db76d7c-shrink-x180.jpeg</t>
  </si>
  <si>
    <t>Cowdry Hollow Rd</t>
  </si>
  <si>
    <t>12022</t>
  </si>
  <si>
    <t>Rensselaer County Sheriff's Office</t>
  </si>
  <si>
    <t>Officers responding to a domestic disturbance call discovered that Bell had taken a rifle and fled into a nearby forest. After a short search, officers shot the unarmed Bell after he approached a group of officers and made threatening hand motions.</t>
  </si>
  <si>
    <t>http://www.timesunion.com/local/article/Troopers-shoot-kill-man-4990568.php</t>
  </si>
  <si>
    <t>Jason D. White</t>
  </si>
  <si>
    <t>http://www.dispatch.com/content/graphics/2013/11/18/police-shooting-art-gi5pm4ke-1police-shooting-1118-jpg.jpg?__scale=w:200,h:267,t:1</t>
  </si>
  <si>
    <t>2100 Gables Lake Dr</t>
  </si>
  <si>
    <t>Hilliard</t>
  </si>
  <si>
    <t>43026</t>
  </si>
  <si>
    <t>White was initially shot at by police after he entered an unlocked apartment and was brandishing a knife. Police later found White, who was apparently suffering from a mental illness, holding a knife to his throat and shot him after he failed to put the knife down.</t>
  </si>
  <si>
    <t>http://www.10tv.com/content/stories/2013/11/17/columbus-hilliard-area-police-involved-shooting.html</t>
  </si>
  <si>
    <t>Jonathan Wilcher</t>
  </si>
  <si>
    <t>http://www.fatalencounters.org/wp-content/uploads/2013/10/Jonathan-Wilcher.jpg</t>
  </si>
  <si>
    <t>4702 S Washington Ave</t>
  </si>
  <si>
    <t>Titusville</t>
  </si>
  <si>
    <t>32780</t>
  </si>
  <si>
    <t>Titusville Police Department</t>
  </si>
  <si>
    <t>Officers responding to a 911 call of shots fired at a Titusville sports bar found Wilcher and two other men inside a car. Wilcher allegedly ignored an officer's orders and approached them while holding a handgun, leading officers to shoot Wilcher.</t>
  </si>
  <si>
    <t>http://www.wftv.com/news/news/local/police-shoot-kill-armed-man-outside-titusville-bar/nbwJ3/</t>
  </si>
  <si>
    <t>Bob Bandler</t>
  </si>
  <si>
    <t>http://cbsla.files.wordpress.com/2013/11/bob-bandler.jpg?w=300&amp;h=168</t>
  </si>
  <si>
    <t>1200 Stone Canyon Rd</t>
  </si>
  <si>
    <t>90077</t>
  </si>
  <si>
    <t>Bandler allegedly threatened a gas company employee with a handgun, and was later found by police wielding a shotgun. Officers then shot Bandler, who apparently suffered from mental problems and "demons."</t>
  </si>
  <si>
    <t>http://losangeles.cbslocal.com/2013/11/17/armed-suspect-shot-killed-by-police-in-upscale-community-of-bel-air/</t>
  </si>
  <si>
    <t>Nicholas Simonitch</t>
  </si>
  <si>
    <t>http://kctv.images.worldnow.com/images/23987660_BG5.jpg</t>
  </si>
  <si>
    <t>3700 Strong Ave</t>
  </si>
  <si>
    <t>Simonitch was allegedly wielding a baseball bat when officers arrived on a disturbance call. He was shot after police say he lunged at them with the bat.</t>
  </si>
  <si>
    <t>http://www.kshb.com/dpp/news/local_news/officer-involved-shooting-leaves-one-dead-in-kck</t>
  </si>
  <si>
    <t>Andrea Naharro-Gionet</t>
  </si>
  <si>
    <t>https://i1.sndcdn.com/artworks-000073338353-klndrq-t200x200.jpg?e76cf77</t>
  </si>
  <si>
    <t>106 Cleveland Ave</t>
  </si>
  <si>
    <t>95128</t>
  </si>
  <si>
    <t>Police responded to calls of a woman making excess noise to find Gionet armed with a steak knife. A deputy shot and killed Gionet, who had multiple sclerosis and cancer, after she allegedly cornered an officer with the knife.</t>
  </si>
  <si>
    <t>http://www.sfgate.com/crime/article/Details-emerge-in-police-killing-near-San-Jose-5002588.php</t>
  </si>
  <si>
    <t>Gary Boyd Sr.</t>
  </si>
  <si>
    <t>1300 Cedar Ln</t>
  </si>
  <si>
    <t>08610</t>
  </si>
  <si>
    <t>Boyd allegedly appeared at the home of his estranged wife and began following her, stabbing himself several times in the process. Arriving officers shot Boyd after he refused to drop the knife and brandished it at the officers.</t>
  </si>
  <si>
    <t>http://www.nj.com/mercer/index.ssf/2013/11/mercer_county_prosecutors_office_investigating_police-involved_shooting_of_hamilton_man.html</t>
  </si>
  <si>
    <t>Paul Aguilar</t>
  </si>
  <si>
    <t>2400 Earle Ave</t>
  </si>
  <si>
    <t>Rosemead</t>
  </si>
  <si>
    <t>91770</t>
  </si>
  <si>
    <t>Deputies initially responded to a call that Aguilar was drunk and acting violent but left after determining the family could take care of the situation. After receiving another call, deputies returned to find Aguilar had cut the neck of his aunt with a steak knife, and first tasered then shot the 21-year-old.</t>
  </si>
  <si>
    <t>http://homicide.latimes.com/post/paul-aguilar/</t>
  </si>
  <si>
    <t>Ted Christopher Hoffstrom</t>
  </si>
  <si>
    <t>http://ak-cache.legacy.net/legacy/Images/Cobrands/DignityMemorial/Photos/a8e58195-5a28-4ad2-83bc-5ae50956fbe2.jpg</t>
  </si>
  <si>
    <t>1000 Heritage Ln</t>
  </si>
  <si>
    <t>Wayzata</t>
  </si>
  <si>
    <t>55391</t>
  </si>
  <si>
    <t>Orono Police Department</t>
  </si>
  <si>
    <t>Police shot and killed the armed Hoffstrom after the 30-year-old had killed a local doctor, allegedly for how the doctor had treated Hoffstrom's mother. A county grand jury cleared the police of any wrongdoing in 2014.</t>
  </si>
  <si>
    <t>John Williams</t>
  </si>
  <si>
    <t>10305 Nash Lane</t>
  </si>
  <si>
    <t>Mabelvale</t>
  </si>
  <si>
    <t>72103</t>
  </si>
  <si>
    <t>Police responding to a call from William's girlfriend, who said that he had taken 50 Xanax and was trying to kill himself, found Williams holding a long-barrel gun. After he refused to drop the weapon, officers shot Williams twice, who was pronounced dead at the scene.</t>
  </si>
  <si>
    <t>http://5newsonline.com/2013/11/16/officers-placed-on-leave-after-shooting-killing-suicidal-man/</t>
  </si>
  <si>
    <t>Bill Jones</t>
  </si>
  <si>
    <t>6200 S New Braunfels Ave</t>
  </si>
  <si>
    <t>78223</t>
  </si>
  <si>
    <t>Jones allegedly threatened and yelled at officers responding to calls of family violence from Jones's apartment. One officer shot Jones, who was carrying three large knives, and was taken to a nearby hospital where he later died.</t>
  </si>
  <si>
    <t>http://www.therepublic.com/view/story/6a883a795e3c4c1d918cd7ef73dcf7da/TX--San-Antonio-Police-Shooting</t>
  </si>
  <si>
    <t>Willie James Williams</t>
  </si>
  <si>
    <t>2137 Fort Benning Rd</t>
  </si>
  <si>
    <t>31903</t>
  </si>
  <si>
    <t>Williams and another man were stopped by police who matched their descriptions to a pair that had recently committed a nearby armed robbery. The officer shot Williams after he refused to put down what appeared to be a gun, but was actually a BB gun.</t>
  </si>
  <si>
    <t>http://www.ledger-enquirer.com/2013/11/14/2797761/official-confirms-officer-involved.html</t>
  </si>
  <si>
    <t>Jonathen Santellana</t>
  </si>
  <si>
    <t>http://cdn.abclocal.go.com/images/ktrk/cms_exf_2007/automation/vod/9358670_600x338.jpg</t>
  </si>
  <si>
    <t>8727 Point Park Drive</t>
  </si>
  <si>
    <t>77095</t>
  </si>
  <si>
    <t>Navasota Police Department</t>
  </si>
  <si>
    <t>Santellana and a young female companion were sitting in a parked car in an apartment parking lot when approached by an off-duty Navasota officer and ordered to leave the vehicle. When Santellana did not immediately comply, the officer discharged his weapon multiple times. One bullet fatally wounded the victim. Witnesses say the officer did not identify himself, and tried to confiscate video evidence after the fact.</t>
  </si>
  <si>
    <t>http://abc13.com/archive/9326265/</t>
  </si>
  <si>
    <t>13900 Cerise Ave</t>
  </si>
  <si>
    <t>90250</t>
  </si>
  <si>
    <t>Officers responding to a spousal abuse call arrived to find the suspect barricaded in the storage room of an apartment complex's parking garage. The man left the room holding a handgun, leading officers to shoot and kill the man.</t>
  </si>
  <si>
    <t>http://ktla.com/2013/11/13/hawthorne-police-fatally-shoot-man/#axzz2kcxyCvkC</t>
  </si>
  <si>
    <t>Abdul Kamal</t>
  </si>
  <si>
    <t>http://media.nj.com/essex_impact/photo/2014/09/10/15815061-small.png</t>
  </si>
  <si>
    <t>1-29 Stanley Street</t>
  </si>
  <si>
    <t>Irvington</t>
  </si>
  <si>
    <t>07111</t>
  </si>
  <si>
    <t>Irvington Police Department</t>
  </si>
  <si>
    <t>After breaking into his estranged wife's apartment, Kamal was confronted by police who demanded him to take his hands out of his pockets. Officers first pepper-sprayed the unarmed Kamal before shooting him. A grand jury is still investigating the shooting, and Kamal's mother has lead several protests and demands for legal action.</t>
  </si>
  <si>
    <t>http://www.nj.com/essex/index.ssf/2013/11/man_shot_during_clash_with_irvington_police_was_not_armed_made_threats_toward_officers.html</t>
  </si>
  <si>
    <t>Shawn M. Rieves</t>
  </si>
  <si>
    <t>http://localtvwiti.files.wordpress.com/2013/11/shawn-rieves.jpg</t>
  </si>
  <si>
    <t>521 N Plankinton Ave</t>
  </si>
  <si>
    <t>53203</t>
  </si>
  <si>
    <t>After a failed robbery attempt, officers found Rieves on the second floor of Milwaukee's downtown Transit Center and attempted to negotiate with him. Rieves became threatening, and the officers shot and killed the 17-year-old.</t>
  </si>
  <si>
    <t>John W. Montgomery</t>
  </si>
  <si>
    <t>2000 Polaris Pkwy</t>
  </si>
  <si>
    <t>43240</t>
  </si>
  <si>
    <t>Westerville Division of Police</t>
  </si>
  <si>
    <t>A Westerville officer pulled over Montgomery's car for a routine traffic stop, and as he approached the car saw Montgomery holding a handgun. After he refused commands to drop the weapon, the officer opened fire, fatally shooting Montgomery.</t>
  </si>
  <si>
    <t>http://www.dispatch.com/content/stories/local/2013/11/11/traffic-stop-ends-in-shooting-on-polaris-parkway.html</t>
  </si>
  <si>
    <t>80817</t>
  </si>
  <si>
    <t>David Andrew Gaston</t>
  </si>
  <si>
    <t>http://ak-cache.legacy.net/legacy/images/Cobrands/SBSun/Photos//0010273440-01-1_20121125.jpg</t>
  </si>
  <si>
    <t>Crestline</t>
  </si>
  <si>
    <t>92325</t>
  </si>
  <si>
    <t>Deputies called to support fire department at a small house fire. Gaston yelled at the firefighters and deputies and ran into the woods wearing only sweatpants. When he came out he "made a movement simulating drawing a firearm and the deputies fired, striking Gaston several times." He was unarmed.</t>
  </si>
  <si>
    <t>http://www.sbsun.com/general-news/20121114/investigators-man-shot-killed-by-sheriffs-deputies-threatened-to-kill-firefighters-deputies</t>
  </si>
  <si>
    <t>Donte Lamonte Jordan</t>
  </si>
  <si>
    <t>http://www.fatalencounters.org/wp-content/uploads/2013/10/DonteLamontJordan.jpg</t>
  </si>
  <si>
    <t>West Anaheim Street and Chestnut Avenue</t>
  </si>
  <si>
    <t>Jordan allegedly fired multiple rounds at a driver of a dark-colored vehicle near a gas station. The driver, who later reported that he did not know Jordan nor what provoked the attack, fled. When officers arrived, they saw Jordan walking along the sidewalk of West Anaheim Street near Chestnut Avenue. He matched the description that callers provided, the department said. According to the release, when officers “made contact” with Jordan, an officer-involved shooting occurred. Police recovered a handgun at the scene and and described Jordan as a “gang member with an extensive arrest record.”</t>
  </si>
  <si>
    <t>http://homicide.latimes.com/post/donte-lamont-jordan/</t>
  </si>
  <si>
    <t>Christopher James Ryckeart</t>
  </si>
  <si>
    <t>http://bloximages.newyork1.vip.townnews.com/southbendtribune.com/content/tncms/assets/v3/editorial/3/1c/31c777b8-4b06-11e3-9008-001a4bcf6878/52812e02816d3.image.jpg</t>
  </si>
  <si>
    <t>401 W Marion St</t>
  </si>
  <si>
    <t>After an attempted traffic stop, Ryckeart led police on a 40-minute chase that ended when he crashed into the back of a home in Elkhart. The officers who shot and killed Ryckeart were cleared of any wrongdoing by a grand jury in January 2014.</t>
  </si>
  <si>
    <t>http://www.elkharttruth.com/crime-fire-courts/2013/11/11/Fatal-police-shooting-probe-continues.html</t>
  </si>
  <si>
    <t>Don White</t>
  </si>
  <si>
    <t>http://imgick.nola.com/home/nola-media/width620/img/crime_impact/photo/13752844-mmmain.jpg</t>
  </si>
  <si>
    <t>3500 Martinique Ave</t>
  </si>
  <si>
    <t>70065</t>
  </si>
  <si>
    <t>White was shot and killed after an officer found him hiding in a stolen car. White refused to leave the car, and the officer fired into the car when it appeared White was accelerating the car toward him.</t>
  </si>
  <si>
    <t>http://www.nola.com/crime/index.ssf/2013/11/fatal_shooting_of_suspect_just.html#incart_river</t>
  </si>
  <si>
    <t>Jeanette Anaya</t>
  </si>
  <si>
    <t>http://www.kob.com/kobtvimages/repositoryThumbs/2013-11/jeanette-anaya-.jpg</t>
  </si>
  <si>
    <t>Camino Carlos Rey and Las Casitas.</t>
  </si>
  <si>
    <t>87507</t>
  </si>
  <si>
    <t>Mexico State Police say an officer shot and killed a woman after a high speed chase because she backed up her vehicle toward him. According to the latest police report, 39-year-old Jeanette Anaya fled from a state police officer as he attempted to pull her over in Santa Fe just after 1 a.m. State police said the chase reached speeds of 87 mph in a residential neighborhood. The officer bumped Anaya's vehicle using a pursuit intervention technique and the chase ended near Camino Carlos Rey and Las Casitas. As the officer approached the vehicle, state police said Anaya "aggressively" backed up toward the officer and struck the police car</t>
  </si>
  <si>
    <t>http://www.kob.com/article/stories/s3211705.shtml#.VAJaVPldWHg</t>
  </si>
  <si>
    <t>Jose Quinonez</t>
  </si>
  <si>
    <t>http://newjersey.news12.com/polopoly_fs/1.6393368.1383768621!/httpImage/image.png_gen/derivatives/landscape_768/image.png</t>
  </si>
  <si>
    <t>N 9th St</t>
  </si>
  <si>
    <t>07107</t>
  </si>
  <si>
    <t>Two deputies shot Quinonez, the target of a drug investigation, after he allegedly approached them with a loaded gun. Eyewitnesses and friends of Quinonez said he was hit by a police car and shot on the ground.</t>
  </si>
  <si>
    <t>http://www.nj.com/essex/index.ssf/2013/11/sheriffs_officers_shoot_and_kill_alleged_armed_assailaint.html#incart_river</t>
  </si>
  <si>
    <t>Wayne Brunette</t>
  </si>
  <si>
    <t>http://mediad.publicbroadcasting.net/p/vpr/files/styles/x_large/public/201311/BRUNETTE.JPG</t>
  </si>
  <si>
    <t>Randy lane</t>
  </si>
  <si>
    <t>05408</t>
  </si>
  <si>
    <t>Chittenden</t>
  </si>
  <si>
    <t>Mentally ill man causing a ruckus at mother's home. Mother called police. Man allegedly confronted officers with a shovel. As he approached the officers, he was shot.</t>
  </si>
  <si>
    <t>http://digital.vpr.net/post/burlington-police-fatally-shoot-suspect</t>
  </si>
  <si>
    <t>Jerry Vue</t>
  </si>
  <si>
    <t>http://hmoobtigkhohmoob.com/images/jerry%20vu.jpg</t>
  </si>
  <si>
    <t>5226 E Liberty Ave</t>
  </si>
  <si>
    <t>93727</t>
  </si>
  <si>
    <t>After a group of law-enforcement agents entered Vue's apartment looking to arrest him from a 2012 kidnapping, Vue ambushed the officers from a hiding place, injuring three officers. After exchanging gunfire, Vue was killed.</t>
  </si>
  <si>
    <t>http://hmoobtigkhohmoob.com/News/officer-involved-shooting-with-jerry-vue.html</t>
  </si>
  <si>
    <t>Deonte Traylor</t>
  </si>
  <si>
    <t>http://www.kcra.com/image/view/-/22836692/highRes/2/-/h5kldwz/-/Deonte--Traylor-mug-jpg.jpg</t>
  </si>
  <si>
    <t>Traylor, a parolee suspected of stabbing his girlfriend more than 30 times, was shot and killed by multiple Fairfield police officers on Highway 12 after he lunged at officers with a knife.</t>
  </si>
  <si>
    <t>http://www.kcra.com/news/officerinvolved-shooting-shuts-down-hwy-12-near-fairfield/22812924#!bE1OMS</t>
  </si>
  <si>
    <t>Michael Blair</t>
  </si>
  <si>
    <t>http://ww3.hdnux.com/photos/27/73/35/6272886/3/622x350.jpg</t>
  </si>
  <si>
    <t>77469</t>
  </si>
  <si>
    <t>Fort Bend County Sheriff's Office</t>
  </si>
  <si>
    <t>On instructions from a hospital, Blair's family called the county police to assist when the 26-year-old paranoid schizophrenic had locked himself in a bathroom and had threatened suicide with a knife. Officers escalated the situation, Tasered the victim without effect, then killed him with "almost a dozen" gunshots fired into his body at point-blank range.</t>
  </si>
  <si>
    <t>http://www.chron.com/neighborhood/fortbend/news/article/Family-releases-video-of-man-killed-by-Fort-Bend-5461653.php</t>
  </si>
  <si>
    <t>Robert Desir</t>
  </si>
  <si>
    <t>http://www.fatalencounters.org/wp-content/uploads/2013/10/RobertDesir.jpg</t>
  </si>
  <si>
    <t>2460 NW 208th St</t>
  </si>
  <si>
    <t>33056</t>
  </si>
  <si>
    <t>Desir was suspected of murdering his stepfather, and allegedly began shooting at police who were waiting at his home, who then returned fire and killed him.</t>
  </si>
  <si>
    <t>http://miami.cbslocal.com/2013/11/04/one-dead-in-miami-gardens-police-involved-shooting/</t>
  </si>
  <si>
    <t>Tyler Comstock</t>
  </si>
  <si>
    <t>http://cloudfront-media.reason.com/mc/_external/2013_11/des-moines-register.jpg</t>
  </si>
  <si>
    <t>Near Iowa State University's Campanile</t>
  </si>
  <si>
    <t>Ames</t>
  </si>
  <si>
    <t>50011</t>
  </si>
  <si>
    <t>Story</t>
  </si>
  <si>
    <t>Ames Police Department Officer Adam McPherson</t>
  </si>
  <si>
    <t>Tyler's father refused to buy him cigarettes. Tyler took his father's lawn car truck and trailer and his father called the police on him. Tyler fled through a red light, rammed two police cars and was fired upon 6 times by the police. He was hit twice in the head and chest. A video of the chase is on the linked page. Other officers suggested that the pursuing officers 'back off' but they were not supervisors, so they were ignored.</t>
  </si>
  <si>
    <t>http://www.kcci.com/news/central-iowa/weve-got-shots-fired-hes-trying-ramming-us-again/22815706#!bIjPuo</t>
  </si>
  <si>
    <t>Alfred San Antonio</t>
  </si>
  <si>
    <t>20211 N 7th Ave</t>
  </si>
  <si>
    <t>85027</t>
  </si>
  <si>
    <t>After his girlfriend told him that she was leaving him, San Antonio allegedly took a knife and attempted to attack her. Responding officers shot San Antonio after he allegedly lunged at them with a knife.</t>
  </si>
  <si>
    <t>http://www.azfamily.com/news/Police-shoot-kill-man-armed-with-chefs-knife-230491201.html</t>
  </si>
  <si>
    <t>Oregon City</t>
  </si>
  <si>
    <t>Nattela Ruth Blackwell</t>
  </si>
  <si>
    <t>http://localtvwreg.files.wordpress.com/2013/11/tiptonlady.jpg</t>
  </si>
  <si>
    <t>201 Lanny Bridges Ave</t>
  </si>
  <si>
    <t>38019</t>
  </si>
  <si>
    <t>Tipton</t>
  </si>
  <si>
    <t>After Blackwell's husband called to warn police that she had a handgun, officers found her in the parking lot of a Wal-Mart where she had fired the gun. After refusing to drop the weapon, officers shot her. The county sheriff stated that he believed Blackwell intended to commit "suicide by cop."</t>
  </si>
  <si>
    <t>http://www.wmctv.com/story/23864303/release-regarding-police-fatally-shooting-woman</t>
  </si>
  <si>
    <t>Salvador Munoz</t>
  </si>
  <si>
    <t>http://cbsdallas.files.wordpress.com/2013/11/salvador-munoz.jpg?w=420&amp;h=236</t>
  </si>
  <si>
    <t>1500 E Missouri Ave</t>
  </si>
  <si>
    <t>Police responded to a domestic disturbance at the home of Munoz's ex-girlfriend, and arrived to find him sitting on the home's front porch. After a short struggle, Munoz disarmed an officer's taser and refused to drop the weapon, leading police to shoot him.</t>
  </si>
  <si>
    <t>http://www.myfoxdfw.com/story/23858431/man-popinting-taser-at-officers-shot-and-killed</t>
  </si>
  <si>
    <t>Carlos Saenz</t>
  </si>
  <si>
    <t>90723</t>
  </si>
  <si>
    <t>After brandishing a gun at a deputy during a traffic stop, Saenz led police on a short chase that ended when he crashed his SUV into a tree. After a two-hour long standoff, Saenz left his car and pointed a gun at deputies, leading them to shoot and kill him.</t>
  </si>
  <si>
    <t>http://www.loscerritosnews.net/2013/11/01/wild-chase-goes-through-cerritos-ends-in-death-of-suspect-on-jackson-street-in-paramount/</t>
  </si>
  <si>
    <t>Rosa Elvira Flores-Lopez</t>
  </si>
  <si>
    <t>http://kbmt.images.worldnow.com/images/23851434_BG1.jpg</t>
  </si>
  <si>
    <t>3800 29th St</t>
  </si>
  <si>
    <t>Officers responded to a family disturbance at the home of Flores-Lopez, who allegedly threatened the officers with a knife. After using a taser to no effect, an officer shot Flores-Lopez and killed her. She apparently suffered from mental health issues.</t>
  </si>
  <si>
    <t>http://www.beaumontenterprise.com/news/article/Update-PAPD-releases-names-of-officers-involved-4946661.php</t>
  </si>
  <si>
    <t>Arthur Page</t>
  </si>
  <si>
    <t>203 Rutledge Ave</t>
  </si>
  <si>
    <t>Beaufort</t>
  </si>
  <si>
    <t>28516</t>
  </si>
  <si>
    <t>Carteret</t>
  </si>
  <si>
    <t>Beaufort Police Department</t>
  </si>
  <si>
    <t>Page shot his sister and her neighbor with a shotgun before police arrived and demanded that he drop his gun. Two officers fired and killed Page, who apparently suffered from a mental illness. The two responding deputies were cleared of any wrongdoing.</t>
  </si>
  <si>
    <t>http://www.witn.com/home/headlines/Police-Officer-Involved-In-Shooting-230158271.html</t>
  </si>
  <si>
    <t>690 Olmstead Ave</t>
  </si>
  <si>
    <t>10473</t>
  </si>
  <si>
    <t>Police responding to calls of shots fired were fired upon by a 26-year-old man. After attempting to flee, a total of six officers fired 17 times at the man, who was pronounced dead at the scene.</t>
  </si>
  <si>
    <t>http://www.nbcnewyork.com/news/local/Shooting-Bronx-Officer-Involved-230157251.html</t>
  </si>
  <si>
    <t>John Wayne Howell</t>
  </si>
  <si>
    <t>426 Old Wire Road</t>
  </si>
  <si>
    <t>31006</t>
  </si>
  <si>
    <t>Residents called 911 to report a man, who they knew, was walking around the neighborhood holding a machete and a pipe, and acting erratic. The man didn't recognize any of the people he was talking to, and residents told investigators he was threatening them. When deputies arrived on the scene, one tried to use a taser. He was continuing to act aggressive toward the three deputies on the scene. Smith says that's when two fired shots at the man, killing him in a front yard on Old Wire Road</t>
  </si>
  <si>
    <t>http://j16dev.41nbc.com/news/local-news/29042-gbi-investigating-deputy-involved-fatal-shooting-in-taylor-county</t>
  </si>
  <si>
    <t>Eric C. Auxier</t>
  </si>
  <si>
    <t>http://bloximages.newyork1.vip.townnews.com/newspressnow.com/content/tncms/assets/v3/editorial/f/95/f95ece0a-cac8-5aa2-8914-d160f865fafe/52747c57c13ab.preview-300.jpg</t>
  </si>
  <si>
    <t>6400 NW 316th St</t>
  </si>
  <si>
    <t>Gower</t>
  </si>
  <si>
    <t>64454</t>
  </si>
  <si>
    <t>Buchanan County Sheriff's Department</t>
  </si>
  <si>
    <t>Auxier was shot and killed after a two-county chase that ended with him ramming his vehicle into a deputy before being shot. A county official found that the deputy acted appropriately in using lethal force.</t>
  </si>
  <si>
    <t>http://www.kshb.com/dpp/news/crime/one-killed-in-officer-involved-shooting-following-police-chase</t>
  </si>
  <si>
    <t>Dionne L. Jordan</t>
  </si>
  <si>
    <t>http://www.goerie.com/storyimage/GE/20140304/NEWS02/303039915/AR/0/AR-303039915.jpg</t>
  </si>
  <si>
    <t>1702 East 38th Street</t>
  </si>
  <si>
    <t>16510</t>
  </si>
  <si>
    <t>Erie Police Department</t>
  </si>
  <si>
    <t>Jordan was killed by Erie police on the afternoon of Oct. 30, shortly after investigators said he entered the Widget Financial branch on East 38th Street with a gun and threatened to shoot employees while robbing the branch of a significant amount of cash.</t>
  </si>
  <si>
    <t>http://www.goerie.com/article/20140304/NEWS02/303039915/police-say-dna-links-erie-man-to-second-bank-robbery</t>
  </si>
  <si>
    <t>Alfred Ferrell III</t>
  </si>
  <si>
    <t>http://tribwxin.files.wordpress.com/2013/10/alfred-ferrell-mug.jpg</t>
  </si>
  <si>
    <t>4501 North Keystone Avenue</t>
  </si>
  <si>
    <t>46205</t>
  </si>
  <si>
    <t>Ferrell was in process of robbing an adult store when he encountered the responding officer outside on the sidewalk. The officer ordered him to the ground and tasered him twice when he did not comply. From the ground, Ferrell then pointed his gun at the officer and fired shots, at which point the officered shot and killed him.</t>
  </si>
  <si>
    <t>http://www.wthr.com/story/23829356/2013/10/30/police-activity-on-indianapolis-north-side</t>
  </si>
  <si>
    <t>John Curtis "JC" Garreaux</t>
  </si>
  <si>
    <t>http://www.keslingfuneralhome.net/fh_live/12400/12468/images/obituaries/2312467.jpg</t>
  </si>
  <si>
    <t>Highway 34</t>
  </si>
  <si>
    <t>Fort Thompson</t>
  </si>
  <si>
    <t>57339</t>
  </si>
  <si>
    <t>Buffalo</t>
  </si>
  <si>
    <t>Officers were attempting to serve a warrant to a man and followed a vehicle, driven by Jason Garreau, known to belong to the man. Garreau calls cousin, John Garreaux, who arrives on scene and begins to fire shots at USMS and BIA officers and was killed in return fire as Jason Garreau fled.</t>
  </si>
  <si>
    <t>http://www.keloland.com/newsdetail.cfm/fbi-investigates-deadly-ft-thompson-shooting/?id=155379</t>
  </si>
  <si>
    <t>James Bryant</t>
  </si>
  <si>
    <t>9155 Richmond Highway</t>
  </si>
  <si>
    <t>Fort Belvoir</t>
  </si>
  <si>
    <t>22060</t>
  </si>
  <si>
    <t>Fairfax County Police Department</t>
  </si>
  <si>
    <t>Bryant assaulted an officer, took his baton and hit the officer with it. The officer then shot and killed Bryant.</t>
  </si>
  <si>
    <t>http://patch.com/virginia/greateralexandria/police-identify-man-killed-at-alexandria-homeless-shelter</t>
  </si>
  <si>
    <t>Shane Whitworth</t>
  </si>
  <si>
    <t>500 Bay Cove Quay</t>
  </si>
  <si>
    <t>23462</t>
  </si>
  <si>
    <t>Virginia Beach City</t>
  </si>
  <si>
    <t>Police say they were dispatched to the residence after a woman called to report that her husband had locked himself in the bathroom and threatened to harm himself. Whitworth eventually left the house through the back door, armed with a handgun. He fired the gun once before hiding under a trampoline. He then got a ladder and climbed over the back fence. Once he got over the fence, still armed with a gun, officers fired at him.</t>
  </si>
  <si>
    <t>http://wtkr.com/2013/10/30/beach-police-investigate-shooting-after-barricade-situation/</t>
  </si>
  <si>
    <t>Cortdalro Damarcel Brown</t>
  </si>
  <si>
    <t>13502 Northborough</t>
  </si>
  <si>
    <t>77067</t>
  </si>
  <si>
    <t>Franklin Parish Sheriff's Office</t>
  </si>
  <si>
    <t>Brown approached sheriff's car and tried to rob him at gunpoint</t>
  </si>
  <si>
    <t>http://www.chron.com/news/houston-texas/houston/article/Women-charged-after-Louisiana-deputy-fatally-4943179.php?cmpid=htx</t>
  </si>
  <si>
    <t>Quentin Eric Hicks</t>
  </si>
  <si>
    <t>3940 Century Boulevard</t>
  </si>
  <si>
    <t>Police pulled over a car without plates, two men and one woman were inside the vehicle, Hicks got out of the car and was confronting the police officers, he was armed and fired at the police, then he was shot and killed.</t>
  </si>
  <si>
    <t>http://www.nbclosangeles.com/news/local/Man-Slain-in-Inglewood-Gun-Battle-with-Deputies-Identified-230330551.html</t>
  </si>
  <si>
    <t>Dominique Jean</t>
  </si>
  <si>
    <t>http://cbsmiami.files.wordpress.com/2013/10/dominique-jean1.jpg?w=600</t>
  </si>
  <si>
    <t>2501 NW 42nd Ave</t>
  </si>
  <si>
    <t>33142</t>
  </si>
  <si>
    <t>Jean was observed by a police officer at a gas station near Miami International Airport, stuffing newspapers under a tank and trying to light them. When caught, Jean attacked the officer with a screwdriver and knife, and (by some reports) trying to bite off the officer's thumb. Jean was tasered then fatally shot, after which the officer quickly reached the station's emergency shut-off valves, preventing an explosion.</t>
  </si>
  <si>
    <t>http://www.wsvn.com/story/23830443/officer-stabbed-multiple-times-suspect-fatally-shot</t>
  </si>
  <si>
    <t>Michael A. Sica</t>
  </si>
  <si>
    <t>http://ak-cache.legacy.net/legacy/images/Cobrands/Syracuse/Photos/o474184sica_20131103.jpg</t>
  </si>
  <si>
    <t>5006 Aitchison Road</t>
  </si>
  <si>
    <t>13215</t>
  </si>
  <si>
    <t>Onondaga</t>
  </si>
  <si>
    <t>Onondaga County Sheriff's Department</t>
  </si>
  <si>
    <t>Sica's parents called authorities to say their son was suicidal and threatening to kill police. When police responded, he locked himself in a garage and fired a shot. When police entered the garage, Sica pointed a pistol at them and they fired on him.</t>
  </si>
  <si>
    <t>http://www.syracuse.com/news/index.ssf/2013/10/sheriff_onondaga_man_shot_by_deputies_had_threatened_to_kill_himself_shoot_polic.html</t>
  </si>
  <si>
    <t>George Pryor</t>
  </si>
  <si>
    <t>http://wtoc.images.worldnow.com/images/23820071_BG2.jpg</t>
  </si>
  <si>
    <t>315 Rackley St</t>
  </si>
  <si>
    <t>Statesboro</t>
  </si>
  <si>
    <t>30458</t>
  </si>
  <si>
    <t>Bulloch</t>
  </si>
  <si>
    <t>Statesboro Police Department</t>
  </si>
  <si>
    <t>Police arrived at Pryor's house to enforce a code violation. Pryor was apprently involved in a shootout with officers, although circumstances remain unclear.</t>
  </si>
  <si>
    <t>http://www.wsav.com/story/23806056/one-dead-in-officer-involved-shooting-in-statesboro</t>
  </si>
  <si>
    <t>Clinton Peterson</t>
  </si>
  <si>
    <t>http://media.dallasobserver.com/killed-for-running-away.9382505.40.jpg</t>
  </si>
  <si>
    <t>Officers approached Peterson during a disturbance call. He led them on a foot chase before being shot and killed.</t>
  </si>
  <si>
    <t>Wilmon L. Hutto Jr.</t>
  </si>
  <si>
    <t>http://www.barr-price.com/obituaries/uploads/2469/1309681.jpg</t>
  </si>
  <si>
    <t>Mineral Springs Rd &amp; Oak Dr</t>
  </si>
  <si>
    <t>29073</t>
  </si>
  <si>
    <t>Officers responded to a report of shots fired at Hutto's home. Upon arrival, offficer say Hutto threatened him and pointed a gun at the officer. Officer shot and killed Hutto.</t>
  </si>
  <si>
    <t>http://www.wltx.com/news/article/254423/2/Officer-Involved-Shooting-in-Lexington</t>
  </si>
  <si>
    <t>Jarmel Anthony Cosby</t>
  </si>
  <si>
    <t>http://www.firstcoastnews.com/images/300/169/2/assetpool/images/131027101108_jso1.JPG</t>
  </si>
  <si>
    <t>10211 Lem Turner Road</t>
  </si>
  <si>
    <t>32218</t>
  </si>
  <si>
    <t>Officer M.W. Crawford reportedly ordered the suspect to surrender, instead the suspect allegedly ignored commands and attempted to jump a fence. Officers said they spotted a gun in the suspect's hand. Crawford fired several shots, striking the suspect an undetermined amount of times The suspect was shot and killed on scene and a gun was recovered by JSO investigators.</t>
  </si>
  <si>
    <t>http://www.firstcoastnews.com/news/article/333408/3/Officer-involved-shooting-suspect-dead-</t>
  </si>
  <si>
    <t>William Alfred Harvey III</t>
  </si>
  <si>
    <t>Bellfower</t>
  </si>
  <si>
    <t>Two female deputies were called to the scene at an assisted living home where a man was disturbing residents. The man was incoherent and foaming at the mouth. He hit one deputy in the head and knocked the other into a stone fountain. He reached for one of the deputy's guns, at which point she shot and killed him.</t>
  </si>
  <si>
    <t>http://www.nbclosangeles.com/news/local/Two-Deputies-Injured-in-Fatal-Shooting-in-Bellflower-229441761.html</t>
  </si>
  <si>
    <t>Arturo Jorge Guzman</t>
  </si>
  <si>
    <t>http://www.justmugshots.com/img/20363669/lg/arturo-jorge-guzman.jpg</t>
  </si>
  <si>
    <t>4616 East 8th Lane</t>
  </si>
  <si>
    <t>Hialeah police were called by woman about a domestic dispute where she claimed a man in the house had a gun. Police claim they were forced to fire on a man when they encountered him within the house.</t>
  </si>
  <si>
    <t>http://miami.cbslocal.com/2013/10/28/police-involved-shooting-in-hialeah/</t>
  </si>
  <si>
    <t>Marie Leanne Edith Hartman</t>
  </si>
  <si>
    <t>http://media2.abc2news.com//photo/2013/10/28/Murder_Suicide_in_Glen_Burnie_11pm_packa_1039780000_20131028093446_320_240.JPG</t>
  </si>
  <si>
    <t>1100 Fort Armistead Rd</t>
  </si>
  <si>
    <t>21226</t>
  </si>
  <si>
    <t>Hoffman and Hartman were murdered by officer Robinson who committed suicide after he killed the two victims.</t>
  </si>
  <si>
    <t>http://www.abc2news.com/news/crime-checker/anne-arundel-crime/police-identify-murder-suicide-victims</t>
  </si>
  <si>
    <t>Andrew Scott Hoffman</t>
  </si>
  <si>
    <t>Amy Reyna</t>
  </si>
  <si>
    <t>http://assets.nydailynews.com/polopoly_fs/1.1768872.1398445096!/img/httpImage/image.jpg_gen/derivatives/article_970/reyna26n-3-web.jpg?enlarged</t>
  </si>
  <si>
    <t>New Mexico 132</t>
  </si>
  <si>
    <t>88260</t>
  </si>
  <si>
    <t>Denver City Texas Police Department</t>
  </si>
  <si>
    <t>After a multi-state high-speed pursuit involving several jurisdictions, Reyna ran off the road and disabled her own vehicle. Denver City officer Ryan Taylor shot her three times in the head and twice in the torso, with indications that her hands had been raised, according to an autopsy. She was unarmed.</t>
  </si>
  <si>
    <t>http://www.seminolesentinel.com/Content/Default/Rotator/Article/Autopsy_-Chase-suspect-shot-five-times/-3/15/3993</t>
  </si>
  <si>
    <t>Jake Ramsey Maese-Murphy</t>
  </si>
  <si>
    <t>http://mediaassets.commercialappeal.com/photo/2014/03/21/523770_3536994_ver1.0_640_480.JPG</t>
  </si>
  <si>
    <t>245 Watkins Road</t>
  </si>
  <si>
    <t>Drummonds</t>
  </si>
  <si>
    <t>38023</t>
  </si>
  <si>
    <t>Tipton County Sheriff's Department</t>
  </si>
  <si>
    <t>Police were at a home searching for a man wanted on probation violation. The man's son, Jake, suddenly came towards police and stated he had a weapon. Officers attempted to use a taser to subdue Murphy but he continued approaching them. Officers then shot and killed Murphy.</t>
  </si>
  <si>
    <t>http://www.commercialappeal.com/news/local-news/tipton-county-deputies-fatally-shoot-armed-man</t>
  </si>
  <si>
    <t>Dimetri Polen</t>
  </si>
  <si>
    <t>http://media2.wptv.com//photo/2013/10/28/WPTV-Dimetri-Polen_20131028121259_320_240.JPG</t>
  </si>
  <si>
    <t>N Tamarind Ave &amp; 6th St</t>
  </si>
  <si>
    <t>33401</t>
  </si>
  <si>
    <t>Polen pointed an AK-47 at an officer after getting pulled over. The officer shot and killed Polen.</t>
  </si>
  <si>
    <t>http://www.wptv.com/news/region-c-palm-beach-county/west-palm-beach/demitri-polen-christopher-nebbeling-west-palm-beach-officer-shoots-kills-man-pointing-ak-47</t>
  </si>
  <si>
    <t>Richard Rodriguez</t>
  </si>
  <si>
    <t>Banning</t>
  </si>
  <si>
    <t>92220</t>
  </si>
  <si>
    <t>Banning Police Department</t>
  </si>
  <si>
    <t>Police officer responded to a call about a man who was knocking on motel room doors looking for a woman.The man brandished a pistol and the officer shot him.</t>
  </si>
  <si>
    <t>http://blog.pe.com/breaking-news/2013/10/27/banning-police-officer-fatally-shoots-man-at-hotel/</t>
  </si>
  <si>
    <t>Jonathan V. Robertson</t>
  </si>
  <si>
    <t>Thomas Drive and North Main Street</t>
  </si>
  <si>
    <t>Giles County Sheriff's Office, Virginia State Police, Pearisburg Police Department</t>
  </si>
  <si>
    <t>Robertson had stopped his Chevrolet S-10 pickup across the roadway forcing the law enforcement officers to stop. When the special agent and deputy identified themselves as law enforcement, Robertson displayed a weapon and began shooting at the law enforcement officers. The special agent and deputy returned fire</t>
  </si>
  <si>
    <t>http://www.wdbj7.com/news/local/developing-investigation-in-giles-county/22652814?item=0</t>
  </si>
  <si>
    <t>Christopher Chase</t>
  </si>
  <si>
    <t>http://www.koat.com/image/view/-/22659724/highRes/5/-/maxh/358/maxw/538/-/539os8z/-/Christopher-Chase-generic-mugshot.jpg</t>
  </si>
  <si>
    <t>4th St NW and Montano Road NW</t>
  </si>
  <si>
    <t>87107</t>
  </si>
  <si>
    <t>Chase led dozens of police officers on a 16-mile police chase after stealing an APD cruiser and firing at police with an assault rifle. He shot and wounded four law enforcement officers, one badly, before dying at Fourth and Montano.</t>
  </si>
  <si>
    <t>David DiRoma</t>
  </si>
  <si>
    <t>http://www.tampabay.com/resources/images/dti/rendered/2013/10/tbd_DiRoma102813_11811438_8col.jpg</t>
  </si>
  <si>
    <t>3018 Merrill Ave</t>
  </si>
  <si>
    <t>33759</t>
  </si>
  <si>
    <t>Clearwater Police Department</t>
  </si>
  <si>
    <t>DiRoma told a friend he was suicidal. The friend called authorities for help. DiRoma pointed a gun at officers. An officer fearing for his life shot and killed DiRoma.</t>
  </si>
  <si>
    <t>http://www.tampabay.com/news/publicsafety/crime/clearwater-officer-shoots-kills-armed-69-year-old-man/2149443</t>
  </si>
  <si>
    <t>Josh Matthew Collins</t>
  </si>
  <si>
    <t>http://ak-cache.legacy.net/legacy/images/Cobrands/yumasun/Photos/0f44d190-5bc0-4d32-87ef-ce34d2c74f4a.jpg</t>
  </si>
  <si>
    <t>1600 W 12th St</t>
  </si>
  <si>
    <t>Yuma</t>
  </si>
  <si>
    <t>85364</t>
  </si>
  <si>
    <t>Yuma Police Department</t>
  </si>
  <si>
    <t>A police chief was investigating a 'shots fired' call with a resident at an apartment complex when Collins confronted them. Collins then proceeded to attack both of them. He repeatedly stabbed the police chief before being shot and killed.</t>
  </si>
  <si>
    <t>http://www.kyma.com/slp.php?idN=8926&amp;cat=Local%20News</t>
  </si>
  <si>
    <t>Damon Cortez Hall</t>
  </si>
  <si>
    <t>Union Blvd &amp; Ridge Ave</t>
  </si>
  <si>
    <t>63112</t>
  </si>
  <si>
    <t>Hall ignored orders from officers to drop his weapon. Officers then opened fire on Hall, killing him.</t>
  </si>
  <si>
    <t>http://www.stltoday.com/news/local/metro/st-louis-police-fatally-shoot-man-after-he-points-gun/article_9ca1168c-24e2-50ed-85b3-78a458934534.html</t>
  </si>
  <si>
    <t>Ronald Roland</t>
  </si>
  <si>
    <t>2402 S. 17th St.</t>
  </si>
  <si>
    <t>28401</t>
  </si>
  <si>
    <t>Robbed a Pizza Hut, shot by police who were waiting outside.</t>
  </si>
  <si>
    <t>http://www.starnewsonline.com/article/20131121/ARTICLES/131129903</t>
  </si>
  <si>
    <t>Tevin Robinson</t>
  </si>
  <si>
    <t>2402 S. 17th St</t>
  </si>
  <si>
    <t>Robbed a Pizza Hut, gunned down by police who were outside waiting for them.</t>
  </si>
  <si>
    <t>www.starnewsonline.com/article/20131121/ARTICLES/131129903</t>
  </si>
  <si>
    <t>Victor Torres-Elizondo</t>
  </si>
  <si>
    <t>Southeast 13th Avenue and Maple Street</t>
  </si>
  <si>
    <t>Hillsboro</t>
  </si>
  <si>
    <t>97123</t>
  </si>
  <si>
    <t>Hillsboro Police Department</t>
  </si>
  <si>
    <t>Torres-Elizondo fired a shot at an officer during a traffic stop. The officer returned six shots, killing him. His criminal record had included a number of drug convictions and outstanding warrants but no violent crimes.</t>
  </si>
  <si>
    <t>http://www.oregonlive.com/hillsboro/index.ssf/2013/10/hillsboro_police_shooting_cour.html</t>
  </si>
  <si>
    <t>Sergio Munoz</t>
  </si>
  <si>
    <t>http://l.yimg.com/bt/api/res/1.2/V40UZTJUe_6oJ626Om3XRw--/YXBwaWQ9eW5ld3M7Zmk9ZmlsbDtoPTUwMDtweW9mZj0wO3E9Njk7dz0zNTQ-/http://media.zenfs.com/en_us/News/ap_webfeeds/f484b29717814324410f6a7067005727.jpg</t>
  </si>
  <si>
    <t>Mojave Desert</t>
  </si>
  <si>
    <t>Ridgecrest</t>
  </si>
  <si>
    <t>93555</t>
  </si>
  <si>
    <t>Munoz, suspected of murdering a woman and wounding a man in Ridgecrest, was shot and killed by seven police officers during a car chase in the Mojave Desert. He fired on vehicles and held hostages in his car. The hostages were flown to a hospital in critical condition after being shot by Munoz.</t>
  </si>
  <si>
    <t>http://bigstory.ap.org/article/police-chase-gunman-hostages-across-mojave-desert</t>
  </si>
  <si>
    <t>Vincent L. Young</t>
  </si>
  <si>
    <t>10000 Bay Pines Boulevard North</t>
  </si>
  <si>
    <t>St. Petersburg</t>
  </si>
  <si>
    <t>33708</t>
  </si>
  <si>
    <t>Bay Pines VA Police</t>
  </si>
  <si>
    <t>Young claimed he had a bomb and lunged a knife toward VA police. The officer shot and killed Young. Young did not have a bomb.</t>
  </si>
  <si>
    <t>http://www.wfla.com/Global/story.asp?S=23793064</t>
  </si>
  <si>
    <t>Julie Caudill</t>
  </si>
  <si>
    <t>6483 Ponset St</t>
  </si>
  <si>
    <t>43017</t>
  </si>
  <si>
    <t>http://www.10tv.com/content/stories/2013/10/25/columbus-woman-shot-by-police-ponset-drive.html</t>
  </si>
  <si>
    <t>Robert Eugene Parlette Jr.</t>
  </si>
  <si>
    <t>http://www.fatalencounters.org/wp-content/uploads/2013/10/RobertBobEugeneParlette-Jr.jpg</t>
  </si>
  <si>
    <t>Bayview Isles Drive</t>
  </si>
  <si>
    <t>Islamorada</t>
  </si>
  <si>
    <t>Parlette was shot and killed by police after he fired his gun at deputies.</t>
  </si>
  <si>
    <t>http://www.miamiherald.com/2013/10/25/3711895/keys-sheriff-deputies-shoot-and.html</t>
  </si>
  <si>
    <t>Angelique Styles</t>
  </si>
  <si>
    <t>http://report.wechargegenocide.org/img/people/angelique_styles.jpg</t>
  </si>
  <si>
    <t>A woman was shot to death in a home she shared with her brother after refusing to drop a knife while in front of officers.</t>
  </si>
  <si>
    <t>http://www.huffingtonpost.com/2013/10/25/angelique-styles-shot_n_4164130.html</t>
  </si>
  <si>
    <t>Matthew Deshune Swiney</t>
  </si>
  <si>
    <t>http://www.houstontx.gov/police/nr/2013/oct/nr131025-3.htm</t>
  </si>
  <si>
    <t>Simmons Garden Senior Citizen living complex</t>
  </si>
  <si>
    <t>Swiney was fatally shot by police after holding a large knife dragging his mother down the hallway. His mother was treated at a hospital for stab wounds.</t>
  </si>
  <si>
    <t>http://abclocal.go.com//story?section=news/local&amp;id=9300639</t>
  </si>
  <si>
    <t>Michael Clifford Garmon</t>
  </si>
  <si>
    <t>http://thumbs.mugshots.com/gallery/images/2c/ff/Michael-Clifford-Garmon-mugshot-30635357.400x800.jpg</t>
  </si>
  <si>
    <t>Interstate 75 and Old Dixie Highway</t>
  </si>
  <si>
    <t>30304</t>
  </si>
  <si>
    <t>Clayton County Police Department</t>
  </si>
  <si>
    <t>An officer reports that while on his way to work, he saw Garmon attempting to break into an abandoned car. Garmon fled on foot when he approached. When he caught up to him, Garmon tried to take his gun. During a struggle, "the gun discharged," killing Garmon.</t>
  </si>
  <si>
    <t>http://www.wsbtv.com/news/news/local/suspect-idd-officer-involved-shooting-along-i-75/nbYXC/</t>
  </si>
  <si>
    <t>Steven Hughes Henning</t>
  </si>
  <si>
    <t>http://www.nbcmontana.com/image/view/-/22654104/medRes/1/-/maxh/360/maxw/640/-/xdk67u/-/henning-pic-jpg.jpg</t>
  </si>
  <si>
    <t>Shastina Drive</t>
  </si>
  <si>
    <t>Weed</t>
  </si>
  <si>
    <t>96094</t>
  </si>
  <si>
    <t>http://www.nbcmontana.com/news/whitefish-man-killed-in-california-police-shooting/22654088</t>
  </si>
  <si>
    <t>John Robert Dellafiora</t>
  </si>
  <si>
    <t>Interstate 80/Mile Marker 194</t>
  </si>
  <si>
    <t>Winnemucca</t>
  </si>
  <si>
    <t>89445</t>
  </si>
  <si>
    <t>Humboldt County Sheriff's Office</t>
  </si>
  <si>
    <t>During a traffic stop, Dellafiora suddenly drove away and law enforcement pursued him for 28 miles on Interstate 80. Dellafiora drove the wrong way up the ramp into Golconda, then stopped the car and reportedly began firing on law enforcement.Officers returned fire and killed Dellafiora.</t>
  </si>
  <si>
    <t>http://www.kolotv.com/news/northernnevadanews/headlines/Officer-Involved-Shooting-in-Golconda-229049751.html</t>
  </si>
  <si>
    <t>Matthew Scott Lofaro</t>
  </si>
  <si>
    <t>http://ak-cache.legacy.net/legacy/images/cobrands/nhregister/photos/newhavenregister_lofaro_20131025.jpgx?w=200&amp;h=200&amp;option=1&amp;fc=fff</t>
  </si>
  <si>
    <t>719 Boston Post Road</t>
  </si>
  <si>
    <t>06460</t>
  </si>
  <si>
    <t>Lofaro was shot and killed by a state trooper after refusing to drop his weapon while committing an armed robbery at a convenience store.</t>
  </si>
  <si>
    <t>http://www.ct.gov/csao/cwp/view.asp?a=1802&amp;q=538100</t>
  </si>
  <si>
    <t>Michael Regner Tray</t>
  </si>
  <si>
    <t>http://o.aolcdn.com/dims-shared/dims3/PATCH/format/jpg/quality/82/resize/196x295/http://hss-prod.hss.aol.com/hss/storage/patch/f7fb53e7db892c990498685d7bc7ee7</t>
  </si>
  <si>
    <t>10745 Smetana Road</t>
  </si>
  <si>
    <t>Minnetonka</t>
  </si>
  <si>
    <t>55345</t>
  </si>
  <si>
    <t>Minnetonka Police Department</t>
  </si>
  <si>
    <t>Tray was shot by police after allegedly pointing a revolver at them in a garage of an apartment complex.</t>
  </si>
  <si>
    <t>http://www.startribune.com/local/west/253646551.html</t>
  </si>
  <si>
    <t>Terrance Harris</t>
  </si>
  <si>
    <t>200 E 107th St</t>
  </si>
  <si>
    <t>Officers received a call of a woman being threatened by a man with a knife, according to a statement from police. Police arrived at the home and heard loud screams from inside the home, police said. After police sergeant and two officers forced their way inside, the 40-year-old Harris attacked the sergeant with a butcher knife, stabbing him in the face, police said. Harris was shot and killed.</t>
  </si>
  <si>
    <t>http://www.dnainfo.com/chicago/20131023/roseland/man-fatally-shot-by-cops-after-stabbing-officer-police-say</t>
  </si>
  <si>
    <t>Ryan Salonga</t>
  </si>
  <si>
    <t>http://www.fatalencounters.org/wp-content/uploads/2013/10/RyanSalonga.jpg</t>
  </si>
  <si>
    <t>94066</t>
  </si>
  <si>
    <t>San Bruno Police Department</t>
  </si>
  <si>
    <t>Police shot and killed a stolen car suspect.</t>
  </si>
  <si>
    <t>Andy Lopez</t>
  </si>
  <si>
    <t>http://graphics8.nytimes.com/images/2013/10/24/us/24shooting2/24shooting2-popup.jpg</t>
  </si>
  <si>
    <t>Moorland Ave and West Robles Ave</t>
  </si>
  <si>
    <t>95407</t>
  </si>
  <si>
    <t>Sonoma County Sheriff's Department</t>
  </si>
  <si>
    <t>http://www.nytimes.com/2013/10/24/us/boy-13-carrying-toy-guns-is-shot-dead-by-deputies.html</t>
  </si>
  <si>
    <t>James "J.D" David Duttman</t>
  </si>
  <si>
    <t>http://bloximages.newyork1.vip.townnews.com/mysuncoast.com/content/tncms/assets/v3/editorial/f/21/f21da24e-3cd8-11e3-8931-0019bb30f31a/5269651f3267c.image.jpg?resize=300%2C203</t>
  </si>
  <si>
    <t>N Toledo Blade Blvd &amp; I-75</t>
  </si>
  <si>
    <t>34286</t>
  </si>
  <si>
    <t>The department says Officer Aaron Nick was checking a report of a suspicious vehicle on Toledo Blade Boulevard, about a half mile north of I-75. The department says a man inside the suspicious vehicle, which was a white minivan, brandished a weapon during the incident and was shot.The victim was pronounced dead at the hospital.</t>
  </si>
  <si>
    <t>http://www.abc-7.com/story/23763963/one-dead-in-officer-involved-shooting-in-north-port#.VJnKDAEzDx</t>
  </si>
  <si>
    <t>Tracy Clyde</t>
  </si>
  <si>
    <t>http://walb.images.worldnow.com/images/25055856_BG5.jpg</t>
  </si>
  <si>
    <t>Pine Ave N</t>
  </si>
  <si>
    <t>31763</t>
  </si>
  <si>
    <t>Leesburg Police Department</t>
  </si>
  <si>
    <t>Clyde was wanted for assault and robbery. Police found him in an vacant house. Clyde fought with an officer until being shot and killed.</t>
  </si>
  <si>
    <t>http://www.walb.com/story/25055856/lee-co-officer-cleared-in-shooting</t>
  </si>
  <si>
    <t>Christoval Quintana</t>
  </si>
  <si>
    <t>http://www.meaningfulfunerals.net/fh_live/11100/11147/images/obituaries/2293396.jpg</t>
  </si>
  <si>
    <t>US-285</t>
  </si>
  <si>
    <t>88203</t>
  </si>
  <si>
    <t>Chaves</t>
  </si>
  <si>
    <t>Quintana was in a pursuit with officers. The pursuit ended in shots being fired. Quintana was shot and killed.</t>
  </si>
  <si>
    <t>Timothy Lopez</t>
  </si>
  <si>
    <t>http://cdn.patch.com/users/46921/2013/10/T800x600/d0a0cb6661b5d57296856ffea1b36fd0.png</t>
  </si>
  <si>
    <t>4200 Saturn Way</t>
  </si>
  <si>
    <t>Union City</t>
  </si>
  <si>
    <t>94587</t>
  </si>
  <si>
    <t>Union City Police Department</t>
  </si>
  <si>
    <t>Police shot and killed a man wielding a pipe.</t>
  </si>
  <si>
    <t>http://unioncity.patch.com/groups/police-and-fire/p/suspect-killed-in-officerinvolved-shooting-identified</t>
  </si>
  <si>
    <t>Eric John Breum</t>
  </si>
  <si>
    <t>http://www.heraldnet.com/apps/pbcsi.dll/bilde?Site=DH&amp;Date=20131023&amp;Category=NEWS01&amp;ArtNo=710239873&amp;Ref=AR&amp;MaxW=800&amp;MaxH=800&amp;q=90</t>
  </si>
  <si>
    <t>47308 Stevens Pass Hwy</t>
  </si>
  <si>
    <t>Index</t>
  </si>
  <si>
    <t>98251</t>
  </si>
  <si>
    <t>Repeat DUI offender Breum (he'd spent 16 months in state prison for the crime) fled from a traffic stop and crashed his pickup on a mountain road. Pursuing deputies also struck his vehicle. With a blood-alcohol level 3 times the legal limit, he died of his injuries. One of at least four fatal high-speed police chases in this county in 2013.</t>
  </si>
  <si>
    <t>http://www.heraldnet.com/article/20150121/NEWS01/150129827/Fatal-DUI-police-pursuit-near-Gold-Bar-was-lawful-says-county-prosecutor</t>
  </si>
  <si>
    <t>David D. Long</t>
  </si>
  <si>
    <t>210 Rayburn Street</t>
  </si>
  <si>
    <t>Coffeeville</t>
  </si>
  <si>
    <t>38922</t>
  </si>
  <si>
    <t>Yalobusha</t>
  </si>
  <si>
    <t>Coffeeville Police Department</t>
  </si>
  <si>
    <t>Investigators say that Savage was responding alone, to a domestic incident. There was a shootout and Savage was shot four times. His return fire, killing the assailant, David Long.</t>
  </si>
  <si>
    <t>http://www.wmcactionnews5.com/story/23741323/officer-shot-and-in-critical-condition</t>
  </si>
  <si>
    <t>Florissant Police Department</t>
  </si>
  <si>
    <t>Ian Burlakoff</t>
  </si>
  <si>
    <t>http://media.cmgdigital.com/shared/img/photos/2013/10/21/3c/27/IanBurlakoff.JPG</t>
  </si>
  <si>
    <t>Ocean Boulevard</t>
  </si>
  <si>
    <t>33432</t>
  </si>
  <si>
    <t>Boca Raton Police Department</t>
  </si>
  <si>
    <t>Police shot and killed Burlakoff after failing to comply with officers' orders and tried to reach for a handgun. Witnesses said that Burlakoff shot and killed a woman, who was related to him. Her body was found in an empty lot.</t>
  </si>
  <si>
    <t>http://articles.sun-sentinel.com/2013-10-27/digitalunlimited/fl-boca-shootings-more-details-20131022_1_marriage-boca-couple-fatal-shootings</t>
  </si>
  <si>
    <t>Mariano Joseph Mauro</t>
  </si>
  <si>
    <t>http://www.news10.net/images/300/169/2/assetpool/images/131023030345_mariano-mauro-640.jpg</t>
  </si>
  <si>
    <t>500 1st Avenue</t>
  </si>
  <si>
    <t>Portola</t>
  </si>
  <si>
    <t>96122</t>
  </si>
  <si>
    <t>Plumas</t>
  </si>
  <si>
    <t>Plumas County Sheriff's Office</t>
  </si>
  <si>
    <t>Mauro had checked himself into the Eastern Plumas Health Care Center in Portola Saturday night for an unspecified ailment and later began exhibiting "menacing" behavior, according to Plumas County Sheriff Greg Hagwood. Hagwood said nursing staff called 911 just before 1 a.m. Sunday and the arriving deputy found Mauro barricaded in his room.At various points in the struggle, Mauro reportedly got control of the deputy's taser and baton and fired a shot from the deputy's handgun while it was still holstered.The deputy managed to regain control of the handgun and killed Mauro with multiple shots in the lobby.</t>
  </si>
  <si>
    <t>http://www.news10.net/news/article/261538/2/Patient-IDd-in-fatal-Plumas-deputy-hospital-shooting</t>
  </si>
  <si>
    <t>Taemarr Walker</t>
  </si>
  <si>
    <t>http://wfmj.images.worldnow.com/images/23740479_BG1.jpg</t>
  </si>
  <si>
    <t>Palmyra Rd SW &amp; Risher Rd</t>
  </si>
  <si>
    <t>44485</t>
  </si>
  <si>
    <t>Warren Police Department</t>
  </si>
  <si>
    <t>http://www.policeone.com/officer-shootings/articles/6547413-Video-Ohio-police-respond-to-dramatic-OIS/</t>
  </si>
  <si>
    <t>Ernesto Gutierrez Cortez</t>
  </si>
  <si>
    <t>9495 Customhouse Plaza</t>
  </si>
  <si>
    <t>Otay Mesa</t>
  </si>
  <si>
    <t>Carjacking suspect made a U-turn and drove toward border agents who fired at him and killed him.</t>
  </si>
  <si>
    <t>http://www.nbcsandiego.com/news/local/Suspect-CHP-High-Speed-Pursuit-North-County-to-Otay-Mesa-228469991.html</t>
  </si>
  <si>
    <t>Otay Mesa Fwy and Siempre Viva Rd</t>
  </si>
  <si>
    <t>Police chased a suspected carjacker 100+ miles to the Otay Mesa Mexico-US border, where the Border Patrol had closed it in anticipation of his arrival. The man reportedly tried to veer past officers in an attempt to cross the border. Three officers fired into the vehicle, killing him.</t>
  </si>
  <si>
    <t>Eddie Hollins</t>
  </si>
  <si>
    <t>6217 Two Notch Road</t>
  </si>
  <si>
    <t>29223</t>
  </si>
  <si>
    <t>Police responded to a robbery in progress at a retail store and encountered Hollins and his alleged partner James Branch, 43. They apprehended and handcuffed Branch as Hollins got into the truck. While backing up to flee, Hollins reportedly hit or ran over Branch twice (reported in critical condition 10/19). Police fired multiple times, hitting Hollins in the upper body. He drove a mile before he crashed the truck into the wall of a bar and died.</t>
  </si>
  <si>
    <t>http://www.wistv.com/story/23725933/one-suspect-dead-another-hospitalized-after-burglary-attempt</t>
  </si>
  <si>
    <t>Felix Valdez</t>
  </si>
  <si>
    <t>3255 South Halsted St</t>
  </si>
  <si>
    <t>60608</t>
  </si>
  <si>
    <t>Police responded to a domestic disturbance call at which they report that Valdez had a knife. When officers reportedly told him to drop the knife he approached them or lunged with the knife. "An officer then fatally shot the man in self-defense."</t>
  </si>
  <si>
    <t>http://www.nbcchicago.com/news/local/3000-south-halsted-bridgeport-shooting-228309841.html</t>
  </si>
  <si>
    <t>James Allen</t>
  </si>
  <si>
    <t>http://centerforhealthreporting.org/sites/centerforhealthreporting.org/files/styles/left-col-full-width/public/w9l9V.AuSt_.8.jpeg?itok=4bf7J1OS</t>
  </si>
  <si>
    <t>5700 W Country Ave</t>
  </si>
  <si>
    <t>Visalia police shot James outside the family home after he threatened his mother with a knife.</t>
  </si>
  <si>
    <t>http://centerforhealthreporting.org/article/could-lauras-law-have-saved-visalia-couples-son</t>
  </si>
  <si>
    <t>Shawn Dewayne Dean</t>
  </si>
  <si>
    <t>Mannasota and Dudley Avenue</t>
  </si>
  <si>
    <t>justified</t>
  </si>
  <si>
    <t>http://baltimore.cbslocal.com/2013/10/17/2-injured-in-police-involved-shooting-in-baltimore/</t>
  </si>
  <si>
    <t>Carmel Police Department</t>
  </si>
  <si>
    <t>During a multi-agency drug task force "sting", two officers attempted to serve an arrest warrant at an apartment. Guerrero reportedly "emerged from a closet pointing a gun" at the officers and ignored their commands to drop the gun. They shot and killed him.</t>
  </si>
  <si>
    <t>http://stopthedrugwar.org/chronicle/2013/oct/18/indianapolis_man_killed_drug_tas</t>
  </si>
  <si>
    <t>Jason Michael Kerr</t>
  </si>
  <si>
    <t>http://www.tampabay.com/resources/images/dti/rendered/2013/10/RenderImage%20(2)_11753184_8col.jpg</t>
  </si>
  <si>
    <t>1755 Dr Martin Luther King Jr St S</t>
  </si>
  <si>
    <t>33705</t>
  </si>
  <si>
    <t>Restaurant employees called 911 to report that Kerr was "sweaty and nervous" and had a gun. Officers followed his vehicle to a nearby parking lot, where they allege that he shot three times into their cruisers. Officers Matthew Laliberte, Scott Kirpan, Mark Kruzell and Matthew Stringfellow returned fire, killing him.</t>
  </si>
  <si>
    <t>http://www.baynews9.com/content/news/baynews9/news/article.html/content/news/articles/bn9/2013/11/8/st_petersburg_police.html</t>
  </si>
  <si>
    <t>Adrian Suarez</t>
  </si>
  <si>
    <t>Wishram</t>
  </si>
  <si>
    <t>98635</t>
  </si>
  <si>
    <t>Klickitat</t>
  </si>
  <si>
    <t>Oregon State Police, The Dalles Police Department, Klickatat County Sheriff's Department</t>
  </si>
  <si>
    <t>Rape suspect Suarez from The Dalles, Oregon, died in a shootout with officers from both Washington and Oregon. He'd been spotted through the open window of a house and appeared armed. Suarez fled from the back door, ran for about a block, turned and wounded one officer with a gunshot, then was shot down.</t>
  </si>
  <si>
    <t>http://www.oregonlive.com/pacific-northwest-news/index.ssf/2013/10/the_dalles_man_22_identified_a.html</t>
  </si>
  <si>
    <t>Kevin Robert Welsh</t>
  </si>
  <si>
    <t>http://www.hayspost.com/wp-content/uploads/2013/10/Screen-Shot-2013-10-09-at-12.54.04-PM.png</t>
  </si>
  <si>
    <t>N Poplar St &amp; W 8th St</t>
  </si>
  <si>
    <t>67045</t>
  </si>
  <si>
    <t>Greenwood</t>
  </si>
  <si>
    <t>Kansas Bureau of Investigation</t>
  </si>
  <si>
    <t>Welsch was the subject of a triple-shooting manhunt. Local police led Kansas Bureau of Investigation officers to an abandoned house, where they encountered him. He reportedly pointed a gun at them, and they shot at him multiple times, killing him.</t>
  </si>
  <si>
    <t>http://cjonline.com/news/state/2013-10-17/homicide-suspect-welsh-killed-after-police-spot-unlocked-door-his-hideout</t>
  </si>
  <si>
    <t>Cameron Massey</t>
  </si>
  <si>
    <t>http://wrbl.images.worldnow.com/images/3322886_G.jpg</t>
  </si>
  <si>
    <t>U.S. Highway 431</t>
  </si>
  <si>
    <t>Eufaula</t>
  </si>
  <si>
    <t>Barbour</t>
  </si>
  <si>
    <t>Barbour County Sheriff's Department</t>
  </si>
  <si>
    <t>Aaron Dumas</t>
  </si>
  <si>
    <t>http://whbq.images.worldnow.com/images/24329596_BG1.jpg</t>
  </si>
  <si>
    <t>1300 Worthington St</t>
  </si>
  <si>
    <t>Killed when tactical officers of the Memphis police department threw tear gas chemicals into the house where they had chased Dumas, causing the house to catch on fire, and burning him alive. Several neighbors had their house damaged by the flames.</t>
  </si>
  <si>
    <t>John Shepherd</t>
  </si>
  <si>
    <t>http://ksla.images.worldnow.com/images/23701683_BG2.JPG</t>
  </si>
  <si>
    <t>500 Americana Drive</t>
  </si>
  <si>
    <t>71105</t>
  </si>
  <si>
    <t>Police were called after a woman reported Shepard acting erratically. The 58-year-old attempted to attack EMS personnel with a kitchen knife, and was then fatally shot by responding officers after advancing towards them armed with a knife.</t>
  </si>
  <si>
    <t>http://raycomnbc.worldnow.com/story/24210037/spd-officer-cleared-in-fatal-shooting-of-knife-wielding-man</t>
  </si>
  <si>
    <t>Andrew Aldrich</t>
  </si>
  <si>
    <t>http://archives.webexpressventures.com/fullsize/50/fb/50fb4175be155ec8ef74b266099859446017e009.jpg</t>
  </si>
  <si>
    <t>Drake Cir</t>
  </si>
  <si>
    <t>29624</t>
  </si>
  <si>
    <t>Police were called to Aldrich's home on a domestic call, and fatally shot the 24-year-old after he picked up a dropped taser and aimed it at officers.</t>
  </si>
  <si>
    <t>http://www.foxcarolina.com/story/23689681/shooting-reported-in-anderson-county</t>
  </si>
  <si>
    <t>Earl Glenn Morrow</t>
  </si>
  <si>
    <t>http://www.fatalencounters.org/wp-content/uploads/2013/10/GlennMorrow.jpg</t>
  </si>
  <si>
    <t>E College St &amp; Deer Ave</t>
  </si>
  <si>
    <t>Ozark</t>
  </si>
  <si>
    <t>36360</t>
  </si>
  <si>
    <t>Dale</t>
  </si>
  <si>
    <t>Ozark Police Department</t>
  </si>
  <si>
    <t>Morrow, who suffered from dementia, was fatally shot by police after threatening a neighbor with a gun and then refusing to lower the weapon when police arrived.</t>
  </si>
  <si>
    <t>http://archive.montgomeryadvertiser.com/article/20131016/NEWS/131016004/Ozark-Police-Chief-Police-justified-killing-83-year-old-man</t>
  </si>
  <si>
    <t>Jacob Westberg</t>
  </si>
  <si>
    <t>http://marshallindependent.com/photos/news/lg/542042_1.jpg</t>
  </si>
  <si>
    <t>6613 W. 15th Place</t>
  </si>
  <si>
    <t>Sioux Falls</t>
  </si>
  <si>
    <t>57106</t>
  </si>
  <si>
    <t>Minnehaha</t>
  </si>
  <si>
    <t>Sioux Falls Police Department</t>
  </si>
  <si>
    <t>Police shot and killed a Sioux Falls man after he came out of a house and pointed a gun at officers Monday evening. Police were called to the scene because the man was suicidal, and there were reports of gunshots in the house.</t>
  </si>
  <si>
    <t>http://www.argusleader.com/article/20131015/NEWS/131015010/</t>
  </si>
  <si>
    <t>Shaqur McNair</t>
  </si>
  <si>
    <t>http://wwwcache.wral.com/asset/news/local/2013/10/14/12994173/12994173-1381773950-300x225.jpg</t>
  </si>
  <si>
    <t>200 Bertram Pl</t>
  </si>
  <si>
    <t>An officer responding to a domestic dispute fatally shot McNair after the 16-year-old allegedly pulled a gun on the officer. After a year-long investigation, the officer was cleared of any criminal wrongdoing.</t>
  </si>
  <si>
    <t>http://www.fayobserver.com/news/crime_courts/da-no-charges-to-be-filed-against-fayetteville-police-officer/article_b3c06750-b126-5805-aa09-a029e98b910f.html</t>
  </si>
  <si>
    <t>William Taylor</t>
  </si>
  <si>
    <t>http://chronicle.northcoastnow.com/wp-content/uploads/2013/10/William_Taylor_Mug-279x300.jpg</t>
  </si>
  <si>
    <t>1018 W 17th St</t>
  </si>
  <si>
    <t>Lorain</t>
  </si>
  <si>
    <t>44052</t>
  </si>
  <si>
    <t>Lorain Police Department</t>
  </si>
  <si>
    <t>Taylor dove through a closed window into a home. He was detained by the family until police arrived and arrested him. Taylor was tasered and died later at the hospital.</t>
  </si>
  <si>
    <t>http://www.wkyc.com/news/article/318174/45/911-calls-in-bizarre-Lorain-homicide-released</t>
  </si>
  <si>
    <t>Brandon Devone Smith</t>
  </si>
  <si>
    <t>http://www.starnewsonline.com/apps/pbcsi.dll/bilde?Site=WM&amp;Date=20131107&amp;Category=ARTICLES&amp;ArtNo=131109742&amp;Ref=AR&amp;imageVersion=Main&amp;MaxW=445&amp;border=0</t>
  </si>
  <si>
    <t>Carl Seitter Drive and Fulbright Street</t>
  </si>
  <si>
    <t>New Hanover County Sheriff's Department, Bureau of Alcohol, Tobacco, Firearms and Explosives</t>
  </si>
  <si>
    <t>Jonathan Kane Garay</t>
  </si>
  <si>
    <t>http://m.standardspeaker.com/polopoly_fs/1.1718107.1405134619!/image/image.jpg_gen/derivatives/landscape_300/image.jpg</t>
  </si>
  <si>
    <t>521 Alter Street</t>
  </si>
  <si>
    <t>Hazleton</t>
  </si>
  <si>
    <t>18201</t>
  </si>
  <si>
    <t>Hazleton Police Department</t>
  </si>
  <si>
    <t>Police report that while responding to a nearby fight, they pursued a man into Garay's backyard, and that they saw Garay with a gun in his waistband. They report that during a struggle on the porch, they allege that Garay pointed his gun at Officer Michael Colasardo, who shot him twice. The family claims that Garay was shot inside the home and did not point his gun at the police, and that a family member was tasered. They filed a $3.45M wrongful death suit 07/14.</t>
  </si>
  <si>
    <t>http://m.standardspeaker.com/news/family-files-3-45m-police-shooting-lawsuit-1.1718109</t>
  </si>
  <si>
    <t>Benjamin Henry Burba</t>
  </si>
  <si>
    <t>http://wdrb.images.worldnow.com/images/23687978_BG1.jpg</t>
  </si>
  <si>
    <t>631 S Lincoln Blvd</t>
  </si>
  <si>
    <t>Hodgenville</t>
  </si>
  <si>
    <t>42748</t>
  </si>
  <si>
    <t>Larue</t>
  </si>
  <si>
    <t>Police serving a warrant at 2 a.m. on Burba fatally shot the 59-year-old after he grabbed a B.B. gun and pointed it at officers.</t>
  </si>
  <si>
    <t>http://www.wlky.com/news/local-news/kentucky-news/friends-ask-questions-after-man-killed-in-officerinvolved-shooting/22432774</t>
  </si>
  <si>
    <t>Monica Ritchey</t>
  </si>
  <si>
    <t>1506 Woodhaven Lane</t>
  </si>
  <si>
    <t>Sparks</t>
  </si>
  <si>
    <t>89431</t>
  </si>
  <si>
    <t>Sparks Police Department</t>
  </si>
  <si>
    <t>Called to a report of a woman threatening suicide and shooting into the air, police shot Ritchie after she shot her 20-year-old daughter.</t>
  </si>
  <si>
    <t>https://drive.google.com/file/d/0B-l9Ys3cd80fUXFJSkRvbDY3VGM/edit?usp=sharing</t>
  </si>
  <si>
    <t>Sheldon C. Norman</t>
  </si>
  <si>
    <t>1001 E Memorial Blvd</t>
  </si>
  <si>
    <t>33801</t>
  </si>
  <si>
    <t>Norman's sister called authorities about his brother because he said he was going to kill himself. When officers found him in his car, he had a gun and refused to drop it. He was shot and killed by authorities.</t>
  </si>
  <si>
    <t>http://dailyridge.com/headlines-now/2013/10/11/deputy-involved-shooting-in-lakeland-one-person-deceased/</t>
  </si>
  <si>
    <t>Shawn Keith Nims</t>
  </si>
  <si>
    <t>http://blog.adl.org/wp-content/uploads/2013/10/Shawn-Keith-Nims-Facebook-262x350.jpg</t>
  </si>
  <si>
    <t>7300 Cedar Dr</t>
  </si>
  <si>
    <t>Cedar Hill</t>
  </si>
  <si>
    <t>63016</t>
  </si>
  <si>
    <t>Deputies were searching for Nims. They found him in a home at Cedar Drive. He tried to flee from the home, but was stopped. He refused to drop his gun and shot and wounded two deputies. Deputies then shot and killed Nims.</t>
  </si>
  <si>
    <t>http://www.stltoday.com/news/local/crime-and-courts/suspect-who-ambushed-shot-two-deputies-is-killed-in-jefferson/article_4562294a-57c7-5468-a2e5-71510ef99d27.html</t>
  </si>
  <si>
    <t>Raymond Johnson</t>
  </si>
  <si>
    <t>http://cdn.abclocal.go.com/images/kabc/cms_exf_2007/news/local/inland_empire/9291505_600x338.jpg</t>
  </si>
  <si>
    <t>23000 Hemlock Ave</t>
  </si>
  <si>
    <t>92557</t>
  </si>
  <si>
    <t>Johnson was on PCP and violently kicking his feet and striking his fists in an uncontrollable manner when officers arrived, police say Johnson was agitated and refused to get out of his vehicle, even after officers used pepper spray and a Taser. Eventually, Johnson was removed from the vehicle, handcuffed and placed on the ground. As he was laying on the ground, police noticed that he had stopped breathing. A coroner listed the cause of death as "hypertensive cardiovascular disease with other significant condition of Acute Phencyclidine (PCP) intoxication and physical altercation with law enforcement."</t>
  </si>
  <si>
    <t>http://abc7.com/archive/9365131/</t>
  </si>
  <si>
    <t>Kenneth Ray Clark</t>
  </si>
  <si>
    <t>http://bloximages.newyork1.vip.townnews.com/tricities.com/content/tncms/assets/v3/editorial/5/69/569bb928-3378-11e3-8beb-0019bb30f31a/5259a99eba606.image.jpg?resize=300%2C225</t>
  </si>
  <si>
    <t>2504 Bay St</t>
  </si>
  <si>
    <t>Clark tried to run over two policemen Friday evening while fleeing the scene of an active meth lab on Bay Street. He was shot by the officers and died of his injuries.</t>
  </si>
  <si>
    <t>http://www.tricities.com/news/local/article_5ab85210-32e1-11e3-995c-001a4bcf6878.html</t>
  </si>
  <si>
    <t>Max Cocheta Martin</t>
  </si>
  <si>
    <t>http://www.homefacts.com/images/offenders/california/thumb/18605071J5719.jpg</t>
  </si>
  <si>
    <t>Elkins Rd</t>
  </si>
  <si>
    <t>Leicester</t>
  </si>
  <si>
    <t>28748</t>
  </si>
  <si>
    <t>Buncombe</t>
  </si>
  <si>
    <t>Officers serving a warrant on Martin, a registered sex offender, fatally shot the 43-year-old after he fired an arrow at officers.</t>
  </si>
  <si>
    <t>http://www.wyff4.com/news/north-carolina-news/bcso-1-dead-in-officer-involved-shooting/22359802</t>
  </si>
  <si>
    <t>Christopher Ouellette</t>
  </si>
  <si>
    <t>Main Street and Middle Street</t>
  </si>
  <si>
    <t>Old Town</t>
  </si>
  <si>
    <t>04468</t>
  </si>
  <si>
    <t>Ouellette, with a record of domestic violence, called police to confess that he'd stabbed his girlfriend to death. She'd been pregnant with their child. State troopers responded around 6 p.m., and within about 40 minutes Ouellette had been shot to death.</t>
  </si>
  <si>
    <t>Thomas J. Piccard</t>
  </si>
  <si>
    <t>http://binaryapi.ap.org/e3c5fe53bcff47c3a9592034c467c19d/460x.jpg</t>
  </si>
  <si>
    <t>1125 Chapline Street</t>
  </si>
  <si>
    <t>26003</t>
  </si>
  <si>
    <t>Ohio</t>
  </si>
  <si>
    <t>Piccarrd was a former police officer who was diagnosed with cancer. He had a hatred for the federal government and decided to fire shots at a federal building. Officers arrived and were shot at by Piccarrd. Officers shot and killed Piccarrd.</t>
  </si>
  <si>
    <t>http://www.cbsnews.com/news/w-va-courthouse-shooting-update-prosecutor-says-ex-cop-thomas-j-piccard-hated-govt/</t>
  </si>
  <si>
    <t>Jack Lamar Robertson</t>
  </si>
  <si>
    <t>http://i.dailymail.co.uk/i/pix/2013/10/08/article-2449377-1898F32F00000578-530_306x423.jpg</t>
  </si>
  <si>
    <t>Reed Street</t>
  </si>
  <si>
    <t>Waycross</t>
  </si>
  <si>
    <t>31501</t>
  </si>
  <si>
    <t>Ware</t>
  </si>
  <si>
    <t>Waycross Police Department</t>
  </si>
  <si>
    <t>Robertson was shot by police after he allegedly lunged at them with meat fork and knife.[33]</t>
  </si>
  <si>
    <t>http://www.huffingtonpost.com/2013/10/08/jack-lamar-roberson-police-fatally-shoot_n_4065116.html</t>
  </si>
  <si>
    <t>Winford Raynard Watkins</t>
  </si>
  <si>
    <t>http://blogs.star-telegram.com/.a/6a00d8341c2cc953ef019b000db885970d-800wi</t>
  </si>
  <si>
    <t>76085</t>
  </si>
  <si>
    <t>With various felony convictions already behind him Watkins had failed to appear for a recent 45-year prison sentence, then attacked a county officer with a tire iron during a traffic stop, then escaped. After a standoff of several hours at his residence, including tear gas, Watkins was fatally shot.</t>
  </si>
  <si>
    <t>http://www.myfoxdfw.com/story/23688677/parker-county-search-for-suspect-who-battled-deputy</t>
  </si>
  <si>
    <t>Darrell Atkinson</t>
  </si>
  <si>
    <t>Venice Blvd &amp; Cadillac Ave</t>
  </si>
  <si>
    <t>90034</t>
  </si>
  <si>
    <t>http://www.nbclosangeles.com/news/local/Transient-Killed-by-Deputies-Identified-227552501.html</t>
  </si>
  <si>
    <t>Bruce Douglas Graham</t>
  </si>
  <si>
    <t>Castaic</t>
  </si>
  <si>
    <t>91384</t>
  </si>
  <si>
    <t>When deputies responded to a "suicidal man with a gun” call at a home, Graham reportedly emerged from a garage area holding a rifle. He reportedly refused to follow commands, and would not drop the rifle. When he reportedly pointed the rifle at deputies, they shot him.</t>
  </si>
  <si>
    <t>http://homicide.latimes.com/post/bruce-douglas-graham/</t>
  </si>
  <si>
    <t>Sherman T. Threets</t>
  </si>
  <si>
    <t>http://mugshot-record-search.com/mugshot/IL/Cook-County-Sheriff/2012-Jun-06/295932/SHERMAN-THREETS</t>
  </si>
  <si>
    <t>Posen</t>
  </si>
  <si>
    <t>60469</t>
  </si>
  <si>
    <t>Blue Island Police Department</t>
  </si>
  <si>
    <t>Jenna Sammons, 21, was recuperating from an alleged attack by Threets and he reportedly returned to her home, shot her and killed Tristan Hart, 27. Police responded and reportedly "found and killed him" in a nearby garage.</t>
  </si>
  <si>
    <t>Jared Harris</t>
  </si>
  <si>
    <t>http://stlouis.cbslocal.com/2013/10/05/st-louis-police-officer-shot/</t>
  </si>
  <si>
    <t>Taylor Ave. and Garfield Ave.</t>
  </si>
  <si>
    <t>Police Chief Sam Dotson said police observed what they thought was a hand-to-hand drug deal on McMillan Avenue and tried to stop the vehicle.The fleeing car crashed a few blocks away, at North Taylor and Garfield avenues, and the driver began shooting at police, hitting one officer in the left foot, police said. Two officers returned fire, killing the driver, Jared Harris</t>
  </si>
  <si>
    <t>http://www.stltoday.com/news/local/crime-and-courts/suspect-dead-st-louis-police-officer-wounded-after-chase/article_d9e6e206-459d-56b7-8965-cfa67006d659.html</t>
  </si>
  <si>
    <t>Chris Sample</t>
  </si>
  <si>
    <t>165 Stanage Terrace</t>
  </si>
  <si>
    <t>Lake Hamilton</t>
  </si>
  <si>
    <t>71901</t>
  </si>
  <si>
    <t>Garland County Sheriff's Office</t>
  </si>
  <si>
    <t>Deputies responded to a domestic disturbance call at a home. They report that they heard "what sounded like the action of a firearm being operated" behind the door and saw Sample exit the house with a firearm. They report that he ignored commands to drop his weapon and pointed it at them. They then shot him multiple times.</t>
  </si>
  <si>
    <t>http://www.arkansasonline.com/news/2013/oct/07/garland-county-man-fatally-shot-officers-identifie/</t>
  </si>
  <si>
    <t>Steven Motley</t>
  </si>
  <si>
    <t>http://mediaassets.redding.com/photo/2014/04/24/19890_4199241_ver1.0_640_480.JPG</t>
  </si>
  <si>
    <t>Suspect allegedly led police on a chase and stole a police cruiser. When cornered, he was allegedly beaten and tasered until unconscious.</t>
  </si>
  <si>
    <t>http://www.redding.com/news/family-steven-motley-sues-redding-over-alleged-pol</t>
  </si>
  <si>
    <t>Jeffery A. Sutherland</t>
  </si>
  <si>
    <t>http://storage.lifetributes.com/Tributes/1612551/GuestBook/4bc57dbc-37cd-4a7b-947b-d54fb6217ffd.jpg</t>
  </si>
  <si>
    <t>801 Kittitas Street</t>
  </si>
  <si>
    <t>98801</t>
  </si>
  <si>
    <t>Chelan</t>
  </si>
  <si>
    <t>Two officers came to Sutherland's home to serve a warrant. They report that while attempting to handcuff him face down on his sofa, he pulled a gun and fired at one of the officers. Officer Kissel shot him twice in the side, killing him.</t>
  </si>
  <si>
    <t>http://s3-us-west-2.amazonaws.com/assets.www.wenatcheeworld.com/media/doc/2013/12/17/7eb46c2b90-prosecutor-shooting-decision.pdf</t>
  </si>
  <si>
    <t>Reginald Williams Jr.</t>
  </si>
  <si>
    <t>http://woio.images.worldnow.com/images/23621638_BG5.jpg</t>
  </si>
  <si>
    <t>Harvard Ave &amp; E 76th St</t>
  </si>
  <si>
    <t>44105</t>
  </si>
  <si>
    <t>Police responded to an incident at the home of Eizelle Gardner and arrested Williams on kidnapping charges. Gardner states she heard police say ‘Look at this stupid m/f he's about to die." Williams ran and officers caught him in a field. Witness Kimberly Hawthorne states "They had him back there for about an hour; just kept tasing and tasing him until the taser quit working." Police report that Williams did not die during the arrest but that when he was apprehended he stated he was exhausted and could not stand up. The autopsy stated no lethal injury was found, and therefore data from the officers' tasers will not be reviewed.</t>
  </si>
  <si>
    <t>http://www.cleveland.com/metro/index.ssf/2013/10/no_lethal_injury_reported_in_a.html</t>
  </si>
  <si>
    <t>Jack Lamar Roberson</t>
  </si>
  <si>
    <t>1013 Reed St.</t>
  </si>
  <si>
    <t>10303</t>
  </si>
  <si>
    <t>John Bartholomew</t>
  </si>
  <si>
    <t>1008 S. Fairway Drive</t>
  </si>
  <si>
    <t>54656</t>
  </si>
  <si>
    <t>Sparta Police Department</t>
  </si>
  <si>
    <t>John Bartholomew, mentally unstable, wielding knives outside of his parents house. After his parents called the police he went outside and told officers to kill him while refusing to drop the knives.</t>
  </si>
  <si>
    <t>http://lacrossetribune.com/blogs/annejungen/read-da-s-full-opinion-on-officer-involved-shooting/article_6dac5c77-843e-5be1-9775-ec14dced3e23.html</t>
  </si>
  <si>
    <t>Miriam Iris Carey</t>
  </si>
  <si>
    <t>http://www.wnd.com/files/2013/12/miriam-carey-1213.jpg</t>
  </si>
  <si>
    <t>10 Maryland Ave SW</t>
  </si>
  <si>
    <t>20016</t>
  </si>
  <si>
    <t>Carey was shot and killed after she allegedly rammed into barricades near the White House and then led police on a chase toward the U.S. Capitol building.</t>
  </si>
  <si>
    <t>http://www.scribd.com/doc/216342741/The-Autopsy-Report-of-Miriam-Iris-Carey</t>
  </si>
  <si>
    <t>Timmy Dewayne Myrick</t>
  </si>
  <si>
    <t>http://jail.com/arrest-records/timothy-myrick-9735621</t>
  </si>
  <si>
    <t>W Bertig Street</t>
  </si>
  <si>
    <t>Paragould</t>
  </si>
  <si>
    <t>72450</t>
  </si>
  <si>
    <t>After a woman reported a domestic disturbance involving Myrick at her home, an officer, who was already aware of Myrick's previous "bizarre, violent behavior" reports that Myrick was aggressive through the door when he went to his home. Backup arrived, and Myrick opened the door allegedly wielding a large knife. Police report that witnesses state that Cpl. Jason Boling fell and Myrick "continued to come at" him. Boling shot him twice and Cpl. Max Adams shot him once.</t>
  </si>
  <si>
    <t>http://www.kait8.com/story/23605774/police-deadly-paragould-shooting</t>
  </si>
  <si>
    <t>Elijah Glay</t>
  </si>
  <si>
    <t>http://www.globalmediabuzz.com/death-announcements/2013/oct/images/Thumb/elijah-glay.jpg</t>
  </si>
  <si>
    <t>3900 Lighthouse Way</t>
  </si>
  <si>
    <t>Calverton</t>
  </si>
  <si>
    <t>20705</t>
  </si>
  <si>
    <t>Police responding to a domestic disturbance call found Glay, who then led police on a quarter mile chase. After a struggle, an officer fatally shot Glay.</t>
  </si>
  <si>
    <t>Maria Rita Zarate</t>
  </si>
  <si>
    <t>Police responded to a call on a "woman walking in the street with a handgun" or an "armed, suicidal woman." A "mental health professional" and officers reportedly tried to get her to unarm herself for approx. 30 minutes. She then allegedly raised the gun and "pointed it at officers in a threatening manner." Officers Matt Roy, Chris Dalton, Richard Robles, Louie Arviso, Jaime Getz, and Senior Officer Andrea Pflugh shot her. It was later determined that she was armed with an Airsoft pellet pistol.</t>
  </si>
  <si>
    <t>http://www.kuzznews.com/documents/magicois.pdf</t>
  </si>
  <si>
    <t>Joel Ledezma Ramos</t>
  </si>
  <si>
    <t>http://abclocal.go.com/ktrk/story?section=news%2Flocal&amp;id=9270067</t>
  </si>
  <si>
    <t>Cedar St. and W 8th St.</t>
  </si>
  <si>
    <t>Witnesses to recent street "gunfire" pointed out the suspect to police as he drove by. Police followed the man for about two blocks. They report that he refused to show his hands and when they opened his car door, he fired a gun at them. At least three officers shot back, killing him.</t>
  </si>
  <si>
    <t>Wendy Lawrence</t>
  </si>
  <si>
    <t>New Hampshire State Police</t>
  </si>
  <si>
    <t>http://www.concordmonitor.com/home/8751046-95/woman-dies-after-chase-police-involved-shooting-in-manchester</t>
  </si>
  <si>
    <t>Alexander Jamar "A.J." Marion</t>
  </si>
  <si>
    <t>http://www.gannett-cdn.com/-mm-/84b23e29bc2ab23ea118c6ab16392e7b43a13870/c=0-39-685-952&amp;r=537&amp;c=0-0-534-712/local/-/media/Asheville/2014/07/22/ajmarion.jpg</t>
  </si>
  <si>
    <t>99 Ascension Drive</t>
  </si>
  <si>
    <t>Asheville</t>
  </si>
  <si>
    <t>28806</t>
  </si>
  <si>
    <t>Asheville Police Department</t>
  </si>
  <si>
    <t>Officers saw Marion with a gun during a chase that lasted nearly an hour, officers heard a gun discharged and one officer said Marion pointed a gun at him at one point. Marion did not have the gun when he was shot.</t>
  </si>
  <si>
    <t>http://www.citizen-times.com/story/news/crime/2014/07/22/asheville-officer-face-charges-aj-marion-shooting/12994537/</t>
  </si>
  <si>
    <t>Travis Claye Davis</t>
  </si>
  <si>
    <t>http://local.sltrib.com/charts/shootings/images/thumbs/23.jpg</t>
  </si>
  <si>
    <t>50 E Clark St.</t>
  </si>
  <si>
    <t>Grantsville</t>
  </si>
  <si>
    <t>84029</t>
  </si>
  <si>
    <t>Grantsville Police</t>
  </si>
  <si>
    <t>Davis, reported to be suicidal, was barricaded inside his home. He posted on Facebook that he would "have to go out like Billy The Kid" and took a hangun and extra magazine outside. He allegedly pointed a gun at Barrett and screamed, "I'll do it! I'll [expletive] do it!"</t>
  </si>
  <si>
    <t>Austin Jones</t>
  </si>
  <si>
    <t>http://www.trbimg.com/img-5248ea36/turbine/ph-ag-hdg-01-supect-death-jpg-20130929/480/480x480</t>
  </si>
  <si>
    <t>Havre de Grace</t>
  </si>
  <si>
    <t>21078</t>
  </si>
  <si>
    <t>Harford County Special Response Team</t>
  </si>
  <si>
    <t>Jones apparently had an altercation with his girlfriend, then barricaded himself in the bedroom of the house once the police arrived. Jones then made "an overt gesture towards responding officers" and was then shot.</t>
  </si>
  <si>
    <t>http://www.baltimoresun.com/news/maryland/harford/aberdeen-havre-de-grace/ph-ag-hdg-suspect-death-1002-20130928-story.html</t>
  </si>
  <si>
    <t>Caleb Hector</t>
  </si>
  <si>
    <t>http://s3.amazonaws.com/tributecenteronline/Obituaries/69719/Thumbnail.jpg</t>
  </si>
  <si>
    <t>Dealy Road</t>
  </si>
  <si>
    <t>Big Spring</t>
  </si>
  <si>
    <t>79720</t>
  </si>
  <si>
    <t>Howard County Sheriff's Deputy</t>
  </si>
  <si>
    <t>According to the preliminary investigation, the deputy encountered an armed man and shot the individual. Caleb Hector, 19, died at the Scenic Mountain Medical Center. There was not much published about the incident.</t>
  </si>
  <si>
    <t>http://www.newswest9.com/story/23547666/howard-county-deputy-involved-in-officer-involved-shooting</t>
  </si>
  <si>
    <t>Tavaris Lokeco Gulley</t>
  </si>
  <si>
    <t>Pine Crest Cemetery</t>
  </si>
  <si>
    <t>Citronelle</t>
  </si>
  <si>
    <t>36522</t>
  </si>
  <si>
    <t>Mobile</t>
  </si>
  <si>
    <t>Mobile County Sheriff's Office</t>
  </si>
  <si>
    <t>Tavaris Gulley, holed up in a car near his mother's grave at Pine Crest Cemetery, refused several orders to surrender.After several hours, he got out of his car armed with a gun, and deputies fatally shot him.</t>
  </si>
  <si>
    <t>http://blog.al.com/live/2013/09/citronelle_homicide_suspect_ki.html</t>
  </si>
  <si>
    <t>William Keith Hall</t>
  </si>
  <si>
    <t>https://cbsdallas.files.wordpress.com/2013/09/keith-hall.jpg?w=195&amp;h=146&amp;crop=1</t>
  </si>
  <si>
    <t>10300 Sandra Lynn Dr</t>
  </si>
  <si>
    <t>75228</t>
  </si>
  <si>
    <t>After a man broke into his home attempting burglarize Hall, the 57-year-old shot the intruder and then threatened arriving officers with a handgun. Hall was fatally shot after refusing to lower his weapon.</t>
  </si>
  <si>
    <t>http://dfw.cbslocal.com/2013/09/27/dallas-police-officers-shoot-kill-homeowner/</t>
  </si>
  <si>
    <t>John Del Real</t>
  </si>
  <si>
    <t>https://whatzenalotionbar.files.wordpress.com/2014/11/john-del-real.jpg?w=90&amp;h=90&amp;crop=1</t>
  </si>
  <si>
    <t>Junipero Ave &amp; E 17th St</t>
  </si>
  <si>
    <t>John DelReal was shot and killed by a plainclothes narcotics officer after approaching the officer in a threatening and aggressive manner, police officials said. DelReal reached for an unknown object in his waistband, leading to the officer shooting.</t>
  </si>
  <si>
    <t>1600 Birchwood St</t>
  </si>
  <si>
    <t>77093</t>
  </si>
  <si>
    <t>A Houston Police Department SWAT officer fatally shot a middle aged Hispanic man while serving a drug-related search warrant. The man was allegedly pointing a gun at officers.</t>
  </si>
  <si>
    <t>http://www.chron.com/news/article/SWAT-team-fatally-shoots-suspect-during-scene-at-4841867.php</t>
  </si>
  <si>
    <t>Jose Luis Millan</t>
  </si>
  <si>
    <t>Co Rd 44B</t>
  </si>
  <si>
    <t>Waelder</t>
  </si>
  <si>
    <t>78959</t>
  </si>
  <si>
    <t>Gonzales</t>
  </si>
  <si>
    <t>Gonzales County Sheriff's Department</t>
  </si>
  <si>
    <t>During a multi-agency raid on a marijuana farm, sheriff deputies report that when they identified themselves to Millan and Daniel Ramirez, 30, Millan opened fire on them. They returned fire, killing him. Ramirez was taken into custody.</t>
  </si>
  <si>
    <t>http://www.gonzalesinquirer.com/news/article_cb0facee-2aa7-11e3-90ff-001a4bcf887a.html</t>
  </si>
  <si>
    <t>Erick Balint</t>
  </si>
  <si>
    <t>http://media.independent.com/img/photos/2013/09/26/Balint_Erick_t180.jpg?7d662043685d97479ca3193f5d07ca695b5434dc</t>
  </si>
  <si>
    <t>20000 Hillford Ave</t>
  </si>
  <si>
    <t>90746</t>
  </si>
  <si>
    <t>Long Beach Police officers investigated a man who reportedly threatened to kill his girlfriend and her family in Long Beach. He was shot to death during a running gunbattle with police officers in Carson.</t>
  </si>
  <si>
    <t>http://www.presstelegram.com/general-news/20130926/man-shot-by-long-beach-police-in-carson-gunbattle-identified</t>
  </si>
  <si>
    <t>Luke Daniel Castello</t>
  </si>
  <si>
    <t>http://www.trbimg.com/img-53a5b4ee/turbine/os-luke-castello-20140511/600/480x600</t>
  </si>
  <si>
    <t>Dunlawton Avenue and Interstate 95</t>
  </si>
  <si>
    <t>Luke Castello robbed a couple at a seedy Daytona Beach motel. Police caught up with him in a Wal-Mart parking lot. After police caught up with him, he crashed on Interstate 95 in a barrage of police bullets. Port Orange police officers — six in all — opened fire after he pulled a gun on them from the driver's seat of a stolen minivan wrecked on I-95 in Volusia County.</t>
  </si>
  <si>
    <t>http://articles.orlandosentinel.com/2014-06-21/news/os-luke-castello-killed-police-shooting-20140621_1_luke-castello-daytona-beach-police-police-pursuit</t>
  </si>
  <si>
    <t>Tracy Daquan Bost</t>
  </si>
  <si>
    <t>http://media.graytvinc.com/images/320*200/tracy+bost+web.jpg</t>
  </si>
  <si>
    <t>1801 Fayetteville Road</t>
  </si>
  <si>
    <t>27707</t>
  </si>
  <si>
    <t>North Carolina Central University Police</t>
  </si>
  <si>
    <t>Bost had been tracked to North Carolina Central University by Durham police, prompting university officials to lock down the school for several hours. The university said that campus police approached Bost, but he fired a shotgun at an officer, and NCCU police returned fire. Bost ran into a wooded area. Authorities found him and told him to surrender, leading to a second exchange of gunfire and the man's death.</t>
  </si>
  <si>
    <t>http://www.witn.com/home/headlines/NCCU-Locked-Down-Overnight---224978702.html</t>
  </si>
  <si>
    <t>Connor Zion</t>
  </si>
  <si>
    <t>http://cdn.abclocal.go.com/images/kabc/cms_exf_2007/news/local/orange_county/9261460_448x252.jpg</t>
  </si>
  <si>
    <t>200 Chandon</t>
  </si>
  <si>
    <t>Laguna Niguel</t>
  </si>
  <si>
    <t>92677</t>
  </si>
  <si>
    <t>Officials say deputies saw 21-year-old Connor Zion stab his mother and roommate.That's when one of the deputies got too close. One of the deputies was stabbed by the suspect, another deputy shot and fatally wounded the suspect.</t>
  </si>
  <si>
    <t>http://abclocal.go.com/story?section=news/local/orange_county&amp;id=9261436</t>
  </si>
  <si>
    <t>Eric William Allen Poore</t>
  </si>
  <si>
    <t>http://media.theindychannel.com/photo/2013/09/26/Eric_Poore_1380237373032_989482_ver1.0_640_480.jpg</t>
  </si>
  <si>
    <t>Andrews Blvd E Dr</t>
  </si>
  <si>
    <t>Plainfield</t>
  </si>
  <si>
    <t>46168</t>
  </si>
  <si>
    <t>Hendricks</t>
  </si>
  <si>
    <t>Plainfield Police Department</t>
  </si>
  <si>
    <t>Poore was fatally shot by police arriving on a burglary call, and shot the 27-year-old after he pointed a gun at an officer. Poore's accomplice was arrested and charged with multiple robbery counts.</t>
  </si>
  <si>
    <t>http://www.theindychannel.com/news/local-news/burglary-suspect-fatally-shot-by-police-identified</t>
  </si>
  <si>
    <t>Antonio Nash</t>
  </si>
  <si>
    <t>http://bloximages.newyork1.vip.townnews.com/stltoday.com/content/tncms/assets/v3/editorial/5/fa/5facddf2-5401-5929-a29e-ea2c95a495b2/52430451d8ad0.preview-300.jpg</t>
  </si>
  <si>
    <t>Grand Basin</t>
  </si>
  <si>
    <t>St. Charles County Sheriff's Office</t>
  </si>
  <si>
    <t>http://fox2now.com/2013/09/24/off-duty-sheriffs-deputy-shoots-kills-man-who-allegedly-tried-to-rob-him/</t>
  </si>
  <si>
    <t>Jeffrey Watts</t>
  </si>
  <si>
    <t>http://www.enterprisenews.com/storyimage/WL/20130925/NEWS/309259706/AR/0/AR-309259706.jpg&amp;MaxW=315&amp;MaxH=315</t>
  </si>
  <si>
    <t>Thatcher Street</t>
  </si>
  <si>
    <t>East Bridgewater</t>
  </si>
  <si>
    <t>02333</t>
  </si>
  <si>
    <t>Watts robbed a CVS store at gunpoint then led police in a high-speed chase through Brockton, Whitman and East Bridgewater. Witnesses describe a lengthy gun battle with 30 or 40 rounds in multiple volleys, Watts firing a shotgun at officers from multiple agencies. The chase ended with Watts shot to death.</t>
  </si>
  <si>
    <t>http://www.boston.com/metrodesk/2013/09/23/suspect-wounded-after-gunfire-exchanged-brockton-area-police-chase/Yb1fAdD313eSbWwhRfOYBM/story.html</t>
  </si>
  <si>
    <t>Kenneth Robert Sprankle</t>
  </si>
  <si>
    <t>http://media2.abcactionnews.com//photo/2013/09/24/WFTS-_Kenneth_Sprankle_Mug_20130924105957_320_240.JPG</t>
  </si>
  <si>
    <t>4th St N &amp; Central Ave</t>
  </si>
  <si>
    <t>33701</t>
  </si>
  <si>
    <t>St. Petersburg Police Department</t>
  </si>
  <si>
    <t>Two officers arrived and ordered Kenneth Sprankle, 27, to drop his weapon. But according to police, instead of dropping the ax, he ran toward one of the officers, yelling unintelligible statements. Multiple shots were fired. Sprankle was pronounced dead at the scene by paramedics.</t>
  </si>
  <si>
    <t>http://www.tampabay.com/news/publicsafety/crime/ax-wielding-man-shot-by-st-pete-police-had-history-of-mental-health-issues/2143608</t>
  </si>
  <si>
    <t>Breanne Michelle Sharpe</t>
  </si>
  <si>
    <t>http://www.krcrtv.com/image/view/-/22090038/highRes/1/-/maxh/360/maxw/640/-/d3mcnwz/-/Breanne-Sharpe-pic.jpg</t>
  </si>
  <si>
    <t>East 8th St &amp; Vista Verde Ave</t>
  </si>
  <si>
    <t>Chico</t>
  </si>
  <si>
    <t>Chico Police Department</t>
  </si>
  <si>
    <t>Deceased reversed car towards an officer, then u-turned vehicle, striking tree and police car. Five officers fired on car, stating fear for their lives.</t>
  </si>
  <si>
    <t>http://www.chicoer.com/breakingnews/ci_24157652/woman-shot-by-chico-officers-identified</t>
  </si>
  <si>
    <t>Northwood</t>
  </si>
  <si>
    <t>Mark Andrew Reed</t>
  </si>
  <si>
    <t>6333 East Colfax Ave</t>
  </si>
  <si>
    <t>80220</t>
  </si>
  <si>
    <t>A man allegedly robbed a bank teller and was leaving the bank when he pointed what appeared to be a weapon at the uniformed off-duty officer paid to stand guard outside the bank. That officer shot and killed him.</t>
  </si>
  <si>
    <t>David James Ward</t>
  </si>
  <si>
    <t>4040 Duquesne Avenue</t>
  </si>
  <si>
    <t>Culver City</t>
  </si>
  <si>
    <t>90232</t>
  </si>
  <si>
    <t>Culver City Police Department</t>
  </si>
  <si>
    <t>Ward, who has homeless, was fatally shot after walking into the Culver City police headquarters and announcing he had a gun.</t>
  </si>
  <si>
    <t>Tel Levi Rodgers</t>
  </si>
  <si>
    <t>http://www.ricefuneralservice.com/image.ashx?ihcparams=decedent%7c128%7c179%7c%7cFalse&amp;ihfparams=%5e*%7e*5c60efdid%2c3a2bb1f6-9773-4c96-b4c8-0d5ab541e216_*%7e*5c60ef%5e*%7e*0bbac0diid%2cdcc91b68-9e4b-47ad-b079-369ce711f4a8_*%7e*0bbac0</t>
  </si>
  <si>
    <t>5835 S 33rd W Ave</t>
  </si>
  <si>
    <t>74107</t>
  </si>
  <si>
    <t>The man who would later be shot fled on foot, and Trooper Raines pursued him for about half a mile. The trooper caught up, and he and the man got into another altercation and the man reached for the trooper's gun according to the OHP. Trooper Raines fired twice, hitting Rodgers in the chest and the head.</t>
  </si>
  <si>
    <t>http://www.tulsaworld.com/news/crimewatch/details-about-fatal-shooting-involving-state-trooper-emerge/article_86d9adb8-b88c-5492-8bc4-cf796a2618a3.html</t>
  </si>
  <si>
    <t>Steven Byrdo</t>
  </si>
  <si>
    <t>http://tribwxin.files.wordpress.com/2013/09/steven-byrdo-mug.jpg?w=307&amp;h=173</t>
  </si>
  <si>
    <t>6720 Eagle Pointe Dr N</t>
  </si>
  <si>
    <t>Byrdo was holding his girlfriend hostage. An officer entered Brydos apartment. Byrdo fatally shot the officer, but the officer was able to fire a few shots at Byrdo. Another officer encountered Byrdo at the door - they exchanged gunfire. Byrdo was killed.</t>
  </si>
  <si>
    <t>http://fox59.com/2013/09/20/new-details-of-officers-deadly-encounter-with-gunman/</t>
  </si>
  <si>
    <t>Carlos Fuentes</t>
  </si>
  <si>
    <t>Hawthorne Rd &amp; Heather Ave</t>
  </si>
  <si>
    <t>Ivanhoe</t>
  </si>
  <si>
    <t>93235</t>
  </si>
  <si>
    <t>Fuentes, who was wanted on a homicide charge, was fatally shot by a deputy after the 20-year-old allegedly pulled out a handgun while being chased by police.</t>
  </si>
  <si>
    <t>http://www.tularesheriff.info/news.php?p=13</t>
  </si>
  <si>
    <t>Misraim Nathaniel Cisneros</t>
  </si>
  <si>
    <t>9801 Airline Drive</t>
  </si>
  <si>
    <t>77037</t>
  </si>
  <si>
    <t>Volunteer Reserve Deputy Lt. Jimmy Rollins responded to a call from a pawnshop that stated a man "may have been casing the place for a robbery." Rollins asked the man for ID after he left the building, then followed him to his vehicle. Cisneros allegedly "reached into the vehicle, produced a handgun from behind his waistband, pointed it at the deputy and fired twice." Rollins shot him twice, killing him.</t>
  </si>
  <si>
    <t>http://www.yourhoustonnews.com/cypresscreek/news/hcso-identifies-suspect-shot-by-reserve-deputy/article_662c87d6-2154-11e3-b81b-001a4bcf887a.html</t>
  </si>
  <si>
    <t>5400 W Adams Blvd</t>
  </si>
  <si>
    <t>An unnamed Hispanic man was fatally shot by police after he allegedly drew a gun on officers.</t>
  </si>
  <si>
    <t>http://www.lapdonline.org/newsroom/news_view/54498</t>
  </si>
  <si>
    <t>Ruben Ramos-Escobedo</t>
  </si>
  <si>
    <t>West Adams Boulevard &amp; Hauser Boulevard</t>
  </si>
  <si>
    <t>Not reported</t>
  </si>
  <si>
    <t>Ruben Ramos-Escobedo, a 59-year-old Latino male, died after being shot in West Adams, according to Los Angeles County coroner's records.</t>
  </si>
  <si>
    <t>Larry Nortonsen</t>
  </si>
  <si>
    <t>48 S. Park Avenue</t>
  </si>
  <si>
    <t>Winter Garden</t>
  </si>
  <si>
    <t>34787</t>
  </si>
  <si>
    <t>Winter Garden Police Department</t>
  </si>
  <si>
    <t>An officer responding to a report of a stabbing reached the third floor of an apartment building and encountered a man running toward him. He shot Nortonsen once in the chest.</t>
  </si>
  <si>
    <t>Derek Deandre Walker</t>
  </si>
  <si>
    <t>http://cdn.abclocal.go.com/images/wtvd/cms_exf_2007/news/local/9252871_600x338.jpg</t>
  </si>
  <si>
    <t>201 Corcoran St.</t>
  </si>
  <si>
    <t>A 26-year-old man who was shot to death by police in downtown Durham Tuesday afternoon posted on his Facebook page before the fatal standoff that he was upset about a custody dispute over his son and that he hoped to die soon. Investigators say Derek Deandre Walker walked into downtown Durham's CCB Plaza on Corcoran Street shortly after 4 p.m., distraught, waving a gun and shouting. WRAL News video from the scene showed what appeared to be Walker repeatedly saying "shoot me" while pointing his gun at officers. Negotiations failed, and the standoff ended about an hour later with police Cpl. R. C. Swartz firing at Walker.</t>
  </si>
  <si>
    <t>http://www.wral.com/man-killed-in-durham-police-standoff-snapped-close-friend-says/12899940/</t>
  </si>
  <si>
    <t>Charles Adrien Martin</t>
  </si>
  <si>
    <t>http://d3trabu2dfbdfb.cloudfront.net/2/4/2425110_150x150.jpeg</t>
  </si>
  <si>
    <t>117 Meadowview Cir</t>
  </si>
  <si>
    <t>Judsonia</t>
  </si>
  <si>
    <t>72081</t>
  </si>
  <si>
    <t>Martin engaged in a prolonged standoff with a state police SWAT team after he threatened a neighbor and fired a gun at an officer. The 40-year-old and officers exchanged gunfire, fatally striking Martin.</t>
  </si>
  <si>
    <t>http://www.arkansasonline.com/news/2013/sep/17/police-fatally-shoot-gunman-white-county-standoff/?f=crime</t>
  </si>
  <si>
    <t>Aaron Alexis</t>
  </si>
  <si>
    <t>http://www.washingtonpost.com/rf/image_606w/2010-2019/WashingtonPost/2013/09/16/Local/Images/Was7914440.jpg</t>
  </si>
  <si>
    <t>1014 N St. SE</t>
  </si>
  <si>
    <t>20374</t>
  </si>
  <si>
    <t>Alexis entered the Naval Sea Systems Command Center and killed 12 people and injured three others. He was fatally shot by police in response to the shooting.</t>
  </si>
  <si>
    <t>http://www.washingtonpost.com/politics/aaron-alexis-34-is-dead-gunman-in-navy-yard-shooting-authorities-say/2013/09/16/dcf431ce-1f07-11e3-8459-657e0c72fec8_story.html</t>
  </si>
  <si>
    <t>Mitchell Alanda St. Clair Jr.</t>
  </si>
  <si>
    <t>http://www.wach.com/uploadedImages/wach/News/Stories/mitchell%20st.%20clair.jpg?w=440&amp;h=330&amp;aspect=nostretch</t>
  </si>
  <si>
    <t>East Boundary Road and Faraway Drive</t>
  </si>
  <si>
    <t>Richland County Sheriff's Department</t>
  </si>
  <si>
    <t>St. Clair ran fled from sheriff's deputies during an attempted traffic stop, led them on a chase and finally pulled over and fired shots at deputies. Deputies returned fire and fatally shot St. Clair.</t>
  </si>
  <si>
    <t>http://www.wistv.com/story/23448495/suspect-shot-killed-following-chase-on-e-boundary-road</t>
  </si>
  <si>
    <t>Jorge Joel Ramirez</t>
  </si>
  <si>
    <t>https://scontent-a.xx.fbcdn.net/hphotos-xfa1/v/t1.0-9/1661269_741760599168915_2143094464_n.jpg?oh=99cd0ac7a29ad85dcfa3e1fff01b002a&amp;oe=54DC6029</t>
  </si>
  <si>
    <t>5101 California Ave</t>
  </si>
  <si>
    <t>93309</t>
  </si>
  <si>
    <t>Jorge Ramirez was working as an informant for the BPD. He let them know the location that he and the WANTED suspect, Justin Harger, were going to be and when police stopped their vehicle Ramirez attempted to exit the vehicle. Police ordered him to stay, then Harger opened fire on the officers and both men were shot dead.</t>
  </si>
  <si>
    <t>http://www.bakersfieldcalifornian.com/local/x196570287/Shooting-leaves-2-dead-2-officers-injured-in-hotel-parking-lot</t>
  </si>
  <si>
    <t>Justin Bryan Harger</t>
  </si>
  <si>
    <t>http://media.bakersfieldnow.com/images/130916-Justin-Bryan-Harger.jpg</t>
  </si>
  <si>
    <t>Police fatally shot Harger and Jorge Ramirez after an attempted traffic stop turned into a gunfight. The shooting deaths of the two were ruled justified.</t>
  </si>
  <si>
    <t>http://www.kerngoldenempire.com/story/internal-review-board-says-deadly-officer-involved/d/story/ZjoYHC4Waket9Tjj6LpU9A</t>
  </si>
  <si>
    <t>R.T. McGinty</t>
  </si>
  <si>
    <t>http://archive.azcentral.com/ic/imgs/avondale-mcginty.jpg</t>
  </si>
  <si>
    <t>S 3rd St &amp; E Rose Ln</t>
  </si>
  <si>
    <t>Officers stopped McGinty for an unknown reason. When they stepped out of their vehicle, he allegedly began shooting at them. He hit one officer in the face, injuring him. Officers then shot and killed McGinty.</t>
  </si>
  <si>
    <t>http://archive.azcentral.com/community/swvalley/articles/20130914avondale-officer-shot.html</t>
  </si>
  <si>
    <t>Jonathan A. Ferrell</t>
  </si>
  <si>
    <t>http://binaryapi.ap.org/7004c4c6e941450b9f8a81199152563d/460x.jpg</t>
  </si>
  <si>
    <t>7500 Reedy Creek Road</t>
  </si>
  <si>
    <t>Police were responding to a 911 call of a suspicious man outside a woman's home. Three officers arrived, and Ferrell allegedly began running toward them. One officer fired a stun gun, which police say malfunctioned, and then Officer Randall Kerrick shot Ferrell several times, killing him. Ferrell was unarmed, and had apparently walked to the woman's house from his severely crashed vehicle nearby and was looking for help. Officer Kerrick has been charged with voluntary manslaughter.</t>
  </si>
  <si>
    <t>http://www.nytimes.com/2014/01/28/us/charlotte-police-officer-indicted-in-shooting.html?_r=0</t>
  </si>
  <si>
    <t>Courtney Andrew Hollomon</t>
  </si>
  <si>
    <t>5004 Ferrell Parkway</t>
  </si>
  <si>
    <t>23464</t>
  </si>
  <si>
    <t>An off-duty Portsmouth police officer fatally shot Hollomon as the 30-year-old attempted to rob a bank in Virginia City. The officer was cleared of any wrongdoing.</t>
  </si>
  <si>
    <t>http://www.vbgov.com/news/pages/selected.aspx?release=1670</t>
  </si>
  <si>
    <t>Samuel Frazier</t>
  </si>
  <si>
    <t>Amy Street</t>
  </si>
  <si>
    <t>31406</t>
  </si>
  <si>
    <t>Savannah-Chatham Police Department</t>
  </si>
  <si>
    <t>Police went to Frazier's home in response to an altercation that had occurred at a business earlier in the day. Frazier was shot following a standoff with officers at his home.</t>
  </si>
  <si>
    <t>http://savannahnow.com/crime/2013-09-15/savannah-chatham-police-fatally-shoot-armed-man-gbi-investigating#.UjXXH9Iwd9Z</t>
  </si>
  <si>
    <t>Lance L. Danielson</t>
  </si>
  <si>
    <t>http://archive.azcentral.com/ic/imgs/lance-danielson.jpg</t>
  </si>
  <si>
    <t>3535 West Tierra Buena Ln</t>
  </si>
  <si>
    <t>85053</t>
  </si>
  <si>
    <t>Police responded to a possible break-and-enter by 4 people at a condo. While the group allegedly talked to police, Danielson reportedly said he didn't want to go back to prison and removed a gun from his backpack. Officers "began to negotiate with him" and when he refused to put down his weapon, a SWAT team was called. They negotiated for about 3 hours until the "situation deteriorated" and they attempted to arrest him. "Gunfire was exchanged" and Danielson was shot and killed.</t>
  </si>
  <si>
    <t>http://www.azcentral.com/news/articles/20130915police-man-dead-officers-shot-following-hour-phoenix-standoff.html</t>
  </si>
  <si>
    <t>Hector Jimenez</t>
  </si>
  <si>
    <t>http://cdn.abclocal.go.com/images/kabc/cms_exf_2007/news/local/inland_empire/9248793_600x338.jpg</t>
  </si>
  <si>
    <t>http://www.riversideca.gov/CPRC/Reports/02-07-14_CPRC_13_AR_Draft_v1.pdf</t>
  </si>
  <si>
    <t>Austin Del Castillo</t>
  </si>
  <si>
    <t>http://kpho.images.worldnow.com/images/23416466_BG3.JPG</t>
  </si>
  <si>
    <t>University Drive &amp; Mill Ave</t>
  </si>
  <si>
    <t>Police responded to reports of a man threatening people on Mill Ave with a box cutter. He was found in front of a Chili's restaurant. Castillo would not comply with police demands to drop his weapon. He lunged at officers with the box cutter. A Police negotiator arrived and attempted to talk with the agitated Castillo. He charged an officer who fired his weapon striking him. An eye witness challenges the police account claiming Castillo was 10-15 feet from officers when he was shot. Austin Del Castillo died days later in the hospital.</t>
  </si>
  <si>
    <t>http://www.kpho.com/story/23416466/box-cutter-wielding-man-shot-by-temp-police-dies</t>
  </si>
  <si>
    <t>John Schultz</t>
  </si>
  <si>
    <t>27500 Medford Way</t>
  </si>
  <si>
    <t>Menifee</t>
  </si>
  <si>
    <t>Menifee Police Department</t>
  </si>
  <si>
    <t>Police responding to a possible suicide call fatally shot Schultz after the 66-year-old refused orders to lower a handgun and then pointed the weapon at officers.</t>
  </si>
  <si>
    <t>http://patch.com/california/lakeelsinore-wildomar/coroner-identifies-menifee-man-killed-by-police-gunfire</t>
  </si>
  <si>
    <t>William Ranaldo Brown Jr.</t>
  </si>
  <si>
    <t>http://www.trbimg.com/img-5230dfd2/turbine/bal-baltimore-mug-shots-pg-010/500/281x500</t>
  </si>
  <si>
    <t>1900 Copeland St</t>
  </si>
  <si>
    <t>Annapolis</t>
  </si>
  <si>
    <t>21401</t>
  </si>
  <si>
    <t>Annapolis Police Department</t>
  </si>
  <si>
    <t>Brown attacked his ex-girlfriend with a knife. An Annapolis police officer shot and killed Brown as a result. Brown's ex-girlfriend died from her injuries.</t>
  </si>
  <si>
    <t>http://www.baltimoresun.com/news/maryland/anne-arundel/annapolis/bs-md-ar-police-shooting-20130910-story.html#page=1</t>
  </si>
  <si>
    <t>Carlos Ernesto Oliva Sola</t>
  </si>
  <si>
    <t>http://media.nbclosangeles.com/images/1206*675/Carlos+Oliva+DIS.PNG</t>
  </si>
  <si>
    <t>Miller Ave &amp; E Almanza Ln</t>
  </si>
  <si>
    <t>Deputies were flagged by a bystander who reported a "man with gun" in the vicinity. They report that they saw Oliva on the street, and that when they confronted him he pointed a gun at them. Deputy Anthony Forlano shot and killed him. Oliva reportedly was not the man they were looking for, and the autopsy report shows he was shot eight times from behind. On 09/11/14 the family announced they will file a $10m wrongful death lawsuit against the LASD. They are requesting that Forlano, who has shot 7 people, be fired and brought to trial.</t>
  </si>
  <si>
    <t>http://www.nbclosangeles.com/news/local/Family-of-Man-Killed-by-LASD-Deputy-Filing-10-million-Lawsuit-274721541.html</t>
  </si>
  <si>
    <t>Daniel Richard Vasquez</t>
  </si>
  <si>
    <t>http://kltv.images.worldnow.com/images/2799162_G.jpg</t>
  </si>
  <si>
    <t>http://www.kltv.com/story/23394802/authorities-release-identity-of-man-killed-in-officer-involved-shooting</t>
  </si>
  <si>
    <t>141 Deer Run Road</t>
  </si>
  <si>
    <t>75156</t>
  </si>
  <si>
    <t>According to Henderson County Sheriff Ray Nutt, while executing the search warrant, a Henderson County Sheriff's Office Investigator was involved in a shooting.</t>
  </si>
  <si>
    <t>2000 Allen Parkway</t>
  </si>
  <si>
    <t>77019</t>
  </si>
  <si>
    <t>Police report that they followed a suspicious car and attempted to pull it over. They say the driver appeared to reach under his seat as if producing a weapon, then drove off firing a gun at them. He led them on a chase, firing at them, until the car crashed. The driver and passenger Stephanie Adams, 39, fled on foot. The man was shot and killed by Ofcrs. R. Rivas, C. Frazzini, V. Zaunbrecher and R. Gilchrest. The man's name may be Jerry Barnes.</t>
  </si>
  <si>
    <t>http://www.houstontx.gov/police/nr/2013/sep/nr090913-5.htm</t>
  </si>
  <si>
    <t>Shawn Evans</t>
  </si>
  <si>
    <t>4501 Torley St</t>
  </si>
  <si>
    <t>Pittsburg</t>
  </si>
  <si>
    <t>Monroe Isadore</t>
  </si>
  <si>
    <t>http://www.gannett-cdn.com/-mm-/81fe42d54e284297ad9bb802f98b838823639423/c=6-11-244-329&amp;r=537&amp;c=0-0-534-712/local/-/media/USATODAY/test/2013/09/11/1378920924000-monroe-isadore.jpg</t>
  </si>
  <si>
    <t>1411 W. 16th Ave.</t>
  </si>
  <si>
    <t>Pine Bluff</t>
  </si>
  <si>
    <t>71603</t>
  </si>
  <si>
    <t>Pine Bluff Police Department SWAT</t>
  </si>
  <si>
    <t>Police arrived at a residence in response to reports of a disturbance. Isadore confronted them with a handgun and retreated into a bedroom, firing on them when they attempted to enter. SWAT officers arrived as backup and, after failed negotiations, released gas into the room and broke down the door. Isadore fired on them as they entered, and they returned fire, killing him.</t>
  </si>
  <si>
    <t>http://www.huffingtonpost.com/2013/09/08/monroe-isadore-shootout_n_3889826.html</t>
  </si>
  <si>
    <t>Marlon Horton</t>
  </si>
  <si>
    <t>http://wfld.images.worldnow.com/images/4584705_G.jpg</t>
  </si>
  <si>
    <t>A sleeping Horton was asked to leave the lobby of a building by two security guards, one of which was an off-duty policeman. Officers alleged that Horton attacked them after leaving the building and urinating on a vehicle, and the off-duty policeman shot Horton after a short scuffle. Horton's brother filed a lawsuit against the city in August 2014, claiming the officers were overzealous in their conduct. The shooting is still under investigation by Chicago's Independent Police Review Authority.</t>
  </si>
  <si>
    <t>http://www.myfoxchicago.com/story/26378492/family-of-unarmed-man-fatally-shot-by-chicago-police-seeks-justice</t>
  </si>
  <si>
    <t>Moses Baeza</t>
  </si>
  <si>
    <t>N 10th St &amp; E Pierce St</t>
  </si>
  <si>
    <t>Officers responded after they received several calls about a man shooting a gun in the air. Martos said officers saw a gun in the suspect's hand as he started running southbound. Baeza ignored commands to drop the gun and pointed it at one of the officers. The officer fired at the suspect. Baeza fled and was later found dead in a yard.</t>
  </si>
  <si>
    <t>http://www.azfamily.com/news/Police-identify-man-found-dead-after-officer-involved-shooting-in-Phoenix-222990611.html</t>
  </si>
  <si>
    <t>John Edward Shanks</t>
  </si>
  <si>
    <t>http://wrcb.images.worldnow.com/images/23382781_SA.jpg</t>
  </si>
  <si>
    <t>1594 Lock and Dam Road</t>
  </si>
  <si>
    <t>37347</t>
  </si>
  <si>
    <t>Marion County Sheriff's Department</t>
  </si>
  <si>
    <t>Reports on events leading up to Shanks' death are varied and include attempted robbery, assault and sleeping on a porch. A deputy confronted him for an unknown reason, and Shanks fled into the woods. The deputy reports that when Shanks pointed a gun at him, he ordered him several times to drop the weapon. When Shanks did not comply, he shot and killed him.</t>
  </si>
  <si>
    <t>http://www.timesfreepress.com/news/2013/sep/07/breaking-one-killed-officer-involved-shooting/</t>
  </si>
  <si>
    <t>Lealann Russell Melder Cooley</t>
  </si>
  <si>
    <t>http://www.tampabay.com/resources/images/dti/rendered/2013/09/b4s_sphooting090813a_11464607_8col.jpg</t>
  </si>
  <si>
    <t>3311 40th St N</t>
  </si>
  <si>
    <t>33713</t>
  </si>
  <si>
    <t>The officers encountered Lealann Russell Melder Cooley when they went to check out a noise complaint. Cooley, 46, was sitting in his screened porch. Six officers approached as Cooley had a gun in his hand and a shotgun nearby. After retreating briefly to his home when officers challenged him, Cooley emerged with a rifle and pointed it at them. Several of the officers fired at Cooley, killing him.</t>
  </si>
  <si>
    <t>http://www.tampabay.com/news/publicsafety/crime/man-killed-after-pointing-rifle-at-st-petersburg-officers/2140569</t>
  </si>
  <si>
    <t>Devon Thomas Costa</t>
  </si>
  <si>
    <t>N Ventura Ave &amp; Fraser Ln</t>
  </si>
  <si>
    <t>93001</t>
  </si>
  <si>
    <t>Ventura County Sheriff's Office</t>
  </si>
  <si>
    <t>A police deputy fatally shot Costa after the 21-year-old threatened and then attacked a deputy using his fists.</t>
  </si>
  <si>
    <t>http://www.vcstar.com/news/suspect-threatened-deputy-was-attacked-by-police</t>
  </si>
  <si>
    <t>Charlie Christopher Bates</t>
  </si>
  <si>
    <t>http://www.trbimg.com/img-522bc0b5/turbine/os-charlie-christopher-bates-20130907/600/405x600</t>
  </si>
  <si>
    <t>6502 U.S. 301</t>
  </si>
  <si>
    <t>33610</t>
  </si>
  <si>
    <t>Bates sexually assaulted several women and terrorized party-goers before police found and began pursuing his vehicle. Police and Bates exchanged gunfire until the 24-year-old crashed his vehicle and was fatally shot by police.</t>
  </si>
  <si>
    <t>http://tbo.com/news/crime/shooting-of-usf-rampage-suspect-ruled-justified-20131004/</t>
  </si>
  <si>
    <t>Ray Anson Mitchell</t>
  </si>
  <si>
    <t>http://ak-cache.legacy.net/legacy/images/cobrands/mobile/photos/al0026901-1_161604.jpg?v=0x000000002e1a462c</t>
  </si>
  <si>
    <t>700 Bonneville Dr</t>
  </si>
  <si>
    <t>36695</t>
  </si>
  <si>
    <t>Mobile Police Department</t>
  </si>
  <si>
    <t>Police responding to a prowler call fatally shot Mitchell after the 37-year-old wrestled a taser from officers and attempted to use it on them.</t>
  </si>
  <si>
    <t>http://blog.al.com/live/2013/09/mobile_police_37-year-old_atte.html</t>
  </si>
  <si>
    <t>Domingo Soto</t>
  </si>
  <si>
    <t>http://www.gannett-cdn.com/-mm-/0618b07500109f5fc5d1c9782de9a41e3fbfe777/c=0-0-680-510&amp;r=x404&amp;c=534x401/http/wfaa-download.edgesuite.net/archive/images/domingosoto.jpg</t>
  </si>
  <si>
    <t>500 S Buckner Blvd</t>
  </si>
  <si>
    <t>Dallas and Garland police officers opened fire Friday afternoon on a man suspected of shooting his ex-girlfriend's boyfriend hours earlier at a Garland QuikTrip gas station. Police say the suspect, Dallas resident Domingo Soto, died of a self-inflicted gunshot wound.</t>
  </si>
  <si>
    <t>http://www.wfaa.com/story/news/crime/2014/08/19/14093996/</t>
  </si>
  <si>
    <t>http://diversitynewsmagazine.com/wp-content/uploads/2013/09/Michael-Deluca-aka-Duke-De-Luca.jpg</t>
  </si>
  <si>
    <t>Port Hueneme</t>
  </si>
  <si>
    <t>93041</t>
  </si>
  <si>
    <t>Port Hueneme Police Department</t>
  </si>
  <si>
    <t>Michael "The Duke" DeLuca</t>
  </si>
  <si>
    <t>Police said De Luca's pickup apparently hit a palm tree on the sand near a parking lot. Police said De Luca was uncooperative and told them he had a handgun. Officers shot and killed De Luca after using a Taser stun gun on him, which was ineffective.</t>
  </si>
  <si>
    <t>http://www.vcstar.com/news/2013/sep/06/person-shot-and-killed-by-port-hueneme-police/</t>
  </si>
  <si>
    <t>Kendrick Lee Amest</t>
  </si>
  <si>
    <t>9800 Ribbonwood St</t>
  </si>
  <si>
    <t>77078</t>
  </si>
  <si>
    <t>Deputies saw a van reported fleeing from a bank robbery and pursued it. Shots were reportedly fired from the van during the pursuit. When the van crashed, Amest and four other men fled on foot. One man reportedly pointed a gun and Amest reportedly shot at the deputies, who returned fire, wounding the man and killing Amest. He may have been shot in the back.</t>
  </si>
  <si>
    <t>http://thepolicenews.net/default.aspx?newsletterid=39845&amp;act=Newsletter.aspx</t>
  </si>
  <si>
    <t>Denis Reynoso</t>
  </si>
  <si>
    <t>http://bloximages.chicago2.vip.townnews.com/itemlive.com/content/tncms/assets/v3/editorial/6/1e/61e4206e-19c3-11e3-a26b-0019bb2963f4/522e886ae0a32.image.jpg</t>
  </si>
  <si>
    <t>01905</t>
  </si>
  <si>
    <t>Veteran Reynoso was shot to death by a local officer in his own apartment, in front of his five-year-old son. Police had responded to a report of Reynoso acting erratically and claimed that the victim had managed to grab one of the officer's pistols and fired two shots. Subsequent investigation found grave problems with the police account, and called into question the DA's exoneration of these officers and many others.</t>
  </si>
  <si>
    <t>http://baystateexaminer.com/records-raise-new-questions-fatal-police-shooting-denis-reynoso/</t>
  </si>
  <si>
    <t>Kenneth Lamar Bedgood</t>
  </si>
  <si>
    <t>http://thumbs.mugshots.com/gallery/images/2/e2/c7/Kenneth-Lamar-Bedgood_mugshot.400x800.jpg</t>
  </si>
  <si>
    <t>1417 Azalea Road</t>
  </si>
  <si>
    <t>36693</t>
  </si>
  <si>
    <t>Police responding to a stolen car call fatally shot Bedgood after the 36-year-old opened fire at officers.</t>
  </si>
  <si>
    <t>http://blog.al.com/live/2013/09/police_id_26-year-old_killed_f.html</t>
  </si>
  <si>
    <t>An officer fatally shot a man after the man shot and wounded the officer.</t>
  </si>
  <si>
    <t>http://www.ajc.com/news/news/fulton-police-officer-shot-near-college-park/nZnPb/</t>
  </si>
  <si>
    <t>Dontre Bennett</t>
  </si>
  <si>
    <t>http://cbsbaltimore.files.wordpress.com/2013/09/donte-bennett.jpg?w=300</t>
  </si>
  <si>
    <t>21231</t>
  </si>
  <si>
    <t>Four undercover officers say they "had intelligence" that Bennett was about to commit a crime, spotted him, and chased him. They report that he fell after jumping a fence and during a struggle he tried to grab a gun from his hip/belt buckle area. Multiple witnesses report that Bennett had only a cell phone, that he had his hands in the air after he was boxed in by the officers, and that they beat and shot him after they had apprehended him.</t>
  </si>
  <si>
    <t>http://www.wbaltv.com/news/maryland/baltimore-city/police-man-dies-in-officerinvolved-shooting/21783710</t>
  </si>
  <si>
    <t>Juan Carlos Ruelas</t>
  </si>
  <si>
    <t>http://cdn.abclocal.go.com/images/kgo/cms_exf_2007/news/local/south_bay/9240630_600x338.jpg</t>
  </si>
  <si>
    <t>800 West Ahwanee Ave</t>
  </si>
  <si>
    <t>Police report that during an undercover drug bust in a parking lot, Ruelas seemed to be high. While sitting in his truck, he reportedly told the undercover buyer, Det. Travis Niesen, that he had a gun and then "reached for his waist." Niesen shot him, then Dets. Cory Morgan, Justin Mead and Jake Thompson, Sgt. Greg Hill, and Deputy Sheriff Tyler Fernandes opened fire. Ruelas was unarmed and shot 29 times.</t>
  </si>
  <si>
    <t>http://sanfrancisco.cbslocal.com/2014/09/10/officers-cleared-in-2013-fatal-shooting-of-drug-suspect-in-sunnyvale-officer-involved-shooting-juan-carlos-ruelas-methamphetamine-bust/</t>
  </si>
  <si>
    <t>Henry Montgomery</t>
  </si>
  <si>
    <t>Mattox Rd</t>
  </si>
  <si>
    <t>Tupelo</t>
  </si>
  <si>
    <t>38801</t>
  </si>
  <si>
    <t>Verona Police Department</t>
  </si>
  <si>
    <t>Police responding to a disturbance call fatally shot Montgomery after a traffic stop and altercation. A grand jury declined to charge the involved officers with a crime.</t>
  </si>
  <si>
    <t>Brian Anthony Costley</t>
  </si>
  <si>
    <t>2665 Baltimore Pike</t>
  </si>
  <si>
    <t>17331</t>
  </si>
  <si>
    <t>West Manheim Police Department</t>
  </si>
  <si>
    <t>Costley was wanted in Carroll County, Md., on an outstanding warrant in his pending DUI case, police said. Costley was outside when officers first made contact with him, but he started walking toward his home, state police said. Despite being ordered to stop, Costley went inside, then turned around and opened fire on the officers with a handgun, police said. One officer returned fire while retreating to a safe position, according to police. When QRT members eventually forced their way into Costley's home hours later, they found him dead inside, police said.</t>
  </si>
  <si>
    <t>http://www.yorkdispatch.com/ci_24551202</t>
  </si>
  <si>
    <t>619 Vine St</t>
  </si>
  <si>
    <t>Los Banos</t>
  </si>
  <si>
    <t>93635</t>
  </si>
  <si>
    <t>Los Banos Police Department</t>
  </si>
  <si>
    <t>The man's 80-year-old father called police to report that his son was attacking him. When an officer arrived, the man reportedly stabbed him in the arm with a pair of scissors and tried to grab his gun. The officer reports that they struggled over the gun, and he then shot the man in the shin and the chest, killing him.</t>
  </si>
  <si>
    <t>http://www.kmph.com/story/23324320/los-banos-officer-on-leave-following-shooting</t>
  </si>
  <si>
    <t>Philip E. Rank</t>
  </si>
  <si>
    <t>500 St Thomas Williamson Rd</t>
  </si>
  <si>
    <t>St. Thomas</t>
  </si>
  <si>
    <t>17252</t>
  </si>
  <si>
    <t>Police said Rank, who was armed, refused to surrender and defied a police command not to leave the residence. He was shot after he left the residence with "multiple" weapons and fled toward the perimeter of the scene, where police were stationed. He was shot and killed.</t>
  </si>
  <si>
    <t>http://articles.herald-mail.com/2013-09-07/news/41860287_1_troopers-labor-day-shooting-pennsylvania-state-police</t>
  </si>
  <si>
    <t>Jeffrey S. Frump</t>
  </si>
  <si>
    <t>http://media.graytvinc.com/images/353*198/FRUMP+WEB.jpg</t>
  </si>
  <si>
    <t>99 Orleans Ct</t>
  </si>
  <si>
    <t>Gray</t>
  </si>
  <si>
    <t>40734</t>
  </si>
  <si>
    <t>http://www.thetimestribune.com/news/local_news/article_0fa340cf-f113-501b-882e-f515735af6b4.html</t>
  </si>
  <si>
    <t>Seth Victor</t>
  </si>
  <si>
    <t>http://ak-cache.legacy.net/legacy/images/cobrands/hartfordcourant/photos/24c75e0e-2ddf-458a-b987-3ec2b53ac285.jpgx?w=130&amp;h=180&amp;option=1&amp;v=0x000000002b8a634a</t>
  </si>
  <si>
    <t>141 Broad Street</t>
  </si>
  <si>
    <t>New Britain</t>
  </si>
  <si>
    <t>06053</t>
  </si>
  <si>
    <t>New Britain Police Department</t>
  </si>
  <si>
    <t>Municipal police were called to an evening disturbance. Victor was found throwing furniture and other items from a third-story apartment house window. After several hours, Victor, described by police as irrational and despondent, was tasered. He developed "a medical issue" and was taken to a local hospital where he died. He had been unarmed.</t>
  </si>
  <si>
    <t>http://www.ct.gov/despp/cwp/view.asp?Q=531172</t>
  </si>
  <si>
    <t>Norman Oosterbroek</t>
  </si>
  <si>
    <t>http://heavyeditorial.files.wordpress.com/2013/09/norman-oosterbroek-9-5.jpg?w=640&amp;h=360</t>
  </si>
  <si>
    <t>13205 Old Cutler Road</t>
  </si>
  <si>
    <t>Pinecrest</t>
  </si>
  <si>
    <t>33156</t>
  </si>
  <si>
    <t>Pinecrest Police Department</t>
  </si>
  <si>
    <t>Norman Oosterbroek, a 280-pound former bodyguard for Lady Gaga, died after Pinecrest police Tasered him while he was gobbling suspected drugs.</t>
  </si>
  <si>
    <t>http://blogs.miaminewtimes.com/riptide/2013/09/naked_man_tasered_and_killed_i.php</t>
  </si>
  <si>
    <t>Ronald Wesley Sexton</t>
  </si>
  <si>
    <t>http://www.tampabay.com/resources/images/dti/rendered/2013/09/b4s_spshooting090313b_11424583_8col.jpg</t>
  </si>
  <si>
    <t>4412 10th Ave. N</t>
  </si>
  <si>
    <t>Saxton was arguing with his neighbor about their dogs barking. He had a gun in his waist band and a neighbor called the police. When the officers arrived he pointed the weapon at the officers and they shot and killed him. His 10 year old son was a witness.</t>
  </si>
  <si>
    <t>http://www.tampabay.com/news/publicsafety/crime/st-pete-police-shoot-kill-armed-man/2139594</t>
  </si>
  <si>
    <t>Jaime Benavidez</t>
  </si>
  <si>
    <t>http://www.elkharttruth.com/image/2013/09/06/800x800_b0/0905-OBT-BENAVIDEZ-JAIME-UNK.jpg</t>
  </si>
  <si>
    <t>A neighbor called 911 when she saw a man breaking into the house next door. When the officers arrived they witnessed Benavidez in possession of a handgun. They ordered him to put it down, he fled. Officers cornered him in front of a near by home. they ordered him to drop his weapon, he raised it, and the officers all shot and killed him. It was later determined that it was his sisters house, and he was not breaking into the home.</t>
  </si>
  <si>
    <t>http://www.elkhartcountyprosecutor.com/news/press-releases/prosecuting-attorney-police-action-shooting-jaime-benavidez-was-reasonable-use</t>
  </si>
  <si>
    <t>9290 Woodfair</t>
  </si>
  <si>
    <t>Officer Medina and a second officer responded to a disturbance with a weapon (gun) call at an apartment complex. Upon arrival, several males identified the suspect and informed officers he was armed with a gun. The officers gave verbal commands to the suspect to remove his hands from his pockets. The suspect pulled a firearm from his pocket. The officers then gave verbal commands for the suspect to drop the weapon, but he refused and instead raised the gun toward officers. At that time, Officer Medina, fearing for his life and that of his partner, shot and killed the subject.</t>
  </si>
  <si>
    <t>http://www.chron.com/news/houston-texas/article/HPD-shooting-under-investigation-4781326.php?cmpid=htx</t>
  </si>
  <si>
    <t>Brian Phillip Tacadena</t>
  </si>
  <si>
    <t>http://www.noozhawk.com/images/uploads/Brian-Tacadena-Mug-200.jpg</t>
  </si>
  <si>
    <t>De La Vina St. and W. Victoria St.</t>
  </si>
  <si>
    <t>93101</t>
  </si>
  <si>
    <t>A man was stopped because he was walking around with a 6-inch knife. When the officer ordered the weapon be put down twice, the man walked torward the officer. The officer said, "If you do not stop I will shoot." The man replied, "I know." And then the officer fired his weapon.</t>
  </si>
  <si>
    <t>http://www.missionandstate.org/special-features/the-people-vs-brian-tacadena/</t>
  </si>
  <si>
    <t>Michael Troy Swatosh</t>
  </si>
  <si>
    <t>http://bloximages.newyork1.vip.townnews.com/tulsaworld.com/content/tncms/assets/v3/editorial/5/2a/52ab54d4-fea5-5829-bec2-6c5960f6853b/53f57baa06a06.preview-300.jpg</t>
  </si>
  <si>
    <t>34 South Sheridan Road</t>
  </si>
  <si>
    <t>http://www.newson6.com/story/23311792/off-duty-trooper-shoots-kills-man-at-tulsa-hotel</t>
  </si>
  <si>
    <t>Casey Nicholas Smith</t>
  </si>
  <si>
    <t>http://wcsc.images.worldnow.com/images/23317632_BG1.jpg</t>
  </si>
  <si>
    <t>1310 Williamston Road</t>
  </si>
  <si>
    <t>29621</t>
  </si>
  <si>
    <t>Tilley said deputies and police went to the door closest to the stolen vehicle. After knocking on the door, two people came outside and told the law officers that the man they wanted was under the bed, Tilley said. Tilley said deputies and police asked Smith to come outside, but Smith refused. Tilley said that a short time later, the officers heard gunfire. Tilley said the officers were lifting up the bed when Smith shot at them with another gun he had. Four deputies and two police officers fired back.</t>
  </si>
  <si>
    <t>http://www.live5news.com/story/23317632/cops-upstate-carjacker</t>
  </si>
  <si>
    <t>Rickey Rozelle</t>
  </si>
  <si>
    <t>http://thumbs.mugshots.com/gallery/images/2/d3/4d/Rickey-Rozelle_mugshot.400x800.jpg</t>
  </si>
  <si>
    <t>The off-duty officer lives in the area and saw a man on the porch of a vacant apartment about 11:30 p.m. The officer called 911 twice during the incident, according to a union spokesman. He called out to the man to see what he was doing and the man replied "You don't want no part of me." The man had a bag or sack over his shoulder and his hand on his waistband, Camden said, but repeatedly ignored the officer's commands to come down after he identified himself as an officer. The man turned down a gangway and started to walk away, but the officer told him there was no way out of that gangway. The man, in a dark gangway, grabbed his waistband and threatened to kill the officer while continuing to ignore the officer's demands to show his hands. The officer opened fire after the man grabbed his waistband. He died at the scene, and the officer was not injured.</t>
  </si>
  <si>
    <t>Vergel Ricafrente Worrell</t>
  </si>
  <si>
    <t>http://extras.mnginteractive.com/live/media/site571/2013/0903/20130903__0904ucshot~1_200.JPG</t>
  </si>
  <si>
    <t>Worrell reportedly fired 10 to 15 gunshots in a neighborhood in Union City. He refused to comply with the officers' demand to drop the rifle and was then shot.</t>
  </si>
  <si>
    <t>http://www.contracostatimes.com/breaking-news/ci_24015226/union-city-police-release-911-tapes-from-fatal</t>
  </si>
  <si>
    <t>Mathew Jackson</t>
  </si>
  <si>
    <t>http://www.policestateusa.com/wp-content/uploads/2013/09/MathewJackson.jpg</t>
  </si>
  <si>
    <t>7196 North Loop 1604 E</t>
  </si>
  <si>
    <t>78216</t>
  </si>
  <si>
    <t>Jackson was shot and killed by an off-duty sheriff's deputy after a minor car collision escalated into shooting. Jackson was unarmed at the time of the shooting. The deputy was indicted for murder in February 2014.</t>
  </si>
  <si>
    <t>http://www.kens5.com/story/news/local/2014/06/27/10661966/</t>
  </si>
  <si>
    <t>Jaime Ceballos</t>
  </si>
  <si>
    <t>http://cbsdenver.files.wordpress.com/2013/08/jaime-ceballoscropped.jpg?w=620&amp;h=349&amp;crop=1</t>
  </si>
  <si>
    <t>2600 E 96th Pl</t>
  </si>
  <si>
    <t>Officers were called on a report of a drunk man threatening people at a party with a baseball bat. When officers arrived, they found he was standing on the front porch of a home, armed with a baseball bat and a knife. Police said the man refused to put the knife and bat down and officers first tried to tase him. He was then shot and killed when he walked toward police with the weapons.</t>
  </si>
  <si>
    <t>http://denver.cbslocal.com/2013/08/31/neighbor-calls-man-killed-by-thornton-police-a-nice-hardworking-man/</t>
  </si>
  <si>
    <t>Kenneth Thompson</t>
  </si>
  <si>
    <t>1435 East Blvd</t>
  </si>
  <si>
    <t>Geneva on the Lake Police Department</t>
  </si>
  <si>
    <t>Police broke up a fight between Thompson and a woman, when the 47-year-old pointed a gun at an off-duty officer. The officer ordered Thompson to drop the weapon and shot him after he refused.</t>
  </si>
  <si>
    <t>http://www.newsnet5.com/dpp/news/local_news/cleveland_metro/cleveland-security-guard-shoots-and-kills-a-man-after-breaking-up-a-fight-on-East-Boulevard</t>
  </si>
  <si>
    <t>William Edward Hall</t>
  </si>
  <si>
    <t>McKenzie-Bend Hwy &amp; Harrington Loop Rd</t>
  </si>
  <si>
    <t>Sisters</t>
  </si>
  <si>
    <t>97759</t>
  </si>
  <si>
    <t>Texan Hall displayed a weapon to a state trooper during a traffic stop, the beginning of a vehicle chase down two-lane mountain highways in Oregon's Cascade range. Stopped by spike strips and boxed in between two cruisers, Hall refused to drop his weapon and was shot to death.</t>
  </si>
  <si>
    <t>http://www.ktvz.com/news/police-chase-ends-near-sisters-shots-reportedly-fired/21720408</t>
  </si>
  <si>
    <t>John Van Allen</t>
  </si>
  <si>
    <t>http://assets.nydailynews.com/polopoly_fs/1.1476103.1380887768!/img/httpImage/image.jpg_gen/derivatives/article_970/dalles5n-4-web.jpg?enlarged</t>
  </si>
  <si>
    <t>The Dalles</t>
  </si>
  <si>
    <t>Biggs Junction</t>
  </si>
  <si>
    <t>97058</t>
  </si>
  <si>
    <t>Sherman</t>
  </si>
  <si>
    <t>Veteran Van Allen had abruptly uprooted himself and his two children, and was headed eastbound on an Oregon interstate. During a state police traffic stop Van Allen began shooting at the trooper, who returned fire, as caught on a dramatic dashcam video. He made it a few hundred yards more before pulling over mortally wounded.</t>
  </si>
  <si>
    <t>http://www.nydailynews.com/news/national/man-killed-opens-fire-oregon-state-trooper-kids-sit-car-article-1.1476110</t>
  </si>
  <si>
    <t>James Daniel Guler</t>
  </si>
  <si>
    <t>Old Shadburn Ferry Road</t>
  </si>
  <si>
    <t>Buford</t>
  </si>
  <si>
    <t>30518</t>
  </si>
  <si>
    <t>Officer Matthew Williamson and other officers responded to a domestic incident on Old Shadburn Ferry Road near Buford. When Williamson arrived, he witnessed 80-year-old Betty Jo Massengale run out of the house and be shot in the back and killed by 73-year-old James Daniel Guler. The officer then shot and killed Guler.</t>
  </si>
  <si>
    <t>http://atlanta.cbslocal.com/2013/08/30/police-identify-man-woman-killed-by-gunfire/</t>
  </si>
  <si>
    <t>Scott Holland</t>
  </si>
  <si>
    <t>Tarrant County Sheriff's Department</t>
  </si>
  <si>
    <t>A county officer went to serve outstanding warrants on Holland for unpaid child support. Holland opened his apartment door with a gun in hand, and the deputy shot him to death.</t>
  </si>
  <si>
    <t>http://crimeblog.dallasnews.com/2013/08/man-fatally-shot-by-tarrant-county-deputy-constable-was-wanted-for-unpaid-child-support.html/</t>
  </si>
  <si>
    <t>John Geer</t>
  </si>
  <si>
    <t>http://img.washingtonpost.com/blogs/local/files/2014/02/Geer.jpg</t>
  </si>
  <si>
    <t>Pebble Brook Ct</t>
  </si>
  <si>
    <t>22153</t>
  </si>
  <si>
    <t>Tevon Smith</t>
  </si>
  <si>
    <t>http://www.trbimg.com/img-52290e3c/turbine/bal-baltimore-mug-shots-pg-003/385/217x385</t>
  </si>
  <si>
    <t>Roberts Ave</t>
  </si>
  <si>
    <t>Catonsville</t>
  </si>
  <si>
    <t>21228</t>
  </si>
  <si>
    <t>Officers executing a no-knock warrant for Smith's cousin when the 25-year-old opened fire and killed an officer. Officers returned fire and fatally shot Smith.</t>
  </si>
  <si>
    <t>http://www.wbal.com/article/102364/2/template-story/Funeral-Arrangements-Complete-For-Fallen-Officer</t>
  </si>
  <si>
    <t>Henry Kiner</t>
  </si>
  <si>
    <t>http://www.trbimg.com/img-521e2c9f/turbine/fl-suspect-fatally-shot-20130828-003/374/300x374</t>
  </si>
  <si>
    <t>1595 West Oakland Park Boulevard</t>
  </si>
  <si>
    <t>Police were pursuing Kiner as part of a murder case when he ambushed a fugitive task force, exchanging gunfire with officers until he was fatally shot.</t>
  </si>
  <si>
    <t>http://www.sun-sentinel.com/news/broward/oakland-park/fl-suspect-fatally-shot-20130828,0,7940231.story</t>
  </si>
  <si>
    <t>2000 E Piru St</t>
  </si>
  <si>
    <t>90222</t>
  </si>
  <si>
    <t>Deputies approached an adult Hispanic man, who then turned and fled. The man was shot and killed after a short foot race that ended with the man pulling a firearm on deputies.</t>
  </si>
  <si>
    <t>http://articles.latimes.com/2013/aug/28/local/la-me-ln-deputy-kills-man-compton-20130828</t>
  </si>
  <si>
    <t>Dennis Hakeen Vasquez</t>
  </si>
  <si>
    <t>2060 E. Piru St.</t>
  </si>
  <si>
    <t>As reported to the Los Angeles Times, Dennis Hakeem Vasquez, 17, died after being shot in Willowbrook, according to Los Angeles County coroner's records.</t>
  </si>
  <si>
    <t>W Pico Blvd &amp; S Mariposa Ave</t>
  </si>
  <si>
    <t>90006</t>
  </si>
  <si>
    <t>A man allegedly shot at Los Angeles Police, causing the department to set up a perimeter to find the unidentified man. He was later found, shot and killed.</t>
  </si>
  <si>
    <t>http://ktla.com/2013/08/28/shots-fired-as-lapd-searches-for-gunman-in-pico-union/</t>
  </si>
  <si>
    <t>Korey Marcel Germaine</t>
  </si>
  <si>
    <t>http://ak-cache.legacy.net/legacy/images/Cobrands/timesheraldonline/Photos/e9fe02d9-ca22-412d-a7a6-8e85ddcbea23.jpg</t>
  </si>
  <si>
    <t>Hillcrest Ave, Wildflower Drive</t>
  </si>
  <si>
    <t>94531</t>
  </si>
  <si>
    <t>Antioch Police Department</t>
  </si>
  <si>
    <t>Germaine was shot and killed after pointing a gun at officers during a police chase.</t>
  </si>
  <si>
    <t>http://sanfrancisco.cbslocal.com/2013/08/28/police-involved-shooting-antioch/</t>
  </si>
  <si>
    <t>Southfield</t>
  </si>
  <si>
    <t>48033</t>
  </si>
  <si>
    <t>An off-duty Detroit police officer fatally shot a suspected carjacker early Monday outside a Southfield apartment complex. The shooting happened around 2 a.m. at the Sutton Place Apartments in the 23000 block Riverside Dr., near 9 Mile Road and Lahser. Police say the officer was getting out of his Dodge Charger when he was approached by two armed suspects. "Fearing for his safety, he fired several round and struck one suspect," said Southfield Lt. Nick Louissa.</t>
  </si>
  <si>
    <t>http://www.myfoxdetroit.com/story/23253487/police-man-fatally-shot-outside-southfield-apartment-complex</t>
  </si>
  <si>
    <t>Joseph Crist</t>
  </si>
  <si>
    <t>William Few Parkway and Chamblin Road</t>
  </si>
  <si>
    <t>Grovetown</t>
  </si>
  <si>
    <t>30813</t>
  </si>
  <si>
    <t>After his car broke down on the interstate and shortly after the death of his father, Crist informed a family member that we was considering taking his own life, leading to multi-hour standoff on the highway. An officer shot Crist after the 58-year-old raised a firearm at police.</t>
  </si>
  <si>
    <t>http://herald-review.com/sullivan-man-dies-during-standoff-with-georgia-police/article_4b64459e-0e9c-11e3-ac40-001a4bcf887a.html</t>
  </si>
  <si>
    <t>Eric Byron Johnston</t>
  </si>
  <si>
    <t>http://media.spokesman.com/photos/2013/08/26/shootingpic_t210.jpg?74a72ef94756bccc16ea1c78066b52f96b62dbc7</t>
  </si>
  <si>
    <t>1422 E. Young Ave.</t>
  </si>
  <si>
    <t>83814</t>
  </si>
  <si>
    <t>Officials said Johnston was killed on the scene after an apparent altercation over a hit-and-run incident. The man reportedly hit and severed a light pole with a vehicle around Dollar and Lost Avenue. Authorities said they tracked him down and an altercation ensued after officers made contact. He was armed with a knife. Police shot and killed him.</t>
  </si>
  <si>
    <t>http://www.spokesman.com/stories/2013/aug/26/man-shot-killed-cda-police-identified/</t>
  </si>
  <si>
    <t>David Lee Brown</t>
  </si>
  <si>
    <t>500 Charlotte Dr</t>
  </si>
  <si>
    <t>San Marcos</t>
  </si>
  <si>
    <t>92069</t>
  </si>
  <si>
    <t>Brown was shot after allegedly lunging at a deputy with one of several knifes he was armed with. A female relative said that Brown had been taking drugs and drinking the day of his death.</t>
  </si>
  <si>
    <t>http://www.nbcsandiego.com/news/local/San-Marcos-Sheriffs-Deputy-Involved-Shooting-Charlotte-Street-221010151.html</t>
  </si>
  <si>
    <t>Ryan Carnan</t>
  </si>
  <si>
    <t>http://i.dailymail.co.uk/i/pix/2013/08/26/article-0-1B75F49E000005DC-859_306x423.jpg</t>
  </si>
  <si>
    <t>500 Azure Hills Dr</t>
  </si>
  <si>
    <t>Simi Valley</t>
  </si>
  <si>
    <t>93065</t>
  </si>
  <si>
    <t>Simi Valley Police Department</t>
  </si>
  <si>
    <t>Carnan murdered his mother, set her home ablaze and left on a tractor attempting to shoot down passing bicyclists. Officers responding to the scene were fired upon by Carnan, and subsequently returned fire and fatally struck Carnan.</t>
  </si>
  <si>
    <t>http://abclocal.go.com/kabc/story?section=news%2Flocal%2Fventura_county&amp;id=9218323</t>
  </si>
  <si>
    <t>Edmond Demont Fair</t>
  </si>
  <si>
    <t>https://cbsminnesota.files.wordpress.com/2013/08/brooklyn-center-officer-involved-shooting.png?w=195&amp;h=146&amp;crop=1</t>
  </si>
  <si>
    <t>6539 Shingle Creek Parkway</t>
  </si>
  <si>
    <t>Brooklyn Center Police Department</t>
  </si>
  <si>
    <t>During a traffic stop, police said Fair told officers that there was a warrant out for his arrest. He told them he didn't want to go to jail. Police said Fair fought officers off as they attempted to arrest him. During the struggle, police said, Fair grabbed one of the officers' Tasers and shocked both before Soliday shot him in the chest.</t>
  </si>
  <si>
    <t>http://www.mprnews.org/story/2014/09/08/brooklyn-center-wrongful-death-suit</t>
  </si>
  <si>
    <t>Scott Kehoe</t>
  </si>
  <si>
    <t>Kirkbride Drive</t>
  </si>
  <si>
    <t>Danvers</t>
  </si>
  <si>
    <t>01923</t>
  </si>
  <si>
    <t>Danvers Police Department</t>
  </si>
  <si>
    <t>Police attempted to bring Kehoe into custody for a robbery at this scene (the former Danvers State Insane Asylum), and for prior outstanding warrants. Kehoe lunged towards an officer with a knife and was shot to death.</t>
  </si>
  <si>
    <t>http://www.boston.com/metrodesk/2013/08/23/man-shot-danvers-police/U7ttlDYvAUu7ljAPE7irPK/story.html</t>
  </si>
  <si>
    <t>Joseph Mavis</t>
  </si>
  <si>
    <t>W Baseline Rd &amp; S Central Ave</t>
  </si>
  <si>
    <t>85041</t>
  </si>
  <si>
    <t>Mavis, who was wanted by police on domestic violence and abuse charges, was fatally shot after attempting to draw a firearm while being arrested by Mesa police.</t>
  </si>
  <si>
    <t>http://www.myfoxphoenix.com/story/23244638/2013/08/23/suspect-shot-by-officers-during-execution-of-warrant</t>
  </si>
  <si>
    <t>Rick Santistevan</t>
  </si>
  <si>
    <t>http://ak-cache.legacy.net/legacy/images/cobrands/fortmorgantimes/photos/55d84d10-9be3-49bd-b1cd-22fd055bda2f.jpgx?w=130&amp;h=180&amp;option=1&amp;v=0x000000002b7b758f</t>
  </si>
  <si>
    <t>800 Prospect Street</t>
  </si>
  <si>
    <t>Fort Morgan</t>
  </si>
  <si>
    <t>80701</t>
  </si>
  <si>
    <t>Fort Morgan Police Department</t>
  </si>
  <si>
    <t>Santistevan, who was suspected of assault and home invasion before his death, attempted to run from officers attempting to detain him. Officers tasered Santistevan in an attempt to subdue him, but the 30-year-old died shortly after arrest.</t>
  </si>
  <si>
    <t>http://www.brushnewstribune.com/ci_23927656/man-dies-after-arrest-by-fort-morgan-police</t>
  </si>
  <si>
    <t>Jonathan Tricarico</t>
  </si>
  <si>
    <t>http://media.azfamily.com/images/470*264/8-26-13-JONATHAN-TRICARICO-BKGD.jpg</t>
  </si>
  <si>
    <t>N 32nd St &amp; E Greenway Ln</t>
  </si>
  <si>
    <t>85032</t>
  </si>
  <si>
    <t>Officers attempted to detain Tricarico after the 29-year-old was observed driving a stolen vehicle. Police said that Tricarico opened fire first, and was fatally shot in the ensuing gun fight.</t>
  </si>
  <si>
    <t>Eulizez Rodriguez</t>
  </si>
  <si>
    <t>http://www.gannett-cdn.com/-mm-/03108a089d45147bede1524ebfe51772a056f24e/c=0-240-2108-1821&amp;r=x404&amp;c=534x401/local/-/media/PalmSprings/2014/12/05/B9315389896Z.1_20141205204447_000_GCF9B0U4I.1-0.jpg</t>
  </si>
  <si>
    <t>El Cajon Dr</t>
  </si>
  <si>
    <t>Desert Hot Springs</t>
  </si>
  <si>
    <t>92240</t>
  </si>
  <si>
    <t>Desert Hot Springs Police Department</t>
  </si>
  <si>
    <t>Rodriguez was fatally shot after officers pursued him for driving a stolen car. After a short foot chase, an officer shot Rodriguez after the 24-year-old pulled out a gun. The officer was cleared of any charges in 2014.</t>
  </si>
  <si>
    <t>http://www.desertsun.com/story/news/crime_courts/2014/12/05/desert-hot-springs-officer-cleared/19977795/</t>
  </si>
  <si>
    <t>Robert Lee Palmer</t>
  </si>
  <si>
    <t>http://images.onset.freedom.com/pressenterprise/gallery/n22726-sdeath0902binary1173615.jpg</t>
  </si>
  <si>
    <t>Ramona Expy &amp; Indian Ave</t>
  </si>
  <si>
    <t>Deputies began pursuing Palmer as the 33-year-old attempted to carjack vehicles along a highway, eventually catching him and engaging in a struggle that would leave Palmer fatally injured. Family members said Palmer suffered from mental illness and drug problems.</t>
  </si>
  <si>
    <t>Danny Cecil Jones</t>
  </si>
  <si>
    <t>http://khq.images.worldnow.com/images/2751087_G.jpg</t>
  </si>
  <si>
    <t>204 E. Indiana Ave.</t>
  </si>
  <si>
    <t>Spokane Police Officers responded to a suspicious person call near the area of Division and N. River Drive. Officers were advised a red Dodge truck had intentionally collided with another vehicle in what appeared to be a possible road rage incident. Officers located the red Dodge a short time later on N. Division. A short pursuit was initiated by Officers which ended in the parking lot of the Salvation Army, located at 204 E. Indiana. When Officers attempted to contact the suspect an altercation took place. Officers ultimately shot the suspect.</t>
  </si>
  <si>
    <t>Henry C. Taylor Jr.</t>
  </si>
  <si>
    <t>http://www.innocentdown.org/wp-content/uploads/2013/08/henry-taylor.jpg</t>
  </si>
  <si>
    <t>1856 Mentor Road</t>
  </si>
  <si>
    <t>37777</t>
  </si>
  <si>
    <t>Taylor asked the police to help keep an eye on his property after some burglaries. Deputy Ernest Kevin Ragland came to check the property and saw Taylor with a handgun. Mistaking him for a burglar, he fired 11 shots. One struck Taylor, killing him. Although Ragland claims he identified himself and gave verbal commands before firing, Taylor's wife Cynthia Ridinger claims he did not, and that the Sheriff Office tried to cover up Ragland's misconduct. She filed a wrongful death lawsuit. As of 08/14, the lawsuit is pending, Ridinger's lawyer also sued the Blount County Sheriff for failure to disclose all records regarding the case.</t>
  </si>
  <si>
    <t>http://www.thedailytimes.com/news/federal-suit-filed-in-blount-deputy-s-fatal-shooting-of/article_25a10ff4-b7e7-5cd0-8976-08644d5b8be8.html</t>
  </si>
  <si>
    <t>Raymond Majors</t>
  </si>
  <si>
    <t>http://media.azfamily.com/images/600*338/082213_raymond-majors.jpg</t>
  </si>
  <si>
    <t>Majors, who was wanted in connection to a domestic violence charge, was shot and killed by officers after using a U-Haul truck to ram into patrol cars in an attempt to escape from police.</t>
  </si>
  <si>
    <t>http://www.azfamily.com/news/Officers-shoot-kill-man-who-tried-to-rampolice-car-with-U-Haul-220657551.html</t>
  </si>
  <si>
    <t>S Normandie Ave &amp; W 41st St</t>
  </si>
  <si>
    <t>90037</t>
  </si>
  <si>
    <t>Police responding to a domestic dispute found an armed 70-year-old black man, who had earlier shot a woman in the ear. Police fatally shot the man, whose name was not released.</t>
  </si>
  <si>
    <t>http://losangeles.cbslocal.com/2013/08/20/woman-wounded-suspect-injured-in-officer-involved-shooting-in-south-la/</t>
  </si>
  <si>
    <t>Al Pickett</t>
  </si>
  <si>
    <t>500 Staunton Commons Dr</t>
  </si>
  <si>
    <t>Police were called to a residence where Pickett had stabbed a woman several times, and were met by the 52-year-old holding a gun. An officer fatally shot Pickett when he refused to drop the weapon.</t>
  </si>
  <si>
    <t>http://www.daytondailynews.com/news/news/crime-law/troy-police-investigate-reported-shooting/nZTsq/</t>
  </si>
  <si>
    <t>2200 Glenwood Avenue</t>
  </si>
  <si>
    <t>19132</t>
  </si>
  <si>
    <t>A 22nd District Officer was trying to stop a 2001 Buick LeSabre. According to police, the driver of the Buick refused to stop and accelerated. Police pursued the car and called in for backup. During the chase, investigators say the Buick crashed into a minivan carrying a family of five before striking a building near N 22nd Street and Glenwood Avenue. Police said a passenger got out and pointed a gun at the officer, who opened fire, hitting the 19-year-old man multiple times in the torso, ,killing him.</t>
  </si>
  <si>
    <t>http://www.nbcphiladelphia.com/news/local/Man-Shot-by-Police-Officer-in-North-Philly-220436941.html</t>
  </si>
  <si>
    <t>Aaron McDaniels</t>
  </si>
  <si>
    <t>N 22nd St &amp; W Glenwood Ave</t>
  </si>
  <si>
    <t>An officer attempting to pull over a vehicle driven by McDaniels began pursuing the car after the 19-year-old refused to stop. McDaniels eventually crashed the car and was fatally shot by police after pointing a gun at an officer.</t>
  </si>
  <si>
    <t>http://www.loladelphia.com/post/59106758360/the-sad-tale-of-aaron-mcdaniels</t>
  </si>
  <si>
    <t>John Terzani</t>
  </si>
  <si>
    <t>http://cmsimg.poughkeepsiejournal.com/apps/pbcsi.dll/bilde?Site=BK&amp;Date=20130828&amp;Category=NEWS01&amp;ArtNo=308280019&amp;Ref=AR</t>
  </si>
  <si>
    <t>Carpenter Road and the Taconic State Parkway</t>
  </si>
  <si>
    <t>Hopewell Junction</t>
  </si>
  <si>
    <t>12533</t>
  </si>
  <si>
    <t>A late-evening domestic dispute in which Terzani flourished a handgun developed into a five-hour manhunt, involving multiple jurisdictions and closure of several roads. After extended negotiations Terzani appeared on the threshold of his own house and pointed his gun at police. A state trooper fatally shot him.</t>
  </si>
  <si>
    <t>http://7online.com/archive/9211962/</t>
  </si>
  <si>
    <t>Edward John Scheboth</t>
  </si>
  <si>
    <t>Boulder Highway and College Drive</t>
  </si>
  <si>
    <t>89105</t>
  </si>
  <si>
    <t>Edward John Scheboth pulled up on Henderson police at a car crash scene on Boulder Highway and opened fire in what authorities called an "ambush." Officers returned fire and killed him.</t>
  </si>
  <si>
    <t>https://drive.google.com/file/d/0B-l9Ys3cd80fai1PTmh3eVpIdmhrQWFrajJLZFBQSzk1SW1N/edit?usp=sharing</t>
  </si>
  <si>
    <t>Matthew Borner</t>
  </si>
  <si>
    <t>http://www.mentalhealthportland.org/wp-content/uploads/2013/09/Matthew-Borner.jpg</t>
  </si>
  <si>
    <t>97601</t>
  </si>
  <si>
    <t>Klamath Falls Police Department</t>
  </si>
  <si>
    <t>When police found Borner in a stolen car investigation he bolted from the porch on foot, verbally threatened officers when reaching a dead end, ignored police commands, and reached for a black object as if it were a handgun. He was shot four times, two bullets fatally striking him in the chest. The object was a cell phone.</t>
  </si>
  <si>
    <t>http://www.mentalhealthportland.org/klamath-falls-police-shooting-that-killed-matthew-borner-52-ruled-justified/</t>
  </si>
  <si>
    <t>Tony Procell</t>
  </si>
  <si>
    <t>http://ksla.images.worldnow.com/images/23252325_BG2.JPG</t>
  </si>
  <si>
    <t>LA-156</t>
  </si>
  <si>
    <t>Goldonna</t>
  </si>
  <si>
    <t>71031</t>
  </si>
  <si>
    <t>Natchitoches Police Department</t>
  </si>
  <si>
    <t>Procell was kidnapped and beaten to death by an off-duty Natchitoches police officer, allegedly as part of a domestic situation. The officer was indicted and is going through trial as of 2014.</t>
  </si>
  <si>
    <t>http://www.wlox.com/story/23252325/new-charge-for-barthelemy-in-procell-kidnapping-murder</t>
  </si>
  <si>
    <t>Travis Miller</t>
  </si>
  <si>
    <t>http://wbtw.images.worldnow.com/images/3796757_G.jpg</t>
  </si>
  <si>
    <t>Dakota St North</t>
  </si>
  <si>
    <t>Hanahan Police Department</t>
  </si>
  <si>
    <t>Following a routine traffic stop that turned into a pursuit, Miller and police engaged in an extended gun battle that began when Miller fired at police while fleeing. Miller was fatally shot during the gun battle.</t>
  </si>
  <si>
    <t>http://www.live5news.com/story/23178916/sled-investigating-hanahan-shooting</t>
  </si>
  <si>
    <t>Ronnie Ledesma Jr.</t>
  </si>
  <si>
    <t>http://media.bakersfieldnow.com/images/130830-Ronnie-Ledesma-Jr.jpg</t>
  </si>
  <si>
    <t>2629 Mt Vernon Ave</t>
  </si>
  <si>
    <t>Ledesma was detained by police inside a Walgreen's after the 39-year-old appeared under the influence of drugs. A fight broke out between Ledesma and police, requiring him to be transported to a hospital where later died from his injuries.</t>
  </si>
  <si>
    <t>Tracy Lynn Daniel</t>
  </si>
  <si>
    <t>http://ak-cache.legacy.net/legacy/Images/Cobrands/DignityMemorial/Photos/5c2d6524-f1fb-4ff3-9571-c147b0dd7af0.jpg</t>
  </si>
  <si>
    <t>1026 Martha Glass Dr</t>
  </si>
  <si>
    <t>Jefferson City</t>
  </si>
  <si>
    <t>37760</t>
  </si>
  <si>
    <t>Jefferson City Police Department</t>
  </si>
  <si>
    <t>Police responding to a call of a man threatening another man with a knife fatally shot Daniel after he refused to lower a knife and began walking toward officers.</t>
  </si>
  <si>
    <t>http://www.knoxnews.com/news/2013/aug/19/jefferson-city-officers-involved-in-shooting/</t>
  </si>
  <si>
    <t>Justo Quintero</t>
  </si>
  <si>
    <t>http://d3trabu2dfbdfb.cloudfront.net/2/3/2388575_300x300_1.jpeg</t>
  </si>
  <si>
    <t>1000 Arroyo Verde Rd</t>
  </si>
  <si>
    <t>South Pasadena</t>
  </si>
  <si>
    <t>91030</t>
  </si>
  <si>
    <t>California State University Police Department</t>
  </si>
  <si>
    <t>Quintero was fatally shot by an off-duty California State University, Los Angeles officer after getting into a confrontation allegedly over the volume of Quintero's music. Quintero was armed at the time of the shooting.</t>
  </si>
  <si>
    <t>http://abclocal.go.com/kabc/story?section=news%2Flocal%2Flos_angeles&amp;id=9210315</t>
  </si>
  <si>
    <t>Charles G. Carll</t>
  </si>
  <si>
    <t>http://bloximages.chicago2.vip.townnews.com/host.madison.com/content/tncms/assets/v3/editorial/7/b3/7b316144-e7a3-5cea-a540-5abe25740587/521343c5c9068.preview-699.jpg</t>
  </si>
  <si>
    <t>5200 Hammersley Road</t>
  </si>
  <si>
    <t>Charles Carll was armed with a knife and reportedly attacked his wife with the knife. Police officers initially Tasered the man, but it failed to restrain him. The man ignored the officers' verbal commands and was fatally shot by the officers.[47]</t>
  </si>
  <si>
    <t>http://www.nbc15.com/home/headlines/1-person-dead-after-officer-involved-shooting--220067101.html</t>
  </si>
  <si>
    <t>Robert Edward Hart</t>
  </si>
  <si>
    <t>http://cdn2-b.examiner.com/sites/default/files/styles/image_content_width/hash/38/e8/38e813d51693e28a17b0e609dbded0b7.jpeg?itok=PWBuqu89</t>
  </si>
  <si>
    <t>146 Morris Dr</t>
  </si>
  <si>
    <t>Polk County Police Department</t>
  </si>
  <si>
    <t>Police responding to a suicide call found Hart in possession of a firearm and unsuccessfully trying to take his own life. An officer, fearing for his life, fatally fired at Hart who later died from his injuries.</t>
  </si>
  <si>
    <t>http://www.examiner.com/article/cedartown-man-dead-and-polk-county-police-officer-on-paid-leave</t>
  </si>
  <si>
    <t>Roger David Street</t>
  </si>
  <si>
    <t>http://www.timesnews.net/data/gnpics/2013/ca528b633a8cb3332601b2d630db7c01.jpg</t>
  </si>
  <si>
    <t>100 Egypt Road</t>
  </si>
  <si>
    <t>Bluff City</t>
  </si>
  <si>
    <t>37618</t>
  </si>
  <si>
    <t>Sullivan County Sheriff's Office</t>
  </si>
  <si>
    <t>Street was fatally shot by deputies after a short chase and after the 51-year-old "rammed" officers with his vehicle. Street's BAC was .28 at the time of his death.</t>
  </si>
  <si>
    <t>http://www.timesnews.net/article/9070547/officers-cleared-in-fatal-bluff-city-shooting</t>
  </si>
  <si>
    <t>Robert Bellfleur</t>
  </si>
  <si>
    <t>http://bdnpull.bangorpublishing.netdna-cdn.com/wp-content/uploads/2013/01/image001.jpg</t>
  </si>
  <si>
    <t>Frazier Road</t>
  </si>
  <si>
    <t>Grindstone Township</t>
  </si>
  <si>
    <t>04460</t>
  </si>
  <si>
    <t>East Millinocket Police Department</t>
  </si>
  <si>
    <t>Bellfleur drunkenly threatened his neighbors over their bear-hunting business. They called police. Bellfleur pointed his shotgun at him. They shot and killed him.</t>
  </si>
  <si>
    <t>http://www.maine.gov/tools/whatsnew/index.php?topic=AGOffice_Press&amp;id=610725&amp;v=reportsarticle10</t>
  </si>
  <si>
    <t>Seth Jacob Beckman</t>
  </si>
  <si>
    <t>http://www.wbaltv.com/image/view/-/21521986/highRes/1/-/d4uwf3/-/Seth-Jacob-Beckman-jpg.jpg</t>
  </si>
  <si>
    <t>595 Baltimore Pike</t>
  </si>
  <si>
    <t>21014</t>
  </si>
  <si>
    <t>http://baltimore.cbslocal.com/2013/08/18/suspect-injured-after-police-involved-shooting-in-harford-county/</t>
  </si>
  <si>
    <t>Patrick Othro Sullivan</t>
  </si>
  <si>
    <t>4081 Normandie Ave.</t>
  </si>
  <si>
    <t>Vermont Square</t>
  </si>
  <si>
    <t>As reported to the Los Angeles Times, Patrick Ortho Sullivan, 74, died after being shot in Vermont Square, according to Los Angeles County coroner's records.</t>
  </si>
  <si>
    <t>http://homicide.latimes.com/post/patrick-othro-sullivan/</t>
  </si>
  <si>
    <t>Mason Saio</t>
  </si>
  <si>
    <t>http://bloximages.chicago2.vip.townnews.com/thegardenisland.com/content/tncms/assets/v3/editorial/8/07/80745b06-07cc-11e3-9e38-0019bb2963f4/521064b21b7db.image.jpg?resize=300%2C225</t>
  </si>
  <si>
    <t>Nawiliwili Harbor</t>
  </si>
  <si>
    <t>Līhuʻe</t>
  </si>
  <si>
    <t>96766</t>
  </si>
  <si>
    <t>Saio was fatally shot by officers after pointing a loaded shotgun at officers performing routine checks at Nawiliwili harbor. The officers were cleared of any wrongdoing in April 2014.</t>
  </si>
  <si>
    <t>http://www.staradvertiser.com/news/breaking/20140417_Prosecutors_Office_review_clears_police_in_fatal_shooting_of_Kalaheo_man.html?id=255743411</t>
  </si>
  <si>
    <t>Blake Allen Barbour</t>
  </si>
  <si>
    <t>http://kdminer.com/SiteImages/Article/58334a.jpg</t>
  </si>
  <si>
    <t>2900 Packard Ave</t>
  </si>
  <si>
    <t>86409</t>
  </si>
  <si>
    <t>Mohave County Sheriff's Office</t>
  </si>
  <si>
    <t>An officer responding to a domestic violence call fatally shot Barbour after the 43-year-old threw a chair at the officer and resisted non-lethal attempts to detain him. Prosecutors cleared the officer of any wrongdoing in February 2014.</t>
  </si>
  <si>
    <t>http://www.myfoxcarolinas.com/story/24694051/prosecutors-clear-mohave-deputy-in-fatal-shooting</t>
  </si>
  <si>
    <t>Michael Thomas Allison</t>
  </si>
  <si>
    <t>505 Susana Ave.</t>
  </si>
  <si>
    <t>Redondo Beach</t>
  </si>
  <si>
    <t>90277</t>
  </si>
  <si>
    <t>Redondo Beach Police Department</t>
  </si>
  <si>
    <t>Allison had assaulted his mother with a knife, when officers arrived they found her outside and forced their way inside the house where he was. He was armed with a knife, not obeying orders, and officers shot him to death.</t>
  </si>
  <si>
    <t>http://www.dailybreeze.com/general-news/20130816/redondo-beach-police-fatally-shoot-man-reportedly-armed-with-knife-updated</t>
  </si>
  <si>
    <t>Eric McNeil</t>
  </si>
  <si>
    <t>http://media.nbcbayarea.com/images/Eric+McNeil+Trenton.jpg</t>
  </si>
  <si>
    <t>59 Hobart Ave</t>
  </si>
  <si>
    <t>08629</t>
  </si>
  <si>
    <t>Two detectives responding to a domestic disturbance call were ambushed and shot at by McNeil, wounding the two officers. McNeil was shot and killed during the exchange.</t>
  </si>
  <si>
    <t>http://abclocal.go.com/wpvi/story?section=news%2Flocal&amp;id=9207104</t>
  </si>
  <si>
    <t>40258</t>
  </si>
  <si>
    <t>Louisville Metro Police say an officer involved shooting near a Pleasure Ridge Park McDonald's involved someone wanted for a recent homicide. The shooting happened around 6 p.m. Thursday in the 6400 block Greenwood Road near Terry Road. WAVE 3 News reporter Katie Bauer has learned Metro police were conducting surveillance on a person wanted for the August 12 deadly shooting at Crawford Crossing Apartments. The suspect, whose name has yet to be released, was in the back seat of a car and fired on two detectives. The detectives, both of whom were on foot, fired back injuring two people in the car, including the suspect.</t>
  </si>
  <si>
    <t>http://www.wave3.com/story/23151742/police-murder-suspect-among-2-shot-by-officers</t>
  </si>
  <si>
    <t>Thomas McClanahan</t>
  </si>
  <si>
    <t>Watson Road</t>
  </si>
  <si>
    <t>41049</t>
  </si>
  <si>
    <t>Fleming</t>
  </si>
  <si>
    <t>Fleming County Sheriff"s Department</t>
  </si>
  <si>
    <t>Fleming County Sheriff's deputies responded to a domestic call. Thomas McClanahan came out of the house and pointed a gun at the officers. A state trooper fired his weapon, killing McClanahan.</t>
  </si>
  <si>
    <t>http://www.lex18.com/news/fleming-county-man-shot-killed-by-officer/</t>
  </si>
  <si>
    <t>Mitchell Allison</t>
  </si>
  <si>
    <t>500 Susana Ave</t>
  </si>
  <si>
    <t>Police were called to Allison's residence after a neighbor reported the 43-year-old attacking his mother. Allison was fatally shot after officers entered the home and found him holding a knife.</t>
  </si>
  <si>
    <t>http://www.easyreadernews.com/73762/redondo-beach-police-officer-fatally-shoots-confrontational-man/</t>
  </si>
  <si>
    <t>Donald Peter Johnson</t>
  </si>
  <si>
    <t>http://www.brenny.com/fh_live/12200/12224/images/obituaries/2195563_wlpp.jpg</t>
  </si>
  <si>
    <t>5038 Sleepy Hollow Rd</t>
  </si>
  <si>
    <t>Fort Ripley</t>
  </si>
  <si>
    <t>56449</t>
  </si>
  <si>
    <t>Crow Wing</t>
  </si>
  <si>
    <t>Officers called to Johnson's home found the 50-year-old perched in a tree and armed. Johnson and officers exchanged gunfire, with one officer suffering a gunshot wound before Johnson was fatally shot.</t>
  </si>
  <si>
    <t>http://stmedia.startribune.com/documents/BCA_Johnson.pdf</t>
  </si>
  <si>
    <t>Donny Simmons</t>
  </si>
  <si>
    <t>http://extras.mnginteractive.com/live/media/site571/2013/0815/20130815_091720_0816oic-donny_simmons2_200.jpg</t>
  </si>
  <si>
    <t>94545</t>
  </si>
  <si>
    <t>A domestic violence suspect was fatally shot by police in his apartment after charging at officers with a knife.</t>
  </si>
  <si>
    <t>http://www.mercurynews.com/ci_23868546/hayward-police-fatally-shoot-man-knife-at-apartment</t>
  </si>
  <si>
    <t>Leamond Ward</t>
  </si>
  <si>
    <t>South 38th Street</t>
  </si>
  <si>
    <t>Middlesboro</t>
  </si>
  <si>
    <t>40965</t>
  </si>
  <si>
    <t>Middlesboro Police Department</t>
  </si>
  <si>
    <t>Ward robbed a gas station clerk but was stopped mid-robbery by arriving police officers. An officer fatally shot Ward after the 20-year old approached officers while holding a knife.</t>
  </si>
  <si>
    <t>http://www.wkyt.com/wymt/home/headlines/One-dead-following-shooting-involving-police-officer-in-Bell-County-218813591.html</t>
  </si>
  <si>
    <t>Fuaed Abdo Ahmed</t>
  </si>
  <si>
    <t>http://www.everyjoe.com/wp-content/gallery/fuaed-abdo-ahmed/fuaed-abdo-ahmed-photos-4.jpg</t>
  </si>
  <si>
    <t>921 Plank Rd</t>
  </si>
  <si>
    <t>71366</t>
  </si>
  <si>
    <t>Tensas</t>
  </si>
  <si>
    <t>Louisiana State Police</t>
  </si>
  <si>
    <t>Suspect was holding hostages during a bank robbery</t>
  </si>
  <si>
    <t>http://www.nola.com/news/index.ssf/2013/08/police_kill_gunman_after_he_sh.html</t>
  </si>
  <si>
    <t>Allen Harvey Jr.</t>
  </si>
  <si>
    <t>Dogwood Rd</t>
  </si>
  <si>
    <t>21202</t>
  </si>
  <si>
    <t>A burglary suspect ran into a van and sped off with it, striking and injuring a police officer. Three officers fired at the van, killing the driver.</t>
  </si>
  <si>
    <t>http://articles.baltimoresun.com/2013-08-14/news/bs-md-co-police-involved-shooting-update-20130814_1_first-degree-burglary-other-burglaries-county-police</t>
  </si>
  <si>
    <t>Alex Cora DeJesus</t>
  </si>
  <si>
    <t>http://www.policestateusa.com/wp-content/uploads/2014/06/Alex-Cora-Dejesus.png</t>
  </si>
  <si>
    <t>Prescott Street and Marlboro Street</t>
  </si>
  <si>
    <t>Keene</t>
  </si>
  <si>
    <t>03431</t>
  </si>
  <si>
    <t>Cheshire</t>
  </si>
  <si>
    <t>Weare Police Department</t>
  </si>
  <si>
    <t>Five Weare police officers lay in wait for DeJesus to take part in a drug sting which fell through. DeJesus attempted to flee in his vehicle. One of the officers shot him in the temple with a shotgun as he passed, despite no evidence of a crime committed, DeJesus being unarmed, and no evidence supporting the police claims of being endangered. Amid much controversy the family took a $300k settlement from the city. The Attorney General said after 8 months, he could not determine if the shooting was justified, so no charges were brought, which is defacto justification.</t>
  </si>
  <si>
    <t>http://doj.nh.gov/media-center/press-releases/2014/documents/20140423-weare-officer-involved-report.pdf</t>
  </si>
  <si>
    <t>Jack Snyder</t>
  </si>
  <si>
    <t>Downing St &amp; E 29th Ave</t>
  </si>
  <si>
    <t>80205</t>
  </si>
  <si>
    <t>After threatening passengers with a knife, Snyder was fatally shot by police after he lunged at an officer.</t>
  </si>
  <si>
    <t>http://www.thedenverchannel.com/news/local-news/one-person-critical-after-officer-involved-shooting-near-29th-and-downing-in-denver</t>
  </si>
  <si>
    <t>Lucious Gaultney</t>
  </si>
  <si>
    <t>MS-24</t>
  </si>
  <si>
    <t>Gloster</t>
  </si>
  <si>
    <t>39638</t>
  </si>
  <si>
    <t>Amite</t>
  </si>
  <si>
    <t>Gloster Police Department</t>
  </si>
  <si>
    <t>Police responding to a domestic disturbance began pursuing Gaultney on foot after learning that the 33-year-old stabbed his wife. An officer fired a stun gun at Gaultney, who died shortly thereafter.</t>
  </si>
  <si>
    <t>Gary Roell</t>
  </si>
  <si>
    <t>http://ak-cache.legacy.net/legacy/images/Cobrands/Cincinnati/Photos/CEN046838-1_20130815.jpg</t>
  </si>
  <si>
    <t>Barrington Ct</t>
  </si>
  <si>
    <t>45242</t>
  </si>
  <si>
    <t>Roell, who suffered from bipolar depression and schizophrenia, was fatally tasered by police after first breaking a neighbor's windows and then attacking responding officers.</t>
  </si>
  <si>
    <t>http://www.wlwt.com/news/local-news/hamilton-county/man-dies-after-being-shocked-by-deputys-taser/21442790</t>
  </si>
  <si>
    <t>Martin A. Duckworth</t>
  </si>
  <si>
    <t>http://seattletimes.wpengine.netdna-cdn.com/today/files/2013/08/Duckworth_Martin_20131.jpg</t>
  </si>
  <si>
    <t>3rd Ave &amp; University St</t>
  </si>
  <si>
    <t>98101</t>
  </si>
  <si>
    <t>Duckworth shot a bus driver several times before boarding a second bus in downtown seattle, where officers fatally shot the 31-year-old.</t>
  </si>
  <si>
    <t>http://blogs.seattletimes.com/today/2013/08/metro-bus-driver-shot-in-downtown-seattle/</t>
  </si>
  <si>
    <t>Lisa Taylor</t>
  </si>
  <si>
    <t>Fir Way</t>
  </si>
  <si>
    <t>33026</t>
  </si>
  <si>
    <t>Taylor called police and informed deputies that she planned to shoot up her neighborhood. Arriving deputies shot Taylor after she pointed a handgun at the officers.</t>
  </si>
  <si>
    <t>http://www.sun-sentinel.com/fl-deputy-involved-cooper-city-20130812,0,7874798.story</t>
  </si>
  <si>
    <t>Steven Michael Brill</t>
  </si>
  <si>
    <t>http://bloximages.newyork1.vip.townnews.com/lancasteronline.com/content/tncms/assets/v3/editorial/a/0c/a0c5c0eb-b2df-5324-b704-43bf0c744a06/52338926e3ff8.image.jpg?resize=300%2C203</t>
  </si>
  <si>
    <t>1492 Old Line Rd</t>
  </si>
  <si>
    <t>Manheim</t>
  </si>
  <si>
    <t>17545</t>
  </si>
  <si>
    <t>Manheim Borough Police Department</t>
  </si>
  <si>
    <t>Brill was fatally shot by police after pointing a gun, later revealed to be a pellet rifle, at officers responding following reports of Brill acting suicidal. A local district attorney cleared the officers of any charges.</t>
  </si>
  <si>
    <t>http://www.pennlive.com/midstate/index.ssf/2013/09/fatal_shooting_of_man_by_manhe.html</t>
  </si>
  <si>
    <t>Russell Donahue</t>
  </si>
  <si>
    <t>http://ak-cache.legacy.net/legacy/images/Cobrands/RRStar/Photos/RRP1933723_20130821.jpg</t>
  </si>
  <si>
    <t>336 Springmeadow Dr</t>
  </si>
  <si>
    <t>Poplar Grove</t>
  </si>
  <si>
    <t>61065</t>
  </si>
  <si>
    <t>Before the shooting, Donahue attempted to take his estranged wife and daughter hostage as deputies arrived on scene. Donahue was fatally shot by deputies outside the residence, who were later ruled justified in shooting the 44-year-old.</t>
  </si>
  <si>
    <t>http://www.wifr.com/home/headlines/219283911.html</t>
  </si>
  <si>
    <t>Wayne Edwards</t>
  </si>
  <si>
    <t>Interstate 91 and Interstate 291 interchange</t>
  </si>
  <si>
    <t>01103</t>
  </si>
  <si>
    <t>A state trooper pulled Edwards over for speeding on I-91 after midnight. A physical struggle developed between the two in which the driver was shot. The driver then attempted to escape but got only .2 miles until crashing into a protective barrier. He subsequently died of his injuries, and was found to have two handguns in the vehicle.</t>
  </si>
  <si>
    <t>http://www.masslive.com/news/index.ssf/2013/08/state_police_identify_man_fata.html</t>
  </si>
  <si>
    <t>James Lee DiMaggio</t>
  </si>
  <si>
    <t>http://37.media.tumblr.com/b4af05cc72c400b370aa8c7170cd1808/tumblr_mrdkaqzSut1qmyzbpo1_400.jpg</t>
  </si>
  <si>
    <t>near Morehead Lake</t>
  </si>
  <si>
    <t>Cascade</t>
  </si>
  <si>
    <t>83611</t>
  </si>
  <si>
    <t>Valley</t>
  </si>
  <si>
    <t>ADA County Sheriff's Office</t>
  </si>
  <si>
    <t>On August 4, 2013, an Amber Alert was issued for 16-year-old Hannah Anderson and her 8-year-old brother, Ethan, after they were reported missing by their grandparents. Their mother was found burned to death along with Ethan Anderson at a house owned by James DiMaggio, in Boulevard, California. James DiMaggio was named a suspect in the murders and abduction of Hannah Anderson, which lead to manhunts being executed across the western U.S. On August 8, DiMaggio's car was found in central Idaho. On August 10, DiMaggio was found with Anderson at a campsite at Frank Church-River of No Return Wilderness and was fatally shot by an FBI agent during a confrontation. Hannah Anderson was unharmed.</t>
  </si>
  <si>
    <t>Mitchell Keith Campbell</t>
  </si>
  <si>
    <t>http://bloximages.newyork1.vip.townnews.com/timesdaily.com/content/tncms/assets/v3/editorial/3/dd/3dd0d07f-874e-5954-82e9-bf322742db30/5209afd0b95d6.preview-300.jpg</t>
  </si>
  <si>
    <t>2123 Lauderdale 277</t>
  </si>
  <si>
    <t>35633</t>
  </si>
  <si>
    <t>Lauderdale County Sheriff's Department</t>
  </si>
  <si>
    <t>Deputies responding to a disturbance call found Campbell outside his residence, holding a rifle. Deputies fatally shot Campbell after he raised the rifle at the deputies, and were later cleared of any wrongdoing by a grand jury.</t>
  </si>
  <si>
    <t>http://www.timesdaily.com/news/local/article_871e7e88-69ff-11e3-8f2b-001a4bcf6878.html</t>
  </si>
  <si>
    <t>Brent Walls</t>
  </si>
  <si>
    <t>http://www.fountainsquaremortuary.com/obituaries/uploads/OI444731442_walls%20crop.jpg</t>
  </si>
  <si>
    <t>2500 Shelby St</t>
  </si>
  <si>
    <t>Walls was fatally shot by police after a failed carjacking attempt, leading police to track down and shoot the 21-year-old after he pointed a weapon at officers.</t>
  </si>
  <si>
    <t>http://fox59.com/2013/08/09/ex-girlfriend-speaks-out-about-carjacking-suspect-killed-by-police-friday/</t>
  </si>
  <si>
    <t>James William Wallace</t>
  </si>
  <si>
    <t>http://media.hamptonroads.com/cache/files/images/1161031.jpg</t>
  </si>
  <si>
    <t>23000 Tara Ct</t>
  </si>
  <si>
    <t>23314</t>
  </si>
  <si>
    <t>Isle of Wight</t>
  </si>
  <si>
    <t>Isle of Wight County Sheriff's Office</t>
  </si>
  <si>
    <t>Wallace was shot after attempting to attack deputies, serving an arrest warrant for the 31-year-old, with a knife inside his home.</t>
  </si>
  <si>
    <t>Robert William Kaminski</t>
  </si>
  <si>
    <t>http://www.tampabay.com/resources/images/dti/rendered/2013/08/b2s_kaminski081113_11289256_8col.jpg</t>
  </si>
  <si>
    <t>9518 Marley Ave</t>
  </si>
  <si>
    <t>34654</t>
  </si>
  <si>
    <t>A deputy responding to a domestic disturbance call was shot at by Kaminski, who then engaged in a short standoff with police before deputies fatally shot the armed 62-year-old.</t>
  </si>
  <si>
    <t>http://www.tampabay.com/news/publicsafety/crime/deputy-cleared-in-august-shooting-of-moon-lake-man/2147434</t>
  </si>
  <si>
    <t>Montrell Moss</t>
  </si>
  <si>
    <t>http://mylifeofcrime.files.wordpress.com/2013/08/montrell-moss.jpg</t>
  </si>
  <si>
    <t>985 Indianapolis Blvd</t>
  </si>
  <si>
    <t>46320</t>
  </si>
  <si>
    <t>Moss was shot by a correctional officer after the 23-year-old threw a cup of water at the officer's car. The officer was convicted of first degree murder.</t>
  </si>
  <si>
    <t>Jeffery B. Lilly Jr.</t>
  </si>
  <si>
    <t>http://media.theindychannel.com/photo/2013/08/09/Jeffrey_Lilly_1376076955707_698705_ver1.0_640_480.jpg</t>
  </si>
  <si>
    <t>2200 Station St</t>
  </si>
  <si>
    <t>After selling drugs to officers as part of an undercover sting operation, Lilly died after being tasered and arrested by police.</t>
  </si>
  <si>
    <t>Michael Nehez</t>
  </si>
  <si>
    <t>678 San Pedro Ave.</t>
  </si>
  <si>
    <t>SWAT officers called to the scene by Nehez himself found him with a knife actively threatening them. He and his wife were going through a painful divorce with prior police complaints. Officers shot Nehez to death and found his wife inside strangled to death.</t>
  </si>
  <si>
    <t>http://www.mercurynews.com/ci_23852008/sunnyvale-woman-found-dead-inside-home-is-identified</t>
  </si>
  <si>
    <t>Michael Bitters</t>
  </si>
  <si>
    <t>http://kctv.images.worldnow.com/images/23088794_BG3.jpg</t>
  </si>
  <si>
    <t>Parvin Road and Corrington Avenue</t>
  </si>
  <si>
    <t>A man wanted for an alleged parole violation was resisting arrest and then was shot by police. Police said he pointed his finger at them like a gun.</t>
  </si>
  <si>
    <t>Roudy Hendricks</t>
  </si>
  <si>
    <t>Dorchester Avenue, near Shepton Street</t>
  </si>
  <si>
    <t>Boston drug control unit Officers Harry Jean and Terry Cotton were observing two men. An alleged shootout between officers and the men ensued. Both officers were wounded by gunfire, and one of the men was shot to death.</t>
  </si>
  <si>
    <t>http://boston.cbslocal.com/2013/08/07/boston-police-officer-shot-by-suspect-in-dorchester/</t>
  </si>
  <si>
    <t>Kevin Koonce</t>
  </si>
  <si>
    <t>http://ktre.images.worldnow.com/images/23067032_BG4.jpg</t>
  </si>
  <si>
    <t>15599 TX-103</t>
  </si>
  <si>
    <t>75949</t>
  </si>
  <si>
    <t>Angelina</t>
  </si>
  <si>
    <t>Deputies on their way to serve a high-risk warrant to Koonce engaged in a shootout with the 46-year-old on a bridge over Lake Sam Rayburn. Koonce was fatally shot during the exchange.</t>
  </si>
  <si>
    <t>http://www.kltv.com/story/23067032/nacogdoches-co-Sherriff</t>
  </si>
  <si>
    <t>Hector Leija</t>
  </si>
  <si>
    <t>Police were responding to a disturbance when they encountered a man who was allegedly armed with a gun. Officers shot and killed the man.</t>
  </si>
  <si>
    <t>http://www.topix.com/forum/city/carlsbad-nm/TGR6F2VL6GKKNCO1F</t>
  </si>
  <si>
    <t>Israel "Reefa" Hernandez-Llach</t>
  </si>
  <si>
    <t>http://i.dailymail.co.uk/i/pix/2013/08/08/article-2386823-1B343D3D000005DC-874_634x684.jpg</t>
  </si>
  <si>
    <t>71st Street and Collins Avenue</t>
  </si>
  <si>
    <t>33141</t>
  </si>
  <si>
    <t>Miami Beach graffiti artist named Israel Hernandez-Llach, known as Reefa, was injected with a Taser after a chase by police. He later died.</t>
  </si>
  <si>
    <t>http://www.huffingtonpost.com/2014/03/07/israel-hernandez-taser_n_4919108.html</t>
  </si>
  <si>
    <t>5725 Fondren Rd</t>
  </si>
  <si>
    <t>Officers were called to a gas station after a man was observed firing a gun into the air. After a short pursuit, an officer shot the man after he fired at a K-9 unit.</t>
  </si>
  <si>
    <t>http://abclocal.go.com/ktrk/story?section=news%2Flocal&amp;id=9196336</t>
  </si>
  <si>
    <t>Tobias J. Torres</t>
  </si>
  <si>
    <t>N 59th Ave &amp; W Roosevelt St</t>
  </si>
  <si>
    <t>85043</t>
  </si>
  <si>
    <t>Torres was fatally shot by officers responding to a domestic disturbance between Torres and his girlfriend. Torres was shot after approaching officers while holding a machete.</t>
  </si>
  <si>
    <t>http://www.abc15.com/dpp/news/region_phoenix_metro/central_phoenix/pd-man-fatally-shot-after-altercation-with-phoenix-officers</t>
  </si>
  <si>
    <t>Shaaliver Douse</t>
  </si>
  <si>
    <t>http://hinterlandgazette.com/wp-content/uploads/2013/08/shaaliver-douse-killed.png</t>
  </si>
  <si>
    <t>East 151st Street and Courtlandt Avenue</t>
  </si>
  <si>
    <t>10455</t>
  </si>
  <si>
    <t>Shaaliver Douse, a 14-year-old black male, was killed by NYPD Officers after shooting at another man in South Bronx. Douse was only shot once. He had other run ins with the law, one of which was attempted murder in May, two miles away from where Douse was shot by the NYPD officer.</t>
  </si>
  <si>
    <t>John Chavez</t>
  </si>
  <si>
    <t>396 La Madera Rd</t>
  </si>
  <si>
    <t>Sandia Park</t>
  </si>
  <si>
    <t>87047</t>
  </si>
  <si>
    <t>Deputies were called after Chavez was reportedly acting suicidal, and a deputy fatally shot the 54-year-old after he pointed a hunting rifle at officers.</t>
  </si>
  <si>
    <t>http://www.abqjournal.com/242892/news/red-flags-missing-in-shooting-case.html</t>
  </si>
  <si>
    <t>Chris Chipman</t>
  </si>
  <si>
    <t>Main Street and Gilbert Road</t>
  </si>
  <si>
    <t>85203</t>
  </si>
  <si>
    <t>A man in a wheelchair was killed after Mesa police shot him during an altercation. The man pulled out his gun and officers responded by firing shots.[76]</t>
  </si>
  <si>
    <t>http://www.abc15.com/news/region-southeast-valley/mesa/mesa-pd-1-hurt-in-officer-involved-shooting-near-main-and-williams</t>
  </si>
  <si>
    <t>Eric Marquez</t>
  </si>
  <si>
    <t>Glencoe Drive and Silver Lane</t>
  </si>
  <si>
    <t>92647</t>
  </si>
  <si>
    <t>Marquez was shot by a Huntington Beach police officer after he was exiting a vehicle while brandishing a firearm.[78]</t>
  </si>
  <si>
    <t>http://articles.hbindependent.com/2013-08-08/news/tn-hbi-me-officer-shooting-20130803_1_police-officer-officer-involved-shooting-officer-involved-shooting</t>
  </si>
  <si>
    <t>Alvin McBride</t>
  </si>
  <si>
    <t>http://www.arizonadailyindependent.com/wp-content/uploads/2013/08/Alvin-James-McBride_large.png</t>
  </si>
  <si>
    <t>4395 N Romero Rd</t>
  </si>
  <si>
    <t>A deputy was called to a Tucson Circle K on report of a person with a firearm. McBride shot the officer in the leg before being fatally shot.</t>
  </si>
  <si>
    <t>http://www.kvoa.com/news/deputy-shot-shoots-and-kills-suspect/</t>
  </si>
  <si>
    <t>Jon M. Sides</t>
  </si>
  <si>
    <t>https://localtvkfor.files.wordpress.com/2013/08/jon-sides-from-his-facebook-page.jpg</t>
  </si>
  <si>
    <t>E State Highway 152 &amp; S Morgan Rd</t>
  </si>
  <si>
    <t>73064</t>
  </si>
  <si>
    <t>Canadian</t>
  </si>
  <si>
    <t>Warr Acres Police Department</t>
  </si>
  <si>
    <t>Jon Sides was shot and killed by a Warr Acres Police officer after a motorcycle chase that began in Warr Acres and ended in southwest Oklahoma City.</t>
  </si>
  <si>
    <t>Jermaine McBean</t>
  </si>
  <si>
    <t>http://img.opposingviews.com/sites/default/files/imagecache/350x250/featured_image/jermaine_0.jpg</t>
  </si>
  <si>
    <t>5201 North Dixie Highway</t>
  </si>
  <si>
    <t>33334</t>
  </si>
  <si>
    <t>McBean, who worked for an advertising agency, was fatally shot by deputies after walking into an apartment's pool complex with an air rifle and subsequently ignoring a deputy's demand to lower the weapon.</t>
  </si>
  <si>
    <t>http://www.opposingviews.com/i/society/crime/florida-man-carrying-air-rifle-shot-and-killed-sheriff-s-deputy</t>
  </si>
  <si>
    <t>Russell Rios</t>
  </si>
  <si>
    <t>http://i.dailymail.co.uk/i/pix/2014/06/12/article-2656090-1EB1689F00000578-144_306x423.jpg</t>
  </si>
  <si>
    <t>North Loop 336 West</t>
  </si>
  <si>
    <t>77301</t>
  </si>
  <si>
    <t>Conroe Police Department</t>
  </si>
  <si>
    <t>Rios was fatally shot in the back of the head by off-duty officer Sgt. Jason Blackwelder. Officers were detaining Rios outside a Wal-Mart on suspicion of shoplifting when the teen fled into the woods. Blackwelder, who was off-duty, followed him and killed him during an alleged struggle. On September 26, 2013, Blackwelder was indicted on one count of manslaughter, one count of tampering with a government document and one count of false report to a police officer.</t>
  </si>
  <si>
    <t>http://www.chron.com/neighborhood/woodlands/article/Conroe-woman-files-federal-suit-over-son-s-5009991.php</t>
  </si>
  <si>
    <t>Paul Schenck</t>
  </si>
  <si>
    <t>http://ysnews.com/wp-content/uploads/2013/08/080813_schenck.jpg</t>
  </si>
  <si>
    <t>280 North High Street</t>
  </si>
  <si>
    <t>Yellow Springs</t>
  </si>
  <si>
    <t>45387</t>
  </si>
  <si>
    <t>Greene County Combined SWAT Team</t>
  </si>
  <si>
    <t>http://ysnews.com/news/2013/08/yellow-springs-villagers-seek-answers-over-death</t>
  </si>
  <si>
    <t>Allen Desdunes</t>
  </si>
  <si>
    <t>http://ak-cache.legacy.net/legacy/images/cobrands/theadvocate/photos/b3efa427-b72b-4868-b94b-a397f985c1c0.jpgx?w=200&amp;h=200&amp;option=1&amp;fc=fff</t>
  </si>
  <si>
    <t>12300 I- 10 Service Rd</t>
  </si>
  <si>
    <t>70128</t>
  </si>
  <si>
    <t>An FBI agent fatally shot Desdunes during an undercover narcotics investigation. The Justice Department and local District Attorney declined to charge the agent of any crime.</t>
  </si>
  <si>
    <t>Hans Kevin Arellano</t>
  </si>
  <si>
    <t>http://jonathanturley.files.wordpress.com/2013/08/hans-kevin-arellano.png</t>
  </si>
  <si>
    <t>622 S. Harbor Blvd.</t>
  </si>
  <si>
    <t>92704</t>
  </si>
  <si>
    <t>Police officers say the unarmed homeless man got into a confrontation with a Santa Ana police officer and took off running. What led to the police officer opening fire is under investigation.</t>
  </si>
  <si>
    <t>http://losangeles.cbslocal.com/2013/07/31/santa-ana-police-confirm-officer-shot-killed-unarmed-homeless-man/</t>
  </si>
  <si>
    <t>Shaun Nathaniel Walters</t>
  </si>
  <si>
    <t>McDowell Road and Avondale Blvd.</t>
  </si>
  <si>
    <t>85392</t>
  </si>
  <si>
    <t>Walter was in a convenience store and told clerk he had a knife and a Taser. Police arrived on scene and Walter displayed "a weapon." At that point, Walter was apparently shot. Walter was airlifted to St. Joseph's Hospital where he was pronounced dead.</t>
  </si>
  <si>
    <t>http://www.abc15.com/news/region-west-valley/avondale/avondale-officer-involved-shooting-sends-man-to-hospital</t>
  </si>
  <si>
    <t>Clifford O'Neal Jones</t>
  </si>
  <si>
    <t>http://media.arkansasonline.com/img/obits/2013/08/02/cliffordjones1_08032013jpg_t105.jpg?03de732e9f2f492816cb544b3263d0bbbeea84d2</t>
  </si>
  <si>
    <t>72019</t>
  </si>
  <si>
    <t>Benton Police Department</t>
  </si>
  <si>
    <t>Police were "conducting a felony narcotics investigation" and spotted Jones, who reportedly was a case suspect. When they "tried to conduct a traffic stop" he led them on a vehicle chase, allegedly shooting at them. He then ran over stop sticks placed on a highway, lost control of his car, and hit a concrete barrier. A witness states that Jones exchanged fire with at least one officer. Two officers shot and killed him.</t>
  </si>
  <si>
    <t>http://archive.thv11.com/news/article/273965/2/Police-release-name-of-suspect-killed-in-police-chase-on-I-30?odyssey=obinsite</t>
  </si>
  <si>
    <t>Ben Ellett</t>
  </si>
  <si>
    <t>http://www.guns.com/wp-content/uploads/2013/08/Screenshot-505.jpg</t>
  </si>
  <si>
    <t>207th Street Ct E</t>
  </si>
  <si>
    <t>Orting</t>
  </si>
  <si>
    <t>98360</t>
  </si>
  <si>
    <t>Fife Police Department</t>
  </si>
  <si>
    <t>http://q13fox.com/2013/07/31/off-duty-fife-police-officer-shoots-kills-man-after-being-fired-on-sheriffs-dept-says/</t>
  </si>
  <si>
    <t>Michael Jermaine Lollis</t>
  </si>
  <si>
    <t>http://www.thejacksonmortuary.com/sitemaker/memsol_data/1117/1059941/1059941_profile_pic.jpg?1419787951</t>
  </si>
  <si>
    <t>35570</t>
  </si>
  <si>
    <t>The state of Alabama is investigating an officer-involved shooting after a police officer shot and killed a man in northwest Alabama. Marion County Sheriff Kevin Williams said Michael Jermaine Lollis, of Bloomingdale, GA, was approached by police, ran off into the woods and fired some shots during the search. Authorities fired back and Lollis was killed. The sheriff said the man had been in a stolen car and was carrying a stolen gun.</t>
  </si>
  <si>
    <t>http://www.wtoc.com/story/23024447/georgia-man-killed-in-officer-involved-shooting-in-alabama</t>
  </si>
  <si>
    <t>7005 AL-129</t>
  </si>
  <si>
    <t>Winfield</t>
  </si>
  <si>
    <t>35594</t>
  </si>
  <si>
    <t>Winfield Police Department</t>
  </si>
  <si>
    <t>Winfield officers arrived to check out a suspicious person in a car. Police say an "African Male" exited the vehicle but quickly ran and led police on a foot chase into a wooded area nearby. Police say the suspect was armed, and they later discovered a stolen gun in the vehicle. They believed the suspect was surrounded and resumed the manhunt after backup officers and helicopter for aerial vision arrived. When the suspect was relocated, he allegedly fired shots, and officers returned fire striking the suspect and killing him.</t>
  </si>
  <si>
    <t>http://www.abc3340.com/story/22961088/winfield-officer-shoots-and-kills-suspect-abi-investigating</t>
  </si>
  <si>
    <t>Charles Edward Morales</t>
  </si>
  <si>
    <t>7800 Maverick Ave</t>
  </si>
  <si>
    <t>79915</t>
  </si>
  <si>
    <t>Morales was fatally shot after threatening police with a knife outside his home. Officers believe Morales had earlier fatally stabbed his estranged ex-wife and another person.</t>
  </si>
  <si>
    <t>http://www.elpasotimes.com/newupdated/ci_23759045/el-paso-police-release-name-homicide-suspect-shot</t>
  </si>
  <si>
    <t>Daniel E. DeLong</t>
  </si>
  <si>
    <t>501 SW Franklin Ave</t>
  </si>
  <si>
    <t>Police undergoing a check welfare call fatally shot DeLong after the 56-year-old charged at police with a knife in an apartment hallway. The county District Attorney declined to charge the officers involved with any crime.</t>
  </si>
  <si>
    <t>http://www.wibw.com/home/headlines/Police-On-Scene-Of-Reported-Shooting-217393571.html</t>
  </si>
  <si>
    <t>Donna Weaver</t>
  </si>
  <si>
    <t>http://wbbh.images.worldnow.com/images/22961382_BG2.jpg</t>
  </si>
  <si>
    <t>27665 Okeana St.</t>
  </si>
  <si>
    <t>Bonita Springs</t>
  </si>
  <si>
    <t>34134</t>
  </si>
  <si>
    <t>Deputies were called to investigate a domestic disturbance. Deputies encountered an armed subject, and shots were fired.</t>
  </si>
  <si>
    <t>http://www.nbc-2.com/story/22961382/woman-shot-killed-by-deputy-in-bonita-springs#.VMEX4kfF-wQ</t>
  </si>
  <si>
    <t>Tyris Wilkerson</t>
  </si>
  <si>
    <t>http://cache.comcorpusa.com/640/0/crop/nbc33tv/media/news/wilkerson_edited.jpg</t>
  </si>
  <si>
    <t>South Eugene Street and Louisiana Avenue</t>
  </si>
  <si>
    <t>70806</t>
  </si>
  <si>
    <t>http://theadvocate.com/news/police/6630920-123/brpd-officers-suspended-after-shooting</t>
  </si>
  <si>
    <t>Ryan L. Stokes</t>
  </si>
  <si>
    <t>http://www.kansascity.com/news/local/crime/9ylo8e/picture1315125/alternates/FREE_960/Police%20Stokes%20082514%20JAT%20066F.JPG</t>
  </si>
  <si>
    <t>E 13th St &amp; McGee St</t>
  </si>
  <si>
    <t>64106</t>
  </si>
  <si>
    <t>http://www.kansascity.com/news/local/crime/article1315126.html</t>
  </si>
  <si>
    <t>Guadalupe Aguilar</t>
  </si>
  <si>
    <t>A 39 year-old man who was stabbing his estranged wife outside her home was shot to death by police when he charged at them with a knife.</t>
  </si>
  <si>
    <t>http://www.chicagotribune.com/news/local/breaking/chi-police-kill-man-who-was-stabbing-exwife-union-spokesman-says-20130728,0,972305.story</t>
  </si>
  <si>
    <t>Michael Angel Ruiz</t>
  </si>
  <si>
    <t>http://www.policestateusa.com/wp-content/uploads/2013/08/JBT_MichaelAngelRuiz4.png</t>
  </si>
  <si>
    <t>W Indian School Rd &amp; N 23rd Ave</t>
  </si>
  <si>
    <t>Ruiz was swarmed by police officers due to the 44-year-old's erratic behavior on the roof of his apartment complex. Officers tasered and choked Ruiz, who died several days later from injuries sustained.</t>
  </si>
  <si>
    <t>http://www.kpho.com/story/23178374/family-questions-polices-actions-after-sons-death</t>
  </si>
  <si>
    <t>Warren G. Cipriano</t>
  </si>
  <si>
    <t>Gila Bend</t>
  </si>
  <si>
    <t>85337</t>
  </si>
  <si>
    <t>An off-duty sheriff's deputy shot and killed a man who charged him with a bat Sunday night in Gila Bend after answering a call about a domestic violence incident. A couple was arguing on a street and the woman's boyfriend allegedly was threatening her with a baseball bat. The deputy was the first to arrive on the scene and the man refused commands to drop the bat. The deputy said the man then charged him in an aggressive manner, and he feared for his life and shot the man once in the chest.</t>
  </si>
  <si>
    <t>http://www.myfoxphoenix.com/story/22961570/2013/07/29/mcso-says-deputy-fatally-shoots-man-in-gila-bend</t>
  </si>
  <si>
    <t>Shane Allen Ryan</t>
  </si>
  <si>
    <t>http://www.indeonline.com/storyimage/OH/20130729/NEWS/307299897/AR/0/AR-307299897.jpg&amp;MaxW=315&amp;MaxH=315</t>
  </si>
  <si>
    <t>Massillon</t>
  </si>
  <si>
    <t>44646</t>
  </si>
  <si>
    <t>A man who took a woman hostage Sunday at Great Clips in Massillon and was shot and killed by a police SWAT team, had called police in the past threatening to harm himself.</t>
  </si>
  <si>
    <t>http://www.indeonline.com/news/x273442308/Man-shot-by-SWAT-threatened-to-harm-himself-in-the-past?zc_p=0</t>
  </si>
  <si>
    <t>Casey Daniel Smith</t>
  </si>
  <si>
    <t>https://www.justmugshots.com/img/21673764/tn/casey-daniel-smith.jpg</t>
  </si>
  <si>
    <t>1800 Marketplace Dr</t>
  </si>
  <si>
    <t>75041</t>
  </si>
  <si>
    <t>Smith was fatally shot by an off-duty officer working as a security guard after threatening him with a crowbar Smith shoplifted. Smith was also a suspect in a carjacking several days earlier.</t>
  </si>
  <si>
    <t>http://crimeblog.dallasnews.com/2013/07/police-say-shoplifter-who-was-shot-by-officer-also-carjacked-cadillac-from-elderly-woman.html/</t>
  </si>
  <si>
    <t>Pedro Alberto Vargas</t>
  </si>
  <si>
    <t>http://1.bp.blogspot.com/-NbSoz1a3EBE/UfUcfkdeB3I/AAAAAAAAHUI/C1e06J7gRnE/s1600/o-PEDRO-VARGAS-FLORIDA-APARTMENT-SHOOTING-facebook.jpg</t>
  </si>
  <si>
    <t>1485 West 46th Street</t>
  </si>
  <si>
    <t>Pedro Alberto Vargas fatally shot six people inside his Hialeah apartment complex and then took two people hostage for about three hours. After negotiations reportedly broke down, a SWAT team entered the building and fatally shot Vargas after a brief shootout; the two hostages escaped unharmed.</t>
  </si>
  <si>
    <t>http://en.wikipedia.org/wiki/2013_Hialeah_shooting</t>
  </si>
  <si>
    <t>Jose Adan Cruz Ocampo</t>
  </si>
  <si>
    <t>http://wncn.images.worldnow.com/images/24652119_BG1.jpg</t>
  </si>
  <si>
    <t>The incident occurred after police were dispatched to a stabbing call. They began looking around and saw Ocampo and approached him as a possible witness, according to the Durham police. Witnesses indicated that Ocampo was waiting at the front of his residence to talk with officers about a prior altercation. As three police officers arrived, one noticed that Ocampo had a kitchen knife in his back pocket, and the officer announced to the other two officers the presence of the knife. At least two of the officers then drew their weapons, and ordered Ocampo to throw down the knife. According to witnesses, Ocampo then took the knife from his pocket by the blade and presented the handle of the knife to the officer standing in front of him. Someone nearby then yelled to Ocampo in Spanish to throw the knife down, and as he was handing the officer the handle of the knife, one of officers shot Ocampo, striking him multiple times in the chest. He died at the scene.</t>
  </si>
  <si>
    <t>http://www.thedurhamnews.com/2014/01/21/3552252_autopsy-confirms-suspect-died.html?rh=1</t>
  </si>
  <si>
    <t>Stacy Guy Garren</t>
  </si>
  <si>
    <t>456 Chism Street.</t>
  </si>
  <si>
    <t>76430</t>
  </si>
  <si>
    <t>Shackelford</t>
  </si>
  <si>
    <t>Upon their arrival, police found Guy Garren who in the process of being placed under arrest, broke from the officer's hold and grabbed a .22 caliber hand gun and raised it to the law enforcement officials. In response, officers fired four shots at Garren, killing him.</t>
  </si>
  <si>
    <t>http://www.bigcountryhomepage.com/story/albany-man-dead-after-officer-involved-shooting/d/story/0EIFnQX-m0iQyO3DpyJ4rQ</t>
  </si>
  <si>
    <t>Jonathan David Rutkowski</t>
  </si>
  <si>
    <t>http://image2.findagrave.com/photos/2014/35/114842220_1391653991.jpg</t>
  </si>
  <si>
    <t>18 S Church St</t>
  </si>
  <si>
    <t>Wernersville</t>
  </si>
  <si>
    <t>19565</t>
  </si>
  <si>
    <t>Western Berks Regional Police</t>
  </si>
  <si>
    <t>Officers responded to a "man with guns" call and found Rutkowski walking down the street with two guns. Police report that they told him several times to put them down and that he pointed them at him twice. When he reportedly hid behind a metal box near a railroad track and pointed at them again, they shot him twice. They approached him and shot him again.</t>
  </si>
  <si>
    <t>http://www.policeone.com/officer-shootings/articles/6357554-Pa-police-cleared-in-shooting-of-armed-man/</t>
  </si>
  <si>
    <t>Larry Eugene Jackson Jr.</t>
  </si>
  <si>
    <t>http://media.cmgdigital.com/shared/img/photos/2014/02/10/fd/39/jackson-2012.jpg</t>
  </si>
  <si>
    <t>1901 N Lamar Blvd</t>
  </si>
  <si>
    <t>78705</t>
  </si>
  <si>
    <t>Jackson was shot and killed by Charles Kleinert, a police detective who was investigating a bank robbery. The detective shot Jackson in the back of the neck after he allegedly fled and then struggled with the officer, according to an initial report. An amended report has since been filed which does not state that Jackson fled or fought with Kleinert. An investigation is pending.</t>
  </si>
  <si>
    <t>Juan Louis Acuna</t>
  </si>
  <si>
    <t>http://www.kionrightnow.com/image/view/-/30891304/medRes/2/-/maxh/360/maxw/640/-/24nv1tz/-/JUAN-ACUNA-jpg.jpg</t>
  </si>
  <si>
    <t>Kern Street and East Market Street</t>
  </si>
  <si>
    <t>A wanted parolee with past gang affiliations was shot and killed by a police task force Friday in Salinas after firing a shot and pointing two guns at an officer, a police spokesman said today. Juan Louis Acuna, 30, of Salinas, was shot multiple times after he raised the guns as members of a 10-officer task force tried to take him in, Salinas police Cmdr. Vincent Maiorana said. Acuna had been wanted for failing to meet with his state parole officer and based on his background as a convict with gang enhancements was considered an absconded parolee at large and dangerous, Maiorana said.</t>
  </si>
  <si>
    <t>http://www.montereycountyweekly.com/blogs/news_blog/article_696e4272-f8af-11e2-b8f0-001a4bcf6878.html</t>
  </si>
  <si>
    <t>Dainell Simmons</t>
  </si>
  <si>
    <t>http://www.fatalencounters.org/wp-content/uploads/2013/10/DainellSimmons.jpg</t>
  </si>
  <si>
    <t>222 Currans Road</t>
  </si>
  <si>
    <t>Middle Island</t>
  </si>
  <si>
    <t>11953</t>
  </si>
  <si>
    <t>Police used pepper spray and a Taser to subdue Simmons, an autistic resident of a group home. He died shortly afterward. His family filed a $20M wrongful death suit against the county.</t>
  </si>
  <si>
    <t>http://longisland.news12.com/news/family-of-dainell-simmons-files-lawsuit-against-suffolk-after-taser-death-1.8540024</t>
  </si>
  <si>
    <t>Sheriff's were responding to a call about a possible drunken driver on Long Beach Boulevard. The driver was placed, unhandcuffed, in the back seat of the patrol car. He was cooperative at first, but then became involved in a struggle and bit the deputy on his left bicep before trying to grab his gun. The deputy fired three shots at the unarmed man. The man, an unlicensed driver identified only as Hispanic and about 42 years old, was pronounced dead at the scene, officials said.</t>
  </si>
  <si>
    <t>http://www.nbclosangeles.com/news/local/Man-Killed-in-Deputy-Involved-Shooting-in-Compton-216898101.html</t>
  </si>
  <si>
    <t>Luis Alonzo Juarez</t>
  </si>
  <si>
    <t>1319 S Long Beach Blvd</t>
  </si>
  <si>
    <t>As reported to the Los Angeles Times, Luis Alonzo Juarez, 42, died after being shot in Compton, according to Los Angeles County coroner's records.</t>
  </si>
  <si>
    <t>http://homicide.latimes.com/post/luis-alonzo-juarez/</t>
  </si>
  <si>
    <t>Brent Taylor Catoe</t>
  </si>
  <si>
    <t>3222 Wolfe Pond Road</t>
  </si>
  <si>
    <t>28112</t>
  </si>
  <si>
    <t>Police officers went to Catoe's house to arrest him on a warrant, and Catoe ran into the woods behind his house. Police chased him and when Catoe aimed a gun at the officers they shot him.</t>
  </si>
  <si>
    <t>http://www.wsoctv.com/news/news/local/union-co-sheriff-man-killed-officer-involved-shoot/nY4nG/</t>
  </si>
  <si>
    <t>Roger "Jeremy" Ramundo</t>
  </si>
  <si>
    <t>http://media2.wcpo.com//photo/2013/07/25/Roger_Ramundo__20130725131728_640_480.JPG</t>
  </si>
  <si>
    <t>307 Ludlow Ave</t>
  </si>
  <si>
    <t>45220</t>
  </si>
  <si>
    <t>Ramundo was arguing with his mother. He was willfully off his medication for bi-polar disorder. She called a health care representative who called 9-1-1. He left the house and headed to his favorite bar Arlin's Bar, which is where Cincinnati police caught up with him. Five officers struggled with him, including Tazering him three times. He raised his gun, fired once, and an officer shot him twice.</t>
  </si>
  <si>
    <t>http://www.citybeat.com/cincinnati/blog-4902-the_unexpected_death_of_jeremy_ramundo.html</t>
  </si>
  <si>
    <t>Southaly Ketmany</t>
  </si>
  <si>
    <t>http://image2.findagrave.com/photos/2013/216/114939029_137570291585.jpg</t>
  </si>
  <si>
    <t>89123</t>
  </si>
  <si>
    <t>An underwear-clad man who barricaded himself inside a south valley home. Two officers fired shots. The man died later at University Medical Center. According to police, a resident in the 9000 block Crystal Rock Circle, near Las Vegas Boulevard and Pebble Road, came home about 5 p.m. to find a man wearing only underwear sitting on his couch with a large knife. SWAT units tried unsuccessfully to negotiate with the man, and police shot him when he ran at officers entering the front of the house.</t>
  </si>
  <si>
    <t>http://www.reviewjournal.com/news/deadly-force/incident/421</t>
  </si>
  <si>
    <t>John J. Wheelihan</t>
  </si>
  <si>
    <t>http://www.kpho.com/story/22925597/suspect-shot-dead-by-tempe-police-idd</t>
  </si>
  <si>
    <t>Tevin Hammond</t>
  </si>
  <si>
    <t>http://media.philly.com/images/072213-FBI-shot.jpg</t>
  </si>
  <si>
    <t>23rd Street and Jefferson Street</t>
  </si>
  <si>
    <t>19121</t>
  </si>
  <si>
    <t>Police and FBI received information that Hammond and another man wanted for robbery and homicide were in the area of Musgrave and Montana streets. Police and FBI arrived and the suspects fired on police and agents. They returned fire and killed Hammond.</t>
  </si>
  <si>
    <t>http://www.philly.com/philly/blogs/dncrime/Police-FBI-shoot-and-wound-2-suspects-in-E-Mount-Airy.html</t>
  </si>
  <si>
    <t>Thomas Martinez Jr.</t>
  </si>
  <si>
    <t>Coralville</t>
  </si>
  <si>
    <t>52241</t>
  </si>
  <si>
    <t>Coralville Police Department</t>
  </si>
  <si>
    <t>Employees from a business reported that Martinez had been “acting very violently and destroying property” at their business. Officers were able to calm Martinez, who was sweating profusely and appeared to be having mini-seizures as police interacted with him. Officers believed Martinez was experiencing medical problems and called the Johnson County Ambulance Service. Officers used a Taser twice to subdue Martinez. Martinez stopped breathing as he was being loaded on the stretcher for the hospital.</t>
  </si>
  <si>
    <t>http://www.press-citizen.com/article/20130724/NEWS01/130724018/Authorities-investigating-death-of-man-in-Coralville-Police-custody?Local+News</t>
  </si>
  <si>
    <t>Deomain Hayman</t>
  </si>
  <si>
    <t>http://img01.funeralnet.com/obit_photo.php?fullsize=1&amp;id=1231342&amp;clientid=congofuneralhome&amp;iid=684910&amp;sticky=5673</t>
  </si>
  <si>
    <t>19806</t>
  </si>
  <si>
    <t>After a reckless high-speed chase and a foot chase, four officers attempted to subdue the 6-foot 350-lbs Hayman with multiple sets of handcuffs. Tasered twice, where the instrument appeared not to work, Hayman soon went into cardiac arrest and died at the scene.</t>
  </si>
  <si>
    <t>Matthew Hullman</t>
  </si>
  <si>
    <t>http://bloximages.newyork1.vip.townnews.com/omaha.com/content/tncms/assets/v3/editorial/c/72/c72e8011-ec52-5d3a-89d9-e6faac7b5e6e/5332fcb37ece2.image.jpg?resize=300%2C531</t>
  </si>
  <si>
    <t>Grand Forks AFB</t>
  </si>
  <si>
    <t>Grand Forks</t>
  </si>
  <si>
    <t>58201</t>
  </si>
  <si>
    <t>Grand Forks Air Force Base Security</t>
  </si>
  <si>
    <t>Omaha-born Technical Sergeant Hullman reportedly was drunk and threatening military police with a handgun when he was shot to death on base. About three years away from retirement, earlier in the incident he'd held the weapon to his own head.</t>
  </si>
  <si>
    <t>http://www.bakkentoday.com/event/article/id/36476/</t>
  </si>
  <si>
    <t>Garrett Nelson Brooks</t>
  </si>
  <si>
    <t>http://wwwcache.wral.com/asset/news/local/2013/07/22/12690108/brooks2-300x225.jpg</t>
  </si>
  <si>
    <t>NC-42 &amp; I-95</t>
  </si>
  <si>
    <t>Wilson</t>
  </si>
  <si>
    <t>27893</t>
  </si>
  <si>
    <t>Officers were called to the scene of a robbery. Brooks escaped in a jeep and led the deputies on a chase. He eventually crashed and was shot by deputies.</t>
  </si>
  <si>
    <t>James Robert Rogers Jr.</t>
  </si>
  <si>
    <t>Cockeysville</t>
  </si>
  <si>
    <t>21030</t>
  </si>
  <si>
    <t>Officers responded to a call of an assault in progress. Rogers had a knife and refused to drop it. The officer shot and killed him.</t>
  </si>
  <si>
    <t>http://www.baltimoresun.com/news/maryland/baltimore-county/cockeysville/bs-md-co-police-involved-shooting-20130721,0,1173995.story</t>
  </si>
  <si>
    <t>Corey Thomas</t>
  </si>
  <si>
    <t>Echo Ridge Drive</t>
  </si>
  <si>
    <t>Paulding Sheriff's Office</t>
  </si>
  <si>
    <t>Paulding deputies spotted a man in a car who matched the description of a suspect involved in a home invasion. They followed him to his home. When they approached him, he fled into a wooded area. Thomas allegedly fired at deputies. They returned fire, killing him.</t>
  </si>
  <si>
    <t>http://www.ajc.com/news/news/local/home-invasion-suspect-shot-killed-by-paulding-depu/nYxr4/</t>
  </si>
  <si>
    <t>Leigh Weeden</t>
  </si>
  <si>
    <t>http://dailyrepublic.s3.amazonaws.com/files/2013/07/L-Weeden.jpg</t>
  </si>
  <si>
    <t>Grande Circle and East Tabor Avenue</t>
  </si>
  <si>
    <t>Officers stopped Weeden for a traffic violation. He fired shots at them. They fired back and Weeden was hit several times, killing him.</t>
  </si>
  <si>
    <t>http://www.dailyrepublic.com/news/crimecourts/deputy-man-shot-killed-by-fairfield-police-after-he-shot-at-officers/</t>
  </si>
  <si>
    <t>Robert Michael McAfee</t>
  </si>
  <si>
    <t>http://www.socalfuneral.com/sitemaker/memsol_data/1581/1040193/1040193_profile_pic.jpg?1426861531</t>
  </si>
  <si>
    <t>6871 Duchess Dr</t>
  </si>
  <si>
    <t>90606</t>
  </si>
  <si>
    <t>McAfee's mother said that he called her 2.5 weeks before he was killed and said, 'Mom, they're out to kill me,'" referring to law enforcement. McAfee was a member of a gang. Accounts between deputies and witnesses differ between whether McAfee had a gun and pointed it at officers or not when he was confronted. He may have fled into a backyard, and was shot to death.</t>
  </si>
  <si>
    <t>http://www.whittierdailynews.com/general-news/20130727/mother-questions-fatal-west-whittier-deputy-involved-shooting</t>
  </si>
  <si>
    <t>Howard Curtis Martin</t>
  </si>
  <si>
    <t>http://bloximages.chicago2.vip.townnews.com/vp-mi.com/content/tncms/assets/v3/editorial/6/a5/6a5c8024-ef0c-11e2-8769-0019bb2963f4/51e6deac865a2.preview-300.jpg</t>
  </si>
  <si>
    <t>76 Monte Circle</t>
  </si>
  <si>
    <t>St. Regis</t>
  </si>
  <si>
    <t>59866</t>
  </si>
  <si>
    <t>Montana Highway Patrol</t>
  </si>
  <si>
    <t>Mineral County Sheriff's Office received a call reporting a family disturbance. Mineral County Sheriff's deputies responded and when they arrived, they heard a gunshot come from the residence. The deputies requested backup and additional officers from Mineral County responded, as well as four Montana Highway Patrol Troopers. Officers discovered that Martin had left the home and was armed with a rifle. Investigators say that during the armed encounter with officers, Martin would not follow orders to drop the rifle and instead raised the weapon toward them, at which point he was shot and killed by a Montana Highway Patrol trooper.</t>
  </si>
  <si>
    <t>http://www.krtv.com/news/man-killed-by-mhp-trooper-in-st-regis-confrontation-identified/</t>
  </si>
  <si>
    <t>Scott M. Murphy</t>
  </si>
  <si>
    <t>http://media.cmgdigital.com/shared/img/photos/2013/07/22/84/b6/Scott-Murphy---Latrobe-standoff-suspect.jpg</t>
  </si>
  <si>
    <t>Latrobe</t>
  </si>
  <si>
    <t>15650</t>
  </si>
  <si>
    <t>Family and friends described Murphy as depressed and addicted to drugs after the passing of his wife of 21 years. He was the prime suspect in the afternoon robbery of hundreds of Oxycontin pills from a local drug store. Local police attempted to arrest him at his house around 7 p.m., starting a 17-hour armed standoff that left Murphy shot to death and a state trooper seriously wounded from a gunshot to the eye.</t>
  </si>
  <si>
    <t>http://triblive.com/news/westmoreland/4393317-74/murphy-standoff-police</t>
  </si>
  <si>
    <t>Kong Nay</t>
  </si>
  <si>
    <t>Broad River Rd &amp; Kennerly Rd</t>
  </si>
  <si>
    <t>29063</t>
  </si>
  <si>
    <t>Nay tried to rob a gas station. He fled the scene and deputies caught up with him and he crashed at Broad River and Kennerly Road. He got into a standoff with officers and was shot.</t>
  </si>
  <si>
    <t>http://www.wltx.com/story/local/2013/07/20/1679546/</t>
  </si>
  <si>
    <t>Laroy Brown</t>
  </si>
  <si>
    <t>1505 High St</t>
  </si>
  <si>
    <t>94501</t>
  </si>
  <si>
    <t>Alameda Police Department</t>
  </si>
  <si>
    <t>An off-duty Alameda County Sheriff's deputy fatally shot a gunman inside an Alameda grocery store during an attempted robbery.</t>
  </si>
  <si>
    <t>http://abclocal.go.com/kgo/story?section=news%2Flocal%2Feast_bay&amp;id=9178148</t>
  </si>
  <si>
    <t>Tyrone West</t>
  </si>
  <si>
    <t>http://www.afro.com/wp-content/uploads/2014/05/99821510151616102413565121134397n.jpg</t>
  </si>
  <si>
    <t>Along with a passenger West was pulled over on a traffic stop by two plainclothes officers in an unmarked car. On a pat-down officers discovered a small amount of cocaine. This caused West to react, and started an extended physical struggle among the three in which the officers accidentally pepper-sprayed themselves. Other police arrived and the beating of West continued after he'd been subdued and handcuffed. He died at the scene.</t>
  </si>
  <si>
    <t>http://articles.baltimoresun.com/2014-01-23/news/bs-md-ci-tyrone-west-witness-20140122_1_tyrone-west-jorge-bernardez-ruiz-kitmore-road</t>
  </si>
  <si>
    <t>Andrew Thomas</t>
  </si>
  <si>
    <t>1462 S. Palm Ave</t>
  </si>
  <si>
    <t>Pembroke Pines</t>
  </si>
  <si>
    <t>33025</t>
  </si>
  <si>
    <t>Police shot and killed a ski-masked robbery suspect to allegedly was trying to hold-up an Allstate Insurance office. The masked suspect refused to put his weapon down when ordered to do so. Police opened fire and killed the man. Earlier in the week, detectives learned from a confidential informant that the suspect, 23, was planning on robbing the office on Thursday. He was ambushed by police when he arrived at the Allstate office.</t>
  </si>
  <si>
    <t>http://www.nbcmiami.com/news/local/Suspect-Dead-After-Deputy-Involved-Shooting-in-Pembroke-Pines-Broward-Sheriffs-Office-216062311.html</t>
  </si>
  <si>
    <t>Kendall Walker</t>
  </si>
  <si>
    <t>Ulatis Drive</t>
  </si>
  <si>
    <t>Vacaville</t>
  </si>
  <si>
    <t>95687</t>
  </si>
  <si>
    <t>Vacaville Police Department</t>
  </si>
  <si>
    <t>Walker was shot after he got out of his car and charged towards officers with a hammer and a knife.</t>
  </si>
  <si>
    <t>http://www.sfgate.com/crime/article/Family-of-man-killed-by-Vacaville-police-sues-5351780.php</t>
  </si>
  <si>
    <t>Gerardo Pinedo</t>
  </si>
  <si>
    <t>http://crimeblog.dallasnews.com/files/2014/03/GerardoPinedo.jpg</t>
  </si>
  <si>
    <t>Officers responded to a call of possible breaking and entering. Arrived and ordered Pineo from home, who then attacked. Officers tasered and shot him.</t>
  </si>
  <si>
    <t>John Sebastian Snider</t>
  </si>
  <si>
    <t>http://www.allenanddahl.com/fh_live/13900/13969/images/obituaries/2176071_wlpp.jpg</t>
  </si>
  <si>
    <t>96007</t>
  </si>
  <si>
    <t>Shasta County SWAT team</t>
  </si>
  <si>
    <t>Snider opened fire with a shotgun at the seven SWAT team members as they approached the home. The seven team members returned fire, killing Snider.</t>
  </si>
  <si>
    <t>http://www.andersonvalleypost.com/news/2013/jul/17/suspect-dead-after-standoff-shoot-out-anderson/</t>
  </si>
  <si>
    <t>Daryll Blair</t>
  </si>
  <si>
    <t>http://ww2.hdnux.com/photos/22/77/05/4976977/9/622x350.jpg</t>
  </si>
  <si>
    <t>78229</t>
  </si>
  <si>
    <t>Officers responded to a call at a food mart of a man acting strange. He proceeded to drive away in a police cruiser and was chased by police until he crashed, exited the vehicle and charged an officer, who fired at him, killing him.</t>
  </si>
  <si>
    <t>Carlos Crompton</t>
  </si>
  <si>
    <t>http://www.baynews9.com/content/dam/news/images/2013/07/carlos-crompton-0717.jpg</t>
  </si>
  <si>
    <t>4240 14th Ave. S</t>
  </si>
  <si>
    <t>33711</t>
  </si>
  <si>
    <t>Officers confronted Compton after locating him following a call that he was a suspect in the shooting of his girlfriend. Compton retrieved a gun from his car and fired a round at two officers who then returned fire, killing Compton.</t>
  </si>
  <si>
    <t>http://www.tampabay.com/news/publicsafety/crime/st-pete-officers-justified-in-fatal-shooting-state-attorney-says/2135729</t>
  </si>
  <si>
    <t>Juan Diaz Chavez</t>
  </si>
  <si>
    <t>Chavez, a reformed gang member, was leaving a funeral when he ran into police. He apparently stared at them, and then pulled a gun.</t>
  </si>
  <si>
    <t>http://homicide.latimes.com/post/juan-diaz-chavez/</t>
  </si>
  <si>
    <t>Marilyn Elizabeth Peterson</t>
  </si>
  <si>
    <t>http://images.townnews.com/titusvilleherald.com/content/articles/2013/07/19/news/doc51e7609af2293177730547.jpg</t>
  </si>
  <si>
    <t>Oil CIty</t>
  </si>
  <si>
    <t>16301</t>
  </si>
  <si>
    <t>Venango</t>
  </si>
  <si>
    <t>Oil City Police Department</t>
  </si>
  <si>
    <t>A legally blind disabled woman was under distress speaking of suicide to her son and her grandchildren. The man called the police and asked them to send the mental health officers to take her in for evaluation. Police entered the house. Within seconds (the son says 30 seconds) the woman was shot three times.</t>
  </si>
  <si>
    <t>Deon Williams</t>
  </si>
  <si>
    <t>http://ionenewsone.files.wordpress.com/2013/07/williams.jpg?w=635&amp;h=362</t>
  </si>
  <si>
    <t>72204</t>
  </si>
  <si>
    <t>Officers pursued a stolen car; the driver stopped and exited the vehicle and foot pursuit ensued; the officer thought he saw a handgun fall out of the suspect's waistband and fired at him.</t>
  </si>
  <si>
    <t>Zheng Diao</t>
  </si>
  <si>
    <t>4415 West 36 1/2 Street</t>
  </si>
  <si>
    <t>St. Louis Park</t>
  </si>
  <si>
    <t>55416</t>
  </si>
  <si>
    <t>Police tasered Diao after the 76-year-old behaved erratically and held a knife to his throat. Diao later died from his injuries.</t>
  </si>
  <si>
    <t>http://www.startribune.com/politics/statelocal/220573291.html</t>
  </si>
  <si>
    <t>Harold J. Bastin</t>
  </si>
  <si>
    <t>http://ak-cache.legacy.net/legacy/images/Cobrands/TheAdvertiser/Photos/LDA019839-1_20130719.jpg</t>
  </si>
  <si>
    <t>306 Chateau Place</t>
  </si>
  <si>
    <t>70503</t>
  </si>
  <si>
    <t>Lafayette Police Department</t>
  </si>
  <si>
    <t>Officers responded to call about attempted suicide, encountered armed Bastin in yard, resulting in him being shot and killed.</t>
  </si>
  <si>
    <t>http://theadvocate.com/home/6518179-125/state-police-investigate-police-shooting</t>
  </si>
  <si>
    <t>Dustin Cole</t>
  </si>
  <si>
    <t>http://myktem.com/files/2013/07/Pfc.-Dustin-Billy-Cole-KWTX-TV-630x413.jpg</t>
  </si>
  <si>
    <t>Killeen</t>
  </si>
  <si>
    <t>76543</t>
  </si>
  <si>
    <t>Killeen Police Department</t>
  </si>
  <si>
    <t>Two officers were shot, one fatally, by Cole wielding assault rifle. Other officers returned fire, killing him.</t>
  </si>
  <si>
    <t>http://kdhnews.com/news/crime/killeen-police-officer-shot-killed-during-shootout-at-apartment-complex/article_9339dc26-ec91-11e2-a2c1-0019bb30f31a.html</t>
  </si>
  <si>
    <t>Derek Hobson</t>
  </si>
  <si>
    <t>http://dgc27lrrryz1d.cloudfront.net/assets/local_story_media/Fatal-cemetery-shooting-called_1405732850/20140719dj_jail_mug_hobson__derek_thumb.jpg</t>
  </si>
  <si>
    <t>1500 N 800 E</t>
  </si>
  <si>
    <t>Needham</t>
  </si>
  <si>
    <t>46162</t>
  </si>
  <si>
    <t>Johnson County Sheriff's Office</t>
  </si>
  <si>
    <t>Hobson attempted to run from police after giving them a false name and then later running from deputies. The 25-year-old allegedly fired at deputies, who then returned fire and fatally struck Hobson.</t>
  </si>
  <si>
    <t>http://www.dailyjournal.net/view/local_story/Fatal-cemetery-shooting-called_1405732850/</t>
  </si>
  <si>
    <t>Daniel Houfek</t>
  </si>
  <si>
    <t>http://www.fatalencounters.org/wp-content/uploads/2013/10/DannyHoufek.jpg</t>
  </si>
  <si>
    <t>Oak View</t>
  </si>
  <si>
    <t>Deputies responded to a report of a suspicious person in a vehicle. Houfek sped off, lead­ing offi­cers on a brief vehi­cle chase. Houfek soon stopped his vehi­cle and exited it with a hand­gun. The pur­su­ing deputies fired at Houfek after he allegedly pointed it at them, fatally wound­ing him.</t>
  </si>
  <si>
    <t>http://www.keyt.com/news/sheriffs-deputy-fatally-shoots-suspect-in-oak-view/-/17671600/20962986/-/131wnvu/-/index.html</t>
  </si>
  <si>
    <t>Brian Simms Jr.</t>
  </si>
  <si>
    <t>http://cdn2.newsok.biz/cache/sq105-f9f811cfdaf37cfed494709040c60d9c.jpg</t>
  </si>
  <si>
    <t>311 S Klein Ave</t>
  </si>
  <si>
    <t>73108</t>
  </si>
  <si>
    <t>Brian Simms was outside of a concert in his car, allegedly passed out. Off duty police officers who were wearing their state police uniforms but were on leave said something about him having a gun in his waistband, he "didn't comply" Another individual attending the concert said they heard eight gunshots fired. "The officers saw a gun in the man's waistband and gave him orders regarding the weapon. When he didn't comply, one of the officers shot him..."</t>
  </si>
  <si>
    <t>Kenneth Jewell Stafford</t>
  </si>
  <si>
    <t>http://www.newsreview.com/imager/house-of-pain/b/original/14648624/eb2c/cover3-1.jpg</t>
  </si>
  <si>
    <t>2187 Bellcrest Circle</t>
  </si>
  <si>
    <t>Kenny Stafford was shot and killed by police after walking through a neighborhood with a gun on July 11, 2013. The active duty serviceman was said to be suffering from PTSD and suicidal.</t>
  </si>
  <si>
    <t>https://drive.google.com/file/d/0B-l9Ys3cd80fLWpxZFZyY1IwRW8/edit?usp=sharing</t>
  </si>
  <si>
    <t>Rashad Jarrett Hopes</t>
  </si>
  <si>
    <t>3476 Van Buren Blvd.</t>
  </si>
  <si>
    <t>Rashad Hopes pointed an empty revolver at police in a gas station after being involved in a car crash. Police fired 15 bullets at Hopes before one of them hit him in the back of the head as he ran.</t>
  </si>
  <si>
    <t>http://lakeelsinore-wildomar.patch.com/groups/police-and-fire/p/riverside-police-shoot-kill-corona-man</t>
  </si>
  <si>
    <t>Luis Alberto Flores</t>
  </si>
  <si>
    <t>http://kpho.images.worldnow.com/images/22813827_BG1.jpg</t>
  </si>
  <si>
    <t>W Camelback Rd &amp; N 29th Ave</t>
  </si>
  <si>
    <t>Flores approached an apartment and pointed a gun at the resident who answered after the resident said the person Flores was looking for wasn't inside. The resident called the police. Police got into a standoff with Flores.Flores aimed a gun at police. The police shot Flores twice, killing him with the second shot.</t>
  </si>
  <si>
    <t>http://www.kpho.com/story/22813827/phoenix-officers-shoot-kill-man-who-wields-handgun</t>
  </si>
  <si>
    <t>Jared Woosypiti</t>
  </si>
  <si>
    <t>http://www.kansas.com/incoming/a3ovcl/picture966868/alternates/FREE_960/Jared%20Lee%20Woosypiti</t>
  </si>
  <si>
    <t>4141 S. Seneca</t>
  </si>
  <si>
    <t>67217</t>
  </si>
  <si>
    <t>After armed robbery and firing shots at KMart, Woosypiti fled to apartment building where officers shot and killed suspect after 32-hour stand-off.</t>
  </si>
  <si>
    <t>http://www.sedgwickcounty.org/da/criminal_media/2013/Woosypiti%20Release.pdf</t>
  </si>
  <si>
    <t>Shawn Payne</t>
  </si>
  <si>
    <t>https://usgunviolence.files.wordpress.com/2014/11/shawn-maurice-payne.jpg?w=625</t>
  </si>
  <si>
    <t>I-70</t>
  </si>
  <si>
    <t>Loma</t>
  </si>
  <si>
    <t>81524</t>
  </si>
  <si>
    <t>A suspect in an attempted kidnapping and car theft in Lakewood on Tuesday night was fatally shot after he pointed a weapon at officers.</t>
  </si>
  <si>
    <t>http://www.denverpost.com/breakingnews/ci_23634479/police-suspect-violent-lakewood-crime-killed-i-70</t>
  </si>
  <si>
    <t>15900 FM 529</t>
  </si>
  <si>
    <t>A trooper reportedly saw a young man trying to open car doors as people drove by on a highway, or he saw him running with a duffel bag through a parking lot. The trooper drove up and questioned him. The man reportedly ignored him and then pointed a pistol at him. The trooper shot him once, killing him.</t>
  </si>
  <si>
    <t>http://www.chron.com/news/houston-texas/houston/article/Texas-DPS-trooper-fatally-shoots-man-outside-4657794.php</t>
  </si>
  <si>
    <t>Gerald Altomare Jr.</t>
  </si>
  <si>
    <t>http://thumbs.mugshots.com/gallery/images/2/7c/df/Gerald-F-Altomare-Jr_mugshot.400x800.jpg</t>
  </si>
  <si>
    <t>Fifth Street and Dakota Avenue.</t>
  </si>
  <si>
    <t>St. Cloud</t>
  </si>
  <si>
    <t>34769</t>
  </si>
  <si>
    <t>Altomare was driving recklessly and crashed into an elementary school fence. Altomare resisted officers and police tasered him.</t>
  </si>
  <si>
    <t>Antonio Johnson</t>
  </si>
  <si>
    <t>http://bloximages.newyork1.vip.townnews.com/stltoday.com/content/tncms/assets/v3/editorial/9/f2/9f2648bc-9aff-5bb7-a8e2-c1890e5bbbdd/52be52ea1f7d8.preview-300.jpg</t>
  </si>
  <si>
    <t>Hazelwood</t>
  </si>
  <si>
    <t>63042</t>
  </si>
  <si>
    <t>Hazelwood Police Department</t>
  </si>
  <si>
    <t>http://www.stltoday.com/news/local/crime-and-courts/man-in-critical-condition-after-arrest-by-hazelwood-police/article_7a6a5523-2a32-51e0-b24d-b704d9024dea.html</t>
  </si>
  <si>
    <t>Herman Pickens</t>
  </si>
  <si>
    <t>http://www.news4jax.com/image/view/-/20919360/highRes/1/-/53t549z/-/Herman-Pickens--JSO-2012-mug-.jpg</t>
  </si>
  <si>
    <t>Trying to escape from police while a warrant was out on him for armed robbery, he rammed an undercover vehicle, got out of his car, and ran inside nearby restaurant. Reaching for a gun, he was fatally shot by police.</t>
  </si>
  <si>
    <t>http://www.news4jax.com/news/man-24-shot-by-police-charged-in-cvs-robbery-shooting/20918158</t>
  </si>
  <si>
    <t>Dante Cespedes</t>
  </si>
  <si>
    <t>http://cdn.news12.com/polopoly_fs/1.5671958.1373594613!/httpImage/image.jpg_gen/derivatives/landscape_768/image.jpg</t>
  </si>
  <si>
    <t>66 Lake Street</t>
  </si>
  <si>
    <t>Belleville</t>
  </si>
  <si>
    <t>07109</t>
  </si>
  <si>
    <t>Belleville Police Department</t>
  </si>
  <si>
    <t>The officers were responding to an assault complaint lodged by his wife, Judy Breton, who previously told The Star-Ledger she and Cespedes argued in the hours before the fatal confrontation. Cespedes had been drinking the night of the incident, according to Breton, but prosecutors have not revealed the results of toxicology tests. Officers Angelo Quinn, Charles Mollineaux and Matthew Dox fired approximately 30 rounds, killing Cespedes, according to court papers. Quinn and Mollineaux each fired 14 times, while Dox fired twice, according to court papers. Cespedes was struck two dozen times, according to the claim. Officer Gary DeVito was also in the apartment, but he did not use his weapon, Belleville Police Chief Joseph Rotonda said.</t>
  </si>
  <si>
    <t>Justified; Civil Suit</t>
  </si>
  <si>
    <t>Rafael Salas Adame</t>
  </si>
  <si>
    <t>http://media2.abc15.com//photo/2013/07/10/KNXV_Rafael_Adame__20130710130456_640_480.JPG</t>
  </si>
  <si>
    <t>85365</t>
  </si>
  <si>
    <t>Yuma County Sheriff's Office</t>
  </si>
  <si>
    <t>Adame's parole officer notified sheriff's deputies that Adame was threatening to harm himself; sheriff's deputies located Adame in a dirt field; as deputies approached, Adame pulled a handgun from his waistband and deputies shot and killed him.</t>
  </si>
  <si>
    <t>http://www.azcentral.com/news/arizona/articles/20130709arizona-man-killed-officer-involved-shooting-yuma-abrk.html</t>
  </si>
  <si>
    <t>James Ridge</t>
  </si>
  <si>
    <t>Railroad Ave</t>
  </si>
  <si>
    <t>Cabazon</t>
  </si>
  <si>
    <t>92230</t>
  </si>
  <si>
    <t>Ridge matched the description of an armed suspect. Deputies approached him. He confronted deputies with a knife. Deputies fatally shot him after he refused to drop his weapon.</t>
  </si>
  <si>
    <t>http://www.pe.com/articles/avenue-677781-railroad-ridge.html</t>
  </si>
  <si>
    <t>Glenn Llewellyn Briggs</t>
  </si>
  <si>
    <t>http://thumbs.mugshots.com/gallery/images/a5/fe/Glenn-Llewellyn-Briggs-mugshot-24546369.400x800.jpg</t>
  </si>
  <si>
    <t>905 East 23rd Place</t>
  </si>
  <si>
    <t>32405</t>
  </si>
  <si>
    <t>Panama City Police</t>
  </si>
  <si>
    <t>A man suspected of killing his wife and another man at the Courtyard Marriott in Panama City was killed during a shootout with law enforcement several hours later.</t>
  </si>
  <si>
    <t>http://www.newsherald.com/news/crime-public-safety/update-slaying-suspect-killed-in-shootout-1.169050</t>
  </si>
  <si>
    <t>94601</t>
  </si>
  <si>
    <t>Gary L. Wissinger</t>
  </si>
  <si>
    <t>5395 Route 56 East</t>
  </si>
  <si>
    <t>Brush Valley</t>
  </si>
  <si>
    <t>State troopers investigating a rural domestic disturbance call were confronted by Wissinger at the threshold of his own house, brandishing a rifle. This was around midnight. Troopers shot at Wissinger, who retreated back into the house. Treating it as a "barricade situation" police called in an Emergency Response Team and waited an unknown period of time before realizing that the victim had bled to death inside.</t>
  </si>
  <si>
    <t>http://pittsburgh.cbslocal.com/2013/07/08/police-involved-shooting-leaves-1-man-dead/</t>
  </si>
  <si>
    <t>Luke Bulzak</t>
  </si>
  <si>
    <t>3S303 Elfstrom Trail</t>
  </si>
  <si>
    <t>Batavia Township</t>
  </si>
  <si>
    <t>60510</t>
  </si>
  <si>
    <t>Kane County Police Department</t>
  </si>
  <si>
    <t>Fatally shot by Kane County Sheriff's Deputies after the man pointed a rifle at officers.</t>
  </si>
  <si>
    <t>http://www.dailyherald.com/article/20130708/news/707089665/</t>
  </si>
  <si>
    <t>Lance Clay</t>
  </si>
  <si>
    <t>http://wsav.images.worldnow.com/images/22795016_BG2.jpg</t>
  </si>
  <si>
    <t>Pooler</t>
  </si>
  <si>
    <t>31322</t>
  </si>
  <si>
    <t>Pooler Police Department</t>
  </si>
  <si>
    <t>Police responded to "threatening issues" at home of Clay, who shot at them from house before emerging with gun in hand.</t>
  </si>
  <si>
    <t>http://www.wsav.com/story/22795016/police-involved-shooting-leaves-man-dead</t>
  </si>
  <si>
    <t>Robert Brooks</t>
  </si>
  <si>
    <t>http://www.post-gazette.com/image/2013/10/17/420x_q90_cMC_z/Robert-Brooks.jpg</t>
  </si>
  <si>
    <t>302 Thorn Street</t>
  </si>
  <si>
    <t>Sewickley</t>
  </si>
  <si>
    <t>15143</t>
  </si>
  <si>
    <t>A suicidal Army Ranger grew increasingly violent in the months before he broke into the home of a former lover -- his cousin's wife -- and tussled with police officers who fatally shot him.</t>
  </si>
  <si>
    <t>Carlos D. Runyon</t>
  </si>
  <si>
    <t>http://wave.images.worldnow.com/images/22785642_BG1.jpg</t>
  </si>
  <si>
    <t>40228</t>
  </si>
  <si>
    <t>Runyon fled with hostage from KFC restaurant after armed robbery. Shots were fired at pursuing police, who returned fire, killing Runyon. Hostage was not wounded.</t>
  </si>
  <si>
    <t>http://www.wlky.com/news/local-news/louisville-news/officer-involved-in-fern-creek-shooting/-/9718340/20867548/-/uu97y6z/-/index.html</t>
  </si>
  <si>
    <t>German Mata</t>
  </si>
  <si>
    <t>http://d3trabu2dfbdfb.cloudfront.net/2/3/2325564_300x300_1.jpeg</t>
  </si>
  <si>
    <t>1615 S. Jackson St.</t>
  </si>
  <si>
    <t>79102</t>
  </si>
  <si>
    <t>Potter</t>
  </si>
  <si>
    <t>Amarillo Police Department</t>
  </si>
  <si>
    <t>Amarillo police fatally shot a man at 1615 S. Jackson St. on Sunday after they said he pointed a replica pistol at officers.</t>
  </si>
  <si>
    <t>http://amarillo.com/news/local-news/2013-07-07/amarillo-police-shoot-kill-man-who-pointed-replica-pistol</t>
  </si>
  <si>
    <t>Roy D. Barnhart Sr.</t>
  </si>
  <si>
    <t>Main Street</t>
  </si>
  <si>
    <t>Buckner</t>
  </si>
  <si>
    <t>62819</t>
  </si>
  <si>
    <t>Buckner Police Department</t>
  </si>
  <si>
    <t>Officers responded to a multi-party fight in progress. McKinney pepper sprayed and tasered the handcuffed Barnhart and beat him. He died a few days later. McKinney plead guilty involuntary manslaughter.</t>
  </si>
  <si>
    <t>http://thesouthern.com/news/local/isp-probes-death-of-buckner-man/article_e98fb9b0-eb79-11e2-a010-0019bb2963f4.html</t>
  </si>
  <si>
    <t>Adam Ignatz Bosch</t>
  </si>
  <si>
    <t>http://ak-cache.legacy.net/legacy/Images/Cobrands/DignityMemorial/Photos/f8811866-0e4d-4ac7-bebb-21c4a010a2bd.jpg</t>
  </si>
  <si>
    <t>Norco</t>
  </si>
  <si>
    <t>92860</t>
  </si>
  <si>
    <t>Deputies recognized Bosch from arrest warrant, pulled him over, claims he then drove at one deputy, who shot and killed him.</t>
  </si>
  <si>
    <t>http://www.pe.com/articles/bosch-677879-officer-brian.html</t>
  </si>
  <si>
    <t>Kou Lee</t>
  </si>
  <si>
    <t>93702</t>
  </si>
  <si>
    <t>Officers responded to domestic violence call. Lee was found holding his girlfriend in a chokehold, holding a handgun in each hand--one to her head and one to his own. Perceiving the woman to be in imminent danger, the officers shot and killed Lee.</t>
  </si>
  <si>
    <t>http://abclocal.go.com/kfsn/story?section=news%2Flocal&amp;id=9162170</t>
  </si>
  <si>
    <t>John Evans</t>
  </si>
  <si>
    <t>293 Little Trail Road</t>
  </si>
  <si>
    <t>Craigsville</t>
  </si>
  <si>
    <t>26205</t>
  </si>
  <si>
    <t>Nicholas</t>
  </si>
  <si>
    <t>Officers responded to a dispute between neighbors. Evans shot one officer with shotgun, and another one during the course of a five hour stand-off. Officers returned fire and killed him. Both officers survived.</t>
  </si>
  <si>
    <t>http://www.upi.com/Top_News/US/2013/07/06/WVa-man-84-shot-to-death-after-wounding-2-deputies/89881373164023/</t>
  </si>
  <si>
    <t>Todd Allan Ferguson</t>
  </si>
  <si>
    <t>700 E. Pierce</t>
  </si>
  <si>
    <t>Officers responded to domestic violence call. Ferguson threatened police with butcher knives and told the officer to kill him. After advancing on the officer and refusing to drop the knives, he was shot dead.</t>
  </si>
  <si>
    <t>http://www.abc15.com/dpp/news/region_phoenix_metro/central_phoenix/police-shoot-man-threatening-with-a-knife-at-phoenix-home</t>
  </si>
  <si>
    <t>Lemuel Rufus Furr III</t>
  </si>
  <si>
    <t>http://image2.findagrave.com/photos/2013/189/113588148_137341465132.jpg</t>
  </si>
  <si>
    <t>2350 Penninger Circle</t>
  </si>
  <si>
    <t>County officers and SWAT team members responded to a domestic disturbance and found Furr agitated, likely drunk, armed, and suicidal. Furr had already shot and wounded his son, and explicitly told officers on a phone call that he wanted to kill and be killed, "in a blaze of glory". When Furr emerged with a gun in each hand, and two more later discovered in his front pockets, he was fatally shot once by a police sniper.</t>
  </si>
  <si>
    <t>http://www.charmeckda.com/news/082313_2.pdf</t>
  </si>
  <si>
    <t>Vincent Wood</t>
  </si>
  <si>
    <t>http://main.abqjournal.netdna-cdn.com/wp-content/uploads/2014/01/130725_victorWood.jpg</t>
  </si>
  <si>
    <t>San Mateo Blvd. NE and Montgomery Blvd. NE</t>
  </si>
  <si>
    <t>Wood brandished two large knives at police officers at a North Valley gas station before being shot as many as six times by APD officers. Wood, a Vietnam veteran with PTSD, had gunshot wounds in his upper right chest, lower left chest, left stomach, penis, lower back, left buttock and upper left arm, in addition to two to his left forearm.</t>
  </si>
  <si>
    <t>Larry Hawkins</t>
  </si>
  <si>
    <t>1113 24th St.</t>
  </si>
  <si>
    <t>50311</t>
  </si>
  <si>
    <t>When officers responded to a home invasion, Larry Hawkins, refused to put his gun down and pointed the weapon at the officers. They responded by firing seven shots, of which three hit Hawkins. He died from a gunshot wound to the chest.</t>
  </si>
  <si>
    <t>http://www.wgem.com/story/22768976/robbery-suspect-shot-by-des-moines-police-dies</t>
  </si>
  <si>
    <t>James Wyman McGlothlin</t>
  </si>
  <si>
    <t>http://www.northescambia.com/wp-content/uploads/2013/07/mcglothinjameswyman.jpg</t>
  </si>
  <si>
    <t>32506</t>
  </si>
  <si>
    <t>McGlothlin's vehicle was chased by police for an unknown reason, and when it got stuck in a ditch he fled on foot. He was reportedly tracked by a K-9 in a apartment complex shed. Deputies report that he drew a pistol. They shot him multiple times, killing him.</t>
  </si>
  <si>
    <t>http://www.northescambia.com/2013/10/grand-jury-no-charges-against-deputies-in-two-shootings</t>
  </si>
  <si>
    <t>Joel D. Reuter</t>
  </si>
  <si>
    <t>http://tribkcpq.files.wordpress.com/2013/07/standoff.jpeg?w=770</t>
  </si>
  <si>
    <t>98102</t>
  </si>
  <si>
    <t>Suspect was pointing a gun at neighbors- when officers were called there was a several hour standoff that ended in Reuter being shot multiple times. Reuter suffered from bipolar disorder and lymphoma, and his parents are lobbying Washington state lawmakers to restrict access to guns for the mentally ill.</t>
  </si>
  <si>
    <t>http://www.thestranger.com/seattle/death-of-a-regular/Content?oid=17272208</t>
  </si>
  <si>
    <t>Dean Randolph Jess</t>
  </si>
  <si>
    <t>2525 King Ave. West</t>
  </si>
  <si>
    <t>59102</t>
  </si>
  <si>
    <t>A Yellowstone County deputy shot and killed a man who escaped from Montana State Prison following a standoff. Dean Randolph Jess was driving a stolen Jeep when he was pinned in by patrol cars at an intersection near a Wal-Mart. It ended when Jess moved a handgun he had been holding toward one of the deputies surrounding his vehicle. The deputy opened fire and Jess was killed.</t>
  </si>
  <si>
    <t>http://www.usatoday.com/story/news/nation/2013/07/05/escaped-inmate-montana-shot/2493693/</t>
  </si>
  <si>
    <t>Alex Nguyen</t>
  </si>
  <si>
    <t>2410 East Arkansas Lane</t>
  </si>
  <si>
    <t>76014</t>
  </si>
  <si>
    <t>An officer on routine patrol drove into a large shopping center parking lot a was flagged down by a security guard asking for help with a disturbance outside Star Saigon Bar and Grill. When the officer got out of his patrol car he saw a man firing into a group of people in the parking lot and that's when the officer shot the man, killing him, according to police.</t>
  </si>
  <si>
    <t>http://crimeblog.dallasnews.com/2013/07/arlington-police-officer-shot-and-killed-an-armed-man-firing-into-crowd-outside-nightclub-thursday-morning.html/</t>
  </si>
  <si>
    <t>Christian Green</t>
  </si>
  <si>
    <t>https://tribwgntv.files.wordpress.com/2013/07/teen-killed-by-police.jpg</t>
  </si>
  <si>
    <t>60621</t>
  </si>
  <si>
    <t>Officers report that they approached Green, who was "acting suspiciously." He ran, and they report that a gun fell from his waistband and that he picked it up and pointed it at them. They shot at him several times, possibly in the back, killing him. Witnesses say that Green was holding a firecracker. Mother Patricia Green filed a federal civil suit in 2013.</t>
  </si>
  <si>
    <t>http://cookcountyrecord.com/news/260885-mother-sues-after-her-child-was-allegedly-killed-by-a-chicago-police-officer</t>
  </si>
  <si>
    <t>Ernest Foster</t>
  </si>
  <si>
    <t>https://2dbdd5116ffa30a49aa8-c03f075f8191fb4e60e74b907071aee8.ssl.cf1.rackcdn.com/524720_1373213995.2602.jpg</t>
  </si>
  <si>
    <t>82220 Highway 111</t>
  </si>
  <si>
    <t>Foster was shot and killed by an Indio Police officer on July 4. According to authorities, Foster was armed and when police confronted him, he ran away. Then, a pursuit on foot started which led to a confrontation between the officer and Foster. That's when the officer opened fire and killed him. A family friend feels there is no evidence to prove he had any weapon with him at the time of the shooting.</t>
  </si>
  <si>
    <t>http://www.jrn.com/kmir6/news/Vigil-for-Man-Shot-and-Killed-by-Indio-PD-216094701.html</t>
  </si>
  <si>
    <t>James Garcia</t>
  </si>
  <si>
    <t>9980 Van Geisen Road</t>
  </si>
  <si>
    <t>Gilford Township</t>
  </si>
  <si>
    <t>48757</t>
  </si>
  <si>
    <t>Tuscola</t>
  </si>
  <si>
    <t>Tuscola County Sheriff's Department</t>
  </si>
  <si>
    <t>Officers responding to a 911 call about a dead woman found 53-year-old James Garcia, who they say came out of the home and started shooting. Police say they returned fire, killing Garcia.</t>
  </si>
  <si>
    <t>http://www.mlive.com/news/saginaw/index.ssf/2013/07/armed_stand-off_in_tuscola_cou.html</t>
  </si>
  <si>
    <t>Daniel A. Fitton</t>
  </si>
  <si>
    <t>817 Cook Ave</t>
  </si>
  <si>
    <t>Boardman</t>
  </si>
  <si>
    <t>44512</t>
  </si>
  <si>
    <t>Mahoning</t>
  </si>
  <si>
    <t>Boardman Police</t>
  </si>
  <si>
    <t>Subject was drunk and mentally ill inside his own apartment and not threatening others. Initial reports stated that subject discharged his firearm at police, but subsequent investigation, which was never completed, indicated he did not fire.</t>
  </si>
  <si>
    <t>http://www.vindy.com/news/2013/jul/05/man-killed-by-officers-shot-first-police/</t>
  </si>
  <si>
    <t>Daniel Ryan Pinney</t>
  </si>
  <si>
    <t>http://www.obitsforlife.com/uploaded-images/converted/283625-51df0b1dbd3fb-shrink-x180.jpg</t>
  </si>
  <si>
    <t>665 U.S. Hwy. 1</t>
  </si>
  <si>
    <t>Calais</t>
  </si>
  <si>
    <t>04619</t>
  </si>
  <si>
    <t>Calais Police Department</t>
  </si>
  <si>
    <t>Sgt. John Preston and two officers went to Pinney's home to look for Megan Sherrard, 21, and their baby in a possible kidnapping. Police report that as Sherrard tried to exit the home, Pinney shot her twice in the back, and that the bullets also hit the baby. Preston reportedly pulled Sherrard out of the home, was grazed by Pinney's gunfire, and shot him twice in the chest and once in the arm. The medical examiner reported the cause of death as suicide from a self-inflicted gunshot to the head.</t>
  </si>
  <si>
    <t>http://bangordailynews.com/2013/12/13/news/down-east/maine-attorney-general-rules-police-justified-in-calais-shooting/</t>
  </si>
  <si>
    <t>Corey J. Navarrete</t>
  </si>
  <si>
    <t>http://atholdailynews.com/SiteImages/Article/101825a.jpg</t>
  </si>
  <si>
    <t>18 Mechanic Street</t>
  </si>
  <si>
    <t>01364</t>
  </si>
  <si>
    <t>Massachusetts State Police Special Tactical Operations (STOP) Team</t>
  </si>
  <si>
    <t>Navarrete's reaction to a militarized no-knock drug raid of his apartment at 5:00 a.m. was to train a semi-automatic rifle at one of the troopers from his bed. Ordered twice to drop the weapon, he froze, and the trooper shot him fatally three times.</t>
  </si>
  <si>
    <t>https://northwesternda.org/sites/default/files/Findings%20in%20Fatal%20July%202013%20Shooting.pdf</t>
  </si>
  <si>
    <t>Brandon Rennie Turner</t>
  </si>
  <si>
    <t>http://katv.images.worldnow.com/images/22746228_BG1.jpg</t>
  </si>
  <si>
    <t>1910 Martin Luther King Boulevard</t>
  </si>
  <si>
    <t>Malvern</t>
  </si>
  <si>
    <t>72104</t>
  </si>
  <si>
    <t>Hot Spring</t>
  </si>
  <si>
    <t>Rockport Police Department</t>
  </si>
  <si>
    <t>A man wanted on robbery and attempted murder was fatally shot after an officer stopped him in the parking lot of a Wal-Mart. An officer stopped Turner's pickup in the store lot after seeing that it matched the description of one that fled a robbery. The officer reported hearing a gunshot from inside the truck and returned gunfire toward the driver. Turner was also wanted in connection with an attempted murder and robbery in Hot Springs.</t>
  </si>
  <si>
    <t>http://www.arkansasonline.com/news/2013/jul/03/possible-officer-involved-wal-mart-malvern/?f=news-arkansas</t>
  </si>
  <si>
    <t>Jose Estrada</t>
  </si>
  <si>
    <t>http://www.bacasfuneralchapelslascruces.com/sitemaker/memsol_data/991/1029774/1029774_profile_pic.jpg</t>
  </si>
  <si>
    <t>When police arrived Estrada was standing outside his home. Police said Estrada disobeyed commands from officers, went inside and came back out with what looked like an assault-style rifle that he pointed at the officers. Officers shot at Estrada and hit him at least once in the chest. The investigation has revealed that the weapon Estrada pointed at the officers strongly resembles AR-15/M-16 style rifles. The rifle Estrada pointed at officers was determined to be a Crosman M-16 style pellet rifle.</t>
  </si>
  <si>
    <t>http://www.lcsun-news.com/ci_23594738/investigation-continues-tuesdays-fatal-lcpd-shooting</t>
  </si>
  <si>
    <t>Cindy Annette Shepard</t>
  </si>
  <si>
    <t>Redmond</t>
  </si>
  <si>
    <t>97756</t>
  </si>
  <si>
    <t>Deschutes County Sheriff's Department</t>
  </si>
  <si>
    <t>Shepard was at first cooperative with police as they questioned her at her apartment about a possible drug shipment, then increasingly belligerent. Over the course of a 40-minute standpoint Shepard went in and out of her front door, emerging with a different firearm each time. When she advanced on officers with a loaded shotgun, she was killed with one rifle round to the torso.</t>
  </si>
  <si>
    <t>http://www.oregonlive.com/pacific-northwest-news/index.ssf/2013/07/deschutes_county_rules_cindy_s.html</t>
  </si>
  <si>
    <t>94544</t>
  </si>
  <si>
    <t>Andrew Stigliano</t>
  </si>
  <si>
    <t>13 Metropolitan Ave</t>
  </si>
  <si>
    <t>01721</t>
  </si>
  <si>
    <t>Andrew Stigliano had an outstanding warrant, was confronted by an officer and he fled. Officers attemped to arrest Stigliano and he then confronted officers with a shotgun and was subsequently shot.</t>
  </si>
  <si>
    <t>http://www.bostonglobe.com/metro/2013/07/02/police-ashland-fatally-shoot-man-they-say-was-armed-with-shotgun/o4HPXluwL0UVvK6SfmaHdK/story.html http://www.wickedlocal.com/article/20140706/NEWS/140708041</t>
  </si>
  <si>
    <t>Manfred M. Eisenheim</t>
  </si>
  <si>
    <t>North Fifth Road</t>
  </si>
  <si>
    <t>Town of Pound</t>
  </si>
  <si>
    <t>54161</t>
  </si>
  <si>
    <t>Marinette</t>
  </si>
  <si>
    <t>Marinette County Sheriff's Office</t>
  </si>
  <si>
    <t>Deputies responded to a call of a suspicious person. Shortly thereafter, a vehicle crashed into a residence in the same area. Deputies and rescue personnel removed an injured male from the crash who was later determined to be suffering from a gunshot wound. The male victim, who was in his late twenties, was taken to a hospital where he died. Officers then located Eisenheim, armed with a shotgun and a handgun inside of a vehicle. Eventually Eisenheim pointed a weapon in their direction. Officers shot and killed him.</t>
  </si>
  <si>
    <t>http://fox6now.com/2013/07/02/marinette-county-sheriffs-investigate-officer-involved-shooting/</t>
  </si>
  <si>
    <t>Johnny Taylor</t>
  </si>
  <si>
    <t>Shot to death. Police said they killed Taylor after he fired at them outside his home.</t>
  </si>
  <si>
    <t>http://www.myfoxmemphis.com/story/22737396/mpd-investigate-officer-involved-shooting-on-parkside</t>
  </si>
  <si>
    <t>George Harvey</t>
  </si>
  <si>
    <t>http://media.graytvinc.com/images/George+Harvey.jpg</t>
  </si>
  <si>
    <t>1501 Gordon Highway</t>
  </si>
  <si>
    <t>Harvey asked for police assistance. After some altercation Harvey was tasered multiple times and died.</t>
  </si>
  <si>
    <t>http://www.wafb.com/story/22726842/man-dies-after-tased-by-deputies</t>
  </si>
  <si>
    <t>Pacoima</t>
  </si>
  <si>
    <t>91331</t>
  </si>
  <si>
    <t>The suspect turned a gun towards deputies and the deputies fired killing the suspect.</t>
  </si>
  <si>
    <t>http://www.dailynews.com/general-news/20130702/suspect-shot-dead-by-police-in-pacoima-identified</t>
  </si>
  <si>
    <t>Lonnie Taylor</t>
  </si>
  <si>
    <t>http://usgunviolence.files.wordpress.com/2014/05/lonnie-taylor.jpg?w=625&amp;h=833</t>
  </si>
  <si>
    <t>Interstate 80 and Leisuretown Road</t>
  </si>
  <si>
    <t>95688</t>
  </si>
  <si>
    <t>Taylor was in a police pursuit after a traffic stop. I backed up into an officer. An officer fired, Taylor was was struck by the bullet and died later from his wound.</t>
  </si>
  <si>
    <t>http://www.ktvu.com/news/news/crime-law/sacramento-man-killed-vacaville-officer-involved-s/nYZT9/</t>
  </si>
  <si>
    <t>Paul M. Caruso</t>
  </si>
  <si>
    <t>163 Carlton Dr E</t>
  </si>
  <si>
    <t>Shirley</t>
  </si>
  <si>
    <t>11967</t>
  </si>
  <si>
    <t>Caruso fired 15 shots towards officers. Officers then fired at Caruso, killing him.</t>
  </si>
  <si>
    <t>http://abclocal.go.com/wabc/story?section=news%2Flocal%2Flong_island&amp;id=9156482</t>
  </si>
  <si>
    <t>Merlin Factor</t>
  </si>
  <si>
    <t>Yucaipa</t>
  </si>
  <si>
    <t>92399</t>
  </si>
  <si>
    <t>Yucaipa Sheriff's Department</t>
  </si>
  <si>
    <t>Factor fought with police and supposedly took out a gun. An officer fatally shot him.</t>
  </si>
  <si>
    <t>http://usgunviolence.wordpress.com/2013/06/29/killed-merlin-factor-yucaipa-ca/</t>
  </si>
  <si>
    <t>Christopher A. Fredette</t>
  </si>
  <si>
    <t>http://ak-cache.legacy.net/legacy/images/Cobrands/SanAntonio/Photos/2453076_245307620130704.jpg</t>
  </si>
  <si>
    <t>Officers called to the scene for a family disturbance, suspect was being aggressive towards his parents. Taken into yard by two officers, as they searched him, he pulls gun, fires it. Officer inside house ran out and fired.</t>
  </si>
  <si>
    <t>http://www.kens5.com/story/news/local/2014/06/26/10480200/</t>
  </si>
  <si>
    <t>Ricky Don McCommas</t>
  </si>
  <si>
    <t>http://hcnews.com/pages/wp-content/uploads/2013/07/wpid-WP_IM_1372783398627__0.jpg</t>
  </si>
  <si>
    <t>116 W Bridge St.</t>
  </si>
  <si>
    <t>Granbury</t>
  </si>
  <si>
    <t>76048</t>
  </si>
  <si>
    <t>Hood</t>
  </si>
  <si>
    <t>Granbury Police Department</t>
  </si>
  <si>
    <t>McCommas ambushed a Hood County deputy and killed him. He drove into Granbury, shooting at the City Hall, wounding an officer before another shot and killed him.</t>
  </si>
  <si>
    <t>http://www.burlesonstar.net/news/ci_24823166</t>
  </si>
  <si>
    <t>Michael Goodman</t>
  </si>
  <si>
    <t>http://katv.images.worldnow.com/images/22715090_BG6.jpg</t>
  </si>
  <si>
    <t>1709 Madden Road</t>
  </si>
  <si>
    <t>72076</t>
  </si>
  <si>
    <t>Police say Michael Goodman, 64, was in violation of a no contact order when he went to his wife's home this morning. When police tried to arrest him, he allegedly pulled a knife and rushed towards two officers. One of them shot and killed Goodman.</t>
  </si>
  <si>
    <t>http://www.fox16.com/news/local/story/Update-Jacksonville-Police-Identify-Man-Shot/d/story/OkWBE0m0f0CLjoGk9HjXUg</t>
  </si>
  <si>
    <t>Shawn Knight</t>
  </si>
  <si>
    <t>https://usgunviolence.files.wordpress.com/2014/05/shawn-knight.jpg?w=625</t>
  </si>
  <si>
    <t>52 Rose Blvd</t>
  </si>
  <si>
    <t>Uniontown</t>
  </si>
  <si>
    <t>15401</t>
  </si>
  <si>
    <t>Knight had a handgun in each hand. Knight did not comply with the officer's verbal commands. The officers then opened fire, killing Knight.</t>
  </si>
  <si>
    <t>https://usgunviolence.wordpress.com/category/shot-by-police/page/4/</t>
  </si>
  <si>
    <t>Deangelo Lopez</t>
  </si>
  <si>
    <t>Deputies responded to a call reporting a burglary in progress and found Lopez attempting to escape a house. Lopez allegedly confronted deputies and pointed a revolver at them. He was shot and killed.</t>
  </si>
  <si>
    <t>http://homicide.latimes.com/post/lopez-deangelo/</t>
  </si>
  <si>
    <t>Christopher Calhoun</t>
  </si>
  <si>
    <t>Oak Street SW and Lee Street SW</t>
  </si>
  <si>
    <t>30310</t>
  </si>
  <si>
    <t>Calhoun was wanted on multiple vehicle theft and drug-related warrants from Jackson County, Miss. Atlanta police got a tip that Calhoun was parked in a Chevrolet Suburban at the mall. Police pulled in, yelled freeze, and then there were a lot of shots, witnesses said. Calhoun was killed.</t>
  </si>
  <si>
    <t>http://www.ajc.com/news/news/local/authorities-fugitive-shot-and-killed-by-atlanta-po/nQWrK/</t>
  </si>
  <si>
    <t>Eugene Mallory</t>
  </si>
  <si>
    <t>http://i.dailymail.co.uk/i/pix/2013/10/11/article-2454911-18AE46C000000578-494_634x373.jpg</t>
  </si>
  <si>
    <t>Littlerock</t>
  </si>
  <si>
    <t>93543</t>
  </si>
  <si>
    <t>A sheriff's narcotics team was serving a narcotics-related search warrant. Deputies entered one of the residences on the property and approached a rear bedroom where they found Mallory armed with a semi-automatic handgun. He pointed the handgun at the deputies and a deputy shot and killed him.</t>
  </si>
  <si>
    <t>http://ktla.com/2013/10/10/widow-to-sue-over-fatal-shooting-of-husband-80-by-sheriffs-deputies/</t>
  </si>
  <si>
    <t>Richard Dale Kohler</t>
  </si>
  <si>
    <t>Maysel Laurel Ridge Road</t>
  </si>
  <si>
    <t>Maysel</t>
  </si>
  <si>
    <t>25133</t>
  </si>
  <si>
    <t>West Virginia State Police special response team, Drug Enforcement Administration</t>
  </si>
  <si>
    <t>Troopers shot and killed Richard Dale Kohler, 66, in his Maysel home early Wednesday after he pointed a rifle at officers attempting to serve a federal search warrant stemming from an ongoing drug investigation.</t>
  </si>
  <si>
    <t>http://www.charlestondailymail.com/policebrfs/201306260234</t>
  </si>
  <si>
    <t>Miquell (Mike) David Deppa</t>
  </si>
  <si>
    <t>http://www.bemidjipioneer.com/sites/default/files/styles/vert_175/public/fieldimages/1/obits/0707/1738120-deppamc_0.jpg?itok=jt6_agmL</t>
  </si>
  <si>
    <t>9203 Spencer Rd. NW</t>
  </si>
  <si>
    <t>Liberty Township</t>
  </si>
  <si>
    <t>56601</t>
  </si>
  <si>
    <t>Beltrami</t>
  </si>
  <si>
    <t>Beltrami County Sheriff's Office</t>
  </si>
  <si>
    <t>Police said officers responded to a report of an armed man threatening to kill himself or police. When they arrived at the man's house, officers heard gunshots and saw a man with a rifle run inside. Two women then ran out of the house to safety. Officers' arrival prompted an hours-long standoff during which the man fired several shots in the direction of police, according to reports after the incident. The Star Tribune reported that a Beltrami County SWAT team sniper fired once, hitting Deppa.</t>
  </si>
  <si>
    <t>http://www.startribune.com/local/213518011.html</t>
  </si>
  <si>
    <t>William McCullough</t>
  </si>
  <si>
    <t>http://cbsla.files.wordpress.com/2013/06/hemet-suspect.jpg?w=420</t>
  </si>
  <si>
    <t>http://losangeles.cbslocal.com/2013/06/26/police-kill-suspect-after-short-pursuit-in-hemet/</t>
  </si>
  <si>
    <t>Anthony Thompson</t>
  </si>
  <si>
    <t>Jurupa Valley</t>
  </si>
  <si>
    <t>92509</t>
  </si>
  <si>
    <t>Thompson was killed by police as he accelerated his car toward officers after shooting into an occupied home in Jurupa Valley.</t>
  </si>
  <si>
    <t>http://www.bakersfieldnow.com/news/local/Riverside-County-deputies-shoot-kill-man-213169891.html</t>
  </si>
  <si>
    <t>Kenneth John</t>
  </si>
  <si>
    <t>12th Avenue and Hyder Street</t>
  </si>
  <si>
    <t>Matanuska-Susitna Borough</t>
  </si>
  <si>
    <t>Traffic stop, When stopped, he reportedly got out of his Chevy Blazer and approached the officer with “two bladed weapons. Turns out he was friends with Detlef Wulf killed by police in April.</t>
  </si>
  <si>
    <t>http://www.alaskadispatch.com/article/20130625/two-cousins-western-alaska-shot-dead-same-neighborhood-police</t>
  </si>
  <si>
    <t>Mark Alan Chernin</t>
  </si>
  <si>
    <t>http://www.cape-coral-daily-breeze.com/photos/news/md/535433_1.jpg</t>
  </si>
  <si>
    <t>33990</t>
  </si>
  <si>
    <t>Cape Coral Police Department</t>
  </si>
  <si>
    <t>Officers were dispatched after a caller reported an armed person walking in the 2200 block S.E. 15 Street. A second call advised that shots had been fired. Police made contact with the armed subject. Gunfire ensued, resulting in the death of the armed subject at the scene.</t>
  </si>
  <si>
    <t>http://www.winknews.com/Local-Florida/2013-11-13/Investigation-clears-Cape-officers-of-wrongdoing-in-shooting</t>
  </si>
  <si>
    <t>Cacedrick White</t>
  </si>
  <si>
    <t>http://i.dailymail.co.uk/i/pix/2013/06/24/article-2347136-1A79A735000005DC-523_634x707.jpg</t>
  </si>
  <si>
    <t>224 Church St.</t>
  </si>
  <si>
    <t>39095</t>
  </si>
  <si>
    <t>Holmes</t>
  </si>
  <si>
    <t>Lexington Police Department</t>
  </si>
  <si>
    <t>The congregation of the Asia Missionary Baptist Church was having a heated disagreement about the firing of their pastor. White, the son of one of the church deacons arrived at the scene carrying a shotgun. He fired it once in the parking lot. A Lexington police officer fired back three times, wounding White who died at a hospital.</t>
  </si>
  <si>
    <t>http://guardianlv.com/2013/06/son-of-church-deacon-shot-and-killed-by-police/</t>
  </si>
  <si>
    <t>Jessica Gonzalez</t>
  </si>
  <si>
    <t>http://tribktla.files.wordpress.com/2013/06/jessica-gonzalez.jpg?w=210&amp;h=240</t>
  </si>
  <si>
    <t>http://www.ocregister.com/articles/ayala-596381-gonzalez-officers.html</t>
  </si>
  <si>
    <t>Damon Earl Bacy Byrd</t>
  </si>
  <si>
    <t>245 Bridge Ave.</t>
  </si>
  <si>
    <t>Fort Worth Police were called when neighbors heard screaming and threats to throw a woman off a balcony. Officers responded and caught the man in the act of stabbing the woman. They shot and killed him to stop the stabbing.</t>
  </si>
  <si>
    <t>http://www.star-telegram.com/2013/06/24/4960416/father-fort-worth-police-didnt.html</t>
  </si>
  <si>
    <t>Noah Burford Silva</t>
  </si>
  <si>
    <t>http://image2.findagrave.com/photos250/photos/2013/176/112892944_137226836923.jpg</t>
  </si>
  <si>
    <t>11800 Astoria Blvd</t>
  </si>
  <si>
    <t>Pearland Police Department</t>
  </si>
  <si>
    <t>Silva evaded police while shoplifting at Home Depot, then was caught at Wal-Mart. He escaped momentarily at a hospital, swimming across a pond, but the officer pursuing him shot him as he aggressively climbed out.</t>
  </si>
  <si>
    <t>http://www.chron.com/news/houston-texas/houston/article/Police-Fleeing-suspect-killed-by-officer-had-4620739.php</t>
  </si>
  <si>
    <t>Sarah Harrington</t>
  </si>
  <si>
    <t>http://usgunviolence.files.wordpress.com/2014/04/sarah-harrington.jpg</t>
  </si>
  <si>
    <t>221 E. Main Street</t>
  </si>
  <si>
    <t>78664</t>
  </si>
  <si>
    <t>Police received a call regarding a woman spotted carrying a gun near Quinns Neighborhood Bar. Officers made contact with the woman, who was sitting on a bench and told the officers she had a gun. Officers attempted to retrieve the gun from her by using a Taser and a pepper ball gun, which were ineffective, and Harrington then pointed her gun at the officers. The officers shot and killed the woman.</t>
  </si>
  <si>
    <t>http://www.statesman.com/news/news/local/woman-dead-after-officer-involved-shooting/nYS55/</t>
  </si>
  <si>
    <t>Ceaser Joe Mendoza</t>
  </si>
  <si>
    <t>https://usgunviolence.files.wordpress.com/2014/04/cesar-mendoza.jpeg</t>
  </si>
  <si>
    <t>15613 Loukelton St.</t>
  </si>
  <si>
    <t>La Puente</t>
  </si>
  <si>
    <t>91744</t>
  </si>
  <si>
    <t>Mendoza was a passenger in a car that was stopped by deputies for running a stop sign, and Mendoza told his car-mate that he had to run because he had a gun on his person. Upon fleeing, he fell, and a deputy said that he saw the gun on Mendoza and that Mendoza grabbed for the weapon, and the deputy shot him. Mendoza began to flee again. The deputy shot 5 times and hit Mendoza 3 times, 2 of which were in Mendoza's back and the back of his arm respectively</t>
  </si>
  <si>
    <t>http://www.sgvtribune.com/general-news/20140627/loved-ones-mark-anniversary-of-fatal-la-puente-deputy-involved-shooting</t>
  </si>
  <si>
    <t>Gregory Allen Price</t>
  </si>
  <si>
    <t>1036 SE Douglas Ave</t>
  </si>
  <si>
    <t>Roseburg</t>
  </si>
  <si>
    <t>97470</t>
  </si>
  <si>
    <t>Two city officers apprehended Price for jumping on vehicles and causing other property damage in the area of the Douglas County Courthouse. They used pepper spray, then a Taser, to subdue him. Price then had an unspecified medical emergency and died.</t>
  </si>
  <si>
    <t>http://registerguard.com/rg/news/local/30069671-75/story.csp</t>
  </si>
  <si>
    <t>Williams</t>
  </si>
  <si>
    <t>Charles Warren Wickline</t>
  </si>
  <si>
    <t>http://woay.com/ShowImage.aspx?w=300&amp;dir=News&amp;img=CharlesWickline3698917.jpg</t>
  </si>
  <si>
    <t>Willabet Hollow Road</t>
  </si>
  <si>
    <t>Coal City</t>
  </si>
  <si>
    <t>25823</t>
  </si>
  <si>
    <t>Raleigh County Sheriff's Office</t>
  </si>
  <si>
    <t>Home confinement officers were checking up on Wickline at his home, a condition of a bond in connection with child neglect resulting in death, when he pulled a gun on them and fled on an ATV. When officers followed, he shot at them and was killed by return fire</t>
  </si>
  <si>
    <t>http://woay.com/News.aspx?nid=7126</t>
  </si>
  <si>
    <t>Jourdan Akili Wagner</t>
  </si>
  <si>
    <t>http://kpho.images.worldnow.com/images/22650419_BG6.jpg</t>
  </si>
  <si>
    <t>85303</t>
  </si>
  <si>
    <t>Police were called to investigate a report of a subject trespassing in a local business complex and making threats. When the first officer arrived on scene, he asked Wagner to step outside. Once outside, Wagner fled on foot from the officer. Eventually, officers located Wagner under a trampoline in the backyard of a home. Wagner wounded an officer and mortally wounded a police dog before being shot and killed.</t>
  </si>
  <si>
    <t>http://arizona.newszap.com/westvalley/123446-114/update-glendale-officer-recovering-from-shooting-that-left-suspect-police-dog-dead</t>
  </si>
  <si>
    <t>Donnell Carter</t>
  </si>
  <si>
    <t>http://localtvwiti.files.wordpress.com/2013/06/carter.jpg?w=185&amp;h=103&amp;crop=1</t>
  </si>
  <si>
    <t>W Burleigh St &amp; N Sherman Blvd Milwaukee</t>
  </si>
  <si>
    <t>53210</t>
  </si>
  <si>
    <t>Milwaukee Police were investigating a fight when they heard shots fired. They responded to where they heard the shots and were confronted by Carter. When police saw him with the gun, police told him to drop it. He did not, and they shot and killed him.</t>
  </si>
  <si>
    <t>http://www.jrn.com/tmj4/news/212287851.html</t>
  </si>
  <si>
    <t>Jordan R. Camp</t>
  </si>
  <si>
    <t>https://usgunviolence.files.wordpress.com/2014/04/jordan-richard-camp1.jpg?w=625</t>
  </si>
  <si>
    <t>834 Canton Hollow Road</t>
  </si>
  <si>
    <t>37934</t>
  </si>
  <si>
    <t>Officers were attempting to arrest Camp for assault and probation violations. He held up in a friend's trailer, barricaded in a bedroom. He pointed his gun at officers and was shot and killed.</t>
  </si>
  <si>
    <t>http://www.policeone.com/Officer-Safety/articles/6291062-Tenn-officer-shot-suspect-killed-in-mobile-home-shootout/</t>
  </si>
  <si>
    <t>Kenneth Dewayne Cooper</t>
  </si>
  <si>
    <t>http://www.koco.com/image/view/-/20647748/medRes/1/-/maxh/460/maxw/620/-/o54qk7/-/Mug-Kenneth-Dewayne-Cooper-jpg.jpg</t>
  </si>
  <si>
    <t>2408 NE 26</t>
  </si>
  <si>
    <t>Cooper was shot and killed after officers responded to a possible disturbance call.</t>
  </si>
  <si>
    <t>http://www.koco.com/news/oklahomanews/okc/oklahoma-city-police-id-man-fatally-shot-by-officer/20647644</t>
  </si>
  <si>
    <t>Uriel Juarez</t>
  </si>
  <si>
    <t>http://cbsdallas.files.wordpress.com/2013/06/uriel-juarez1.jpg?w=420&amp;h=315</t>
  </si>
  <si>
    <t>75060</t>
  </si>
  <si>
    <t>Police responded to a domestic disturbance where Juarez was armed with a rifle and threatened to kill a family member. Juarez fled the home and officers followed him, until he reached a home in the 600 block Balleywood. Juarez got out of his car and began shooting at the two officers, who returned fire. He died later in the hospital.</t>
  </si>
  <si>
    <t>http://dfw.cbslocal.com/2013/06/20/irving-police-shot-killed-suspect-in-shootout/</t>
  </si>
  <si>
    <t>Joseph Hanegan</t>
  </si>
  <si>
    <t>71107</t>
  </si>
  <si>
    <t>Caddo County Sheriff's Office</t>
  </si>
  <si>
    <t>Police received a call that a man locked himself inside a vehicle and threatened to harm himself. The man kept screaming he had a gun and was unwilling to show his weapon. "The man jumped out of his vehicle, stood up and swung his arms over the opened door, and had an object in his hands. He pointed that object at the deputy and at that point the deputy fired."</t>
  </si>
  <si>
    <t>http://www.ksla.com/story/22639323/cpso-man-killed-in-blanchard-after-deputy-involved-shooting</t>
  </si>
  <si>
    <t>Matthew Scott Wiese</t>
  </si>
  <si>
    <t>Lynnwood</t>
  </si>
  <si>
    <t>98087</t>
  </si>
  <si>
    <t>Deputies were called when Wiese violated a protection order. First he fired a roman candle firework at them, then approached them with an imitation gun pellet gun before they shot and killed him.</t>
  </si>
  <si>
    <t>http://www.komonews.com/news/local/Lynnwood-man-shot-by-Snohomish-Co-deputies-died-of-multiple-wounds-212534111.html</t>
  </si>
  <si>
    <t>Jaquaz Walker</t>
  </si>
  <si>
    <t>http://img.opposingviews.com/sites/default/files/imagecache/350x250/featured_image/JaquazWalker_0.png</t>
  </si>
  <si>
    <t>5100 Snow White Lane</t>
  </si>
  <si>
    <t>28213</t>
  </si>
  <si>
    <t>Police claim they were forced to shoot Walker when a drug sting set up by authorities at Hidden Valley Elementary School went wrong. Police set up a marijuana drug deal between an undercover police officer, an informant and two teen suspects. During the drug deal, Walker shot the informant in the shoulder after attempting to rob him. That's when the undercover officer shot Walker in the head and killed him.</t>
  </si>
  <si>
    <t>http://www.opposingviews.com/i/society/crime/police-shoot-jaquaz-walker-17-during-botched-drug-sting-school-video</t>
  </si>
  <si>
    <t>Hampton City</t>
  </si>
  <si>
    <t>Thomas Robinson</t>
  </si>
  <si>
    <t>Dumont Ave &amp; Hinsdale St</t>
  </si>
  <si>
    <t>Police interrupted a mugging. The suspect shot at them, so they returned fire, shooting and killing him.</t>
  </si>
  <si>
    <t>http://www.newsday.com/news/nypd-suspect-dead-in-police-shooting-1.5519051</t>
  </si>
  <si>
    <t>Patrick O'Meara</t>
  </si>
  <si>
    <t>98498</t>
  </si>
  <si>
    <t>Lakewood police were looking for O'Meara for an outstanding felony theft warrant. They found him at his mother's house. Officers knocked on his door and announced they were police. At the same time, other officers standing near the side of the house spotted O'Meara inside holding what appeared to be a handgun. Police say they repeatedly told O'Meara to drop the gun, but he refused. Two officers then opened fire, killing him. He had a cap gun.</t>
  </si>
  <si>
    <t>http://www.komonews.com/news/local/Man-killed-by-Lakewood-police-was-holding-toy-gun-212845751.html</t>
  </si>
  <si>
    <t>Cedric Howard</t>
  </si>
  <si>
    <t>http://ww3.hdnux.com/photos/22/25/65/4808058/7/622x350.jpg</t>
  </si>
  <si>
    <t>Officers responded to a report of an argument between two men. Howard was apparently holding the other man against his will in a duplex apartment. After police arrived, Howard came out holding a weapon and refused to put it down. Officers shot and killed him.</t>
  </si>
  <si>
    <t>http://www.expressnews.com/news/local_news/article/Questions-linger-after-man-is-fatally-shot-by-4628815.php</t>
  </si>
  <si>
    <t>93304</t>
  </si>
  <si>
    <t>Robert Bergeson</t>
  </si>
  <si>
    <t>28 Witter Road</t>
  </si>
  <si>
    <t>06420</t>
  </si>
  <si>
    <t>Firefighters and police arrived at Bergeson's home, which was burning. The driveway was blocked with vehicles, and it appeared the fire was deliberately set. Bergeson was in the woods behind the house acting irrationally, and he charged police with either a gun or a club, so they shot and killed him.</t>
  </si>
  <si>
    <t>http://www.nbcconnecticut.com/news/local/Man-Killed-by-Police-in-Salem-Had-Troubled-Past-212215711.html</t>
  </si>
  <si>
    <t>Kevin L. Ellis</t>
  </si>
  <si>
    <t>5337 N Brighton Ave</t>
  </si>
  <si>
    <t>64119</t>
  </si>
  <si>
    <t>Police responded to a prowler call and was told by a woman that Ellis was "acting erratically" and that he had gotten into her car with her. They report that "maybe he was talking to himself " and that "he resisted a little bit" while removing him from the car. He was drive-stunned and handcuffed, at which time officers "noticed he was not breathing."</t>
  </si>
  <si>
    <t>http://www.kctv5.com/story/22610364/man-reportedly-acting-erratically-dies-after-officers-stun-him</t>
  </si>
  <si>
    <t>John Mark Stevens</t>
  </si>
  <si>
    <t>http://ktre.images.worldnow.com/images/22613862_BG1.jpg</t>
  </si>
  <si>
    <t>County Road 2051</t>
  </si>
  <si>
    <t>75965</t>
  </si>
  <si>
    <t>Deputies were dispatched to a disturbance at a residence around 1 a.m. and found John Mark Stevens, 41, with a pistol in his hand.Deputies negotiated with Stevens for nearly 45 minutes in his yard while Stevens held onto the gun and entered and exited an exterior shop next to his home. Stevens then started walking toward deputies who fired two bean bag rounds at Stevens to disarm him. He made it to cover and shot at them, at which point they shot and killed him.</t>
  </si>
  <si>
    <t>http://www.ktre.com/story/22613862/nacogdoches-man-killed-in</t>
  </si>
  <si>
    <t>Michael Westley</t>
  </si>
  <si>
    <t>http://cdn.abclocal.go.com/images/wls/cms_exf_2007/_video_wn_images/9142029_600x338.jpg</t>
  </si>
  <si>
    <t>6600 S Sangamon St</t>
  </si>
  <si>
    <t>According to a police statement, officers in Englewood were responding to a call about shots fired when they spotted Michael running down the street. They chased the teen through an alley and into the street. It was there, police said, that Michael pointed a handgun toward them, and they opened fire, killing him. Police later said they recovered two weapons at the scene.</t>
  </si>
  <si>
    <t>http://www.dnainfo.com/chicago/20130617/englewood/urban-prep-student-slain-by-police-honored-by-dozens-of-friends-relatives</t>
  </si>
  <si>
    <t>Antwon Johnson</t>
  </si>
  <si>
    <t>W 18th St &amp; S Springfield Ave</t>
  </si>
  <si>
    <t>60623</t>
  </si>
  <si>
    <t>Johnson ran from a car that had refused to stop for a routine traffic stop. He fell and pointed his gun at police, at which point they shot and killed him.</t>
  </si>
  <si>
    <t>http://www.chicagotribune.com/news/local/breaking/chi-authorities-police-shoot-kill-armed-man-in-lawndale-neighborhood-20130616,0,945462.story?track=rss</t>
  </si>
  <si>
    <t>Joe White III</t>
  </si>
  <si>
    <t>http://usgunviolence.files.wordpress.com/2014/04/joe-white-iii.jpg?w=625&amp;h=350</t>
  </si>
  <si>
    <t>15015 Monroe St.</t>
  </si>
  <si>
    <t>A man killed by police had stabbed three relatives and confronted arriving police officers, Miami-Dade police said. Police said units were called to a home on a report that three woman had been stabbed. White had attacked his mother and two sisters. As the officers tried to question him, he tried to run. A confrontation ensued with an officer and White was shot and killed.</t>
  </si>
  <si>
    <t>http://www.miamiherald.com/2013/06/17/3456356/man-killed-by-miami-dade-police.html</t>
  </si>
  <si>
    <t>Sammie Lamont Wallace</t>
  </si>
  <si>
    <t>http://kwtv.images.worldnow.com/images/22625075_BG2.jpg</t>
  </si>
  <si>
    <t>7520 E Reno Ave.</t>
  </si>
  <si>
    <t>Midwest City</t>
  </si>
  <si>
    <t>73110</t>
  </si>
  <si>
    <t>A mentally ill man took a 2-year-old girl hostage, holding a knife to her throat. When he started a countdown to the girl's death, he was shot once and killed.</t>
  </si>
  <si>
    <t>http://www.news9.com/story/22620874/police-identify-suspect-killed-at-mwc-Wal-Mart</t>
  </si>
  <si>
    <t>Eliakim Tipan Shabazz</t>
  </si>
  <si>
    <t>http://www.wach.com/uploadedImages/wach/EdwardsMauriceMugShot.jpg?w=204&amp;h=153&amp;aspect=nostretch</t>
  </si>
  <si>
    <t>1190 Sunset Boulevard</t>
  </si>
  <si>
    <t>West Columbia</t>
  </si>
  <si>
    <t>29169</t>
  </si>
  <si>
    <t>West Columbia Police Department</t>
  </si>
  <si>
    <t>Officers were called to Kangaroo Express gas station about a man threatening a citizen with a handgun. Investigators say when two officers made contact with the suspect, he pulled a handgun from his waistband. One of the officers shot and killed him.</t>
  </si>
  <si>
    <t>http://www.wistv.com/story/22621819/west-columbia-officer-shoots-kills</t>
  </si>
  <si>
    <t>Jonathan Demarco</t>
  </si>
  <si>
    <t>http://www.beckchapels.com/sitemaker/memsol_data/1038/1013961/1013961_profile_pic.jpg</t>
  </si>
  <si>
    <t>Jonathan Demarco allegedly shot Sarai Alexis Valdez. Demarco then allegedly raised his handgun toward two officers and both officers fired back, killing Demarco,</t>
  </si>
  <si>
    <t>http://www.statesman.com/news/news/local/two-dead-in-nicole-circle-shootings/nYMf9/</t>
  </si>
  <si>
    <t>424 Ohlones St.</t>
  </si>
  <si>
    <t>94539</t>
  </si>
  <si>
    <t>Three officers responded to a call from the man's family that he was mentally ill, that "the effectiveness of the man's medication seemed to be wearing off" and that he was breaking furniture and attacking them with a knife. After removing the family from the home, the officers report that they found the man on his bed with several knives. They report that they commanded him to disarm, that he threatened them, and that he reached for a large knife. Two officers shot him and another tasered him. He died at the scene.</t>
  </si>
  <si>
    <t>http://www.mercurynews.com/breaking-news/ci_23473152/fremont-police-fatally-shoot-mentally-ill-man-armed</t>
  </si>
  <si>
    <t>James D. Jones</t>
  </si>
  <si>
    <t>4739 U.S. 50</t>
  </si>
  <si>
    <t>47558</t>
  </si>
  <si>
    <t>An armed robbery was in progress when a state trooper arrived at the gun shop, and he exchanged gunfire with the robbery suspect identified as James D. Jones, 60. The trooper was hit multiple times, and survived, Jones died at the scene.</t>
  </si>
  <si>
    <t>http://www.courierpress.com/news/2013/jun/17/trooper-reportedly-shot-daviess-county/?partner=popular</t>
  </si>
  <si>
    <t>Caleb Wade Blackburn</t>
  </si>
  <si>
    <t>https://www.meaningfulfunerals.net/fh_live/14000/14072/images/obituaries/2095823.jpg</t>
  </si>
  <si>
    <t>Blackburn was a stabbing suspect. He was shot and killed by a sheriff's deputy.</t>
  </si>
  <si>
    <t>http://www.bakersfieldcalifornian.com/local/breaking-news/x1891154353/Man-shot-by-sheriffs-deputy-in-Oildale</t>
  </si>
  <si>
    <t>Eric Wayne Dunphy</t>
  </si>
  <si>
    <t>http://media.cmgdigital.com/shared/lt/lt_cache/thumbnail/400/img/photos/2013/06/17/7b/b7/Eric_Dunphy.jpg</t>
  </si>
  <si>
    <t>Deputy Ronald Barba responded to a domestic disturbance call at Dunphy's home. At the door, Dunphy reportedly put her in a headlock, held what looked like a tool to her head, and threatened to kill her. Barba reports that he repeatedly told Dunphy to let her go and when he did not, Barba shot and killed him.</t>
  </si>
  <si>
    <t>http://www.wesh.com/news/central-florida/orange-county/deputy-shoots-suspect-in-domestic-violence-incident/20591812</t>
  </si>
  <si>
    <t>Recardio Shormon Clark</t>
  </si>
  <si>
    <t>http://archive.firstcoastnews.com/images/640/360/2/assetpool/images/130616023531_clark.JPG</t>
  </si>
  <si>
    <t>6900 SW 21st Lane</t>
  </si>
  <si>
    <t>32607</t>
  </si>
  <si>
    <t>Alachua County Sheriff's Office</t>
  </si>
  <si>
    <t>Deputies responded to a call in the Tower Oaks Glenn apartment complex after receiving a complaint about an assault and battery. Upon arrival, the deputies made contact with Clark and sometime during the communication with the deputies, Clark shot one in the upper torso. The deputy returned fire striking Clark multiple times, killing him.</t>
  </si>
  <si>
    <t>http://www.gainesville.com/article/20130616/articles/130619708</t>
  </si>
  <si>
    <t>Jorge Abraham Zarazua-Rubio</t>
  </si>
  <si>
    <t>F St &amp; Dahlman Ave</t>
  </si>
  <si>
    <t>68107</t>
  </si>
  <si>
    <t>Zarazua-Rubio targeted his first shooting victim, Aaron Anderson, before going on to shoot three other people he encountered that afternoon. Anderson and Angel Cabrera were critically wounded in the shootings, but Anthony Vazzano and Pascual Bautista-Raymundo were both killed. Officer Coral Walker then exchanged gunfire with the suspect, Zarazua-Rubio, killing him.</t>
  </si>
  <si>
    <t>http://journalstar.com/news/state-and-regional/nebraska/gunman-killed-by-omaha-police-last-weekend-named/article_a8f7ab25-c14d-5d4b-946c-672db0403bdb.html</t>
  </si>
  <si>
    <t>3201 NW 68th Street</t>
  </si>
  <si>
    <t>Officers responded to a call about a domestic dispute. Miami-Dade police said the man involved was wanted for a strong armed robbery. When officers tried to take him into custody, the man reportedly started to fight back, at which time the officers shot and killed him.</t>
  </si>
  <si>
    <t>http://miami.cbslocal.com/2013/06/15/man-dead-after-police-involved-shooting/</t>
  </si>
  <si>
    <t>Lewis Pollard</t>
  </si>
  <si>
    <t>http://usgunviolence.files.wordpress.com/2014/04/lewis-pollard.jpg</t>
  </si>
  <si>
    <t>South Mesa Avenue and Holly Berry Way</t>
  </si>
  <si>
    <t>Fruita</t>
  </si>
  <si>
    <t>81521</t>
  </si>
  <si>
    <t>Fruita Police Department</t>
  </si>
  <si>
    <t>According to the Fruita Police Department, Pollard fled in his car after being pulled over during a routine traffic stop. Fruita Police Chief Mark Angelo says the chase ended near the 100 block Holly Berry Way when three officers shot and killed Pollard.</t>
  </si>
  <si>
    <t>http://splcenter.org/blog/2013/06/20/colorado-man-shot-dead-by-police-may-have-been-%E2%80%98sovereign%E2%80%99/</t>
  </si>
  <si>
    <t>Quincy Williams</t>
  </si>
  <si>
    <t>http://extras.mnginteractive.com/live/media/site571/2013/0618/20130618_013524_burger_VIEWER.jpg</t>
  </si>
  <si>
    <t>3714 Castro Valley Blvd.</t>
  </si>
  <si>
    <t>Castro Valley</t>
  </si>
  <si>
    <t>94546</t>
  </si>
  <si>
    <t>http://sanfrancisco.cbslocal.com/2013/06/15/police-kill-suspect-during-attempted-robbery-castro-valley-restaurant/</t>
  </si>
  <si>
    <t>Wilfredo Justiniano Jr.</t>
  </si>
  <si>
    <t>http://usgunviolence.files.wordpress.com/2014/04/wilfredo-justiniano-jr.jpg</t>
  </si>
  <si>
    <t>695 Hillside St.</t>
  </si>
  <si>
    <t>Randolph</t>
  </si>
  <si>
    <t>02368</t>
  </si>
  <si>
    <t>State police were called to help a person who was having a medical emergency. The officer tried pepper spray before shooting and killing Justiniano. http://www.scribd.com/doc/209723246/Norfolk-County-District-Attorney-s-Report-on-the-Police-Shooting-of-Wilfredo-Justiniano</t>
  </si>
  <si>
    <t>http://www.bostonglobe.com/metro/2013/06/14/state-police-respond-report-officer-involved-shooting-near-route-and-interstate/0DvHg35D5JZWXt7UvloP5I/story.html</t>
  </si>
  <si>
    <t>N. Smith</t>
  </si>
  <si>
    <t>101 Sivley Road Southwest</t>
  </si>
  <si>
    <t>N. Smith was a minor set up by police in a drug sting. After N. Smith allegedly sold drugs to an informant, plainclothes police threw Smith down, pepper sprayed him, handcuffed him then jumped on his back hard enough to break two ribs. N. Smith began choking almost immediately, but police inserted a large object down his throat because they believed he had swallowed drugs. He died five days later without regaining consciousness. This information is based on a federal lawsuit linked in this entry.</t>
  </si>
  <si>
    <t>http://ftpcontent4.worldnow.com/waff/hpd-wrongful-death-suit.pdf</t>
  </si>
  <si>
    <t>William Sage Berger</t>
  </si>
  <si>
    <t>http://image2.findagrave.com/photos250/photos/2013/292/119026428_138229804549.jpg</t>
  </si>
  <si>
    <t>5501 S. Regal St</t>
  </si>
  <si>
    <t>99223</t>
  </si>
  <si>
    <t>When answering a call on Berger being disorderly in a gym, Deputy Steve Paynter approached him in the street and tasered him. Berger ran and resisted. Deputy Shawn Audie arrived and Berger was tasered 2-4 times. While the three struggled, Audie put him in two lateral vascular neck restraints (sleeper holds). "Berger stopped resisting, at which time deputies noticed that he had stopped breathing,” according to Washington State Patrol Trooper Jeff Sevigny. Although the cause of White's death was initially reported as taser, the autopsy report showed asphyxiation. In June 2014, White's father filed a claim for $100m and started www.willbfund.org.</t>
  </si>
  <si>
    <t>http://www.krem.com/news/Family-of-man-tased-near-Oz-Fitness-files-100-million-claim-262573481.html</t>
  </si>
  <si>
    <t>Jeremiah B. Krubert</t>
  </si>
  <si>
    <t>http://www.lakegenevanews.net/datedimages/2013/07/09/124CD3UPl2F973B9.med.jpg</t>
  </si>
  <si>
    <t>Millard Road and Pierce Road</t>
  </si>
  <si>
    <t>Elkhorn</t>
  </si>
  <si>
    <t>53121</t>
  </si>
  <si>
    <t>Walworth</t>
  </si>
  <si>
    <t>Walworth County Sheriff's Office</t>
  </si>
  <si>
    <t>A deputy responding to a report of a home invasion encountered Krubert, who was trying to leave the driveway in Boyd's truck. Krubert got out of the truck and “confronted the deputy with an edged weapon,” and the deputy shot multiple times during this encounter. Krubert then stole the deputy's squad car, and a pursuit ensued. Krubert is alleged to have exited the squad car with the squad shotgun. He walked towards the deputies and refused commands to drop the weapon, at which time, deputies shot and killed him.</t>
  </si>
  <si>
    <t>http://www.gazettextra.com/news/2013/jun/13/suspect-shot-dead-officer-involved-shooting-walwor/</t>
  </si>
  <si>
    <t>Joseph Thomas Brewer Jr.</t>
  </si>
  <si>
    <t>92865</t>
  </si>
  <si>
    <t>Orange Police Department</t>
  </si>
  <si>
    <t>Officer Brian Chambers responded to a "man with knife" call from the woman who owned the home at which Brewer was staying. Chambers reports that Brewer was holding a box cutter in front of the home, and that he saw him "reach toward his pocket." Chambers ordered Brewer to put his hands up and reports that he instead confronted him, walked toward him and gave him an “intense stare". Chambers shot him three times in the chest.</t>
  </si>
  <si>
    <t>http://www.ocregister.com/articles/brewer-539880-chambers-officer.html</t>
  </si>
  <si>
    <t>Fullerton</t>
  </si>
  <si>
    <t>Fullerton Police Department</t>
  </si>
  <si>
    <t>Alexander L. Mandarino</t>
  </si>
  <si>
    <t>http://bloximages.chicago2.vip.townnews.com/dailyinterlake.com/content/tncms/assets/v3/editorial/a/1c/a1cd168c-d7aa-11e2-b96b-0019bb2963f4/51bfa421a7ded.preview-300.jpg</t>
  </si>
  <si>
    <t>I-90 Exit 0</t>
  </si>
  <si>
    <t>Mullan</t>
  </si>
  <si>
    <t>83846</t>
  </si>
  <si>
    <t>Shoshone</t>
  </si>
  <si>
    <t>Idaho State Police</t>
  </si>
  <si>
    <t>http://www.shoshonenewspress.com/news/article_d20bfa96-d52c-11e2-afaf-0019bb2963f4.html</t>
  </si>
  <si>
    <t>Darrius J. Lowery-Baptiste</t>
  </si>
  <si>
    <t>http://media.gazettextra.com/img/photos/2013/06/13/baptiste061313.jpg</t>
  </si>
  <si>
    <t>State St &amp; W Grand Ave</t>
  </si>
  <si>
    <t>Beloit</t>
  </si>
  <si>
    <t>53511</t>
  </si>
  <si>
    <t>Rock</t>
  </si>
  <si>
    <t>Beloit Police Department</t>
  </si>
  <si>
    <t>Beloit police had been watching Lowery-Baptiste leave a downtown residence because the state Department of Corrections had warrant for his arrest, police said. Beloit police wanted to question him about a series of shooting incidents.Two officers shot and killed Lowery-Baptiste when he rammed a police car after failing to cooperate during a traffic stop.</t>
  </si>
  <si>
    <t>http://www.gazettextra.com/weblogs/latest-news/2013/jun/13/man-killed-police-identified/</t>
  </si>
  <si>
    <t>Zachary Rodney Paul Premo</t>
  </si>
  <si>
    <t>https://usgunviolence.files.wordpress.com/2014/04/zachary-premo1.jpg?w=625</t>
  </si>
  <si>
    <t>319 Locust St.</t>
  </si>
  <si>
    <t>Duluth</t>
  </si>
  <si>
    <t>55811</t>
  </si>
  <si>
    <t>Duluth Police Department</t>
  </si>
  <si>
    <t>Police officers shot Zachary Premo following a confrontation that began while officers looked for a driver who had fled the scene of a one-vehicle crash.</t>
  </si>
  <si>
    <t>http://www.crookstontimes.com/article/20130906/NEWS/130909762?template=printart</t>
  </si>
  <si>
    <t>Joseph Paige</t>
  </si>
  <si>
    <t>https://usgunviolence.files.wordpress.com/2014/04/joseph-paige1.jpg?w=625</t>
  </si>
  <si>
    <t>I-4 and Colonial Drive</t>
  </si>
  <si>
    <t>According to Orlando police, the incident began with an apparent armed robbery on Amelia Street near Orange Blossom Trail. A witness spotted the suspected getaway vehicle on I-4 and officers conducted a traffic stop a short time later, police said. A short distance away, however, a gunman, later identified as a 24-year-old Joseph Paige, who was not involved in the traffic stop, was spotted in the middle of the highway, according to police. Officers started talking to Paige, but police said they were forced to fire at him, and he was pronounced dead at the scene.</t>
  </si>
  <si>
    <t>http://www.clickorlando.com/news/suspect-dead-after-officer-involved-shooting/20494590</t>
  </si>
  <si>
    <t>Gregory Bayne</t>
  </si>
  <si>
    <t>http://lipnews.com/site/wp-content/uploads/Gregory-Bayne11.jpg</t>
  </si>
  <si>
    <t>17603</t>
  </si>
  <si>
    <t>http://fox43.com/local-news/stories/man-dead-after-officer-involved-shooting-in-lancaster-city/#axzz3581IG38x</t>
  </si>
  <si>
    <t>D'Wayne Burke</t>
  </si>
  <si>
    <t>http://augustacrime.com/wp-content/uploads/2013/06/Dwayne-Burke.jpg</t>
  </si>
  <si>
    <t>909 Charles Perry Ave.</t>
  </si>
  <si>
    <t>Sardis</t>
  </si>
  <si>
    <t>30456</t>
  </si>
  <si>
    <t>Sardis Police Department</t>
  </si>
  <si>
    <t>Burke, a former cop, broke into the evidence room of his old station. He was armed with an ax when officers found, shot and killed him.</t>
  </si>
  <si>
    <t>http://www.wrdw.com/news/crimeteam12/headlines/Shooting-at-Sardis-Police-Station-210801611.html</t>
  </si>
  <si>
    <t>Noel Mendoza</t>
  </si>
  <si>
    <t>http://wfsb.images.worldnow.com/images/22556951_BG1.jpg</t>
  </si>
  <si>
    <t>50 W Main St</t>
  </si>
  <si>
    <t>Meriden</t>
  </si>
  <si>
    <t>06451</t>
  </si>
  <si>
    <t>Meriden Police Department</t>
  </si>
  <si>
    <t>Irrational and combative, Mendoza had driven himself to the parking lot of the local police station. When he began to be verbally abusive, police tasered him. He died in the hospital a short time later.</t>
  </si>
  <si>
    <t>http://articles.courant.com/2013-06-11/community/hc-meriden-use-of-force-0611-20130610_1_meriden-police-kendzior-taser</t>
  </si>
  <si>
    <t>Cameron Arrigoni</t>
  </si>
  <si>
    <t>http://ak-cache.legacy.com/legacy/images/Cobrands/BDNMaine/Photos/photo_002712_AP029856_1_42BAA4440eeb925CD3vrrt5EFF7F_20130612.jpg</t>
  </si>
  <si>
    <t>Main Road South</t>
  </si>
  <si>
    <t>04444</t>
  </si>
  <si>
    <t>Hampden Police Department</t>
  </si>
  <si>
    <t>Police were responding to a domestic dispute in which Arrigoni both threatened his girlfriend and to commit suicide. Officers broke into the house when the girlfriend reported he was trying to break down a bedroom door to get at her. He pointed his gun at officers so they shot and killed him.</t>
  </si>
  <si>
    <t>http://www.maine.gov/tools/whatsnew/index.php?topic=AGOffice_Press&amp;id=606217&amp;v=reportsarticle10</t>
  </si>
  <si>
    <t>Curtis Ray Fipps</t>
  </si>
  <si>
    <t>https://usgunviolence.files.wordpress.com/2014/03/curtis-fipps.jpg</t>
  </si>
  <si>
    <t>Paden</t>
  </si>
  <si>
    <t>74860</t>
  </si>
  <si>
    <t>Okfuskee</t>
  </si>
  <si>
    <t>Okfuskee County Sheriff's Office</t>
  </si>
  <si>
    <t>A deputy from Okfuskee County Sheriff's Department was responding to a domestic dispute call, when a man (Curtis Ray Fipps), not involved in the dispute, approached the deputy with a shotgun. The deputy repeatedly ordered Fipps to drop his weapon. Fipps was fatally shot by the deputy when he did not comply with the order. Oklahoma State Bureau of Investigation (OSBI) is investigating the justification of Fipps' death.</t>
  </si>
  <si>
    <t>http://www.newson6.com/story/22543076/okfuskee-county-deputy-shoots-kills-armed-paden-man</t>
  </si>
  <si>
    <t>Mark A. Koves</t>
  </si>
  <si>
    <t>60476</t>
  </si>
  <si>
    <t>Thornton Police were alerted regarding a "naked man" at Hubbard Park Pavilion in Thornton, IL. When approached by the police the man, Mark A. Koves, 28, was reported as "very erratic and combative." The police tasered Koves who died shortly thereafter at St. James Hospital.</t>
  </si>
  <si>
    <t>http://www.nwitimes.com/news/local/illinois/thornton/crown-point-man-dies-after-taser-strike-by-thornton-police/article_8a4d76b9-70ae-5243-ba7b-7c8700bff855.html</t>
  </si>
  <si>
    <t>Garrett Chruma</t>
  </si>
  <si>
    <t>https://usgunviolence.files.wordpress.com/2014/03/garett-chruma.jpg?w=625</t>
  </si>
  <si>
    <t>Mason Ferry Road</t>
  </si>
  <si>
    <t>Wilmer</t>
  </si>
  <si>
    <t>36587</t>
  </si>
  <si>
    <t>Alabama State Police</t>
  </si>
  <si>
    <t>Alabama State Troopers began a "short, high speed chase" of Garrett Chruma, 21, armed on motorcycle. The chase continued on foot, ended with a confrontation between officers in which Chruma was shot and killed, near Mason Ferry Road in Wilmer.The Alabama Bureau of Investigation (ABI) is conducting an investigation.</t>
  </si>
  <si>
    <t>http://www.abc3340.com/story/22548035/state-trooper-shoots-kills-suspect-after-chase-near-mobile</t>
  </si>
  <si>
    <t>Mohammed Naas</t>
  </si>
  <si>
    <t>11 Tennessee St.</t>
  </si>
  <si>
    <t>Police responded to Quincy Alley after numerous callers reported a shooting. An officer arriving on the scene found a female victim down in the alley, and witnesses directed him to the suspect, standing behind a parked car. As the officer approached, the suspect pointed a handgun at him, prompting the officer to shoot and kill him.</t>
  </si>
  <si>
    <t>http://www.ktvu.com/news/news/crime-law/vallejo-police-shot-suspect-who-allegedly-killed-w/nYGH7/</t>
  </si>
  <si>
    <t>Rustin Wilkerson</t>
  </si>
  <si>
    <t>92570</t>
  </si>
  <si>
    <t>Responding to shots fired, a deputy said Wilkerson pointed a shotgun at her, before four deputies shot and killed him.</t>
  </si>
  <si>
    <t>http://www.pe.com/articles/shot-679742-fired-heard.html</t>
  </si>
  <si>
    <t>Urbano Moreno Morales</t>
  </si>
  <si>
    <t>Windsor Town Green</t>
  </si>
  <si>
    <t>Windsor</t>
  </si>
  <si>
    <t>95492</t>
  </si>
  <si>
    <t>Urbano Moreno Morales stabbed and seriously wounded the mother of his adult son with a knife outside a Starbucks store in Windsor's Town Green neighborhood. Morales walked away from the neighborhood, and started stabbing himself before police approached him. Morales then charged at the officers with the knife and was then shot to death.[100]</t>
  </si>
  <si>
    <t>http://usgunviolence.wordpress.com/2013/06/08/killed-urbano-moreno-morales-windsor-ca/</t>
  </si>
  <si>
    <t>Craig Devon Rodgers</t>
  </si>
  <si>
    <t>Manatee Avenue and 19th Street East</t>
  </si>
  <si>
    <t>Officers responded to a call involving a possible kidnapping. Rodgers appeared to have been beating his girlfriend, who was locked in a bedroom for a day and a half. Rodgerslet her go onto the porch to get fresh air, where she managed to send a text message to a family member in North Carolina, who then called police. Police arrived on scene, and Rodgers fled. The chase led to a back yard three blocks away, where he confronted a detective in a back yard with some type of long metal item. The officer shot and killed him.</t>
  </si>
  <si>
    <t>http://www.mysuncoast.com/news/local/more-details-in-bradenton-kidnapping-that-led-to-fatal-police/article_d0348e04-d397-11e2-a892-0019bb30f31a.html</t>
  </si>
  <si>
    <t>Gregory Allen Rosson Jr.</t>
  </si>
  <si>
    <t>http://bloximages.newyork1.vip.townnews.com/dailyprogress.com/content/tncms/assets/v3/editorial/6/a6/6a657fa6-0c5a-11e3-95ee-0019bb30f31a/521808fa1d9b3.image.jpg</t>
  </si>
  <si>
    <t>Afton</t>
  </si>
  <si>
    <t>22920</t>
  </si>
  <si>
    <t>Nelson</t>
  </si>
  <si>
    <t>Albemarle County Police Department</t>
  </si>
  <si>
    <t>Officer arrived to find Rosson beating and choking his ex-girlfriend. He dropped the woman and rushed the officer, who shot and killed him.</t>
  </si>
  <si>
    <t>http://www.dailyprogress.com/news/crime/fatal-police-shooting-in-afton-deemed-justified/article_604da2bc-0c1b-11e3-a3e4-0019bb30f31a.html</t>
  </si>
  <si>
    <t>Joseph Harvey Jr.</t>
  </si>
  <si>
    <t>http://legalinsurrection.com/wp-content/uploads/2013/08/Joseph-Harvey-Jr.png</t>
  </si>
  <si>
    <t>Route 3 and Interstate 97</t>
  </si>
  <si>
    <t>Millersville</t>
  </si>
  <si>
    <t>21108</t>
  </si>
  <si>
    <t>After road rage on the highway, the off-duty officer and Harvey pulled off the road. As Harvey approached Walker, Walker shot and killed him.</t>
  </si>
  <si>
    <t>Renee Witham</t>
  </si>
  <si>
    <t>http://www.fatalencounters.org/wp-content/uploads/2013/10/ReneeWitham.jpg</t>
  </si>
  <si>
    <t>2600 E Silver St</t>
  </si>
  <si>
    <t>Witham was suicidal and called 911 to report that she was going to kill herself. The police officers attended the scene and found her outside with a man. They reported she took a gun out of a holster, and the police officers told her to drop the weapon. After she refused police officers opened fire, killing her and injuring the man.</t>
  </si>
  <si>
    <t>http://www.jrn.com/kgun9/news/210692891.html</t>
  </si>
  <si>
    <t>John Zawahri</t>
  </si>
  <si>
    <t>http://msnbcmedia.msn.com/j/MSNBC/Components/Photo/_new/130610-zawahri-430a.380;380;7;70;0.jpg</t>
  </si>
  <si>
    <t>Pearl Street and 17th Street</t>
  </si>
  <si>
    <t>Santa Monica</t>
  </si>
  <si>
    <t>90405</t>
  </si>
  <si>
    <t>Santa Monica Police Department</t>
  </si>
  <si>
    <t>http://usnews.nbcnews.com/_news/2013/06/09/18865467-santa-monica-shooting-spree-suspect-identified-as-death-toll-climbs?lite</t>
  </si>
  <si>
    <t>Seon Rose</t>
  </si>
  <si>
    <t>Upper Riverdale Road and Tara Boulevard</t>
  </si>
  <si>
    <t>30236</t>
  </si>
  <si>
    <t>An officer was sitting at a red light when a woman crashed into his patrol unit from behind. A young lady got out and approached the officer, advising him that her husband was trying to attack her. Shortly after that, another car struck the woman's van. Hughes said Seon Rose crashed into his estranged wife's car and then attacked her. When the officer broke them up, police said Rose pulled out a gun and shot him. Another officer then shot and killed Rose.</t>
  </si>
  <si>
    <t>http://www.cbs46.com/story/22536981/officer-involved-shooting-in-clayton-county</t>
  </si>
  <si>
    <t>Daniel Lee Lucha Jr.</t>
  </si>
  <si>
    <t>http://usgunviolence.files.wordpress.com/2014/02/daniel-lee-lucha-jr.jpg?w=625&amp;h=350</t>
  </si>
  <si>
    <t>Plumas Street and A Street</t>
  </si>
  <si>
    <t>Lucha Jr. was the suspect in two fast-food restaurant robberies. He was involved in a vehicle pursuit with law enforcement leading up to his death. Throughout the 30-minute pursuit, he stopped several times until he was shot inside his van. Fourteen officers shot and killed him. He was armed with a tire iron.</t>
  </si>
  <si>
    <t>http://richmedia.onset.freedom.com/marysville/ms9nyz-luchareport.doc</t>
  </si>
  <si>
    <t>Andrew Lambeth</t>
  </si>
  <si>
    <t>http://usgunviolence.files.wordpress.com/2014/03/andrew-lambeth.jpg?w=625</t>
  </si>
  <si>
    <t>3520 Dallas Acworth Hwy NW</t>
  </si>
  <si>
    <t>Acworth</t>
  </si>
  <si>
    <t>30101</t>
  </si>
  <si>
    <t>Cobb County Emergency Communications Center dispatched uniform officers in reference to a domestic dispute. Information was provided to the officers that the subject was armed with a handgun and possibly suicidal. As the officer arrived the individual in front of the residence was armed with a firearm. Lambeth shot his gun, and the officer shot and killed him.</t>
  </si>
  <si>
    <t>http://mdjonline.com/view/full_story/22846012/article-Cobb-man-shot-dead-by-police%E2%80%93Neighbor-describes-man-as%E2%80%93fine-fellow%E2%80%93who-just%E2%80%93popped-</t>
  </si>
  <si>
    <t>Richard Haston</t>
  </si>
  <si>
    <t>8913 Southeast Bridge Road</t>
  </si>
  <si>
    <t>Hobe Sound</t>
  </si>
  <si>
    <t>33455</t>
  </si>
  <si>
    <t>Martin</t>
  </si>
  <si>
    <t>Martin County sheriff's Office</t>
  </si>
  <si>
    <t>Sgt. James Warren Sr. had his pistol out and his hand on the front of Richard Haston's Jeep. Warren, a 29-year Martin County sheriff's veteran, had just been in an altercation with Haston, and told him to stop. Instead, Haston, 39, proceeded forward in the Jeep and struck Warren. Warren fired at least two shots from his .45 caliber handgun through the windshield, striking Haston in the upper torso.</t>
  </si>
  <si>
    <t>http://www.tcpalm.com/news/man-dead-in-hobe-sound-after-deputy-involved</t>
  </si>
  <si>
    <t>Layne Michael Campbell</t>
  </si>
  <si>
    <t>350 Scorpio Circle</t>
  </si>
  <si>
    <t>89521</t>
  </si>
  <si>
    <t>Washoe County Sheriff's Office</t>
  </si>
  <si>
    <t>Police say shortly after 4:30AM, Washoe County sheriff's deputies responded to reports of an intruder trying to get into a home on Scorpio Circle, near Geiger Grade in south Reno. When deputies got there, they found a man matching the description given by the witness. At least one deputy fired and the suspect was killed.</t>
  </si>
  <si>
    <t>http://www.kolotv.com/home/headlines/Shots-210565461.html</t>
  </si>
  <si>
    <t>John Settlemyer</t>
  </si>
  <si>
    <t>https://usgunviolence.files.wordpress.com/2014/03/john-settlemyer.jpg?w=625</t>
  </si>
  <si>
    <t>5490 Northwood Dr</t>
  </si>
  <si>
    <t>When deputies arrived at the house, they found Settlemyre was barricaded inside.Officers heard loud noises coming from the basement and went around to the back of the house. Capt. B.J. Fore said officers heard shots being fired inside. Settlemyre came out of the house with guns and exchanged fire with officers. Settlemyre was pronounced dead at the scene.</t>
  </si>
  <si>
    <t>https://usgunviolence.wordpress.com/2013/06/06/killed-john-settlemyer-hickory-nc/</t>
  </si>
  <si>
    <t>Blake Compton</t>
  </si>
  <si>
    <t>http://www.coopersorrells.com/fh_live/11400/11454/images/obituaries/2112628.jpg</t>
  </si>
  <si>
    <t>Bonham</t>
  </si>
  <si>
    <t>75418</t>
  </si>
  <si>
    <t>Fannin</t>
  </si>
  <si>
    <t>Fannin Department of Public Safety</t>
  </si>
  <si>
    <t>A man was standing on his front porch with a gun, and when he did not cooperate with officers they shot and killed him.</t>
  </si>
  <si>
    <t>http://www.kxii.com/home/headlines/Fannin-County-man-dead-in-officer-involved-shooting-210663581.html</t>
  </si>
  <si>
    <t>St. Albans</t>
  </si>
  <si>
    <t>11412</t>
  </si>
  <si>
    <t>Sherlon Smikle, an off-duty NYPD officer fatally blasted his wife, Lana Morris, with a shotgun on their Queens street, then went inside and turned the weapon on himself.</t>
  </si>
  <si>
    <t>http://www.nydailynews.com/new-york/queens/queens-nypd-shoots-wife-death-kills-article-1.1364543</t>
  </si>
  <si>
    <t>Lana Morris</t>
  </si>
  <si>
    <t>http://usgunviolence.files.wordpress.com/2014/03/lana-morris.jpg?w=625</t>
  </si>
  <si>
    <t>Camden Avenue</t>
  </si>
  <si>
    <t>Arnett Myers</t>
  </si>
  <si>
    <t>11111 Pulaski Hwy</t>
  </si>
  <si>
    <t>Police said officers were responding to a report of an assault at the Colony Motel. A woman said a man on a motor scooter was causing a disturbance, and when she asked him to leave, he allegedly drove around her in circles and then attempted to strike her with his scooter. When officers went to the suspect's apartment a few blocks away, police said, the man struggled with one officer and tried to pull his gun from the holster. Another officer shot the man several times, killing him.</t>
  </si>
  <si>
    <t>http://articles.baltimoresun.com/2013-06-05/news/bs-md-co-police-involved-shooting-20130605_1_motor-scooter-police-involved-shooting-baltimore-county-police</t>
  </si>
  <si>
    <t>Hugo Raymond “Ray” Barragan</t>
  </si>
  <si>
    <t>Hillcrest Place and Hillcrest Lane</t>
  </si>
  <si>
    <t>Fallbrook</t>
  </si>
  <si>
    <t>92028</t>
  </si>
  <si>
    <t>Barragan refused to pull over. When he arrived at his grandmother's house he got out of his car and ran inside the house. Deputies followed and began punching and taser Barragan. When Barragan was taken outside he stopped breathing. Paramedics tried to revive him, but Barragan had died.</t>
  </si>
  <si>
    <t>http://www.utsandiego.com/news/2013/jun/07/family-says-man-beaten-during-fallbrook-arrest/</t>
  </si>
  <si>
    <t>David Erwin Hartman</t>
  </si>
  <si>
    <t>http://kten.images.worldnow.com/images/22516391_BG2.jpg</t>
  </si>
  <si>
    <t>3000 Mockingbird Lane</t>
  </si>
  <si>
    <t>75209</t>
  </si>
  <si>
    <t>According to Highland Park Police, officers responded to a 911 call from a driver saying a man on a motorcycle was following them. A motorcycle matching the description was found at a nearby shopping center. Hartman returned to the motorcycle, but police say when they tried to question him, he ran off. He was handcuffed after a brief chase and placed into the back of a patrol car. Hartman was able to escape the handcuffs where he was able to use a small firearm he still had on his person. The suspect fired one shot out of the patrol car. Both officers shot, killing Hartman.</t>
  </si>
  <si>
    <t>http://www.kten.com/story/22516391/texoma-man-shot-and-killed-by-police-in-dallas</t>
  </si>
  <si>
    <t>William “Danny” Mayes</t>
  </si>
  <si>
    <t>http://media.utsandiego.com/img/photos/2013/06/07/william_mayes_1_t730.jpg?b0f0cf804b45a2830ba759010b8a41b9b1684c1a</t>
  </si>
  <si>
    <t>Rancho Pkwy &amp; Del Lago Blvd</t>
  </si>
  <si>
    <t>92029</t>
  </si>
  <si>
    <t>Mayes had been identified as a suspect in an elder abuse case two weeks earlier and was being lured by police to a Park and Ride in Escondido. He made a violent attempt to avoid arrest, police said, pulling a homemade shotgun. His vehicle was filled with explosive devices.</t>
  </si>
  <si>
    <t>http://www.utsandiego.com/news/2013/Jun/07/mayes-san-diego-police-shot-bomb-escondido/</t>
  </si>
  <si>
    <t>Luiz Urdez</t>
  </si>
  <si>
    <t>North Scovell Avenue and South State Street</t>
  </si>
  <si>
    <t>San Jacinto</t>
  </si>
  <si>
    <t>92582</t>
  </si>
  <si>
    <t>Police said they received multiple reports of a disturbance. When responding officers arrived at the scene, they found the suspect assaulting a woman inside a trailer. One officer shot and killed the suspect.</t>
  </si>
  <si>
    <t>http://www.nbclosangeles.com/news/local/Riverside-police-officer-involved-shooting-Jurupa-Valley-shooting-214840561.html</t>
  </si>
  <si>
    <t>Byron "Big B" Kelley</t>
  </si>
  <si>
    <t>5744 Lancaster Drive</t>
  </si>
  <si>
    <t>Shot to death in Olive Branch, Miss., by Memphis police and DEA agents.</t>
  </si>
  <si>
    <t>http://www.commercialappeal.com/news/2013/jun/04/drug-suspect-killed-in-shootout-with-officers-in/</t>
  </si>
  <si>
    <t>Shirley Jean Peeler</t>
  </si>
  <si>
    <t>Highway 36 and Mad River Road</t>
  </si>
  <si>
    <t>Mad River</t>
  </si>
  <si>
    <t>95552</t>
  </si>
  <si>
    <t>Trinity</t>
  </si>
  <si>
    <t>Trinity County Sheriff's Office</t>
  </si>
  <si>
    <t>A realtor was showing a property to prospective buyers when they encountered Peeler, whose parents had once owned the property, armed with a rifle. Police say Peeler had been ordered off the property when it went on the market. Peeler allegedly fired a shot at the realtor who then called the police. Officers shot and killed Peeler after they say she threatened them and fired a shot.[106]</t>
  </si>
  <si>
    <t>http://www.redding.com/news/2013/jun/07/woman-armed-rifle-shot-killed-deputies/</t>
  </si>
  <si>
    <t>Timothy John Walker</t>
  </si>
  <si>
    <t>42 Harbor Way</t>
  </si>
  <si>
    <t>According to Vallejo police officials, the incident began when officers responded to reports of a loud fight on a boat. When they arrived, they contacted Walker and shot him when he pointed a flare gun, modified to look like a shotgun, at an officer, officials said.</t>
  </si>
  <si>
    <t>http://www.sfgate.com/crime/article/Vallejo-cops-shoot-kill-marina-man-4579515.php</t>
  </si>
  <si>
    <t>Tyler Wilkins</t>
  </si>
  <si>
    <t>http://media2.kshb.com//photo/2013/06/04/imagejpeg952-(2)_20130604162443_640_480.PNG</t>
  </si>
  <si>
    <t>Smart Avenue and Wheeling Avenue</t>
  </si>
  <si>
    <t>64123</t>
  </si>
  <si>
    <t>Police were attempting to question the boy about another crime. He ran, they chased. They said he pointed a gun at him, and they shot and killed him.</t>
  </si>
  <si>
    <t>http://www.kctv5.com/story/22503000/blame-tears-after-16-year-old-fatally-shot-by-kc-police-officer</t>
  </si>
  <si>
    <t>Pedro Najar Murillo</t>
  </si>
  <si>
    <t>Cherry and Los Angeles streets</t>
  </si>
  <si>
    <t>Huron</t>
  </si>
  <si>
    <t>93234</t>
  </si>
  <si>
    <t>Huron Police Department</t>
  </si>
  <si>
    <t>An officer approached Murillo, who was on a bicycle, for an unknown reason. Murillo fled on the bike and then on foot. The officer shot and killed Murillo after he allegedly pointed a small handgun at the officer.</t>
  </si>
  <si>
    <t>http://www.crimevoice.com/huron-man-fatally-shot-by-officers/</t>
  </si>
  <si>
    <t>Stephen Dinnan</t>
  </si>
  <si>
    <t>http://www.kitv.com/image/view/-/21039820/medRes/3/-/maxh/460/maxw/620/-/13hbbo0z/-/Stephen-Dinnan.jpg</t>
  </si>
  <si>
    <t>Ala Koa Street</t>
  </si>
  <si>
    <t>Waimanalo</t>
  </si>
  <si>
    <t>96795</t>
  </si>
  <si>
    <t>Stephen Dinnan, 35, was running away from police when the man reporting an auto theft stopped him and put him in a chokehold, the report said. The auto theft complainant and the officer arrived at the Waimanalo home together. The man released the chokehold after the officer told him to, and Dinnan was still conscious. Dinnan became unresponsive after he was handcuffed while prone, according to the autopsy report. He was taken off life support after he was pronounced brain dead the next day.</t>
  </si>
  <si>
    <t>http://www.staradvertiser.com/news/breaking/20130724_ME_Man_who_arrived_with_police_choked_detainee.html?id=216859071</t>
  </si>
  <si>
    <t>Louis James Skelly</t>
  </si>
  <si>
    <t>https://cbsdenver.files.wordpress.com/2013/06/skellylouis-from-larimer-sheriff.jpg?w=620&amp;h=349&amp;crop=1</t>
  </si>
  <si>
    <t>10841 Creedmore Lakes Rd</t>
  </si>
  <si>
    <t>Red Feather Lakes</t>
  </si>
  <si>
    <t>80545</t>
  </si>
  <si>
    <t>https://usgunviolence.wordpress.com/2013/06/03/killed-louis-james-skelly-larimer-county-co/</t>
  </si>
  <si>
    <t>Keoshia L. Hill</t>
  </si>
  <si>
    <t>Selma PD says the officer, identified as Dwight Moorer, was off-duty when he shot and killed his ex-girlfriend, 28-year-old Keoshia L. Hill and her step-father, 59-year-old Bill Jackson.</t>
  </si>
  <si>
    <t>http://www.wsfa.com/story/22481859/selma-police-stunned-that-off-duty-officer-killed-two-then-self-over-the-weekend</t>
  </si>
  <si>
    <t>Bill Jackson</t>
  </si>
  <si>
    <t>Dwayne Thomas witnessed the first shooting on 10th Avenue. "The man tried to tell Moorer 'It doesn't have to be this way' and put up his hands to try to defend himself, but Moorer opened fire.. bam.. bam.. bam and shot him," said Thomas.</t>
  </si>
  <si>
    <t>Edward Mwaura</t>
  </si>
  <si>
    <t>http://ddq74coujkv1i.cloudfront.net/Mwaura-285x245.jpg</t>
  </si>
  <si>
    <t>4252 Irish Hills Drive</t>
  </si>
  <si>
    <t>South Bend</t>
  </si>
  <si>
    <t>46614</t>
  </si>
  <si>
    <t>South Bend Police Department</t>
  </si>
  <si>
    <t>Police arrived at the family's apartment. They forced themselves inside after hearing a girl screaming and found the man on top of his daughter, stabbing her repeatedly. The man, Mwaura, was shot and died at the scene.</t>
  </si>
  <si>
    <t>http://articles.southbendtribune.com/2013-06-03/news/39721723_1_apartment-building-6-year-old-girl-apartment-complex</t>
  </si>
  <si>
    <t>https://usgunviolence.files.wordpress.com/2014/03/ross-batista1.jpg</t>
  </si>
  <si>
    <t>76 Willowwood Street</t>
  </si>
  <si>
    <t>Police responded to Willowwood Street in Dorchester, where there were reports a man had a gun and was shooting. When officers approached the man in his car, he fired at them, police said. Police returned fire and the man was shot and killed.</t>
  </si>
  <si>
    <t>http://www.bostonglobe.com/metro/2013/06/03/dorchester-man-identified-person-fatally-wounded-during-shootout-with-boston-police/QsrhLFKY1CvyDzmp2wI2fJ/story.html</t>
  </si>
  <si>
    <t>Ricardo Diaz-Zeferino</t>
  </si>
  <si>
    <t>1644 W. Redondo Beach Blvd.</t>
  </si>
  <si>
    <t>Gardena</t>
  </si>
  <si>
    <t>90247</t>
  </si>
  <si>
    <t>Gardena Police Department</t>
  </si>
  <si>
    <t>Police were responding to a robbery, and were told two Latino men were involved. As they approached the call, two Latino men on bicycles were coming toward them. They stopped them, and gave them orders in Spanish and English. Diaz-Zeferino showed up and apparently attempted to explain the situation, but police misinterpreted his motives and shot and killed him.</t>
  </si>
  <si>
    <t>http://www.dailybreeze.com/general-news/20130611/audio-recordings-shed-light-on-fatal-gardena-police-shooting</t>
  </si>
  <si>
    <t>Guy Guthrie</t>
  </si>
  <si>
    <t>30438 Sunset Trail</t>
  </si>
  <si>
    <t>80470</t>
  </si>
  <si>
    <t>http://kdvr.com/2013/06/03/man-who-died-in-taser-incident-idenitfied/</t>
  </si>
  <si>
    <t>Justin Tyler Riedisser</t>
  </si>
  <si>
    <t>71st Avenue and Indian School Road</t>
  </si>
  <si>
    <t>85033</t>
  </si>
  <si>
    <t>Several officers shot and killed Riedisser after he allegedly pointed a gun at them. Police were initially responding to a domestic violence incident at an apartment. They tracked Riedisser to another location less than a mile away before killing him.[112]</t>
  </si>
  <si>
    <t>http://www.abc15.com/news/region-phoenix-metro/central-phoenix/phoenix-police-investigating-shooting-area-expected-to-be-restricted-for-hours</t>
  </si>
  <si>
    <t>Giacomo James Cargnoni</t>
  </si>
  <si>
    <t>http://media.utsandiego.com/img/photos/2013/06/03/UTI1717709_t180.jpg?6ec45598a0efd272cf6d6631efc8bbae7a2ee918</t>
  </si>
  <si>
    <t>Sea World Drive and Sunset Cliffs Boulevard</t>
  </si>
  <si>
    <t>92109</t>
  </si>
  <si>
    <t>Police were called to an Ocean Beach apartment complex where a man with a gun was threatening to shoot another man. Cargnoni had left the apartment by the time officers arrived, but his silver Volkswagen sedan was spotted minutes later and pulled over on Sea World Drive. He got out of the car but ignored commands to put up his hands. Cargnoni instead walked to the passenger side of the car, reached between the seats and pulled out a brown and silver object. He then raised the object and pointed it at police. The officer who was closest to Cargnoni opened fire, killing him.</t>
  </si>
  <si>
    <t>http://www.utsandiego.com/news/2013/Jun/03/mna-killed-police-identified/</t>
  </si>
  <si>
    <t>Roy Jacobs Jr.</t>
  </si>
  <si>
    <t>http://www.inlander.com/imager/roy-jacobs-jr/b/original/2241345/7432/Jacobs1.jpg</t>
  </si>
  <si>
    <t>Jacobs called law enforcement offering to turn himself in on an outstanding warrant. When deputies arrived to serve the arrest warrant, “a confrontation ensued,” according to the release. Police said an intoxicated Jacobs threatened them with a knife, so he was shot and killed.</t>
  </si>
  <si>
    <t>http://www.inlander.com/Bloglander/archives/2013/12/13/decision-memo-details-fatal-deputy-involved-shooting-from-june</t>
  </si>
  <si>
    <t>North Carolina State Highway Patrol</t>
  </si>
  <si>
    <t>Michael Neal Peters</t>
  </si>
  <si>
    <t>http://www.jdnews.com/polopoly_fs/1.152096.1370099123!/fileImage/httpImage/image.jpg_gen/derivatives/landscape_174/michael-neal-peters.jpg</t>
  </si>
  <si>
    <t>Broad Creek</t>
  </si>
  <si>
    <t>28570</t>
  </si>
  <si>
    <t>Carteret County Sheriff's Office</t>
  </si>
  <si>
    <t>Officers responded to call that Peters had threatened to kill his estranged wife. While talking on the phone with deputies, he stated that he no longer wanted to live. When officers arrived, he first barricaded himself inside his apartment, then came out armed with three handguns and started firing at them. They returned fire, killing him.</t>
  </si>
  <si>
    <t>http://www.carolinacoastonline.com/news_times/article_758ccb48-cfa9-11e2-9e8d-001a4bcf887a.html</t>
  </si>
  <si>
    <t>Mhai Scott</t>
  </si>
  <si>
    <t>http://1.bp.blogspot.com/-vKwnZ4pg9Ik/UagfvMxzV3I/AAAAAAAABQ4/pLhgmp9aZRM/s72-c/053013_woman.jpg</t>
  </si>
  <si>
    <t>21398 Price Cascades Plaza</t>
  </si>
  <si>
    <t>Sterling</t>
  </si>
  <si>
    <t>20164</t>
  </si>
  <si>
    <t>Loudoun County Sheriff's Office</t>
  </si>
  <si>
    <t>Scott reportedly became upset when she ran out of pizza, as a sample distributor at Costco. Witnesses said she was waving a knife and scissors, threatening employees. Deputies were called to the store to handle the disturbance. After they arrived, approached the officers with the sharp items, authorities said. One deputy tried to use a stun gun on Scott, but it did not work, and another deputy fatally shot her.</t>
  </si>
  <si>
    <t>http://www.nbcwashington.com/news/local/Deputy-Shot-at-Costco-in-Sterling-209389621.html</t>
  </si>
  <si>
    <t>Gerardo Diego Ayala</t>
  </si>
  <si>
    <t>92707</t>
  </si>
  <si>
    <t>Gang detectives, who were looking for someone in the area, saw two vehicles stopped in the middle of the street, and a group of men inside and outside the cars. Officers got into an altercation with one man, who police had documented as a gang member. During the altercation, police shot Gerardo Diego Ayala, who died at a hospital several hours later.</t>
  </si>
  <si>
    <t>http://www.ocregister.com/articles/police-510785-bertagna-dodge.html</t>
  </si>
  <si>
    <t>Joseph Moreno</t>
  </si>
  <si>
    <t>http://kpho.images.worldnow.com/images/22492646_BG2.jpg</t>
  </si>
  <si>
    <t>S Country Club Dr &amp; Broadway Access Rd</t>
  </si>
  <si>
    <t>85210</t>
  </si>
  <si>
    <t>Wanted for parole violation, for a failed drug test, Joseph Moreno was located and approached by US marshals fugitive task force. After feeling threatened by an unresponsive and “combative” suspect, an officer tasered Moreno. He was cleared by paramedics and spent 45 minutes in police custody when he started sweating and speaking incoherently. Moreno was pronounced dead at a local hospital. Mesa homicide detectives are investigating.</t>
  </si>
  <si>
    <t>http://www.kpho.com/story/22492646/mesa-family-questions-officers-deadly-use-of-taser</t>
  </si>
  <si>
    <t>Nathaniel McRae</t>
  </si>
  <si>
    <t>https://usgunviolence.files.wordpress.com/2014/03/nathaniel-mcrae.jpg</t>
  </si>
  <si>
    <t>852 Barnaby St SE</t>
  </si>
  <si>
    <t>McRae carjacked a black Pontiac from a woman in the mid-afternoon. The victim flagged down a local police cruiser and her vehicle was quickly located in front of an apartment block. According to police, McRae exited the vehicle and turned toward police as if brandishing a weapon. Shot, fatally wounded, he collapsed on the steps of the apartment.</t>
  </si>
  <si>
    <t>http://www.washingtonpost.com/local/police-officer-grazed-in-head-by-gunman/2013/05/29/8758cba0-c88e-11e2-8da7-d274bc611a47_story.html</t>
  </si>
  <si>
    <t>Bernard Peters Jr.</t>
  </si>
  <si>
    <t>http://i.ytimg.com/vi/hXyqH-g2z7A/maxresdefault.jpg</t>
  </si>
  <si>
    <t>94605</t>
  </si>
  <si>
    <t>Police received information that someone in a vehicle was armed with a gun. When they tried to pull the vehicle over, the driver sped away. After pursuit, the vehicle stopped and the three men inside fled in different directions. Peters was shot and killed. A handgun stolen from Georgia was discovered nearby.</t>
  </si>
  <si>
    <t>http://www.mercurynews.com/ci_23414977/oakland-police-identify-man-fatally-shot-by-officer</t>
  </si>
  <si>
    <t>Kyree Johnson</t>
  </si>
  <si>
    <t>Wayne Ave &amp; Roberts Ave</t>
  </si>
  <si>
    <t>19144</t>
  </si>
  <si>
    <t>http://6abc.com/archive/9123063/</t>
  </si>
  <si>
    <t>Douglas Francis Harper</t>
  </si>
  <si>
    <t>Moore Court</t>
  </si>
  <si>
    <t>Helena</t>
  </si>
  <si>
    <t>59602</t>
  </si>
  <si>
    <t>Lewis and Clark</t>
  </si>
  <si>
    <t>Lewis and Clark County Sheriff's Office</t>
  </si>
  <si>
    <t>A deputy arrived outside a residence to conduct a “welfare check” on Harper. Harper was sitting in his vehicle parked in the driveway and holding a handgun. He pointed it toward the deputy, so the deputy shot and killed him.</t>
  </si>
  <si>
    <t>http://www.krtv.com/news/identity-of-man-shot-by-deputy-east-of-helena-released/</t>
  </si>
  <si>
    <t>Brighton</t>
  </si>
  <si>
    <t>Massachusetts State Police Department</t>
  </si>
  <si>
    <t>Angela Darlene Smith</t>
  </si>
  <si>
    <t>http://www.crossvillememorial.com/wp-content/uploads/2013/06/Angela.jpg</t>
  </si>
  <si>
    <t>693 Browntown Rd</t>
  </si>
  <si>
    <t>Crossville</t>
  </si>
  <si>
    <t>38572</t>
  </si>
  <si>
    <t>Officers received a call about a woman running from a carport and saw Smith running with a handgun. She broke into a home and demanded car keys at gunpoint. After a pursuit, she crashed the stolen vehicle. When officers approached, she drew her gun. Officers fired, killing her.</t>
  </si>
  <si>
    <t>http://www.usatoday.com/story/news/nation/2014/07/03/tennessee-police-officer-sued-again/12120873/</t>
  </si>
  <si>
    <t>Jerry Wayne Waller</t>
  </si>
  <si>
    <t>http://assets.nydailynews.com/polopoly_fs/1.1357948!/img/httpImage/image.jpg_gen/derivatives/article_970/grandpa30n-1-web.jpg</t>
  </si>
  <si>
    <t>404 Havenwood Lane</t>
  </si>
  <si>
    <t>Police responding to burglar alarm shoot armed neighbor in his property.</t>
  </si>
  <si>
    <t>http://www.star-telegram.com/2013/05/29/4888210/officer-involved-in-shooting-at.html</t>
  </si>
  <si>
    <t>William Dupree</t>
  </si>
  <si>
    <t>http://bloximages.newyork1.vip.townnews.com/stltoday.com/content/tncms/assets/v3/editorial/c/c5/cc509e70-d96e-5f39-a5d6-aa8d04cbfd28/51a4eca915105.preview-620.jpg</t>
  </si>
  <si>
    <t>Pagedale Police Department</t>
  </si>
  <si>
    <t>http://www.stltoday.com/news/local/crime-and-courts/police-say-pagedale-officer-kills-man-during-fight-in-north/article_6633e342-c797-5a38-b7f0-0e798ac625af.html</t>
  </si>
  <si>
    <t>Esteban J. Smith</t>
  </si>
  <si>
    <t>http://i.huffpost.com/gen/1161375/thumbs/o-ESTEBAN-SMITH-facebook.jpg</t>
  </si>
  <si>
    <t>U.S. 83 &amp; County Road 4110</t>
  </si>
  <si>
    <t>Eden</t>
  </si>
  <si>
    <t>76837</t>
  </si>
  <si>
    <t>Concho</t>
  </si>
  <si>
    <t>A marine went on a killing spree, killing his wife in North Carolina and shooting six randomly in Concho County, Texas. He was eventually shot and killed outside of Eden, Texas.</t>
  </si>
  <si>
    <t>http://www.brownwoodnews.com/index.php?option=com_content&amp;view=article&amp;id=12128:suspect-killed-after-shootings-near-eden-and-brady&amp;catid=53:state-news&amp;Itemid=74</t>
  </si>
  <si>
    <t>Samuel Cruz</t>
  </si>
  <si>
    <t>http://cdn.newsday.com/polopoly_fs/1.5344874.1370634844!/httpImage/image.jpg_gen/derivatives/landscape_168/image.jpg</t>
  </si>
  <si>
    <t>18 Hickory Street</t>
  </si>
  <si>
    <t>New Rochelle</t>
  </si>
  <si>
    <t>10805</t>
  </si>
  <si>
    <t>New Rochelle Police Department</t>
  </si>
  <si>
    <t>Samuel Cruz, 48, was shot dead after his estranged wife called police May 26 because she was worried about the man. Police said he would not open the door and threatened officers with a knife when they broke in. They said stun guns failed to stop Cruz and when he lunged with the knife, a police officer shot and killed him.</t>
  </si>
  <si>
    <t>http://newyork.cbslocal.com/2013/12/10/grand-jury-clears-cop-who-fatally-shot-new-rochelle-man/</t>
  </si>
  <si>
    <t>Theodore Dennis Vanosdall</t>
  </si>
  <si>
    <t>Salida</t>
  </si>
  <si>
    <t>81201</t>
  </si>
  <si>
    <t>Chaffee</t>
  </si>
  <si>
    <t>Salida Police Department</t>
  </si>
  <si>
    <t>Vanosdall, a parolee, was breaking into an acquaintance's house with a chainsaw. When officers arrived, he shot at them. They returned fire, killing him.</t>
  </si>
  <si>
    <t>http://salidacitizen.com/2013/05/sunday-shooter-was-multi-state-offender-and-parolee/</t>
  </si>
  <si>
    <t>Anthony Galla</t>
  </si>
  <si>
    <t>http://cbsphilly.files.wordpress.com/2013/05/galla_anthony-thumb.jpg</t>
  </si>
  <si>
    <t>351 E. Township Line Road</t>
  </si>
  <si>
    <t>Upper Darby</t>
  </si>
  <si>
    <t>19082</t>
  </si>
  <si>
    <t>Upper Darby Police Department</t>
  </si>
  <si>
    <t>http://www.thereporteronline.com/article/RO/20130529/NEWS03/130529466</t>
  </si>
  <si>
    <t>Ajani Mitchell</t>
  </si>
  <si>
    <t>http://media.thestate.com/smedia/2013/09/17/14/03/10fCaS.AuSt.74.jpg</t>
  </si>
  <si>
    <t>5805 Conveyor St.</t>
  </si>
  <si>
    <t>29203</t>
  </si>
  <si>
    <t>http://www.thestate.com/2013/09/18/2987510/jury-deliberates-in-columbia-inquest.html</t>
  </si>
  <si>
    <t>Gary Hatcher</t>
  </si>
  <si>
    <t>https://usgunviolence.files.wordpress.com/2014/03/gary-hatcher.jpg?w=625</t>
  </si>
  <si>
    <t>Ridgeway Avenue and Montrose Street</t>
  </si>
  <si>
    <t>Mt. Morris Township</t>
  </si>
  <si>
    <t>Hatcher was pulled over. After the trooper returned to his vehicle to check IDs, Hatcher allegedly fled. A brief foot chase ensued and Hatcher was apprehended by the trooper. Hatcher allegedly wrestled for the trooper's weapon. The trooper then shot and killed Hatcher.</t>
  </si>
  <si>
    <t>http://www.mlive.com/news/flint/index.ssf/2013/05/man_shot_killed_by_michigan_st.html</t>
  </si>
  <si>
    <t>90805</t>
  </si>
  <si>
    <t>Castor Ave &amp; Robbins St</t>
  </si>
  <si>
    <t>Officers responded to calls of a person with a knife, finding the suspect running along Robbins and Castor Avenues. One officer used his vehicle to knock the suspect to the ground, then ordered him to drop the knife. The suspect advanced towards the officers, leading them to fire at the suspect. He was later pronounced dead at a local hospital. A Use of Force board for the shooting was scheduled for July 2014.</t>
  </si>
  <si>
    <t>http://www.newsworks.org/index.php/local/the-latest/55208-police-knife-wielding-man-shot-killed-in-northeast-philly</t>
  </si>
  <si>
    <t>John N. Torretti</t>
  </si>
  <si>
    <t>http://www.fatalencounters.org/wp-content/uploads/2013/10/JohnN.Torretti.jpg</t>
  </si>
  <si>
    <t>95826</t>
  </si>
  <si>
    <t>Police were called when a man frightened a Metro PCS employee with "intelligible(sic) statements." A struggle ensued with the officers, and the man was pepper-sprayed, kicked, and repeatedly beaten with batons. Officers noticed he had stopped breathing once he was in police custody.</t>
  </si>
  <si>
    <t>http://www.news10.net/story/news/2014/01/22/4753069/</t>
  </si>
  <si>
    <t>Jeff Foote</t>
  </si>
  <si>
    <t>http://img.ksl.com/slc/2507/250761/25076161.jpeg</t>
  </si>
  <si>
    <t>110 W. 4600 South</t>
  </si>
  <si>
    <t>Washington Terrace</t>
  </si>
  <si>
    <t>84405</t>
  </si>
  <si>
    <t>Weber County Sheriff's Office</t>
  </si>
  <si>
    <t>http://www.sltrib.com/sltrib/news/56364776-78/foote-deputy-county-weber.html.csp</t>
  </si>
  <si>
    <t>Adolfo Vargas Tovar</t>
  </si>
  <si>
    <t>92114</t>
  </si>
  <si>
    <t>Tovar was fatally shot by officers after he drove a car in reverse towards them. He had allegedly robbed a nearby gas station.</t>
  </si>
  <si>
    <t>http://www.cbs8.com/story/22427599/suspect-killed-in-officer-involved-shooting-identified</t>
  </si>
  <si>
    <t>Lynnwood Police Department</t>
  </si>
  <si>
    <t>Thomas Hilger</t>
  </si>
  <si>
    <t>2430 Main St</t>
  </si>
  <si>
    <t>Worden</t>
  </si>
  <si>
    <t>59088</t>
  </si>
  <si>
    <t>Hilger was killed by sheriff's deputies Martin Stuart and Tony Watson behind the bar he owned. Police were responding to a report of suspicious activity and questioned Hilger, who allegedly pulled out a gun. Investigators later found Hilger's girlfriend's body in a vehicle.</t>
  </si>
  <si>
    <t>http://billingsgazette.com/news/local/worden-on-edge-after-homicide-officer-involved-shooting/article_09591438-af43-538a-ab68-70f88974bad1.html</t>
  </si>
  <si>
    <t>Leonard Thomas</t>
  </si>
  <si>
    <t>98105</t>
  </si>
  <si>
    <t>Pierce County Metro SWAT</t>
  </si>
  <si>
    <t>Despondent over a friend's recent death, family members called police to protect Thomas' child. Police shot him when he tried to pull the child back into the house.</t>
  </si>
  <si>
    <t>http://seattletimes.com/html/localnews/2021053308_fifeshootingxml.html</t>
  </si>
  <si>
    <t>John Valluzzo</t>
  </si>
  <si>
    <t>http://ww1.hdnux.com/photos/21/70/51/4688468/3/628x471.jpg</t>
  </si>
  <si>
    <t>423 Ridgebury Road</t>
  </si>
  <si>
    <t>06877</t>
  </si>
  <si>
    <t>Ridgefield Police Department</t>
  </si>
  <si>
    <t>Ridgefield police, responding to a call of a domestic dispute, saw Valluzzo with a handgun. Officers ordered him to put down his weapon, but Valluzzo refused to comply, raised the gun toward the officers and was shot and killed.</t>
  </si>
  <si>
    <t>http://www.newstimes.com/policereports/article/State-s-attorney-gets-state-police-report-on-5365364.php</t>
  </si>
  <si>
    <t>Rayshawn Marquis Brown</t>
  </si>
  <si>
    <t>1602 E. Palmer St.</t>
  </si>
  <si>
    <t>Deputies responded to calls of shots fired and followed a vehicle speeding away. Upon reaching a dead end, Brown exited the vehicle and pointed a weapon at the deputies. They opened fire, killing Brown.</t>
  </si>
  <si>
    <t>http://abc7.com/archive/9115106/</t>
  </si>
  <si>
    <t>Thomas Bean</t>
  </si>
  <si>
    <t>http://www.ourtownsylvania.com/image/2013/05/23/800x_b1_cCM_z_p101_cT/Thomas-Bean-mug.jpg</t>
  </si>
  <si>
    <t>1029 Page St.</t>
  </si>
  <si>
    <t>43608</t>
  </si>
  <si>
    <t>Bean was apparently attacking a woman in front of his home. When officers arrived, he pointed an empty shotgun at them. One officer fired, killing Bean.</t>
  </si>
  <si>
    <t>http://www.toledoblade.com/Police-Fire/2013/05/23/Officers-shoot-kill-threatening-gunman.html</t>
  </si>
  <si>
    <t>46226</t>
  </si>
  <si>
    <t>Jackson Alexandre</t>
  </si>
  <si>
    <t>541 Court St</t>
  </si>
  <si>
    <t>11231</t>
  </si>
  <si>
    <t>A "crazed" Alexandre stabbed his roommate while they were watching a Knicks game, then cursed at and lunged towards responding officers with the same bloodstained knife. Police fired nine shots. Eight of them fatally struck him.</t>
  </si>
  <si>
    <t>Julian Dawkins</t>
  </si>
  <si>
    <t>http://images.wjla.com/communities/juian_dawkins_296.jpg</t>
  </si>
  <si>
    <t>22305</t>
  </si>
  <si>
    <t>Alexandria City</t>
  </si>
  <si>
    <t>Arlington County Sheriff's Office</t>
  </si>
  <si>
    <t>Dawkins and an off-duty deputy, Craig Patterson, argued. Patterson got his badge and his gun and attempted to arrest Dawkins, instead, shooting and killing him. Patterson was sentenced to 6 years.</t>
  </si>
  <si>
    <t>http://www.wusa9.com/story/news/local/2014/02/06/patterson-dawkins-sentencing/5252259/</t>
  </si>
  <si>
    <t>Belton "Amir" Lomax</t>
  </si>
  <si>
    <t>Locust Avenue and Devon Street</t>
  </si>
  <si>
    <t>19138</t>
  </si>
  <si>
    <t>Police say Lomax ran from officers who were responding to calls about a man with a gun before aiming his gun at them.</t>
  </si>
  <si>
    <t>http://www.nbcphiladelphia.com/news/local/Alleged-Gunman-Shot-Killed-by-Police-208581581.html</t>
  </si>
  <si>
    <t>19131</t>
  </si>
  <si>
    <t>Police were called to the 5600 block Wyalusing Avenue after receiving a report of a man armed with a gun. When they arrived, police say they found a gunman as well as another suspect who was with him. The responding officers began to chase after the suspects, according to investigators. The suspect allegedly ran into an SUV and then pointed his gun at the officers. Officials say the officers opened fire, striking the suspect in the chest.</t>
  </si>
  <si>
    <t>Ibragim Todashev</t>
  </si>
  <si>
    <t>http://michellemalkin.com/wp-content/uploads/2013/05/todashev-ibragim-clean-jpg.jpg</t>
  </si>
  <si>
    <t>6022 Peregrine Avenue</t>
  </si>
  <si>
    <t>32819</t>
  </si>
  <si>
    <t>Todashev allegedly attacked an FBI agent during an interview about the Boston Marathon bombings and a triple homicide that took place in Waltham, Massachusetts on September 11, 2011.</t>
  </si>
  <si>
    <t>https://www.documentcloud.org/documents/1096820-todashev-final-report-03-17-14-ocr-redacted.html</t>
  </si>
  <si>
    <t>William Alexander Mejia</t>
  </si>
  <si>
    <t>314 S. Gless St.</t>
  </si>
  <si>
    <t>Officers spotted a known gang member carrying a revolver, according to a Los Angeles Police Department official. Mejia was riding a bicycle, and pointed the gun at police. Officers fired multiple shots. Mejia died at the scene.</t>
  </si>
  <si>
    <t>http://homicide.latimes.com/post/william-alexander-mejia/</t>
  </si>
  <si>
    <t>Anthony Michael Bland</t>
  </si>
  <si>
    <t>http://ak-cache.legacy.net/legacy/images/Cobrands/DailyPress/Photos/photo_1490542_0_Photo1_cropped_20130528.jpg</t>
  </si>
  <si>
    <t>8679 Pocahontas Trail</t>
  </si>
  <si>
    <t>23185</t>
  </si>
  <si>
    <t>James City</t>
  </si>
  <si>
    <t>James City County Police Department</t>
  </si>
  <si>
    <t>Bland had assaulted a staff member at a senior center. He then got in his car. When the officer got out of his vehicle, he was hit and pinned by Bland's vehicle. The officer shot and killed Bland.</t>
  </si>
  <si>
    <t>http://hamptonroads.com/2013/05/police-id-man-killed-officer-james-city-county</t>
  </si>
  <si>
    <t>Joshua "Omar" Johnson</t>
  </si>
  <si>
    <t>http://media.hamptonroads.com/cache/files/images/1095981.jpg</t>
  </si>
  <si>
    <t>21st Street and Colonial Avenue</t>
  </si>
  <si>
    <t>23517</t>
  </si>
  <si>
    <t>Norfolk City</t>
  </si>
  <si>
    <t>Officers were called to a bank for a report of someone trying to pass a bad check, a Norfolk police spokesperson said. Two officers approached a car in the parking lot. The driver put the car in reverse and struck one of them. The second officer shot and killed the driver.</t>
  </si>
  <si>
    <t>http://hamptonroads.com/2013/05/norfolk-police-release-details-fatal-ghent-shooting</t>
  </si>
  <si>
    <t>Jose SiFuentes</t>
  </si>
  <si>
    <t>http://bloximages.chicago2.vip.townnews.com/news-journal.com/content/tncms/assets/v3/editorial/e/63/e6326e18-c223-11e2-ad1c-0019bb2963f4/519b86aa716a1.image.jpg</t>
  </si>
  <si>
    <t>Highway 80 and U.S. 259</t>
  </si>
  <si>
    <t>Longview police responded to reports of a small, blue four-door vehicle attempting to hit cars and run them off the road. SiFuentes fled. Officers set up spikes on Highway 80. SiFuentes hit the spikes then turned around, driving directly at officers. An officer on the scene shot at the vehicle. The officer was hit by the vehicle, sustaining non-life threatening and non-incapacitating injuries.</t>
  </si>
  <si>
    <t>http://www.kltv.com/story/22309969/suspect-in-longview-police-chase-shooting-has-died</t>
  </si>
  <si>
    <t>Terrence Dawson</t>
  </si>
  <si>
    <t>http://localtvwreg.files.wordpress.com/2013/05/promo193202183.jpg?w=185&amp;h=103&amp;crop=1</t>
  </si>
  <si>
    <t>Blytheville</t>
  </si>
  <si>
    <t>72315</t>
  </si>
  <si>
    <t>Blytheville Police Department</t>
  </si>
  <si>
    <t>Dawson fought with his girlfriend, took her hostage with a knife to her throat. Police tried to physically take the knife, shooting and killing Dawson during the fight.</t>
  </si>
  <si>
    <t>http://www.kait8.com/story/22289908/prosecutor-officer-justified-in-blytheville-shooting</t>
  </si>
  <si>
    <t>Charles Curl</t>
  </si>
  <si>
    <t>1 W Manchester Blvd</t>
  </si>
  <si>
    <t>90301</t>
  </si>
  <si>
    <t>Charles Curl smashed the windows of eight Inglewood Police squad cars with a machete. As an officer attempted to contact the suspect, Curl charged the officer, and the officer shot and killed Curl.</t>
  </si>
  <si>
    <t>http://www.nydailynews.com/news/national/video-machete-wielding-vandal-shot-dead-article-1.1351563</t>
  </si>
  <si>
    <t>Terry Laffitte</t>
  </si>
  <si>
    <t>http://www.fatalencounters.org/wp-content/uploads/2013/10/terry-laffitte.jpg</t>
  </si>
  <si>
    <t>90001</t>
  </si>
  <si>
    <t>Police say officers saw Laffitte riding a bicycle while intoxicated and holding a handgun. They confronted him, and a struggle ensued in a driveway. Officers shot and killed Laffitte when he allegedly pulled a gun from his waistband. Multiple witnesses say that Laffitte was unarmed. Police say they recovered a revolver at the scene.</t>
  </si>
  <si>
    <t>http://abclocal.go.com/kabc/story?id=9107846</t>
  </si>
  <si>
    <t>Naim Keith Labaki</t>
  </si>
  <si>
    <t>http://www.jenningsdailynews.net/wp-content/uploads/2013/05/tues-labaki.jpg</t>
  </si>
  <si>
    <t>Highway 150 and I-80</t>
  </si>
  <si>
    <t>82930</t>
  </si>
  <si>
    <t>Uinta</t>
  </si>
  <si>
    <t>Labaki fired a shot into a sporting goods store. After a pursuit, officers ran him off the road and when he pointed his rifle at officers, they shot him.</t>
  </si>
  <si>
    <t>http://fox13now.com/2013/05/19/man-shot-killed-by-police-in-wyoming/</t>
  </si>
  <si>
    <t>Tony Khan Nim</t>
  </si>
  <si>
    <t>211 S 1st St.</t>
  </si>
  <si>
    <t>Alhambra</t>
  </si>
  <si>
    <t>91801</t>
  </si>
  <si>
    <t>Alhambra Police Department</t>
  </si>
  <si>
    <t>Nim was shot and killed by the officers after he brandished a 12-inch carving knife in the lobby of the police department.</t>
  </si>
  <si>
    <t>http://www.pasadenastarnews.com/general-news/20130521/man-shot-by-alhambra-police-had-mental-health-issues</t>
  </si>
  <si>
    <t>Dalton Smith</t>
  </si>
  <si>
    <t>http://heavyeditorial.files.wordpress.com/2013/05/dalton-smith-2.jpg?quality=65&amp;strip=all&amp;w=780</t>
  </si>
  <si>
    <t>213 California Avenue</t>
  </si>
  <si>
    <t>Uniondale</t>
  </si>
  <si>
    <t>11553</t>
  </si>
  <si>
    <t>Nassau Police Department</t>
  </si>
  <si>
    <t>http://heavy.com/news/2013/05/andrea-rebello-kiled-by-police-dalton-smith/</t>
  </si>
  <si>
    <t>Guillermo Pablo Cedano</t>
  </si>
  <si>
    <t>http://ak-cache.legacy.net/legacy/Images/Cobrands/DignityMemorial/Photos/21e8857f-18ed-459c-bf54-76bc1c67ad82.jpg</t>
  </si>
  <si>
    <t>Montebello</t>
  </si>
  <si>
    <t>90640</t>
  </si>
  <si>
    <t>Montebello Police Department</t>
  </si>
  <si>
    <t>Cedano called 911 reporting that someone was outside his house that wanted to harm him. When officers arrived he attacked them. During the scuffle, one officer suffered a fractured wrist. Cedano was tasered and after he was handcuffed, he lost consciousness. He was pronounced dead at the hospital. The Coroner's examination was unable to determine exact cause of death, attributing death to combination of drug intoxication, agitated behavior and being restrained by police.</t>
  </si>
  <si>
    <t>http://www.insidesocal.com/sgvcrime/2013/10/03/cause-of-montebello-mans-death-in-police-custody-still-unclear-after-coroners-investigation/</t>
  </si>
  <si>
    <t>Andrea Rebello</t>
  </si>
  <si>
    <t>http://www.gannett-cdn.com/-mm-/3883693bee0a175bdd402061b447e7f2dd11d67d/c=0-106-1673-1366&amp;r=x404&amp;c=534x401/local/-/media/Westchester/Westchester/2014/04/02//1396466419000-tjndc5-6avogl2quwg5veqtkkh-original.jpg</t>
  </si>
  <si>
    <t>Rebello was killed by the police officer who was rescuing her from a home invasion/hostage situation. The officer was cleared of wrongdoing.</t>
  </si>
  <si>
    <t>http://www.newsday.com/long-island/nassau/andrea-rebello-s-family-files-suit-after-hofstra-student-fatally-shot-by-police-1.8047752</t>
  </si>
  <si>
    <t>Brent E. Brozek</t>
  </si>
  <si>
    <t>http://usgunviolence.files.wordpress.com/2014/03/brent-e-brozek.jpg?w=625</t>
  </si>
  <si>
    <t>947 Rockefeller Lane</t>
  </si>
  <si>
    <t>Brozek was shot and killed by Officers Ryan Finnegan, Ryan Orvis, and Scott Templeton after allegedly charging at them with a sword. Police say bean bag rounds were fired first. The shooting concluded a day-long standoff that began when sheriff's deputies tried to evict Brozek from his condo.</t>
  </si>
  <si>
    <t>http://host.madison.com/news/local/crime_and_courts/official-review-clears-madison-officers-involved-in-fatal-shooting-of/article_4adf4961-58df-58d3-92ac-3a5844f3e3d1.html</t>
  </si>
  <si>
    <t>Misty Michelle Mullins</t>
  </si>
  <si>
    <t>http://wwwcache.wral.com/asset/news/local/2013/05/17/12459834/Misty_Mullins-640x480.jpg</t>
  </si>
  <si>
    <t>6232 Melbourne Road</t>
  </si>
  <si>
    <t>27603</t>
  </si>
  <si>
    <t>Wake County Sheriff's Office</t>
  </si>
  <si>
    <t>Deputies responded to a trespassing call at Mullins' old home. They say they tried to persuade her to come out and when she wouldn't, they entered. They report that witnesses say that Mullins charged then with a machete or knife. They tasered her three times, and state that when this failed to subdue her, Deputy Gabriel Romero shot her.</t>
  </si>
  <si>
    <t>http://www.wral.com/wake-deputy-kills-woman-who-charged-at-him-with-knife/12459148/</t>
  </si>
  <si>
    <t>Jermaine Darden</t>
  </si>
  <si>
    <t>http://cbsdallas.files.wordpress.com/2013/05/377.jpg?w=420&amp;h=315</t>
  </si>
  <si>
    <t>76105</t>
  </si>
  <si>
    <t>Christian Leonard Eaddy</t>
  </si>
  <si>
    <t>Eaddy, had a knife, acting suicidal, was shot but police. He died in the hospital.</t>
  </si>
  <si>
    <t>http://www.dailynews.com/general-news/20130517/pacoima-fatal-police-shooting-of-apparently-suicidal-man-probed</t>
  </si>
  <si>
    <t>Freddy Batt Sosa</t>
  </si>
  <si>
    <t>101 W. Irvington Road</t>
  </si>
  <si>
    <t>85714</t>
  </si>
  <si>
    <t>Sosa was physically fighting with his sister, at times, holding a gun to her head. When officers arrived, he began walking toward them, pulling the gun out of his pants. They shot and killed him.</t>
  </si>
  <si>
    <t>http://azstarnet.com/news/local/crime/man-armed-with-bb-gun-killed-by-tpd-officers/article_e8666266-c0d9-11e2-9b48-0019bb2963f4.html</t>
  </si>
  <si>
    <t>Justin Cairns</t>
  </si>
  <si>
    <t>http://usgunviolence.files.wordpress.com/2014/03/justin-cairns1.jpg</t>
  </si>
  <si>
    <t>Nine Mile Falls</t>
  </si>
  <si>
    <t>99026</t>
  </si>
  <si>
    <t>Police tracked Justin Cairns, who was accused of killing Cyrus Jones, to a home in Nine Mile Falls. They contacted the Cairns outside of the house. Police Chief Frank Straub said Cairns came outside and shut off the lights. Police said the man failed to follow commands when he was confronted by the officers and took off running. Police shot and killed him.</t>
  </si>
  <si>
    <t>http://www.krem.com/news/local/Prosecutors-find-Nine-Mile-Falls-officer-invovled-shooting-justified-254985611.html</t>
  </si>
  <si>
    <t>James Genda</t>
  </si>
  <si>
    <t>http://media2.newsnet5.com//photo/2013/05/16/my_dad_20130516202626_640_480.JPG</t>
  </si>
  <si>
    <t>Wolf Ledges Pkwy &amp; E Thornton Street</t>
  </si>
  <si>
    <t>44311</t>
  </si>
  <si>
    <t>University of Akron Police Department</t>
  </si>
  <si>
    <t>UAPD officer had pulled the car over on a routine stop because of an improper registration. As he approached the vehicle, the driver produced a handgun, causing the officer to fire, police said.</t>
  </si>
  <si>
    <t>http://www.cleveland.com/metro/index.ssf/2013/05/university_of_akron_police_off.html</t>
  </si>
  <si>
    <t>Kourtney Hahn</t>
  </si>
  <si>
    <t>http://wcmh.images.worldnow.com/images/22254746_BG3.jpg</t>
  </si>
  <si>
    <t>N. High Street</t>
  </si>
  <si>
    <t>Clintonville</t>
  </si>
  <si>
    <t>43214</t>
  </si>
  <si>
    <t>Kourtney Hahn and her boyfriend, Emmanuel Gatewood, who shot dead by Columbus police in Clintonville knew that police were looking for Gatewood in connection with an April 5 homicide.</t>
  </si>
  <si>
    <t>http://www.dispatch.com/content/stories/local/2013/05/16/shootout-officers-identified.html</t>
  </si>
  <si>
    <t>Emmanuel Gatewood</t>
  </si>
  <si>
    <t>http://wcmh.images.worldnow.com/images/22254746_BG5.jpg</t>
  </si>
  <si>
    <t>Gatewood and his girlfriend, Kourtney Hahn, who shot dead by Columbus police in Clintonville knew that police were looking for Gatewood in connection with an April 5 homicide.</t>
  </si>
  <si>
    <t>Louis M. Squires</t>
  </si>
  <si>
    <t>http://media.masslive.com/breakingnews/photo/2013/05/12751976-large.jpg</t>
  </si>
  <si>
    <t>18 Braddock St.</t>
  </si>
  <si>
    <t>01109</t>
  </si>
  <si>
    <t>What began as a relationship dispute, escalated when property was destroyed and Squires fired a gun. Police intervened, shooting and killing Squires.</t>
  </si>
  <si>
    <t>http://www.masslive.com/news/index.ssf/2013/05/springfield_police_records_lou.html</t>
  </si>
  <si>
    <t>Jesus Espinosa</t>
  </si>
  <si>
    <t>24 Heath Street</t>
  </si>
  <si>
    <t>06106</t>
  </si>
  <si>
    <t>Hartford police responded to the report of a disturbance at 24 Heath Street. Officers arrived to find a trail of blood leading to the building and a suspect wielding a box cutter. He threatened police, and one of the officers shot him.</t>
  </si>
  <si>
    <t>http://www.ct.gov/despp/cwp/view.asp?Q=530106</t>
  </si>
  <si>
    <t>Ignacio Ochoa</t>
  </si>
  <si>
    <t>7238 Richfield St.</t>
  </si>
  <si>
    <t>Witnesses reported that Ochoa was riding his bike home after buying something to drink. He had his headphones on and couldn't hear a deputy's orders. A resident reported that the deputy handcuffed Ochoa, and shot him in the back of the head.</t>
  </si>
  <si>
    <t>http://therebelpress.com/articles/show?id=69</t>
  </si>
  <si>
    <t>Christopher Dubois</t>
  </si>
  <si>
    <t>http://usgunviolence.files.wordpress.com/2014/03/christopher-dubois.jpg?w=625</t>
  </si>
  <si>
    <t>80219</t>
  </si>
  <si>
    <t>Officers tried to talk down the man with the gun, who was standing in the middle of Federal with a Chihuahua following at his heels. Several times, the man put the gun to his head and officers fired a less-lethal round bean-bag projectile. The gunman turned and ran toward a neighbor's house as police pursued him and eventually shot and killed him.</t>
  </si>
  <si>
    <t>http://www.denverpost.com/ci_23267097/coroner-identifies-man-shot-killed-by-denver-police</t>
  </si>
  <si>
    <t>Bobby Earl Driggers</t>
  </si>
  <si>
    <t>http://www.tampabay.com/resources/images/dti/rendered/2013/05/b2s_driggers051513_10774256_8col.jpg</t>
  </si>
  <si>
    <t>904 W. Wheeler Road</t>
  </si>
  <si>
    <t>33510</t>
  </si>
  <si>
    <t>According to the sheriff, the shooting happened while Driggers was struggling with a detective over that detective's gun. He was being arrested to be questioned on charges of grand theft auto and fraudulent use of a credit card.</t>
  </si>
  <si>
    <t>http://www.wfla.com/story/22249588/hillsborough-sheriff-says-deputy-shooting-involved-career-criminal</t>
  </si>
  <si>
    <t>Rodney Oneil Pike</t>
  </si>
  <si>
    <t>https://usgunviolence.files.wordpress.com/2014/02/rodney-pike.jpg?w=625</t>
  </si>
  <si>
    <t>5307 Pass Court</t>
  </si>
  <si>
    <t>Police were dispatched to the home after a caller reported Pike was in the area and had active warrants out of Forsyth County. He tried to flee, striking one officer with his car before police killed him. It was his mother who called, trying to get her druggie son some help.</t>
  </si>
  <si>
    <t>http://www.ajc.com/news/news/1-dead-in-officer-involved-shooting/nXqHk/</t>
  </si>
  <si>
    <t>Gerald "Skip" Tyrone Murphy</t>
  </si>
  <si>
    <t>http://binaryapi.ap.org/7f44409a56664c5a97185e0a1f2138fc/460x.jpg</t>
  </si>
  <si>
    <t>08611</t>
  </si>
  <si>
    <t>Trenton Police Department SWAT</t>
  </si>
  <si>
    <t>After a murder/hostage standoff involving at least three children, officers stormed the home, shooting and killing Murphy.</t>
  </si>
  <si>
    <t>http://www.nytimes.com/2013/05/13/nyregion/trenton-hostage-standoff.html?_r=0</t>
  </si>
  <si>
    <t>Everett</t>
  </si>
  <si>
    <t>Andrew P. Bush</t>
  </si>
  <si>
    <t>Oakville</t>
  </si>
  <si>
    <t>63129</t>
  </si>
  <si>
    <t>Two police officers arrived at Bush' apartment to check on a reported fight. He opened the door and pointed an assault rifle at them. They shot and killed him.</t>
  </si>
  <si>
    <t>http://blogs.riverfronttimes.com/dailyrft/2013/05/andrew_bush_assault_rifle_car_theft.php</t>
  </si>
  <si>
    <t>Jenny Lynn Borelis</t>
  </si>
  <si>
    <t>https://a2-images.myspacecdn.com/images03/35/76eafc179bae4f79aeb44e146212a181/300x300.jpg</t>
  </si>
  <si>
    <t>Long Ave</t>
  </si>
  <si>
    <t>Kelso</t>
  </si>
  <si>
    <t>98626</t>
  </si>
  <si>
    <t>Kelso Police Department</t>
  </si>
  <si>
    <t>Sgt. Khembar Yund chased and tasered Borelis for an unknown reason. She fell on her head. Several days later in jail, she collapsed, was examined in her cell, and left unattended until she stopped breathing. She was hospitalized for a head injury, and died the next day.</t>
  </si>
  <si>
    <t>http://tdn.com/news/local/woman-who-died-after-stay-at-county-jail-was-on/article_6509b6a8-fbde-11e2-b326-0019bb2963f4.html</t>
  </si>
  <si>
    <t>Rigoberto Arceo</t>
  </si>
  <si>
    <t>http://www.guerragutierrez.com/sitemaker/memsol_data/1722/987052/987052_profile_pic.jpg</t>
  </si>
  <si>
    <t>Cudahy</t>
  </si>
  <si>
    <t>90201</t>
  </si>
  <si>
    <t>http://ktla.com/2013/05/13/family-of-man-killed-in-deputy-involved-cudahy-shooting-disputes-sheriffs-account-of-incident/</t>
  </si>
  <si>
    <t>Nathan D. Brokaw</t>
  </si>
  <si>
    <t>http://bloximages.chicago2.vip.townnews.com/journalstar.com/content/tncms/assets/v3/editorial/e/05/e059ac1a-70ad-5dc0-997b-a82e83e8d4c4/53efbdcb24861.preview-620.jpg</t>
  </si>
  <si>
    <t>300 7th st</t>
  </si>
  <si>
    <t>Stromsburg</t>
  </si>
  <si>
    <t>68666</t>
  </si>
  <si>
    <t>Nebraska State Patrol</t>
  </si>
  <si>
    <t>State Patrol was conducting surveillance on Brokaw and another man. State Patrol approched the men leading to a high speed chase. Brokaw's vehicle was rammed, ending the pursued. Brokaw fired his gun, State patrol rataliated gunfire, killing Borkaw</t>
  </si>
  <si>
    <t>http://journalstar.com/news/local/crime-and-courts/troopers-kill-man-after-pursuit-ends-in-exchange-of-shots/article_b9b3ddf0-15a9-54df-9555-3d712d00fbfe.html</t>
  </si>
  <si>
    <t>Terrance Terrell Franklin</t>
  </si>
  <si>
    <t>http://blogs.citypages.com/blotter/terrencefranklinrect.jpg</t>
  </si>
  <si>
    <t>2717 Bryant Avenue South</t>
  </si>
  <si>
    <t>55408</t>
  </si>
  <si>
    <t>Minneapolis Police Department</t>
  </si>
  <si>
    <t>After police chased Franklin, having identified him as a burglary suspect, he broke into a home. Police sent a dog in, and police followed. Two police were shot, although it was unclear who shot them. Franklin was shot and killed.</t>
  </si>
  <si>
    <t>http://blogs.citypages.com/blotter/2013/05/terrence_franklin_shot_multiple_times_by_mpd_but_its_unclear_whether_he_fired_a_shot_himself.php</t>
  </si>
  <si>
    <t>No Charges</t>
  </si>
  <si>
    <t>Jose Garcia</t>
  </si>
  <si>
    <t>Williams road and Augustine Road</t>
  </si>
  <si>
    <t>63025</t>
  </si>
  <si>
    <t>Police said Garcia had fled from Illinois State Police after multiple traffic violations earlier and fled again when a Missouri Highway Patrol trooper spotted him southeast of St. Clair on Interstate 44. Authorities used tire spikes to try to stop his car. Officers shot and killed him after Garcia accelerated his car and pointed a gun at them, the highway patrol said.</t>
  </si>
  <si>
    <t>http://www.stltoday.com/news/local/crime-and-courts/man-identified-in-fatal-shooting-by-police-in-eureka/article_356fc7c8-9577-5e30-a624-e742bbe747b4.html</t>
  </si>
  <si>
    <t>William McKnight</t>
  </si>
  <si>
    <t>Springcrest Street and Almond Drive</t>
  </si>
  <si>
    <t>William McKnight and two accomplices robbed a bank, but the FBI Safe Streets Task Force were nearby. They caught up with them in a nearby neighborhood and shot it out, killing McKnight.</t>
  </si>
  <si>
    <t>http://fox59.com/2013/05/13/investigators-release-names-of-bank-robbery-suspects/#axzz34MbRgjQi</t>
  </si>
  <si>
    <t>Tony Starnes</t>
  </si>
  <si>
    <t>10910 North Main Street</t>
  </si>
  <si>
    <t>60071</t>
  </si>
  <si>
    <t>McHenry</t>
  </si>
  <si>
    <t>Starnes was shot and killed by agents as they interrupted a bank robbery. Agents observed two suspects drive north from Chicago across the Wisconsin border, join with Starnes in a stolen Honda Civic with stolen plates, then return across the state line to the parking lot of a branch bank in Richmond, Illinois. While being apprehended Starnes reportedly rammed police vehicles in an escape attempt and was fatally shot.</t>
  </si>
  <si>
    <t>http://www.fbi.gov/chicago/press-releases/2013/charges-filed-in-connection-with-fbi-shooting-incident</t>
  </si>
  <si>
    <t>Charles Burns</t>
  </si>
  <si>
    <t>http://extras.mnginteractive.com/live/media/site571/2013/0530/20130530__ecct05xxburns~1_GALLERY.JPG</t>
  </si>
  <si>
    <t>Barcelona Circle and Buchanan Road</t>
  </si>
  <si>
    <t>Concord police were conducting surveillance of a suspect's home. Detectives had obtained a warrant for Burns for alleged drug sales, authorities said. During the stakeout, Burns came out of his home and got into a truck driven by another man. As detectives tried to contact Burns, the driver of the truck rammed an occupied police vehicle. Burns then ran from the truck. Two officers shot and killed him.</t>
  </si>
  <si>
    <t>http://martinez.patch.com/groups/police-and-fire/p/investigators-recount-details-of-officerinvolved-shooting-of-unarmed-man</t>
  </si>
  <si>
    <t>Candace Jackson</t>
  </si>
  <si>
    <t>http://bloximages.chicago2.vip.townnews.com/news-journal.com/content/tncms/assets/v3/editorial/1/2f/12f273d0-b97d-11e2-b761-001a4bcf887a/518d034691378.image.jpg</t>
  </si>
  <si>
    <t>Police authorities in Longview, Texas were embroiled in a standoff with an armed suspect for several hours yesterday. Late in the day, police —according to police reports— fired on and killed Candace Jackson, 38, as she exited the house and fired upon officers nearby.</t>
  </si>
  <si>
    <t>http://www.news-journal.com/news/police/longview-police-shoot-kill-suspect-after-being-fired-on-during/article_539cdedd-2830-5ae2-83c4-29c6bae1eca7.html</t>
  </si>
  <si>
    <t>Marlon Brown</t>
  </si>
  <si>
    <t>http://www.news-journalonline.com/apps/pbcsi.dll/bilde?Site=DN&amp;Date=20130508&amp;Category=NEWS&amp;ArtNo=130509801&amp;Ref=EP&amp;Profile=1025&amp;NewTbl=1&amp;item=1&amp;MaxW=728&amp;logo=/images/watermark.gif&amp;logoxpos=0&amp;logoypos=0</t>
  </si>
  <si>
    <t>901 S. Delaware Ave.</t>
  </si>
  <si>
    <t>Deland</t>
  </si>
  <si>
    <t>32720</t>
  </si>
  <si>
    <t>DeLand Police Department</t>
  </si>
  <si>
    <t>http://www.news-journalonline.com/article/20130508/NEWS/130509801?Title=Man-fleeing-police-run-over-by-DeLand-patrol-car</t>
  </si>
  <si>
    <t>Alberto F. Valdes</t>
  </si>
  <si>
    <t>611 NW Bronco Terrace</t>
  </si>
  <si>
    <t>Columbia County Multi-Jurisdictional Task Force</t>
  </si>
  <si>
    <t>Police attempted to make contact with persons residing in the home as part of a narcotics investigation. Valdes exited the house armed with a shotgun. The deputies ordered him to drop the weapon several times, but Valdes ignored the commands and fired at the deputies. Police returned fire, killing Valdes.</t>
  </si>
  <si>
    <t>http://www.firstcoastnews.com/news/article/312682/3/Police-involved-shooting-in-Columbia-County</t>
  </si>
  <si>
    <t>Bryan Snyder Valle</t>
  </si>
  <si>
    <t>Carnegie Drive and Hospitality Lane</t>
  </si>
  <si>
    <t>California Highway Patrol, San Bernardino Sheriff's Office</t>
  </si>
  <si>
    <t>After a carjacking that resulted in the death of Obette Lacap, a high speed pursuit, Bryan Snyder Valle and his accomplice crashed, came out shooting and was killed.</t>
  </si>
  <si>
    <t>http://205.234.241.62/balitangamerica/family-mourns-fil-am-killed-in-attempted-car-jacking/</t>
  </si>
  <si>
    <t>Southwest Philadelphia</t>
  </si>
  <si>
    <t>19142</t>
  </si>
  <si>
    <t>Police killed a man when he allegedly pulled out a gun while they were pursuing him for an unspecified reason.</t>
  </si>
  <si>
    <t>http://www.metro.us/local/police-shoot-kill-man-in-southwest-philadelphia/tmWmej---3fnjMDUtul2Y/</t>
  </si>
  <si>
    <t>N.W. 59 Street &amp; N.W. 35 Avenue</t>
  </si>
  <si>
    <t>Routine patrol in a warehouse district revealed a car that police found suspicious, and its driver who reportedly would not cooperate during a traffic stop and who made an "abrupt movement". The officer shot him to death. The car turned up stolen. Police reports did not disclose the victim's name or make it clear whether he was armed.</t>
  </si>
  <si>
    <t>http://www.miamidade.gov/police/releases/PD130508168842_Police_Involved_Shooting.asp</t>
  </si>
  <si>
    <t>Thomas Edward Pulst</t>
  </si>
  <si>
    <t>http://usgunviolence.files.wordpress.com/2014/02/thomas-edward-pulst.jpg?w=625</t>
  </si>
  <si>
    <t>Great Falls</t>
  </si>
  <si>
    <t>59404</t>
  </si>
  <si>
    <t>Federal, state and local officers were attempting to serve a felony warrant on Thomas Edward Pulst. Pulst fired toward officers from a room through a closed door, agency spokesman John Barnes said. He then fled the room with two handguns and ran out a back door, where two officers were waiting. Pulst fired at the officers, who returned fire, hitting and killing him, the agency statement said.</t>
  </si>
  <si>
    <t>http://www.krtv.com/news/inquest-determines-officers-were-justified-in-great-falls-shooting-death/</t>
  </si>
  <si>
    <t>David Sal Silva</t>
  </si>
  <si>
    <t>http://i.dailymail.co.uk/i/pix/2013/05/14/article-2324402-19C65605000005DC-653_306x423.jpg</t>
  </si>
  <si>
    <t>Flower Street and Palm Drive</t>
  </si>
  <si>
    <t>A father was beaten to death, the sheriff, of whom's men beat the man to death, which also happens to be the coroner, ruled the cause of death an accident.</t>
  </si>
  <si>
    <t>http://www.dailymail.co.uk/news/article-2324402/David-Silva-death-Shocking-video-shows-moment-father-beaten-death-COPS-witnesses-accuse-police-cover-up.html#comments</t>
  </si>
  <si>
    <t>Kendra Diggs</t>
  </si>
  <si>
    <t>http://www.wyliefh.com/ObituaryPhoto.php?id=1874</t>
  </si>
  <si>
    <t>http://articles.baltimoresun.com/2013-05-08/news/bs-md-officer-charged-20130508_1_james-smith-west-baltimore-officers</t>
  </si>
  <si>
    <t>Carlos Domingo Oquendo</t>
  </si>
  <si>
    <t>http://bloximages.newyork1.vip.townnews.com/dailycommercial.com/content/tncms/assets/v3/editorial/c/bf/cbfacc21-577c-52a9-a0ef-a52fa59b04b7/5238cf4204bc1.preview-300.jpg</t>
  </si>
  <si>
    <t>Lucerne Circle and Euclid Avenue</t>
  </si>
  <si>
    <t>Police said the officers gave repeated commands to Oquendo to exit his vehicle and show his hands, but he refused to comply. Oquendo then put the car in reverse and accelerated toward the officers, striking a tree and the marked patrol vehicle, Leesburg police said. Dunagan fired at Oquendo during the incident, striking and killing him.</t>
  </si>
  <si>
    <t>http://www.dailycommercial.com/news/article_f35898c5-3f26-5ec7-bf3a-9a8935815123.html</t>
  </si>
  <si>
    <t>Danny Valdes</t>
  </si>
  <si>
    <t>Northwest 59th Street and 35th Avenue</t>
  </si>
  <si>
    <t>Police believed Danny Valdes was driving a stolen Nissan in Liberty City when patrol officers tried pulling him over. He led them on a short chase. When he stopped, he was reaching under the seat when they shot and killed him.</t>
  </si>
  <si>
    <t>http://www.miamiherald.com/2013/05/10/3391600/motorist-killed-by-miami-dade.html</t>
  </si>
  <si>
    <t>Saan Pao Saeteurn</t>
  </si>
  <si>
    <t>http://crimevoice.com/wp-content/uploads/2013/05/Saan-Pao-Saeteurn-32.jpg</t>
  </si>
  <si>
    <t>Kellogg St and Walnut streets</t>
  </si>
  <si>
    <t>Saan Pao Saeteurn was shot and killed by police after brandishing a pellet gun at them. The pellet gun was designed to look like an authentic rifle.</t>
  </si>
  <si>
    <t>http://www.ktvu.com/news/news/crime-law/police-say-man-gun-shot-boat-launch-thursday-was-i/nXjM2/</t>
  </si>
  <si>
    <t>Tywon Jones</t>
  </si>
  <si>
    <t>http://usgunviolence.files.wordpress.com/2014/02/tywon-jones1.jpg?w=625</t>
  </si>
  <si>
    <t>A 16-year-old boy was riding his bike and shooting at people. Police shot and killed him.</t>
  </si>
  <si>
    <t>http://articles.chicagotribune.com/2013-05-05/news/chi-police-on-scene-of-lawndale-disturbance-20130505_1_squad-car-police-officers-offender</t>
  </si>
  <si>
    <t>Deion Fludd</t>
  </si>
  <si>
    <t>http://i.dailymail.co.uk/i/pix/2014/04/11/article-2602790-1D09777F00000578-127_634x524.jpg</t>
  </si>
  <si>
    <t>Rockaway Avenue and Fulton Street</t>
  </si>
  <si>
    <t>11233</t>
  </si>
  <si>
    <t>Fludd was chased and arrested for jumping a subway turnstile. As a result of the incident he was paralyzed and died two months later. The police describe him as being hit by a train while fleeing. From his deathbed Fludd said he was beaten with police flashlights and hauled onto the tracks.</t>
  </si>
  <si>
    <t>http://www.dailymail.co.uk/news/article-2602790/Heartbroken-mother-sues-NYPD-using-excessive-force-causing-sons-death.html</t>
  </si>
  <si>
    <t>Marquis James Spencer</t>
  </si>
  <si>
    <t>http://www.mynews13.com/content/dam/news/images/2013/05/Marquis-Spencer-0504.jpg</t>
  </si>
  <si>
    <t>Kirkman Road and Raleigh Street</t>
  </si>
  <si>
    <t>32835</t>
  </si>
  <si>
    <t>Officers initiated a traffic stop on a vehicle that had rammed a police vehicle multiple times and fled. Orlando Police Department spokesman said the suspects' vehicle crashed at Raleigh Street and Resource Avenue. A passenger exchanged gunfire with police officers as he fled from the vehicle. As shots were fired, the driver, Marquis James Spencer, 21, was killed.</t>
  </si>
  <si>
    <t>http://www.wesh.com/news/central-florida/orange-county/opd-looks-for-armed-man-after-officerinvolved-shooting/20012110#!WM7X6</t>
  </si>
  <si>
    <t>Pedro Martinez Campos</t>
  </si>
  <si>
    <t>Washington Avenue and North Citrus Avenue</t>
  </si>
  <si>
    <t>92027</t>
  </si>
  <si>
    <t>Escondido Police Department</t>
  </si>
  <si>
    <t>Campos threatened to cut his own stomach, then walked toward the officers, who backed away hundreds of feet down nearby Trovita Court. He refused to drop the knife, and officers used a Taser, but he continued forward. They shot Campos after he came within 10 feet and charged one of them.</t>
  </si>
  <si>
    <t>http://www.utsandiego.com/news/2013/May/08/Escondido-police-identify-man-Campos/</t>
  </si>
  <si>
    <t>Northwest 114th Street and 27th Avenue</t>
  </si>
  <si>
    <t>33167</t>
  </si>
  <si>
    <t>Passengers on bus called police to report armed man brandishing a gun. Police arrived and exchanged gunfire, wounding man. Man was also holding novelty grenade. Shooting occurred near college campus.</t>
  </si>
  <si>
    <t>http://www.nbcmiami.com/news/local/Miami-Dade-Police-Investigating-Shooting-By-Miami-Dade-College-North-Campus-206117031.html</t>
  </si>
  <si>
    <t>Josiah M. Fischer</t>
  </si>
  <si>
    <t>Stone Road and Hazen Road</t>
  </si>
  <si>
    <t>97053</t>
  </si>
  <si>
    <t>After a high-speed chase, Fischer crashed and an officer shot him after seeing a gun.</t>
  </si>
  <si>
    <t>http://www.katu.com/news/local/Police-shoot-kill-woman-after-pursuit-near-St-Helens-206067741.html</t>
  </si>
  <si>
    <t>Department of Homeland Security</t>
  </si>
  <si>
    <t>Ryan Koontz</t>
  </si>
  <si>
    <t>http://lintvwane.files.wordpress.com/2014/01/ryan-koontz1.jpg?w=307</t>
  </si>
  <si>
    <t>46825</t>
  </si>
  <si>
    <t>Officers went to the house because of a disturbance. Koontz was on drugs and suicidal, and started shoot at police before they got in the house. He made a break for it in a car, chasing an officer across a neighbor's lawn in the car. He got out of the car and was shot and killed.</t>
  </si>
  <si>
    <t>http://wane.com/2013/05/03/gunman-idd-in-fatal-police-shooting/</t>
  </si>
  <si>
    <t>Clifton Armstrong</t>
  </si>
  <si>
    <t>http://cdn2.newsok.biz/cache/r960-n_d467220cba02b26e8ab6a8e0d3cce6aa.jpg</t>
  </si>
  <si>
    <t>1421 NW 99 St</t>
  </si>
  <si>
    <t>Officers responded to a call about a possible suicide attempt. Armstrong's sister said her brother called police on himself. He was talked into a squad car before changing his mind and going back toward the house. When officers tried to get him back into the car, the physical confrontation ensued. At some point, he stripped off his clothes. Officers placed Armstrong in handcuffs and used belts to restrain his leg movement. When Armstrong became unresponsive, Paramedics performed CPR. He was pronounced dead after 40 minutes. Family members said they saw grass up his nose.</t>
  </si>
  <si>
    <t>http://newsok.com/man-dies-after-oklahoma-city-police-family-try-to-subdue-him/article/3805618</t>
  </si>
  <si>
    <t>Julio Colon</t>
  </si>
  <si>
    <t>3290 Balltown Road</t>
  </si>
  <si>
    <t>Schenectady</t>
  </si>
  <si>
    <t>12304</t>
  </si>
  <si>
    <t>Schenectady Police Department</t>
  </si>
  <si>
    <t>The man shot held a knife to the chest of a man, whom he'd already stabbed.</t>
  </si>
  <si>
    <t>http://www.news10.com/story/22141329/police-involved-shooting-on-balltown-road</t>
  </si>
  <si>
    <t>Jamie Coyle</t>
  </si>
  <si>
    <t>http://www.pawtuckettimes.com/sites/default/files/JAMIE%20COYLE%20MONDAY%20OBIT%20PIC.jpg</t>
  </si>
  <si>
    <t>Sherman Street</t>
  </si>
  <si>
    <t>Pawtucket</t>
  </si>
  <si>
    <t>02860</t>
  </si>
  <si>
    <t>Pawtucket Police Department</t>
  </si>
  <si>
    <t>Coyle was shot by two police officers who say they feared for their lives when Coyle got out of his car and pulled a gun on them.</t>
  </si>
  <si>
    <t>http://masscops.com/threads/pawtucket-ri-police-shoot-man-in-car-stop.107499/</t>
  </si>
  <si>
    <t>Jordan West-Morson</t>
  </si>
  <si>
    <t>http://michigancitizen.com/mc/wp-content/uploads/2013/06/3-VICTIM.gif</t>
  </si>
  <si>
    <t>Eight Mile &amp; Gratiot</t>
  </si>
  <si>
    <t>48205</t>
  </si>
  <si>
    <t>Detroit Transportation Corporation</t>
  </si>
  <si>
    <t>A scuffle apparently broke out at a gas station where the musician was selling CDs. The off-duty officer shot and killed him, claiming he went for his gun.</t>
  </si>
  <si>
    <t>http://www.clickondetroit.com/news/detroit-transit-officer-charged-in-fatal-shooting/21997824</t>
  </si>
  <si>
    <t>Lawrence Edward Graham III</t>
  </si>
  <si>
    <t>http://wwwcache.wral.com/asset/news/local/2013/05/01/12402093/graham-300x225.jpg</t>
  </si>
  <si>
    <t>Lakecrest Drive and Sourwood Drive</t>
  </si>
  <si>
    <t>28301</t>
  </si>
  <si>
    <t>During a traffic stop for a window-tint violation, Graham, who was a passenger in the vehicle, exited, pursued by officer. Graham turned, displaying a handgun, and officer shot him. Graham was paralyzed, and died July 2 from a blot-clot related to injuries.</t>
  </si>
  <si>
    <t>http://www.fayobserver.com/news/local/cumberland-county-da-says-no-charges-for-fayetteville-police-officer/article_ed8e655f-c2a0-5549-9ef4-f9f979efd901.html</t>
  </si>
  <si>
    <t>Kenneth Bernard Williams</t>
  </si>
  <si>
    <t>263 E 5th St</t>
  </si>
  <si>
    <t>As reported to the Los Angeles Times, Kenneth Bernard Williams, 55, died after being shot in Downtown, according to Los Angeles County coroner's records.</t>
  </si>
  <si>
    <t>http://homicide.latimes.com/post/kenneth-bernard-williams/</t>
  </si>
  <si>
    <t>Homeless person known as "Kenny"</t>
  </si>
  <si>
    <t>E 5th St &amp; Wall St</t>
  </si>
  <si>
    <t>An undercover detective saw what he thought was an armed robbery at a store. The suspect had a gun. He ran and was shot by the detective. Universal Network News posted a video on YouTube, reporting the homeless man was called "Kenny." https://www.youtube.com/watch?v=g7hD8g34qNw</t>
  </si>
  <si>
    <t>http://www.nbclosangeles.com/news/local/Police-Shoot-Kill-Suspect-in-Skid-Row-Prompting-Angry-Crowd-to-Gather-205646861.html</t>
  </si>
  <si>
    <t>Christopher Lane Nash</t>
  </si>
  <si>
    <t>Church Street</t>
  </si>
  <si>
    <t>75460</t>
  </si>
  <si>
    <t>http://www.eparisextra.com/911/scene-of-the-crime/2013/05/03/police-release-name-of-drug-suspect-killed-by-officer-in-wednesday-night-shooting-in-paris/65612</t>
  </si>
  <si>
    <t>Edward Ramirez</t>
  </si>
  <si>
    <t>Ramirez carjacked a vehicle. About five hours later, police caught up with him. He went into an apartment building and took hostages, before being shot by SWAT.</t>
  </si>
  <si>
    <t>http://egpnews.com/2013/05/suspect-in-boyle-heights-fatal-standoff-identified/</t>
  </si>
  <si>
    <t>Gary Dean Carty</t>
  </si>
  <si>
    <t>Coeburn</t>
  </si>
  <si>
    <t>24230</t>
  </si>
  <si>
    <t>Dickenson</t>
  </si>
  <si>
    <t>Dickenson County Sheriff's Office</t>
  </si>
  <si>
    <t>State police say 60-year-old Gary Dean Carty of Clintwood died after being shot by a Dickenson County deputy. Police say the deputy was responding to a report of an assault early Tuesday morning when Carty pulled out a knife and charged at him. The deputy fired at the man, who died after being flown to a Bristol hospital.</t>
  </si>
  <si>
    <t>http://www.timesnews.net/article/9061112/vsp-probes-two-police-shootings-dickenson-co-man-dead</t>
  </si>
  <si>
    <t>Old Mescalero Road and First Street</t>
  </si>
  <si>
    <t>Tularosa</t>
  </si>
  <si>
    <t>88352</t>
  </si>
  <si>
    <t>Tularosa Police Department</t>
  </si>
  <si>
    <t>Tularosa police were patrolling neighborhoods during a blackout caused by a fire. A Tularosa police officer recognized Vigil while he was checking on the elementary school, believing Vigil had a warrant for his arrest, he attempted to stop him. According to police, Vigil kept walking when the officer ordered him to stop. Vigil eventually stopped, but kept digging in his pockets after the officer told him to show his hands. The report indicates the Tularosa officer first pulled his Taser gun, but when the officer saw Vigil pull out the .22 caliber Crickett, the officer drew his gun. Gunfire was exchanged, Virgil was killed.</t>
  </si>
  <si>
    <t>http://www.alamogordonews.com/ci_23931097/grand-jury-finds-no-wrongdoing-tularosa-police-shooting</t>
  </si>
  <si>
    <t>Jayson Leon Carmickle</t>
  </si>
  <si>
    <t>http://img.ksl.com/slc/2506/250697/25069795.jpg?filter=ksl/pgallery</t>
  </si>
  <si>
    <t>54 W Main St</t>
  </si>
  <si>
    <t>Vernal</t>
  </si>
  <si>
    <t>84078</t>
  </si>
  <si>
    <t>Uintah</t>
  </si>
  <si>
    <t>Vernal Police Department</t>
  </si>
  <si>
    <t>Officers responding to calls of a man attempting to break into a pickup truck found Carmickle, and used a taser to subdue him after he rebuked attempts to physically restrain him. Carmickle was arrested and placed in a holding cell, but police discovered him unresponsive and moved him to a hospital, where he died several days later.</t>
  </si>
  <si>
    <t>http://www.deseretnews.com/article/865579530/Vernal-man-dies-3-days-after-officer-deployed-a-Taser.html</t>
  </si>
  <si>
    <t>Alexis Diaz</t>
  </si>
  <si>
    <t>Orange Blossom Trail and Holden Avenue</t>
  </si>
  <si>
    <t>32839</t>
  </si>
  <si>
    <t>With a considerable small-time criminal record, Diaz was acting erratically and aggressively near a motel in the early evening. Responding county deputies shot him to death although Diaz was armed only with a pellet gun.</t>
  </si>
  <si>
    <t>http://articles.orlandosentinel.com/2013-05-01/news/os-alexis-diaz-shooting-killed-20130501_1_deputies-jane-watrel-brian-tracy</t>
  </si>
  <si>
    <t>Todd Jones</t>
  </si>
  <si>
    <t>32246</t>
  </si>
  <si>
    <t>Three officers shot and killed Jones after police said he stabbed his stepfather, then later charged an officer while holding a pellet gun following a nearly two-hour standoff.</t>
  </si>
  <si>
    <t>http://www.news4jax.com/news/3-officers-shoot-kill-man-in-suicide-by-cop/19968562</t>
  </si>
  <si>
    <t>Ross Darkis</t>
  </si>
  <si>
    <t>215 Wilbur Street</t>
  </si>
  <si>
    <t>Vincennes</t>
  </si>
  <si>
    <t>47591</t>
  </si>
  <si>
    <t>Officers trying to subdue a man with a gun fatally shot him Monday night on his front porch. Police say Ross Darkis, 42, threatened them with the gun and was shot multiple times. He later died at the hospital.</t>
  </si>
  <si>
    <t>https://local.nixle.com/alert/4994687/</t>
  </si>
  <si>
    <t>19140</t>
  </si>
  <si>
    <t>Uniformed officers in a marked patrol vehicle responded to a radio call for a “Person Screaming, Person with a Weapon.” Upon arrival, the officers observed a male straddling a female with a knife at her neck. The offender stood-up and came toward the officers with the knife in his hand. The officers ordered the offender to drop the knife, but he did not. One officer discharged his weapon, striking the offender. The offender was pronounced dead at the scene. Unbelievably, Philadelphia police do not identify people they kill or the officers who kill them.</t>
  </si>
  <si>
    <t>http://www.phillypolice.com/news/police-officer-involved-shootings/</t>
  </si>
  <si>
    <t>Jesse Delgadillo</t>
  </si>
  <si>
    <t>Artesia Boulevard and Butler Avenue</t>
  </si>
  <si>
    <t>The Long Beach Police Department responded to reports of a man with a gun. After locating the a suspect matching the description, a foot pursuit began. During the chase, police said, the suspect produced a handgun, at which time police shot the man.</t>
  </si>
  <si>
    <t>http://www.presstelegram.com/general-news/20130501/man-shot-by-long-beach-police-on-sunday-identified</t>
  </si>
  <si>
    <t>Pamela Dale Kirk</t>
  </si>
  <si>
    <t>http://www.baynews9.com/content/dam/news/images/2013/04/Pamela-Kirk.JPG</t>
  </si>
  <si>
    <t>2630 13th Ave. N</t>
  </si>
  <si>
    <t>Two officers - a field training officer and a trainee - were dispatched after a person called to say she was concerned about a neighbor. After knocking on the front door and getting no response, the uniformed police officer went to the rear of the home and knocked on the back door. According to the report, a woman standing inside the home near the back door raised a curtain on a large adjacent window and pointed a silver Smith &amp; Wesson .38 Special revolver at the officer. The officer then fired three times through the window, killing her.</t>
  </si>
  <si>
    <t>http://tbo.com/pinellas-county/st-pete-police-id-mentally-ill-woman-officer-shot-and-killed-b82484836z1</t>
  </si>
  <si>
    <t>Tavontae Jamar Haney</t>
  </si>
  <si>
    <t>http://lintvwane.files.wordpress.com/2014/01/tavontae-jamar-haney-19-fort-wayne.jpg?w=261</t>
  </si>
  <si>
    <t>46806</t>
  </si>
  <si>
    <t>Haney ran from a traffic stop, carrying a gun, police said. They chased him down an alley, shooting and killing him.</t>
  </si>
  <si>
    <t>http://wane.com/2013/04/27/man-fatally-shot-by-police-on-spatz-avenue-identified/</t>
  </si>
  <si>
    <t>Gabriel Winzer</t>
  </si>
  <si>
    <t>http://2.bp.blogspot.com/-M_ZwJK3qi98/UX1qNPiJuZI/AAAAAAAAADc/xoa2oiMA_ik/s1600/Gabriel+Winzer+Kaufman+County+Tx.jpg</t>
  </si>
  <si>
    <t>County Road 316A</t>
  </si>
  <si>
    <t>Frog</t>
  </si>
  <si>
    <t>75161</t>
  </si>
  <si>
    <t>Kaufman</t>
  </si>
  <si>
    <t>Deputies responded to a report of a man with a gun, firing the weapon and threatening citizens on County Road 316. After a chase, they shot and killed him.</t>
  </si>
  <si>
    <t>http://www.nbcdfw.com/news/local/Deadly-Shootout-in-Kaufman-County-Leaves-One-Dead-205033091.html</t>
  </si>
  <si>
    <t>Jean N. Printemps</t>
  </si>
  <si>
    <t>Southwest 100th Terrace and 21st Street</t>
  </si>
  <si>
    <t>Miramar</t>
  </si>
  <si>
    <t>Printemps allegedly carjacked a car. Later, Miramar PD caught up with him. A gunbattle ensued, and Printemps was killed.</t>
  </si>
  <si>
    <t>http://articles.sun-sentinel.com/2013-05-01/news/fl-miramar-police-involved-20130501_1_miramar-police-tania-rues-armed-carjacking-suspect</t>
  </si>
  <si>
    <t>Maria Zarco</t>
  </si>
  <si>
    <t>92139</t>
  </si>
  <si>
    <t>Officials identified the woman shot and killed Saturday by a San Diego police officer after she allegedly stabbed her boyfriend and 9-year-old son and raised the knife at the officer. According to witnesses, she was screaming religious words about judgement day.</t>
  </si>
  <si>
    <t>http://www.nbcsandiego.com/news/local/Officer-Involved-Shooting-Suspect-Identified-Maria-Zarco-205403401.html</t>
  </si>
  <si>
    <t>Pasadena</t>
  </si>
  <si>
    <t>Dennis Lawrence</t>
  </si>
  <si>
    <t>http://usgunviolence.files.wordpress.com/2014/02/dennis-lawrence.jpg?w=625</t>
  </si>
  <si>
    <t>2626 Tanner Holler Road</t>
  </si>
  <si>
    <t>72556</t>
  </si>
  <si>
    <t>Izard</t>
  </si>
  <si>
    <t>Izard County Sheriff's Department</t>
  </si>
  <si>
    <t>Accused of shooting his wife, Lawrence was killed by officers during the investigation into the incident.</t>
  </si>
  <si>
    <t>http://www.areawidenews.com/story/1964948.html</t>
  </si>
  <si>
    <t>Chris G. Nowicki</t>
  </si>
  <si>
    <t>http://ak-cache.legacy.net/legacy/images/cobrands/jsonline/photos/0004209341-01-1_231256.jpgx?w=130&amp;h=180&amp;option=1&amp;v=0x000000002aa24899</t>
  </si>
  <si>
    <t>53219</t>
  </si>
  <si>
    <t>Police say officers found Nowicki standing outside holding two butcher knives. They say he ignored commands to drop the knives and began advancing on the officers, one of whom opened fire.</t>
  </si>
  <si>
    <t>http://www.jsonline.com/news/milwaukee/milwaukee-police-identify-man-shot-by-officers-after-threats-rs9onnl-205281201.html</t>
  </si>
  <si>
    <t>Cody Point</t>
  </si>
  <si>
    <t>http://ak-cache.legacy.net/legacy/images/Cobrands/HoustonChronicle/Photos/W0080357-1_20130502.jpg</t>
  </si>
  <si>
    <t>7044 FM 1960 East</t>
  </si>
  <si>
    <t>Atascocita</t>
  </si>
  <si>
    <t>77346</t>
  </si>
  <si>
    <t>Authorities said three men allegedly assaulted bank employees during a robbery and managed to pocket an undisclosed amount of cash. Their getaway was interrupted when a Houston Police officer entered the bank during his lunch break. The officer, officials said, walked straight into the barrel of a shotgun as he entered the bank building. The officer struggled with one or more of the suspects then the second officer intervened. After the robbers got into an SUV, one pointed a shotgun at the second officer, who shot and killed a man in the SUV.</t>
  </si>
  <si>
    <t>http://www.yourhoustonnews.com/humble/news/names-of-alleged-bank-robbers-dead-and-alive-released/article_53a2a534-b262-11e2-8901-0019bb2963f4.html</t>
  </si>
  <si>
    <t>Brice Quintin Jefferson</t>
  </si>
  <si>
    <t>11413 S Vermont Ave</t>
  </si>
  <si>
    <t>Jefferson and his girlfriend had a fight, that he kidnapped her two daughters and dropped them off at a store nearby, and returned to the store his girlfriend was at. Deputies were already there, and say that Jefferson hit one police vehicle and pinned down one deputy with his car after knocking a deputy to the ground. Then, a deputy shot him to death. The deputy who'd been hurt was taken to local hospital and treated.</t>
  </si>
  <si>
    <t>http://homicide.latimes.com/post/brice-quintin-jefferson/</t>
  </si>
  <si>
    <t>Kenzell Hobbs</t>
  </si>
  <si>
    <t>http://www.fox16.com/media/lib/9/7/f/a/7fa5217b-d134-4450-82f3-1dd2fb961fcc/Story.jpg</t>
  </si>
  <si>
    <t>400 N. Pierce Street</t>
  </si>
  <si>
    <t>Kenzell Hobbs, 18, of North Little Rock, died of his injuries following a string of car burglaries and a manhunt that took place along University Avenue.</t>
  </si>
  <si>
    <t>http://www.thv11.com/news/article/262003/2/Suspect-shot-by-police-after-manhunt</t>
  </si>
  <si>
    <t>Felipe Corrales</t>
  </si>
  <si>
    <t>San Fernando Police Department</t>
  </si>
  <si>
    <t>http://homicide.latimes.com/post/felipe-corrales/</t>
  </si>
  <si>
    <t>James Coleman</t>
  </si>
  <si>
    <t>http://localtvwiti.files.wordpress.com/2013/04/coleman.jpg?w=185&amp;h=103&amp;crop=1</t>
  </si>
  <si>
    <t>Officers were called by a person who said a relative was threatening to kill them. Coleman was also suicidal.</t>
  </si>
  <si>
    <t>http://fox6now.com/2013/05/16/mpd-changes-response-to-incidents-involving-mentally-ill/</t>
  </si>
  <si>
    <t>Cary Ball</t>
  </si>
  <si>
    <t>http://thinkprogress.org/wp-content/uploads/2013/05/caryball.png</t>
  </si>
  <si>
    <t>N 9th St &amp; Carr St</t>
  </si>
  <si>
    <t>63101</t>
  </si>
  <si>
    <t>Police say, officers were conducting hot-spot policing downtown when they noticed two suspects inside a car. The suspects then drove away from the scene. Police said they saw the same car near the intersection of 9th and Carr. Authorities said the suspects attempted to drive away from the scene, but hit a parked car. Police said the 25-year-old passenger then jumped out of the car and ran. He turned around and pointed a .45 automatic weapon with an extended clip at them and at that point, the officers fired shots, killing him.</t>
  </si>
  <si>
    <t>http://newsone.com/2511226/cary-ball-jr-st-louis/</t>
  </si>
  <si>
    <t>Brandon Smith</t>
  </si>
  <si>
    <t>Officer responded to a holdup at a Whataburger.The officer chased the fleeing gunman into a nearby residential neighborhood, where they exchanged fire. The officer was shot in the leg, and the suspect was shot multiple times. Both were hospitalized, and Smith died.</t>
  </si>
  <si>
    <t>http://www.star-telegram.com/2013/04/24/4799142/fort-worth-police-officer-shot.html?rh=1</t>
  </si>
  <si>
    <t>Amjustine Hunter</t>
  </si>
  <si>
    <t>Jackson Avenue and Lyndale Avenue</t>
  </si>
  <si>
    <t>Police said officers fatally shot Hunter when he accelerated and hit two officers who had been checking his vehicle for “suspicious” activity.</t>
  </si>
  <si>
    <t>http://www.commercialappeal.com/news/2013/apr/23/memphis-police-kill-man-who-hit-two-officers-car/</t>
  </si>
  <si>
    <t>Robert Lopez</t>
  </si>
  <si>
    <t>http://usgunviolence.files.wordpress.com/2014/01/robert-lopez.jpg?w=625</t>
  </si>
  <si>
    <t>Police found Lopez crouching in a doghouse in the backyard of a home. A woman who lives in the home had called police to report suspicious activity. He was shot multiple times by two police officers after he failed to comply with commands to drop his weapon and instead raised it toward the officers, police said.</t>
  </si>
  <si>
    <t>http://www.wtoc.com/story/22075722/tpd-investigation-on-deadly-shooting-continues-this-morning</t>
  </si>
  <si>
    <t>Herbert Babelay</t>
  </si>
  <si>
    <t>http://media.cmgdigital.com/shared/lt/lt_cache/thumbnail/908/img/photos/2013/04/24/e2/6c/Herbert-Babelay-OBIT.jpg</t>
  </si>
  <si>
    <t>http://www.statesman.com/news/news/acevedo-man-killed-by-officers-had-been-off-medica/nXXDB/</t>
  </si>
  <si>
    <t>Rick Odell Smith</t>
  </si>
  <si>
    <t>http://bloximages.newyork1.vip.townnews.com/stltoday.com/content/tncms/assets/v3/editorial/d/56/d564a341-99dd-525e-8157-53078a701838/51848b4b3c2c9.preview-620.jpg</t>
  </si>
  <si>
    <t>East Street</t>
  </si>
  <si>
    <t>62663</t>
  </si>
  <si>
    <t>Winchester Police Department, Illinois State Police</t>
  </si>
  <si>
    <t>Smith allegedly broke into a home, killing five people within. Police caught up with him, and after a gunfight, Smith died of his injuries in a hospital.</t>
  </si>
  <si>
    <t>http://stlouis.cbslocal.com/2013/05/03/illinois-state-police-release-report-on-manchester-mass-shooting/</t>
  </si>
  <si>
    <t>Larry Hooker</t>
  </si>
  <si>
    <t>Two officers on foot patrol heard and saw shots coming from a car with several people inside. People inside the car were firing in a direction away from the officers. The officers then "engaged" the suspects and shot three of them. Hooker died.</t>
  </si>
  <si>
    <t>http://citypaper.com/news/murder-ink-1.1481789</t>
  </si>
  <si>
    <t>Michael Everett Morgan</t>
  </si>
  <si>
    <t>1170 W. State Road 434</t>
  </si>
  <si>
    <t>Longwood</t>
  </si>
  <si>
    <t>32750</t>
  </si>
  <si>
    <t>Seminole County Sheriff's Office</t>
  </si>
  <si>
    <t>A standoff at the SureSave USA self-storage facility in Longwood, Fla., ended when SWAT officers shot and killed a man who was armed with a shotgun. Michael Morgan got into a fight with his wife earlier in the morning, and then took a shotgun to the storage facility, according to Longwood Police, who described Morgan's behavior as suicidal in nature.</t>
  </si>
  <si>
    <t>http://www.wesh.com/news/central-florida/seminole-county/Seminole-deputies-shoot-kill-armed-man-at-storage-facility/19843816#!UBPgo</t>
  </si>
  <si>
    <t>Victor Johnson</t>
  </si>
  <si>
    <t>Calumet City</t>
  </si>
  <si>
    <t>60409</t>
  </si>
  <si>
    <t>Calumet City Police Department</t>
  </si>
  <si>
    <t>Johnson was suspected of shooting a Hammond man. He was shot to death by police after allegedly pulling a gun on officers who were trying to apprehend him.</t>
  </si>
  <si>
    <t>http://www.nwitimes.com/news/local/illinois/calumet-city/man-shot-killed-by-calumet-city-police/article_bb27f414-2926-508b-ad37-4cd3a0b23ef1.html</t>
  </si>
  <si>
    <t>Eric Andrews</t>
  </si>
  <si>
    <t>301 Tree Trail Pkwy</t>
  </si>
  <si>
    <t>Norcross</t>
  </si>
  <si>
    <t>30093</t>
  </si>
  <si>
    <t>Eric Andrews allegedly broke into a Norcross apartment early Monday morning was armed with a tire iron and within feet of a police officer when he was shot in the chest.</t>
  </si>
  <si>
    <t>http://www.gwinnettdailypost.com/news/2013/apr/22/robbery-suspect-killed-officer-related-shooting/</t>
  </si>
  <si>
    <t>William Emanuel Poplos</t>
  </si>
  <si>
    <t>https://usgunviolence.files.wordpress.com/2014/01/william-emanuel-poplos.jpg?w=625</t>
  </si>
  <si>
    <t>490 Belair Ave.</t>
  </si>
  <si>
    <t>Merritt Island</t>
  </si>
  <si>
    <t>32953</t>
  </si>
  <si>
    <t>A late-afternoon domestic dispute in which Poplos threatened his 82-year-old fiance with a gun, firing shot into the wall beside her, developed into a standoff with police. Poplos refused to surrender the weapon, and county deputies shot him to death.</t>
  </si>
  <si>
    <t>http://www.wftv.com/news/news/local/merritt-island-man-allegedly-shot-girlfriend-deput/nXTLP/</t>
  </si>
  <si>
    <t>Alexis Perez</t>
  </si>
  <si>
    <t>http://wmgm.images.worldnow.com/images/22057979_BG1.jpg</t>
  </si>
  <si>
    <t>Pleasantville</t>
  </si>
  <si>
    <t>08232</t>
  </si>
  <si>
    <t>Pleasantville Police Department</t>
  </si>
  <si>
    <t>Police were called to a home where they say they found Perez, who lived at the house. Police say he was standing outside the home with a knife in his hand making threats. Investigators say three Pleasantville officers shot Perez several times. He was pronounced dead at the scene.</t>
  </si>
  <si>
    <t>http://www.shorenewstoday.com/snt/news/index.php/pleasantville/pleasantville-general-news/44482-grand-jury-pleasantville-police-officers-use-of-deadly-force-justified-lawful.html</t>
  </si>
  <si>
    <t>Fred Bradford Jr.</t>
  </si>
  <si>
    <t>http://cityhallblog.dallasnews.com/files/2013/11/FredBradfordJr.jpeg</t>
  </si>
  <si>
    <t>3100 Julius Schepps Fwy</t>
  </si>
  <si>
    <t>http://cityhallblog.dallasnews.com/2013/11/city-to-settl.html/</t>
  </si>
  <si>
    <t>Dennis Clark III</t>
  </si>
  <si>
    <t>http://media.cmgdigital.com/shared/lt/lt_cache/thumbnail/615/img/photos/2013/04/23/23/fe/Dennis_Clark.jpg</t>
  </si>
  <si>
    <t>South 333rd Street and Pacific Highway South</t>
  </si>
  <si>
    <t>Federal Way</t>
  </si>
  <si>
    <t>98003</t>
  </si>
  <si>
    <t>Federal Way Police Department</t>
  </si>
  <si>
    <t>Dennis Clark III, 27, fatally shot his girlfriend in the head on Sunday night, then killed three more people at the Pinewood Village Apartments. Federal Way police encountered and shot Clark in a stairwell. Clark retreated on foot, and according to police, had ignored commands to stop reaching for a handgun on the ground. That's when eight officers opened fire and shot Clark dead.</t>
  </si>
  <si>
    <t>http://www.federalwaymirror.com/news/204381321.html#</t>
  </si>
  <si>
    <t>Craig Demps</t>
  </si>
  <si>
    <t>http://florida.arrests.org/mugs/Palmbeach/2011/2011005933.jpg</t>
  </si>
  <si>
    <t>1001 Okeechobee Blvd</t>
  </si>
  <si>
    <t>Jonathan Pimentel</t>
  </si>
  <si>
    <t>http://ksaz.images.worldnow.com/images/22032057_BG3.jpg</t>
  </si>
  <si>
    <t>79th Avenue and Indian School Road</t>
  </si>
  <si>
    <t>Jonathan Pimentel, who was suspected of shooting his girlfriend earlier in the week, was fatally shot by Phoenix police after pointing a gun at officers who were following up on a suspicious persons report.</t>
  </si>
  <si>
    <t>http://www.abc15.com/news/region-phoenix-metro/central-phoenix/phoenix-police-man-killed-in-officer-involved-shooting-in-phoenix</t>
  </si>
  <si>
    <t>Xavier Barba</t>
  </si>
  <si>
    <t>http://usgunviolence.files.wordpress.com/2014/01/xavier-barba.jpg?w=625</t>
  </si>
  <si>
    <t>Cherry Avenue and Bollinger Street</t>
  </si>
  <si>
    <t>Police received calls that a man was driving erratically in a black SUV firing a gun. When police arrived, neighbors told them that the man had gone into an apartment. Officers on the other side of the apartment building saw him leave through the back door and out a gate to a carport in only his boxers. This time, Barba responded to commands to put his hands in the air, but refused to drop the gun he was holding. He began to lower it in the direction of the officers. It was at that point that the officers shot and killed Barba.</t>
  </si>
  <si>
    <t>http://abc30.com/archive/9074053/</t>
  </si>
  <si>
    <t>Travis Trisoliere</t>
  </si>
  <si>
    <t>http://ksaz.images.worldnow.com/images/22032841_BG3.jpg</t>
  </si>
  <si>
    <t>Broadway Ave. and South Meridian Road</t>
  </si>
  <si>
    <t>Apache Junction</t>
  </si>
  <si>
    <t>85120</t>
  </si>
  <si>
    <t>A team of Mesa police officers and U.S. Marshals located 33-year-old Travis Trisoliere in Mesa and attempted to make a traffic stop to serve felony arrest warrants. Trisoliere allegedly went for a gun and was shot by officers.</t>
  </si>
  <si>
    <t>http://www.abc15.com/news/region-southeast-valley/apache-junction/authorities-shoot-kill-man-with-arrest-warrants-in-apache-junction</t>
  </si>
  <si>
    <t>Justin Tyler Harrigill</t>
  </si>
  <si>
    <t>http://www.natchezdemocrat.com/wp-content/uploads/2013/04/Harrigill_Justin_Tyler.jpg</t>
  </si>
  <si>
    <t>Interstate 55 South one mile south of Crystal Springs</t>
  </si>
  <si>
    <t>Crystal Springs</t>
  </si>
  <si>
    <t>39059</t>
  </si>
  <si>
    <t>Copiah</t>
  </si>
  <si>
    <t>Mississippi Highway Patrol</t>
  </si>
  <si>
    <t>Harrigill apparently lost control of his vehicle and when officers investigated, first fought them, then pulled a pistol and shot at them.</t>
  </si>
  <si>
    <t>http://www.natchezdemocrat.com/2013/04/21/natchez-man-shot-killed-by-police-in-copiah-county/</t>
  </si>
  <si>
    <t>Zachariah Pithan</t>
  </si>
  <si>
    <t>https://usgunviolence.files.wordpress.com/2014/01/zachariah-pithan1.jpg?w=625</t>
  </si>
  <si>
    <t>Glendale Avenue and 19th Avenue</t>
  </si>
  <si>
    <t>85021</t>
  </si>
  <si>
    <t>Police was called because Pithan was acting crazy and making threats. He attacked officers, eventually brandishing a table leg before one of the injured officers shot and killed him.</t>
  </si>
  <si>
    <t>http://www.abc15.com/news/region-phoenix-metro/central-phoenix/phoenix-officer-involved-shooting-22-year-old-killed-by-police</t>
  </si>
  <si>
    <t>Julie Serna Gonzales</t>
  </si>
  <si>
    <t>http://extras.mnginteractive.com/live/media/site557/2013/0425/20130425_034007_Julie%20Serna%20Gonzales_GALLERY.jpg</t>
  </si>
  <si>
    <t>59 Alderwood Drive</t>
  </si>
  <si>
    <t>Stafford</t>
  </si>
  <si>
    <t>22556</t>
  </si>
  <si>
    <t>An FBI instructor claimed his estranged wife Julie would have killed him with a knife if he had not shot and killed her. Charged with second-degree murder and using a firearm in the commission of a felony. First trial ended in a mistrial.</t>
  </si>
  <si>
    <t>http://news.fredericksburg.com/newsdesk/2014/03/11/fbi-agents-case-goes-to-jurors-today/</t>
  </si>
  <si>
    <t>Anthony Howard</t>
  </si>
  <si>
    <t>http://www.gazette.net/article/20130420/NEWS/130429997/1022/gaithersburg-man-dies-after-police-shoot-him-with-tasers&amp;template=gazette</t>
  </si>
  <si>
    <t>William Boyd Plant</t>
  </si>
  <si>
    <t>Detectives identified themselves and tried to serve Plant with three felony warrants in a business complex parking lot, police said. Plant “turned on them quickly, in an aggressive manner, and produced and pointed an object at them. Fearing for their lives, all three Phoenix police detectives fired their duty weapons at the suspect. Plant was pronounced dead at the scene. It was determined the object he carried was not a firearm.</t>
  </si>
  <si>
    <t>http://www.azcentral.com/community/phoenix/articles/20130419phoenix-officers-fatally-shoot-man-abrk.html</t>
  </si>
  <si>
    <t>Barry Mead Sr.</t>
  </si>
  <si>
    <t>Westfield Boro</t>
  </si>
  <si>
    <t>16950</t>
  </si>
  <si>
    <t>Tioga</t>
  </si>
  <si>
    <t>Westfield Police Department</t>
  </si>
  <si>
    <t>An officer heard the shot as he went inside. The officer then saw Mead fire another round and ordered him to drop the weapon several times. Mead didn't comply, and the officer shot him. Both Mead and Copp were pronounced dead at the scene just after midnight.</t>
  </si>
  <si>
    <t>http://centralny.twcnews.com/content/news/658099/woman-killed--suspect-shot-and-killed-by-police/</t>
  </si>
  <si>
    <t>Wilson A. Lutz</t>
  </si>
  <si>
    <t>Scottsdale Apartments, Calumet Street just west of Oneida Street, Menasha</t>
  </si>
  <si>
    <t>Menasha</t>
  </si>
  <si>
    <t>54915</t>
  </si>
  <si>
    <t>Town of Menasha Police Department</t>
  </si>
  <si>
    <t>Town of Menasha police were called just after 5 p.m. to deal with Wilson A. Lutz, 66, who was threatening to harm himself because he was upset about a relationship.</t>
  </si>
  <si>
    <t>http://www.postcrescent.com/article/20130419/APC0101/304190386/Town-Menasha-police-officer-shoots-kills-armed-man-update-video-photos-?nclick_check=1</t>
  </si>
  <si>
    <t>John R. Monroe</t>
  </si>
  <si>
    <t>21224</t>
  </si>
  <si>
    <t>Police say 42-year-old John Monroe was killed as he engaged police in a "running gun battle" outside a home in the 3400-block Foster Avenue. Police had responded to a domestic dispute at the home at around midnight Thursday, where officers found two women who had been shot.</t>
  </si>
  <si>
    <t>http://www.wbal.com/article/99214/2/template-story/Man-Shot-Killed-By-Police-Identified</t>
  </si>
  <si>
    <t>Kenneth Philipp</t>
  </si>
  <si>
    <t>http://www.fatalencounters.org/wp-content/uploads/2013/10/KennethPhilip.jpg</t>
  </si>
  <si>
    <t>Buck Road</t>
  </si>
  <si>
    <t>Holland</t>
  </si>
  <si>
    <t>18966</t>
  </si>
  <si>
    <t>Bucks</t>
  </si>
  <si>
    <t>Northampton Police Department</t>
  </si>
  <si>
    <t>Kenneth Philipp killed his ex-wife with a shotgun, driving away until stopped by police. He fired on police before he was shot and killed.</t>
  </si>
  <si>
    <t>http://www.phillyburbs.com/news/crime/northampton-cop-cleared-for-fatally-shooting-man-who-killed-ex/article_7fa81d30-2663-538f-a8cf-6c7b876931a0.html?mode=jqm</t>
  </si>
  <si>
    <t>Tamerlan Tsarnaev</t>
  </si>
  <si>
    <t>http://msnbcmedia.msn.com/j/MSNBC/Components/Photo/_new/130506-tamerlan-tsarnaev-mug-1230p.380;380;7;70;0.jpg</t>
  </si>
  <si>
    <t>66 Laurel Ave.</t>
  </si>
  <si>
    <t>Watertown</t>
  </si>
  <si>
    <t>02472</t>
  </si>
  <si>
    <t>Watertown Police Department</t>
  </si>
  <si>
    <t>One of the bombing suspects from the Boston Marathon, 2013. He and his brother, Dzhokhar Tsarnaev, 19, are alleged to have killed a Massachusetts Institute of Technology campus police officer.</t>
  </si>
  <si>
    <t>http://media3.s-nbcnews.com/i/newscms/2014_13/275841/140324-boston-bombing-tamerlan-tsarnaev_b041bd87b42c8d8228fc782d2b529c8c.jpg</t>
  </si>
  <si>
    <t>Lisa Renee Miller</t>
  </si>
  <si>
    <t>1501 Coal City Road</t>
  </si>
  <si>
    <t>West Virginia State Police Department</t>
  </si>
  <si>
    <t>Miller was threatening to commit suicide. She became agitated at some point, threw a phone down and spun around with a rifle pointed at officers. She was shot once and killed by an officer.</t>
  </si>
  <si>
    <t>http://bdtonline.com/breakingnews/x1915237936/Coal-City-woman-shot-killed-by-State-Police</t>
  </si>
  <si>
    <t>Thomas G. Manuel III</t>
  </si>
  <si>
    <t>http://usgunviolence.files.wordpress.com/2014/01/thomas-g-manuel.jpg?w=625</t>
  </si>
  <si>
    <t>Dort Highway and Carpenter Road</t>
  </si>
  <si>
    <t>Genesee Township</t>
  </si>
  <si>
    <t>Mt. Morris Township Police</t>
  </si>
  <si>
    <t>Police officers located a man in a vehicle that had been carjacked last night in Grand Blanc Township. A car chase ensued to the intersection of Dort Highway and Carpenter Road where police said Thomas G. Manuel III emerged from the vehicle and started firing at officers. Officers chased Manuel inside a nearby junkyard, where police said he was killed during an exchange of gunfire with officers.</t>
  </si>
  <si>
    <t>http://usgunviolence.wordpress.com/2013/04/17/killed-thomas-g-manuel-genesee-mi/</t>
  </si>
  <si>
    <t>Margarito Martinez Gallegos</t>
  </si>
  <si>
    <t>Three Rivers</t>
  </si>
  <si>
    <t>78071</t>
  </si>
  <si>
    <t>Three Rivers Police Department</t>
  </si>
  <si>
    <t>Officers stopped a car for failure to use a turn signal. The man, who they believed to be in the country illegally, ran, they chased him into a home, tasered him, and then shot him to death.</t>
  </si>
  <si>
    <t>http://www.mysanantonio.com/news/local_news/article/Three-Rivers-police-kill-man-during-scuffle-4445847.php</t>
  </si>
  <si>
    <t>Dale Wilkerson</t>
  </si>
  <si>
    <t>Wilkerson allegedly charged at police with a hammer after a stabbing was reported in the area.</t>
  </si>
  <si>
    <t>http://www.sfexaminer.com/blogs/law-and-disorder/2013/04/san-francisco-police-shoot-hammer-wielding-man-dead</t>
  </si>
  <si>
    <t>Dylan Samuel-Peters</t>
  </si>
  <si>
    <t>East 56th Street in the East Flatbush</t>
  </si>
  <si>
    <t>Off duty police kills 1-year-old child, boyfriend and self.</t>
  </si>
  <si>
    <t>http://newyork.cbslocal.com/2013/04/15/police-3-dead-in-brooklyn-shooting/</t>
  </si>
  <si>
    <t>Dason Peters</t>
  </si>
  <si>
    <t>Jesus Antonio Torres</t>
  </si>
  <si>
    <t>83rd Avenue and Buckeye Road</t>
  </si>
  <si>
    <t>85353</t>
  </si>
  <si>
    <t>Phoenix police were called to a domestic violence situation in a neighborhood near 83rd Avenue and Buckeye Road when 29-year-old Jesus Antonio Torres began firing gunshots from inside the home.</t>
  </si>
  <si>
    <t>http://www.abc15.com/dpp/news/region_phoenix_metro/central_phoenix/phoenix-officer-shooting-phoenix-police-kill-suspect-firing-shots-into-the-air</t>
  </si>
  <si>
    <t>Michael D. Findley</t>
  </si>
  <si>
    <t>3031 S Range Line Road</t>
  </si>
  <si>
    <t>Joplin</t>
  </si>
  <si>
    <t>64804</t>
  </si>
  <si>
    <t>Findley was want for questioning about a murder and also because he had warrants for theft. Officers said they attempted to take Findley into custody, shots were fired, and Findley was killed.</t>
  </si>
  <si>
    <t>http://www.news-leader.com/article/20130430/NEWS01/304300115/michael-findley-shooting-justified?odyssey=nav%7Chead</t>
  </si>
  <si>
    <t>Curtis Hicks</t>
  </si>
  <si>
    <t>http://www.gannett-cdn.com/-mm-/4f2b7b3f299ece0cda74988399fdfeed6f67e86d/c=0-0-680-510&amp;r=x404&amp;c=534x401/http/archive.11alive.com/images/680/510/2/assetpool/images/130415091727_Alpharetta%20Shooter.jpg</t>
  </si>
  <si>
    <t>356 S. Main St.</t>
  </si>
  <si>
    <t>Alpharetta</t>
  </si>
  <si>
    <t>30009</t>
  </si>
  <si>
    <t>After shooting an officer and the ensuing a high speed chase, Hicks was shot to death.</t>
  </si>
  <si>
    <t>http://www.northfulton.com/Articles-TOP-STORIES-c-2013-04-16-198337.114126-sub-Suspect-dead-after-chase-shooting.html</t>
  </si>
  <si>
    <t>Lake Stevens</t>
  </si>
  <si>
    <t>Lake Stevens Police Department</t>
  </si>
  <si>
    <t>Adam James Stevens</t>
  </si>
  <si>
    <t>http://www.fatalencounters.org/wp-content/uploads/2013/10/AdamJamesStevens.jpg</t>
  </si>
  <si>
    <t>Red Bluff</t>
  </si>
  <si>
    <t>96080</t>
  </si>
  <si>
    <t>Red Bluff Police Department</t>
  </si>
  <si>
    <t>Officers were responding to a man breaking into an apartment.</t>
  </si>
  <si>
    <t>http://www.redbluffdailynews.com/ci_23052803/red-bluff-police-officers-cleared-shooting</t>
  </si>
  <si>
    <t>Lauren Brown</t>
  </si>
  <si>
    <t>http://wgcl.images.worldnow.com/images/21943888_BG1.jpg</t>
  </si>
  <si>
    <t>2440 Walnut Grove Way</t>
  </si>
  <si>
    <t>Suwanee</t>
  </si>
  <si>
    <t>30024</t>
  </si>
  <si>
    <t>Suwanee Police Department SWAT</t>
  </si>
  <si>
    <t>Lured firefighters into house, held them, was killed by SWAT.</t>
  </si>
  <si>
    <t>http://www.cbs46.com/story/21943888/police-identify-man-killed-after-taking-gwinnett-county-firefighters-hostage</t>
  </si>
  <si>
    <t>Daniel Brock</t>
  </si>
  <si>
    <t>http://wmctv.images.worldnow.com/images/21949420_BG1.jpg</t>
  </si>
  <si>
    <t>Sycamore View Rd &amp; Interstate 40</t>
  </si>
  <si>
    <t>http://www.wmcactionnews5.com/story/21949420/identity-revealed-of-man-killed-by-police-wednesday-night?t=2013-04-11T22%3A39%3A46Z</t>
  </si>
  <si>
    <t>Thomas Jeffery Sadler</t>
  </si>
  <si>
    <t>http://cdn.abclocal.go.com/images/wtvd/cms_exf_2007/_video_wn_images/9060662_600x338.jpg</t>
  </si>
  <si>
    <t>Wiggs St. and Mial St.</t>
  </si>
  <si>
    <t>27608</t>
  </si>
  <si>
    <t>Raleigh Police Department</t>
  </si>
  <si>
    <t>After becoming "physically aggressive in his dealings with officers" after they responded to Sadler's blood-curdling screams and his appearance naked in a church parking lot at 3:45 a.m., police tasered him. He collapsed and died shortly afterward.</t>
  </si>
  <si>
    <t>http://www.wral.com/man-dies-after-raleigh-police-use-stun-gun-on-him/12324803/</t>
  </si>
  <si>
    <t>Edgar Villareal</t>
  </si>
  <si>
    <t>4049 Agnes Ave</t>
  </si>
  <si>
    <t>As reported to the Los Angeles Times, Edgar Villareal, 25, died after being shot in Lynwood, according to Los Angeles County coroner's records.</t>
  </si>
  <si>
    <t>http://homicide.latimes.com/post/edgar-villareal/</t>
  </si>
  <si>
    <t>Stacy Stout</t>
  </si>
  <si>
    <t>http://kwtv.images.worldnow.com/images/21936844_BG2.jpg</t>
  </si>
  <si>
    <t>S.E. 44th and I-36</t>
  </si>
  <si>
    <t>73129</t>
  </si>
  <si>
    <t>Stout was shot and killed by OKCPD officers after attempting to flee the scene where a warrant was being served by US Marshals.</t>
  </si>
  <si>
    <t>http://www.newson6.com/story/21936844/suspects-officers-identified-in-se-okc-officer-involved-shooting</t>
  </si>
  <si>
    <t>Christopher Lee Stout</t>
  </si>
  <si>
    <t>http://kwtv.images.worldnow.com/images/21936844_BG1.jpg</t>
  </si>
  <si>
    <t>S.E. 44th and I-35</t>
  </si>
  <si>
    <t>Alexander Wilson</t>
  </si>
  <si>
    <t>http://media.phoenixnewtimes.com/a-teen-s-shooting-death-was-avoidable-even-if-the-cops-call-it-justified.8730666.40.jpg</t>
  </si>
  <si>
    <t>A DPS officer ran the license of a tan Chevrolet Tahoe and the plates came back stolen. The officer followed Wilson and his passenger. The officer tailed the car into a Chevron, parking about five feet behind the SUV. The officer claimed Alexander attempted to run him down, so he shot, killing him.</t>
  </si>
  <si>
    <t>http://blogs.phoenixnewtimes.com/valleyfever/2013/05/report_finds_dps_shooting_of_a.php</t>
  </si>
  <si>
    <t>Douglas Musto</t>
  </si>
  <si>
    <t>128 Elm Street</t>
  </si>
  <si>
    <t>Westfield</t>
  </si>
  <si>
    <t>01085</t>
  </si>
  <si>
    <t>After Musto stabbed an officer, the officer fired five shots at Musto after he ignored orders to drop a knife and after a stun gun was used several times. Four of those shots struck and killed him.</t>
  </si>
  <si>
    <t>http://www.masslive.com/news/index.ssf/2012/08/hampden_district_attorney_west.html</t>
  </si>
  <si>
    <t>Detlef Wulf</t>
  </si>
  <si>
    <t>Carrs-Safeway grocery store on Gambell Street</t>
  </si>
  <si>
    <t>http://www.alaskadispatch.com/article/20130408/anchorage-police-officers-who-shot-killed-man-fairview-identified</t>
  </si>
  <si>
    <t>Jermaine C. Coleman Jr.</t>
  </si>
  <si>
    <t>http://media.cmgdigital.com/shared/lt/lt_cache/thumbnail/188/img/photos/2013/04/05/dc/81/IMG_1424.jpg</t>
  </si>
  <si>
    <t>8980 Kingsridge Dr.</t>
  </si>
  <si>
    <t>45458</t>
  </si>
  <si>
    <t>Coleman was shot to death and two associates were taken into custody in the course of a drug investigation involving both local police and federal agents.</t>
  </si>
  <si>
    <t>Mark Courtier</t>
  </si>
  <si>
    <t>Vermont Avenue near the 101 Freeway</t>
  </si>
  <si>
    <t>Courtier was pulled over on suspicion of drunk driving and allegedly attempted to flee the scene. He was tasered and also suffered a facial laceration in a struggle with officers to arrest him. Courtier became unresponsive at the scene and was pronounced dead after arriving at a hospital.</t>
  </si>
  <si>
    <t>http://articles.latimes.com/2013/apr/30/local/la-me-ln-dui-suspect-taser-20130430</t>
  </si>
  <si>
    <t>Opa-locka Police Department</t>
  </si>
  <si>
    <t>Bryan Stukes</t>
  </si>
  <si>
    <t>http://ww2.hdnux.com/photos/25/61/37/5707729/3/628x471.jpg</t>
  </si>
  <si>
    <t>311 Pequonnock St</t>
  </si>
  <si>
    <t>Stukes drew a shotgun on a gay male that he'd been bullying. A detective, who happened to be inside a nearby fish market, saw this, went outside, drew his pistol and ordered Stukes to drop the gun. Stukes ran from the detective, tripped while running and dropped his weapon. He was shot a second after dropping the weapon and getting back on his feet, according to the Chief State's Attorney's Office</t>
  </si>
  <si>
    <t>http://www.ct.gov/csao/cwp/view.asp?a=1802&amp;q=548346</t>
  </si>
  <si>
    <t>Sheri P. Brower</t>
  </si>
  <si>
    <t>33024</t>
  </si>
  <si>
    <t>Pembroke Pines Police Department</t>
  </si>
  <si>
    <t>Brower called 911 threatening to kill herself. Police accompanied by SWAT forces arrived and found her standing in the street with a pistol in either hand. Refusing to put down the weapons, she was fatally shot.</t>
  </si>
  <si>
    <t>http://www.ppines.com/Archive/ViewFile/Item/150</t>
  </si>
  <si>
    <t>Melissa Anne Jenkins</t>
  </si>
  <si>
    <t>http://wwwcache.wral.com/asset/news/local/2013/03/31/12288110/jenkins-400x300.jpg</t>
  </si>
  <si>
    <t>U.S. 64</t>
  </si>
  <si>
    <t>Jenkins was the object of a statewide Silver Alert – for missing persons suffering from cognitive impairments. She was found driving her white 2002 Jeep Grand Cherokee after refusing to cooperate with a traffic stop. She pulled over about 15 minutes later and was surrounded by at least eight police vehicles. "Law enforcement personnel tirelessly attempted to negotiate with the driver to surrender but were unsuccessful," according to a news release, before they shot her to death.</t>
  </si>
  <si>
    <t>http://www.wral.com/woman-fatally-shot-by-authorities-after-edgecombe-chase/12288004/</t>
  </si>
  <si>
    <t>Jonathan Lee Cunningham</t>
  </si>
  <si>
    <t>http://wncn.images.worldnow.com/images/21838175_BG2.jpg</t>
  </si>
  <si>
    <t>Leesville Road exit and I-540</t>
  </si>
  <si>
    <t>27613</t>
  </si>
  <si>
    <t>A mentally ill man was being transported to involuntary commitment at the Wake Crisis Center. He overpowered the officer, stole the car, led officers on a high-speed chase before crashing and being shot to death in a field.</t>
  </si>
  <si>
    <t>http://www.wncn.com/story/21838175/police-activity-closes-2-lanes-of-i-540-east</t>
  </si>
  <si>
    <t>Broderick Huggins</t>
  </si>
  <si>
    <t>33rd Avenue and San Leandro Street</t>
  </si>
  <si>
    <t>Huggins, from Modesto, was fatally shot by an Alameda County sheriff's deputy after he refused to get out of the vehicle and drove off, dragging one of those deputies, who had been trying to undo Huggins' seat belt.</t>
  </si>
  <si>
    <t>http://www.mercurynews.com/homicides/ci_23309805/man-slain-by-sheriffs-deputies-march-following-east</t>
  </si>
  <si>
    <t>Larry A. Bohannon</t>
  </si>
  <si>
    <t>http://www.wmur.com/image/view/-/19550848/highRes/2/-/maxh/480/maxw/640/-/u21typ/-/img-Criminal-history-released-of-man-shot-by-police.jpg</t>
  </si>
  <si>
    <t>Upper Walpole Road</t>
  </si>
  <si>
    <t>Walpole</t>
  </si>
  <si>
    <t>03608</t>
  </si>
  <si>
    <t>Ahlstead Police Department</t>
  </si>
  <si>
    <t>Larry A. Bohannon, 51, of Grafton, N.H., died of gunshot wounds to the head, chest and abdomen after robbing an office supply store in Bellows Falls with a gun and then leading police on a high-speed chase to Walpole</t>
  </si>
  <si>
    <t>http://www.wmur.com/news/nh-news/Investigators-say-officer-justified-in-use-of-deadly-force/19797486#!T8jXa</t>
  </si>
  <si>
    <t>Cody Ramseyer</t>
  </si>
  <si>
    <t>http://local.sltrib.com/charts/shootings/images/full/14.jpg</t>
  </si>
  <si>
    <t>Utah 315 and Interstate 15</t>
  </si>
  <si>
    <t>Willard</t>
  </si>
  <si>
    <t>84340</t>
  </si>
  <si>
    <t>Box Elder</t>
  </si>
  <si>
    <t>Willard Police Department</t>
  </si>
  <si>
    <t>Police were called on a report of reckless driving. After a high speed chase, Ramseyer and came at police. He was tasered, but continued to advance on police, who shot and killed him.</t>
  </si>
  <si>
    <t>http://www.sltrib.com/sltrib/news/56382047-78/ramseyer-county-shooting-killed.html.csp</t>
  </si>
  <si>
    <t>George Golden</t>
  </si>
  <si>
    <t>3950 Austin Peay</t>
  </si>
  <si>
    <t>38128</t>
  </si>
  <si>
    <t>A Memphis police officer working as security at the Wal-Mart at 3950 Austin Peay saw a man shoplift merchandise and followed him out of the store, flagging down two on-duty officers in the parking lot. As the officers tried to talk to the suspect, he became irate and a struggle ensued. As the officers tried to restrain Golden, he reached inside his waistband. The officers instructed him to show his hands but he refused, and suddenly spun around towards them. One officer fired one round, hitting the suspect.</t>
  </si>
  <si>
    <t>http://www.localmemphis.com/news/local/story/Shoplifting-Suspect-Shot-by-Police-at-Raleigh/d/story/Bomi1SXuhEG79mnyWRGg1g</t>
  </si>
  <si>
    <t>Preston Phillips Jr.</t>
  </si>
  <si>
    <t>8700 E. Angus Dr.</t>
  </si>
  <si>
    <t>Police were called over an altercation regarding illegal parking on the sidewalk. As police were investigating the illegally parked vehicle, a Ford SUV pulled up next to the officer and the deceased pulled a gun from his holder and displayed it in a threatening manner. The officer stepped back and fired multiple shots into the SUV.</t>
  </si>
  <si>
    <t>http://www.scottsdaleaz.gov/Police/newsPIO/Officer_Involved_Shooting_15333</t>
  </si>
  <si>
    <t>David Stahl</t>
  </si>
  <si>
    <t>U.S. 36 and CR 509</t>
  </si>
  <si>
    <t>Coshocton</t>
  </si>
  <si>
    <t>43824</t>
  </si>
  <si>
    <t>Coshocton County Sheriff</t>
  </si>
  <si>
    <t>Authorities tried to stop Stahl in New Concord in Muskingum County. After a brief chase in Coshocton County, deputies engaged Stahl near County Road 509.</t>
  </si>
  <si>
    <t>http://www.10tv.com/content/stories/2013/03/28/coshocton-chase-suspect-died-of-gunshot-wound-to-head.html</t>
  </si>
  <si>
    <t>Khari Neville Illidge</t>
  </si>
  <si>
    <t>Naked, breaking into people's houses, incoherent and combative, police rounded Illidge up on a Sunday evening and tasered him to bring him under control. After a struggle of more than 10 minutes he passed out. Illidge, with a history of drug offenses and run-ins with the police, was pronounced dead at the hospital.</t>
  </si>
  <si>
    <t>http://www.ledger-enquirer.com/2013/03/25/2438192/naked-intruder-shot-with-taser.html</t>
  </si>
  <si>
    <t>Russell Lydell Smith</t>
  </si>
  <si>
    <t>http://www.fatalencounters.org/wp-content/uploads/2013/10/RussellLydellSmith.jpg</t>
  </si>
  <si>
    <t>98118</t>
  </si>
  <si>
    <t>Officers serving a warrant on Smith backed him into a dead-end street near his home, and fired 21 times into his car, hitting him eight times. Neighbors of Smith, who was unarmed at the time of the shooting, held a community meeting to voice their concerns over the shooting. An inquest jury cleared three officers involved in the shooting of any wrongdoing in March of 2014.</t>
  </si>
  <si>
    <t>http://www.seattleweekly.com/home/950037-129/nowhere-to-run</t>
  </si>
  <si>
    <t>Daniel Lee Rhodes</t>
  </si>
  <si>
    <t>http://media.cmgdigital.com/shared/img/photos/2013/03/23/85/45/Daniel-Lee-Rhodes.jpg</t>
  </si>
  <si>
    <t>Kirk and Gun Club Roads</t>
  </si>
  <si>
    <t>33406</t>
  </si>
  <si>
    <t>Rhodes, with a "decades-long struggle with crime, drugs and violence against women" behind him, faced off against a county deputy in a corridor of his home, armed with a two-foot cane knife. Ordered to drop the knife he instead slammed it against a wall. The deputy shot him to death.</t>
  </si>
  <si>
    <t>http://www.palmbeachpost.com/news/news/crime-law/one-dead-in-officer-involved-shooting-in-suburban-/nW2jw/</t>
  </si>
  <si>
    <t>Matthew Cheyenne Simmons</t>
  </si>
  <si>
    <t>http://www.fatalencounters.org/wp-content/uploads/2013/10/MatthewCheyenneSimmons.jpeg</t>
  </si>
  <si>
    <t>Farm-to-Market Road 649 and Chihuahua Road</t>
  </si>
  <si>
    <t>Hebbronville</t>
  </si>
  <si>
    <t>78361</t>
  </si>
  <si>
    <t>Jim Hogg</t>
  </si>
  <si>
    <t>Three border agents encountered Simmons when investigating a damaged Honda Civic on the roadside. When the car was identified as stolen, Simmons pulled a handgun and managed to wound one of the three agents in the hip before being shot to death.</t>
  </si>
  <si>
    <t>http://www.kwtx.com/home/headlines/Local-Man-Killed-In-South-Texas-Shootout-Identified-200628501.html</t>
  </si>
  <si>
    <t>Kenneth Knight</t>
  </si>
  <si>
    <t>http://usgunviolence.files.wordpress.com/2013/11/kenneth-knight.jpg?w=625</t>
  </si>
  <si>
    <t>Knight allegedly shot a woman before taking a child hostage. After several hours, SWAT shot Knight, killing him. The child was removed unharmed.</t>
  </si>
  <si>
    <t>http://wane.com/2013/03/20/3-year-old-safe-after-police-kill-hostage-taker-murder-suspect/</t>
  </si>
  <si>
    <t>Ronald Manuel Ontiveros</t>
  </si>
  <si>
    <t>1149 Foulger St.</t>
  </si>
  <si>
    <t>Joint Criminal Apprehension Team</t>
  </si>
  <si>
    <t>Officers were looking for a parole violator. Police said when the officers arrived Ontiveros began firing shots at them. The officers ducked for cover and returned fire. Ontiveros was shot and killed.</t>
  </si>
  <si>
    <t>http://fox13now.com/2013/04/29/fatal-police-shooting-deemed-justified/</t>
  </si>
  <si>
    <t>Kendall Carroll</t>
  </si>
  <si>
    <t>13000 Constitution NE</t>
  </si>
  <si>
    <t>87112</t>
  </si>
  <si>
    <t>An APD officer shot at, but missed, Kendall Carroll, 21, during a four-hour SWAT standoff between Carroll and State Police and APD, during which Carroll fired numerous times at officers from inside a Northeast Heights apartment. A State Police officer fired the shot that killed Carroll.</t>
  </si>
  <si>
    <t>Jeremy Acre</t>
  </si>
  <si>
    <t>Hogan Road</t>
  </si>
  <si>
    <t>Deatsville</t>
  </si>
  <si>
    <t>Elmore County' Sheriff's Department</t>
  </si>
  <si>
    <t>Police responded to Acre's residence after receiving a call from a third party who claimed that there was a domestic dispute. When they arrived at the residence, the deputies knocked on the door and was met by Acre who was welding a handgun, Franklin said. Acre was told repeatedly to put his gun down, but he refused to comply. At some point during the exchange, a deputy deployed his Taser, which sent Acre to the ground, he said. But, before deputies could disarm Acre, he removed one of the probes and got back on his feet.When again Acre wouldn't put his gun down or be subdued, the supervisor fired his service weapon one time hitting Acre in the upper torso, Franklin said. Acre died at the scene.</t>
  </si>
  <si>
    <t>http://alada19.com/inthenews2013/130713.htm</t>
  </si>
  <si>
    <t>Elias Mejia</t>
  </si>
  <si>
    <t>http://usgunviolence.files.wordpress.com/2013/11/elias-mejia1.jpg?w=180&amp;h=225</t>
  </si>
  <si>
    <t>95127</t>
  </si>
  <si>
    <t>SJPD's Metro special-enforcement unit was looking for Mejia in connection with the killing a week earlier of 44-year-old Daniel Canales in East San Jose. The team spotted Mejia driving a Honda Civic they determined was stolen. Officers blocked in Mejia's car and he tried to ram his way out. A San Jose officer had gotten out of his unmarked police car when the Honda accelerated toward him. The officer fired a single shot at Mejia, who killed.</t>
  </si>
  <si>
    <t>http://www.ktvu.com/news/news/crime-law/san-jose-officer-ruled-justified-fatal-shooting-mu/nfh6j/</t>
  </si>
  <si>
    <t>Kevin M. Bailey</t>
  </si>
  <si>
    <t>http://granitegrok.com/wp-content/uploads/2013/06/Kevin_M_Bailey_No_More_Names.jpg</t>
  </si>
  <si>
    <t>Bainbridge Road at Sharondale Drive</t>
  </si>
  <si>
    <t>Solon</t>
  </si>
  <si>
    <t>44139</t>
  </si>
  <si>
    <t>Solon Police Department</t>
  </si>
  <si>
    <t>Bailey was shot four times by officers after fleeing a traffic stop, crashing his vehicle, and shooting at officers still in their cruisers.</t>
  </si>
  <si>
    <t>http://www.19actionnews.com/story/21665949/kevin-bailey-killed-in-solon-officer-involved-shooting</t>
  </si>
  <si>
    <t>Sonia Angelita Castaneda-Montoya</t>
  </si>
  <si>
    <t>915 W. Holt Ave.</t>
  </si>
  <si>
    <t>91768</t>
  </si>
  <si>
    <t>Officials from a multi-agency gang unit report that they were patrolling a motel when Castaneda-Montoya walked towards them pointing a handgun at them, at which point they shot her to death.</t>
  </si>
  <si>
    <t>http://www.dailybulletin.com/general-news/20130319/officer-involved-shooting-in-pomona-still-under-investigation</t>
  </si>
  <si>
    <t>Jason Erling Hallstrom</t>
  </si>
  <si>
    <t>http://newsantaana.com/wp-content/uploads/2013/03/Jason-Erling-Hallstrom-and-Travis-Mock.jpg</t>
  </si>
  <si>
    <t>Grand Avenue and 15th Street</t>
  </si>
  <si>
    <t>Jason Erling Hallstrom, 41 was the passenger in an allegedly stolen car driven by Travis Stuart Mock, 29. Police attempted to pull over the vehicle traveling northbound on the 5 Freeway. It pulled off at North Grand Avenue and continued north to East 15th Street, crashing into a curb. Passengers tried to escape on foot, firing at officers who shot in return striking both men. Both were taken to Western Medical Center in Santa Ana; Hallstrom died March 23rd. Hallstrom, before his death, was charged with a felony count of unlawful taking of a vehicle and a misdemeanor count of resisting a public or peace officer.</t>
  </si>
  <si>
    <t>http://www.ocregister.com/news/police-501170-santa-officer.html</t>
  </si>
  <si>
    <t>Tyrique Rashad Johnson</t>
  </si>
  <si>
    <t>10333 Technology Blvd E</t>
  </si>
  <si>
    <t>Off-duty police Senior Cpl. Christopher Timms was working security at a nightclub with fellow officers Colwin Dennis and Arif Khan, when he saw the suspect firing directly into the crowd with an automatic pistol and shot him to protect other club-goers. Johnson was taken to Parkland Memorial Hospital where he was pronounced dead.</t>
  </si>
  <si>
    <t>http://crimeblog.dallasnews.com/2013/03/1-dead-1-injured-after-police-involved-gunfire-erupts-outside-dallas-bar.html/</t>
  </si>
  <si>
    <t>John Harris</t>
  </si>
  <si>
    <t>Officers were called to the suspect's apartment after receiving a report of a domestic disturbance involving a "man with a gun." Officers found the suspect in the bathroom, which he exited and aimed the gun at them. After refusing to drop the weapon when ordered several times, the suspect was shot and killed.</t>
  </si>
  <si>
    <t>http://www.huffingtonpost.com/2013/03/14/john-harris-fatal-police-shooting_n_2876172.html</t>
  </si>
  <si>
    <t>Bradley Wilson</t>
  </si>
  <si>
    <t>http://bloximages.chicago2.vip.townnews.com/idahostatejournal.com/content/tncms/assets/v3/editorial/f/fa/ffa212dc-8ed3-11e2-9055-001a4bcf887a/5145703acbb4b.image.jpg</t>
  </si>
  <si>
    <t>4335 Yellowstone Ave</t>
  </si>
  <si>
    <t>Chubbuck</t>
  </si>
  <si>
    <t>83202</t>
  </si>
  <si>
    <t>Bannock</t>
  </si>
  <si>
    <t>Bannock County Sheriff's Department</t>
  </si>
  <si>
    <t>http://www.idahostatejournal.com/members/prosecutor-clears-officer-probe-reveals-deadly-shooting-of-petco-hostage/article_c8c092ce-eab9-11e2-a90b-001a4bcf887a.html</t>
  </si>
  <si>
    <t>Kurt Myers</t>
  </si>
  <si>
    <t>http://ww2.hdnux.com/photos/20/36/45/4319577/29/628x471.jpg</t>
  </si>
  <si>
    <t>248 N Main St</t>
  </si>
  <si>
    <t>Herkimer</t>
  </si>
  <si>
    <t>13350</t>
  </si>
  <si>
    <t>With no known motive, Myers set his own house on fire and embarked on a shooting spree that left four dead and another two seriously injured. Police and FBI tracked him to the boarded-up "Glory Days" bar storefront in downtown Herkimer. After a tense 19-hour standoff, and his killing of a police dog, officers opened heavy fire on Myers and shot him dead.</t>
  </si>
  <si>
    <t>http://www.timesunion.com/local/article/Real-world-storms-in-4354255.php</t>
  </si>
  <si>
    <t>Willie Lee Bingham Jr.</t>
  </si>
  <si>
    <t>907 Delta Council Drive</t>
  </si>
  <si>
    <t>38732</t>
  </si>
  <si>
    <t>Bolivar</t>
  </si>
  <si>
    <t>Bolivar County Sheriff's Office</t>
  </si>
  <si>
    <t>http://www.newsms.fm/unnecessary-shooting-bolivar-county-deputy-indicted-family-naacp-react/</t>
  </si>
  <si>
    <t>Wayne Arnold Jones</t>
  </si>
  <si>
    <t>http://www.winchesterstar.com/files/uploads/article_images/19515382A0/533e3fd7-96f4-4d20-a275-2910b68152da.jpg</t>
  </si>
  <si>
    <t>Martinsburg</t>
  </si>
  <si>
    <t>25401</t>
  </si>
  <si>
    <t>Martinsburg Police Department</t>
  </si>
  <si>
    <t>Jones was shot by five officers with the Martinsburg Police Department. Jones was shot with a Taser twice after allegedly refusing police orders and later was fatally shot when police say he stabbed an officer with a knife during a scuffle with an officer on the ground.</t>
  </si>
  <si>
    <t>http://appalachianareanews.com/autopsy-virginia-police-shot-mentally-ill-man-23-times/</t>
  </si>
  <si>
    <t>Jose Manuel Cantu</t>
  </si>
  <si>
    <t>Del Valle</t>
  </si>
  <si>
    <t>78617</t>
  </si>
  <si>
    <t>Bastrop County Deputy Mark Garcia and Investigator Stephen Broderick responded to a 911 call about a family disturbance. They found the suspect outside of his home, armed and repeatedly told Cantu to drop the weapon. The suspect allegedly refused, and pointed the weapon at the deputies who shot and killed him at the scene.</t>
  </si>
  <si>
    <t>http://www.statesman.com/news/news/crime-law/officers-involved-in-del-valle-shooting-identified/nWsFp/</t>
  </si>
  <si>
    <t>Stephen P. Bethea</t>
  </si>
  <si>
    <t>http://bloximages.chicago2.vip.townnews.com/pantagraph.com/content/tncms/assets/v3/editorial/e/0c/e0c706f8-8dc8-11e2-988f-001a4bcf887a/5143b0217c8fb.preview-620.jpg</t>
  </si>
  <si>
    <t>8 Melrose Court</t>
  </si>
  <si>
    <t>61704</t>
  </si>
  <si>
    <t>McLean</t>
  </si>
  <si>
    <t>Police said an armed Bethea confronted officers when they arrived at his house in response to a domestic dispute. He approached two officers, who repeatedly ordered him to drop the weapon. He was shot when he pointed the weapon toward the officers, police said.</t>
  </si>
  <si>
    <t>http://www.pantagraph.com/news/local/crime-and-courts/coroner-man-shot-by-police-had-bac-of/article_e24d8346-c4da-11e2-81d2-001a4bcf887a.html</t>
  </si>
  <si>
    <t>Austin Ryan Thomas</t>
  </si>
  <si>
    <t>https://usgunviolence.files.wordpress.com/2013/11/austin-ryan-thomas.jpg?w=625</t>
  </si>
  <si>
    <t>48237</t>
  </si>
  <si>
    <t>Oakland County Narcotics Enforcement Team</t>
  </si>
  <si>
    <t>A member of the Oakland County Narcotics Enforcement Team fatally shot Austin Ryan Thomas during an undercover drug operation. The suspect allegedly tried to rob an undercover officer and put a weapon to his head. The officer pulled his weapon and shot Thomas, he was pronounced dead a short time later at the hospital.</t>
  </si>
  <si>
    <t>http://www.theoaklandpress.com/general-news/20130312/updated-southfield-teen-shot-and-killed-in-undercover-drug-investigation-named</t>
  </si>
  <si>
    <t>Juan Luis Rodriguez</t>
  </si>
  <si>
    <t>S.W. 77 Street &amp; S.W. 162 Avenue</t>
  </si>
  <si>
    <t>33193</t>
  </si>
  <si>
    <t>According to investigators, officer(s) were dispatched to a suspicious person, white male seen looking into vehicle call. When the officer(s) arrived, they located the male subject and began to interview him. During the interview, the subject gave false information and refused to provide a reasonable explanation for his presence &amp; conduct. The officer(s) attempted to handcuff the subject and a violent struggle ensued. During the struggle, the subject broke free from the officer(s) and entered their police cruiser, attempting to use the vehicle as a weapon to run the officer(s) down. An officer discharged his firearm, striking and killing the subject.</t>
  </si>
  <si>
    <t>http://www.miamidade.gov/police/releases/PD130312093735_Police_Involved_Shooting_Update1.asp</t>
  </si>
  <si>
    <t>Alvin T. Clark</t>
  </si>
  <si>
    <t>230 Shore Street</t>
  </si>
  <si>
    <t>Valentine</t>
  </si>
  <si>
    <t>69201</t>
  </si>
  <si>
    <t>Cherry</t>
  </si>
  <si>
    <t>Valentine Police Department</t>
  </si>
  <si>
    <t>A Valentine officer shot and killed Clark in a double shooting after responding to the scene. Clark is suspected of killing Ricky Homan, 54, of Valentine, and wounding John Malone, 76, of Valentine. Both men were shot.</t>
  </si>
  <si>
    <t>http://rapidcityjournal.com/news/local/communities/chadron/two-dead-after-shooting-in-valentine/article_cc034174-8cd7-11e2-a36a-0019bb2963f4.html</t>
  </si>
  <si>
    <t>Daniel Johnston</t>
  </si>
  <si>
    <t>461 Main Street</t>
  </si>
  <si>
    <t>Willimantic</t>
  </si>
  <si>
    <t>06226</t>
  </si>
  <si>
    <t>Willimantic Police Department</t>
  </si>
  <si>
    <t>Police responded to reports of a man making verbal and non-verbal threats to find Johnston, 315 lbs and dressed in black, armed with a medieval two-bladed battle-axe and a knife. After a confrontation where Johnston refused to drop his weapon, one of the six responding officers shot him three times.</t>
  </si>
  <si>
    <t>http://www.ct.gov/csao/cwp/view.asp?A=1802&amp;Q=535432</t>
  </si>
  <si>
    <t>Clinton Roebexar Allen</t>
  </si>
  <si>
    <t>http://www.kesq.com/image/view/-/21256528/medRes/1/-/maxh/360/maxw/640/-/u2ngwpz/-/shirar-jpg.jpg</t>
  </si>
  <si>
    <t>Police were called to the apartment because woman at the apartment reported that a man who she knew was knocking on the door and threatening her. When officers arrived, the man had left. They searched for the man in the apartment complex. An officer, who was alone at the time, saw him and a struggle ensued. The officer broadcast an assist, and shot Allen.</t>
  </si>
  <si>
    <t>Horace Whiting</t>
  </si>
  <si>
    <t>http://localtvwreg.files.wordpress.com/2013/03/promo188519397.jpg</t>
  </si>
  <si>
    <t>S Danny Thomas Blvd &amp; Mississippi Blvd</t>
  </si>
  <si>
    <t>Shot to death. Police claim Whiting had a shotgun when they confronted him in front of his house and that he fired at them when they told him to put the gun down. A neighbor of Whiting said Whiting never pointed the gun at anyone, and never menaced officers and that he was on his own porch.</t>
  </si>
  <si>
    <t>http://www.localmemphis.com/mostpopular/story/Memphis-Officers-Shoot-Kill-Suspect-Armed-with/d/story/DSO-dq-tW0itCkhNdYVHyw</t>
  </si>
  <si>
    <t>Kimani Gray</t>
  </si>
  <si>
    <t>East 52nd St and Snyder Avenue</t>
  </si>
  <si>
    <t>11218</t>
  </si>
  <si>
    <t>When the officers were noticed by the group of young men, they saw Kimani fidget with his waistband and then break away from the group and act suspiciously, police said. Two officers exited their vehicle and attempted to speak with the young man around 11:25 p.m., according to police, when Kimani allegedly turned on them and pointed a .38 caliber pistol at the cops.</t>
  </si>
  <si>
    <t>Anthony Rawls</t>
  </si>
  <si>
    <t>http://walb.images.worldnow.com/images/21585196_BG1.jpg</t>
  </si>
  <si>
    <t>106 Huntwood Lane</t>
  </si>
  <si>
    <t>Kathleen</t>
  </si>
  <si>
    <t>31047</t>
  </si>
  <si>
    <t>Warner Robins Police Department</t>
  </si>
  <si>
    <t>Police allegedly received a call that Rawls had a gun and was threatening his wife. Officers shot and killed him outside his home.</t>
  </si>
  <si>
    <t>http://warnerrobins.13wmaz.com/news/news/95262-houston-da-rawls-shooting-police-was-justified</t>
  </si>
  <si>
    <t>Carlos Ribot</t>
  </si>
  <si>
    <t>http://cdn.patch.com/users/68455/2013/03/T800x600/bf7ca4fc620bef388725e187a2ca2877.jpg</t>
  </si>
  <si>
    <t>611 Broadway</t>
  </si>
  <si>
    <t>07104</t>
  </si>
  <si>
    <t>A Newark Police Officer, working as a security guard at the Twin City Supermarket, 611 Broadway, shot and killed Carlos Ribot when he pulled a gun and tried to rob the store. The officer shot Ribot once, and he died a short time later at University Hospital in Newark.</t>
  </si>
  <si>
    <t>http://www.nj.com/essex/index.ssf/2013/03/police_identify_robbery_suspec.html</t>
  </si>
  <si>
    <t>Taleb Hussein Yousef Salameh</t>
  </si>
  <si>
    <t>http://d3trabu2dfbdfb.cloudfront.net/2/1/2139772_300x300_1.jpeg</t>
  </si>
  <si>
    <t>238 Holiday Lodge Road</t>
  </si>
  <si>
    <t>North Liberty</t>
  </si>
  <si>
    <t>52317</t>
  </si>
  <si>
    <t>Iowa City Police Department</t>
  </si>
  <si>
    <t>Police responded to a 911 call reporting domestic violence. When they arrived at the scene gunshots were exchanged and Salameh was shot and killed.</t>
  </si>
  <si>
    <t>http://thegazette.com/2013/03/11/north-liberty-man-killed-in-gunfire-exchange-with-officers-three-officers-injured/</t>
  </si>
  <si>
    <t>James Gilkerson</t>
  </si>
  <si>
    <t>http://assets.nydailynews.com/polopoly_fs/1.1335607.1367779929!/img/httpImage/image.jpg_gen/derivatives/article_970/dashcam6n-1-web.jpg?enlarged</t>
  </si>
  <si>
    <t>Ohio 608 near Pierce Street</t>
  </si>
  <si>
    <t>Middlefield</t>
  </si>
  <si>
    <t>44062</t>
  </si>
  <si>
    <t>Geauga</t>
  </si>
  <si>
    <t>Middlefield Police Department</t>
  </si>
  <si>
    <t>James Gilkerson, 42, of Mentor-on-the-Lake, was pulled over for running a stop sign. He got out of his car wielding a semi-automatic AK-47 and fired 37 shots at Middlefield police officers. The officers returned fire, shooting 54 rounds at Gilkerson, fatally wounding the man as he shouted, "Kill me."</t>
  </si>
  <si>
    <t>http://www.cleveland.com/metro/index.ssf/2013/05/middlefield_police_still_wonde.html</t>
  </si>
  <si>
    <t>Arthur Dixon</t>
  </si>
  <si>
    <t>http://i0.huffpost.com/gen/1032088/thumbs/s-ARTHUR-DIXON-large.jpg</t>
  </si>
  <si>
    <t>5411 4th Ave N</t>
  </si>
  <si>
    <t>Saint Petersburg</t>
  </si>
  <si>
    <t>33710</t>
  </si>
  <si>
    <t>Dixon, while possibly suicidal and/or under the influence allegedly ran at police with a pair of scissors while doused in gasoline. Police shot him.</t>
  </si>
  <si>
    <t>http://www.tampabay.com/news/publicsafety/crime/st-petersburg-police-shoot-man-they-say-was-suicidal/2108146</t>
  </si>
  <si>
    <t>Dashaude J. Carr</t>
  </si>
  <si>
    <t>https://a4-images.myspacecdn.com/images03/3/8be86fe20c684771a2e48514eb718238/full.jpg</t>
  </si>
  <si>
    <t>Waycreek Drive</t>
  </si>
  <si>
    <t>77068</t>
  </si>
  <si>
    <t>Deputies responded to a robbery in progress at the Family Dollar and observed five armed suspects climbing into a truck and speeding away. Deputies pursued the suspects to a gully of Cypress Creek near Waycreek Drive, where they crashed into a barrier and fled on foot. Deputies located Carr and ordered him to surrender. When he pulled out his weapon and pointed it at deputies, D.J. Kerrigan and A.C. Sustaita shot him. He was pronounced dead at the scene.</t>
  </si>
  <si>
    <t>http://www.yourhoustonnews.com/cypresscreek/news/update-harris-county-sheriff-s-office-deputy-involved-shooting-leaves/article_7de44938-8a67-11e2-b311-001a4bcf887a.html</t>
  </si>
  <si>
    <t>Khalid Bouaiti</t>
  </si>
  <si>
    <t>239 Fowler Avenue</t>
  </si>
  <si>
    <t>07305</t>
  </si>
  <si>
    <t>Khalid Bouaiti, a mentally ill man, was shot and killed by a Jersey City police officer when he allegedly charged the officer with a knife. Bouaiti had shut himself in his apartment after speaking with a therapist from Jersey City Medical Center. Officer forced their way into his home, and say that he attacked one of them with a knife. The officer fired several shots from his handgun, and Bouaiti was pronounced dead at Jersey City Medical Center.</t>
  </si>
  <si>
    <t>http://www.nj.com/hudson/index.ssf/2013/03/authorities_id_mentally_ill_ma.html</t>
  </si>
  <si>
    <t>Adam Christian Donohue</t>
  </si>
  <si>
    <t>Spanish River Boulevard and Military Trail</t>
  </si>
  <si>
    <t>33431</t>
  </si>
  <si>
    <t>Local police stopped a stolen taxi in the evening, driven by Donohue. After a violent struggle and an attempt to Taser him, he was shot to death. With no criminal record, subsequent reports suggested Donohue was under the influence of hallucinogens.</t>
  </si>
  <si>
    <t>Jeffrey Allen Wright</t>
  </si>
  <si>
    <t>Avenida de Galvez</t>
  </si>
  <si>
    <t>Self-described sovereign citizen Wright attempted to pay a traffic ticket with scrip of his own invention. He then countered further penalties by denying that the court had any jurisdiction over him. County deputies pursued him on charges of counterfeiting, setting up a four-hour standoff at his house. After shooting in tear gas, officers found Wright sitting at the top of his stairs, pointing a gun at them. He was fatally shot by three deputies simultaneously.</t>
  </si>
  <si>
    <t>http://www.splcenter.org/blog/2013/03/14/florida-sovereign-citizen-killed-after-allegedly-threatening-police/</t>
  </si>
  <si>
    <t>Daniel Rodrigo Saenz</t>
  </si>
  <si>
    <t>http://usgunviolence.files.wordpress.com/2013/10/daniel-saenz.jpg?w=625</t>
  </si>
  <si>
    <t>601 E Overland Ave</t>
  </si>
  <si>
    <t>79901</t>
  </si>
  <si>
    <t>Police officials said Saenz was handcuffed when he was shot while allegedly fighting with a police officer who was taking Saenz to a hospital for a medical release. Saenz had been arrested on assault charges.</t>
  </si>
  <si>
    <t>http://www.lcsun-news.com/las_cruces-news/ci_23040851/steroids-dmaa-system-bodybuilder-killed-by-el-paso</t>
  </si>
  <si>
    <t>Jason Welch</t>
  </si>
  <si>
    <t>http://www.ketv.com/image/view/-/19251384/highRes/1/-/maxh/480/maxw/640/-/12qlm2lz/-/Jason-Welch-030913.png</t>
  </si>
  <si>
    <t>5038 Center St</t>
  </si>
  <si>
    <t>Officers attemped to apprehend Jennifer Lovings and Jason Welch in connection with a meth bust. Lovings rammed her vehicle into unmarked police cruisers. Welch reached down into the console, and police believing he was reaching for a gun, shot three times at Welch through the vehicle window. Lovings drove away and ran; Welch was found in the vehicle and taken to the University of Nebraska Medical Center in extremely critical condition. He died five days later.</t>
  </si>
  <si>
    <t>http://www.ketv.com/news/Officer-involved-shooting-linked-to-drug-and-gun-bust/19249838</t>
  </si>
  <si>
    <t>Jason Glover</t>
  </si>
  <si>
    <t>https://jasonilosglover.files.wordpress.com/2013/08/wpid-jason-glover.jpg</t>
  </si>
  <si>
    <t>28260 LA-435</t>
  </si>
  <si>
    <t>Abita Springs</t>
  </si>
  <si>
    <t>70420</t>
  </si>
  <si>
    <t>St. Tammany</t>
  </si>
  <si>
    <t>St. Tammany Parish Sheriff's Office</t>
  </si>
  <si>
    <t>http://www.wdsu.com/news/local-news/northshore/Family-speaks-out-on-shooting-of-war-veteran/19261870</t>
  </si>
  <si>
    <t>Ramon Ayala</t>
  </si>
  <si>
    <t>Tacoma Avenue and Harrison Avenue</t>
  </si>
  <si>
    <t>Sunnyside</t>
  </si>
  <si>
    <t>98944</t>
  </si>
  <si>
    <t>Sunnyside Police Department</t>
  </si>
  <si>
    <t>Officers responded to a report of a man shooting a gun into the air on a busy street corner. An officer shot and killed Ayala when he ignored their commands and allegedly pointed the gun towards them.</t>
  </si>
  <si>
    <t>http://www.yakimaherald.com/home/912352-8/sunnyside-officer-kills-man-firing-gun</t>
  </si>
  <si>
    <t>Clifton Joel Day</t>
  </si>
  <si>
    <t>13300 Lem Turner Road</t>
  </si>
  <si>
    <t>Trying to repeatedly smash his ex-wife's car, the SWAT officers came to the scene. She told police he was trying to kill her. He had a gun, police told him to put it down, and later when he tried to reach for it they fired at him six times, killing him.</t>
  </si>
  <si>
    <t>http://news.wjct.org/post/jso-identify-man-shot-police-after-ramming-his-ex-wifes-car</t>
  </si>
  <si>
    <t>William Washington</t>
  </si>
  <si>
    <t>Officers spotted a "suspicious male" coming out of an alleyway and wanted to talk to him about recent burglaries in the area. The suspect ran and officers pursued him, one tackling him to the ground. At that time the suspect allegedly pulled out a .22-caliber Taurus revolver and shot at the officer. Both officers fired at Washington, killing him.</t>
  </si>
  <si>
    <t>http://www.philly.com/philly/blogs/dncrime/Officer-shoots-kills-man-in-West-Philly-.html</t>
  </si>
  <si>
    <t>Scott Edward Evans</t>
  </si>
  <si>
    <t>2332 Stapleton Road</t>
  </si>
  <si>
    <t>New Market</t>
  </si>
  <si>
    <t>37820</t>
  </si>
  <si>
    <t>Federal Bureau of Investigation, Jefferson County Sheriff's Office</t>
  </si>
  <si>
    <t>Evans died of a gunshot wound sustained in a raid at his home conducted by the FBI and local officers. He was wanted on charges of possessing and trading in child pornography. Officials did not disclose the specific reason for the shooting.</t>
  </si>
  <si>
    <t>http://www.knoxnews.com/news/local-news/records-detail-fbi-investigation-into-new-market</t>
  </si>
  <si>
    <t>Eulice Troy Kelley</t>
  </si>
  <si>
    <t>http://wltz.images.worldnow.com/images/21532130_BG1.jpg</t>
  </si>
  <si>
    <t>Oates Avenue</t>
  </si>
  <si>
    <t>31904</t>
  </si>
  <si>
    <t>Police were responding to a domestic dispute. Officers shot and killed Kelley after he allegedly fired a weapon at them.</t>
  </si>
  <si>
    <t>http://www.wltz.com/story/21532130/gbi-probing-officer-involved-shooting</t>
  </si>
  <si>
    <t>Terence Anderson</t>
  </si>
  <si>
    <t>Police were called to a home for a report of a domestic disturbance and shooting. When officers arrived they found 32-year-old Nichole Haynes dead at the scene of gunshot wounds, and her 15-year-old daughter wounded. Officers found the suspect's vehicle and attempted to apprehend him. Anderson allegedly put his vehicle in reverse, and started to drive at the officers while pointing a gun. Two officers, fearing for their lives, shot and killed Anderson.</t>
  </si>
  <si>
    <t>http://www.ksdk.com/story/local/2013/03/05/3104433/</t>
  </si>
  <si>
    <t>Parrish Dennison</t>
  </si>
  <si>
    <t>https://usgunviolence.files.wordpress.com/2013/10/parrish-clayton-dennison1.jpg?w=625</t>
  </si>
  <si>
    <t>Menaul Blvd NE &amp; Louisiana Blvd NE</t>
  </si>
  <si>
    <t>Dennison, was shot and killed by APD Swat team members after Dennison, who was armed with a handgun, led police on a foot chase and hours-long manhunt in northeast Albuquerque.</t>
  </si>
  <si>
    <t>Richard J. Aubin</t>
  </si>
  <si>
    <t>http://usgunviolence.files.wordpress.com/2013/10/richard-aubin1.jpg</t>
  </si>
  <si>
    <t>Liberty Road and Route 9</t>
  </si>
  <si>
    <t>North Hudson</t>
  </si>
  <si>
    <t>12855</t>
  </si>
  <si>
    <t>Aubin, who had a significant criminal record, led state troopers on a high-speed chase north and south on Route 9 in upstate New York. After his vehicle's tires were spiked, he fled into the woods on foot. According to the two state troopers, there was a physical struggle in which Aubin went for one of their weapons. They wouldn't say how many times he was shot, or where he was hit.</t>
  </si>
  <si>
    <t>http://www.dailygazette.com/news/2013/mar/06/man-shot-after-adirondacks-chase/</t>
  </si>
  <si>
    <t>Anthony Desean Meeks</t>
  </si>
  <si>
    <t>https://usgunviolence.files.wordpress.com/2013/10/anthony-desean-meeks.jpg?w=625</t>
  </si>
  <si>
    <t>28025</t>
  </si>
  <si>
    <t>Cabarrus</t>
  </si>
  <si>
    <t>The U.S. Marshals Service, FBI, and local police were responding to a tip about a wanted suspect and allegedly found Meeks at a window with a gun. They shot and killed him after he reportedly came out of the window with the gun.</t>
  </si>
  <si>
    <t>http://www.hickoryrecord.com/independent_tribune/news/article_f1454a2a-84e1-11e2-9c02-0019bb30f31a.html</t>
  </si>
  <si>
    <t>Jimmy James Garza Jr.</t>
  </si>
  <si>
    <t>http://ww1.hdnux.com/photos/20/25/44/4282668/4/622x350.jpg</t>
  </si>
  <si>
    <t>78221</t>
  </si>
  <si>
    <t>San Antonio police shot and killed a suicidal security guard who had assaulted his former girlfriend, staged a traffic accident to cover it up, then refused to come out of his house. After four hours, he rushed out at SWAT officers armed with a rifle, so they shot and killed him.</t>
  </si>
  <si>
    <t>http://www.mysanantonio.com/default/article/Suicidal-suspect-killed-in-standoff-4326086.php#photo-4282668</t>
  </si>
  <si>
    <t>Santiago A. Cisneros III</t>
  </si>
  <si>
    <t>http://media.oregonlive.com/portland_impact/photo/santiagocisnerosiiijpg-025988f7e1c6d421.jpg</t>
  </si>
  <si>
    <t>NE 7th and Lloyd Blvd.</t>
  </si>
  <si>
    <t>97232</t>
  </si>
  <si>
    <t>Portland Police Bureau</t>
  </si>
  <si>
    <t>Cisneros confronted two North Precinct police officers atop a garage at Northeast Lloyd Boulevard and Seventh Avenue. He fired with a shotgun.</t>
  </si>
  <si>
    <t>http://www.oregonlive.com/portland/index.ssf/2013/04/transcript_released_of_grand_j.html</t>
  </si>
  <si>
    <t>Jeffrey Lowry</t>
  </si>
  <si>
    <t>300 NE 17th Avenue</t>
  </si>
  <si>
    <t>Ft. Lauderdale</t>
  </si>
  <si>
    <t>The owner of cable installation business, Lowry was shot dead by six bullets fired by local officers after a Sunday evening domestic dispute. Initially police claimed that he had a knife -- a claim that Lowry's wife flatly called "a lie," describing the incident as an assassination.</t>
  </si>
  <si>
    <t>http://articles.sun-sentinel.com/2013-03-04/news/fl-victoria-park-shooting-folo-20130304_1_butter-knife-butcher-knife-officers</t>
  </si>
  <si>
    <t>Shawn Joseph Jetmore Stoddard-Nunez</t>
  </si>
  <si>
    <t>http://extras.mnginteractive.com/live/media/site571/2013/0515/20130515__erev0512hayshooting03~1.JPG</t>
  </si>
  <si>
    <t>Fletcher Lane and Watkins Street</t>
  </si>
  <si>
    <t>Shawn Stoddard-Nunez died when a Hayward police officer fired into the passenger side of a car he was riding in. Two of the shots struck him, one of them killing him, as the officer emptied his service weapon. Police say the officer fired because he believed the driver of the car, Arthur Pakman, was going to run him down as the officer stood outside his police cruiser.</t>
  </si>
  <si>
    <t>http://www.mercurynews.com/top-stories/ci_23251209/hayward-police-shooting-raises-questions</t>
  </si>
  <si>
    <t>Amos G. Smith</t>
  </si>
  <si>
    <t>http://usgunviolence.files.wordpress.com/2013/10/amos-g-smith.jpg?w=625</t>
  </si>
  <si>
    <t>Dyer Street south of Meteor Way</t>
  </si>
  <si>
    <t>Smith was pulled over by officers and attempted to flee, police say. Police shot and killed him after he allegedly pointed a gun at officers.</t>
  </si>
  <si>
    <t>http://www.contracostatimes.com/breaking-news/ci_24362149/union-city-police-shoot-kill-parolee-armed-pipe</t>
  </si>
  <si>
    <t>Aaron Sawyer</t>
  </si>
  <si>
    <t>Hester Avenue and Bayshore Boulevard</t>
  </si>
  <si>
    <t>94134</t>
  </si>
  <si>
    <t>Daly City Police Department</t>
  </si>
  <si>
    <t>Daly City police spotted Sawyer behind the wheel of a stolen vehicle and chased him into San Francisco. Sawyer eventually abandoned the car and fled on foot. After Sawyer allegedly raised a gun at officers, a Daly City officer shot him in the torso, killing him.</t>
  </si>
  <si>
    <t>http://www.mercurynews.com/ci_22716226/id-released-man-fatally-shot-by-daly-city</t>
  </si>
  <si>
    <t>Ronald Aduddell</t>
  </si>
  <si>
    <t>Blossom Avenue and Calero Avenues</t>
  </si>
  <si>
    <t>Police attempted a traffic stop when they felt a vehicle looked suspicious, and a chase ensued. After reportedly ramming several police cars, Aduddell got out of the vehicle and was shot to death by Officers Ian Cooley and Adam Jenkins, who say his hands were on his waistband area. Police did not locate a weapon at the scene.</t>
  </si>
  <si>
    <t>http://www.mercurynews.com/ci_22732893/san-jose-man-killed-by-police-was-facing</t>
  </si>
  <si>
    <t>Jesse McMillan</t>
  </si>
  <si>
    <t>415 Northwest Fifth Avenue</t>
  </si>
  <si>
    <t>Kelso Police Department, Cowlitz County Sheriff's Department</t>
  </si>
  <si>
    <t>About 10 a.m. McMillan sideswiped two cars and fled, attracting police notice that he had outstanding warrants for felony robbery. They tracked him to his mother's house where McMillan staged armed resistance and a firefight in the front yard. At least a dozen shots were fired. No officers were struck but McMillan was killed.</t>
  </si>
  <si>
    <t>http://www.komonews.com/news/local/Hit-and-run-suspect-killed-in-shootout-with-police-in-Kelso-194546321.html</t>
  </si>
  <si>
    <t>Marcus Dewayne Patterson</t>
  </si>
  <si>
    <t>6221 W Wilshire Blvd</t>
  </si>
  <si>
    <t>73132</t>
  </si>
  <si>
    <t>Schamel was struck by the car Patterson was driving. As he rolled over the hood of the car, Schamel fired his gun, police said.</t>
  </si>
  <si>
    <t>http://newsok.com/name-released-of-man-killed-in-oklahoma-city-officer-involved-shooting/article/3760794</t>
  </si>
  <si>
    <t>John Stanley Schaefer</t>
  </si>
  <si>
    <t>http://media.cmgdigital.com/shared/lt/lt_cache/resize/300x300/img/photos/2013/03/12/38/dc/John-Schaefer-OBIT.jpg</t>
  </si>
  <si>
    <t>78758</t>
  </si>
  <si>
    <t>Schaefer called police to report being attacked by a pit bull in his yard that was not his. Officer Jonathan Whitted shot and killed Schaefer when he refused to surrender his pistol to the officer and allegedly pointed it at him. Schaefer was an instructor at the Austin Rifle Club.</t>
  </si>
  <si>
    <t>http://projects.statesman.com/homicides/homicide-victim-detail.php?VictimID=28</t>
  </si>
  <si>
    <t>Daniel John Myers</t>
  </si>
  <si>
    <t>https://cbsdetroit.files.wordpress.com/2013/03/daniel-myers.jpg?w=214&amp;h=285&amp;crop=1</t>
  </si>
  <si>
    <t>West Paisano Drive</t>
  </si>
  <si>
    <t>79922</t>
  </si>
  <si>
    <t>Myers was killed in a shootout with El Paso police and a US Border Patrol Agent. He was wanted for robbery charges in Michigan.</t>
  </si>
  <si>
    <t>http://detroit.cbslocal.com/2013/03/02/michigan-fugitive-shot-killed-by-officers-in-texas/</t>
  </si>
  <si>
    <t>4911 Dumfries Dr</t>
  </si>
  <si>
    <t>77096</t>
  </si>
  <si>
    <t>Suspect charged at officer with scissors in his hand.  Officer fearing for his life, discharged weapon at suspect multiple times.  Suspect was struck with multiple rounds and collapsed to the ground and died.</t>
  </si>
  <si>
    <t>Richard Shreckengaust</t>
  </si>
  <si>
    <t>Odd Fellows Park Road and Riverside Drive</t>
  </si>
  <si>
    <t>Police received a call from a woman whose friend was sending her text messages saying she had been kidnapped. Police located the vehicle and attempted to pull it over. Shreckengaust, the driver, refused to stop, and eventually crashed into an embankment. A deputy shot Shreckengaust several times, killing him, when he allegedly leaned to the right of the car. Police did not find a gun. The woman, an acquaintance of Shreckengaust, was not harmed.</t>
  </si>
  <si>
    <t>http://www.sfgate.com/default/article/Sonoma-County-deputy-kills-kidnap-suspect-4320068.php</t>
  </si>
  <si>
    <t>Jack Sun Keewatinawin</t>
  </si>
  <si>
    <t>http://www.mynorthwest.com/emedia/seattle/9/956/95625.jpg?filter=mynw/335wide</t>
  </si>
  <si>
    <t>98177</t>
  </si>
  <si>
    <t>Police were answering a domestic violence dispute between subject and his father.</t>
  </si>
  <si>
    <t>http://blog.seattlepi.com/seattle911/2013/02/27/court-docs-man-shot-by-police-was-schizophrenic-sex-offender/</t>
  </si>
  <si>
    <t>Adam Jurgen</t>
  </si>
  <si>
    <t>1513 Farrington Way</t>
  </si>
  <si>
    <t>29210</t>
  </si>
  <si>
    <t>Santa Cruz Police Department</t>
  </si>
  <si>
    <t>Police were responding to report of a man assaulting a woman. The man, Jurgen, fled the scene and then fired at officers, striking deputy Sheila Aull. Aull and at least four other officers returned fire and killed Jurgen.</t>
  </si>
  <si>
    <t>http://www.cbsnews.com/news/california-cop-shooting-alleged-gunman-dead-after-fatally-shooting-two-police-officers-in-santa-cruz-home-police-say/</t>
  </si>
  <si>
    <t>Jeremy Goulet</t>
  </si>
  <si>
    <t>http://extras.mnginteractive.com/live/media/site6/2013/0227/20130227_122600_sscs0227goulet01_GALLERY.jpg</t>
  </si>
  <si>
    <t>95062</t>
  </si>
  <si>
    <t>Santa Cruz County Sheriff's Office, Santa Cruz Police Department</t>
  </si>
  <si>
    <t>Officer came to Goulet's home to investigate a sex crime. He killed them, and left. He returned to the home shortly later, where he was confronted and killed.</t>
  </si>
  <si>
    <t>http://www.santacruzsentinel.com/ci_23308819/da-officers-who-shot-goulet-acted-heroic</t>
  </si>
  <si>
    <t>Lorenzo J. Ciaramella</t>
  </si>
  <si>
    <t>7911 Arlington Ave.</t>
  </si>
  <si>
    <t>Patrol officers, in marked police cars and in full uniform, responded to a call regarding a person in a stolen vehicle at the Peppertree Apartments. Upon arrival, the officers were directed to a suspect in a different vehicle. Witnesses indicated that the suspect had just stolen this car after fleeing the first vehicle. Ciaramella saw the officers and fled in the stolen vehicle. The suspect vehicle fled out the west gate, but collided with another vehicle. As one of the patrol units exited the west gate, Ciaramella rammed the stolen vehicle into the driver side of the police vehicle. The officer shot and killed him.</t>
  </si>
  <si>
    <t>http://www.riversideca.gov/rpd/press/2013releases/022613ois.pdf</t>
  </si>
  <si>
    <t>Jimmie Eugene Hickey</t>
  </si>
  <si>
    <t>http://www.mentalhealthportland.org/wp-content/uploads/2013/02/Jimmie-Hickey.jpg</t>
  </si>
  <si>
    <t>12622 Silverton Rd NE</t>
  </si>
  <si>
    <t>Silverton</t>
  </si>
  <si>
    <t>Marion County Sheriff's Office, Oregon State Police</t>
  </si>
  <si>
    <t>Apparently acting on a long-held paranoid grudge, Hickey came armed to an RV park as a former resident, sought out a specific general manager, and wounded him with gunfire. He then settled into randomly shooting throughout the park and paused at a picnic table to reload. He was shot to death by county and state police.</t>
  </si>
  <si>
    <t>http://www.oregonlive.com/pacific-northwest-news/index.ssf/2013/02/silverton_rv_park_shooting_pol.html</t>
  </si>
  <si>
    <t>Brett Max Knight</t>
  </si>
  <si>
    <t>http://local.sltrib.com/charts/shootings/images/thumbs/6.jpg</t>
  </si>
  <si>
    <t>Kaysville</t>
  </si>
  <si>
    <t>84037</t>
  </si>
  <si>
    <t>Utah County Sheriff's Office, Davis County Sheriff's Offices, Utah Highway Patrol</t>
  </si>
  <si>
    <t>Knight, a Utah County resident suspected in a Draper bank robbery, fled from police on Interstate 15; troopers and motorists said he pointed a gun at them. Officers stopped Knight in Davis County. He got out with a handgun, exchanged heated words with officers, and pointed the gun at them, investigators said. Four of them opened fire.</t>
  </si>
  <si>
    <t>Moises De La Torre</t>
  </si>
  <si>
    <t>Vineland Avenue &amp; Archwood Street</t>
  </si>
  <si>
    <t>91606</t>
  </si>
  <si>
    <t>Officers reported that they responded to a call that a man was threatening a woman to get money from her, and when they arrived at the scene De La Torre was standing in the middle of the street with his hand in a bag. He didn't obey orders to stop or take his hands away from the bag, and officers shot him to death. There was a folding chair inside the bag, instead of a gun. De La Torre was reported to struggle with mental illness and substance abuse.</t>
  </si>
  <si>
    <t>http://www.huffingtonpost.com/2013/10/24/moises-de-la-torre-lawsuit_n_4153265.html</t>
  </si>
  <si>
    <t>Michael Dugas</t>
  </si>
  <si>
    <t>http://media.nbcconnecticut.com/images/654*368/michael+dugas.jpg</t>
  </si>
  <si>
    <t>Laurel Hill Avenue and Center Street</t>
  </si>
  <si>
    <t>Norwich</t>
  </si>
  <si>
    <t>06360</t>
  </si>
  <si>
    <t>Norwich Police Department</t>
  </si>
  <si>
    <t>According to police, the 52-year-old was despondent and told officers on scene he had a weapon. Police said he refused to follow officers' commands and that after they attempted to communicate with him for an unspecified period of time, Dugas suddenly drew a handgun from his pocket and pointed it at them. Officers shot and killed him.</t>
  </si>
  <si>
    <t>http://articles.courant.com/2013-06-18/community/hc-norwich-wrongful-death-suit-0619-20130618_1_172-laurel-hill-ave-man-shot-michael-dugas</t>
  </si>
  <si>
    <t>Kevin Michael McGlyn</t>
  </si>
  <si>
    <t>156 Willett Ave</t>
  </si>
  <si>
    <t>South River</t>
  </si>
  <si>
    <t>08882</t>
  </si>
  <si>
    <t>South River Police Department</t>
  </si>
  <si>
    <t>Officers responded to a call of a man threatening two men with a knife in the apartment complex parking lot. When they arrived, McGlyn allegedly confronted them with a knife, and one of the officers shot him. McGlyn was pronounced dead at Robert Wood Johnson University Medical Center. McGlyn had been facing three counts of making terroristic threats and two weapons offenses. McGlyn suffered from paranoid schizophrenia and was bipolar.</t>
  </si>
  <si>
    <t>http://www.nj.com/middlesex/index.ssf/2013/02/police_shooting_south_river_ne.html?fb_ref=Default</t>
  </si>
  <si>
    <t>David Krambs</t>
  </si>
  <si>
    <t>1401 Elizabeth St.</t>
  </si>
  <si>
    <t>89509</t>
  </si>
  <si>
    <t>As officers arrived at the home near Idlewild Park, an officer perceived a threat, pulled his gun and fired, killing David Krambs. A woman who was also present was not injured.</t>
  </si>
  <si>
    <t>https://drive.google.com/file/d/0B-l9Ys3cd80fcU0wUXJmOEFBcnc/view?usp=sharing</t>
  </si>
  <si>
    <t>Gary Allen Hawkins</t>
  </si>
  <si>
    <t>http://www.kcra.com/image/view/-/19081244/highRes/1/-/maxh/630/maxw/1200/-/wutcrp/-/Gary-Hawkins-img-022513.jpg</t>
  </si>
  <si>
    <t>95215</t>
  </si>
  <si>
    <t>The San Joaquin County Gang Task Force attempted to stop a man driving a vehicle that was believed to have been involved in a robbery the day before. When they exited their vehicles, the suspect accelerated his vehicle in reverse and tried to run them over. A deputy and an officer opened fire and Hawkins died at the hospital. A loaded gun was found on Hawkins. As of March 21, 2015, the report into the shooting had not been released.</t>
  </si>
  <si>
    <t>http://www.recordnet.com/article/20150321/NEWS/150329928/101087/A_NEWS?template=wapart</t>
  </si>
  <si>
    <t>Jose Elias Mata</t>
  </si>
  <si>
    <t>http://usgunviolence.files.wordpress.com/2013/10/jose-elias-mata.jpg?w=625</t>
  </si>
  <si>
    <t>A deputy was attempting to stop a stole vehicle. The suspect wrecked as he was fleeing, opened fire on the deputy, wounding him, and stole his vehicle. SAPD later caught up with him at a trailer park. They exchanged gunfire, and Mata was shot and killed.</t>
  </si>
  <si>
    <t>http://www.kens5.com/news/Bexar-County-deputy-shot-192562021.html</t>
  </si>
  <si>
    <t>Martin Y. Potts</t>
  </si>
  <si>
    <t>http://cmsimg.news-leader.com/apps/pbcsi.dll/bilde?Site=DO&amp;Date=20130225&amp;Category=NEWS01&amp;ArtNo=302250078&amp;Ref=V1</t>
  </si>
  <si>
    <t>2506 W. Grand St.</t>
  </si>
  <si>
    <t>65806</t>
  </si>
  <si>
    <t>Police were investigating two burglaries and attempting to execute a search warrant on a property when they encountered Potts, who fled. Potts was killed by members of a Special Response Team after allegedly firing at officers.</t>
  </si>
  <si>
    <t>http://archive.news-leader.com/article/20131231/NEWS01/312310101/Martin-Y-Potts-shooting-springfield-missouri</t>
  </si>
  <si>
    <t>Christopher Allen Taylor</t>
  </si>
  <si>
    <t>90808</t>
  </si>
  <si>
    <t>Officers spotted a stolen vehicle and pursued it until it crashed into a garage. Taylor was shot and killed by officers after he allegedly fired at them. Police say they recovered a handgun at the scene.</t>
  </si>
  <si>
    <t>http://lbpost.com/news/2000001848-robbery-suspect-killed-after-firing-on-officers#.UUQWfIUUs7A</t>
  </si>
  <si>
    <t>Saturnino Perez De La Rosa</t>
  </si>
  <si>
    <t>North Howard Street and Oak Street</t>
  </si>
  <si>
    <t>18102</t>
  </si>
  <si>
    <t>Allentown Police Department</t>
  </si>
  <si>
    <t>Police officers responded to the scene after receiving multiple reports of a suspicious man carrying a machete. When officers encountered the man he was combative, mumbling and making "wild motions" with the machete, which was estimated to be 1 1/2 to 2 feet long. At that point two officers used their stun guns, one hitting the man, but officers said it appeared to have to no effect, perhaps due to his heavy clothing. The man used the machete to cut the stun gun wires off of him. The man continued to be combative and one officer fired his gun once or twice but that had no effect if the man was struck. Officers again used stun guns on the man and two officers also shot several rounds at him, striking him. The man was still not deterred and was thrashing and combative as officers handcuffed him and waited for medical assistance. A total of 13 shell casings were covered at the scene, Martin said.</t>
  </si>
  <si>
    <t>http://www.lehighvalleylive.com/allentown/index.ssf/2013/02/machete-wielding_man_shot_by_a.html</t>
  </si>
  <si>
    <t>Clifton Thompson</t>
  </si>
  <si>
    <t>400 Hykes Mill Rd</t>
  </si>
  <si>
    <t>Conewago</t>
  </si>
  <si>
    <t>Northern York County Regional Police Department</t>
  </si>
  <si>
    <t>Thompson called a crisis line to say he was armed and suicidal, and police were contact and sent to his home. Officers were allegedly trying to negotiate with Thompson when he fired one shot at them with a rifle and ran outside. He encountered another officer who fired at him four times with a patrol rifle, killing him.</t>
  </si>
  <si>
    <t>http://www.ydr.com/crime/ci_22634312/shooting-closes-hykes-mill-road-conewago-township</t>
  </si>
  <si>
    <t>Clifton Thomson</t>
  </si>
  <si>
    <t>http://extras.mnginteractive.com/live/media/site515/2013/0910/20130910_074057_thomson_200.jpeg</t>
  </si>
  <si>
    <t>17345</t>
  </si>
  <si>
    <t>Northern York County Regional Police</t>
  </si>
  <si>
    <t>Cpls. John Hartley, and Officers Cody Becker, Noah Pottierger and Stephen McClure of the Northern York County Regional Police responded to a call from a WellSpan crisis counselor--who had been on the phone with Thomson--stating that he was suicidal. On arriving, the officers found the suspect in him kitchen, armed with a Marlin 30-30 caliber rifle. After refusing several orders to drop his weapon, Thomson was shot and killed by Officer Cody Becker. York County District Attorney Tom Kearney believed Thomson's goal was to commit "suicide by cop," and the shooting was ruled justified.</t>
  </si>
  <si>
    <t>http://www.ydr.com/crime/ci_24058388/police-cleared-shooting-conewago-township-man-february?source=most_viewed</t>
  </si>
  <si>
    <t>Stephen O'Neal Wattley II</t>
  </si>
  <si>
    <t>http://usgunviolence.files.wordpress.com/2013/09/stephen-oneal-wattley-ii1.jpg?w=625</t>
  </si>
  <si>
    <t>46805</t>
  </si>
  <si>
    <t>Wattley was killed after he allegedly robbed a drugstore, fled the scene and pointed an assault rifle at two officers, police said.</t>
  </si>
  <si>
    <t>http://www.journalgazette.com/article/20130221/LOCAL07/302219987</t>
  </si>
  <si>
    <t>John Dawson Parker</t>
  </si>
  <si>
    <t>http://www.news4jax.com/image/view/-/18985350/highRes/2/-/h/275/w/240/-/owxiqv/-/PARKER-JOHN-DAWSON-jpg.jpg</t>
  </si>
  <si>
    <t>300 Arlington Place</t>
  </si>
  <si>
    <t>32211</t>
  </si>
  <si>
    <t>In a car being chased by police, the police fired, killing him.</t>
  </si>
  <si>
    <t>http://www.wokv.com/weblogs/morning-news-recap/2013/feb/19/police-kill-armed-suspect/</t>
  </si>
  <si>
    <t>Javier Reyes</t>
  </si>
  <si>
    <t>89142</t>
  </si>
  <si>
    <t>FBI agents and members of the Criminal Apprehension Team task force tracked violent fugitive Javier Reyes to a home and moved in to make an arrest. He ran through the neighborhood before going down in a shootout with authorities. Reyes died soon after at University Medical Center. Reyes had been wanted in a pair of violent attacks on his ex-girlfriend. An FBI agent was hit in his bullet-proof vest with shrapnel during the gunfight but was not seriously hurt.</t>
  </si>
  <si>
    <t>http://www.reviewjournal.com/news/deadly-force/incident/414</t>
  </si>
  <si>
    <t>Carl Bowie III</t>
  </si>
  <si>
    <t>http://www.alaskadispatch.com/sites/default/files/styles/full_width_620/public/bowie2.jpg?itok=Z2p31QGF</t>
  </si>
  <si>
    <t>53rd Avenue and Windflower Street</t>
  </si>
  <si>
    <t>99507</t>
  </si>
  <si>
    <t>Fleeing with a stolen vehicle.</t>
  </si>
  <si>
    <t>http://www.adn.com/2013/04/16/2867619/with-officers-cleared-police-offer.html#storylink=misearch</t>
  </si>
  <si>
    <t>Marie Zienkewicz</t>
  </si>
  <si>
    <t>675 E Street Road</t>
  </si>
  <si>
    <t>Warminster</t>
  </si>
  <si>
    <t>18974</t>
  </si>
  <si>
    <t>Warminster Police Department</t>
  </si>
  <si>
    <t>A man in the complex exchanged gunfire with police after they attempted to take his guns following a domestic dispute. In the crossfire, the police killed Marie Zienkewicz.</t>
  </si>
  <si>
    <t>Taft Sellers</t>
  </si>
  <si>
    <t>http://alextimes.com/wp-content/uploads/2013/02/Taft-Sellers.jpeg</t>
  </si>
  <si>
    <t>22304</t>
  </si>
  <si>
    <t>Alexandria Police Department</t>
  </si>
  <si>
    <t>Police arrived at Seller's mothers home for domestic disturbance. Seller supposedly had a gun and fired - officers then fired 37 shots, subsequently killing Seller.</t>
  </si>
  <si>
    <t>http://www.alexandriagazette.com/news/2013/feb/21/alexandria-police-shield-information-shooting/</t>
  </si>
  <si>
    <t>Kevin William Hassell</t>
  </si>
  <si>
    <t>http://www.annarbor.com/assets_c/2013/02/Kevin_Hassell-thumb-150x181-135041.jpg</t>
  </si>
  <si>
    <t>48116</t>
  </si>
  <si>
    <t>An officer from Green Oak Township police and a MI state police trooper responded to a call about a possible break in. They saw Hassell flee in his vehicle and gave chase, catching up with him at his residence. The officers followed him into his house where he allegedly shot at them. The three exchanged gunfire, and Hassell died at the scene.</t>
  </si>
  <si>
    <t>http://www.annarbor.com/news/crime/break-in-suspect-shot-dead-by-state-police-identified-by-neighbors/</t>
  </si>
  <si>
    <t>Paul Tereschenko</t>
  </si>
  <si>
    <t>http://tribfox40.files.wordpress.com/2013/02/tereshchenko-dmv.jpg</t>
  </si>
  <si>
    <t>95827</t>
  </si>
  <si>
    <t>Rancho Cordova Police Department</t>
  </si>
  <si>
    <t>Family members called the police on Tereschenko when his behavior became erratic. Two officers (county deputies contracted to the city force) fought with him in a back bedroom, where the "very large individual, strong in stature" seemed to get the better of them. Tereschenko also did not respond to a Tasering. Threatened, they shot the unarmed and likely mentally ill man to death.</t>
  </si>
  <si>
    <t>http://sacramento.cbslocal.com/2013/02/18/man-killed-in-rancho-cordova-officer-involved-shooting/</t>
  </si>
  <si>
    <t>Merle Mikal Hatch</t>
  </si>
  <si>
    <t>http://www.portlandmercury.com/binary/c403/1363905927-merle_hatch.png</t>
  </si>
  <si>
    <t>10123 SE Market St</t>
  </si>
  <si>
    <t>97216</t>
  </si>
  <si>
    <t>Hatch checked into the emergency room Sunday evening at Portland Adventist Medical Center, then threatened a hospital employee with a gun, authorities said Monday.He walked out abruptly and pointed the gun at a security car in an employee parking lot, police said. He was shot soon after emergency responders arrived.</t>
  </si>
  <si>
    <t>http://www.oregonlive.com/portland/index.ssf/2013/02/man_shot_dead_at_portland_adve.html</t>
  </si>
  <si>
    <t>Charles A. Baker Jr.</t>
  </si>
  <si>
    <t>http://www.buffalonews.com/storyimage/BN/20130218/CITYANDREGION/130219186/AR/0/AR-130219186.jpg&amp;maxW=960</t>
  </si>
  <si>
    <t>201 E 2nd St</t>
  </si>
  <si>
    <t>Jamestown</t>
  </si>
  <si>
    <t>14701</t>
  </si>
  <si>
    <t>Chautauqua</t>
  </si>
  <si>
    <t>Jamestown Police Department</t>
  </si>
  <si>
    <t>Following a traffic stop Baker was being processed in the Jamestown police station. He asked for water, was refused, and became unruly. To subdue him police Tasered him while he was handcuffed. Two hours later Baker experienced what was described as a "medical event", and was declared dead in a hospital shortly thereafter.</t>
  </si>
  <si>
    <t>http://www.buffalonews.com/20130217/parolee_reported_dead_in_jamestown_police_custody.html</t>
  </si>
  <si>
    <t>Alberto Morales</t>
  </si>
  <si>
    <t>http://a57.foxnews.com/global.fncstatic.com/static/876/493/AlbertoMorales.jpg?ve=1&amp;tl=1</t>
  </si>
  <si>
    <t>Alberto Morales escaped prison in Texas after stabbing a detective with his eyeglasses. He was was fatally shot after refusing to cooperate with officers. He was shot in a wooded area of Grapevine. Police said Morales used a sharp piece from his eyeglasses to stab a detective who was transferring him by car to Nevada, where Morales was to serve a sentence of 30 years to life after being convicted of a sexual assault.</t>
  </si>
  <si>
    <t>http://www.huffingtonpost.com/2013/02/16/alberto-morales-dead_n_2700924.html</t>
  </si>
  <si>
    <t>Juan Antonio Gonzalez</t>
  </si>
  <si>
    <t>http://kotv.images.worldnow.com/images/21242353_BG2.jpg</t>
  </si>
  <si>
    <t>7110 S. Granite Avenue</t>
  </si>
  <si>
    <t>74136</t>
  </si>
  <si>
    <t>Officers responded to Gonzalez's home after a call from his roommate, saying that Gonzalez was suicidal and had chased him out of the apartment with a knife. Officer Daniel Madewell, fearing for his life, shot and killed the suspect after he appeared on his balcony and point what they thought was a scoped rifle at the officers. Madewell fired multiple rounds at the suspect who died on the scene. The weapon turned out to be a BB gun. Gonzalez's roommate said he struggled with mental health issues most of his life and seemed to be getting worse. Madewell was cleared and returned to work.</t>
  </si>
  <si>
    <t>http://www.newson6.com/story/21242353/man-shot-and-killed-by-tulsa-police-officer-identified</t>
  </si>
  <si>
    <t>Emmanuel Franco</t>
  </si>
  <si>
    <t>Monterey Park</t>
  </si>
  <si>
    <t>91754</t>
  </si>
  <si>
    <t>Monterey Park Police Department</t>
  </si>
  <si>
    <t>Police were responding to a domestic disturbance between a couple at a motel. The couple left in a vehicle, and police followed them and initiated a traffic stop. Officers shot and killed Franco after he allegedly exited the vehicle and brandished a handgun at them.</t>
  </si>
  <si>
    <t>http://www.dailybulletin.com/20130215/monterey-park-police-fatally-shoot-armed-man</t>
  </si>
  <si>
    <t>Alejandro Rendon</t>
  </si>
  <si>
    <t>https://usgunviolence.files.wordpress.com/2013/09/alejandro-rendon1.jpg?w=450&amp;h=254</t>
  </si>
  <si>
    <t>82400 Miles Avenue</t>
  </si>
  <si>
    <t>Rendon, 23, a farm worker, was shot by Indio police Officer Alex Franco after he and his partner attempted to stop the suspect while he was riding his bicycle. Rendon fled and was shot by Franco who claimed the suspect was facing him down over the hood of the police vehicle and could have been armed. Experts testified Rendon's bullet wounds reveal he was shot from behind and below. The family of Alejandro Rendon was awarded a $1.9 million settlement in July 2014.</t>
  </si>
  <si>
    <t>http://www.desertsun.com/story/news/crime_courts/2014/09/09/alejandro-rendo-shooting-lawsuit-indio-police/15351443/</t>
  </si>
  <si>
    <t>2900 S. Gessner Rd</t>
  </si>
  <si>
    <t>77042</t>
  </si>
  <si>
    <t>Officers saw the suspect holding the child in his arm, continually putting a knife to the throat of the child.  Suspect fled into the bathroom with the child.  Officer fearing for the safety of the child, discharged his firearm killing the suspect.</t>
  </si>
  <si>
    <t>Gabriel Vernon Stevenson</t>
  </si>
  <si>
    <t>http://ak-cache.legacy.net/legacy/images/cobrands/annarbor/photos/0004566491stevenson.eps_20130217.jpgx?w=200&amp;h=200&amp;option=1&amp;fc=fff</t>
  </si>
  <si>
    <t>7900 Dixboro Road</t>
  </si>
  <si>
    <t>South Lyon</t>
  </si>
  <si>
    <t>48178</t>
  </si>
  <si>
    <t>Stevenson traded shots with police during an early-morning traffic stop, led officers on a high-speed chase, crashed his red pickup into a house, tried to smash house windows to gain entry, then threatened officers with a knife. With multiple agencies responding it was a state trooper who shot him to death.</t>
  </si>
  <si>
    <t>http://www.annarbor.com/news/crime/police-release-name-of-teenager-killed-by-police-after-lunging-at-officers-with-a-knife/</t>
  </si>
  <si>
    <t>Alden Patrick Anderson</t>
  </si>
  <si>
    <t>700 Aurora Avenue</t>
  </si>
  <si>
    <t>55104</t>
  </si>
  <si>
    <t>Police entered a house where they found Anderson, who was wanted on a first-degree criminal sexual conduct warrant, armed with a knife in the basement. Anderson fatally stabbed Kody, a police dog, before the officers shot and killed Anderson, police said.</t>
  </si>
  <si>
    <t>http://www.startribune.com/local/stpaul/190914391.html</t>
  </si>
  <si>
    <t>Jason James Shaw</t>
  </si>
  <si>
    <t>http://bloximages.chicago2.vip.townnews.com/billingsgazette.com/content/tncms/assets/v3/editorial/4/c9/4c9bbb35-83d4-58e7-a475-2db0022bb470/520c61092c6d9.preview-620.jpg</t>
  </si>
  <si>
    <t>Custer Avenue and Montana Avenue</t>
  </si>
  <si>
    <t>At 1:30 on a Monday morning a local officer approached three people in a parked car. Back-seat passenger Shaw, with an extensive criminal record, emerged from the car but refused to follow orders to keep his hands in view. An attempt to Taser him did not work because of thick clothing. He reached for a (replica) handgun in his clothes, and he was fatally shot.</t>
  </si>
  <si>
    <t>http://missoulian.com/news/state-and-regional/billings-officer-in-fatal-shooting-also-shot-killed-man-in/article_31f840c2-c717-11e3-a230-0019bb2963f4.html</t>
  </si>
  <si>
    <t>John Christopher Armes</t>
  </si>
  <si>
    <t>https://usgunviolence.files.wordpress.com/2013/09/john-christopher-armes.jpg?w=402&amp;h=450</t>
  </si>
  <si>
    <t>Temecula</t>
  </si>
  <si>
    <t>92591</t>
  </si>
  <si>
    <t>California Department of Corrections and Rehabilitation, Office of Correctional Safety, Fugitive Apprehension Team</t>
  </si>
  <si>
    <t>Officers were trying to take into custody a parolee who was wanted for assault with a deadly weapon. Armes was in a taxi and when the driver fled he allegedly took control of the taxi, drove it into an unmarked law enforcement vehicle and then ran. According to law enforcement, the suspect had a gun, and was shot by a member of the Fugitive Task Force. The suspect's brother disagrees, says suspect was tased and then shot unnecessarily. No weapon was found.</t>
  </si>
  <si>
    <t>http://www.utsandiego.com/news/2013/Feb/23/armes-shooting-fallbrook-cab/</t>
  </si>
  <si>
    <t>Daniel K. Holt</t>
  </si>
  <si>
    <t>http://www.daytondailynews.com/photo/news/police-man-ordered-to-drop-weapon-before-shooting/pn5D6/</t>
  </si>
  <si>
    <t>101 E Helena Street</t>
  </si>
  <si>
    <t>45404</t>
  </si>
  <si>
    <t>Holt allegedly pulled a SKS rifle on police and refused to drop it. Holt was shot by Dayton Police sergeants Mark Ponichtera and Andrew Gillig in Island Metropark and died at Miami Valley Hospital. Police said that suicide by cop was "... a fairly accurate description.” Dayton Police reports show three occasions between November 2010 and May 2011 when Holt described himself as suicidal and was taken to a hospital for a 72-hour psychiatric hold.</t>
  </si>
  <si>
    <t>http://www.daytondailynews.com/news/news/man-shot-killed-by-police-in-triangle-park/nWLQX/</t>
  </si>
  <si>
    <t>Otis Roberson</t>
  </si>
  <si>
    <t>https://usgunviolence.files.wordpress.com/2013/09/otis-roberson.jpg?w=450&amp;h=422</t>
  </si>
  <si>
    <t>Ninth Street and Barton Street</t>
  </si>
  <si>
    <t>63104</t>
  </si>
  <si>
    <t>Two St. Louis patrolmen, working part-time jobs for Mardi Gras Inc., responded to a report of gunfire. When they arrived, they observed Roberson brandishing a handgun. The officers ordered him to drop the gun; he instead turned and pointed it in their direction. Both officers fired shots, wounding the man. He was transported to a hospital, where he was pronounced dead.</t>
  </si>
  <si>
    <t>http://www.stltoday.com/news/local/man-shot-and-killed-by-st-louis-police-officers-working/article_6c536f94-6358-5739-ba54-3311440722af.html</t>
  </si>
  <si>
    <t>Ralph Elliott III</t>
  </si>
  <si>
    <t>http://www.bachmanhebble.com/include/storage/40756/DeathRecordStub/1497905/converted/150x173-Ralph_Elliott_Obit_Photo.jpg</t>
  </si>
  <si>
    <t>9840 S. Banfield Road</t>
  </si>
  <si>
    <t>Dowling</t>
  </si>
  <si>
    <t>49050</t>
  </si>
  <si>
    <t>Barry County Sheriff's Office</t>
  </si>
  <si>
    <t>Officers responded to a 911 call from the suspect's wife saying that he had a gun and had allegedly fired two shots. When they arrived the suspect confronted them in the yard and did not respond to orders to stop advancing. When a Taser had no effect, a deputy shot Elliott twice; he died of his wounds. Shooting was ruled justified by the Barry County Prosecutor in March 2013.</t>
  </si>
  <si>
    <t>http://hastingsbanner.com/shooting-of-dowling-man-still-under-investigation-p4753-84.htm</t>
  </si>
  <si>
    <t>Stoney Eugene Rawlinson</t>
  </si>
  <si>
    <t>http://www.dallasnews.com/incoming/20130209-policeshoot_0210met.jpg.ece/BINARY/w940/policeshoot_0210met.jpg</t>
  </si>
  <si>
    <t>Skillman Avenue and Abrams Road</t>
  </si>
  <si>
    <t>75231</t>
  </si>
  <si>
    <t>Officers had arranged to meet Stoney E. Rawlinson in a parking lot near Skillman Avenue and Abrams Road in connection with a murder investigation. He had allegedly killed his girlfriend Samantha Rasmus with a machete. When they arrived they found him armed in a vehicle. He refused to drop the weapon, and was shot and killed.</t>
  </si>
  <si>
    <t>http://www.dallasnews.com/news/community-news/dallas/headlines/20130209-standoff-in-lake-highlands-ends-with-dallas-police-fatally-shooting-man-suspected-of-killing-girlfriend.ece</t>
  </si>
  <si>
    <t>Roberto Antonio Torres</t>
  </si>
  <si>
    <t>Pennwood Avenue and Arville Street</t>
  </si>
  <si>
    <t>Las Vegas police shot and killed Roberto Antonio Torres, who was wanted after shooting his girlfriend in the face. Torres was standing with a man and a woman when officers Joseph Parra and Scott Thomas approached. Torres pulled out a handgun and fired at the officers. They returned fire, killing Torres. The man and woman were both shot and wounded. They were selling a car to Torres.</t>
  </si>
  <si>
    <t>https://drive.google.com/file/d/0B-l9Ys3cd80fMzJzeEJDX2pCcWs/edit?usp=sharing</t>
  </si>
  <si>
    <t>Armando Santibanez</t>
  </si>
  <si>
    <t>http://kmph.images.worldnow.com/images/21110616_BG1.jpg</t>
  </si>
  <si>
    <t>South Pinkham Street and Beech Avenue</t>
  </si>
  <si>
    <t>93292</t>
  </si>
  <si>
    <t>Visalia Police Department undercover officers following Armando Santibanez allegedly witnessed him selling drugs and pulled him over on South Pinkham Street and Beech Avenue. The suspect refused to exit the vehicle and was seen reaching for something under his seat. After repeated warning, Officer Tim Haener fired five shots through the window, hitting Santibanez. He died at Kaweah Delta Medical Center. Shooting by Tim Haener was ruled justified.</t>
  </si>
  <si>
    <t>http://www.kmph-kfre.com/story/21110616/details-emerge-in-visalia-officer-involved-shooting</t>
  </si>
  <si>
    <t>Jonathan Tims</t>
  </si>
  <si>
    <t>http://www.imbodenlive.com/wp-content/uploads/2013/03/tims.jpg</t>
  </si>
  <si>
    <t>Pocahontas</t>
  </si>
  <si>
    <t>72455</t>
  </si>
  <si>
    <t>Pocahontas Police Department</t>
  </si>
  <si>
    <t>Pocahontas officers were investigating a report that Tims had allegedly threatened his girlfriend with a gun. When they arrived he fled into the nearby woods and pulled out a handgun. Tims was hit seven times and later pronounced dead at the scene. A report from the Arkansas State Police cleared the Pocahontas Police officers.</t>
  </si>
  <si>
    <t>http://www.imbodenlive.com/2013/03/06/pocahontas-officers-cleared-in-deadly-shooting-by-investigators/</t>
  </si>
  <si>
    <t>Jason N. Noroian</t>
  </si>
  <si>
    <t>http://bloximages.newyork1.vip.townnews.com/stltoday.com/content/tncms/assets/v3/editorial/5/1e/51efbf2c-c23c-5009-aaca-6e28eb4e939d/512feecace30b.preview-620.jpg</t>
  </si>
  <si>
    <t>89 Biddle St</t>
  </si>
  <si>
    <t>63102</t>
  </si>
  <si>
    <t>Police were called to Lenor K. Sullivan and Biddle after receiving a call about suspicious vehicles possibly involved in a drug transaction. On performing a traffic stop, officers found that Noroian had an active warrant and and officer tried to arrest him. Noroian allegedly grabbed the officer's gun getting it out of the holster. The two continued to struggle until the officer shot him in the side.</t>
  </si>
  <si>
    <t>http://www.stltoday.com/news/local/crime-and-courts/des-peres-man-killed-reaching-for-officer-s-gun-in/article_24cd36d8-3949-5e57-a6ac-3e7dc915c739.html</t>
  </si>
  <si>
    <t>Jacob I. Dorfman</t>
  </si>
  <si>
    <t>http://usgunviolence.files.wordpress.com/2013/08/jacob-i-dorfman.jpg?w=625</t>
  </si>
  <si>
    <t>S Adams St and W 8th Ave</t>
  </si>
  <si>
    <t>99204</t>
  </si>
  <si>
    <t>Police shot and killed Dorfman after he led officers on a chaotic chase through a South Hill neighborhood. Dorfman had previous arrests for assaulting and eluding law enforcement officers.</t>
  </si>
  <si>
    <t>http://www.krem.com/news/local/216839371.html</t>
  </si>
  <si>
    <t>Jimmy Lee Dykes</t>
  </si>
  <si>
    <t>http://i.dailymail.co.uk/i/pix/2013/02/01/article-2271325-174B1B23000005DC-954_306x423.jpg</t>
  </si>
  <si>
    <t>Midland City</t>
  </si>
  <si>
    <t>36350</t>
  </si>
  <si>
    <t>Six days earlier, subject killed a school bus driver and abducted a 5 year old boy, then took refuge in an underground bunker on his property. After negotiations broke down, FBI SWAT team raided the bunker killing the subject.</t>
  </si>
  <si>
    <t>http://www.nydailynews.com/news/national/alabama-hostage-bunker-911-calls-revealed-article-1.1361092</t>
  </si>
  <si>
    <t>Price Robinson Perrin</t>
  </si>
  <si>
    <t>Harlingen</t>
  </si>
  <si>
    <t>78550</t>
  </si>
  <si>
    <t>Harlingen Police Department</t>
  </si>
  <si>
    <t>Officers responded to a report of a domestic disturbance. They arrived to witness a man shoot a woman in the chest. The officers fatally shot the man.</t>
  </si>
  <si>
    <t>http://www.valleymorningstar.com/news/local_news/article_1cab6d48-6f4d-11e2-ae87-0019bb30f31a.html?mode=jqm</t>
  </si>
  <si>
    <t>Kristopher Charles Gagliardi</t>
  </si>
  <si>
    <t>http://www.innocentdown.org/wp-content/uploads/2013/02/kristofer-gagliardi.jpg</t>
  </si>
  <si>
    <t>Copperas Cove</t>
  </si>
  <si>
    <t>76522</t>
  </si>
  <si>
    <t>Coryell</t>
  </si>
  <si>
    <t>Copperas Cove Police Department</t>
  </si>
  <si>
    <t>After arriving to the scene to a reported domestic disturbance call, Patrol Officer Billy Jo Ray III witnessed Kristopher Gagliardi, who was recently diagnosed with bipolar disorder, appear from the duplex and walk towards him with a knife. Ray reportedly retreated, while Kristopher allegedly continued to advance at which point Ray fired two shots into his chest. According to the mothers account, the shots were fired directly after Kristopher addressed the officer saying 'go ahead and shoot me' and used a racial slur.</t>
  </si>
  <si>
    <t>http://kdhnews.com/copperas_cove_herald/news/da-grand-jury-finds-cove-officer-not-at-fault-in/article_036d7a80-c7e8-11e2-8979-001a4bcf6878.html</t>
  </si>
  <si>
    <t>Chaz Devell Williams</t>
  </si>
  <si>
    <t>http://media.graytvinc.com/images/chaz+williams+mug.jpg</t>
  </si>
  <si>
    <t>237 Fox Trace Drive</t>
  </si>
  <si>
    <t>30909</t>
  </si>
  <si>
    <t>Deputy Michael J. Woodard killed Chaz Devell Williams, 21, after confronting him in a residence at Fox Den Apartments in the 3200 block of Wrightsboro Road. Deputies said they had been looking for Williams for about two hours after he had driven away from a police traffic stop, wrecked his car and fled. Williams died of multiple gunshot wounds. Sheriff Richard Roundtree says no plans to suspend Woodard; no evidence of wrongdoing.</t>
  </si>
  <si>
    <t>Ronette Morales</t>
  </si>
  <si>
    <t>http://img01.funeralnet.com/obit_photo.php?type=obit&amp;fullsize=1&amp;id=1322663&amp;clientid=pipkinbraswell&amp;rand=1424279682</t>
  </si>
  <si>
    <t>305 Park Avenue West</t>
  </si>
  <si>
    <t>Two plain clothes officers attempted to arrest Morales for charges of burglary, assault and harassment. Morales shot one officer in the hand and was subsequently fatally shot.</t>
  </si>
  <si>
    <t>http://www.denverpost.com/breakingnews/ci_22493969/family-woman-killed-by-denver-deputies-wish-him</t>
  </si>
  <si>
    <t>Josue Jimenez</t>
  </si>
  <si>
    <t>http://latimesblogs.latimes.com/.a/6a00d8341c630a53ef017ee81cdcd5970d-250wi</t>
  </si>
  <si>
    <t>­Fillmore</t>
  </si>
  <si>
    <t>93015</t>
  </si>
  <si>
    <t>Police responded to a call about a man with a gun at Mountain Vista elementary school, which included a description and license plate number. They did not find the suspect on the scene but tracked him through his vehicle to his home. They arrived to find him in his yard with a gun, which he refused to drop, and fired killing a dog nearby. A deputy fired, hitting ­and killing Jimenez.</t>
  </si>
  <si>
    <t>http://www.vcstar.com/news/fillmore-man-spotted-at-school-with-gun-minutes</t>
  </si>
  <si>
    <t>Jeremy Gregory</t>
  </si>
  <si>
    <t>1723 Co Rd 48</t>
  </si>
  <si>
    <t>Section</t>
  </si>
  <si>
    <t>35771</t>
  </si>
  <si>
    <t>Madison County S.W.A.T. Team</t>
  </si>
  <si>
    <t>Jackson County Sheriff's deputies responded to a house on County Road 48 after receiving a shots fired call and found the suspect allegedly barricaded in his house with a rifle. After hours of unsuccessful negotiation, SWAT team were called. They threw tear gas in the house, Gregory fired back at them, and they shot and killed him.</t>
  </si>
  <si>
    <t>http://www.waaytv.com/news/local/man-dead-in-jackson-county-stand-off/article_0bfd0a84-6a0b-11e2-b1d7-001a4bcf6878.html</t>
  </si>
  <si>
    <t>Angie Hall</t>
  </si>
  <si>
    <t>https://usgunviolence.files.wordpress.com/2013/08/angie-hall-1.jpg?w=193&amp;h=300</t>
  </si>
  <si>
    <t>4787 US-70</t>
  </si>
  <si>
    <t>28602</t>
  </si>
  <si>
    <t>Catawba County Sheriff's Office</t>
  </si>
  <si>
    <t>Officers responded to a call that Angie Hall was suicidal, in her yard with a gun. Officers claim that they fired upon her after she raised her gun to them.</t>
  </si>
  <si>
    <t>http://www.hickoryrecord.com/news/more-information-released-in-shooting-death-of-catawba-woman/article_8a085890-6bf8-11e2-8ddb-001a4bcf6878.html</t>
  </si>
  <si>
    <t>Cody Loron</t>
  </si>
  <si>
    <t>http://cbsdallas.files.wordpress.com/2013/01/cody-ira-laron.jpg</t>
  </si>
  <si>
    <t>1900 Carson Street</t>
  </si>
  <si>
    <t>Fort Worth/Haltom City</t>
  </si>
  <si>
    <t>Haltom City Police Department</t>
  </si>
  <si>
    <t>Officers responded to a police report that a fugitive was behind a building they happened to be at. Upon discovering the suspect, he opened fire wounding an officer. The officers returned fire, fatally wounding the suspect.</t>
  </si>
  <si>
    <t>http://www.wfaa.com/news/crime/Cell-video-shows-aftermath-Ofc-involved-shooting-189090131.html</t>
  </si>
  <si>
    <t>William Joseph Perneau</t>
  </si>
  <si>
    <t>http://usgunviolence.files.wordpress.com/2013/08/william-joseph-perneau.jpg?w=625</t>
  </si>
  <si>
    <t>495 Mid America Drive</t>
  </si>
  <si>
    <t>Pryor Creek</t>
  </si>
  <si>
    <t>74361</t>
  </si>
  <si>
    <t>Mayes County Sheriff's Office</t>
  </si>
  <si>
    <t>Authorities say officers were trying to interview Perneau in a motel room as part of a drug investigation. Authorities say that Perneau managed to pull a gun from his waistband while handcuffed and fired at the officers. The officers weren't hit. An officer from the Salina Police Department returned fire, killing Perneau.</t>
  </si>
  <si>
    <t>http://newsok.com/2-officers-cleared-in-mayes-county-fatal-shooting-of-handcuffed-man/article/3771756</t>
  </si>
  <si>
    <t>Ishmael Muhammad</t>
  </si>
  <si>
    <t>http://whtm.images.worldnow.com/images/20753798_BG6.JPG</t>
  </si>
  <si>
    <t>17104</t>
  </si>
  <si>
    <t>Harrisburg Bureau of Police Department</t>
  </si>
  <si>
    <t>Officers responded to a report that Muhammed had assaulted his girlfriend. He barricaded himself inside the apartment and using a machete kept a 2-year-old and a disabled 26-year-old as hostages. Officials report that Muhammad “was obviously under the influence of some drugs.” After a standoff of a few hours he was fatally shot twice when his waving of the machete prompted officers to fear for the lives of the hostages.</t>
  </si>
  <si>
    <t>http://www.pennlive.com/midstate/index.ssf/2013/02/ishmael_muhammad_man_shot_by_p.html</t>
  </si>
  <si>
    <t>Anthony Dwayne Harris</t>
  </si>
  <si>
    <t>http://media.cmgdigital.com/shared/img/photos/2013/01/29/b6/72/HARRIS_ANTHONY_DWAYNE.jpg</t>
  </si>
  <si>
    <t>2115 Pearl St N</t>
  </si>
  <si>
    <t>32206</t>
  </si>
  <si>
    <t>Police responded to a domestic dispute call involving Harris, recently released from prison, and his 17-year-old son. This ended with Harris shot to death on his front yard in full view of many family members and friends. Those witnesses sharply disputed the police version of events; the police responded by emphasizing Harris's criminal history.</t>
  </si>
  <si>
    <t>Randall Davis</t>
  </si>
  <si>
    <t>http://ak-cache.legacy.net/legacy/images/cobrands/fresnobee/photos/fbee_288829_02062013_02_07_2013.jpg?v=0x000000002b4c4a2f</t>
  </si>
  <si>
    <t>Fresno Sheriff's Department responded to a call about a man who was acting suicidal. When a deputy arrived at the scene Davis approached him with a box cutter, prompting the deputy to shoot him. Davis kept coming and allegedly jumped the deputy. A second deputy arriving on the scene shot and killed Davis.</t>
  </si>
  <si>
    <t>http://abc30.com/archive/8972775/</t>
  </si>
  <si>
    <t>Thomas Schroeder</t>
  </si>
  <si>
    <t>http://usgunviolence.files.wordpress.com/2013/08/thomas-e-schroeder.jpg?w=263&amp;h=300</t>
  </si>
  <si>
    <t>Interstate 29</t>
  </si>
  <si>
    <t>64437</t>
  </si>
  <si>
    <t>Holt</t>
  </si>
  <si>
    <t>http://www.newspressnow.com/news/local_news/article_e31341a3-258d-527a-a7c9-972409328340.html</t>
  </si>
  <si>
    <t>Lyon</t>
  </si>
  <si>
    <t>Brandon Culpepper</t>
  </si>
  <si>
    <t>Homewood</t>
  </si>
  <si>
    <t>60430</t>
  </si>
  <si>
    <t>Police were called to an apartment building for a disturbance. On arrival, there was a confrontation with the subject who was shot by officers.</t>
  </si>
  <si>
    <t>http://www.chicagotribune.com/news/local/breaking/chi-fatal-policeinvolved-shooting-in-homewood-20130127-story.html</t>
  </si>
  <si>
    <t>James D. Anderson</t>
  </si>
  <si>
    <t>2514 E Cherry St.</t>
  </si>
  <si>
    <t>98122</t>
  </si>
  <si>
    <t>Subject was ejected from a club, after which he returned and shot two people, including his girlfriend. When responding officers contacted him as he was leaving, shots were exchanged and subject was killed.</t>
  </si>
  <si>
    <t>http://seattletimes.com/html/localnews/2020235775_policeshootingxml.html</t>
  </si>
  <si>
    <t>James Brown</t>
  </si>
  <si>
    <t>21205</t>
  </si>
  <si>
    <t>Authorities said two officers who are part of a gun and drug enforcement group in that area approached a group of people. One of those men started walking in the opposite direction, and when one of the officers tried to approach him, the man turned and started shooting at the officer, police said.Investigators said the officer chased the man on foot for six blocks while the man continued to fire shots at the officer. Officials said the officer eventually returned fire and shot the man, who later died at a hospital.</t>
  </si>
  <si>
    <t>http://www.abc2news.com/dpp/news/crime_checker/baltimore_city_crime/city-officer-involved-in-shooting</t>
  </si>
  <si>
    <t>Willie Davis Jr.</t>
  </si>
  <si>
    <t>http://usgunviolence.files.wordpress.com/2013/08/willie-davis-jr.jpg?w=227&amp;h=300</t>
  </si>
  <si>
    <t>North Dodge and Winstel boulevard</t>
  </si>
  <si>
    <t>An officer responded to a report of an armed robbery. A suspect matching the description was chased in a vehicle until the suspect crashed. An altercation ensued during which the officer fatally shot the suspect.</t>
  </si>
  <si>
    <t>http://azstarnet.com/news/local/crime/tucson-police-id-suspected-robber-fatally-shot-by-officer/article_c3e1efd8-6700-11e2-a0fe-001a4bcf887a.html</t>
  </si>
  <si>
    <t>Douglas Combs</t>
  </si>
  <si>
    <t>http://columbian.media.clients.ellingtoncms.com/img/croppedphotos/2013/01/28/893143_shooting_folo___2_1_t770.jpg?14d6aa988ff86e4c07f5eb5afbea0f8176fedeb4</t>
  </si>
  <si>
    <t>East 19th Street and E Street</t>
  </si>
  <si>
    <t>98663</t>
  </si>
  <si>
    <t>Combs was a suspect in three armed robberies within the prior month. On information that Combs was armed and likely to act again soon, a SWAT team approached him in a commercial area around midnight, chased him on foot, then shot him to death as he appeared to draw a weapon. He'd actually had two guns on him.</t>
  </si>
  <si>
    <t>http://www.cityofvancouver.us/police/page/county-prosecutor-review-officer-involved-shooting-concluded-0</t>
  </si>
  <si>
    <t>Nijza Lamar Hagans</t>
  </si>
  <si>
    <t>http://wwwcache.wral.com/asset/news/local/2013/01/24/12020273/582-hagans-300x225.jpg</t>
  </si>
  <si>
    <t>Morganton Rd &amp; S Virginia Ave</t>
  </si>
  <si>
    <t>28305</t>
  </si>
  <si>
    <t>Nijza Lamar Hagans was pulled over at a traffic stop. He bent to get his license and registration upon request of the officer. The officer says he saw a handgun protruding from Hagans's pants pocket.</t>
  </si>
  <si>
    <t>http://www.wral.com/fayetteville-officer-involved-in-fatal-shooting-threatened/12039278/</t>
  </si>
  <si>
    <t>Barbara Lassere</t>
  </si>
  <si>
    <t>http://www.wdsu.com/image/view/-/18265882/highRes/1/-/maxh/480/maxw/640/-/97rhdj/-/Barbara-Lassere-jpg.jpg</t>
  </si>
  <si>
    <t>St. John Parish Sheriff's Office</t>
  </si>
  <si>
    <t>St. John Parish Sheriff''s Deputy Steven Daley shot and killed Barbara Lassere after she allegedly fled in her vehicle and fired on the deputy when he tried to pull her over for a broken headlight. She stopped briefly, then brandished a weapon and drove to her home. She refused to exit the vehicle when ordered, and fired a shot at the deputy. The deputy returned fire and Lassere died at the hospital. Her son later sued and a jury found that four St. John the Baptist Parish sheriff's deputies were negligent and partially responsible for the shooting death of the 60-year-old woman.</t>
  </si>
  <si>
    <t>No Charges; Civil Suit finds officers were negligent and partially responsible</t>
  </si>
  <si>
    <t>http://www.wwltv.com/story/local/2015/05/08/14570128/</t>
  </si>
  <si>
    <t>Jordan Hatcher</t>
  </si>
  <si>
    <t>2100 Southeast Parkway</t>
  </si>
  <si>
    <t>76018</t>
  </si>
  <si>
    <t>Grand Prairie police responded to a felony theft call around 3:50 p.m. at the Target at Camp Wisdom Road and State Highway 360, police said. One of the suspects fled on foot and crossed city lines into Arlington, according to Arlington police spokesman Sgt. Christopher Cook. During the chase, the man ran across a freeway and into a parking lot at the Tarrant County College Southeast Campus. The man got into a physical altercation with police that ended when a Grand Prairie officer shot him, Cook said.</t>
  </si>
  <si>
    <t>http://crimeblog.dallasnews.com/2013/01/grand-prairie-officer-fatally-shoots-thief-during-police-chase.html/</t>
  </si>
  <si>
    <t>Jacob Grassley</t>
  </si>
  <si>
    <t>http://media.mlive.com/kzgazette_impact/photo/jacob-grassley-6eb2abbb3b60c4f1.jpg</t>
  </si>
  <si>
    <t>3640 East Cork Street</t>
  </si>
  <si>
    <t>49001</t>
  </si>
  <si>
    <t>Officers located a domestic assault suspect several hours after the initial complaint. He was shot during an ensuing confrontation.</t>
  </si>
  <si>
    <t>http://www.mlive.com/news/kalamazoo/index.ssf/2013/01/kalamazoo_police_name_jacob_gr.html</t>
  </si>
  <si>
    <t>James Eric Griffin</t>
  </si>
  <si>
    <t>http://usgunviolence.files.wordpress.com/2013/08/james-eric-griffin.jpg?w=625</t>
  </si>
  <si>
    <t>100 S. Marcus St.</t>
  </si>
  <si>
    <t>Alto</t>
  </si>
  <si>
    <t>75925</t>
  </si>
  <si>
    <t>Alto Police Department</t>
  </si>
  <si>
    <t>Police say Griffin tried to steal a pack of cigarettes from an Alto Pic-N-Go. In convenience store video, Griffin can be seen pulling a machete out of his pants after the store owner confronts him. In a dash cam video, Griffin pulls out the machete as he walks towards Smith. Smith shot and killed him.</t>
  </si>
  <si>
    <t>http://www.americanownews.com/story/21789708/no-charges-will-be-filed-against-alto-police-officer-in-death</t>
  </si>
  <si>
    <t>Daniel Rey</t>
  </si>
  <si>
    <t>517 Leighton Ave</t>
  </si>
  <si>
    <t>87401</t>
  </si>
  <si>
    <t>Farmington police officer Jeremy Hill responded to a 911 call of domestic violence and was confronted by the suspect allegedly holding a machete. Hill shot his weapon six times striking Rey five times. Rey was taken to San Juan Regional Medical Center and died of his wounds the next day.</t>
  </si>
  <si>
    <t>http://www.daily-times.com/four_corners-news/ci_22469662/police-release-officers-name-shooting-details</t>
  </si>
  <si>
    <t>Craig Bondo</t>
  </si>
  <si>
    <t>19600 U.S. 24</t>
  </si>
  <si>
    <t>Woodland Park</t>
  </si>
  <si>
    <t>80863</t>
  </si>
  <si>
    <t>Teller</t>
  </si>
  <si>
    <t>Woodland Park Police Department</t>
  </si>
  <si>
    <t>Officers pulled over a suspected stolen vehicle. When the officers attempted to detain the suspect, he drove away, hitting one of the officers with the vehicle. An officer opened fire on the vehicle, fatally wounding the suspect. A witness reports hearing five shots and that the back window of the vehicle was shattered.</t>
  </si>
  <si>
    <t>http://www.krdo.com/news/Woodland-Park-police-shoot-kill-suspect/18237468</t>
  </si>
  <si>
    <t>Maximillian Walters</t>
  </si>
  <si>
    <t>Wife and child (Maximillian) killed during a domestic dispute incident by their husband/father who was a Las Vegas Police Lieutenant. Subject then set fire to the house, called 911 and waited for officers to arrive after which he stepped inside and shot himself.</t>
  </si>
  <si>
    <t>http://www.fox5vegas.com/story/20640342/police-metro-lieutenant-kills-self-wife-and-child</t>
  </si>
  <si>
    <t>Kathryn Walters</t>
  </si>
  <si>
    <t>http://i.huffpost.com/gen/955356/thumbs/s-HANS-WALTERS-MURDER-SUICIDE-large.jpg?6</t>
  </si>
  <si>
    <t>Both child and mother killed during a domestic dispute by their husband/father who was a Las Vegas Police Lieutenant. Subject then set fire to the house, called 911 and waited for officers to arrive after which he stepped inside and shot himself.</t>
  </si>
  <si>
    <t>Ray Charles Hayes</t>
  </si>
  <si>
    <t>http://wafb.images.worldnow.com/images/20648489_BG3.jpg</t>
  </si>
  <si>
    <t>Intracoastal Bridge</t>
  </si>
  <si>
    <t>Addis</t>
  </si>
  <si>
    <t>70767</t>
  </si>
  <si>
    <t>West Baton Rouge</t>
  </si>
  <si>
    <t>Brusly Police Department</t>
  </si>
  <si>
    <t>Officers responded to a report of robbery in progress at a store. The suspect took a customer hostage at gunpoint and stole a police cruiser. The suspect crashed the cruiser at a police roadblock. As officers approached the vehicle, the suspect threatened to kill the hostage and himself. An officer fired three times, killing the suspect.</t>
  </si>
  <si>
    <t>http://www.wafb.com/story/20648489/police-identify-pharmacy-robbery-suspect-shot-by-officer</t>
  </si>
  <si>
    <t>Alfredo Emilio Villarreal</t>
  </si>
  <si>
    <t>http://media.graytvinc.com/images/AlfredoEmilioVillarreal.jpg</t>
  </si>
  <si>
    <t>W3985 County Rd NN</t>
  </si>
  <si>
    <t>Deputy Richard Lagle shot and killed a Walworth County Jail inmate under guard at Lakeland Medical Center, when he allegedly attacked the deputy and tried to escape. Lagle used a taser on Villarreal to no avail, and was forced to shoot the inmate five times when he raised a chair and came at the deputy. Lagle didn't face charges.</t>
  </si>
  <si>
    <t>http://www.nbc15.com/home/headlines/Walworth-Co-Inmate-Shot-and-Killed-During-Fight-With--187907761.html</t>
  </si>
  <si>
    <t>Donovan Thomas</t>
  </si>
  <si>
    <t>3524 N. Kingshighway Blvd.</t>
  </si>
  <si>
    <t>An off-duty St Louis police officer shot and killed Thomas inside a White Castle restaurant as he allegedly tried to rob the business with a BB gun. Two off duty officers observed the suspect pull a gun on an employee and when he did not drop the gun as instructed one of the deputies shot him in the abdomen. Thomas was pronounced dead at the hospital.</t>
  </si>
  <si>
    <t>http://fox2now.com/2013/01/19/armed-suspect-shot-by-off-duty-officer-gun-may-have-been-fake/</t>
  </si>
  <si>
    <t>Jayvis Benjamin</t>
  </si>
  <si>
    <t>Covington Highway and Kensington Road</t>
  </si>
  <si>
    <t>Avondale Estates</t>
  </si>
  <si>
    <t>30002</t>
  </si>
  <si>
    <t>Avondale Estates Police Department</t>
  </si>
  <si>
    <t>Police allegedly observed suspect speeding and behaving recklessly on Kensington Road, turned to follow and came on crashed vehicle. Suspect ignored orders to remain in vehicle and alleged moved towards police in a threatening manner. Sgt. Lynn Thomas fired one shot, hitting the suspect in the chest. Civil grand jury recommended case go before criminal grand jury. Criminal grand jury recommends charging Sgt. Thomas (May 2, 2015)</t>
  </si>
  <si>
    <t>http://www.wsbtv.com/news/news/local/criminal-grand-jury-review-officer-involved-shooti/nk66p/</t>
  </si>
  <si>
    <t>Reginald Lamont “Deucey” Epps</t>
  </si>
  <si>
    <t>https://usgunviolence.files.wordpress.com/2013/07/reginald-lamont-epps.jpg?w=144&amp;h=224</t>
  </si>
  <si>
    <t>142 Straight Road</t>
  </si>
  <si>
    <t>Roanoke Rapids</t>
  </si>
  <si>
    <t>27870</t>
  </si>
  <si>
    <t>Halifax County Sheriff's Office</t>
  </si>
  <si>
    <t>County deputies had made several controlled drug purchases from Epps, then went to arrest him at his residence, knowing he had a small arsenal. Epps opened fire and was fatally shot in return.</t>
  </si>
  <si>
    <t>http://www.rrspin.com/roanoke-rapids-weldon-halifax-county-nc-news/item/4287-sbi-warrant-confirms-straight-road-shootout.html</t>
  </si>
  <si>
    <t>Anthony Scott Brown</t>
  </si>
  <si>
    <t>http://usgunviolence.files.wordpress.com/2013/07/anthony-scott-brown.gif?w=225&amp;h=300</t>
  </si>
  <si>
    <t>813 Snow St</t>
  </si>
  <si>
    <t>36203</t>
  </si>
  <si>
    <t>Calhoun Police Department</t>
  </si>
  <si>
    <t>Officers responded to a report of a burglary suspect with several arrest warrants who was spotted in a store. When the officers asked the suspect to step outside, the suspect produced a knife and began slashing at the officers. A Taser was ineffective and the officers fatally shot the suspect when he charged at them.</t>
  </si>
  <si>
    <t>http://usgunviolence.wordpress.com/2013/01/18/killed-anthony-scott-brown-oxford-al/</t>
  </si>
  <si>
    <t>George Walter Rosenberg</t>
  </si>
  <si>
    <t>http://www.sierranewsonline.com/cache/arithumb_e17cd95a7d5c07e3e881b61441a6f454_200_208.JPG</t>
  </si>
  <si>
    <t>Wells Rd &amp; Rocky Ridge Rd</t>
  </si>
  <si>
    <t>Coarsegold</t>
  </si>
  <si>
    <t>93614</t>
  </si>
  <si>
    <t>Madera</t>
  </si>
  <si>
    <t>Madera County Sheriff's Office</t>
  </si>
  <si>
    <t>Deputy patrolling near Coarsegold spotted the suspect's vehicle and recognized it, knew that there was an arrest warrant out on Rosenberg for narcotics and tried to apprehend him. As the deputy approached the vehicle, Rosenberg allegedly tried to run him over; the deputy shot at the truck, but it accelerated away. Deputies later found the empty vehicle at Rocky Ridge and Wells Road, and Rosenberg was found dead nearby.</t>
  </si>
  <si>
    <t>http://www.sierranewsonline.com/?option=com_k2&amp;view=item&amp;id=1511:fugitive-laying-in-wait-to-ambush-deputies-says-sheriffs-office&amp;Itemid=471</t>
  </si>
  <si>
    <t>Cody M. Kincheloe</t>
  </si>
  <si>
    <t>http://kctv.images.worldnow.com/images/20628267_BG3.jpg</t>
  </si>
  <si>
    <t>112 N. Clairborne Rd.</t>
  </si>
  <si>
    <t>Olathe</t>
  </si>
  <si>
    <t>66062</t>
  </si>
  <si>
    <t>Olathe Police Department</t>
  </si>
  <si>
    <t>Officer responded to a call of a vehicle going the wrong way down Sante Fe Street; he found the vehicle at 112 N. Clairborne Rd. in the parking lot of the Dollar General store. The officer approached the driver in the store who alleged holding a gun and pointed it at officer, so he fired, killing Kincheloe. Female passenger of vehicle was unharmed. Shooting ruled justified.</t>
  </si>
  <si>
    <t>http://www.kctv5.com/story/20628267/olathe-police-investigating-shooting-at-dollar-general-store</t>
  </si>
  <si>
    <t>Jesse France</t>
  </si>
  <si>
    <t>http://kptv.images.worldnow.com/images/20782747_BG1.jpg</t>
  </si>
  <si>
    <t>7531 NE 18th St</t>
  </si>
  <si>
    <t>98661</t>
  </si>
  <si>
    <t>France was an ex-con who had failed to check in with his community corrections officer, and had been considered a suspect in recent felony cases. When a multi-jurisdictional task force came for him, unarmed France struck another vehicle in an escape attempt, then "the situation was escalated by Mr. France" according to officers, and he was shot dead.</t>
  </si>
  <si>
    <t>http://www.columbian.com/news/2013/jan/25/jesse-john-france-fugitive-shot-by-police/</t>
  </si>
  <si>
    <t>Steven Askew</t>
  </si>
  <si>
    <t>http://wmctv.images.worldnow.com/images/24409082_BG2.jpg</t>
  </si>
  <si>
    <t>5267 Knight Arnold Road</t>
  </si>
  <si>
    <t>Angel Miguel Lopez</t>
  </si>
  <si>
    <t>http://kfmb.images.worldnow.com/images/20627940_BG1.jpg</t>
  </si>
  <si>
    <t>92120</t>
  </si>
  <si>
    <t>Officers surrounded an apartment complex after receiving a report that two wanted parolees were there and at least one was armed. After several hours the men fled and one was cornered. One was fatally shot after refusing to show his hands and reaching into his pockets. The other suspect was arrested after an hours-long search.</t>
  </si>
  <si>
    <t>http://www.cbs8.com/story/20627940/parolee-who-died-in-police-shooting-idd</t>
  </si>
  <si>
    <t>Samuel Gonzales</t>
  </si>
  <si>
    <t>http://www.gannett-cdn.com/-mm-/bc1d55b9d1af074b5838a18c777724121b0041dc/c=66-0-1549-1977&amp;r=537&amp;c=0-0-534-712/local/-/media/Visalia/2015/03/26/B9316750625Z.1_20150326190201_000_G2PAB8360.1-0.jpg</t>
  </si>
  <si>
    <t>93274</t>
  </si>
  <si>
    <t>Tulare Police Department</t>
  </si>
  <si>
    <t>Tulare Police officers Vince Medina and Ryan Richmond were responding to reports of suspected gang members. When they arrived there was no one in the area, so they decided to search a nearby empty house where suspected gang members allegedly frequented. They saw Gonzales exit the house, and though he did not match the description of the gang members, they used their flashlights to try to subdue Gonzales. When he continued to struggle, Medina shot and killed him. Officers were cleared in federal civil suit.</t>
  </si>
  <si>
    <t>http://www.visaliatimesdelta.com/story/news/local/tulare/2015/03/26/tulare-police-officers-cleared-federal-civil-suit/70513436/</t>
  </si>
  <si>
    <t>Eric Ramsey</t>
  </si>
  <si>
    <t>6515 N Old 27</t>
  </si>
  <si>
    <t>Frederic</t>
  </si>
  <si>
    <t>49733</t>
  </si>
  <si>
    <t>Crawford County Sheriff's Office</t>
  </si>
  <si>
    <t>Officers were searching for Ramsey as the prime suspect in a recent abduction, rape and arson. Ramsey rammed his vehicle into a squad car and fled in a stolen garbage truck. He was fatally shot by a sheriff's deputy.</t>
  </si>
  <si>
    <t>http://lubbockonline.com/filed-online/2013-01-17/suspect-dead-student-safe-after-abduction#.UPtRZidEHUk</t>
  </si>
  <si>
    <t>Lloyd Hodgson Tschohl</t>
  </si>
  <si>
    <t>http://www.mankatomortuary.com/sitemaker/memsol_data/1954/1412088/1412088_profile_pic.jpg</t>
  </si>
  <si>
    <t>1610 Lor Ray Dr.</t>
  </si>
  <si>
    <t>Mankato</t>
  </si>
  <si>
    <t>56003</t>
  </si>
  <si>
    <t>Nicollet</t>
  </si>
  <si>
    <t>Mankato Department of Public Safety, North Mankato Police Department</t>
  </si>
  <si>
    <t>Tschohl, armed with two handguns, resisted officers' attempts to check on his welfare, refusing to leave his house. After more than three hours of negotiations, Tschohl fired on officers who approached the house. He then came out the back door, armed, and shot again at officers, who returned fire. North Mankato police had attempted to check on Tschohl a day earlier after a relative had called to request a welfare check. Tschohl refused to talk to officers. The Star Tribune reported that, the next day, Tschohl's family called police again to say he had made "homicidal statements" and had weapons in his house.</t>
  </si>
  <si>
    <t>http://www.startribune.com/local/187519851.html</t>
  </si>
  <si>
    <t>Karvis Jabbar Gamble</t>
  </si>
  <si>
    <t>http://media.cmgdigital.com/shared/lt/lt_cache/thumbnail/400/img/photos/2013/01/17/74/07/mccullough.JPG</t>
  </si>
  <si>
    <t>W. Colonial Drive and Orange Blossom Trail</t>
  </si>
  <si>
    <t>Police investigating a drug complaint at a recording studio reportedly opened the door, saw a gun on a table and fired after Gamble's friend reached for it. Gamble was shot in the stomach, and the second man was shot and wounded.</t>
  </si>
  <si>
    <t>http://articles.orlandosentinel.com/2013-01-17/news/os-orlando-officer-involved-shooting-20130117_1_orlando-police-wednesday-night-officers-men-shot</t>
  </si>
  <si>
    <t>John Montoya</t>
  </si>
  <si>
    <t>39th Avenue and Osage Street</t>
  </si>
  <si>
    <t>Montoya was shot after an hours-long, high-speed chase in a stolen pickup truck. Shots were fired from the stolen truck at police.</t>
  </si>
  <si>
    <t>http://www.denverda.org/News_Release/Decision_Letters/January16%202013ShootingInvestigation.pdf</t>
  </si>
  <si>
    <t>Allen Eugene Ott</t>
  </si>
  <si>
    <t>Dews Pond Road</t>
  </si>
  <si>
    <t>30701</t>
  </si>
  <si>
    <t>Gordon</t>
  </si>
  <si>
    <t>Gordon County Sheriff's Office</t>
  </si>
  <si>
    <t>Allen Ott was shot and killed by Gordon County sheriff's deputies after violating a protective order for his estranged wife and children, and threatening to kill her and himself. Deputies found the suspect near the home, allegedly waving a rifle around. When he refused to drop the gun and pointed it at deputies he was fatally shot.</t>
  </si>
  <si>
    <t>http://www.timesfreepress.com/news/local/story/2013/jan/18/man-shot-dead-after-aiming-gun-at-deputies/97514/</t>
  </si>
  <si>
    <t>Cody Shobe</t>
  </si>
  <si>
    <t>http://bloximages.chicago2.vip.townnews.com/ahwatukee.com/content/tncms/assets/v3/editorial/d/06/d06dda8e-4099-11e1-908e-0019bb2963f4/4f14b2a4dca48.image.jpg</t>
  </si>
  <si>
    <t>221st Avenue and West Yavapai street</t>
  </si>
  <si>
    <t>Buckeye</t>
  </si>
  <si>
    <t>Buckeye Police Department</t>
  </si>
  <si>
    <t>An officer fatally shot Shobe after he pointed gun at police and fired at least one round.</t>
  </si>
  <si>
    <t>http://www.azfamily.com/news/Officers-shoot-kill-armed-suspect-outside-Buckeye-home-137409458.html</t>
  </si>
  <si>
    <t>Cody Gene Criner</t>
  </si>
  <si>
    <t>http://ksaz.images.worldnow.com/images/20608538_BG2.jpg</t>
  </si>
  <si>
    <t>4100 East Capistrano Ave</t>
  </si>
  <si>
    <t>85044</t>
  </si>
  <si>
    <t>http://www.ahwatukee.com/news/article_217c1afe-6037-11e2-a454-0019bb2963f4.html</t>
  </si>
  <si>
    <t>Jimmy Ray Phea</t>
  </si>
  <si>
    <t>Harrison and Broadway</t>
  </si>
  <si>
    <t>Police were responding to a domestic violence disturbance between a man and his sister</t>
  </si>
  <si>
    <t>http://abclocal.go.com/kfsn/story?section=news/local&amp;id=8957000</t>
  </si>
  <si>
    <t>Gregory Gordon</t>
  </si>
  <si>
    <t>http://www.kitv.com/image/view/-/18162172/highRes/2/-/11r8vfjz/-/Gregory-Gordon-2-jpg.jpg</t>
  </si>
  <si>
    <t>Kuhio Avenue and Ala Wai Boulevard</t>
  </si>
  <si>
    <t>Officers responded to a truck driving fast the wrong way. Police fired multiple times when the driver rammed five marked police cruisers. The deceased suspect was a soldier at Schofield Barracks.</t>
  </si>
  <si>
    <t>http://news.hawaiibreakingnews.com/tweets/291842554574565376</t>
  </si>
  <si>
    <t>Todd S. Weber</t>
  </si>
  <si>
    <t>http://kctv.images.worldnow.com/images/20589016_BG5.jpg</t>
  </si>
  <si>
    <t>Front St &amp; Interstate 435</t>
  </si>
  <si>
    <t>64120</t>
  </si>
  <si>
    <t>Officers attempted to stop Weber's vehicle. Weber led officers on a low-speed chase at no faster than 35 mph. Stop sticks slowed the vehicle, but it continued for several miles. Weber eventually stopped, exited his vehicle, pointed a gun at officers and began firing. Officers returned fire, killing him.</t>
  </si>
  <si>
    <t>http://fox4kc.com/2013/01/15/police-identify-man-killed-during-shoot-out/</t>
  </si>
  <si>
    <t>Dustin Patrick Wernli</t>
  </si>
  <si>
    <t>http://ak-cache.legacy.net/legacy/images/Cobrands/Tucson/Photos/0007945549-01_012622.jpg</t>
  </si>
  <si>
    <t>550 N Harrison Rd</t>
  </si>
  <si>
    <t>85748</t>
  </si>
  <si>
    <t>Police responded to a call from a combat veteran with post-traumatic stress disorder stating that he was suicidal. On arriving the officers found him armed, but wanting to talk with police. After repeated warnings not to, Wernli reached for his holstered pistol and was shot by police. Wernli died at the hospital.</t>
  </si>
  <si>
    <t>http://www.tucsonnewsnow.com/story/20600700/investigation-continues-into-late-night-officer-shooting</t>
  </si>
  <si>
    <t>Robert Alan Penning</t>
  </si>
  <si>
    <t>156th Avenue and Quebec Street</t>
  </si>
  <si>
    <t>80602</t>
  </si>
  <si>
    <t>https://s3.amazonaws.com/s3.documentcloud.org/documents/666161/penningdecision.txt</t>
  </si>
  <si>
    <t>Karlando Roberts</t>
  </si>
  <si>
    <t>East Orange</t>
  </si>
  <si>
    <t>East Orange Police Department</t>
  </si>
  <si>
    <t>Officers responded to a report of a stabbing in progress. Roberts was found to be stabbing his father-in-law and refused to drop the knife. Officers shot Roberts who died at a local hospital.</t>
  </si>
  <si>
    <t>http://www.nj.com/essex/index.ssf/2013/01/east_orange_police_shoot_and_k.html</t>
  </si>
  <si>
    <t>Wesley Kyle Swilling</t>
  </si>
  <si>
    <t>20 McGee Street</t>
  </si>
  <si>
    <t>29601</t>
  </si>
  <si>
    <t>Swilling was in the Law Enforcement Center parking lot and approached an officer and deputy in a “threatening manner” with what appeared to be a weapon. Fearing for their safety, they both shot at Swilling, hitting him at least once. Swilling fell down, but continued to approach them, so they took cover behind a vehicle and both fired again, hitting him at least once more. Swilling was pronounced dead at the scene. After further investigation, it was revealed that Swilling was "armed" with a hot glue gun.</t>
  </si>
  <si>
    <t>http://www.wyff4.com/news/local-news/greenville-news/GPD-Officer-deputy-shoot-kill-man-at-Law-Enforcement-Center/18118162?item=0</t>
  </si>
  <si>
    <t>Quintine Barksdale</t>
  </si>
  <si>
    <t>Camelback Road and Central Avenue</t>
  </si>
  <si>
    <t>85013</t>
  </si>
  <si>
    <t>Arizona Department of Transportation</t>
  </si>
  <si>
    <t>Barksdale was a neighbor to an off-duty state DOT officer, who fatally shot him as a suspected burglar. The officer claimed the unarmed Barksdale had worn a ski mask and rubber gloves, and had thrown gasoline on him. The victim's family, pressing for an FBI investigation, pointed out that it was cold, that Barksdale was restoring an old car, and the officer had a history of "integrity questions."</t>
  </si>
  <si>
    <t>http://www.azcentral.com/story/news/local/phoenix/2014/10/02/fbi-opens-inquiry-duty-officer-involved-shooting/16624201/</t>
  </si>
  <si>
    <t>Frankie Pitt</t>
  </si>
  <si>
    <t>http://wric.images.worldnow.com/images/20574027_BG4.jpg</t>
  </si>
  <si>
    <t>Chippenham Parkway ramp and Hull Street Road</t>
  </si>
  <si>
    <t>Midlothian</t>
  </si>
  <si>
    <t>23112</t>
  </si>
  <si>
    <t>Chesterfield Police Department</t>
  </si>
  <si>
    <t>Police say the officer involved in the shooting stopped to assist what he believed was a disabled vehicle. When the officer approached the vehicle, he discovered the driver was the suspect in the larceny of a cash drawer that had been reported stolen from the Circle K store approximately 10 minutes before. When the officer attempted to take the driver into custody, police say Pitt resisted and a struggle for the officer's gun ensued. The officer then shot and killed Pitt.</t>
  </si>
  <si>
    <t>http://wtvr.com/2013/05/15/frankie-pitt-police-shooting-update/</t>
  </si>
  <si>
    <t>Robert Guzman</t>
  </si>
  <si>
    <t>http://www.noozhawk.com/images/uploads/Robert-Guzman175.jpg</t>
  </si>
  <si>
    <t>93454</t>
  </si>
  <si>
    <t>http://santamariatimes.com/news/local/crime-and-courts/fatal-police-shooting-in-january-ruled-justifiable/article_26259ec6-37c4-11e3-869f-001a4bcf887a.html</t>
  </si>
  <si>
    <t>Christopher Greer</t>
  </si>
  <si>
    <t>700 Shannon Ave.</t>
  </si>
  <si>
    <t>Indialantic</t>
  </si>
  <si>
    <t>32903</t>
  </si>
  <si>
    <t>Corporal Jim Haman and Deputy Diomedis Canela responded to a call that the suspect was assaulting family members with a knife. Greer allegedly threatened officers with a knife when they found him in his home. Greer was shot and killed.</t>
  </si>
  <si>
    <t>http://www.wftv.com/news/news/local/2-brevard-county-deputies-cleared-after-deadly-ind/nYN9c/</t>
  </si>
  <si>
    <t>Gilbert S. Owens</t>
  </si>
  <si>
    <t>North East Street</t>
  </si>
  <si>
    <t>Senath</t>
  </si>
  <si>
    <t>63876</t>
  </si>
  <si>
    <t>Senath Police Department</t>
  </si>
  <si>
    <t>Senath Officer J. Gentry responded to a domestic disturbance call, at which time the suspect allegedly punctured the officer's tires with a knife and approached him in an "aggressive and threatening manner." Officer used pepper spray which had no impact, and then shot Owens who was pronounced dead at the scene.</t>
  </si>
  <si>
    <t>http://www.kait8.com/story/20576367/senath-police-investigating-shooting</t>
  </si>
  <si>
    <t>Jonathan F. Vasquez</t>
  </si>
  <si>
    <t>Officers attempted to stop a vehicle for speeding. A high speed pursuit ensued. After the suspect drove into a vacant lot, he U-turned and drove towards the officers. The officers opened fire, fatally wounding the driver and injuring a passenger.</t>
  </si>
  <si>
    <t>http://fox5sandiego.com/2013/01/14/pursuit-suspect-fatally-shot-by-cop-idd/</t>
  </si>
  <si>
    <t>Lawrence Edward Vaughan</t>
  </si>
  <si>
    <t>6154 Quick Road</t>
  </si>
  <si>
    <t>Elkview</t>
  </si>
  <si>
    <t>25071</t>
  </si>
  <si>
    <t>Kanawha County Sheriff's Office</t>
  </si>
  <si>
    <t>Two deputies were dispatched to the residence after a 911 call of domestic violence; the suspect was beating his mother, whom he lived with. When the deputies arrived, Vaughan allegedly fired at them with a pistol. The two deputies returned fire and killed Vaughn at the scene, the mother was unharmed.</t>
  </si>
  <si>
    <t>http://www.charlestondailymail.com/News/201301130002</t>
  </si>
  <si>
    <t>Howard Edward Nevels</t>
  </si>
  <si>
    <t>Smiths Station</t>
  </si>
  <si>
    <t>36877</t>
  </si>
  <si>
    <t>Sheriff's deputy attempted to pull Nevels on County Road 243 in Smith Station because the van he was driving had been reported stolen. The suspect pulled over, but attempted to run the deputy over with the van as he approached. The deputy fired several times, shooting the suspect in the head; he later died at Columbus (Ga.) Regional Medical Center. A 7-year-old boy was in the passenger seat of the van, and was unharmed.</t>
  </si>
  <si>
    <t>http://www.wsfa.com/story/20572421/lee-county-sheriff-deputy-involved-in-shooting</t>
  </si>
  <si>
    <t>Robert Ethan Saylor</t>
  </si>
  <si>
    <t>http://i.dailymail.co.uk/i/pix/2013/07/20/article-0-1AD882EE000005DC-792_306x423.jpg</t>
  </si>
  <si>
    <t>5243 Buckeystown Pike</t>
  </si>
  <si>
    <t>21701</t>
  </si>
  <si>
    <t>http://www.dailymail.co.uk/news/article-2370989/Ethan-Saylor-case-Sheriffs-office-releases-investigative-file-Down-syndrome-man-26-died-handcuffs-floor-refused-leave-movie-theater.html</t>
  </si>
  <si>
    <t>Jason Dillon</t>
  </si>
  <si>
    <t>http://wvva.images.worldnow.com/images/20576704_BG1.jpg</t>
  </si>
  <si>
    <t>1291 Surface Hill Road</t>
  </si>
  <si>
    <t>Mercer County Sheriff's Office</t>
  </si>
  <si>
    <t>A deputy responded to a domestic violence call of a man vandalizing a house and a truck in the yard with a chainsaw. When the deputy arrived, the suspect threatened him with a club and reused to drop it.</t>
  </si>
  <si>
    <t>http://woay.com/News.aspx?nid=5749</t>
  </si>
  <si>
    <t>Binh Van Nguyen</t>
  </si>
  <si>
    <t>http://media.nbcbayarea.com/images/01-bihnnguyen.JPG</t>
  </si>
  <si>
    <t>Officers on patrol attempted to speak to a suspicious person in the back seat of a car. The suspect jumped into the front seat and drove towards the officers who then fatally shot him.</t>
  </si>
  <si>
    <t>http://www.nbclosangeles.com/news/local/Man-Fatally-Shot-by-Santa-Ana-Police-is-Identified-186616081.html</t>
  </si>
  <si>
    <t>Michael W. Daniel</t>
  </si>
  <si>
    <t>http://www.gannett-cdn.com/-mm-/75a25d9ca45402102499048f598ffcb3f53c5d93/c=0-0-680-510&amp;r=x404&amp;c=534x401/http/archive.thv11.com/images/680/510/2/assetpool/images/130111085759_michael%20daniel.jpg</t>
  </si>
  <si>
    <t>1418 S. Brown St.</t>
  </si>
  <si>
    <t>http://www.arktimes.com/ArkansasBlog/archives/2013/01/11/lr-police-shooting-reported</t>
  </si>
  <si>
    <t>Chad Moretz</t>
  </si>
  <si>
    <t>http://www.sanduskyregister.com/sites/www.sanduskyregister.com/files/styles/large/public/11895132_0.jpg?itok=nPawZnkC</t>
  </si>
  <si>
    <t>205 Whitehall Avenue</t>
  </si>
  <si>
    <t>Effingham</t>
  </si>
  <si>
    <t>Effingham County Sheriff's Office</t>
  </si>
  <si>
    <t>Officers approached Moretz at his home to question him about a missing man who was a friend of his. A standoff ensued which ended when Moretz walked out of his house with a rifle in hand and was fatally shot by a SWAT sniper. The dismembered remains of the friend were found in the house.</t>
  </si>
  <si>
    <t>http://www.ktre.com/story/20571257/ecso-say-chad-moretz-dead-after-stand-off-discover-body-of-charles-ray-in-house</t>
  </si>
  <si>
    <t>Donald Moore</t>
  </si>
  <si>
    <t>http://wmctv.images.worldnow.com/images/24409082_BG3.jpg</t>
  </si>
  <si>
    <t>10038 Cameron Ridge Trail</t>
  </si>
  <si>
    <t>Shot to death. Police claim that when they came to Moore's home to serve him with a warrant for animal cruelty, he pointed a gun at them. However, when the cops came busting into the house, they broke down the door in the middle of the night and never announced they were police officers. Then Moore was fatally shot when he went for his firearm on a night stand.</t>
  </si>
  <si>
    <t>http://ftpcontent4.worldnow.com/wmctv/Moore%20File%20Stamped%20Complaint%201-8-14.pdf</t>
  </si>
  <si>
    <t>Rabih Ozeir</t>
  </si>
  <si>
    <t>http://media2.kjrh.com//photo/2013/01/11/Cushing_Ozeil_20130111212814_320_240.JPG</t>
  </si>
  <si>
    <t>1523 E. Main St.</t>
  </si>
  <si>
    <t>74023</t>
  </si>
  <si>
    <t>Officers responded to a gym after an employee reported Ozeir confronted gym staff. When officers arrived, they report Ozeir confronted them with a handgun and refused commands to put it down. The officers shot Ozeir who died in a hospital the next day.</t>
  </si>
  <si>
    <t>http://www.newson6.com/story/20913774/payne-county-da-says-officers-were-justified-in-shooting-teen</t>
  </si>
  <si>
    <t>Daniel Alain Vail</t>
  </si>
  <si>
    <t>http://www.staufferfuneralhome.com/obituaries/uploads/OI1654414267_Vail,%20Daniel.jpg</t>
  </si>
  <si>
    <t>Mount Airy</t>
  </si>
  <si>
    <t>21771</t>
  </si>
  <si>
    <t>Frederick County Sheriff's deputies arrived at the suspect's home to execute a search and seizure warrant looking for evidence from a home invasion robbery. Deputies used a flash-bang diversionary device on entering, and found Daniel Alain Vail in his bedroom holding a gun. He refused to drop it when told; Deputy First Class Charles Zang and Deputy First Class Kevin Riffle fired a total of 18 shots, killing Vail. A grand jury found the deputies actions were justified.</t>
  </si>
  <si>
    <t>http://www.fredericknewspost.com/locations/local/frederick_county/grand-jury-use-of-force-justified-in-daniel-vail-shooting/article_04bf0da2-4e3b-11e3-8df4-001a4bcf6878.html</t>
  </si>
  <si>
    <t>John Edward Dempsey</t>
  </si>
  <si>
    <t>http://matchbin-assets.s3.amazonaws.com/public/sites/487/assets/Grover_Morrison_murder_update0_1357754913.jpg</t>
  </si>
  <si>
    <t>Buffalo Creek Road</t>
  </si>
  <si>
    <t>Man</t>
  </si>
  <si>
    <t>25635</t>
  </si>
  <si>
    <t>Officers pursued Dempsey as the prime suspect in a recent murder and carjacking. Dempsey was fatally shot after “pulling a gun on troopers.</t>
  </si>
  <si>
    <t>http://www.wsaz.com/home/headlines/BREAKING-Logan-Police-Conducting-Death-Investigation-186094111.html</t>
  </si>
  <si>
    <t>Robert Earl Gary Jr.</t>
  </si>
  <si>
    <t>122nd Avenue and 16th Street</t>
  </si>
  <si>
    <t>33612</t>
  </si>
  <si>
    <t>Gary was shot and killed by an undercover deputy after an argument broke out between them during a crack cocaine deal. Gary, with a long criminal record, had tried to rob him, then managed to get ahold of the officer's gun.</t>
  </si>
  <si>
    <t>Linda Sue Davis</t>
  </si>
  <si>
    <t>Tamarac</t>
  </si>
  <si>
    <t>33319</t>
  </si>
  <si>
    <t>Davis was described by neighbors in her retirement community as an ordinarily friendly woman who circled around on her tricycle, but who was capable of "terrorizing" others when off her meds. County officers had learned of her notorious mental condition on 79 calls to her location since 2008. On this day she fatally shot an elderly neighbor and was herself immediately shot by county police, the third killing of a female by South Florida LEOs within a week.</t>
  </si>
  <si>
    <t>http://articles.sun-sentinel.com/2013-01-09/news/fl-tamarac-two-dead-20130109_1_deputy-shot-drop-gun-tamarac-woman</t>
  </si>
  <si>
    <t>Kelly Fay Simons</t>
  </si>
  <si>
    <t>http://img.deseretnews.com/images/article/contentimage/1066493/1066493.jpg</t>
  </si>
  <si>
    <t>1100 South Lake Street</t>
  </si>
  <si>
    <t>84112</t>
  </si>
  <si>
    <t>Drive automobile down street unmarked truck rammed her auto head-on and another officer ran up behind her and shot her in the back of the head.</t>
  </si>
  <si>
    <t>http://www.sltrib.com/sltrib/news/55607124-78/daughter-simons-kelly-police.html.csp</t>
  </si>
  <si>
    <t>Donald Keith Miller Sr.</t>
  </si>
  <si>
    <t>http://blogs.phoenixnewtimes.com/valleyfever/donald-miller.jpg</t>
  </si>
  <si>
    <t>N 83rd Avenue and Happy Valley Road</t>
  </si>
  <si>
    <t>85383</t>
  </si>
  <si>
    <t>Police pulled Donald Keith Miller Sr. over after receiving a call from an ex-girlfriend fearing for his safety. Miller exchanged gunfire with police at a gas station at 83rd avenue and Deer Valley, then continued on in his vehicle. Police found him again a short time later in a desert area on 89th and approached vehicle. Gunfire was exchanged again, Miller died on the scene.</t>
  </si>
  <si>
    <t>http://blogs.phoenixnewtimes.com/valleyfever/2013/01/donald_miller_idd_as_shooter_o.php</t>
  </si>
  <si>
    <t>Angella Falconi</t>
  </si>
  <si>
    <t>http://media.cmgdigital.com/shared/lt/lt_cache/thumbnail/188/img/photos/2013/01/08/75/8d/falconi-NU.jpg</t>
  </si>
  <si>
    <t>Lake Worth</t>
  </si>
  <si>
    <t>33460</t>
  </si>
  <si>
    <t>Officers responded to a report of a domestic disturbance. They found a woman holding a knife to the throat of her boyfriend. The officers shot her when she refused commands to drop the knife and “turned to stab him.” She died from her injuries.</t>
  </si>
  <si>
    <t>http://www.palmbeachpost.com/news/news/crime-law/authorities-woman-holding-boyfriend-at-knifepoint-/nTp6r/</t>
  </si>
  <si>
    <t>Vincent Jimenez</t>
  </si>
  <si>
    <t>http://ksaz.images.worldnow.com/images/20529821_BG2.jpg</t>
  </si>
  <si>
    <t>29th Avenue and Madison</t>
  </si>
  <si>
    <t>Officers attempted to stop a driver who seemed impaired. The driver fled and led officers on a chase that ended at the suspect's home where he crashed into a retaining wall. When officers approached the driver, the suspect rammed two cruisers and accelerated towards officers who opened fire. The suspect was pronounced dead at the scene. A 6-year-old child was discovered unharmed in the passenger seat.</t>
  </si>
  <si>
    <t>http://www.kpho.com/story/20537937/phoenix-pd-officers-forced-to-shoot-man-who-tried-to-run-them-over</t>
  </si>
  <si>
    <t>Cedrick Chatman</t>
  </si>
  <si>
    <t>75th Street and Jeffery Boulevard</t>
  </si>
  <si>
    <t>Cedrick Chatman was seen driving a car suspected of being stolen at gunpoint. Officers pulled him over, and saw him reach for a "dark object" and run from the car. Officers pursued, and thinking the suspect held a gun an officer opened fire. Chatman was pronounced dead at Northwestern Memorial Hospital, no weapon was found on the scene. Chatman's accomplices Akeem Clarke, 22, of the 7600 block of South Essex Avenue; and Martel Odum, 23, of the 0-100 block of East 69th Street, were charged with his murder, as well as two counts of felony robbery and one count of felony vehicular hijacking.</t>
  </si>
  <si>
    <t>http://articles.chicagotribune.com/2013-01-08/news/chi-union-man-suspected-of-carjacking-shot-after-pointing-object-at-police-20130107_1_police-officers-ipra-spokesman-multiple-gunshot-wounds</t>
  </si>
  <si>
    <t>Jimmy L. Hamlin Jr.</t>
  </si>
  <si>
    <t>https://i0.wp.com/mi-cache.legacy.com/legacy/images/Cobrands/Macon/Photos/W0013752-1_20130110.jpg</t>
  </si>
  <si>
    <t>N. Jefferson St. and Coleman Dr.</t>
  </si>
  <si>
    <t>Lewisburg</t>
  </si>
  <si>
    <t>24901</t>
  </si>
  <si>
    <t>Greenbrier</t>
  </si>
  <si>
    <t>http://www.wvnstv.com/story/20524597/possible-shooting-in-lewisburg</t>
  </si>
  <si>
    <t>Daniel Brawley</t>
  </si>
  <si>
    <t>http://bloximages.chicago2.vip.townnews.com/billingsgazette.com/content/tncms/assets/v3/editorial/8/23/823bc787-0677-5e0f-9963-befdbe155c40/50ec2a24db180.preview-620.jpg</t>
  </si>
  <si>
    <t>807 Miles Avenue</t>
  </si>
  <si>
    <t>Billings Police responded to a burglary call where two suspects and a rifle were observed. Police negotiators were able to get the suspects to surrender. Upon being placed in the patrol car, Brawley was able to slip out of his handcuffs and attempted to commandeer the police vehicle and nearly ran over Officer Dave Punt. Punt fired nine shots, causing the vehicle to crash and fatally killing Brawley.</t>
  </si>
  <si>
    <t>http://missoulian.com/news/state-and-regional/billings-man-shot-killed-after-hitting-police-officer-with-patrol/article_aa79dfb2-58d5-11e2-b4eb-001a4bcf887a.html</t>
  </si>
  <si>
    <t>Spencer Rollins Mims III</t>
  </si>
  <si>
    <t>https://i0.wp.com/mi-cache.legacy.com/usercontent/guestbook/photos/2013-01/2013-01-11/68009996.jpgx?w=400&amp;h=335&amp;option=1</t>
  </si>
  <si>
    <t>28210</t>
  </si>
  <si>
    <t>Officers responded to a report from Mims stating that he was having trouble with his son. When officers arrived at his home, they found Mims holding a box-cutter to his own throat. An officer fired a stun gun intending to prevent Mims from harming himself. Mims instead lunged at the officers with the box cutter. An officer shot Mims at least once. Mims died at a local hospital.</t>
  </si>
  <si>
    <t>http://www.newsrt.us/news/police-shoot-kill-man-in-south-charlotte-858122.html</t>
  </si>
  <si>
    <t>Jeremy Rucinski</t>
  </si>
  <si>
    <t>Independence Charter Township</t>
  </si>
  <si>
    <t>48348</t>
  </si>
  <si>
    <t>Oakland County Sheriff's Office</t>
  </si>
  <si>
    <t>Poice responded to a 911 call from the homeowner that her live-in boyfriend had threatened her with a switchblade. She also stated that Rucinski had been agitated for days and was on medication. Arriving on the scene the two deputies found the suspect in the garage where he allegedly threatened them. One deputy tasered the suspect, when it did not stop him, the other deputy shot him once in the chest.</t>
  </si>
  <si>
    <t>http://www.theoaklandpress.com/general-news/20130107/deputy-shoots-kills-independence-township-man-armed-with-knife</t>
  </si>
  <si>
    <t>Daniel Autenrieth</t>
  </si>
  <si>
    <t>http://blog.lehighvalleylive.com/nazareth_impact/2009/06/large_daniel-autenrieth-horiz.jpg</t>
  </si>
  <si>
    <t>Route 611</t>
  </si>
  <si>
    <t>Coolbaugh Township</t>
  </si>
  <si>
    <t>18466</t>
  </si>
  <si>
    <t>Pennsylvania State Police, Nazareth Police Department, Tatamy Police Department</t>
  </si>
  <si>
    <t>Officers responded to a report that the suspect had abducted his 9-year-old son and was armed. A 40 mile chase ended following unspecified police intervention. Officers and the suspect exchanged gunfire which killed one officer and the suspect.</t>
  </si>
  <si>
    <t>http://www.lehighvalleylive.com/nazareth/index.ssf/2009/06/trooper_joshua_miller_describe.html</t>
  </si>
  <si>
    <t>David Compton</t>
  </si>
  <si>
    <t>http://media.nbcbayarea.com/images/David+Compton.jpg</t>
  </si>
  <si>
    <t>262 Stanford Avenue</t>
  </si>
  <si>
    <t>Wenonah</t>
  </si>
  <si>
    <t>08090</t>
  </si>
  <si>
    <t>Gloucester</t>
  </si>
  <si>
    <t>Deptford Township Police Department</t>
  </si>
  <si>
    <t>David Compton was shot in the head inside the home of Deptford Officer James Stuart, 29, in what was called at the time a tragic accident. Compton was taken to Cooper Medical Center in Camden, NJ, and died of his wounds. Stuart was charged with first-degree murder, pleaded not guilty, a trial could begin in April 2015.</t>
  </si>
  <si>
    <t>http://philadelphia.cbslocal.com/2013/01/11/deptford-cop-charged-with-first-degree-murder-in-jan-5th-shooting-incident/</t>
  </si>
  <si>
    <t>Chuckie Stowers</t>
  </si>
  <si>
    <t>N. 51st Ave and W. Indian School Rd.</t>
  </si>
  <si>
    <t>A Wal-Mart store employee observed Stowers opening packages with a knife. Stowers removed a pistol BB gun from one package and stuck it in his waistband. Police were called and confronted Stowers, who pulled the BB pistol from his pants and pointed it at officers. Several officers opened fire and Stowers was shot.</t>
  </si>
  <si>
    <t>http://blogs.phoenixnewtimes.com/valleyfever/2013/01/phoenix_pd_fatally_shoots_man.php</t>
  </si>
  <si>
    <t>Sonny Archuleta</t>
  </si>
  <si>
    <t>http://cbsdenver.files.wordpress.com/2013/01/sonny-archuleta.jpg</t>
  </si>
  <si>
    <t>16098 East Ithaca Place</t>
  </si>
  <si>
    <t>Officers responded to a report of multiple homicides. A woman had escaped from a home and called police after discovering that three people in the home appeared to be dead. A six-hour standoff ensued with the home surrounded by SWAT officers. A man in the home was killed when he shot at police.</t>
  </si>
  <si>
    <t>http://denver.cbslocal.com/2013/01/06/officer-told-neighbor-standoff-gunman-was-on-meth-binge/</t>
  </si>
  <si>
    <t>Bernard Rowley</t>
  </si>
  <si>
    <t>http://thedailynews.cc/2013/01/08/out-of-character-family-searching-for-answers-after-shootout/</t>
  </si>
  <si>
    <t>M-44 and Hawley Highway</t>
  </si>
  <si>
    <t>Belding</t>
  </si>
  <si>
    <t>48809</t>
  </si>
  <si>
    <t>Belding Police Department</t>
  </si>
  <si>
    <t>Suspect allegedly fired shots from his van through the window of an empty police car outside the Belding Police Department. Officer on duty gave chase, called in State police. Low-speed chase resulted in suspect stopping, being ordered out of van, and allegedly firing on officers. Belding Officer Jason Cooper cleared of wrongdoing. Suspect "not intentionally violent" according to family.</t>
  </si>
  <si>
    <t>http://www.mlive.com/news/grand-rapids/index.ssf/2013/02/belding_police_officer_who_sho.html</t>
  </si>
  <si>
    <t>Theodore Keiper</t>
  </si>
  <si>
    <t>https://scontent-sea.xx.fbcdn.net/hphotos-xap1/v/t1.0-9/1425725_316489791827182_402222712_n.jpg?oh=31a6068a763d5c068097fe1f185b6f4c&amp;oe=55E00BDB</t>
  </si>
  <si>
    <t>5504 Padre Juan Canyon Rd</t>
  </si>
  <si>
    <t>Suspect was observed riding a motorcycle, speeding on the southbound side of old Pacific Coast Highway. Officers pursued Keiper onto Hobson Road and then Padre Juan Canyon Road, where he crashed down an embankment. California Highway Patrol Officers Michael Trenery and Frank Paramo feared for their lives, and shot Keiper. Shooting was ruled justified.</t>
  </si>
  <si>
    <t>http://www.vcstar.com/news/police-replica-gun-found-at-scene-of-officer-chp</t>
  </si>
  <si>
    <t>Joel Byne</t>
  </si>
  <si>
    <t>http://media2.abc15.com//photo/2013/01/06/KNXV_Joel_Byne_20130106165926_640_480.JPG</t>
  </si>
  <si>
    <t>15000 W. Aster Drive</t>
  </si>
  <si>
    <t>Surprise</t>
  </si>
  <si>
    <t>85379</t>
  </si>
  <si>
    <t>Surprise Police Department</t>
  </si>
  <si>
    <t>Police responded to a report of a man threatening suicide with a gun. Byne made comments that he was going to get police to shoot him. Police attempted to negotiate with Byne and use less lethal means to stop him from shooting himself, but were unsuccessful. At some point during negotiations, Byne was shot by police and later died at hospital.</t>
  </si>
  <si>
    <t>http://www.azcentral.com/community/surprise/articles/20130105man-shot-altercation-surprise-police.html?nclick_check=1</t>
  </si>
  <si>
    <t>Xavier Tyrell Johnson</t>
  </si>
  <si>
    <t>SW 56th Street and 117th Avenue</t>
  </si>
  <si>
    <t>Westwood Lakes</t>
  </si>
  <si>
    <t>Yolanda Thomas and Xavier Tyrell Johnson had just allegedly stolen from a drugstore and fled in a vehicle, with Thomas driving, but lost control of the car and crashed into a median barricade. Apparently unarmed Thomas tried to flee, which police interpreted as threatening, and both were shot to death.</t>
  </si>
  <si>
    <t>Yolanda Thomas</t>
  </si>
  <si>
    <t>http://miami.cbslocal.com/2013/01/07/family-of-man-killed-in-police-involved-shooting-demands-answers/</t>
  </si>
  <si>
    <t>Darrell Banks</t>
  </si>
  <si>
    <t>Plain clothes officers in an alley were investigating an armed home invasion when they spotted a man who matched the suspect's description. The man fled. Police report they fatally shot him when he pointed an object at them. No weapons were recovered at the scene. Family members report Banks was walking home from a birthday party.</t>
  </si>
  <si>
    <t>http://www.nbcphiladelphia.com/news/local/Family-Outraged-After-Police-Shoot-Kill-Man-in-North-Philly-185826572.html; https://www.paed.uscourts.gov/documents/opinions/15D0726P.pdf</t>
  </si>
  <si>
    <t>Joseph Blake Powell</t>
  </si>
  <si>
    <t>http://wbbh.images.worldnow.com/images/20501310_BG3.jpg</t>
  </si>
  <si>
    <t>US-41 and Alico Road</t>
  </si>
  <si>
    <t>Fort Myers</t>
  </si>
  <si>
    <t>33908</t>
  </si>
  <si>
    <t>http://www.nbc-2.com/story/20501310/2013/01/04/1-dead-after-deputy-involved-shooting; http://www.sheriffleefl.org/main/index.php?r=news/index&amp;id=11648</t>
  </si>
  <si>
    <t>Barry Cloninger</t>
  </si>
  <si>
    <t>http://altondailynews.interactivemediapartners.net/shared/inc/client/17/articles/images/1081342834-BarryCloninger.JPG</t>
  </si>
  <si>
    <t>Edwardsville</t>
  </si>
  <si>
    <t>62025</t>
  </si>
  <si>
    <t>http://www.stltoday.com/news/local/crime-and-courts/widow-sues-madison-county-deputy-sheriff-who-shot-her-husband/article_2c67e04f-5acb-5007-8035-ce4638d5420e.html</t>
  </si>
  <si>
    <t>Seth W. O'Donnell</t>
  </si>
  <si>
    <t>http://cbspittsburgh.files.wordpress.com/2012/02/sethodonnell.jpg?w=420&amp;h=316&amp;crop=1</t>
  </si>
  <si>
    <t>819 Cross Roads Plaza</t>
  </si>
  <si>
    <t>Mt. Pleasant</t>
  </si>
  <si>
    <t>15666</t>
  </si>
  <si>
    <t>O'Donnell was well known to police for prior assaults. State troopers were called to a grocery store for O'Donnell's disturbing behavior and attempted to Taser him into submission. After assaulting and wounding a trooper with a pair of scissors, he was shot multiple times, ran out the front door, and collapsed in the parking lot.</t>
  </si>
  <si>
    <t>http://www.post-gazette.com/local/westmoreland/2013/01/05/Man-killed-by-Pennsylvania-State-Police-had-crazed-look/stories/201301050308; http://triblive.com/news/adminpage/3725729-74/cope-donnell-store#axzz3nGfNl2an</t>
  </si>
  <si>
    <t>Peter Jourdan</t>
  </si>
  <si>
    <t>Fort Hamilton Parkway &amp; 62nd Street</t>
  </si>
  <si>
    <t>11219</t>
  </si>
  <si>
    <t>NYPD plainclothes transit police approached Jourdan after seeing him move from one subway car to another, a violation. Jourdan responded by pulling a 9mm pistol and firing on both officers, wounding one seriously. The other returned fire and shot Jourdan to death. He'd had significant mental health issues and an extensive arrest record, unknown to the officers.</t>
  </si>
  <si>
    <t>http://articles.mcall.com/2013-01-04/news/mc-c-allentown-gunman-killed-on-ny-subway-20130104_1_lukasz-kozicki-officer-michael-levay-allentown-man; http://www.foxnews.com/us/2013/01/04/3-nypd-officers-shot-in-one-hour-span-in-separate-incidents/</t>
  </si>
  <si>
    <t>Hunter Jacob Todd</t>
  </si>
  <si>
    <t>http://ak-cache.legacy.net/legacy/Images/Cobrands/DignityMemorial/Photos/59c43772-643e-42c2-b704-fdffa91a9e43.jpg</t>
  </si>
  <si>
    <t>Police responded to a report of a possible car burglary at the Glen Alta Way and Debbie Ann Court intersection in Citrus Heights. On arriving the first officer on the scene saw a man matching suspect's description and ordered him to show his hands. Suspect allegedly refused officer's commands and "was aggressively reaching for something" causing the officer to "fear for his life" and shoot the suspect. Suspect's alleged accomplice, Richard Martin Duran, was arrested on the scene.</t>
  </si>
  <si>
    <t>http://www.news10.net/news/article/224031/2/Investigation-continues-into-officer-involved-shooting</t>
  </si>
  <si>
    <t>Kenneth Morrow</t>
  </si>
  <si>
    <t>259 High Bridge Rd</t>
  </si>
  <si>
    <t>Ormond Beach</t>
  </si>
  <si>
    <t>32174</t>
  </si>
  <si>
    <t>Deputies discovered a suicidal Morrow and his parked motorcycle on a remote road. As they approached he held a handgun to his own head and threatened to shoot. After hours of negotiations and text messages back and forth Morrow advanced on the police in a threatening way, and they shot him to death.</t>
  </si>
  <si>
    <t>http://www.clickorlando.com/news/Deputies-shoot-kill-armed-man-near-Ormond-Beach/17990842</t>
  </si>
  <si>
    <t>Tyree Bell</t>
  </si>
  <si>
    <t>http://content.omaha.com/media/maps/ps/2013/jan/bell.jpg</t>
  </si>
  <si>
    <t>3727 N. 42nd St.</t>
  </si>
  <si>
    <t>68111</t>
  </si>
  <si>
    <t>Omaha Police Department responded to a 911 domestic disturbance call around 2am which indicated that the suspect had a shotgun. Suspect's girlfriend left the house when police arrived but two children, suspects son and daughter were still inside. Daughter later was freed, but suspect allegedly used 3-year-old son as a shield multiple times when pointing shotgun at officers. Suspect threatened officers and made suicidal statements. Around 6:30am suspect put his son back in the house and came back out with shotgun and rifle, and was shot multiple times by four officers. Suspect had criminal history and mental issues. One gun was later found to be a pellet gun, and the other was unloaded.</t>
  </si>
  <si>
    <t>http://www.ketv.com/news/Police-chief-details-officer-involved-shooting/17983680; http://www.omaha.com/news/omaha-police-chief-describes-dead-suspect-as-suicidal-mentally-ill/article_d0d3c6c8-701a-51ab-85c1-738e06e9f5a8.html</t>
  </si>
  <si>
    <t>Abel Gurrola</t>
  </si>
  <si>
    <t>http://www.bakersfieldnow.com/news/local/A-26-year-old-man-shot-by-police-is-in-critical-condition-185383592.html</t>
  </si>
  <si>
    <t>720 Terrace Way</t>
  </si>
  <si>
    <t>Officers responded to reports of gunshots at an apartment complex and allegedly saw Abel Gurrola carrying a rifle. Family members state that Abel Gurrola and his brother were shooting the rifle in a nearby empty lot to celebrate the New Year but did nothing to warrant being shot. Officers ordered him to drop the gun, but he refused and ran. Officers were found to be within department policy and state and federal guidelines. Family has filed wrongful death suit. Gurrola left behind a wife and six young children.</t>
  </si>
  <si>
    <t>http://www.bakersfieldcalifornian.com/local/breaking-news/x837004059/Review-Board-Officers-actions-within-department-policy-in-fatal-Jan-1-shooting</t>
  </si>
  <si>
    <t>Mark Chavez</t>
  </si>
  <si>
    <t>912 Loma Linda Ave.</t>
  </si>
  <si>
    <t>An officer responded to a report by Chavez that he had killed a woman. Chavez aggressively approached the officer with a blunt impact weapon. The officer used a Taser, which was ineffective. The officer then shot Chavez in the leg and torso. Chavez died at a local hospital. Investigators could not find evidence of a woman having been killed and suspect that Chavez made the call to lure police to his residence.</t>
  </si>
  <si>
    <t>http://www.daily-times.com/farmington-news/ci_22299125/farmington-officer-who-shot-killed-man-has-history?source=email</t>
  </si>
  <si>
    <t>Christopher Tavares</t>
  </si>
  <si>
    <t>http://www.krdo.com/image/view/-/17980228/medRes/1/-/nq7qay/-/Man-Killed-After-Shooting-Pueblo-Police-Officer.jpg</t>
  </si>
  <si>
    <t>Highway 50 and North Elizabeth Street</t>
  </si>
  <si>
    <t>81008</t>
  </si>
  <si>
    <t>Christopher was with two others in a car. Pueblo police officers attempted to pull them over after reports of gunshots in the area. They did not pull over to the side of the road, but then crashed the car. All three fled on foot. Christopher shot at the officers after getting out of the car, and struck one of them in the shoulder. They found his about an hour later and he did not cooperate with the officers. Police said Tavares was shot and killed after he refused to listen to a detective's commands and tried to flee.</t>
  </si>
  <si>
    <t>http://www.krdo.com/news/Pueblo-Police-shoot-kill-man-suspected-of-shooting-officer/17963954</t>
  </si>
  <si>
    <t>Andrew L. Closson</t>
  </si>
  <si>
    <t>http://www.superiortelegram.com/sites/default/files/styles/full_1000/public/fieldimages/30/obits/1205/andrewclosson.jpg?itok=UeptfkX5</t>
  </si>
  <si>
    <t>U.S. Highway 53</t>
  </si>
  <si>
    <t>54838</t>
  </si>
  <si>
    <t>Deputies responded to a 911 call of shots fired in the suspect's home. They set up a perimeter, however the suspect was able to escape through the back of the house. Lt. Christopher Hoyt, driving to the scene, saw a man hitchhiking on the northbound shoulder of U.S. Highway 53 just north of Gordon. Hoyt turned on lights, exited the vehicle, drew his weapon, and demanded suspect show his hands. Andrew Closson allegedly raised a long gun by his leg, pointing it at the deputy. Hoyt shot three times, killing Closson. Shooting was deemed justified by Douglas County District Attorney Dan Blank.</t>
  </si>
  <si>
    <t>http://www.superiortelegram.com/content/deputy-cleared-new-years-shooting</t>
  </si>
  <si>
    <t>Andrew Layton</t>
  </si>
  <si>
    <t>http://bloximages.chicago2.vip.townnews.com/mankatofreepress.com/content/tncms/assets/v3/editorial/b/b8/bb88d269-74de-5761-bb54-ed38bbea3b58/54055cc8c004e.image.jpg</t>
  </si>
  <si>
    <t>410 S Riverfront Drive</t>
  </si>
  <si>
    <t>56001</t>
  </si>
  <si>
    <t>Blue Earth</t>
  </si>
  <si>
    <t>Mankato Department of Public Safety</t>
  </si>
  <si>
    <t>Former combat medic Layton was found unconscious at 4:45 a.m. on New Year's Day in the entryway of a grocery store. Combative and resistive to officers rousing him, he was tasered twice, which stopped his heart. He was revived but lapsed into coma and died five days later. Friends held that he'd been injured in a fight; police refused to be open about details.</t>
  </si>
  <si>
    <t>http://www.tmcnet.com/usubmit/2013/02/21/6938855.htm; http://www.mankatofreepress.com/news/local_news/north-mankato-man-tasered-by-police-before-death-mankato-city/article_a7b201ba-6abe-5ed4-8fb6-2dd122f64c80.html</t>
  </si>
  <si>
    <t>Deaunte Lamar Bell</t>
  </si>
  <si>
    <t>http://www.dispatch.com/content/stories/local/2015/10/29/Officer-involved-shooting.html</t>
  </si>
  <si>
    <t>Jerry Michael Graham Jr.</t>
  </si>
  <si>
    <t>http://www.news4jax.com/news/policeinvolved-shooting-in-east-arlington/36098444</t>
  </si>
  <si>
    <t>200 Century St</t>
  </si>
  <si>
    <t>Tyrie Cuyler</t>
  </si>
  <si>
    <t>http://www.wtoc.com/story/30372168/gbi-releases-new-details-on-officer-involved-shooting-in-savannah</t>
  </si>
  <si>
    <t>37th St Connector and Ogeechee Rd</t>
  </si>
  <si>
    <t>Anthony Ashford</t>
  </si>
  <si>
    <t>http://www.nbcsandiego.com/news/local/San-Diego-Harbor-Police-Shooting-Fatal-Officer-Involved-337915742.html</t>
  </si>
  <si>
    <t>4800 N Harbor Dr</t>
  </si>
  <si>
    <t>San Diego Harbor Police Department</t>
  </si>
  <si>
    <t>Marquesha McMillan</t>
  </si>
  <si>
    <t>http://www.nbcwashington.com/news/local/1-Injured-in-NW-DC-Shooting-337103121.html</t>
  </si>
  <si>
    <t>7700 Georgia Ave NW</t>
  </si>
  <si>
    <t>Kobvey Igbuhay</t>
  </si>
  <si>
    <t>http://www.tampabay.com/news/publicsafety/crime/one-suspect-shot-two-in-custody-and-tampa-police-hunting-for-a-fourth/2251265</t>
  </si>
  <si>
    <t>Kevin T. Brunson</t>
  </si>
  <si>
    <t>http://www.fredericknewspost.com/news/crime_and_justice/cops_and_crime/maryland-state-trooper-involved-in-shooting-at-east-patrick-street/article_f815b31a-5e20-5a00-9136-c0a71d2c7be7.html</t>
  </si>
  <si>
    <t>1300 E Patrick St</t>
  </si>
  <si>
    <t>Rolly Thomas</t>
  </si>
  <si>
    <t>1518 NE 43rd Ln</t>
  </si>
  <si>
    <t>Dominic Hutchinson</t>
  </si>
  <si>
    <t>http://www.desertsun.com/story/news/crime_courts/2015/10/25/cathedral-city-officer-shooting/74582286/</t>
  </si>
  <si>
    <t>68200 33rd Ave</t>
  </si>
  <si>
    <t>Cathedral City</t>
  </si>
  <si>
    <t>Cathedral City Police Department</t>
  </si>
  <si>
    <t>Charles A. Pettit</t>
  </si>
  <si>
    <t>http://newsok.com/article/5456285</t>
  </si>
  <si>
    <t>6420 Southeast 15th Street</t>
  </si>
  <si>
    <t>Adriene Jamarr Ludd</t>
  </si>
  <si>
    <t>Carmichael</t>
  </si>
  <si>
    <t>Lawrence Green</t>
  </si>
  <si>
    <t>451 Clyde Fant Pkwy</t>
  </si>
  <si>
    <t>Lamontez Jones</t>
  </si>
  <si>
    <t>6th Ave and F St</t>
  </si>
  <si>
    <t>Corey Jones</t>
  </si>
  <si>
    <t>Dequan L. Williams</t>
  </si>
  <si>
    <t>York Police Department</t>
  </si>
  <si>
    <t>Rayshaun Cole</t>
  </si>
  <si>
    <t>http://www.sandiegouniontribune.com/news/2015/oct/17/chula-vista-shooting/</t>
  </si>
  <si>
    <t>1310 Santa Rita E</t>
  </si>
  <si>
    <t>Paterson Brown Jr.</t>
  </si>
  <si>
    <t>http://www.richmond.com/news/local/chesterfield/article_c725c915-9977-5246-be48-5a2b51f13953.html</t>
  </si>
  <si>
    <t>7559 Midlothian Turnpike</t>
  </si>
  <si>
    <t>Ricky Javenta Ball</t>
  </si>
  <si>
    <t>21st St N &amp; 15th Ave N</t>
  </si>
  <si>
    <t>Kaleb Alexander</t>
  </si>
  <si>
    <t>2660 Noe Bixby Rd</t>
  </si>
  <si>
    <t>Martin Ryans</t>
  </si>
  <si>
    <t>http://abc13.com/news/one-dead-in-officer-involved-shooting-in-nw-houston/1035019/</t>
  </si>
  <si>
    <t>7844 W Tidwell Rd</t>
  </si>
  <si>
    <t>Leslie Portis</t>
  </si>
  <si>
    <t>Evergreen</t>
  </si>
  <si>
    <t>Conecuh County Sheriff's Office, Alabama Department of Public Safety</t>
  </si>
  <si>
    <t>Bernard Brandon Powers</t>
  </si>
  <si>
    <t>Jason Day</t>
  </si>
  <si>
    <t>Mario Martinez</t>
  </si>
  <si>
    <t>http://crimeblog.dallasnews.com/2015/10/gunman-killed-by-police-after-overnight-chase-standoff-in-mesquite.html/</t>
  </si>
  <si>
    <t>N Town E Blvd and I-635</t>
  </si>
  <si>
    <t>Omar Miguel Lopez</t>
  </si>
  <si>
    <t>Southeastern Pennsylvania Transportation Authority Police Department</t>
  </si>
  <si>
    <t>Juan Eliseo Ulloa</t>
  </si>
  <si>
    <t>http://www.pe.com/articles/riverside-784400-officers-stop.html</t>
  </si>
  <si>
    <t>E La Cadena Dr and Iowa Ave</t>
  </si>
  <si>
    <t>Miguel Angel Marin Galena</t>
  </si>
  <si>
    <t>200 East First Street</t>
  </si>
  <si>
    <t>Calexico</t>
  </si>
  <si>
    <t>Ryan Rodriguez</t>
  </si>
  <si>
    <t>Joel Lopes</t>
  </si>
  <si>
    <t>http://krqe.com/2015/10/20/police-officer-involved-in-shooting-at-elephant-butte/</t>
  </si>
  <si>
    <t>Truth or Consequences</t>
  </si>
  <si>
    <t>Sierra County Sheriff's Office</t>
  </si>
  <si>
    <t>Silviano Ortiz</t>
  </si>
  <si>
    <t>Gino Paredes</t>
  </si>
  <si>
    <t>4000 E Briggsmore Ave</t>
  </si>
  <si>
    <t>Johnny Angel Rangel</t>
  </si>
  <si>
    <t>Herbert Benitez</t>
  </si>
  <si>
    <t>Market St and 8th St</t>
  </si>
  <si>
    <t>Jorge Santiago Tapia</t>
  </si>
  <si>
    <t>http://www.miamiherald.com/news/local/community/miami-dade/article39262830.html</t>
  </si>
  <si>
    <t>SW 137th Ave and SW 280th St</t>
  </si>
  <si>
    <t>Samuel Villarreal</t>
  </si>
  <si>
    <t>Robert Humberto Medellin</t>
  </si>
  <si>
    <t>http://www.oaoa.com/news/article_56304b5e-70eb-11e5-b3b8-73e54f868fb5.html</t>
  </si>
  <si>
    <t>Ector County Sheriff's Office</t>
  </si>
  <si>
    <t>Joe Pasquez Ortiz</t>
  </si>
  <si>
    <t>http://www.sbsun.com/general-news/20151011/san-bernardino-police-officer-fatally-shoots-suspect</t>
  </si>
  <si>
    <t>Unknown name</t>
  </si>
  <si>
    <t>http://www.muskogeephoenix.com/news/man-dead-after-cherokee-county-deputy-forced-to-shoot-him/article_3f61699f-87c3-5576-ac6c-47ec84673edb.html</t>
  </si>
  <si>
    <t>http://www.click2houston.com/news/breaking-3-shot-in-northwest-harris-county-life-flight-on-scene/36144374</t>
  </si>
  <si>
    <t>Larry Busby</t>
  </si>
  <si>
    <t>Jon Ployhar</t>
  </si>
  <si>
    <t>Stephen H. Brock</t>
  </si>
  <si>
    <t>1138 Nealy Creek Rd</t>
  </si>
  <si>
    <t>Pine Top</t>
  </si>
  <si>
    <t>Mario Perdigone</t>
  </si>
  <si>
    <t>http://www.kristv.com/story/30317738/man-dies-in-corpus-christi-pd-custody</t>
  </si>
  <si>
    <t>Leopard St</t>
  </si>
  <si>
    <t>400 W 111th St</t>
  </si>
  <si>
    <t>Jason Foreman</t>
  </si>
  <si>
    <t>http://www.ajc.com/news/news/crime-law/gbi-murder-suspect-believed-killed-by-hall-county-/nn5PY/</t>
  </si>
  <si>
    <t>Jarek Kozlowski</t>
  </si>
  <si>
    <t>http://www.rgj.com/story/news/crime/2015/10/17/police-gardnerville-man-killed-mother-dies-hospital/74121444/</t>
  </si>
  <si>
    <t>http://www.houstonchronicle.com/news/houston-texas/houston/article/Police-fatally-shoot-man-barricaded-in-house-6575018.php</t>
  </si>
  <si>
    <t>900 Panama St</t>
  </si>
  <si>
    <t>Michael Clark</t>
  </si>
  <si>
    <t>3 Geary Plaza</t>
  </si>
  <si>
    <t>Anthony L. Aguilar Sr.</t>
  </si>
  <si>
    <t>Lisle</t>
  </si>
  <si>
    <t>Lisle Police Department</t>
  </si>
  <si>
    <t>Margaret Wagner</t>
  </si>
  <si>
    <t>http://www.pe.com/articles/shooting-782957-information-officer.html</t>
  </si>
  <si>
    <t>Aguanga</t>
  </si>
  <si>
    <t>Noah Jacob Harpham</t>
  </si>
  <si>
    <t>Floyd Ray Cook</t>
  </si>
  <si>
    <t>6800 KY-61</t>
  </si>
  <si>
    <t>Burkesville</t>
  </si>
  <si>
    <t>Kentucky State Police, United States Marshals Service</t>
  </si>
  <si>
    <t>Andrew G. Dehart</t>
  </si>
  <si>
    <t>http://www.kgw.com/story/news/local/2015/10/29/police-chase-hwy-26-ends-crash-man-hospitalized/74787522/</t>
  </si>
  <si>
    <t>Dennis L. Edwards Tunnel</t>
  </si>
  <si>
    <t>Forest Grove</t>
  </si>
  <si>
    <t>Allen Quintez Swader</t>
  </si>
  <si>
    <t>Ricky Keith Keeton</t>
  </si>
  <si>
    <t>http://www.clarionledger.com/story/news/2015/10/28/fatal-deputy-involved-shooting-monroe-county/74730994/</t>
  </si>
  <si>
    <t>60021 Sizemore Rd</t>
  </si>
  <si>
    <t>Smithville</t>
  </si>
  <si>
    <t>Jasper Levi Adams</t>
  </si>
  <si>
    <t>http://www.statesmanjournal.com/story/news/crime/2015/10/28/-5-southbound-traffic-detourced-kuebler/74775822/</t>
  </si>
  <si>
    <t>John Harley Turner</t>
  </si>
  <si>
    <t>http://www.11alive.com/story/news/local/2015/10/24/two-deputies-shot-pickens-county/74569260/</t>
  </si>
  <si>
    <t>1600 Carver Mill Rd</t>
  </si>
  <si>
    <t>Talking Rock</t>
  </si>
  <si>
    <t>Arthur W. West Jr.</t>
  </si>
  <si>
    <t>http://www.zanesvilletimesrecorder.com/story/news/crime/2015/10/25/sheriff-one-dead-officer-involved-shooting/74581242/</t>
  </si>
  <si>
    <t>2800 Pinkerton Ln</t>
  </si>
  <si>
    <t>Zanesville</t>
  </si>
  <si>
    <t>Muskingum County Sheriff's Office</t>
  </si>
  <si>
    <t>Darren Myron Fude</t>
  </si>
  <si>
    <t>6107 236th Ave</t>
  </si>
  <si>
    <t>Timothy Richard Arnold</t>
  </si>
  <si>
    <t>1400 Hidden Valley Dr SE</t>
  </si>
  <si>
    <t>Kentwood</t>
  </si>
  <si>
    <t>Kentwood Police Department</t>
  </si>
  <si>
    <t>Jonathan Tyler Gossman</t>
  </si>
  <si>
    <t>3200 Ravenwood Terrace NW</t>
  </si>
  <si>
    <t>Cedar Rapids</t>
  </si>
  <si>
    <t>Cedar Rapids Police Department</t>
  </si>
  <si>
    <t>Darien Greenwood</t>
  </si>
  <si>
    <t>Mandeville</t>
  </si>
  <si>
    <t>Kenneth Darryl Schick</t>
  </si>
  <si>
    <t>http://www.osagecountyonline.com/archives/18642</t>
  </si>
  <si>
    <t>11651 S Jordan Rd</t>
  </si>
  <si>
    <t>Wakarusa</t>
  </si>
  <si>
    <t>Roger D. Hall</t>
  </si>
  <si>
    <t>Jeffersontown Police Department</t>
  </si>
  <si>
    <t>Danny Leroy Hammond</t>
  </si>
  <si>
    <t>http://www.startribune.com/Security-guard-fatally-shot-in-St.-Cloud-Hospital/333868281/</t>
  </si>
  <si>
    <t>Krikor Ekizian</t>
  </si>
  <si>
    <t>Linda Lee Lush</t>
  </si>
  <si>
    <t>Michael Brennan</t>
  </si>
  <si>
    <t>Robert Burgess</t>
  </si>
  <si>
    <t>11500 NE 120th St</t>
  </si>
  <si>
    <t>Kirkland</t>
  </si>
  <si>
    <t>Kirkland Police Department</t>
  </si>
  <si>
    <t>Brent Andrew Brannon</t>
  </si>
  <si>
    <t>Emerson Police Department</t>
  </si>
  <si>
    <t>Michelle Marie Burg</t>
  </si>
  <si>
    <t>http://www.abc-7.com/story/30262286/ccso-suspect-dies-after-deputy-involved-shooting</t>
  </si>
  <si>
    <t>Tamiami Trail East</t>
  </si>
  <si>
    <t>Naples</t>
  </si>
  <si>
    <t>Collier County Sheriff's Office</t>
  </si>
  <si>
    <t>Rudolph Smith</t>
  </si>
  <si>
    <t>Brookhaven</t>
  </si>
  <si>
    <t>Brookhaven Police Department</t>
  </si>
  <si>
    <t>William Daniel Combs</t>
  </si>
  <si>
    <t>Pinon Hills</t>
  </si>
  <si>
    <t>Christopher Whitmarsh</t>
  </si>
  <si>
    <t>Balch St</t>
  </si>
  <si>
    <t>Beverly Police Department</t>
  </si>
  <si>
    <t>http://www.killedbypolice.net/victims/150906.jpg</t>
  </si>
  <si>
    <t>http://www.killedbypolice.net/victims/150898.jpg</t>
  </si>
  <si>
    <t>http://www.killedbypolice.net/victims/150899.jpg</t>
  </si>
  <si>
    <t>http://www.killedbypolice.net/victims/150920.jpg</t>
  </si>
  <si>
    <t>http://www.killedbypolice.net/victims/150929.jpg</t>
  </si>
  <si>
    <t>http://www.killedbypolice.net/victims/150944.jpg</t>
  </si>
  <si>
    <t>http://www.killedbypolice.net/victims/150951.jpg</t>
  </si>
  <si>
    <t>http://www.killedbypolice.net/victims/150914.jpg</t>
  </si>
  <si>
    <t>http://www.killedbypolice.net/victims/150994.jpg</t>
  </si>
  <si>
    <t>http://www.killedbypolice.net/victims/150990.jpg</t>
  </si>
  <si>
    <t>http://www.killedbypolice.net/victims/150986.jpg</t>
  </si>
  <si>
    <t>http://www.killedbypolice.net/victims/150982.jpg</t>
  </si>
  <si>
    <t>http://www.killedbypolice.net/victims/150985.jpg</t>
  </si>
  <si>
    <t>http://www.killedbypolice.net/victims/150970.jpg</t>
  </si>
  <si>
    <t>http://www.killedbypolice.net/victims/150971.jpg</t>
  </si>
  <si>
    <t>http://www.killedbypolice.net/victims/150963.jpg</t>
  </si>
  <si>
    <t>http://www.killedbypolice.net/victims/150957.jpg</t>
  </si>
  <si>
    <t>http://www.killedbypolice.net/victims/150956.jpg</t>
  </si>
  <si>
    <t>http://www.killedbypolice.net/victims/150958.jpg</t>
  </si>
  <si>
    <t>http://www.killedbypolice.net/victims/150953.jpg</t>
  </si>
  <si>
    <t>http://www.killedbypolice.net/victims/150949.jpg</t>
  </si>
  <si>
    <t>http://www.killedbypolice.net/victims/150950.jpg</t>
  </si>
  <si>
    <t>http://www.killedbypolice.net/victims/150931.jpg</t>
  </si>
  <si>
    <t>http://www.killedbypolice.net/victims/150932.jpg</t>
  </si>
  <si>
    <t>http://www.killedbypolice.net/victims/150934.jpg</t>
  </si>
  <si>
    <t>http://www.killedbypolice.net/victims/150923.jpg</t>
  </si>
  <si>
    <t>http://www.killedbypolice.net/victims/150924.jpg</t>
  </si>
  <si>
    <t>http://www.killedbypolice.net/victims/150922.jpg</t>
  </si>
  <si>
    <t>http://www.killedbypolice.net/victims/150915.jpg</t>
  </si>
  <si>
    <t>http://www.killedbypolice.net/victims/150913.jpg</t>
  </si>
  <si>
    <t>http://www.killedbypolice.net/victims/150955.jpg</t>
  </si>
  <si>
    <t>http://www.killedbypolice.net/victims/150960.jpg</t>
  </si>
  <si>
    <t>http://www.killedbypolice.net/victims/150959.jpg</t>
  </si>
  <si>
    <t>http://www.killedbypolice.net/victims/150976.jpg</t>
  </si>
  <si>
    <t>http://www.killedbypolice.net/victims/2797.jpg</t>
  </si>
  <si>
    <t>http://www.killedbypolice.net/victims/150916.jpg</t>
  </si>
  <si>
    <t>http://www.killedbypolice.net/victims/150937.jpg</t>
  </si>
  <si>
    <t>http://www.killedbypolice.net/victims/150930.jpg</t>
  </si>
  <si>
    <t>http://www.killedbypolice.net/victims/150943.jpg</t>
  </si>
  <si>
    <t>http://www.killedbypolice.net/victims/150947.jpg</t>
  </si>
  <si>
    <t>http://www.killedbypolice.net/victims/150988.jpg</t>
  </si>
  <si>
    <t>http://www.killedbypolice.net/victims/150984.jpg</t>
  </si>
  <si>
    <t>http://www.killedbypolice.net/victims/150983.jpg</t>
  </si>
  <si>
    <t>http://www.killedbypolice.net/victims/150981.jpg</t>
  </si>
  <si>
    <t>http://www.killedbypolice.net/victims/150977.jpg</t>
  </si>
  <si>
    <t>http://www.killedbypolice.net/victims/150979.jpg</t>
  </si>
  <si>
    <t>http://www.killedbypolice.net/victims/150969.jpg</t>
  </si>
  <si>
    <t>http://www.killedbypolice.net/victims/150972.jpg</t>
  </si>
  <si>
    <t>http://www.killedbypolice.net/victims/150968.jpg</t>
  </si>
  <si>
    <t>http://www.killedbypolice.net/victims/150965.jpg</t>
  </si>
  <si>
    <t>http://www.killedbypolice.net/victims/150964.jpg</t>
  </si>
  <si>
    <t>http://www.killedbypolice.net/victims/150954.jpg</t>
  </si>
  <si>
    <t>http://www.killedbypolice.net/victims/150948.jpg</t>
  </si>
  <si>
    <t>http://www.killedbypolice.net/victims/150945.jpg</t>
  </si>
  <si>
    <t>http://www.killedbypolice.net/victims/150946.jpg</t>
  </si>
  <si>
    <t>San Mateo Sheriff's Department</t>
  </si>
  <si>
    <t>St. Louis Park Police Department</t>
  </si>
  <si>
    <t>St. Cloud Police Department</t>
  </si>
  <si>
    <t>Comanche `</t>
  </si>
  <si>
    <t>36401</t>
  </si>
  <si>
    <t>Conecuh</t>
  </si>
  <si>
    <t>43232</t>
  </si>
  <si>
    <t>39701</t>
  </si>
  <si>
    <t>23225</t>
  </si>
  <si>
    <t>Richmond City</t>
  </si>
  <si>
    <t>17404</t>
  </si>
  <si>
    <t>95608</t>
  </si>
  <si>
    <t>Collier</t>
  </si>
  <si>
    <t>Johnson allegedly killed a former co-worker in Georgia and then drove 500 miles before police shot him in West Virginia, according to authorities. Police said Johnson got out of his car with a gun pointed at officers when they opened fire.</t>
  </si>
  <si>
    <t>Officers were executing a search warrant when Powers began shooting, police said. Deputies returned fire, killing Powers and injuring another person, according to authorities. A deputy was also injured in the exchange of gunfire.</t>
  </si>
  <si>
    <t>Officers responded to a report of a man waving a gun, police said. Police shot Day after a "brief encounter" with him, according to authorities. No additional details have been released.</t>
  </si>
  <si>
    <t>Portis barricaded himself in a house after assaulting someone in a nearby city, police said. He eventually exited the home firing at officers who returned fire and killed him, according to authorities.</t>
  </si>
  <si>
    <t>Police killed Alexander after he robbed a convenience store at gunpoint, according to authorities. The store was being watched because he had robbed it on the two previous nights. Alexander allegedly refused to drop his gun when police confronted him outside the store.</t>
  </si>
  <si>
    <t>Ball was reportedly shot several times by police after getting out of a car and fleeing an attempted traffic stop. He was said to have been a passenger in a car being driven by a woman.</t>
  </si>
  <si>
    <t>An off-duty police officer shot Brown dead after he got into the officer's car at a gas station and began driving it while the officer was waiting for it to be washed. A witness told reporters that the officer identified himself as a police officer and ordered Brown to get out of the car. The officer then opened fire when Brown made a sudden movement, according to the witness.</t>
  </si>
  <si>
    <t>Police said Williams was shot after officers arrived at a home in response to a report of a man with a knife behaving threateningly. Officers tried to subdue him with a Taser before shots were fired, according to authorities.</t>
  </si>
  <si>
    <t>Jones was shot and killed by an on-duty, plainclothes officer in an unmarked car, according to authorities. Jones had stopped on the side of the road because of car troubles, according to his family. Police said the officer approached what he thought was an abandoned car and that Jones was carrying a gun.</t>
  </si>
  <si>
    <t>Jones was causing a disturbance downtown and took off running when police approached him, according to authorities. Police shot him when he aimed a gun at them and fired a second time when he continued to point his weapon at officers, officials said. Police later said that Jones's gun was a replica.</t>
  </si>
  <si>
    <t>Deputies attempted to stop Ludd while he was driving because his car's registration was expired, according to authorities. Ludd stopped to allow a passenger to exit the car and then sped away, police said. He eventually stopped and exited his car before pointing his gun at officers, officials said.</t>
  </si>
  <si>
    <t>Police shot Green after he approached an officer with a knife and ignored commands to drop it, police said. Officers came to the area in response to reports about an armed person, according to authorities.</t>
  </si>
  <si>
    <t>Thomas allegedly shot at officers who were responding to a report of a domestic disturbance, and officers returned fire. Two other people were found in the home and were taken to hospital for treatment, according to police.</t>
  </si>
  <si>
    <t>Cuyler allegedly shot at officers after they stopped him while he was driving. Officers returned fire, killing Cuyler, police said. Two officers were hit by Cuyler's shots and have been released from the hospital after receiving treatment for their injuries, according to authorities.</t>
  </si>
  <si>
    <t>Police stopped a suspicious car with three people in it, including Bell, according to authorities. Officers shot Bell when he reached for a gun, police said.</t>
  </si>
  <si>
    <t>Bennie Lee Tignor</t>
  </si>
  <si>
    <t>http://bloximages.newyork1.vip.townnews.com/oanow.com/content/tncms/assets/v3/editorial/4/24/42460824-81ce-11e5-8788-17b5c2efa76d/563814cfd1a5a.image.jpg?resize=300%2C169</t>
  </si>
  <si>
    <t>Opelika</t>
  </si>
  <si>
    <t>36804</t>
  </si>
  <si>
    <t>Opelika Police Department</t>
  </si>
  <si>
    <t>An officer pursued Tignor after he refused to stop his car, according to authorities. The officer shot Tignor while trying to take him into custody, police said. No additional details have been released.</t>
  </si>
  <si>
    <t>http://www.ledger-enquirer.com/news/article42133281.html</t>
  </si>
  <si>
    <t>Alonzo Smith</t>
  </si>
  <si>
    <t>http://www.bet.com/news/national/2015/11/05/another-police-custody-death-alonzo-smith-dies-after-being-handcuffed-in-d-c/_jcr_content/featuredMedia/newsitemimage.newsimage.dimg/110515-national-Alonzo-Smith.jpg</t>
  </si>
  <si>
    <t>2300 Good Hope Rd SE</t>
  </si>
  <si>
    <t>Special police, Washington DC</t>
  </si>
  <si>
    <t>https://www.washingtonpost.com/local/public-safety/dc-police-investigate-death-of-man-found-unconscious-and-in-handcuffs/2015/11/04/205105a8-8317-11e5-9afb-0c971f713d0c_story.html</t>
  </si>
  <si>
    <t>James Covington Jr.</t>
  </si>
  <si>
    <t>2800 Gainesville St SE</t>
  </si>
  <si>
    <t>Prince George's County Police Department, Forest Heights Police Department</t>
  </si>
  <si>
    <t>Covington, an alleged carjacker, died after exchanging gunfire with police, according to authorities. Officers followed Covington after he assaulted a driver and stole his vehicle, police said.</t>
  </si>
  <si>
    <t>http://www.wusa9.com/story/news/local/dc/2015/11/02/police-involved-shooting-reported-southeast-dc/75070140/</t>
  </si>
  <si>
    <t>John Edward Allen</t>
  </si>
  <si>
    <t>http://www.boydmortuary.com/fh_live/14900/14906/images/obituaries/3375053_wlpp.jpg</t>
  </si>
  <si>
    <t>Drew St and Nettleton St</t>
  </si>
  <si>
    <t>77004</t>
  </si>
  <si>
    <t>Car was stopped for running a red light and a broken taillight. Officers approached, and instructions to roll down the windows were met with Allen pulling a pistol from his pocket. The officers responded with gunfire. Eyewitness accounts dispute this, and the 4-year veteran is under investigation by internal affairs.</t>
  </si>
  <si>
    <t>http://abc13.com/news/officer-shoots-kills-man-accused-of-pulling-gun-on-police/1067399/</t>
  </si>
  <si>
    <t>Delvin Tyrell Simmons</t>
  </si>
  <si>
    <t>http://whns.images.worldnow.com/images/9218557_G.jpg</t>
  </si>
  <si>
    <t>1000 Powell Mill Road</t>
  </si>
  <si>
    <t>29301</t>
  </si>
  <si>
    <t>Spartanburg Methodist College Campus Safety Department</t>
  </si>
  <si>
    <t>Campus police at Spartanburg Methodist College shot Simmons after he struck an officer with his vehicle, according to authorities. Police were investigating a report of a car break-in and were pursuing Simmons when he got in his car, police said. Officers said they took another man into custody.</t>
  </si>
  <si>
    <t>http://www.foxcarolina.com/story/30476491/spartanburg-methodist-college-burglary-suspect-talks-to-fox-carolina</t>
  </si>
  <si>
    <t>Ryan Quinn Martin</t>
  </si>
  <si>
    <t>https://blackopswiki.s3.amazonaws.com/uploads/article/avatar/498/large_avatar_ryan_quinn_martin.jpg</t>
  </si>
  <si>
    <t>Two officers working on an unrelated investigation confronted Martin when they saw he was carrying a gun, according to authorities. Martin shot one of the officers in the leg and was fatally struck when both returned fire.</t>
  </si>
  <si>
    <t>http://www.baltimoresun.com/news/maryland/baltimore-city/bs-md-ci-officer-involved-shoot-1112-20151111-story.html</t>
  </si>
  <si>
    <t>Jamar Clark</t>
  </si>
  <si>
    <t>http://a.abcnews.go.com/images/US/ap_jamar_clark_police_shooting_float_jc_151119_4x3_992.jpg</t>
  </si>
  <si>
    <t>55411</t>
  </si>
  <si>
    <t>Two police officers shot Clark when he allegedly interfered with emergency responders helping an assault victim. Activists and some witnesses claim that Clark was unarmed and handcuffed when he was shot, although police deny that he was handcuffed.</t>
  </si>
  <si>
    <t>http://www.startribune.com/police-officer-shoots-north-minneapolis-assault-suspect-during-physical-struggle/349730171/</t>
  </si>
  <si>
    <t>Demetrius Shelley Bryant</t>
  </si>
  <si>
    <t>http://wach.com/resources/media/283f8404-c162-47c2-aafc-8a93d8b6df7b-large16x9_DemtriusBryant.jpg?1447798547635</t>
  </si>
  <si>
    <t>1900 Lorick St</t>
  </si>
  <si>
    <t>Cayce</t>
  </si>
  <si>
    <t>29033</t>
  </si>
  <si>
    <t>Cayce Department of Public Safety</t>
  </si>
  <si>
    <t>Officers were attempting to arrest Bryant on drug-related charges when he fired a shot, hitting an officer, police said. Officers returned fire and killed Bryant, according to authorities. The officer was treated for his gunshot wound and is expected to recover, police said.</t>
  </si>
  <si>
    <t>http://www.wltx.com/story/news/2015/11/17/overnight-officer-involved-shooting-cayce/75914374/</t>
  </si>
  <si>
    <t>Jeray Chatham</t>
  </si>
  <si>
    <t>https://www.poncacitynow.com/8/images/media/JerayChatham.png</t>
  </si>
  <si>
    <t>Veterans Memorial Dr &amp; Blue Bell Rd</t>
  </si>
  <si>
    <t>A deputy shot Chatham after he lunged at him with a knife, police said. Chatham had allegedly been following a woman who had a protective order filed against him and drove away when the deputy approached him, according to authorities. The deputy followed Chatham to an apartment complex where he was shot, police said.</t>
  </si>
  <si>
    <t>http://newsok.com/article/5461273</t>
  </si>
  <si>
    <t>Yohans Leon</t>
  </si>
  <si>
    <t>http://www.local10.com/image/view/-/36526126/medRes/3/-/maxh/360/maxw/640/-/10fwv3w/-/Yohans-Leon-stock-mug-jpg.jpg</t>
  </si>
  <si>
    <t>W 127th Ave and SW 206th St</t>
  </si>
  <si>
    <t>Police were pursuing Leon after he robbed a fast-food restaurant at gunpoint, according to authorities. Leon was shot after he pulled out a gun, police said.</t>
  </si>
  <si>
    <t>http://www.miamiherald.com/news/local/community/miami-dade/article45170145.html</t>
  </si>
  <si>
    <t>Cornelius Brown</t>
  </si>
  <si>
    <t>http://www.fatalencounters.org/wp-content/uploads/2013/10/Cornelius-Brown-e1448418750146.jpg</t>
  </si>
  <si>
    <t>NW 135th St and Sesame St</t>
  </si>
  <si>
    <t>Opa-locka</t>
  </si>
  <si>
    <t>33054</t>
  </si>
  <si>
    <t>http://www.wsvn.com/story/30546376/police-involved-shooting-in-opa-locka-1-dead</t>
  </si>
  <si>
    <t>Marcus Deon Meridy</t>
  </si>
  <si>
    <t>http://www.homefacts.com/images/offenders/michigan/thumb/2013445.jpg</t>
  </si>
  <si>
    <t>1950 E Napier Ave</t>
  </si>
  <si>
    <t>49022</t>
  </si>
  <si>
    <t>Meridy allegedly kidnapped his wife at gunpoint from her workplace. Police tracked Meridy to a to a hotel and negotiated with him before Meridy shot his wife and a state trooper, police said. The trooper returned fire, killing Meridy, according to authorities. Meridy's wife is expected to recover and the trooper was shot in his vest.</t>
  </si>
  <si>
    <t>http://www.wndu.com/home/headlines/Police-investigating-alleged-kidnapping-at-assisted-living-facililty-351375961.html</t>
  </si>
  <si>
    <t>Randy Allen Smith</t>
  </si>
  <si>
    <t>http://www.bradenton.com/news/local/crime/hgcvb4/picture45462828/ALTERNATES/FREE_320/Randy%20Allen%20Smith.jpg</t>
  </si>
  <si>
    <t>1010 53rd Ave E</t>
  </si>
  <si>
    <t>As deputies approached a "suspicious vehicle" in a supermarket parking lot, Smith got out of the car, police said. Smith and the deputies began struggling, during which both deputies used their Tasers, according to authorities. A deputy shot Smith when he allegedly pulled out a handgun.</t>
  </si>
  <si>
    <t>http://www.bradenton.com/news/local/crime/article45451434.html</t>
  </si>
  <si>
    <t>Steve Dormil</t>
  </si>
  <si>
    <t>http://media.jrn.com/images/SteveDormil.jpg</t>
  </si>
  <si>
    <t>1045 S 27th Cir</t>
  </si>
  <si>
    <t>34947</t>
  </si>
  <si>
    <t>Fort Pierce Police Department</t>
  </si>
  <si>
    <t>Dormil attacked a 5-year-old girl and was holding a knife to her neck when officers arrived at the scene, police said. Officers shot Dormil when he ignored commands to drop the knife, according to authorities. The girl, the daughter of Dormil's girlfriend, died from her injuries.</t>
  </si>
  <si>
    <t>http://www.tcpalm.com/news/crime/st-lucie-county/girl-dies-who-was-attacked-by-man-shot-to-death-by-fort-pierce-police-24f9f1dc-6984-2441-e053-010000-352232101.html</t>
  </si>
  <si>
    <t>Nathaniel Pickett</t>
  </si>
  <si>
    <t>112 E Main St</t>
  </si>
  <si>
    <t>92311</t>
  </si>
  <si>
    <t>Pickett jumped a fence and "became uncooperative" when a deputy stopped to question him, police said. When the deputy tried to handcuff Pickett, the two began fighting and the deputy eventually fired his weapon, according to authorities.</t>
  </si>
  <si>
    <t>http://www.pe.com/articles/death-787032-altercation-deputy.html</t>
  </si>
  <si>
    <t>Darick Napper</t>
  </si>
  <si>
    <t>5300 Dix St NE</t>
  </si>
  <si>
    <t>According to police, Darick Napper, 34, was shot after he charged at a sixth-district officer with a large hunting knife. The officer fired once at Napper and hit him.</t>
  </si>
  <si>
    <t>http://www.wusa9.com/story/news/local/dc/2015/11/19/police-shooting-reported-northeast-dc/76057818/</t>
  </si>
  <si>
    <t>Richard Perkins</t>
  </si>
  <si>
    <t>http://www.killedbypolice.net/victims/151036.jpg</t>
  </si>
  <si>
    <t>International Boulevard and 55th Avenue</t>
  </si>
  <si>
    <t>According to Oakland police, officers were towing vehicles near 90th Ave. and Bancroft Ave. on Sunday evening. The officers were "approached by a subject who pointed a firearm in their direction," according to the release. The suspect was shot multiple times by officers.</t>
  </si>
  <si>
    <t>http://www.sfgate.com/bayarea/article/Hundreds-of-cars-in-early-morning-sideshow-on-6634373.php#photo-8717359</t>
  </si>
  <si>
    <t>Denver County Sheriff's Office</t>
  </si>
  <si>
    <t>DeOntre L. Dorsey</t>
  </si>
  <si>
    <t xml:space="preserve">St. Charles Parkway </t>
  </si>
  <si>
    <t>White Plains</t>
  </si>
  <si>
    <t>https://www.washingtonpost.com/local/family-asks-for-federal-review-of-sons-death-after-tasering/2015/12/01/0ce7834e-9856-11e5-b499-76cbec161973_story.html</t>
  </si>
  <si>
    <t>Tuan Hoang</t>
  </si>
  <si>
    <t>E Alameda Pkwy and E Kentucky Ave</t>
  </si>
  <si>
    <t>http://www.denverpost.com/news/ci_29182697/aurora-accident-triggers-officer-involved-shooting-closes-roads</t>
  </si>
  <si>
    <t>Darius Smith</t>
  </si>
  <si>
    <t>300 Spring St NW</t>
  </si>
  <si>
    <t>http://www.ajc.com/news/news/crime-law/officer-involved-shooting-reported-near-downtown-a/npY4J/</t>
  </si>
  <si>
    <t>Ralph Aguilar</t>
  </si>
  <si>
    <t>NW Grand Ave and N 111th Ave</t>
  </si>
  <si>
    <t>http://www.kpho.com/story/30624737/mcso-deputy-shoots-kills-suicidal-man-who-pulled-out-gun</t>
  </si>
  <si>
    <t>Hugo Fernando Celio</t>
  </si>
  <si>
    <t>1702 18th St</t>
  </si>
  <si>
    <t>http://www.turnto23.com/news/breaking-news/officer-involved-shooting-near-downtown-restaurant-11292015</t>
  </si>
  <si>
    <t>Lionel Kerns</t>
  </si>
  <si>
    <t>US-36 and SW Thornton Road</t>
  </si>
  <si>
    <t>Stewartsville</t>
  </si>
  <si>
    <t>Dekalb County Sheriff's Department, Missouri State Highway Patrol</t>
  </si>
  <si>
    <t>http://www.kshb.com/news/crime/man-dead-in-officer-involved-shooting-in-dekalb-county-missouri</t>
  </si>
  <si>
    <t>Zachary Grigsby</t>
  </si>
  <si>
    <t>2931 N 73rd St</t>
  </si>
  <si>
    <t>http://journalstar.com/news/local/911/one-dead-five-in-custody-after-officer-involved-shooting/article_e4cfd9fb-e157-53ad-a637-cfa8b1b1468f.html</t>
  </si>
  <si>
    <t>Justin D. McHenry</t>
  </si>
  <si>
    <t>Main St and Livingston St</t>
  </si>
  <si>
    <t>Celina</t>
  </si>
  <si>
    <t>Ohio State Highway Patrol</t>
  </si>
  <si>
    <t>http://www.whio.com/news/news/crime-law/person-shot-during-altercation-with-trooper-in-cel/npYFP/</t>
  </si>
  <si>
    <t>600 Fran St</t>
  </si>
  <si>
    <t>Seagoville</t>
  </si>
  <si>
    <t>Seagoville Police Department</t>
  </si>
  <si>
    <t>http://www.wfaa.com/story/news/local/dallas-county/2015/11/28/police-kill-suspect-seagoville/76491256/</t>
  </si>
  <si>
    <t>Rick Gullickson</t>
  </si>
  <si>
    <t>366 Persimmon Hill Ln</t>
  </si>
  <si>
    <t>Lampe</t>
  </si>
  <si>
    <t>http://www.ky3.com/news/local/man-shot-dead-in-confrontation-with-stone-county-deputies/21048998_36683524</t>
  </si>
  <si>
    <t>Somer Brook Speer</t>
  </si>
  <si>
    <t>305 N 2nd Ave</t>
  </si>
  <si>
    <t>Ozark Police Department, Christian County Sheriff's Department, Nixa Police Department, Greene County Sheriff's Department</t>
  </si>
  <si>
    <t>http://www.ky3.com/news/local/law-enforcement-work-standoff-near-ozarks-square/21048998_36658518</t>
  </si>
  <si>
    <t>Magnum Edgar Phillips</t>
  </si>
  <si>
    <t>2260 N Golden Ave</t>
  </si>
  <si>
    <t>http://www.news-leader.com/story/news/crime/2015/11/26/man-killed-officer-involved-shooting/76409078/</t>
  </si>
  <si>
    <t>Douglas R. Slade</t>
  </si>
  <si>
    <t>66 W 3rd Ave</t>
  </si>
  <si>
    <t>Eagar Police Department</t>
  </si>
  <si>
    <t>http://www.wmicentral.com/officer-involved-shooting-in-eagar/article_3c603f82-9534-11e5-99b8-63c3ec52f2de.html</t>
  </si>
  <si>
    <t>Freddy Baez</t>
  </si>
  <si>
    <t>3200 Rutledge Walk</t>
  </si>
  <si>
    <t>http://philadelphia.cbslocal.com/2015/11/24/camden-county-prosecutor-investigating-fatal-shooting-involving-two-police-officers/</t>
  </si>
  <si>
    <t>Thomas Joseph McEniry</t>
  </si>
  <si>
    <t>Cambridge St and E Katie Ave</t>
  </si>
  <si>
    <t>http://lasvegas.cbslocal.com/2015/11/24/officer-involved-shooting-in-las-vegas/</t>
  </si>
  <si>
    <t>Michael Gerald Ray Kirvelay</t>
  </si>
  <si>
    <t>700 40th Ave NE</t>
  </si>
  <si>
    <t>Columbia Heights</t>
  </si>
  <si>
    <t>Columbia Heights Police Department, Fridley Police Department</t>
  </si>
  <si>
    <t>http://minnesota.cbslocal.com/2015/11/24/reports-of-shots-fired-in-columbia-heights-police-say/</t>
  </si>
  <si>
    <t>Henry Reyna</t>
  </si>
  <si>
    <t>5000 Concord St</t>
  </si>
  <si>
    <t>http://www.kristv.com/story/30582358/concord-st-closed-off</t>
  </si>
  <si>
    <t>Barry Kirk</t>
  </si>
  <si>
    <t>90 S Terrace Ave</t>
  </si>
  <si>
    <t>http://nbc4i.com/2015/11/23/3-people-reported-dead-after-reported-shooting-on-citys-west-side/</t>
  </si>
  <si>
    <t>Miguel Angel Martinez</t>
  </si>
  <si>
    <t>305 S Alcott St</t>
  </si>
  <si>
    <t>http://www.denverpost.com/news/ci_29154811/denver-police-fatally-shoot-gunman-during-standoff</t>
  </si>
  <si>
    <t>Mathew Grows</t>
  </si>
  <si>
    <t>220 E Grove St</t>
  </si>
  <si>
    <t>http://www.kolotv.com/home/headlines/Reno-Police-One-Person-Shot-on-Grove-St-352960401.html</t>
  </si>
  <si>
    <t>James Daniel Hall</t>
  </si>
  <si>
    <t>10510 Sierra Ave</t>
  </si>
  <si>
    <t>http://www.pe.com/articles/report-787263-suspect-officers.html</t>
  </si>
  <si>
    <t>Christopher Lynn Nichols</t>
  </si>
  <si>
    <t>US-75 and Oklahoma Highway 91</t>
  </si>
  <si>
    <t>Colbert Police Department</t>
  </si>
  <si>
    <t>http://www.kxii.com/home/headlines/New-details-released-in-officer-involved-shooting-in-Colbert-352955771.html</t>
  </si>
  <si>
    <t>Tangelo Ave &amp; San Jacinto Ct</t>
  </si>
  <si>
    <t>http://ktla.com/2015/11/20/fontana-officer-fatally-shoots-allegedly-armed-man/</t>
  </si>
  <si>
    <t>Chase Alan Sherman</t>
  </si>
  <si>
    <t>Interstate 85</t>
  </si>
  <si>
    <t>Palmetto</t>
  </si>
  <si>
    <t>http://www.ajc.com/news/news/local/coweta-man-dies-after-being-tasered-by-deputies/npSZB/</t>
  </si>
  <si>
    <t>William Tarrant</t>
  </si>
  <si>
    <t>200 Mt Vernon Church Rd</t>
  </si>
  <si>
    <t>Paulding County Sheriff's Office</t>
  </si>
  <si>
    <t>http://www.wsbtv.com/news/news/local/gbi-investigates-deadly-officer-involved-shooting-/npR4n/</t>
  </si>
  <si>
    <t>Lane County Sheriff's Office</t>
  </si>
  <si>
    <t>Michael Tindall</t>
  </si>
  <si>
    <t>Bethel Rd and Thompson Rd</t>
  </si>
  <si>
    <t>http://www.wfaa.com/story/news/crime/2015/11/17/weatherford-officer-fatally-shoots-man-in-patrol-vehicle/75931948/</t>
  </si>
  <si>
    <t>Francis Hartnett</t>
  </si>
  <si>
    <t>510 Wild Oaks Ct</t>
  </si>
  <si>
    <t>Little Egg Harbor Township</t>
  </si>
  <si>
    <t>Little Egg Harbor Police Department</t>
  </si>
  <si>
    <t>http://www.pressofatlanticcity.com/news/police-shoot-kill-man-in-little-egg-harbor-township/article_a155067e-8d51-11e5-820c-8f51f462e0d1.html</t>
  </si>
  <si>
    <t>Derry Eugene Touchstone</t>
  </si>
  <si>
    <t>17017 Highland Ave S</t>
  </si>
  <si>
    <t>Early County Sheriff's Office</t>
  </si>
  <si>
    <t>http://www.walb.com/story/30540752/gbi-one-dead-in-officer-involved-shooting</t>
  </si>
  <si>
    <t>Brett Kelby Noblitt</t>
  </si>
  <si>
    <t>Maddox Mill Rd SE and Chatsworth Hwy</t>
  </si>
  <si>
    <t>Dalton</t>
  </si>
  <si>
    <t>Whitfield County Sheriff's Office</t>
  </si>
  <si>
    <t>http://www.wdef.com/news/story/Whitfield-Deputy-Fatally-Shoots-Suspect-After-Car/2cVdW_rl30uLVjQAHyWeKw.cspx</t>
  </si>
  <si>
    <t>400 W School House Ln</t>
  </si>
  <si>
    <t>Philadelphia Housing Authority Police Department</t>
  </si>
  <si>
    <t>http://6abc.com/news/police-off-duty-pha-officer-shot-killed-robbery-suspect-/1085987/</t>
  </si>
  <si>
    <t>John Livingston</t>
  </si>
  <si>
    <t>425 Stage Rd</t>
  </si>
  <si>
    <t>Spring Lake</t>
  </si>
  <si>
    <t>Harnett County Sheriff's Office</t>
  </si>
  <si>
    <t>http://www.wral.com/one-dead-in-officer-involved-shooting-in-harnett-county/15110806/</t>
  </si>
  <si>
    <t>Ramon Salazar</t>
  </si>
  <si>
    <t>2985 Rubidoux Blvd</t>
  </si>
  <si>
    <t>http://www.pe.com/articles/riverside-786361-area-deputies.html</t>
  </si>
  <si>
    <t>Ernesto Gamino</t>
  </si>
  <si>
    <t>Rouselle Dr and Wysocki Ln</t>
  </si>
  <si>
    <t>http://www.pe.com/articles/responding-786289-involved-sheriff.html</t>
  </si>
  <si>
    <t>Michael Joseph Bartkiewicz</t>
  </si>
  <si>
    <t>26 Petty Ln</t>
  </si>
  <si>
    <t>Gibson County Sheriff's Office</t>
  </si>
  <si>
    <t>http://www.jacksonsun.com/story/news/crime/2015/11/14/tbi-investigating-officer-involved-shooting-trenton/75775108/</t>
  </si>
  <si>
    <t>Matthew Eric Coleman</t>
  </si>
  <si>
    <t>1200 US-80</t>
  </si>
  <si>
    <t>http://www.wjcl.com/news/local-news/effingham-co-sheriff-deputy-shot-suspect-killed-after-deputy-involved-shooting/94554359/story</t>
  </si>
  <si>
    <t>Moises Nerio</t>
  </si>
  <si>
    <t>1200 Ayala Dr</t>
  </si>
  <si>
    <t>http://www.mercurynews.com/bay-area-news/ci_29109035/sunnyvale-police-shoot-armed-male-at-apartment-complex</t>
  </si>
  <si>
    <t>Javier Lopez Garcia</t>
  </si>
  <si>
    <t>3555 Cesar Chavez St</t>
  </si>
  <si>
    <t>http://sanfrancisco.cbslocal.com/2015/11/11/reports-of-gunman-on-construction-site-near-san-francisco-hospital/</t>
  </si>
  <si>
    <t>Joseph Jaramillo</t>
  </si>
  <si>
    <t>San Ygnacio Rd SW and Tapia Blvd SW</t>
  </si>
  <si>
    <t>http://www.abqjournal.com/673935/abqnewsseeker/bcso-investigates-south-valley-shooting.html</t>
  </si>
  <si>
    <t>Brian H. Gavin Sr.</t>
  </si>
  <si>
    <t>1304 Pine Dr NW</t>
  </si>
  <si>
    <t>http://www.live5news.com/story/30496764/sled-investigating-deputy-involved-shooting-in-aiken</t>
  </si>
  <si>
    <t>Eddie Gabriel Sanchez Jr.</t>
  </si>
  <si>
    <t>800 Pomona Ave</t>
  </si>
  <si>
    <t>http://www.krcrtv.com/news/local/shooting-in-chico-leaves-one-dead/36369296</t>
  </si>
  <si>
    <t>Jason Leanard Mesaros</t>
  </si>
  <si>
    <t>US-85 and W Bromley Ln</t>
  </si>
  <si>
    <t>http://www.dailycamera.com/news/boulder/ci_29097757/suspects-reported-armed-robbery-high-speed-chase-boulder</t>
  </si>
  <si>
    <t>Andrew Blake</t>
  </si>
  <si>
    <t>Frontage Rd and I-15</t>
  </si>
  <si>
    <t>Dillon</t>
  </si>
  <si>
    <t>Beaverhead County Sheriff's Office</t>
  </si>
  <si>
    <t>http://www.nbcmontana.com/news/beaverhead-co-sheriffs-office-says-dillon-man-dies-after-officerinvolved-shooting/36485584</t>
  </si>
  <si>
    <t>Leonel Acevedo</t>
  </si>
  <si>
    <t>4400 Camden Ave</t>
  </si>
  <si>
    <t>http://www.mercurynews.com/crime-courts/ci_29098278/san-jose-authorities-identify-gunman-victim-deadly-cambrian</t>
  </si>
  <si>
    <t>Cesar Cuellar Jr.</t>
  </si>
  <si>
    <t>Kirby Dr and Eskimo Dr</t>
  </si>
  <si>
    <t>http://www.lmtonline.com/front-news/article_2cdd3578-870c-11e5-96b2-1fbfed068503.html</t>
  </si>
  <si>
    <t>Miguel Cano</t>
  </si>
  <si>
    <t>Andasol Ave and Elkwood St</t>
  </si>
  <si>
    <t>http://ktla.com/2015/11/09/authorities-responding-to-possible-police-shooting-in-lake-balboa/</t>
  </si>
  <si>
    <t>State Road 417 and Lake Mary Boulevard</t>
  </si>
  <si>
    <t>Oveido</t>
  </si>
  <si>
    <t>http://www.wftv.com/news/news/local/crash-heavy-law-enforcement-presence-causes-delays/npJ6S/</t>
  </si>
  <si>
    <t>Dale Maverick Hudson</t>
  </si>
  <si>
    <t>Three Lick Rd</t>
  </si>
  <si>
    <t>West Virginia State Police, US Marshals</t>
  </si>
  <si>
    <t>http://wvmetronews.com/2015/11/09/one-dead-one-injured-in-police-search-for-fugitives/</t>
  </si>
  <si>
    <t>Raymond Davis</t>
  </si>
  <si>
    <t>500 Tradewinds Dr</t>
  </si>
  <si>
    <t>http://www.wftv.com/news/news/local/deputies-deland-police-officer-shoots-kills-uncle-/npHzw/</t>
  </si>
  <si>
    <t>Michael Gregory Johnson</t>
  </si>
  <si>
    <t>1015 NW 22nd Ave</t>
  </si>
  <si>
    <t>http://www.oregonlive.com/portland/index.ssf/2015/11/police_activity_closes_streets.html</t>
  </si>
  <si>
    <t>Kim Lee Long</t>
  </si>
  <si>
    <t>Stanback Ferry Ice Plant Rd</t>
  </si>
  <si>
    <t>Wadesboro</t>
  </si>
  <si>
    <t>Anson County Sheriff's Office</t>
  </si>
  <si>
    <t>http://yourdailyjournal.com/news/18292/sbi-anson-deputy-shot-killed-domestic-violence-suspect</t>
  </si>
  <si>
    <t>James Francis Smyth</t>
  </si>
  <si>
    <t>S Maryland Pkwy and E Wigwam Ave</t>
  </si>
  <si>
    <t>Clark County School District Police Department</t>
  </si>
  <si>
    <t>http://www.reviewjournal.com/news/las-vegas/school-police-shoot-kill-threatening-driver-south-valley-park</t>
  </si>
  <si>
    <t>James Wayne Bigley</t>
  </si>
  <si>
    <t>Oklahoma Hwy 20</t>
  </si>
  <si>
    <t>Hominy</t>
  </si>
  <si>
    <t>Skiatook Police Department</t>
  </si>
  <si>
    <t>http://www.newson6.com/story/30447866/osbi-investigating-officer-involved-shooting-in-osage-county</t>
  </si>
  <si>
    <t>Laura Lemieux</t>
  </si>
  <si>
    <t>Whisper Way</t>
  </si>
  <si>
    <t>Berkeley County Sheriff's Office</t>
  </si>
  <si>
    <t>http://www.postandcourier.com/article/20151105/PC16/151109561</t>
  </si>
  <si>
    <t>David Michael Romanoski</t>
  </si>
  <si>
    <t>1043 Charles Ave</t>
  </si>
  <si>
    <t>http://www.wdtv.com/wdtv.cfm?func=view§ion=5-News&amp;item=BREAKING-NEWS-One-Person-Killed-in-Police-Involved-Shooting-26608</t>
  </si>
  <si>
    <t>Jacob Hohman</t>
  </si>
  <si>
    <t>10100 Puttington Dr</t>
  </si>
  <si>
    <t>Lakeshire</t>
  </si>
  <si>
    <t>http://www.kmov.com/story/30452751/police-open-fire-on-suspect-charging-at-them-with-weapon</t>
  </si>
  <si>
    <t>Faisal Mohammad</t>
  </si>
  <si>
    <t>5200 Lake Rd</t>
  </si>
  <si>
    <t>University of California Police Department</t>
  </si>
  <si>
    <t>http://www.mercedsunstar.com/news/local/education/uc-merced/article42944028.html</t>
  </si>
  <si>
    <t>Timothy Gene Smith</t>
  </si>
  <si>
    <t>Grand Ave and Jewell St</t>
  </si>
  <si>
    <t>http://www.sandiegouniontribune.com/news/2015/nov/04/officer-involved-shooting-pacific-beach/</t>
  </si>
  <si>
    <t>Joseph M. Tyndall</t>
  </si>
  <si>
    <t>2000 E Kearney St</t>
  </si>
  <si>
    <t>http://www.ozarksfirst.com/news/one-man-dead-in-officer-involved-shooting</t>
  </si>
  <si>
    <t>Jeremy David Mardis</t>
  </si>
  <si>
    <t>Martin Luther King Dr</t>
  </si>
  <si>
    <t>Marksville</t>
  </si>
  <si>
    <t>http://www.katc.com/story/30434244/6-year-old-dead-another-in-critical-after-officer-involved-shooting-in-marksville</t>
  </si>
  <si>
    <t>Klamath County Sheriff's Office</t>
  </si>
  <si>
    <t>4th Street and Q Street</t>
  </si>
  <si>
    <t>http://www.times-standard.com/20151101/chp-officer-shot-alleged-shooter-dead-after-eureka-traffic-stop</t>
  </si>
  <si>
    <t>Jack Yantis</t>
  </si>
  <si>
    <t>US-95</t>
  </si>
  <si>
    <t>Council</t>
  </si>
  <si>
    <t>http://www.kivitv.com/news/idaho-state-police-investigating-officer-involved-shooting</t>
  </si>
  <si>
    <t>Luverne Roy Christensen</t>
  </si>
  <si>
    <t>500 Harmony Ln SW</t>
  </si>
  <si>
    <t>Hutchinson Police Department, McLeod County Sheriff's Office, Minnesota State Patrol</t>
  </si>
  <si>
    <t>http://www.kare11.com/story/news/2015/11/01/bca-investigating-hutchinson-officer-involved-shooting/75021264/</t>
  </si>
  <si>
    <t>http://www.killedbypolice.net/victims/151012.jpg</t>
  </si>
  <si>
    <t>http://www.killedbypolice.net/victims/151038.jpg</t>
  </si>
  <si>
    <t>http://www.killedbypolice.net/victims/150997.jpg</t>
  </si>
  <si>
    <t>http://www.killedbypolice.net/victims/151005.jpg</t>
  </si>
  <si>
    <t>http://www.killedbypolice.net/victims/151018.jpg</t>
  </si>
  <si>
    <t>http://www.killedbypolice.net/victims/151016.jpg</t>
  </si>
  <si>
    <t>http://www.killedbypolice.net/victims/151025.jpg</t>
  </si>
  <si>
    <t>http://www.killedbypolice.net/victims/151032.jpg</t>
  </si>
  <si>
    <t>http://www.killedbypolice.net/victims/151035.jpg</t>
  </si>
  <si>
    <t>http://www.killedbypolice.net/victims/151070.jpg</t>
  </si>
  <si>
    <t>http://www.killedbypolice.net/victims/151002.jpg</t>
  </si>
  <si>
    <t>http://www.killedbypolice.net/victims/151006.jpg</t>
  </si>
  <si>
    <t>http://www.killedbypolice.net/victims/151061.jpg</t>
  </si>
  <si>
    <t>http://www.killedbypolice.net/victims/151063.jpg</t>
  </si>
  <si>
    <t>http://www.killedbypolice.net/victims/151030.jpg</t>
  </si>
  <si>
    <t>http://www.killedbypolice.net/victims/151049.jpg</t>
  </si>
  <si>
    <t>http://www.killedbypolice.net/victims/151054.jpg</t>
  </si>
  <si>
    <t>http://www.killedbypolice.net/victims/151062.jpg</t>
  </si>
  <si>
    <t>http://www.killedbypolice.net/victims/151066.jpg</t>
  </si>
  <si>
    <t>http://www.killedbypolice.net/victims/151075.jpg</t>
  </si>
  <si>
    <t>http://www.killedbypolice.net/victims/150998.jpg</t>
  </si>
  <si>
    <t>http://www.killedbypolice.net/victims/150996.jpg</t>
  </si>
  <si>
    <t>http://www.killedbypolice.net/victims/151003.jpg</t>
  </si>
  <si>
    <t>http://www.killedbypolice.net/victims/151008.jpg</t>
  </si>
  <si>
    <t>http://www.killedbypolice.net/victims/151007.jpg</t>
  </si>
  <si>
    <t>http://www.killedbypolice.net/victims/151011.jpg</t>
  </si>
  <si>
    <t>http://www.killedbypolice.net/victims/151019.jpg</t>
  </si>
  <si>
    <t>http://www.killedbypolice.net/victims/151015.jpg</t>
  </si>
  <si>
    <t>http://www.killedbypolice.net/victims/151020.jpg</t>
  </si>
  <si>
    <t>http://www.killedbypolice.net/victims/151040.jpg</t>
  </si>
  <si>
    <t>http://www.killedbypolice.net/victims/151024.jpg</t>
  </si>
  <si>
    <t>http://www.killedbypolice.net/victims/151023.jpg</t>
  </si>
  <si>
    <t>http://www.killedbypolice.net/victims/151027.jpg</t>
  </si>
  <si>
    <t>http://www.killedbypolice.net/victims/151026.jpg</t>
  </si>
  <si>
    <t>http://www.killedbypolice.net/victims/151031.jpg</t>
  </si>
  <si>
    <t>http://www.killedbypolice.net/victims/151058.jpg</t>
  </si>
  <si>
    <t>http://www.killedbypolice.net/victims/151064.jpg</t>
  </si>
  <si>
    <t>http://www.killedbypolice.net/victims/151067.jpg</t>
  </si>
  <si>
    <t>http://www.killedbypolice.net/victims/151069.jpg</t>
  </si>
  <si>
    <t>http://www.killedbypolice.net/victims/151072.jpg</t>
  </si>
  <si>
    <t>http://www.killedbypolice.net/victims/151074.jpg</t>
  </si>
  <si>
    <t>http://www.killedbypolice.net/victims/151079.jpg</t>
  </si>
  <si>
    <t>http://www.killedbypolice.net/victims/151082.jpg</t>
  </si>
  <si>
    <t>http://www.killedbypolice.net/victims/151080.jpg</t>
  </si>
  <si>
    <t>http://www.killedbypolice.net/victims/151078.jpg</t>
  </si>
  <si>
    <t>http://www.killedbypolice.net/victims/151084.jpg</t>
  </si>
  <si>
    <t>Cleveland County Sheriff's Department</t>
  </si>
  <si>
    <t>Cleveland TN Police Department</t>
  </si>
  <si>
    <t>Columbus GA Police Department</t>
  </si>
  <si>
    <t>DC Metropolitan Police Department</t>
  </si>
  <si>
    <t>Richmond CA Police Department</t>
  </si>
  <si>
    <t>U.S. Marshals Task Force, Tempe Police Department, Chandler Police Department, Mesa Police Department</t>
  </si>
  <si>
    <t>U.S. Forest Service</t>
  </si>
  <si>
    <t>U.S. Immigration and Customs Enforcement</t>
  </si>
  <si>
    <t>Authorities say the incident began around 3 a.m. when Moreno Valley police responded to a call of a mentally ill person assaulting a family member. When officers arrived, the suspect attacked an officer and fled.Then around 6 a.m., police responded to a stabbing call in the area of Webster and Perris and found the victim. Within minutes, officers encountered Smith near Perris and Sunnymead boulevards. The suspect was holding a hand tool and refused to drop it. When he advanced toward police, he was shot and killed.</t>
  </si>
  <si>
    <t>http://www.nbclosangeles.com/news/local/Fatal-Deputy-Involved-Shooting-in-Moreno-Valley-315985111.html</t>
  </si>
  <si>
    <t>Godinez was a suspect in a burglary when officers apprehended him, police said. A medical examiner said Godinez died of cocaine and alcohol poisoning and that the physical stress of police restraint was a "significant contributing factor" to his death. Police have not released additional details about the circumstances surrounding Godinez's arrest.</t>
  </si>
  <si>
    <t>Lawrence Blackburn died after reportedly engaging in a shootout with law enforcement agents at an apartment complex in Baton Rouge. Officials said Blackburn was armed and that the US Marshal Task Force was involved in the shooting. About 25 law enforcement vehicles responded to the scene from multiple agencies. Investigators had been trying to catch up with Blackburn for days in connection with a shooting in Lafayette that left Dravin Stevenson, 18, dead and sent a 19-year-old man to the hospital. The victim who survived was listed in critical condition at the time Blackburn was killed. A woman in the area was also shot in the leg during the shootout.</t>
  </si>
  <si>
    <t>http://www.kansascity.com/news/local/crime/article27006070.html</t>
  </si>
  <si>
    <t>http://www.wlwt.com/image/view/-/35034924/highRes/2/-/maxh/630/maxw/1200/-/wo4taiz/-/James-Carney-III-jpg.jpg</t>
  </si>
  <si>
    <t>http://ak-cache.legacy.net/legacy/images/Cobrands/Ledger-Enquirer/Photos/LE0040243-1_20150901.jpg</t>
  </si>
  <si>
    <t>http://images1.westword.com/imager/u/745xauto/7095329/william.rippley.facebook.4.jpg</t>
  </si>
  <si>
    <t>http://1.bp.blogspot.com/-xOS3t4XLRDc/VegsAfvOjmI/AAAAAAABEY4/q1TEtNlCyyQ/s1600/jamesbrownIII.jpg</t>
  </si>
  <si>
    <t>http://media.ksat.com/photo/2015/09/02/Roger-Albrecht-shot-by-SAPD_1441236920219_158947_ver1.0_1280_720.jpg</t>
  </si>
  <si>
    <t>http://ww3.hdnux.com/photos/40/54/31/8570490/3/920x920.jpg</t>
  </si>
  <si>
    <t>http://img.deseretnews.com/images/article/midres/1589560/1589560.jpg</t>
  </si>
  <si>
    <t>http://crimeblog.dallasnews.com/files/2015/08/Bertrand.jpg</t>
  </si>
  <si>
    <t>http://www.chattanoogan.com/photos/2015/8/article.307038.large.jpg</t>
  </si>
  <si>
    <t>http://img01.funeralnet.com/obit_photo.php?fullsize=1&amp;id=1540231&amp;clientid=jenkins-soffe&amp;iid=889565</t>
  </si>
  <si>
    <t>http://www.gannett-cdn.com/-mm-/ba9b0cd1ff1977f0469200d5bdba66aed4208811/c=0-37-720-578&amp;r=x404&amp;c=534x401/local/-/media/2015/08/27/Nashville/Nashville/635762774997799576-SteveDoddBDay.JPG</t>
  </si>
  <si>
    <t>http://media.philly.com/images/180*200/20150826_inq_sshooting26z-f.JPG</t>
  </si>
  <si>
    <t>https://lintvkrqe.files.wordpress.com/2015/08/marvin.png?w=351</t>
  </si>
  <si>
    <t>https://localtvwhnt.files.wordpress.com/2015/08/christopher-tompkins.jpg?w=770</t>
  </si>
  <si>
    <t>http://www.gannett-cdn.com/-mm-/2feee69581913188b2cf299f4cee3495a99e38ea/r=537&amp;c=0-0-534-712/http/cdn.tegna-tv.com/-mm-/79df8fa93a29cda0ccbefa9253fdd7143b4ca437/c=16-0-399-511/local/-/media/2015/08/24/WTLV/WTLV/635760223283433872-110.jpg</t>
  </si>
  <si>
    <t>http://www.news3lv.com/media/lib/166/1/2/5/1253516c-7ddf-4dd7-8c51-c93e9f588679/Original.jpg</t>
  </si>
  <si>
    <t>http://bloximages.chicago2.vip.townnews.com/grandrapidsmn.com/content/tncms/assets/v3/editorial/8/3b/83b1ca04-4ffc-11e5-ad77-6f83536a09fe/55e47f70cd36f.image.jpg?resize=300%2C213</t>
  </si>
  <si>
    <t>http://bloximages.chicago2.vip.townnews.com/fredericksburg.com/content/tncms/assets/v3/editorial/c/6a/c6a518a6-4a8f-11e5-9867-e704cb5d9455/55db6586f3aca.image.jpg</t>
  </si>
  <si>
    <t>http://www.kansas.com/news/local/crime/r08yss/picture32105475/ALTERNATES/FREE_320/Nicholas%20Garner%201</t>
  </si>
  <si>
    <t>https://lintvwivb.files.wordpress.com/2015/08/thaddeus-faison.jpg</t>
  </si>
  <si>
    <t>https://localtvwghp.files.wordpress.com/2015/08/untitled-213.jpg?w=770</t>
  </si>
  <si>
    <t>http://cdn.abclocal.go.com/content/kabc/images/cms/automation/vod/951884_630x354.jpg</t>
  </si>
  <si>
    <t>http://www.gannett-cdn.com/-mm-/a2664058176a9ff4cae92b8cdc4e8763a554b8c9/c=50-20-609-440&amp;r=x404&amp;c=534x401/local/-/media/2015/08/20/DetroitFreePress/DetroitFreePress/635756876412518122-leviere-ransom.JPG</t>
  </si>
  <si>
    <t>http://i.dailymail.co.uk/i/pix/2015/08/20/08/2B838CE700000578-3203849-image-a-8_1440056342444.jpg</t>
  </si>
  <si>
    <t>http://whns.images.worldnow.com/images/8617596_G.jpg</t>
  </si>
  <si>
    <t>https://blackopswiki.s3.amazonaws.com/uploads/article/avatar/367/large_avatar_frederick_roy.jpg</t>
  </si>
  <si>
    <t>http://www.trbimg.com/img-55d4fdaf/turbine/la-me-inmate-killed-by-guards-in-third-prison--002/550/309x550</t>
  </si>
  <si>
    <t>http://pbs.twimg.com/media/CMxQAW5VEAAvMJF.jpg</t>
  </si>
  <si>
    <t>http://funds.gfmcdn.com/5696790_1439869229.992.jpg</t>
  </si>
  <si>
    <t>http://www.fresnobee.com/news/local/crime/h2le4i/picture31453181/ALTERNATES/FREE_640/Allen%20Matthew%20Baker%20III</t>
  </si>
  <si>
    <t>http://www.trbimg.com/img-55d0c66a/turbine/la-ashley-la0030492077-20150816/378/378x213</t>
  </si>
  <si>
    <t>http://www.sgvtribune.com/apps/pbcsi.dll/storyimage/LC/20150819/NEWS/150819459/AR/0/AR-150819459.jpg&amp;maxh=400&amp;maxw=667</t>
  </si>
  <si>
    <t>http://www.trbimg.com/img-55d2252a/turbine/hc-bolton-chase-update-0818-20150817-001/900/900x506</t>
  </si>
  <si>
    <t>http://assets.dnainfo.com/generated/photo/2015/08/garland-tyree-1439558833.jpg/extralarge.jpg</t>
  </si>
  <si>
    <t>https://cbssanfran.files.wordpress.com/2015/08/nathaniel_wilks_081415.jpg</t>
  </si>
  <si>
    <t>http://woio.images.worldnow.com/images/7942214_G.jpg</t>
  </si>
  <si>
    <t>http://bloximages.chicago2.vip.townnews.com/wacotrib.com/content/tncms/assets/v3/editorial/4/82/48227766-7587-5e01-bab0-26e1b520923e/55cbc329cd5f0.image.jpg?resize=300%2C376</t>
  </si>
  <si>
    <t>http://bloximages.newyork1.vip.townnews.com/oaoa.com/content/tncms/assets/v3/editorial/3/b1/3b1e4ae8-4132-11e5-bdc3-0b12b6b90913/55cbaf23977b2.image.jpg?resize=300%2C225</t>
  </si>
  <si>
    <t>http://www.gannett-cdn.com/-mm-/50bfa768de97848c37c1fb3e15502aa34121135b/c=0-164-480-435&amp;r=x633&amp;c=1200x630/local/-/media/2015/08/11/Phoenix/Phoenix/635749053959669052-Richard-Tyler-Young.jpg</t>
  </si>
  <si>
    <t>http://www.gannett-cdn.com/-mm-/02917320db0bb106be0fa752e1f70cf8886fb7bf/c=96-0-673-434&amp;r=x404&amp;c=534x401/local/-/media/2015/08/10/Indianapolis/Indianapolis/635747915088190620-andre-green-fox59.jpg</t>
  </si>
  <si>
    <t>http://media.graytvinc.com/images/EricTompkins.jpg</t>
  </si>
  <si>
    <t>http://www.mcleanfuneral.com/obituary/Jeffery-Clyde-Jeff-Wilkes/Gastonia-NC/1535971</t>
  </si>
  <si>
    <t>http://khq.images.worldnow.com/images/8550850_G.jpg</t>
  </si>
  <si>
    <t>http://www.postandcourier.com/storyimage/CP/20150810/PC16/150819946/EP/1/1/EP-150819946.jpg&amp;MaxW=520&amp;q=85</t>
  </si>
  <si>
    <t>http://www.fresnobee.com/news/local/crime/e474cp/picture30449874/ALTERNATES/FREE_960/080715%20Aaron%20Allen%20Marchese</t>
  </si>
  <si>
    <t>http://www.reviewjournal.com/sites/default/files/styles/large/public/field/media/1003395444%2520OISBRIEFING_0815.jpg?itok=K0Dq-QFt</t>
  </si>
  <si>
    <t>https://img.washingtonpost.com/wp-apps/imrs.php?src=https://img.washingtonpost.com/rf/image_908w/2010-2019/Wires/Images/2015-08-08/AP/Killings_by_Police-Football_Player-01655.jpg&amp;w=1484</t>
  </si>
  <si>
    <t>https://cbsla.files.wordpress.com/2015/08/derrick_hunt.jpg?w=1280</t>
  </si>
  <si>
    <t>https://mgtvwnct.files.wordpress.com/2015/08/tsombe-clark.jpg</t>
  </si>
  <si>
    <t>http://extras.mnginteractive.com/live/media/site525/2015/0814/20150814_040907_unnamed.jpg</t>
  </si>
  <si>
    <t>https://blackopswiki.s3.amazonaws.com/uploads/article/avatar/351/large_avatar_gustavvo_ponce-galon.jpg</t>
  </si>
  <si>
    <t>https://ioneadwnews.files.wordpress.com/2015/08/troy.jpg?w=221&amp;h=228</t>
  </si>
  <si>
    <t>https://tacomastories.files.wordpress.com/2015/08/jasongalaviz.jpg?w=300&amp;h=300</t>
  </si>
  <si>
    <t>https://localtvwtvr.files.wordpress.com/2015/08/shooter.jpg?w=770&amp;h=433</t>
  </si>
  <si>
    <t>http://img.huffingtonpost.com//asset/scalefit_630_noupscale/55cd530e1d00002f00144c8d.jpeg?cache=aG1Q941U8e</t>
  </si>
  <si>
    <t>http://www.killedbypolice.net/victims/150696.jpg</t>
  </si>
  <si>
    <t>http://s3.reutersmedia.net/resources/r/?m=02&amp;d=20150806&amp;t=2&amp;i=1069792663&amp;w=976&amp;fh=&amp;fw=&amp;ll=&amp;pl=&amp;sq=&amp;r=LYNXNPEB75047</t>
  </si>
  <si>
    <t>https://www.google.com/url?sa=i&amp;rct=j&amp;q=&amp;esrc=s&amp;source=images&amp;cd=&amp;cad=rja&amp;uact=8&amp;ved=0CAcQjRxqFQoTCN_gmYLp6McCFYU1PgodCbUM_A&amp;url=http%3A%2F%2Fwww.rantoulpress.com%2Fnews%2Fcourts-police-and-fire%2F2015-08-05%2Fman-shot-standoff-identified-hardees-robber.html&amp;psig=AFQjCNGKhHTKpWzmGsING5OB-JpqFLBMrw&amp;ust=1441849199659272</t>
  </si>
  <si>
    <t>http://extras.mnginteractive.com/live/media/site568/2015/0807/20150807__ois~1.JPG</t>
  </si>
  <si>
    <t>https://mgtvwric.files.wordpress.com/2015/08/frank-short.jpg</t>
  </si>
  <si>
    <t>https://mgtvwhtm.files.wordpress.com/2015/08/55c248d06dc55-image.jpg?w=300</t>
  </si>
  <si>
    <t>http://www.gannett-cdn.com/-mm-/4a642aabe5f985a52bba9ddf24c8c1b9c310561c/c=0-58-401-593&amp;r=537&amp;c=0-0-534-712/local/-/media/2015/08/03/Muncie/B9318324335Z.1_20150803220258_000_GL1BHGGFA.1-0.jpg</t>
  </si>
  <si>
    <t>http://ak-cache.legacy.net/legacy/images/cobrands/dignitymemorial/photos/ecf6168a-835c-4498-a00e-86434b125335.jpgx?w=130&amp;h=180&amp;option=1&amp;v=0x000000003111f297</t>
  </si>
  <si>
    <t>Cops intervened when they heard/saw Carney assaulting a woman in a car at an ATM. Cops tasered him twice and he died from his injuries.</t>
  </si>
  <si>
    <t>http://www.wlwt.com/news/police-id-robbery-suspect-who-died-after-taser-shock/35034920</t>
  </si>
  <si>
    <t>http://www.wtvm.com/story/29926838/teen-dies-after-police-tasing-incident</t>
  </si>
  <si>
    <t>Rippley threw a bicycle into traffic when police were called. He then ran into a Pizza Ranch restaurant, police suspected he had a knife. Rippley grabbed a customer and was fatally shot by an officer.</t>
  </si>
  <si>
    <t>http://www.westword.com/news/william-rippley-before-cop-killed-him-theres-going-to-be-a-human-sacrifice-7091421</t>
  </si>
  <si>
    <t>Leon was shot when he pulled out a gun while being pursued by officers on a bicycle. He matched the description of a man who attempted to burglarize a home earlier that morning.</t>
  </si>
  <si>
    <t>http://www.kvoa.com/story/29916976/officer-involved-shooting-near-park-and-drexel</t>
  </si>
  <si>
    <t>Police were called because of an "unwanted person" at a home. When officers arrived, Hall aimed his gun at a group of about six people and an officer shot him.</t>
  </si>
  <si>
    <t>http://www.tulsaworld.com/homepagelatest/cushing-police-officer-cleared-in-fatal-shooting/article_1bc89125-2051-5cb1-9dde-62c9791231cd.html</t>
  </si>
  <si>
    <t>Brown was shot during when he turned toward a police officer with a gun.</t>
  </si>
  <si>
    <t>http://www.reviewjournal.com/news/las-vegas/man-dies-after-metro-involved-shooting-north-las-vegas</t>
  </si>
  <si>
    <t>http://www.chicagotribune.com/news/local/breaking/ct-chicago-police-involved-shooting-20150829-story.html</t>
  </si>
  <si>
    <t>Officers responded to a robbery, Albrecht charged at them with a knife and was shot by both of the two officers once.</t>
  </si>
  <si>
    <t>http://www.mysanantonio.com/news/local/article/Officer-involved-shooting-leaves-one-dead-on-6473238.php</t>
  </si>
  <si>
    <t>Under investigation</t>
  </si>
  <si>
    <t>Kumi was an innocent bystander during a sting, he was shot by an undercover officer while standing directly behind the suspect.</t>
  </si>
  <si>
    <t>http://www.nydailynews.com/new-york/bystander-dies-hit-nypd-bullets-article-1.2341345</t>
  </si>
  <si>
    <t>Flores was shot dead in a confrontation with two deputies outside a house. They were responding to reports of a domestic disturbance and found an injured woman. Authorities suggested Flores had a knife but cellphone video of the encounter indicated his hands were empty and raised in the moments before he was shot. Police radio traffic reportedly identified Flores as suicidal.</t>
  </si>
  <si>
    <t>http://www.nbcnews.com/news/us-news/gilbert-flores-shooting-bexar-county-deputies-near-san-antonio-sparks-n420061</t>
  </si>
  <si>
    <t>Officers called to CVS because Hober was threatening employees with a boxcutter. Officer shot Hober when he approached him with box cutter.</t>
  </si>
  <si>
    <t>http://www.nbcsandiego.com/news/local/Robert-Hober-Eric-Oberndorfer-Fatal-Officer-Involved-Shooting-IDd-323528221.html</t>
  </si>
  <si>
    <t>Evans was shot outside a church after being tracked down by a police officer, according to authorities. Police said they had been searching for him after a friend reported he was armed, had made suicidal threats on social media, and may have taken drugs. Authorities initially said it was unclear whether Evans pointed or fired his handgun.</t>
  </si>
  <si>
    <t>http://www.deseretnews.com/article/865635615/Man-shot-killed-by-Spanish-Fork-police-officer-in-church-parking-lot.html?pg=all</t>
  </si>
  <si>
    <t>Officers responded to a robbery, they attempted to subdue Davis with a Taser but when that failed, and officer saw a gun in his hand, he was shot.</t>
  </si>
  <si>
    <t>http://www.dallasnews.com/news/metro/20150903-dallas-police-man-killed-by-officer-had-pellet-gun.ece</t>
  </si>
  <si>
    <t>Police came to the scene after a report of a dispute between neighbors, according to authorities. Police shot Soriano after he allegedly attacked officers with an "unknown hard object." Two officers are being treated for moderate injuries, police said.</t>
  </si>
  <si>
    <t>http://www.dailynews.com/general-news/20150901/man-fatally-shot-by-police-in-van-nuys-was-homeless-coroner-says</t>
  </si>
  <si>
    <t>Alehegne allegedly attacked an officer with a metal bicycle chain before she returned fire, according to authorities. Police said the officer was treated for injuries to her face and head and released from the hospital.</t>
  </si>
  <si>
    <t>http://www.mercurynews.com/crime-courts/ci_28734820/oakland-police-release-name-suspect-officer-fatal-shooting</t>
  </si>
  <si>
    <t>Pickard was leading officers on a car chase after a report of disorder with a weapon when Pickard crashed his car, police said. Pickard exited his car and allegedly brandished his weapon before police shot him.</t>
  </si>
  <si>
    <t>http://www.timesfreepress.com/news/local/story/2015/aug/27/police-highway-153-blocked-after-fatal-shooting-hixson/322021/</t>
  </si>
  <si>
    <t>Lambrose's wife told police her husband was suicidal and had barricaded herself and their three children inside their house, according to authorities. An officer was rescuing Lambrose's children from an upstairs room when Lambrose entered the room and allegedly fired a shot toward the officer, prompting the officer to return fire, police said.</t>
  </si>
  <si>
    <t>http://www.sltrib.com/home/2880568-155/police-west-jordan-man-dead-after</t>
  </si>
  <si>
    <t>Dodd, who was reportedly suicidal, was standing on the overpass of a bridge and told officers he had a gun, police said. An officer shot Dodd in the leg when he allegedly pulled a gun out of his pocket, causing him to fall from the overpass onto the boulevard below, police said. Officials later said that Dodd was carrying a pellet gun.</t>
  </si>
  <si>
    <t>http://www.tennessean.com/story/news/local/hendersonville/2015/08/26/hendersonville-police-investigating-incident/32386959/</t>
  </si>
  <si>
    <t>http://articles.philly.com/2015-08-27/news/65891377_1_county-courthouse-smith-deputy-sheriff-shot</t>
  </si>
  <si>
    <t>Officers attempted to pull over Maestas for speeding, but ended up in a car chase that ended in an exchange of gunfire, according to police. New Mexico state police said multiple agencies were involved in the incident and have not released the agency of the officer who fired the fatal shot.</t>
  </si>
  <si>
    <t>http://www.santafenewmexican.com/news/high-speed-chase-ends-in-fatal-officer-involved-shooting/article_4c2bd7f0-4b29-11e5-bb0e-cbe70da6c311.html</t>
  </si>
  <si>
    <t>Detectives were investigating a separate shooting when Arroliga shot at them and the officers returned fire, police said.</t>
  </si>
  <si>
    <t>http://www.miamiherald.com/news/local/crime/article32465772.html</t>
  </si>
  <si>
    <t>Police said they approached a residence where they believed Randolph, who was wanted on a felony drug warrant, was staying. Officers spoke with Randolph through a window and fired when he revealed a weapon, according to police.</t>
  </si>
  <si>
    <t>http://www.azcentral.com/story/news/local/phoenix/breaking/2015/08/25/phoenix-pd-working-active-shooting-scene/32360753/</t>
  </si>
  <si>
    <t>Deputies responded to a domestic call and found Tomlinson armed, police said. Officers shot Tomlinson after he allegedly ignored repeated requests to drop his weapon and raised it toward the officers. His brother, Scott Tomlinson, was found dead from gunshot wounds inside the residence, according to authorities.</t>
  </si>
  <si>
    <t>http://www.tampabay.com/news/publicsafety/crime/hillsborough-deputy-involved-in-shooting-one-suspect-wounded-deputy/2242748</t>
  </si>
  <si>
    <t>Police claim that they responded to a domestic disturbance report. Norris was armed with a gun and confronted police outside his house. Police say Norris pointed his weapon in their direction and they returned fire. Norris died at the scene.</t>
  </si>
  <si>
    <t>http://www.wfmynews2.com/story/news/local/2015/08/24/one-dead-archdale-officer-involved-shooting/32252479/</t>
  </si>
  <si>
    <t>Tompkins stole a truck and engaged in a car chase with police, and there was a female in the vehicle's passenger seat. Police pursued Tompkins to County Road 1825 where both suspects jumped out of the truck, ran and hid behind a chicken house. Tompkins died of multiple gunshot wounds, and the woman was taken into custody.</t>
  </si>
  <si>
    <t>http://www.wvtm13.com/news/cullman-county-authorities-identify-man-shot-by-arab-police/34883830</t>
  </si>
  <si>
    <t>Hoffman was shot and killed outside his home by police. Police arrived at the home based on a disturbance call. Hoffman was armed at the time and when police asked Hoffman to drop his weapon, he refused. Hoffman's father said there was proof his son was surrendering before he was shot.</t>
  </si>
  <si>
    <t>http://www.nj.com/ocean/index.ssf/2015/08/family_says_emotional_goodbye_to_brick_man_shot_by.html</t>
  </si>
  <si>
    <t>Officers were responding to a domestic violence call by Compo's wife, who had ran to a nearby church to contact police. Compo's wife directed police back to her home where police set up a perimeter to try and get Compo to come out of the house. Compo was uncooperative and when he raised his rifle as if he were about to shot, the police started firing. Compo was pronounced dead at the scene.</t>
  </si>
  <si>
    <t>http://www.firstcoastnews.com/story/news/crime/2015/08/23/jso-officer-involved-incident-reported-west-jacksonville/32231241/</t>
  </si>
  <si>
    <t>There were reports of gunshots fired in the area around 7:30 a.m. Snider was carrying a firearm, repeatedly entering and leaving the neighborhood while shouting and firing his rifle. Police tried to negotiate with Snider without success, and when Snider pointed the firearm at police, he was fired upon.</t>
  </si>
  <si>
    <t>http://www.scrippsmedia.com/ktnv/news/Man-shot-by-Las-Vegas-police-following-barricade-near-Buffalo-Alta-drives-322625862.html</t>
  </si>
  <si>
    <t>Officers were called about a disturbance, when they arrived Schneider was standing in front of his home with a gun. Officers ordered him to put his gun down, he pointed it at officers and was then shot and killed.</t>
  </si>
  <si>
    <t>http://www.startribune.com/man-fatally-shot-by-itasca-county-deputy-is-id-d/322626551/</t>
  </si>
  <si>
    <t>Officers were on a scene of an unrelated investigation when they saw a robbery taking place in a Subway. The man appeared to be armed, and officers fired shot and killed him.</t>
  </si>
  <si>
    <t>http://www.bakersfieldnow.com/news/local/Family-demands-investigation-after-police-shooting-322761581.html</t>
  </si>
  <si>
    <t>Morgan was shot at his home after authorities said he approached a deputy with a knife. Morgan was living in a group home at the time and had barricaded himself in his room after a dispute over a bill. Police spent over an hour trying to get Morgan to leave his room peacefully without success. After they forcefully entered the room, Morgan charged at authorities with a knife and was then shot.</t>
  </si>
  <si>
    <t>http://www.fredericksburg.com/news/crime_courts/king-george-sheriff-deputy-gave-man-every-opportunity-to-surrender/article_5b6e9432-4a75-11e5-8dd2-cb62e7e351c0.html</t>
  </si>
  <si>
    <t>Garner attempted to flee traffic stop and was shot by officer.</t>
  </si>
  <si>
    <t>http://www.kansas.com/news/local/crime/article32105529.html</t>
  </si>
  <si>
    <t>Authorities received reports of an attempted carjacking. An officer who was in the area went to the intersection and saw Faison who fit the description of the suspected carjacker. The officer followed Faison while he waited for backup and when another officer joined him, they approached the Faison. The latter fired on both officers with a handgun and the officers fired back, hitting the man. Faison was later pronounced dead at the hospital.</t>
  </si>
  <si>
    <t>http://wivb.com/2015/08/23/troy-officers-hospitalized-after-shootout-gunman-dead/</t>
  </si>
  <si>
    <t>Rushton barricaded himself in a room, then charged police with a kitchen knife when they tried to take him into custody.</t>
  </si>
  <si>
    <t>http://www.wral.com/police-wake-forest-man-charged-officers-with-knife-before-being-shot/14847812/</t>
  </si>
  <si>
    <t>Police officer recognized Hall as someone with a warrant, when he tried to arrest him a struggle began. Hall managed to get into his car to drive away and the officer shot him in the upper torso.</t>
  </si>
  <si>
    <t>http://www.baltimoresun.com/news/maryland/bs-md-police-shooting-north-east-20150822-story.html</t>
  </si>
  <si>
    <t>http://www.ifiberone.com/news/masoncounty/man-fatally-shot-by-mason-county-sheriff-s-deputy/article_3efae09e-4db8-11e5-a8f9-ff9b94dd2298.html</t>
  </si>
  <si>
    <t>Police responded to an assault call, Tevis hit the officer and the two fought. Officer used a Taser but it had no effect. As Tevis came at the officer with a large metal spoon raised, the officer shot him twice.</t>
  </si>
  <si>
    <t>http://www.al.com/news/birmingham/index.ssf/2015/08/man_fatally_shot_by_tuscaloosa.html</t>
  </si>
  <si>
    <t>After Herrera robbed a Jack-In-The-Box, he got on his skateboard and pointed a gun at people while shouting he had a gun. Officers confronted him, Herrera pointed his gun at them, and he was shot.</t>
  </si>
  <si>
    <t>http://www.dailybulletin.com/general-news/20150821/ontario-police-identify-teen-killed-in-officer-involved-shooting</t>
  </si>
  <si>
    <t>Gerken was killed after a standoff with county deputies, police said. Gerken allegedly opened fire on deputies before they returned fire and killed him.</t>
  </si>
  <si>
    <t>http://www.thenewscenter.tv/home/headlines/new-details.html</t>
  </si>
  <si>
    <t>Police chased Ransom until he pulled into a parking lot, pulled out a handgun, and officers opened fire.</t>
  </si>
  <si>
    <t>http://www.freep.com/story/news/local/michigan/oakland/2015/08/20/police-chase-troy-bloomfield-hills-warren-absconder-shooting/32056645/</t>
  </si>
  <si>
    <t>Authorities received reports of a man (Hale) walking around with a gun. One of the callers said he was threatened by Hale after trying to take his keys, and Hale told the victim he had a gun and was suicidal. After Hale was found by police, a physical altercation ensued. When Hale pulled his gun on authorities, he was shot in the jaw and died of his injuries.</t>
  </si>
  <si>
    <t>https://spokane-news.com/2015/08/26/sirr-team-update-stevens-county-deputys-officer-involved-shooting-in-hunters-wa/</t>
  </si>
  <si>
    <t>http://www.stltoday.com/news/local/crime-and-courts/fires-set-off-police-confront-crowds-hours-after-st-louis/article_9eae9155-9f8e-5296-b836-45326918fda3.html</t>
  </si>
  <si>
    <t>Authorities responded to a church after receiving a call reporting that four people had been shot. Police said Baker, an Army veteran suffering from PTSD, died after exchanging gunfire with law enforcement at the church. Authorities said no one else was shot as the caller had reported.</t>
  </si>
  <si>
    <t>http://www.startribune.com/man-shot-in-gunfire-exchange-with-officers-in-north-carolina/322391871/</t>
  </si>
  <si>
    <t>The officer was responding to a report of a shooting when he approached Roy, who pulled a revolver out of his waistband, police said. The two struggled over the gun prompting the officer to fire his own weapon, police said.</t>
  </si>
  <si>
    <t>Police were chasing Jacquez when he crashed the vehicle and ran toward a home, unarmed, when police shot him once in the back and once when he turned around.</t>
  </si>
  <si>
    <t>http://www.latimes.com/local/crime/la-me-san-jose-police-20150822-story.html</t>
  </si>
  <si>
    <t>Police were investigating a recent homicide when two officers fired at Castillo, a suspect, after he reached for a handgun, according to police.</t>
  </si>
  <si>
    <t>http://www.nbcbayarea.com/news/local/Officer-Involved-Shooting-in-San-Jose-322019022.html?utm_source=dlvr.it&amp;utm_medium=twitter</t>
  </si>
  <si>
    <t>Norton allegedly assaulted his wife before she fled the residence with her two children. Officers returned fire when Norton fired a shot as he exited his home, police said.</t>
  </si>
  <si>
    <t>http://www.mysanantonio.com/news/local/article/Kerrville-police-shoot-kill-man-who-fired-rifle-6448471.php</t>
  </si>
  <si>
    <t>Baker was shot while fleeing a Motel 6 with another man after officers arrived to investigate 'suspicious activity,' according to authorities. Police initially said Baker fired at officers but now say he refused to drop his weapon. The other man escaped and was reported to be armed and dangerous.</t>
  </si>
  <si>
    <t>http://www.sfgate.com/crime/article/Prostitution-call-preceded-fatal-Sunnyvale-police-6448999.php</t>
  </si>
  <si>
    <t>Authorities said Ashley, a homeless man wanted for murder, was shot dead after he pointed a gun at two deputies behind a mini-mart. Ashley had been the subject of an intense manhunt and the deputies were responding to a tip-off about his location.</t>
  </si>
  <si>
    <t>http://www.latimes.com/local/lanow/la-me-ln-kern-county-shooting-20150815-story.html</t>
  </si>
  <si>
    <t>Authorities said Unsworth was shot after refusing to stop advancing towards officers at a home despite being shocked with a stun gun. Police were responding to an early-morning report that Unsworth was acting out of control and had attacked relatives.</t>
  </si>
  <si>
    <t>http://www.madisoncourier.com/Content/News/News/Article/Hanover-man-dead-in-officer-involved-shooting/178/961/92193</t>
  </si>
  <si>
    <t>Pope was fatally shot by deputy Carl Howell at a home during an exchange of gunfire that also killed the deputy. Howell, a nine-year veteran of the department, had been called to respond to an early-morning domestic disturbance. A woman was found with injuries and three children were evacuated.</t>
  </si>
  <si>
    <t>http://www.nevadaappeal.com/news/17729220-113/several-popping-noises-right-consecutive</t>
  </si>
  <si>
    <t>Ruiz became unresponsive after being shocked with a Taser and handcuffed, according to authorities. He had been pursued and intercepted by officers after allegedly stealing a large flagpole and swinging it at motorists and passersby.</t>
  </si>
  <si>
    <t>http://www.sgvtribune.com/general-news/20150816/suspect-dies-after-being-shot-with-taser-by-police</t>
  </si>
  <si>
    <t>Officer heard a car crash, and when he went to investigate he saw Manley fleeing the crash. The officer caught up to Manley and shot him during a struggle over his gun. Second officer arrived and stunned him with a Taser, but it wasn't until a third officer arrived that he was restrained.</t>
  </si>
  <si>
    <t>http://www.wusa9.com/story/news/local/maryland/2015/08/15/suspect-shot-police-after-struggle-over-officers-gun/31772861/</t>
  </si>
  <si>
    <t>Anderson is accused of robbing a bank and leading multiple police departments on a car chase that ended when he crashed his vehicle, police said. Anderson exited and continued to approach police with a box cutter after multiple requests to halt and an officer deployed his Taser, according to police. Anderson was previously shot by police nine years ago after a standoff with officers, authorities said.</t>
  </si>
  <si>
    <t>http://www.courant.com/breaking-news/hc-bolton-chase-update-0818-20150817-story.html</t>
  </si>
  <si>
    <t>Gonzalez was shot at an apartment complex after refusing several commands to drop a gun that he was brandishing at an officer, according to authorities. The officer was responding to reports of a domestic disturbance and a man with a gun.</t>
  </si>
  <si>
    <t>http://www.mysanantonio.com/news/local/article/Man-brandishes-gun-at-Boerne-police-is-shot-and-6446247.php</t>
  </si>
  <si>
    <t>A person released on parole was shot and killed by authorities after he emerged from his pickup following a brief pursuit and pointed a gun at law enforcement. Authorities attempted to pull him over, but the parolee sped off; police only chased after him for a short distance before he crashed into a fence then exited his vehicle while pointing a gun at police. There was a brief standoff before he was shot and killed.</t>
  </si>
  <si>
    <t>http://www.pe.com/articles/vallejo-776889-convicted-shot.html</t>
  </si>
  <si>
    <t>Police were pursuing Wilks in a car chase when Wilks crashed his vehicle. He then attempted to carjack another car, pointed a gun at police, and was shot by three officers.</t>
  </si>
  <si>
    <t>http://www.sfgate.com/bayarea/article/Calls-for-justice-at-vigil-for-man-killed-by-6445927.php</t>
  </si>
  <si>
    <t>http://abc7.com/news/armed-woman-shot-by-police-in-crenshaw-district/925223/</t>
  </si>
  <si>
    <t>Officers chased Marshall in a stolen vehicle, when he got out of the vehicle he went into the crawlspace of a home on Earl St. Officers sent a K-9 officer into the crawlspace, and Marshall shot him which led an officer to shoot Marshall.</t>
  </si>
  <si>
    <t>http://www.cleveland19.com/story/29210147/cleveland-fugitive-reginald-marshall-killed-in-toledo-standoff</t>
  </si>
  <si>
    <t>Smith was a passenger in a car that fled from law enforcement officials, authorities said. Multiple officers fired at Smith when the car chase ended on a dead-end street. Police said a gun was found near Smith and that the driver of the car was taken into custody.</t>
  </si>
  <si>
    <t>http://www.kob.com/article/stories/s3879034.shtml#.VgXutctVikp</t>
  </si>
  <si>
    <t>Officials said police were trying to serve an arrest warrant when there was a struggle between the officers and Alarcon. Alarcon allegedly fired twice at the officers before being shot dead. Two officers received minor injuries, according to police</t>
  </si>
  <si>
    <t>http://www.spokesman.com/stories/2015/aug/11/man-dies-after-police-shooting-sandpoint/</t>
  </si>
  <si>
    <t>After Hughes allegedly tried to steal $80 worth of brisket from a grocery store, police said he threatened officers with a knife when they attempted to handcuff him. Police said they shot Hughes after first attempting to subdue him with a Taser.</t>
  </si>
  <si>
    <t>http://www.kwtx.com/home/headlines/Shooting-Reported-At-Local-H-E-B-Store-321470271.html</t>
  </si>
  <si>
    <t>Law enforcement officers were tracking Shull, who police say was wanted in the area, and gunfire broke out when they found him at a gas station, according to authorities. Two troopers were wounded in the gunfight.</t>
  </si>
  <si>
    <t>http://www.oaoa.com/news/crime_justice/article_0d1cc546-4094-11e5-b2c0-67fa1d7ef932.html</t>
  </si>
  <si>
    <t>A motorcycle officer stopped Young for speeding in a school zone, police said. While the officer completed his citation, Young reportedly reversed his car and struck the officer and the motorcycle, and then accelerated his car toward the officer when the officer shot him, police said.</t>
  </si>
  <si>
    <t>http://www.azcentral.com/story/news/local/gilbert/breaking/2015/08/10/officer-involved-shooting-scene--gilbert-abrk/31414861/</t>
  </si>
  <si>
    <t>Multiple San Jose police officers fatally shot the man after he allegedly stabbed someone. Officers fired their guns while attempting to detain the man after locating him about a mile away from the scene of the stabbing.</t>
  </si>
  <si>
    <t>http://www.sfgate.com/crime/article/San-Jose-police-shoot-and-kill-stabbing-suspect-6434653.php</t>
  </si>
  <si>
    <t>Tompkins allegedly refused to keep his hands out of his pockets while talking to officers who had been dispatched to respond to reports of a suicidal man. Police said Tomkins then pulled out what appeared to be a handgun, prompting officers to fire. Police said they subsequently discovered that Tompkins had ingested a large quantity of rat poison.</t>
  </si>
  <si>
    <t>http://www.kxii.com/home/headlines/Suspect-in-Ardmore-officer-involved-shooting-dies-321179871.html</t>
  </si>
  <si>
    <t>Quinn, in a motorized wheelchair outside his "apartment complex for elderly, disabled and low-income residents" and flourishing a pellet gun, was shot to death by local police after refusing 15 to 20 commands to drop his weapon.</t>
  </si>
  <si>
    <t>http://timesleader.com/news/local/376876/disabled-man-waving-gun-killed-by-police-in-pittston</t>
  </si>
  <si>
    <t>Wilkes was fatally shot by police after getting into a firefight with police. Officers believe Wilkes shot and killed Charles Dean Thompson, a former Gaston County police officer. The shooting took place in someone's home. Two officers and a bystander were shot in the encounter, but sustained non-fatal injuries.</t>
  </si>
  <si>
    <t>http://www.charlotteobserver.com/news/local/crime/article30532512.html</t>
  </si>
  <si>
    <t>McDaniel entered a standoff with police when they found McDaniel man in a house. He then started firing a gun from inside the house toward officers. Then he came out of the house shooting and was shot and killed.</t>
  </si>
  <si>
    <t>http://www.khq.com/story/29771812/man-killed-in-officer-involved-shooting-identified</t>
  </si>
  <si>
    <t>Officers were called to 3rd Street after receiving reports of Burr and his brother arguing outside. One of the brothers shot at the police car when they showed up to the scene. The officer returned to the car, pulled out an AR-15, fired a few shots at the brothers. Burr was pronounced dead at the scene.</t>
  </si>
  <si>
    <t>http://www.khou.com/story/news/local/2015/08/09/man-killed-in-officer-involved-shooting-in-waller-county/31363535/</t>
  </si>
  <si>
    <t>Palmer's death has been ruled as a suicide as he confided to a friend that he "wasn't going back to jail." His confrontation with the police was intentional and Palmer suffered multiple gunshot wounds, including a fatal one in his chest. Palmer was shot eight times by police.</t>
  </si>
  <si>
    <t>http://www.postandcourier.com/article/20150810/PC16/150819946</t>
  </si>
  <si>
    <t>Marchese was shot in front of his house after police saw him pull a toy gun out of his pocket. Police were called about an armed man walking around the street. Marchese had been released on drug possessions charges the evening before.</t>
  </si>
  <si>
    <t>http://abc30.com/news/fresno-county-officer-involved-shooting-leaves-suspect-dead/910392/</t>
  </si>
  <si>
    <t>Correa was apparently found hiding in a closet of a home police were investigating for a broken window. Police said Correa lunged at officers with a sharp object.</t>
  </si>
  <si>
    <t>http://www.reviewjournal.com/news/las-vegas/police-shoot-kill-man-holding-sharp-object</t>
  </si>
  <si>
    <t>Taylor had broken into a car dealership after hours and in security surveillance footage can be seen jumping on cars and smashing the windows of several vehicles. A security guard on duty that night called police about the break in. Six Arlington police arrived and Brad Miller, a rookie cop, fatally shot Taylor. Has since been fired from his station.</t>
  </si>
  <si>
    <t>http://www.washingtonpost.com/news/morning-mix/wp/2015/08/12/christian-taylors-father-feels-for-fired-cop-there-isnt-a-winner-in-this-we-are-both-losers/</t>
  </si>
  <si>
    <t>Hunt died in a confrontation with police after someone had called 911 about a stabbing occurring near the Artesia Courts apartment complex. Hunt had allegedly stabbed his 29-year-old wife, her 25-year-old brother and a 24-year-old neighbor that lived in the complex. Hunt then allegedly left the complex and entered a convalescent home on the south side of the street, where he allegedly stabbed three female employees. Police arrived at the scene, and Hunt allegedly charged at police and was then shot.</t>
  </si>
  <si>
    <t>http://homicide.latimes.com/post/derrick-lee-hunt/</t>
  </si>
  <si>
    <t>Deputy Michael O'Brien shot and killed 53-year-old Mark Keckhaser after Keckhaser was driving erratically down an alley and swerved to hit O'Brien. Keckhafer/Keckhaser was allegedly intoxicated and attempted to flee police in a high speed pursuit.</t>
  </si>
  <si>
    <t>http://missoulian.com/news/local/mineral-county-releases-names-of-deputy-victim-in-fatal-shooting/article_b5fd7dbd-f901-5fba-b7d9-5260acaac37c.html</t>
  </si>
  <si>
    <t>Russo grew combative with police and EMS personnel when they were called to his home. Police tasered him and EMS gave Russo a sedative to calm him down. Russo began having trouble breathing, EMS officials administered medical aid. He was transported to Hartford Hospital, where he was later pronounced dead.</t>
  </si>
  <si>
    <t>http://foxct.com/2015/08/08/combative-man-hit-by-taser-in-hartford-dies/</t>
  </si>
  <si>
    <t>The officer, who was off duty, intervened when a fight broke out at a restaurant. Police said Clark pulled out a weapon and fired at the officer, and the officer returned fire.</t>
  </si>
  <si>
    <t>Police pulled over car, car pulled into back parking lot of sport's bar. Officer parked behind them and stepped out of his vehicle, as several people got out of the other vehicle. Officer spotted that one had a gun and focused attention on him. Suspect appeared to reach into back window of car and officer pulled his weapon. Suspect backed up and was struck.</t>
  </si>
  <si>
    <t>Cops received a call and went to home to find Montano in a bathroom stabbing his wife with a butcher knife. Police repeatedly told him to put down the knife, but he did not. He then charged at the cop with the knife and was shot.</t>
  </si>
  <si>
    <t>http://www.cincinnati.com/story/news/2015/08/07/ksp-investigating-officer-involved-elsmere-shooting/31273817/</t>
  </si>
  <si>
    <t>Robinson ran from an officer after a traffic stop. The office deployed his Taser, and Robinson fell from an eight-foot wall, sustaining fatal injuries.</t>
  </si>
  <si>
    <t>http://atlantadailyworld.com/2015/08/21/rally-to-protest-taser-death-of-troy-robinson-by-police-at-dekalb-courthouse/</t>
  </si>
  <si>
    <t>Galaviz knocked a woman down at a bus stop and stole her cellphone. He then ran towards his truck and pulled out a gun. An off-duty police officer happened by the scene and identified himself.The police officer asked Galaviz to drop his gun. When he refused, the police officer shot him once.</t>
  </si>
  <si>
    <t>Police responded to a report of a suicidal man at an apartment complex. They tried to talk him down for over an hour. Officers decided to try going into his apartment. When they approached him, he threatened officers and attempted to stab one of them. An officer shot Dieringer in response.</t>
  </si>
  <si>
    <t>Cops were called to area after reports of an armed male. During an on-foot pursuit, Hargrove fired first, after police told him to drop his weapon, he did not comply, and the two cops fired.</t>
  </si>
  <si>
    <t>http://bigstory.ap.org/article/591758407e704e56a35001a00033f9cd/white-officer-recovering-after-shootout-black-suspect</t>
  </si>
  <si>
    <t>Officers got call about man with fake police badge. Upon questioning he got agitated and walked away, then turned around and opened fire on police. Officers shot back and took cover, hitting him with 11 bullets.</t>
  </si>
  <si>
    <t>http://mauinow.com/2015/08/10/man-killed-in-keopuolani-shootout-identified/</t>
  </si>
  <si>
    <t>Dattilo said something to two officers while walking by, and they noticed he had a knife. Dattilo swung the knife at the officers. As the officer backed away, Dattilo charged at them while waving the knife. Police shot him multiple times.</t>
  </si>
  <si>
    <t>http://www.whas11.com/story/news/crime/2015/08/06/man-fatally-shot-after-attacking-officers--knife/31203233/</t>
  </si>
  <si>
    <t>Police were called when Montano started attacking people with a hatchet and pepper spray in a movie theatre. When officers and SWAT arrived, shots were exchanged. Montano left through back entrance but was greeted by more officers waiting outside who shot him.</t>
  </si>
  <si>
    <t>http://www.tennessean.com/story/news/2015/08/06/police-describe-scene-inside-antioch-theater/31202637/</t>
  </si>
  <si>
    <t>The incident occurred when an Orange County Sheriff's Department officer found Aliva distressed and acting strangely pulled over on Las Pulgas Road. When the Deputy approached Aliva began aggressively pointing and yelling at the deputy. An hour-long standoff ensued as the man said that he was armed. When Aliva emerged from his car he had a black shirt wrapped around his hand, extending it as if it was a weapon. A deputy fired a bean bag round at Aliva, but it did not subdue him, then three OCSD officers and two border patrol agents fired their guns killing Aliva.</t>
  </si>
  <si>
    <t>Police went to Graves hotel after identifying him as a suspect in a robbery. Graves refused to come out of the room and after a six hour standoff, police shot tear gas in the room to force him to come. He came out holding something metallic which officers believed was a weapon so they shot him.</t>
  </si>
  <si>
    <t>Clements was suspected of sexual assault, and when officers arrived at his residence, he came out and shot an officer in the chest. Then, officers shot him to death.</t>
  </si>
  <si>
    <t>Officers responded to a call regarding a domestic situation, when they arrived they encountered Short with a firearm and was shot by a deputy.</t>
  </si>
  <si>
    <t>Pending investigaton</t>
  </si>
  <si>
    <t>http://wric.com/2015/08/04/state-police-armed-man-killed-after-officer-involved-shooting-in-powhatan-county/</t>
  </si>
  <si>
    <t>Malave attempted to burglarize the Horseshoe Pike Gun Shop, in Campbelltown, Pennsylvania, early Monday. A burglary alarm went off and law enforcement responded to the scene, which is about 15 minutes away from Harrisburg. Malave, carrying a rifle, fled into a nearby soybean field with bags and backpacks filled with guns. He was fatally shot by police during the encounter.</t>
  </si>
  <si>
    <t>Parole officers attempted to arrest Ruble when he attempted to leave his home, when they told him to stop he took out a gun and pointed it at officers before entering a detached garage which began a standoff. Negotiators tried to end the standoff peacefully but after multiple phone conversations with Ruble he allegedly started a fire in the garage before jumping from the second story of the building. Police say that Rubles gun was pointed at authorities when they engaged in gunfire, and Ruble was killed.</t>
  </si>
  <si>
    <t>Reynolds was driving the wrong way on a highway hitting other cars and eventually police cars when they arrived. Officers reported that Reynolds tried to back over them when they shot him. His daughter said that Reynolds had battled with mental illness and drug addiction.</t>
  </si>
  <si>
    <t>http://www.click2houston.com/news/driver-shot-killed-after-leading-police-on-chase-across-sw-houston/34492804</t>
  </si>
  <si>
    <t>Serrano was spotted with another woman at the site of recent homicide. When police arrived the man fled and was shot after gunfire was exchanged.</t>
  </si>
  <si>
    <t>http://tucson.com/news/blogs/police-beat/man-killed-in-tucson-police-shooting-linked-to-slaying/article_760fd780-3bd7-11e5-9927-0f42f589a5ea.html</t>
  </si>
  <si>
    <t>Cook was reportedly involved in a domestic dispute but fled the scene before an officer arrived. He was found at a nearby boat ramp where he shot at an officer, before the officer returned fire, according to police.</t>
  </si>
  <si>
    <t>Hutcheson ran into the lobby of a jail asking for help because his wife was out to kill him. Sheriff's officers were witnessed to have put a knee on his body and on his neck, despite Hutcheson saying that he couldn't breath. He died shortly thereafter. He'd been incarcerated recently for drugs, but witnesses say that he was not aggressive towards officers at all.</t>
  </si>
  <si>
    <t>E Liberty St &amp; Walnut St</t>
  </si>
  <si>
    <t>45202</t>
  </si>
  <si>
    <t>31811</t>
  </si>
  <si>
    <t>3451 Mountain Lion Drive</t>
  </si>
  <si>
    <t>80537</t>
  </si>
  <si>
    <t>85706</t>
  </si>
  <si>
    <t>19th Street and South Ashland Avenue</t>
  </si>
  <si>
    <t>78249</t>
  </si>
  <si>
    <t>Mt. Vernon</t>
  </si>
  <si>
    <t>10553</t>
  </si>
  <si>
    <t>78255</t>
  </si>
  <si>
    <t>92108</t>
  </si>
  <si>
    <t>300 E Center St</t>
  </si>
  <si>
    <t>75210</t>
  </si>
  <si>
    <t>14600 Valerio St</t>
  </si>
  <si>
    <t>91405</t>
  </si>
  <si>
    <t>200 MacArthur Blvd and Van Buren Ave</t>
  </si>
  <si>
    <t>5900 TN-153</t>
  </si>
  <si>
    <t>37343</t>
  </si>
  <si>
    <t>6420 W 9500 S</t>
  </si>
  <si>
    <t>84081</t>
  </si>
  <si>
    <t>37075</t>
  </si>
  <si>
    <t>19380</t>
  </si>
  <si>
    <t>Cerrillos Road and Beckner Road</t>
  </si>
  <si>
    <t>New Mexico State Police, Santa Fe Police Department, Santa Fe County Sheriff's Office</t>
  </si>
  <si>
    <t>13200 NW 7th Ave</t>
  </si>
  <si>
    <t>33592</t>
  </si>
  <si>
    <t>104 Mae Matilda Ct</t>
  </si>
  <si>
    <t>27263</t>
  </si>
  <si>
    <t>35016</t>
  </si>
  <si>
    <t>08724</t>
  </si>
  <si>
    <t>32220</t>
  </si>
  <si>
    <t>89145</t>
  </si>
  <si>
    <t>55721</t>
  </si>
  <si>
    <t>Itasca County Sheriff's Office</t>
  </si>
  <si>
    <t>1215 Olive Drive</t>
  </si>
  <si>
    <t>22485</t>
  </si>
  <si>
    <t>67209</t>
  </si>
  <si>
    <t>12182</t>
  </si>
  <si>
    <t>1117 Chamberwell Ave.</t>
  </si>
  <si>
    <t>27587</t>
  </si>
  <si>
    <t>75 North East Plaza</t>
  </si>
  <si>
    <t>21901</t>
  </si>
  <si>
    <t>98546</t>
  </si>
  <si>
    <t>3202 University Boulevard East</t>
  </si>
  <si>
    <t>35404</t>
  </si>
  <si>
    <t>S Archibald Ave &amp; E Riverside Dr</t>
  </si>
  <si>
    <t>91761</t>
  </si>
  <si>
    <t>45715</t>
  </si>
  <si>
    <t>Woodward Avenue and Square Lake Road</t>
  </si>
  <si>
    <t>Bloomfield Hills</t>
  </si>
  <si>
    <t>48302</t>
  </si>
  <si>
    <t>Bloomfield Police Department, Warren Police Department</t>
  </si>
  <si>
    <t>Highway 25 and Lemon St</t>
  </si>
  <si>
    <t>99137</t>
  </si>
  <si>
    <t>28786</t>
  </si>
  <si>
    <t>77026</t>
  </si>
  <si>
    <t>Stoneyhaven Way and Kirkhaven Ct San Jose, California</t>
  </si>
  <si>
    <t>78028</t>
  </si>
  <si>
    <t>93527</t>
  </si>
  <si>
    <t>4012 W 400 S Rd</t>
  </si>
  <si>
    <t>47243</t>
  </si>
  <si>
    <t>89706</t>
  </si>
  <si>
    <t>12701 Schabarum Ave</t>
  </si>
  <si>
    <t>91706</t>
  </si>
  <si>
    <t>Walker Mill Rd &amp; Marlboro Pike</t>
  </si>
  <si>
    <t>Spauldings</t>
  </si>
  <si>
    <t>20743</t>
  </si>
  <si>
    <t>Prince George's Police Department</t>
  </si>
  <si>
    <t>06043</t>
  </si>
  <si>
    <t>78006</t>
  </si>
  <si>
    <t>Cawston Ave. and Acacia Ave.</t>
  </si>
  <si>
    <t>92545</t>
  </si>
  <si>
    <t>27th Street and Martin Luther King Jr. Way</t>
  </si>
  <si>
    <t>94612</t>
  </si>
  <si>
    <t>1137 Earl St.</t>
  </si>
  <si>
    <t>43605</t>
  </si>
  <si>
    <t>225 E Teague Dr</t>
  </si>
  <si>
    <t>88242</t>
  </si>
  <si>
    <t>76708</t>
  </si>
  <si>
    <t>79762</t>
  </si>
  <si>
    <t>E Guadalupe Rd &amp; N Val Vista Dr.</t>
  </si>
  <si>
    <t>85234</t>
  </si>
  <si>
    <t>95116</t>
  </si>
  <si>
    <t>101 North Main Street</t>
  </si>
  <si>
    <t>18640</t>
  </si>
  <si>
    <t>4908 Greenwood Drive</t>
  </si>
  <si>
    <t>3rd street and Kenney street</t>
  </si>
  <si>
    <t>29483</t>
  </si>
  <si>
    <t>W Shaw Ave &amp; N Hayes Ave</t>
  </si>
  <si>
    <t>93723</t>
  </si>
  <si>
    <t>89147</t>
  </si>
  <si>
    <t>1400 I-20</t>
  </si>
  <si>
    <t>Fifth St. and Penn St.</t>
  </si>
  <si>
    <t>59872</t>
  </si>
  <si>
    <t>Mineral County Sheriff's Office</t>
  </si>
  <si>
    <t>27858</t>
  </si>
  <si>
    <t>4024 Dyer St</t>
  </si>
  <si>
    <t>79930</t>
  </si>
  <si>
    <t>41018</t>
  </si>
  <si>
    <t>2150 Flat Shoals Rd</t>
  </si>
  <si>
    <t>30032</t>
  </si>
  <si>
    <t>S. 56th and Washington Street</t>
  </si>
  <si>
    <t>9050 W. Waterford Square</t>
  </si>
  <si>
    <t>53228</t>
  </si>
  <si>
    <t>23220</t>
  </si>
  <si>
    <t>Keopuolani Regional Park</t>
  </si>
  <si>
    <t>96732</t>
  </si>
  <si>
    <t>300 S 1st St</t>
  </si>
  <si>
    <t>40202</t>
  </si>
  <si>
    <t>Las Pulgas Rd &amp; I-5</t>
  </si>
  <si>
    <t>92058</t>
  </si>
  <si>
    <t>801 W Champaign Ave</t>
  </si>
  <si>
    <t>61866</t>
  </si>
  <si>
    <t>94609</t>
  </si>
  <si>
    <t>23139</t>
  </si>
  <si>
    <t>Powhatan County Sheriff's Office</t>
  </si>
  <si>
    <t>17078</t>
  </si>
  <si>
    <t>47302</t>
  </si>
  <si>
    <t>9900 Beechnut St</t>
  </si>
  <si>
    <t>307 Broadway Ave</t>
  </si>
  <si>
    <t>25143</t>
  </si>
  <si>
    <t>75207</t>
  </si>
  <si>
    <t>Santino Burce</t>
  </si>
  <si>
    <t>55051</t>
  </si>
  <si>
    <t>An officer shot Christen after he began repeatedly punching her in the head, police said. Christen had previously called 911 to say he "intended to kill someone" at an address on Watkins Street and crashed his car near the address shortly after the officer arrived at the scene, according to authorities.</t>
  </si>
  <si>
    <t>http://www.startribune.com/sheriff-deputy-fatally-shoots-man-attacking-him-in-mora/330238731/</t>
  </si>
  <si>
    <t>25801</t>
  </si>
  <si>
    <t>http://www.wowktv.com/story/30144266/wv-turnpike-shut-down-following-shots-fired-near-north-beckley</t>
  </si>
  <si>
    <t>Police arrived at Lundstrom's home in response to a report of domestic violence, according to authorities. Officers forced their way inside after Lundstrom refused to open the door and shot him when he approached with a "blunt object," police said.</t>
  </si>
  <si>
    <t>http://www.keloland.com/newsdetail.cfm/fatal-officer-involved-shooting/?id=185571</t>
  </si>
  <si>
    <t>Hernandez answered the door with what appeared to be a gun when police arrived at his home in response to a 911 call, according to authorities. Hernandez followed the officers out of the apartment building, continuing to point his gun and ignoring commands to drop it before he was shot, police said. Police later said that the gun was a replica and not an actual firearm.</t>
  </si>
  <si>
    <t>http://www.latimes.com/local/lanow/la-me-ln-san-diego-police-fatal-shooting-20150928-story.html</t>
  </si>
  <si>
    <t>NW 119th St &amp; I-95</t>
  </si>
  <si>
    <t>33168</t>
  </si>
  <si>
    <t>Prosper crashed the car he was driving, a cab, on the highway and was running from the scene when police arrived, according to authorities. An officer caught up with Prosper, and the two began struggling near the side of the highway, police said. The officer said he tasered and then shot Prosper after he bit the officer's finger.</t>
  </si>
  <si>
    <t>http://www.miamiherald.com/news/local/crime/article36802032.html</t>
  </si>
  <si>
    <t>25 Cochran Dr</t>
  </si>
  <si>
    <t>30741</t>
  </si>
  <si>
    <t>Shell left his home with a shotgun after deputies responded to a domestic violence call, police said. Deputies shot Shell after he ignored their commands to drop his weapon, according to authorities.</t>
  </si>
  <si>
    <t>http://www.wrcbtv.com/story/30127734/suspect-dead-in-officer-involved-shooting-in-walker-county</t>
  </si>
  <si>
    <t>90011</t>
  </si>
  <si>
    <t>Guzman was reportedly holding a knife. Police have provided no further details and have not confirmed how many officers opened fire or if Guzman wielded the weapon at police.</t>
  </si>
  <si>
    <t>http://abc7.com/news/woman-fatally-shot-by-lapd-in-south-los-angeles-identified/1006621/</t>
  </si>
  <si>
    <t>76259</t>
  </si>
  <si>
    <t>Police responded to a shots fired call and found Coronado-Martinez armed with a gun, according to authorities. Coronado-Martinez shot at the officer and the officer returned fire, killing him, police said.</t>
  </si>
  <si>
    <t>http://www.dentonrc.com/local-news/local-news-headlines/20150928-ponder-officer-kills-man.ece</t>
  </si>
  <si>
    <t>Officers were investigating reports of shots fired at a home when Lerma reportedly told officers he had a gun. Police said Lerma "presented a threat" and shot him after he refused to drop his gun, according to authorities.</t>
  </si>
  <si>
    <t>http://www.kob.com/article/stories/s3923423.shtml#.ViQiFitENIr</t>
  </si>
  <si>
    <t>6648 Maplewood Dr</t>
  </si>
  <si>
    <t>70812</t>
  </si>
  <si>
    <t>Deputies responded to the home after a woman called 911 and found McKinney stabbing the woman, police said. McKinney died at the scene after being shot and the woman is in critical condition, according to authorities.</t>
  </si>
  <si>
    <t>http://theadvocate.com/news/acadiana/13551773-123/east-baton-rouge-deputies-investigating</t>
  </si>
  <si>
    <t>Georgia State Patrol</t>
  </si>
  <si>
    <t>60651</t>
  </si>
  <si>
    <t>Police said they were responding to a disturbance when they encountered Anderson, who allegedly refused to drop a box cutter. Police said they tried to shock him with a Taser two times before resorting to deadly force. Anderson's mother disputes the police account and says officers never attempted to use a Taser.</t>
  </si>
  <si>
    <t>http://wgntv.com/2015/09/26/man-killed-in-officer-involved-shooting-on-west-side/</t>
  </si>
  <si>
    <t>86332</t>
  </si>
  <si>
    <t>Deputies were responding to reports of a suspect firing shots at party. Authorities said when they arrived, Blood went to a car, grabbed a gun and began firing 'in a threatening manner.'</t>
  </si>
  <si>
    <t>http://www.azfamily.com/story/30135717/ycso-identifies-deputies-who-shot-killed-armed-suspect</t>
  </si>
  <si>
    <t>44310</t>
  </si>
  <si>
    <t>Surveillance footage appears to show Lemmon and another man robbing a store and then running outside. Police confronted Lemmon behind a building and he was shot.</t>
  </si>
  <si>
    <t>http://www.wkyc.com/story/news/local/akron/2015/09/25/akron-police-shoot-kill-robbery-suspect/72829710/</t>
  </si>
  <si>
    <t>11201 SW 197th St</t>
  </si>
  <si>
    <t>33157</t>
  </si>
  <si>
    <t>Officers responding to a domestic disturbance arrived to find that a woman and a child, Lopez's wife and son, had been stabbed. Police said there was an altercation between Lopez and officers which led to him being shot.</t>
  </si>
  <si>
    <t>http://www.local10.com/news/policeinvolved-shooting-in-miami/35454894</t>
  </si>
  <si>
    <t>775 Legend Oak Dr</t>
  </si>
  <si>
    <t>Police have released few details about the shooting, but said that officers responded to a disturbance call and that they shot O'Grady, who was armed, after entering the house.</t>
  </si>
  <si>
    <t>http://gazette.com/fountain-police-officer-who-fatally-shot-teen-is-identified/article/1560162</t>
  </si>
  <si>
    <t>55102</t>
  </si>
  <si>
    <t>Officers responded to a report of a suicidal man and shot Quinn when he allegedly advanced at them with a screwdriver and refused commands to stop.</t>
  </si>
  <si>
    <t>http://www.startribune.com/st-paul-man-killed-in-officer-involved-shooting-is-identified/329566071/</t>
  </si>
  <si>
    <t>19805</t>
  </si>
  <si>
    <t>Police responded to the area following reports that McDole had shot himself, according to authorities. Officers said they fatally shot the armed man, who was in a wheelchair, some time after arriving at his home. A bystander video depicts the man adjusting himself in his chair before officers open fire.</t>
  </si>
  <si>
    <t>http://www.delawareonline.com/story/news/local/2015/09/24/justice-dept-investigates-police-involved-shooting/72737332/</t>
  </si>
  <si>
    <t>75069</t>
  </si>
  <si>
    <t>Collin</t>
  </si>
  <si>
    <t>Khammash was allegedly holding his ex-wife and their child in a van against their will. Police were taking Khammash into custody when he pulled out a gun and shot at officers, prompting them to return fire, according to authorities.</t>
  </si>
  <si>
    <t>http://www.wfaa.com/story/news/crime/2015/09/24/mckinney-police-violence-shooting-officers-joseph-khammash/72761076/</t>
  </si>
  <si>
    <t>21136</t>
  </si>
  <si>
    <t>An employee at a pharmacy called police to report that McLeod had tried to use a fake prescription, police said. The responding officer spotted McLeod in a parking lot near the pharmacy and fatally shot him after he reached "around to the small of his back and abruptly [whipped] his hand around and [pointed] it toward the officer, as if with a weapon," according to authorities.</t>
  </si>
  <si>
    <t>http://www.baltimoresun.com/news/maryland/baltimore-county/bs-md-police-man-shot-reisterstown-20150923-story.html</t>
  </si>
  <si>
    <t>24378</t>
  </si>
  <si>
    <t>Grayson</t>
  </si>
  <si>
    <t>A deputy arrived at Pinter's home to investigate two previous hit-and-runs, police said. While the deputy was interviewing Pinter, he pulled out a gun and fired a shot toward the deputy, who returned fire, according to authorities.</t>
  </si>
  <si>
    <t>http://wsls.com/2015/09/24/grayson-county-deputy-involved-deadly-shooting/</t>
  </si>
  <si>
    <t>838 S. Roberta St</t>
  </si>
  <si>
    <t>Berger allegedly broke into two homes and was stabbing a woman in the second when officers shot him. Police said the woman's condition is unknown.</t>
  </si>
  <si>
    <t>http://fox13now.com/2015/09/23/officer-kills-burglary-suspect-found-stabbing-woman-in-salt-lake-break-in/</t>
  </si>
  <si>
    <t>17199 E 14th St</t>
  </si>
  <si>
    <t>Osborne was killed in a shootout with police after alleged involvement in an attempted carjacking and a drive-by shooting earlier that morning. The man shot at officers before attempting to flee and engaged in the shootout with deputies, police said.</t>
  </si>
  <si>
    <t>http://www.sfgate.com/news/article/Man-shot-dead-by-deputies-in-San-Leandro-gun-6527763.php</t>
  </si>
  <si>
    <t>Anderson was threatening people inside his house with a shotgun and later barricaded himself inside in a "hostage situation," police said. When a Swat team arrived, Anderson left his home and exchanged gunfire with officers, according to authorities. Two officers were treated for minor gunshot wounds.</t>
  </si>
  <si>
    <t>http://www.reviewjournal.com/news/las-vegas/man-killed-north-las-vegas-officers-shootout-idd</t>
  </si>
  <si>
    <t>32578</t>
  </si>
  <si>
    <t>Smith, who had been served a restraining order based on domestic abuse, was turning in his guns to a deputy when he shot the deputy from behind, police said. Smith fled the scene and barricaded himself in a hotel room, which he left firing after police arrived, according to authorities.</t>
  </si>
  <si>
    <t>http://www.nbcnews.com/news/us-news/gunman-fatally-shoots-florida-deputy-outside-law-office-n431866</t>
  </si>
  <si>
    <t>FL-40 &amp; Co Rd 3</t>
  </si>
  <si>
    <t>32180</t>
  </si>
  <si>
    <t>Deputies stopped the car that Wagner was riding in for a faulty tail light and were speaking with the driver, a pregnant woman, when Wagner began shooting at the deputies, police said. The officers returned fire, killing Wagner. The woman was shot in the shoulder during the exchange and is being treated for her injuries, police said.</t>
  </si>
  <si>
    <t>http://www.clickorlando.com/news/man-killed-pregnant-woman-injured-during-shootout/35407050</t>
  </si>
  <si>
    <t>1200 Dixie Drive</t>
  </si>
  <si>
    <t>33823</t>
  </si>
  <si>
    <t>Fuller fled the area after officers responded to reports of suspicious activity, police said. When police caught up with Fuller, a deputy shot him after he raised his right hand holding what the deputy thought was a gun, according to authorities. Police later learned Fuller was holding a stapler.</t>
  </si>
  <si>
    <t>http://www.orlandosentinel.com/news/breaking-news/os-polk-deputy-involved-shooting-death-20150922-story.html</t>
  </si>
  <si>
    <t>US-82 &amp; US-271</t>
  </si>
  <si>
    <t>A trooper was approaching McKenney to check on his well being when McKenney became angry and the two started to struggle, police said. The trooper used his Taser to no effect before fatally shooting McKenney, according to local media.</t>
  </si>
  <si>
    <t>http://www.kltv.com/story/30089332/identity-of-man-killed-in-altercation-with-dps-trooper-released</t>
  </si>
  <si>
    <t>75230</t>
  </si>
  <si>
    <t>Witnesses said Ramirez was firing a gun near an apartment complex, according to authorities. Officers said they shot Ramirez during a confrontation and that he was suicidal.</t>
  </si>
  <si>
    <t>http://crimeblog.dallasnews.com/2015/09/police-investigating-officer-involved-shooting-in-north-dallas.html/</t>
  </si>
  <si>
    <t>738 Canton Rd</t>
  </si>
  <si>
    <t>44312</t>
  </si>
  <si>
    <t>Ali was under investigation for selling drugs and had reportedly choked a woman when officers approached the hookah bar that Ali owned, police said. A SWAT team raided the bar and shot Ali when he reached into his waistband, according to authorities. Ali died several weeks after the shooting.</t>
  </si>
  <si>
    <t>Officers were approached Money and a man, William Spaits, in the parking lot of a Target to serve outstanding warrants when the two ran to their car and began shooting at the officers, police said. The officers returned fire, killing both Spaits and Money, according to authorities. The officers sustained non-life threatening wounds.</t>
  </si>
  <si>
    <t>http://www.montereyherald.com/general-news/20150922/sand-city-shooting-mother-of-dead-suspect-recalls-sons-troubles</t>
  </si>
  <si>
    <t>Officers were approached Spaits and a woman, Tina Money, in the parking lot of a Target to serve outstanding warrants when the two ran to their car and began shooting at the officers, police said. The officers returned fire, killing both Spaits and Money, according to authorities. The officers sustained non-life threatening wounds.</t>
  </si>
  <si>
    <t>46176</t>
  </si>
  <si>
    <t>Police said the man was shot after walking out of a home and opening fire on officers following a nine-hour standoff. The officers were responding to reports of a dispute from a woman inside the house.</t>
  </si>
  <si>
    <t>http://fox59.com/2015/09/23/exclusive-video-neighbors-call-police-action-shooting-into-question/</t>
  </si>
  <si>
    <t>22802</t>
  </si>
  <si>
    <t>Pierce allegedly refused to drop his gun after encountering officers who were responding to a report of a disturbance at a home.</t>
  </si>
  <si>
    <t>http://www.dnronline.com/article/hpd_officer_shooting</t>
  </si>
  <si>
    <t>6400 Marine Dr</t>
  </si>
  <si>
    <t>98271</t>
  </si>
  <si>
    <t>The man died after fighting with officers who had detained him and were trying to place him in a patrol car, according to authorities. The officers were responding to a report of a man walking in the road within a Native American reservation.</t>
  </si>
  <si>
    <t>http://www.komonews.com/news/local/Officials-Man-dies-during-altercation-with-police-in-Tulalip-328375921.html</t>
  </si>
  <si>
    <t>Gause Blvd &amp; I-10</t>
  </si>
  <si>
    <t>Slidell</t>
  </si>
  <si>
    <t>70461</t>
  </si>
  <si>
    <t>St. Tammany Parish Sheriff's Office, Louisiana State Police, Slidell Police Department</t>
  </si>
  <si>
    <t>Lucien Rolland was hit by 18 bullets and killed when he allegedly emerged armed from his pickup truck after a chase on I-10. A St. Tammany deputy had reportedly attempted to stop a white GMC Sierra traveling at a very low speed in the center lane of Pontchartrain Drive near Southside Cafe at around 2:30 a.m. The deputy turned on his lights, which apparently prompted Rolland, the driver, to accelerate toward the US 11 bridge over Lake Pontchartrain. A male passenger reportedly jumped out and ran away before the truck sped off, and later told investigators that he demanded to be let out as Rolland fired a gun at deputies. The chase entered Orleans Parish on the south side of the lake before the pickup looped onto I-10 and headed back toward the north shore with Rolland allegedly continuing to shoot at deputies. State troopers joined the chase as Rolland led officers back across the lake on I-10, where Slidell Police joined in the chase. Troopers deployed a stop strip on the highway near the Old Spanish Trail exit, puncturing one of the Sierra's tires. The pickup eventually came to a stop on the Gause Boulevard overpass. Rolland allegedly exited the truck holding a handgun and "challenged" the officers who "engaged the individual and neutralized the threat," Sheriff Jack Strain said. Officers from all three agencies fired shots, and Rolland died at the scene shortly after 3 a.m. St. Tammany Parish Coroner Dr. Charles Preston said Rolland suffered wounds to his chest, abdomen, pelvis and extremities. The extent of Rolland's internal injuries made it impossible to determine which shot was fatal, Preston said.</t>
  </si>
  <si>
    <t>http://www.nola.com/crime/index.ssf/2015/09/man_who_shot_at_police_during.html</t>
  </si>
  <si>
    <t>1420 Freeman Loop</t>
  </si>
  <si>
    <t>37051</t>
  </si>
  <si>
    <t>Dickson</t>
  </si>
  <si>
    <t>Deputies said they shot Herrell at his mother's house while they responded to a call from relatives reporting that he was distressed and had a gun. Family members said they disputed an allegation from authorities that Herrell reached for his shotgun.</t>
  </si>
  <si>
    <t>http://www.tennessean.com/story/news/local/dickson/2015/09/18/dickson-co-man-fatally-shot-interaction-deputy/72415822/</t>
  </si>
  <si>
    <t>19250 Co Rd 34</t>
  </si>
  <si>
    <t>St. Stephens</t>
  </si>
  <si>
    <t>36569</t>
  </si>
  <si>
    <t>Washington County Sheriff's Office, Chatom Police Department</t>
  </si>
  <si>
    <t>A deputy shot and killed Scott Beech when he allegedly pulled a gun on the officer during a traffic stop.</t>
  </si>
  <si>
    <t>http://raycomgroup.worldnow.com/story/30082367/washington-county-sheriff-says-deputy-justified-in-shooting</t>
  </si>
  <si>
    <t>34.198852, -117.371539</t>
  </si>
  <si>
    <t>Johnson, a home burglary suspect, was shot by deputies from a helicopter during a high-speed chase. He collapsed after fleeing his SUV when he crashed into another vehicle.</t>
  </si>
  <si>
    <t>http://www.pe.com/articles/activity-780802-police-freeway.html</t>
  </si>
  <si>
    <t>40409</t>
  </si>
  <si>
    <t>Rockcastle</t>
  </si>
  <si>
    <t>Kentucky State Police, Rockcastle County Sheriff's Office</t>
  </si>
  <si>
    <t>Law enforcement arrived at Price's house in response to a domestic violence call, according to authorities. Price left his home waving a gun and exchanged shots with officers, police said.</t>
  </si>
  <si>
    <t>http://www.wkyt.com/home/headlines/KSP-investigating-deadly-officer-involved-shooting-in-Rockcastle-County-328144451.html</t>
  </si>
  <si>
    <t>48612</t>
  </si>
  <si>
    <t>Gladwin</t>
  </si>
  <si>
    <t>When deputies responded to the scene, Gary fired shots at their car and retreated into his house and periodically fired shots out of windows, according to authorities. State police shot Gary when he pointed a gun at them and walked toward them, officials said.</t>
  </si>
  <si>
    <t>http://www.9and10news.com/story/30057906/gladwin-county-man-dead-after-shooting-at-deputies</t>
  </si>
  <si>
    <t>71302</t>
  </si>
  <si>
    <t>A US Marshal shot and killed Bobby R. Anderson, who was allegedly armed and threatened officers as they attempted to arrest him. Members of a US Marshals Violent Offender Task Force were trying to serve Anderson around 3 p.m. with warrants charging him with two counts of attempted second-degree murder, burglary, two counts of forgery, unauthorized use of a motor vehicle and misrepresentation during booking. The warrants were from both Alexandria police and the Rapides Parish Sheriff's Office, both of which had members on the task force. A preliminary report said officers located Anderson at the Save More convenience store where, according to a news release, "Anderson was reportedly armed and threatened officers as they were attempting to take him into custody, resulting in a Task Force Member discharging his duty weapon, striking Anderson... Crime scene personnel did collect a firearm believed to be possessed by Anderson at the time of the shooting."</t>
  </si>
  <si>
    <t>http://www.cenlanow.com/news/local-news/apd-releases-statement-about-officer-involved-shooting</t>
  </si>
  <si>
    <t>90039</t>
  </si>
  <si>
    <t>Officers responded to a report of shots fired and fatally wounded Wilhelm when he "engaged" with officers, police said. Wilhelm is suspected of killing a 55-year-old woman before he was shot by police, according to authorities.</t>
  </si>
  <si>
    <t>http://www.latimes.com/local/lanow/la-me-ln-lapd-homicide-suspect-dies-20150917-story.html</t>
  </si>
  <si>
    <t>57754</t>
  </si>
  <si>
    <t>According to authorities, Gunderman fired shots at sheriff's deputies during a pursuit on foot and the deputies fired back, injuring Gunderman. The chase ensued after Gunderman drove a reportedly stolen vehicle onto a dead-end road near a ski resort.</t>
  </si>
  <si>
    <t>http://www.ksfy.com/home/headlines/Suspect-shot-during-chase-near-ski-resort-in-Lead-dies-327960971.html</t>
  </si>
  <si>
    <t>St. Bernard Highway and Andres Street</t>
  </si>
  <si>
    <t>70043</t>
  </si>
  <si>
    <t>St. Bernard</t>
  </si>
  <si>
    <t>St. Bernard Parish Sheriff's Office</t>
  </si>
  <si>
    <t>Deputies shot and killed Tyrone Bass after he allegedly stabbed a deputy in the back of the head with a railroad spike during an altercation. At about 2 p.m., a deputy initiated a traffic stop. Shortly after, there was allegedly some kind of altercation during which the deputy was stabbed. The deputy called for backup and two other deputies arrived. Bass was shot and was pronounced dead on the scene. The injured deputy was treated and released from the hospital that day. Bass was shot three times, St. Bernard Parish Coroner Bryan Bertucci said.</t>
  </si>
  <si>
    <t>http://www.theneworleansadvocate.com/news/13509012-75/man-was-shot-by-st</t>
  </si>
  <si>
    <t>W 8th St &amp; Woodlawn Ave</t>
  </si>
  <si>
    <t>35150</t>
  </si>
  <si>
    <t>Talladega</t>
  </si>
  <si>
    <t>http://wiat.com/2015/09/13/family-of-man-killed-in-deputy-involved-shooting-speaks-out/</t>
  </si>
  <si>
    <t>37931</t>
  </si>
  <si>
    <t>A SWAT team was sent to Stevens' house after he confronted a retired officer with a gun and then refused to turn himself in or leave his house, police said. The team responded to shots from Stevens with a chemical agent, but Stevens refused to leave, according to authorities. An officer shot Stevens after he pointed his gun at the Swat team when they entered his home, police said.</t>
  </si>
  <si>
    <t>http://www.wbir.com/story/news/2015/09/12/armed-suspect-shot-and-killed--kcso-swat-team/72174344/</t>
  </si>
  <si>
    <t>12175 W Dillon Rd</t>
  </si>
  <si>
    <t>80026</t>
  </si>
  <si>
    <t>Broomfield police officers responded to a robbery in progress at TCF Bank. Police got a report that the suspect was in a full-sized, white pickup truck leaving the area. A similar vehicle was spotted by an officer and the vehicle stopped. Gunfire was exchanged between the officer and the suspect, but police did not know who shot first.</t>
  </si>
  <si>
    <t>http://www.denverpost.com/news/ci_28818708/robbery-suspect-shot-friday-by-broomfield-pd-died</t>
  </si>
  <si>
    <t>Chestnut Street and Pleasant Avenue</t>
  </si>
  <si>
    <t>95240</t>
  </si>
  <si>
    <t>http://www.recordnet.com/article/20150910/NEWS/150919974</t>
  </si>
  <si>
    <t>6775 Dunsany Ln</t>
  </si>
  <si>
    <t>Indiana State Police</t>
  </si>
  <si>
    <t>Authorities were involved in a drug investigation at Eagle Pointe Apartments. The suspect, later identified as Brandon Foy, allegedly drew a gun on a trooper and a foot chase began, and Foy jumped over a fence. The trooper followed. Shots were fired, and Foy died at the scene.</t>
  </si>
  <si>
    <t>http://fox59.com/2015/09/10/officer-shot-in-hand-on-northwest-side/</t>
  </si>
  <si>
    <t>90240</t>
  </si>
  <si>
    <t>Police said Tapia robbed a pharmacy of money at gunpoint, and was fatally shot minutes later after he pointed a gun at officers from his car during a brief pursuit.</t>
  </si>
  <si>
    <t>http://ktla.com/2015/09/11/suspected-carjacker-fatally-shot-by-deputies-after-taking-hostages-at-downey-restaurant-authorities/</t>
  </si>
  <si>
    <t>401 Swan St</t>
  </si>
  <si>
    <t>13676</t>
  </si>
  <si>
    <t>St. Lawrence</t>
  </si>
  <si>
    <t>Officers arrived at the scene to find the man repeatedly stabbing a woman and himself, police said. Officers fatally shot the man after he ignored commands to stop, according to authorities. Police said the woman died from her wounds.</t>
  </si>
  <si>
    <t>http://www.syracuse.com/state/index.ssf/2015/09/police_id_clarkson_students_who_died_in_stabbing_officer-involved_shooting.html?hootPostID=0d0dfea04a7259e481e5dcbb19168d52</t>
  </si>
  <si>
    <t>1978 Holmgren Way</t>
  </si>
  <si>
    <t>54304</t>
  </si>
  <si>
    <t>Kuik was identified as the suspect of an armed robbery and officers spotted his car and pulled him over in the parking lot of a hotel. Kuik got out of the driver's seat with a gun and refused to listen to officers' commands. He started entering the hotel, and gunfire was exchanged between him and officers.</t>
  </si>
  <si>
    <t>http://fox11online.com/news/local/green-bay/ashwaubenon-police-release-identity-of-armed-robbery-suspect</t>
  </si>
  <si>
    <t>4408 Monroe Avenue</t>
  </si>
  <si>
    <t>http://www.kansascity.com/news/local/crime/article34741230.html</t>
  </si>
  <si>
    <t>Bradway Road and Dennis Road</t>
  </si>
  <si>
    <t>99705</t>
  </si>
  <si>
    <t>Fairbanks North Star</t>
  </si>
  <si>
    <t>http://www.adn.com/article/20150910/troopers-identify-man-killed-shootout-police-fairbanks</t>
  </si>
  <si>
    <t>91731</t>
  </si>
  <si>
    <t>Police responded to a fire at Chau's residence where it was discovered that Chau used an accelerant to set his wife, Lan, on fire. Chau's brother-in-law attempted to help Lan and was stabbed in the arm by Chau. Lan's mother also tried to rescue her and was also attacked with a knife. When police arrived they discovered Chau pointing a knife at his wife and they shot him. Chau's wife and her mother were fatally injured by Chau.</t>
  </si>
  <si>
    <t>http://www.sgvtribune.com/general-news/20150910/second-victim-in-el-monte-attack-dies-after-being-set-on-fire</t>
  </si>
  <si>
    <t>Officers confronted Miller after a neighbor caught him trying to steal a Jeep. Officers used the stun gun twice as they tried to subdue Miller; once before he was handcuffed, and again after he was shackled. He stopped breathing at one point during the struggle.</t>
  </si>
  <si>
    <t>http://www.ohio.com/news/break-news/springfield-township-man-dies-after-confrontation-with-police-involving-taser-1.624097</t>
  </si>
  <si>
    <t>99709</t>
  </si>
  <si>
    <t>Tristan Vent was contacted by troopers during a traffic stop near the Davis Road ball fields when authorities saw he had been driving a stolen vehicle. Vent was armed, and officers opened fire when attempts to negotiate and use less-lethal force were unsuccessful.</t>
  </si>
  <si>
    <t>http://www.ktuu.com/news/news/troopers-named-in-fairbanks-shooting-of-man-driving-stolen-vehicle/35223554</t>
  </si>
  <si>
    <t>Casillas tried to elude officers when they attempted a routine traffic stop. Casillas sped away, and officers broke off a pursuit after Casillas drove through several traffic lights. Officers again tried to stop Casillas, but he drove to Clovis Avenue and Lansing Way, where he ran from the car. Several officers approached the home where Casillas was reportedly hiding. Officers found Casillas hiding in a backyard, holding a 2-foot-long metal pipe. He refused to surrender and ran toward a police officer with the pipe, so the officer fired his gun and struck Casillas.</t>
  </si>
  <si>
    <t>http://www.fresnobee.com/news/local/crime/article34390473.html</t>
  </si>
  <si>
    <t>48228</t>
  </si>
  <si>
    <t>An off-duty officer was grilling in his backyard when his neighbor jumped the fence. The two men got into a physical fight, and the officer struck the man in the head, knocking him down. Wheeler was pronounced dead at the scene by a medic.</t>
  </si>
  <si>
    <t>http://www.wxyz.com/news/region/detroit/lathrup-village-police-officer-allegedly-kills-man-during-fight-on-detroits-west-side</t>
  </si>
  <si>
    <t>Police arrived at Verrett after they were called in reference to a domestic battery incident. Deputies say when they arrived Tanya Verrett said her husband, William Verrett had “battered her,” and he had a shotgun. Police say they fired and hit him several times. William Verrett died from his injuries on scene.</t>
  </si>
  <si>
    <t>http://archive.currentargus.com/carlsbad-news/ci_28783767/man-shot-and-killed-by-hobbs-police-was</t>
  </si>
  <si>
    <t>Sandoval</t>
  </si>
  <si>
    <t>33135</t>
  </si>
  <si>
    <t>Miami police were called to a domestic violence incident at a home. When officers arrived, a woman was discovered with several lacerations to her body. According to officers, Yero drove off in his SUV, but returned to his home minutes later and tried to go inside. Police said Yero was unable to get in and pointed his gun at police. After failing to comply with officers' orders to drop his gun, police shot Yero.</t>
  </si>
  <si>
    <t>http://www.local10.com/news/man-shot-and-killed-by-miami-police-after-domestic-violence-incident/35139464</t>
  </si>
  <si>
    <t>The police are called regarding a man stealing purses and trying to sell drugs. Police caught up with Mohamed Ibrahim, and he shot at police and fled the scene. Five hours after the first call, deputies spotted his vehicle on Interstate 220 and attempted to stop him, but they engaged in a pursuit before finally stopping his car. Ibrahim got out of the car, showing a handgun. Officers fired at Ibrahim striking him multiple times. He was pronounced deceased at the scene. Ibrahim's family says police came to their home's front door, several hours before his death and had informed officers that Ibrahim has been diagnosed and hospitalized with schizophrenia.</t>
  </si>
  <si>
    <t>http://www.ktbs.com/story/29975939/update-police-pursuit-ends-in-death-of-mentally-ill-suspect</t>
  </si>
  <si>
    <t>612 Highland Ave</t>
  </si>
  <si>
    <t>FBI agents were executing a search warrant at a home in connection with child abuse images, according to authorities. While executing the warrant, officers opened fire and the man was killed, police said. Additional details, including whether the man was a suspect, have not been released.</t>
  </si>
  <si>
    <t>http://www.nbcphiladelphia.com/news/breaking/Chester-Shooting-Hayes-6th-326599641.html</t>
  </si>
  <si>
    <t>An officer was conducting a "pedestrian check" on the man when he produced a knife and threatened the officer, prompting the officer to shoot him, police said. No additional details have been released.</t>
  </si>
  <si>
    <t>http://www.sbsun.com/general-news/20150910/man-shot-killed-by-fontana-police-officer</t>
  </si>
  <si>
    <t>A group of officers following Perry in unmarked vehicles observed him in a car with India Kager. She was driving erratically. Perry had been under investigation for a homicide. When Kager parked at a 7-Eleven, the officers also parked and approached the car. Perry shot at them almost immediately. Officers fired back, killing Perry and Kager. After the shooting, officers discovered a 4-month-old baby in the car. The baby was unharmed.</t>
  </si>
  <si>
    <t>https://www.washingtonpost.com/local/with-6-month-old-baby-in-car-both-parents-killed-by-virginia-beach-police/2015/09/08/2e64a83c-565a-11e5-8bb1-b488d231bba2_story.html</t>
  </si>
  <si>
    <t>Police received a call about an "armed suicidal male." Once on the scene, hostage negotiators continued to try to get Biggs to cooperate for over half an hour, according to police. Authorities said they began firing at Biggs once he started walking toward the officers.</t>
  </si>
  <si>
    <t>http://abc11.com/news/armed-man-killed-after-police-standoff-in-durham/971330/</t>
  </si>
  <si>
    <t>Police fatally shot a man allegedly armed with a metal pipe after responding to a domestic violence call in Ontario. The man was pronounced dead after being struck by gunfire.</t>
  </si>
  <si>
    <t>http://www.nbclosangeles.com/news/local/Ontario-Police-Shooting-324830551.html</t>
  </si>
  <si>
    <t>Officers were called to a home in response to complaints that Ornelas was under the influence of narcotics and acting violently. When they arrived, the officers found Ornelas "bleeding profusely, possibly from cuts that he sustained while breaking out the windows. Ornelas attempted to flee the home, leading officers to confront him with "non-lethal means, which included ... an electronic control device, physical force, and a carotid restraint," to take him into custody. Once he was subdued, officers monitored his condition, but he went into cardiac arrest. The officers then initiated life-saving measures, but Ornelas was pronounced dead after being transported to a hospital.</t>
  </si>
  <si>
    <t>http://www.latimes.com/local/lanow/la-me-ln-in-custody-death-long-beach-20150906-story.html</t>
  </si>
  <si>
    <t>Police responded to a disturbance call and encountered Meyer armed with a gun. The situation escalated and resulted in an officer fatally wounding Meyer with Meyer's gun.</t>
  </si>
  <si>
    <t>http://www.mitchellrepublic.com/news/local/3832217-authorities-mitchell-man-fatally-shot-own-gun-police-officer</t>
  </si>
  <si>
    <t>8399 W Ohio St</t>
  </si>
  <si>
    <t>47432</t>
  </si>
  <si>
    <t>Officer responded to domestic violence call about Damiani strangling his wife. When they got to the scene, Damiani charged them while swinging a metal pipe and was fatally shot.</t>
  </si>
  <si>
    <t>http://www.wlky.com/news/1-dead-after-officer-involvedshooting-in-french-lick/35109748</t>
  </si>
  <si>
    <t>E Main St and N 2nd St</t>
  </si>
  <si>
    <t>17935</t>
  </si>
  <si>
    <t>State police arrived on the scene when they were called about a man running deliriously up and down the street trying to get into cars. Markus would not respond to commands, was tasered, and went into cardiac arrest when he was being put into handcuffs.</t>
  </si>
  <si>
    <t>http://timesleader.com/news/local/380612/schuylkill-county-man-dies-after-being-tased-by-police</t>
  </si>
  <si>
    <t>CA 169 and CA 96</t>
  </si>
  <si>
    <t>Weitchpec</t>
  </si>
  <si>
    <t>95546</t>
  </si>
  <si>
    <t>Kelley allegedly fired a gun at an officer during a pursuit, and the officer returned fire, killing him.</t>
  </si>
  <si>
    <t>http://lostcoastoutpost.com/2015/sep/5/man-shot-killed-near-weitchpec-shootout-hoopa-trib/</t>
  </si>
  <si>
    <t>76082</t>
  </si>
  <si>
    <t>Parker County Sheriff's Office</t>
  </si>
  <si>
    <t>Sully Lanier called 911 repeatedly and demanded to talk to deputies. He told dispatchers that he was in possession of a firearm. Deputies traveled to the source of the call and upon their arrival Lanier refused to disarm himself and leave the residence.He began threatening the life of the officers. Authorities say Lanier sounded incoherent and continued to call 911 with deputies at the scene. Lanier, armed with an AR-15, eventually exited the home and charged at law enforcement despite verbal commands for him to get on the ground. Lanier fired off five shots before deputies returned fire.</t>
  </si>
  <si>
    <t>http://www.wfaa.com/story/news/crime/2015/09/05/parker-county-shooting-suspect-springtown/71796330/</t>
  </si>
  <si>
    <t>8 Joppa Rd</t>
  </si>
  <si>
    <t>03054</t>
  </si>
  <si>
    <t>Police responded to reports from Lambert's father that he had been threatened by Lambert with a knife. Lambert was waiting at the bottom of the driveway with weapon when police showed up, then was shot. Details of what occurred between the time police saw Lambert at end of driveway and him being shot are not clear.</t>
  </si>
  <si>
    <t>http://www.nh1.com/news/nh-ag-merrimack-man-shot-by-police-has-died-of-gunshot-wounds/</t>
  </si>
  <si>
    <t>4355 Marlow Rd</t>
  </si>
  <si>
    <t>86305</t>
  </si>
  <si>
    <t>Officers were called to scene where Bates was shooting toward neighbor's home. When Bates ignored officer's direction to drop his gun and began walking toward them, officers fired.</t>
  </si>
  <si>
    <t>http://dcourier.com/main.asp?SectionID=1&amp;subsectionID=1086&amp;articleID=149431</t>
  </si>
  <si>
    <t>211 Federal St</t>
  </si>
  <si>
    <t>A robbery was reported at First Community Bank, and police exchanged fire with Williams, who was heavily armed, fatally wounding him.</t>
  </si>
  <si>
    <t>http://www.wvva.com/story/29931732/2015/09/01/police-engage-active-shooter-in-bluefield</t>
  </si>
  <si>
    <t>2425 Sherwin Dr</t>
  </si>
  <si>
    <t>44087</t>
  </si>
  <si>
    <t>Officers were called to the scene after a report that Shaw had fatally shot his son. When he reloaded his gun and pointed it at officers, he was shot.</t>
  </si>
  <si>
    <t>http://www.newsnet5.com/news/local-news/oh-cuyahoga/3-people-shot-in-twinsburg-kent-state-regional-academic-center-in-lockdown-officials-confirm</t>
  </si>
  <si>
    <t>88210</t>
  </si>
  <si>
    <t>Officers were executing a search warrant when Evans opened fire on them. Evans was a suspected drug dealer.</t>
  </si>
  <si>
    <t>http://krqe.com/2015/09/01/artesia-man-killed-after-shootout-with-police/</t>
  </si>
  <si>
    <t>Dion Lamont Ramirez</t>
  </si>
  <si>
    <t>James Joseph Byrd</t>
  </si>
  <si>
    <t>E Platte Ave &amp; N Wahsatch Ave</t>
  </si>
  <si>
    <t>Colorado Springs</t>
  </si>
  <si>
    <t>80903</t>
  </si>
  <si>
    <t>Colorado Springs Police Department</t>
  </si>
  <si>
    <t>Harpham allegedly shot and killed three people before police responded to the scene. When officers arrived Harpham started shooting at them and police returned fire, according to authorities.</t>
  </si>
  <si>
    <t>http://www.denverpost.com/news/ci_29052366/shooting-reported-near-downtown-colorado-springs</t>
  </si>
  <si>
    <t>42717</t>
  </si>
  <si>
    <t>Cook was shot after exchanging gunfire with officers, police said. Authorities said they had been searching for Cook for nearly a week after he shot and injured a police officer in Tennessee.</t>
  </si>
  <si>
    <t>http://www.nbcnews.com/news/us-news/fugitive-rapist-floyd-ray-cook-shot-killed-kentucky-police-n454186</t>
  </si>
  <si>
    <t>75150</t>
  </si>
  <si>
    <t>Mesquite Police Department, Texas Department of Public Safety</t>
  </si>
  <si>
    <t>Police attempted to stop Martinez after he ran a stop sign and pursued him when he kept driving, according to authorities. Martinez eventually stopped his car on a highway and waved a gun and threatened officers, police said. Officers shot Martinez at the end of a 90-minute standoff when Martinez reportedly pointed a gun at them.</t>
  </si>
  <si>
    <t>215 N Park St</t>
  </si>
  <si>
    <t>Hohenwald</t>
  </si>
  <si>
    <t>38462</t>
  </si>
  <si>
    <t>Hohenwald Police Department, Lewis County Sheriff's Office</t>
  </si>
  <si>
    <t>Officers stopped Swader while responding to an armed robbery and stabbing when Swader began shooting at them, according to authorities. Officers returned fire and killed Swader, police said. Two officers were wounded and treated for their injuries.</t>
  </si>
  <si>
    <t>http://www.wsmv.com/story/30397967/father-of-officer-shooting-suspect-speaks-out</t>
  </si>
  <si>
    <t>2730 Brandy Dr</t>
  </si>
  <si>
    <t>688 NE 368th Ave</t>
  </si>
  <si>
    <t>32680</t>
  </si>
  <si>
    <t>Deputies responded to a home after a 911 caller said someone inside was receiving death threats, according to authorities. While deputies were at the home, Busby pulled up in a car and authorities said they heard gunshots from inside the vehicle, prompting the officers to fire, police said. Busby's car then caught on fire and deputies pulled him from his vehicle. Busby was pronounced dead at the scene from apparent gunshot wounds, police said.</t>
  </si>
  <si>
    <t>http://www.gainesville.com/article/20151030/ARTICLES/151039969?tc=ar</t>
  </si>
  <si>
    <t>38870</t>
  </si>
  <si>
    <t>Deputies arrived at Keeton's house as part of a drug investigation, authorities said. Keeton fired at deputies when they approached and was killed when they returned fire, police said.</t>
  </si>
  <si>
    <t>A state trooper identified a stolen car in a gas station parking lot, according to authorities. When the trooper and other law enforcement officers approached Brunson, who had been driving the car, he allegedly got back in the car and drove it into a police cruiser. Brunson was shot after he got out of his car and a confrontation occurred, police said.</t>
  </si>
  <si>
    <t>4307 W Humphrey St.</t>
  </si>
  <si>
    <t>33614</t>
  </si>
  <si>
    <t>Officers chased Igbuhay and three others who were driving in a stolen car and eventually caught up with them near a swamp, police said. Igbuhay was shot after he allegedly tried to drown a police dog and then another officer in the water. The dog and the officer were not hurt.</t>
  </si>
  <si>
    <t>53168</t>
  </si>
  <si>
    <t>Kenosha County Sheriff's Office</t>
  </si>
  <si>
    <t>Fude allegedly pointed a shotgun at officers during an incident at his home and refused police commands to drop the weapon.</t>
  </si>
  <si>
    <t>http://www.jsonline.com/news/crime/shotgun-wielding-man-shot-by-kenosha-county-deputy-has-died-b99603068z1-336891891.html</t>
  </si>
  <si>
    <t>92234</t>
  </si>
  <si>
    <t>Anna Lane and Sterling Hwy</t>
  </si>
  <si>
    <t>99672</t>
  </si>
  <si>
    <t>Kenai Peninsula</t>
  </si>
  <si>
    <t>Ployhar allegedly fled a traffic stop before eventually stopping. At some point during an ensuing struggle, the officer drew his weapon and fired.</t>
  </si>
  <si>
    <t>http://www.adn.com/article/20151025/man-shot-killed-confrontation-trooper-kenai-peninsula</t>
  </si>
  <si>
    <t>http://www.winknews.com/2015/10/26/cape-pd-identifies-suspect-in-deadly-weekend-shooting/</t>
  </si>
  <si>
    <t>Garfield Ave &amp; Cypress Ave</t>
  </si>
  <si>
    <t>http://www.sacbee.com/news/local/crime/article41204820.html</t>
  </si>
  <si>
    <t>http://www.shreveporttimes.com/story/news/2015/10/22/police-man-knife-shot-officer/74382544/</t>
  </si>
  <si>
    <t>41843</t>
  </si>
  <si>
    <t>Knott</t>
  </si>
  <si>
    <t>Kentucky State Police</t>
  </si>
  <si>
    <t>Police said Brock had threatened to shoot anyone who came on to his property, and that after officers arrived Brock made an aggressive motion with one of his hands behind his back. It was not confirmed whether Brock was armed.</t>
  </si>
  <si>
    <t>http://www.wkyt.com/wymt/home/headlines/Kentucky-State-Police-involved-in-fatal-shooting-in-Knott-County--336397431.html?device=tablet&amp;c=y</t>
  </si>
  <si>
    <t>92231</t>
  </si>
  <si>
    <t>US Customs and Border Protection</t>
  </si>
  <si>
    <t>A US Customs and Border Protection officer shot and killed Galena near the US-Mexico border, authorities said. He allegedly approached the officer with a knife.</t>
  </si>
  <si>
    <t>http://www.nbcsandiego.com/news/local/Customs-Border-Protection-CBP-Officer-Shoots-Kills-Man-at-Calexico-Port-of-Entry-335010591.html</t>
  </si>
  <si>
    <t>93291</t>
  </si>
  <si>
    <t>Tulare County Sheriff's Office</t>
  </si>
  <si>
    <t>Deputies were serving a warrant for domestic violence charges when Rodriguez fled and the deputies pursued him, police said. Rodriguez struggled with the deputies and allegedly tried to take one of their guns before they shot him, according to authorities.</t>
  </si>
  <si>
    <t>http://www.fresnobee.com/news/local/crime/article40741638.html</t>
  </si>
  <si>
    <t>49508</t>
  </si>
  <si>
    <t>Officers arrived at Arnold's apartment after receiving a report that he was suicidal, police said. Arnold exited his apartment with a gun and was shot after pointing it at deputies, according to authorities.</t>
  </si>
  <si>
    <t>http://www.mlive.com/news/grand-rapids/index.ssf/2015/10/man_shot_dead_by_kentwood_poli.html</t>
  </si>
  <si>
    <t>Armel Rd and Little Creek Rd</t>
  </si>
  <si>
    <t>70471</t>
  </si>
  <si>
    <t>Police were pursuing Greenwood and another man suspected of burglary, officials said. Deputies shot Greenwood after he lunged at a deputy with a knife and stabbed a police dog, according to authorities.</t>
  </si>
  <si>
    <t>http://www.nola.com/crime/index.ssf/2015/10/man_fatally_shot_by_st_tammany.html</t>
  </si>
  <si>
    <t>52405</t>
  </si>
  <si>
    <t>Linn</t>
  </si>
  <si>
    <t>Officers stopped a car Gossman was riding in to investigate "drug-related activity" when Gossman fled on foot, police said. When officers pursued Gossman, he fired at them, according to authorities. Police said they fired back, killing him</t>
  </si>
  <si>
    <t>http://www.desmoinesregister.com/story/news/crime-and-courts/2015/10/21/cedar-rapids-fatal-police-shooting/74316302/?from=global&amp;sessionKey=&amp;autologin=</t>
  </si>
  <si>
    <t>http://www.sandiegouniontribune.com/news/2015/oct/20/officer-involved-shooting-downtown-san-diego/</t>
  </si>
  <si>
    <t>1325 Hurstbourne Parkway</t>
  </si>
  <si>
    <t>40222</t>
  </si>
  <si>
    <t>Hall allegedly tried to rob a customer at gunpoint in a Jimmy John's before fleeing the restaurant. He was pursued by police, who shot him when he pulled a gun from his waistband, according to authorities. Police later said that Hall was carrying a fake gun.</t>
  </si>
  <si>
    <t>http://www.courier-journal.com/story/news/crime/2015/10/20/jeffersontown-police-shoot-robbery-suspect/74283040/</t>
  </si>
  <si>
    <t>90061</t>
  </si>
  <si>
    <t>http://homicide.latimes.com/post/dion-lamont-ramirez/</t>
  </si>
  <si>
    <t>PGA Blvd &amp; I-95</t>
  </si>
  <si>
    <t>http://www.sun-sentinel.com/local/palm-beach/fl-palm-beach-gardens-officer-shooting-20151019-story.html</t>
  </si>
  <si>
    <t>93720</t>
  </si>
  <si>
    <t>Ekizian allegedly stabbed his uncle and then attacked a police officer who was attempting to administer aid. Police said the officer believed Ekizian was still armed and shot four times.</t>
  </si>
  <si>
    <t>http://abc30.com/news/neighbor-says-police-officer-who-shot-suspect-may-have-saved-him/1039573/</t>
  </si>
  <si>
    <t>1066 Kelly Dr</t>
  </si>
  <si>
    <t>http://archive.ydr.com/local/ci_28983263/police-respond-saturday-afternoon-shooting-york</t>
  </si>
  <si>
    <t>Paredes was allegedly robbing a gas station and was noticed by an officer who was filling up his patrol car, according to police. During the confrontation that followed, the officer fired several times, and Paredes was killed.</t>
  </si>
  <si>
    <t>www.modbee.com/news/local/crime/article39598365.html</t>
  </si>
  <si>
    <t>Rangel, who had reportedly broken into a house, was shot by a deputy when he reached for a second deputy's gun, according to authorities.</t>
  </si>
  <si>
    <t>http://www.latimes.com/local/lanow/la-me-ln-deputy-involved-shooting-san-gabriel-valley-20151016-story.html</t>
  </si>
  <si>
    <t>http://www.cdispatch.com/news/article.asp?aid=45542</t>
  </si>
  <si>
    <t>94102</t>
  </si>
  <si>
    <t>Police were taking Benitez into custody after he threw glass bottles into the street, according to authorities. He began struggling with an officer and reportedly took his gun, prompting another officer shot him, police said.</t>
  </si>
  <si>
    <t>http://www.sfexaminer.com/new-details-emerge-fatal-mid-market-police-shooting/</t>
  </si>
  <si>
    <t>http://www.dispatch.com/content/stories/local/2015/10/15/officer-kills-suspect-during-far-east-side-robbery.html</t>
  </si>
  <si>
    <t>S Jones Blvd &amp; W Desert Inn Rd</t>
  </si>
  <si>
    <t>89146</t>
  </si>
  <si>
    <t>Officers from a SWAT team shot and killed Lush after she refused to exit a stolen car and fired a gun at officers, police said.</t>
  </si>
  <si>
    <t>http://www.reviewjournal.com/news/las-vegas/metro-woman-killed-after-firing-officers-stolen-car</t>
  </si>
  <si>
    <t>State Rd &amp; Outerbelt S Fwy</t>
  </si>
  <si>
    <t>44109</t>
  </si>
  <si>
    <t>Parma Police Department, Parma Heights Police Department, Brooklyn Police Department</t>
  </si>
  <si>
    <t>Brennan allegedly robbed a Papa John's at gunpoint before police gave chase. The chase ended when Brennan crashed into a truck and exited his car with his gun pointed at officers, police said.</t>
  </si>
  <si>
    <t>http://www.cleveland.com/parma/index.ssf/2015/10/suspect_in_robbery_of_parma_pa.html#incart_m-rpt-1</t>
  </si>
  <si>
    <t>98034</t>
  </si>
  <si>
    <t>Burgess apparently was attempting to give away a 3-year-old boy, presumed to be his son, when police were contacted. The boy was not present when Burgess was shot, as he was taken away by police at their initial encounter with Burgess. He fled and later attempted several failed armed carjackings. Officers eventually caught up with Burgess at a business park, where an officer shot and killed him.</t>
  </si>
  <si>
    <t>http://www.kirklandreporter.com/news/337724201.html</t>
  </si>
  <si>
    <t>E Main St &amp; I-75</t>
  </si>
  <si>
    <t>Catersville</t>
  </si>
  <si>
    <t>30121</t>
  </si>
  <si>
    <t>An officer stopped Brannon for a tag violation and learned of a warrant for his arrest after running his license, police said. The two got into a confrontation, during which the officer deployed his Taser before shooting Brannon when he pointed a gun at the officer, according to authorities.</t>
  </si>
  <si>
    <t>http://www.ledger-enquirer.com/news/local/crime/article39281184.html</t>
  </si>
  <si>
    <t>AL-3 &amp; Co Hwy 17</t>
  </si>
  <si>
    <t>http://www.al.com/news/index.ssf/2015/10/alabama_state_troopers_shoot_a.html</t>
  </si>
  <si>
    <t>Witnesses in a shopping mall called police and said Clark was acting erratically. Clark shot at the officers who approached him and was killed when they returned fire, according to authorities.</t>
  </si>
  <si>
    <t>http://www.thecalifornian.com/story/news/my-safety/2015/10/14/officer-involved-shooting-breaks-out-seaside/73954434/</t>
  </si>
  <si>
    <t>81-990 Shadow Palm Ave</t>
  </si>
  <si>
    <t>Officers were investigating an auto theft and attempted to stop Villarreal when he drove the stolen car into a parking lot, according to authorities. Police opened fire after Villarreal allegedly backed his car into a police cruiser.</t>
  </si>
  <si>
    <t>http://www.desertsun.com/story/news/crime_courts/2015/10/14/possible-shooting-indio-apartments/73951052/</t>
  </si>
  <si>
    <t>SW Lee Blvd &amp; SW Sheridan Rd</t>
  </si>
  <si>
    <t>http://www.swoknews.com/local/man-waving-gun-sheridan-lee-shot-killed-police</t>
  </si>
  <si>
    <t>1362 Union St</t>
  </si>
  <si>
    <t>39601</t>
  </si>
  <si>
    <t>Smith was being evicted from his home when he fired his gun at officers, police said. Smith was shot and killed by a SWAT team after a nearly six-hour standoff, according to authorities. Two officers sustained minor injuries during the exchange of gunfire.</t>
  </si>
  <si>
    <t>http://wjtv.com/2015/10/13/suspect-identified-in-brookhaven-standoff-2-officers-injured/</t>
  </si>
  <si>
    <t xml:space="preserve">Taylors </t>
  </si>
  <si>
    <t>29687</t>
  </si>
  <si>
    <t>http://www.greenvilleonline.com/story/news/2015/10/11/one-dead-taylors-police-shooting/73772180/</t>
  </si>
  <si>
    <t>279 E 5th St</t>
  </si>
  <si>
    <t>Ortiz was fatally shot while fleeing a park on a bicycle, according to police. Officers were responding to a 911 call from a 7-year-old girl who said two men were threatening to shoot her father. The other suspect was detained.</t>
  </si>
  <si>
    <t>70605</t>
  </si>
  <si>
    <t xml:space="preserve">Calcasieu </t>
  </si>
  <si>
    <t>Lau was reportedly involved in a domestic disturbance and was armed with a gun when officers responded to his home, police said. Police shot him after he pointed a gun in their direction and ignored commands to lower it, according to authorities.</t>
  </si>
  <si>
    <t>http://www.fox8live.com/story/30234295/one-dead-following-officer-involved-shooting-at-a-lake-charles-home</t>
  </si>
  <si>
    <t>79764</t>
  </si>
  <si>
    <t>Police responded to a disturbance and pursued Medellin after he drove away in his car, according to authorities. Deputies shot Medellin when he got out of his car and charged at deputies with a knife, police said.</t>
  </si>
  <si>
    <t>60532</t>
  </si>
  <si>
    <t>Aguilar was fatally shot while trying to break into a woman's home, according to authorities. Police said he was armed but did not give details of the weapon. Officers said they used a Taser on Aguilar before shooting him.</t>
  </si>
  <si>
    <t>http://www.chicagotribune.com/news/local/breaking/ct-lisle-fatal-police-shooting-20151010-story.html</t>
  </si>
  <si>
    <t>01915</t>
  </si>
  <si>
    <t>Whitmarsh, who was reportedly suicidal, struck another car and two police cruisers with his own car, according to authorities. Officers shot him when he ignored commands to stop his vehicle and prepared to strike the cruisers a third time, police said.</t>
  </si>
  <si>
    <t>http://www.salemnews.com/news/local_news/hamilton-man-killed-after-police-involved-shooting-in-beverly/article_ec3bb5b9-6453-5915-8189-4894e3d43a40.html</t>
  </si>
  <si>
    <t>06475</t>
  </si>
  <si>
    <t>Officers responded to a motel upon learning that Love, who police said was a suspect in several investigations, was staying there. After hearing gunshots from the room, a SWAT team entered and killed Love after he refused to drop a gun, police said.</t>
  </si>
  <si>
    <t>http://www.nhregister.com/general-news/20151011/police-identify-groton-man-31-as-suspect-killed-at-motel-in-old-saybrook</t>
  </si>
  <si>
    <t>Snow Cap Avenue and Cygnet Road</t>
  </si>
  <si>
    <t>92372</t>
  </si>
  <si>
    <t>Combs was acting irrationally and claimed he had a bomb, police said. Officers said they heard a large noise that they thought could have been an explosive. Combs got into a car and began driving toward deputies when police shot him, according to authorities.</t>
  </si>
  <si>
    <t>http://www.sbsun.com/general-news/20151011/deputies-shoot-kill-man-in-pinon-hills</t>
  </si>
  <si>
    <t>21044</t>
  </si>
  <si>
    <t>Officers said they responded to a 911 caller who said a man with a knife was threatening to kill him. Police shot Boitano after he refused to drop his knife, according to authorities.</t>
  </si>
  <si>
    <t>http://www.baltimoresun.com/news/maryland/howard/columbia/bs-md-ho-police-shooting-20151009-story.html</t>
  </si>
  <si>
    <t>92536</t>
  </si>
  <si>
    <t>Wagner allegedly pointed a gun at a sheriff's deputy when officers arrived at a home for a reported domestic disturbance. Authorities said Wagner was also accused of threatening people at another home nearby earlier in the day.</t>
  </si>
  <si>
    <t>8072 Townline Road</t>
  </si>
  <si>
    <t>48850</t>
  </si>
  <si>
    <t>Police said Quay shot a sheriff's deputy with a crossbow when officers arrived at his home to arrest him for alleged assault. A state trooper returned fire and killed Quay. The deputy was said to be in stable condition.</t>
  </si>
  <si>
    <t>Deputies responded after Lago attacked two people with a machete, killing one, police said. An officer fatally shot Lago when Lago began charging toward another officer with the machete, according to authorities.</t>
  </si>
  <si>
    <t>http://www.wptv.com/news/region-c-palm-beach-county/west-palm-beach/palm-beach-county-sheriffs-office-investigating-officer-involved-shooting</t>
  </si>
  <si>
    <t>220 Olivier St</t>
  </si>
  <si>
    <t>93940</t>
  </si>
  <si>
    <t>Monterey police say they received reports of a man acting irrationally and who possibly had a weapon. Donald Thomas Miller II was waving a non-functional antique weapon when he was shot six times. He had been in police custody earlier that day for trespassing, was described as obviously mentally ill, and released.</t>
  </si>
  <si>
    <t>http://www.kionrightnow.com/news/local-news/update-moco-da-identifies-man-killed-during-officer-involved-shooting/35690628</t>
  </si>
  <si>
    <t>76053</t>
  </si>
  <si>
    <t>Police were called for a domestic disturbance. Dunaway apparently hid in a nearby backyard, reportedly with a gun. Police shot and killed him.</t>
  </si>
  <si>
    <t>07001</t>
  </si>
  <si>
    <t>Police shot Jencsik at the end of a three-hour standoff when he left his home pointing a gun at officers, according to authorities. Jencsik is accused of fatally stabbing a woman and crtically injuring a man before the standoff.</t>
  </si>
  <si>
    <t>Police said Edgell was killed while exchanging gunfire with officers who were responding to a report that he was suicidal and armed with a gun.</t>
  </si>
  <si>
    <t>http://www.waff.com/story/30190373/raw-emotion-following-mans-shooting-say-muscle-shoals-police</t>
  </si>
  <si>
    <t>Police shot McCallum after he charged at them with a gun when they entered his home following reports of a shooting, according to authorities. Officers found a woman with stab and gunshot wounds inside the home and she was taken to the hospital in serious condition, police said.</t>
  </si>
  <si>
    <t>http://chicago.suntimes.com/crime/7/71/1011093/fire-official-1-dead-1-hurt-north-lawndale-shooting</t>
  </si>
  <si>
    <t>91411</t>
  </si>
  <si>
    <t>http://homicide.latimes.com/post/james-joseph-byrd/</t>
  </si>
  <si>
    <t>1519 Avenida Del Sol</t>
  </si>
  <si>
    <t>Diaz shot at officers who were pursuing him after responding to a domestic violence call, police said. An officer returned fire after Diaz pulled his car over and struck an officer's vehicle, according to authorities.</t>
  </si>
  <si>
    <t>http://www.kvoa.com/story/30178157/shootout-behind-a-sierra-vista-church-leaves-one-man-dead</t>
  </si>
  <si>
    <t>79118</t>
  </si>
  <si>
    <t>Officers responded to a burglary in progress and shot Dobbins while he was inside the home being burglarized, police said. No further details have been released.</t>
  </si>
  <si>
    <t>http://amarillo.com/news/latest-news/2015-10-03/randall-county-sheriffs-office-ids-man-killed-officer-involved-shooting</t>
  </si>
  <si>
    <t>Jepsen was reported as suidical and carrying a knife. When deputies arrived a confrontation occurred and three officers fired both lethal and non-lethal rounds, according to police.</t>
  </si>
  <si>
    <t>http://www.kgw.com/story/news/local/washington-county/2015/10/02/officer-shoots-woman-aloha/73258098/</t>
  </si>
  <si>
    <t>U.S. Marshals Violent Offender Task Force (US Marshals Service) Alexandria Police Department, Rapides Parish Sheriff's Office)</t>
  </si>
  <si>
    <t>Shelbyville Police Department, Shelby County Sheriff's Department</t>
  </si>
  <si>
    <t>Officers said they shot Centeno after he ignored their orders to put his hands up and pulled out a "pistol-looking object." Police later said Centeno was carrying a water pistol. Centeno died from his injuries about three weeks after the shooting.</t>
  </si>
  <si>
    <t>http://www.azcentral.com/story/news/local/phoenix/breaking/2015/08/22/man-dies-after-altercation--police/32210513/</t>
  </si>
  <si>
    <t>http://media.cmgdigital.com/shared/lt/lt_cache/thumbnail/615/img/photos/2015/07/24/ec/f4/Frederick_Farmer_2015.JPG</t>
  </si>
  <si>
    <t>Rodney Dewayne Biggs</t>
  </si>
  <si>
    <t>http://media.graytvinc.com/images/Lett1.jpg</t>
  </si>
  <si>
    <t>http://hudspethcountyherald.com/wp-content/uploads/2015/02/tiano-melton-100196010-130747052.pic1-copy1.jpg</t>
  </si>
  <si>
    <t>http://media2.startribune.com/obit_images/0/02/0000060726-01-1.jpg</t>
  </si>
  <si>
    <t>https://pbs.twimg.com/media/CVfpm0KWIAEcicP.jpg:large</t>
  </si>
  <si>
    <t>https://www.facebook.com/gshartley1</t>
  </si>
  <si>
    <t>http://bloximages.chicago2.vip.townnews.com/themoreheadnews.com/content/tncms/assets/v3/editorial/a/ed/aed32dee-bb5b-11e4-b764-6b447f757b85/54eb24110c19c.image.jpg</t>
  </si>
  <si>
    <t>http://ak-cache.legacy.net/legacy/images/Cobrands/njherald/Photos/7cfa4537-8e2b-4ab2-bc7f-87cbda14eda1.jpg</t>
  </si>
  <si>
    <t>http://www.killedbypolice.net/victims/150494.jpg</t>
  </si>
  <si>
    <t>http://wac.450f.edgecastcdn.net/80450F/klaq.com/files/2015/07/Michael-Malone.jpg</t>
  </si>
  <si>
    <t>Mario Woods</t>
  </si>
  <si>
    <t>https://twitter.com/DownInOldMex/status/672517011583315968</t>
  </si>
  <si>
    <t>Third Street and Fitzgerald Avenue</t>
  </si>
  <si>
    <t>http://ww2.kqed.org/news/2015/12/02/s-f-police-chief-public-defender-clash-over-latest-fatal-cop-shooting?utm_source=twitterfeed&amp;utm_medium=twitter</t>
  </si>
  <si>
    <t>http://www.wctv.tv/home/headlines/Boycotts-On-Florida-Tourism-Juice-Locals-Sound-Off-216251071.html</t>
  </si>
  <si>
    <t>Adarius Brown</t>
  </si>
  <si>
    <t>Antonio Henry</t>
  </si>
  <si>
    <t>Joshua Jozefowicz</t>
  </si>
  <si>
    <t>http://www.killedbypolice.net/victims/151086.jpg</t>
  </si>
  <si>
    <t>1105 Hammond St</t>
  </si>
  <si>
    <t>Bangor</t>
  </si>
  <si>
    <t>Bangor Police Department</t>
  </si>
  <si>
    <t>https://bangordailynews.com/2015/12/01/news/bangor/man-dies-in-officer-involved-shooting-near-bangor-store/</t>
  </si>
  <si>
    <t>John Anthony Gonzalez</t>
  </si>
  <si>
    <t>Imperial Hwy and Pioneer Blvd</t>
  </si>
  <si>
    <t>http://ktla.com/2015/12/01/man-shot-and-killed-during-confrontation-with-sheriffs-deputies-in-norwalk/</t>
  </si>
  <si>
    <t>Syed Farook</t>
  </si>
  <si>
    <t>http://www.killedbypolice.net/victims/151090.jpg</t>
  </si>
  <si>
    <t>1800 E San Bernardino Ave</t>
  </si>
  <si>
    <t>Redlands</t>
  </si>
  <si>
    <t>http://www.sbsun.com/general-news/20151202/san-bernardino-mass-shooting-2-suspects-believed-killed-wounded-during-ongoing-manhunt</t>
  </si>
  <si>
    <t>Tashfeen Malik</t>
  </si>
  <si>
    <t>http://www.killedbypolice.net/victims/151089.jpg</t>
  </si>
  <si>
    <t>http://www.killedbypolice.net/victims/151091.jpg</t>
  </si>
  <si>
    <t>Phillip Munoz</t>
  </si>
  <si>
    <t>http://www.killedbypolice.net/victims/151088.jpg</t>
  </si>
  <si>
    <t>Lowell Blvd and W 25th Ave</t>
  </si>
  <si>
    <t>http://www.denverpost.com/news/ci_29194151/denver-police-officer-involved-shooting-near-sloans-lake</t>
  </si>
  <si>
    <t>Allen Pacheco</t>
  </si>
  <si>
    <t>http://www.killedbypolice.net/victims/151092.jpg</t>
  </si>
  <si>
    <t>Texas Hwy 16</t>
  </si>
  <si>
    <t>http://www.ksat.com/news/dps-trooper-shoots-kills-man</t>
  </si>
  <si>
    <t>Florencio Lucero</t>
  </si>
  <si>
    <t>S Country Club Rd</t>
  </si>
  <si>
    <t>Deming Police Department</t>
  </si>
  <si>
    <t>http://www.koat.com/news/deming-police-shoot-kill-suspect-in-fatal-domestic-shooting/36778416</t>
  </si>
  <si>
    <t>Ivan Krstic</t>
  </si>
  <si>
    <t>http://www.killedbypolice.net/victims/151095.jpg</t>
  </si>
  <si>
    <t>E McDowell Rd and N Power Rd</t>
  </si>
  <si>
    <t>http://www.abc15.com/news/region-southeast-valley/mesa/pd-suspect-hospitalized-after-officer-involved-shooting-in-mesa</t>
  </si>
  <si>
    <t>Neil Stretesky</t>
  </si>
  <si>
    <t>http://www.killedbypolice.net/victims/151094.jpg</t>
  </si>
  <si>
    <t>405 W Cedar St</t>
  </si>
  <si>
    <t>Big Springs</t>
  </si>
  <si>
    <t>http://www.omaha.com/news/nebraska/man-killed-deputy-seriously-injured-while-serving-warrants-in-western/article_c37da5ea-e0b9-584a-9676-3c520b97ed5f.html</t>
  </si>
  <si>
    <t>David Winesett</t>
  </si>
  <si>
    <t>http://www.killedbypolice.net/victims/151100.jpg</t>
  </si>
  <si>
    <t>Alton Rd</t>
  </si>
  <si>
    <t>http://www.miamiherald.com/news/local/community/miami-dade/miami-beach/article48175540.html</t>
  </si>
  <si>
    <t>Sheilah Huck</t>
  </si>
  <si>
    <t>6600 Foothills Ct</t>
  </si>
  <si>
    <t>Florissant</t>
  </si>
  <si>
    <t>http://www.stltoday.com/news/local/crime-and-courts/st-louis-county-police-fatally-shoot-woman-after-armed-standoff/article_0aec85bd-0d3a-5ed8-b1d4-a382d41aa68b.html</t>
  </si>
  <si>
    <t>Colten Marcellus</t>
  </si>
  <si>
    <t>http://www.killedbypolice.net/victims/151099.jpg</t>
  </si>
  <si>
    <t>600 Jeff Ct</t>
  </si>
  <si>
    <t>http://crimeblog.dallasnews.com/2015/12/irving-police-fatally-shoot-home-invasion-suspect-two-others-taken-into-custody.html/</t>
  </si>
  <si>
    <t>Michael Funk</t>
  </si>
  <si>
    <t>http://www.killedbypolice.net/victims/151101.jpg</t>
  </si>
  <si>
    <t>206 Main St</t>
  </si>
  <si>
    <t>Neenah</t>
  </si>
  <si>
    <t>Neenah Police Department</t>
  </si>
  <si>
    <t>http://www.nbc26.com/news/neenah-police-respond-to-high-risk-hostage-situation</t>
  </si>
  <si>
    <t>Juan Perez</t>
  </si>
  <si>
    <t>Avery Dr</t>
  </si>
  <si>
    <t>http://www.kesq.com/news/suspect-dies-in-officer-involved-shooting-near-indio-church/36814580</t>
  </si>
  <si>
    <t>Raymond Azevedo</t>
  </si>
  <si>
    <t>http://www.killedbypolice.net/victims/151105.jpg</t>
  </si>
  <si>
    <t>35th Ave NE and NE 68th St</t>
  </si>
  <si>
    <t>http://www.seattletimes.com/seattle-news/shots-fired-following-car-jacking-suspect-reported-down/</t>
  </si>
  <si>
    <t>John Britton</t>
  </si>
  <si>
    <t>Wyoming Hwy 130</t>
  </si>
  <si>
    <t>Albany County Sheriff's Office</t>
  </si>
  <si>
    <t>http://trib.com/news/local/crime-and-courts/suicidal-man-shot-and-killed-by-sheriff-s-deputies-at/article_62eec2e8-2275-5d2a-9c06-359a2ba16200.html</t>
  </si>
  <si>
    <t>Miguel Espinal</t>
  </si>
  <si>
    <t>http://www.killedbypolice.net/victims/151110.jpg</t>
  </si>
  <si>
    <t>Saw Mill River Pkwy</t>
  </si>
  <si>
    <t>http://abc7ny.com/news/suspect-shot-and-killed-after-nypd-pursuit-ends-in-crash-closes-saw-mill-river-parkway/1114221/</t>
  </si>
  <si>
    <t>http://www.killedbypolice.net/victims/151111.jpg</t>
  </si>
  <si>
    <t>Dimitrie Penny</t>
  </si>
  <si>
    <t>1170 Apalachee Pkwy</t>
  </si>
  <si>
    <t>http://www.tallahassee.com/story/news/2015/12/09/two-killed-two-injured-shooting-tallahassee-restaurant/77027102/</t>
  </si>
  <si>
    <t>Sammy Echols</t>
  </si>
  <si>
    <t>100 Quail Dr</t>
  </si>
  <si>
    <t>Sportsmen Acres</t>
  </si>
  <si>
    <t>Sportsmen Acres Police Department</t>
  </si>
  <si>
    <t>http://www.newson6.com/story/30709630/officer-shoots-man-who-shot-at-him-mayes-county-sheriff-says</t>
  </si>
  <si>
    <t>Charles Rosemond Sr</t>
  </si>
  <si>
    <t>http://www.killedbypolice.net/victims/151118.jpg</t>
  </si>
  <si>
    <t>1900 Boling Rd</t>
  </si>
  <si>
    <t>Taylors</t>
  </si>
  <si>
    <t>http://www.greenvilleonline.com/story/news/2015/12/10/sled-man-shot-deputy-greenville-county/77082892/</t>
  </si>
  <si>
    <t>http://www.killedbypolice.net/victims/151117.jpg</t>
  </si>
  <si>
    <t>Christopher Higdon</t>
  </si>
  <si>
    <t>http://www.killedbypolice.net/victims/151115.jpg</t>
  </si>
  <si>
    <t>http://www.wdrb.com/story/30708945/kentucky-state-police-say-officer-shoots-and-kills-suspect-in-grayson-county</t>
  </si>
  <si>
    <t>Derek Stokes</t>
  </si>
  <si>
    <t>http://www.killedbypolice.net/victims/151114.jpg</t>
  </si>
  <si>
    <t>http://www.newsnet5.com/news/local-news/cleveland-metro/breaking-officer-involved-shooting-near-cleveland-justice-center</t>
  </si>
  <si>
    <t>Devon Holder</t>
  </si>
  <si>
    <t>http://www.nytimes.com/2015/12/08/nyregion/man-is-fatally-shot-by-police-after-a-robbery-attempt-in-queens.html?_r=1</t>
  </si>
  <si>
    <t>Carlumandarlo Zaramo</t>
  </si>
  <si>
    <t>http://www.cleveland.com/metro/index.ssf/2015/12/police_officer_suspect_injured.html</t>
  </si>
  <si>
    <t>Raymone Davis</t>
  </si>
  <si>
    <t>http://triblive.com/news/allegheny/9567852-74/robbery-bank-police#axzz3tS0qx6zx</t>
  </si>
  <si>
    <t>Jason Brady</t>
  </si>
  <si>
    <t>501 E. Seventh Street</t>
  </si>
  <si>
    <t>Waverly</t>
  </si>
  <si>
    <t>Winston-Salem Police Department</t>
  </si>
  <si>
    <t>Winston-Salem</t>
  </si>
  <si>
    <t>Leitchfield</t>
  </si>
  <si>
    <t>4000 St. Paul Road</t>
  </si>
  <si>
    <t>State police say a man carrying a handgun approached the officers at the end of a driveway and did not drop his gun when asked to do so. That's when the sheriff's officer fired several shots killing the man.</t>
  </si>
  <si>
    <t xml:space="preserve">According to Cleveland police, a 27-year-old female Metroparks officer was driving Stokes to the Justice Center to be booked at the central prison unit around 8:40 p.m. on Tuesday when he took out a gun and fired shots at the woman, as well as a 24-year-old male officer that was driving behind them. </t>
  </si>
  <si>
    <t>The off-duty officer had come to purchase the BMW when the men tried to rob him, the police said. He shot one of the suspects with his service weapon after the man pulled out a gun, according to the police.</t>
  </si>
  <si>
    <t>http://nbc4i.com/2015/12/04/shooting-death-at-pike-co-deputys-home-being-investigated/</t>
  </si>
  <si>
    <t>Off-duty deputy was drunk, 'accidentally' fired his weapon at his neighbor.</t>
  </si>
  <si>
    <t>4966 Geraldine Ave</t>
  </si>
  <si>
    <t>Richmond Heights</t>
  </si>
  <si>
    <t>Richmond Heights Police Department</t>
  </si>
  <si>
    <t>The man agreed to leave with the officers to receive help at University Hospital Richmond Medical Center. He went to a room upstairs with the officers to get some clothes when he grabbed a handgun and shot the sergeant in the right side of his chest. The wounded officer was not wearing a bullet-proof vest, Chief Rowe said. The other officer returned fire and killed the suspect, Rowe said.</t>
  </si>
  <si>
    <t>122 Shiloh Street</t>
  </si>
  <si>
    <t>177-39 145th Avenue</t>
  </si>
  <si>
    <t>East 55th Street</t>
  </si>
  <si>
    <t>Cleveland Metroparks Ranger Department</t>
  </si>
  <si>
    <t>Tiara Thomas</t>
  </si>
  <si>
    <t>http://www.killedbypolice.net/victims/2976.jpg</t>
  </si>
  <si>
    <t>5970 Old Porter Road</t>
  </si>
  <si>
    <t>http://www.nwitimes.com/news/local/porter/former-hammond-gary-cop-arrested-charged-with-portage-murder/article_6519b3f2-6242-5cba-ba83-9df3b07e72a1.html</t>
  </si>
  <si>
    <t>http://www.killedbypolice.net/victims/151033.jpg</t>
  </si>
  <si>
    <t>Brian Crawford</t>
  </si>
  <si>
    <t>Thomas Gilliland, of the Harris County Sheriff's Office, said in a news conference Friday that a group of four or five men smashed glass cases and took jewelry and other merchandise from the pawn shop. HPD officers spotted the men behind the shop, leaving the store, Gilliand said. The officers ordered the suspects to drop their weapons, but deputies said they refused. Officers began shooting, killing one man and leaving two more in critical condition, according to Gilliand</t>
  </si>
  <si>
    <t>13000 Veterans Memorial</t>
  </si>
  <si>
    <t>Tony Berry</t>
  </si>
  <si>
    <t>http://www.killedbypolice.net/victims/150993.jpg</t>
  </si>
  <si>
    <t>Daniel Nole</t>
  </si>
  <si>
    <t>A Hammond police officer was arrested and charged in the killing of the mother of three of his children. The motive is suspected to be financial.</t>
  </si>
  <si>
    <t>According to police Mr. Gray was arrested because he 'fled unprovoked upon noticing police,' and he was found to have a knife in his pocket. He died from omplications from broken vertabrae/partially severed spinal cord</t>
  </si>
  <si>
    <t>Reginald L. Moore Sr.</t>
  </si>
  <si>
    <t>640 Shannon Street</t>
  </si>
  <si>
    <t>Greenville Police Sergeant Kvonya Moore was charged with first-degree murder in the shooting death of her husband Reginald Moore. Moore and her husband had just returned home from her birthday party when the shooting occurred, and the couple's two children were at home when it happened. Reginald Moore had been shot in the head and died at Delta Regional Medical Center. Moore, who oversees Washington County's CrimeStoppers Program was suspended with pay pending action by the Greenville City Council.</t>
  </si>
  <si>
    <t>http://www.msnewsnow.com/story/28985092/washington-county-crimestoppers-head-charged-with-murder</t>
  </si>
  <si>
    <t>Montgomery County Sheriff's Office</t>
  </si>
  <si>
    <t>Mardis was a passenger in a car driven by his father, Chris Few. Initial reports suggested that Few had backed his car into officers' vehicles while officers were trying to serve a warrant, but officials now say there is no evidence of a warrant for Few, who was unarmed and was also struck but is reportedly in stable condition. Two officers involved in the shooting, Norris Greenhouse Jr and Derrick Stafford, have been charged with second-degree murder.</t>
  </si>
  <si>
    <t>Avoyelles Parish Ward 2</t>
  </si>
  <si>
    <t>http://www.killedbypolice.net/victims/151097.jpg</t>
  </si>
  <si>
    <t>Chef Menteur Highway and Old Gentilly Road</t>
  </si>
  <si>
    <t>http://www.nola.com/crime/index.ssf/2015/12/nopd_involved_in_east_new_orle.html#incart_m-rpt-1</t>
  </si>
  <si>
    <t>Shirley Weis</t>
  </si>
  <si>
    <t>700 East Mitchell Street</t>
  </si>
  <si>
    <t>Police responded to the call at 10 a.m. Sunday in the 700 block of East Mitchell Street after a man called 911 from a local church and said his wife was suicidal and possibly had a handgun, Arlington police spokesman Chris Cook wrote in a news release.Twenty to 30 minutes later, she got in her vehicle in a garage in back and was driving out toward the front of the house when officers tried to make contact with her. “Two officers discharged their duty handguns at the woman while she was still inside the vehicle pointing the gun toward them,” Cook wrote.</t>
  </si>
  <si>
    <t>http://www.star-telegram.com/news/local/community/arlington/article49578020.html</t>
  </si>
  <si>
    <t>Javario Shante Eagle</t>
  </si>
  <si>
    <t>http://www.killedbypolice.net/victims/151127.jpg</t>
  </si>
  <si>
    <t>5113 Woodland View Circle</t>
  </si>
  <si>
    <t>Just before noon, Chattanooga Police responded to the 5113 Woodland View Circle in response to a mental health/unknown trouble call. The man then exited the house holding the small child and brandishing both a knife and a firearm, it was stated. Police said during the rescue of the child, "the armed suspect moved aggressively toward the officer and small child while brandishing the weapons. Officers on scene used corresponding force to subdue the suspect."</t>
  </si>
  <si>
    <t>http://www.chattanoogan.com/2015/12/12/314265/Chattanooga-Police-Officer-Shoots-And.aspx</t>
  </si>
  <si>
    <t>Nicholas Robertson</t>
  </si>
  <si>
    <t>http://www.killedbypolice.net/victims/151128.jpg</t>
  </si>
  <si>
    <t>Long Beach Boulevard and Magnolia Avenue</t>
  </si>
  <si>
    <t>In the video, Robertson is seen walking away from officers and then several rounds are fired. He is seen injured, crawling on the ground. Deputies fire several more shots until he stops moving.</t>
  </si>
  <si>
    <t>http://abc7.com/news/suspect-killed-in-lynwood-deputy-involved-shooting/1120214/</t>
  </si>
  <si>
    <t>Christopher Goodlow</t>
  </si>
  <si>
    <t>http://www.killedbypolice.net/victims/151126.jpg</t>
  </si>
  <si>
    <t>7900 Red Mill Drive</t>
  </si>
  <si>
    <t>Police claim they used less lethal force before shooting Goodlow, who they say approached them with a knife.</t>
  </si>
  <si>
    <t>http://www.indystar.com/story/news/2015/12/12/indianapolis-officer-involved-shooting/77204698/</t>
  </si>
  <si>
    <t>Jason Bryant</t>
  </si>
  <si>
    <t>http://www.killedbypolice.net/victims/151119.jpg</t>
  </si>
  <si>
    <t>2200 Conrad Ave</t>
  </si>
  <si>
    <t xml:space="preserve">IMPD Lt. Rich Riddle said the incident began around 1:30 a.m. when officers tried to stop the truck Bryant was driving. Riddle said Bryant fled from officers who chased the truck until they saw him ditch the vehicle and go into the home. Police determined the truck was stolen from Whiteland on Nov. 23. When police went inside the home around 5:30 a.m., they saw Bryant sitting in a back bedroom with a gun, Riddle said. Two officers, a 28-year veteran sergeant and a 12-year veteran patrol officer, fired their weapons, striking the suspect, police said. </t>
  </si>
  <si>
    <t>http://www.indystar.com/story/news/crime/2015/12/10/suspect-shot-police-southwestside/77082704/</t>
  </si>
  <si>
    <t>Charged, Acquitted</t>
  </si>
  <si>
    <t>2500 Long Beach Boulevard</t>
  </si>
  <si>
    <t>Officers were briefed about the escalating situation inside the business while en route to the scene. After arriving, they first attempted to subdue the man with non-lethal force, including an electronic control device and a baton, according to Johnson. When those measures failed and the knife-wielding subject still would not comply with police orders, one of the officers opened fire, Johnson said.</t>
  </si>
  <si>
    <t>http://ktla.com/2015/12/15/knife-wielding-male-fatally-shot-by-long-beach-police-authorities-say/</t>
  </si>
  <si>
    <t xml:space="preserve">3800 King Palm Avenue </t>
  </si>
  <si>
    <t>Officers initially responded to investigate an armed robbery of a person. During the investigation, officers received information on the suspect's vehicle and license plate, which brought them to King Palm Avenue. When officers arrived, the suspect vehicle was in the driveway along with three people. Police then began to them into custody. While this was occurring, however, a man exited the front door of the residence with a handgun. Uniformed officers asked the man to drop the handgun. The man did not comply and police said he raised the gun at one of the officers, who then fired his handgun at the suspect.</t>
  </si>
  <si>
    <t>http://www.ktnv.com/news/officer-shoots-suspect-in-northeast-valley</t>
  </si>
  <si>
    <t>4564 Aviation Street</t>
  </si>
  <si>
    <t>Surrounded by authorities, a barricaded woman came out of the house a second time holding a handgun and pointed it at a SWAT BearCat before retreating inside again. While talking to police negotiators, she said she "wanted to get in a gun fight with the officers," Clark said.
After 2 p.m., she came out a third time — this time with a shotgun. She immediately turned it on herself, put it underneath her chin and tried to shoot "but was having a hard time manipulating the trigger," Clark said.
"At that time she raised the shotgun and pointed it at SWAT officers that were nearby," he said. And the snipers fired.</t>
  </si>
  <si>
    <t>http://www.reviewjournal.com/news/las-vegas/woman-shot-and-killed-police-northeast-valley-barricade</t>
  </si>
  <si>
    <t>http://www.killedbypolice.net/victims/151134.jpg</t>
  </si>
  <si>
    <t>Calvin McKinnis</t>
  </si>
  <si>
    <t>http://www.killedbypolice.net/victims/151141.jpg</t>
  </si>
  <si>
    <t>Roberto Ortiz Sanchez</t>
  </si>
  <si>
    <t>Brenda Dean Kimberling</t>
  </si>
  <si>
    <t>Thomas Gendreau Jr</t>
  </si>
  <si>
    <t>3000 Independence Ave</t>
  </si>
  <si>
    <t>Marina</t>
  </si>
  <si>
    <t>200 E Stetson Ave</t>
  </si>
  <si>
    <t>Marina Police Department</t>
  </si>
  <si>
    <t>Hemet Police Department</t>
  </si>
  <si>
    <t>http://www.kionrightnow.com/news/local-news/deadly-officerinvolved-shooting-in-marina-thursday-night/36909768</t>
  </si>
  <si>
    <t>http://abc7.com/news/suspect-killed-in-hemet-officer-involved-shooting/1117602/</t>
  </si>
  <si>
    <t>698 Kenton St</t>
  </si>
  <si>
    <t>500 Tia Juana St N</t>
  </si>
  <si>
    <t>http://www.denverpost.com/news/ci_29243665/aurora-police-report-officer-involved-shooting</t>
  </si>
  <si>
    <t>http://www.sbsun.com/general-news/20151212/knife-wielding-man-shot-killed-by-san-bernardino-police</t>
  </si>
  <si>
    <t>5500 E Sunrise Dr</t>
  </si>
  <si>
    <t>http://tucson.com/news/blogs/police-beat/man-killed-in-officer-involved-shooting-at-tucson-resort/article_d7a54926-a0e5-11e5-a682-b779990c9860.html</t>
  </si>
  <si>
    <t>Steven Wickert</t>
  </si>
  <si>
    <t>http://www.killedbypolice.net/victims/151125.jpg</t>
  </si>
  <si>
    <t>8400 49th Loop SE</t>
  </si>
  <si>
    <t>Olympia</t>
  </si>
  <si>
    <t>Thurston County Sheriff's Office</t>
  </si>
  <si>
    <t>http://www.killedbypolice.net/victims/151135.jpg</t>
  </si>
  <si>
    <t>Nephi Leiataua</t>
  </si>
  <si>
    <t>http://www.komonews.com/news/local/Man-holds-3-year-old-daughter-hostage-in-rural-Thurston-County-361751571.html</t>
  </si>
  <si>
    <t>Ryan McMillan</t>
  </si>
  <si>
    <t>W Oak St &amp; Fry St</t>
  </si>
  <si>
    <t>University of North Texas Police Department</t>
  </si>
  <si>
    <t>http://www.nbcdfw.com/news/local/Man-Dead-After-UNT-Police-Officer-Involved-Shooting-361707321.html</t>
  </si>
  <si>
    <t>http://www.killedbypolice.net/victims/151133.jpg</t>
  </si>
  <si>
    <t>Enrique Gonzalez</t>
  </si>
  <si>
    <t>W 44th Ave and Yates St</t>
  </si>
  <si>
    <t>Mountain View Police Department</t>
  </si>
  <si>
    <t>http://www.denverpost.com/news/ci_29248389/mountain-view-officer-routine-leave-after-shooting-man</t>
  </si>
  <si>
    <t>Mark Toney</t>
  </si>
  <si>
    <t>McDonald Loop</t>
  </si>
  <si>
    <t>Mt Hope</t>
  </si>
  <si>
    <t>Mount Hope Police Department</t>
  </si>
  <si>
    <t>http://www.wowktv.com/story/30752224/man-killed-in-mount-hope-officer-involved-shooting</t>
  </si>
  <si>
    <t>http://www.killedbypolice.net/victims/151143.jpg</t>
  </si>
  <si>
    <t>6800 Filbro Dr</t>
  </si>
  <si>
    <t>Gilroy</t>
  </si>
  <si>
    <t>Gilroy Police Department</t>
  </si>
  <si>
    <t>http://sanfrancisco.cbslocal.com/2015/12/15/gilroy-police-fatal-shooting-domestic-violence-suspect/</t>
  </si>
  <si>
    <t>Hector Alvarez</t>
  </si>
  <si>
    <t>http://www.killedbypolice.net/victims/151144.jpg</t>
  </si>
  <si>
    <t>Michael Thomason</t>
  </si>
  <si>
    <t>Jeffrey Evans</t>
  </si>
  <si>
    <t>Tennessee Hwy 187</t>
  </si>
  <si>
    <t>Milan</t>
  </si>
  <si>
    <t>4000 Bay Dr</t>
  </si>
  <si>
    <t>Middle River</t>
  </si>
  <si>
    <t>Milan Police Department, Gibson County Sheriff's Office</t>
  </si>
  <si>
    <t>http://www.wbaltv.com/news/police-man-shot-by-officers-in-bowleys-quarters-dies/36955372</t>
  </si>
  <si>
    <t>http://www.jacksonsun.com/story/news/crime/2015/12/14/suspect-gibson-co-homicide-dead/77282334/</t>
  </si>
  <si>
    <t>http://www.killedbypolice.net/victims/151139.jpg</t>
  </si>
  <si>
    <t>Andrew Joseph Todd</t>
  </si>
  <si>
    <t>http://www.poconorecord.com/article/20151212/NEWS/151219795</t>
  </si>
  <si>
    <t>Stroud Area Regional Police</t>
  </si>
  <si>
    <t>Todd entered the Wal-Mart, on Lincoln Avenue, at 10:11 p.m. and began threatening customers and pointing a gun at them, witnesses told state police. Stroud Area Regional Police arrived minutes later and ordered Todd to drop his weapons. After he refused, SARP officers fired at him, hitting him in the upper chest.</t>
  </si>
  <si>
    <t>East Stroudsburg</t>
  </si>
  <si>
    <t>355 Lincoln Ave</t>
  </si>
  <si>
    <t>http://www.killedbypolice.net/victims/151146.jpg</t>
  </si>
  <si>
    <t>Ronnie Dubose Carr</t>
  </si>
  <si>
    <t>http://www.gastongazette.com/article/20151215/NEWS/151219462</t>
  </si>
  <si>
    <t>Events surrounding the incident began around noon Tuesday, when police were called to Ingles in Dallas regarding fraudulent checks. Two suspects inside the store, Odell Dewayne Lloyd, 43, of Charlotte, and Eric White, 59, of Charlotte, were charged with check fraud. Meanwhile, another officer saw a car reported to have been driven by a suspect in similar crimes. When the officer attempted to stop that car, the driver fled. A short chase ensued, and the driver crashed on U.S. 321 at Hardin Road. As officers approached the car, the suspect drove into a patrol car. An officer then fired his gun.</t>
  </si>
  <si>
    <t>U.S. 321 at Hardin Road</t>
  </si>
  <si>
    <t>Shun Ma was arrested at his Beacon Hill home Dec. 3 on suspicion of threatening to kill his brother. After police handcuffed him, he was taken to Harborview Medical Center for treatment of an injury sustained during his struggle with officers. Ma would died from his injuries a few weeks later.</t>
  </si>
  <si>
    <t>http://www.seattletimes.com/seattle-news/crime/seattle-man-dies-after-struggle-with-police-hospitalization/</t>
  </si>
  <si>
    <t>Shun Ma</t>
  </si>
  <si>
    <t>http://www.killedbypolice.net/victims/151147.jpg</t>
  </si>
  <si>
    <t>Unknown address</t>
  </si>
  <si>
    <t>Disparity</t>
  </si>
  <si>
    <t>California</t>
  </si>
  <si>
    <t>Louisiana</t>
  </si>
  <si>
    <t>Missouri</t>
  </si>
  <si>
    <t>Arizona</t>
  </si>
  <si>
    <t>Colorado</t>
  </si>
  <si>
    <t>Texas</t>
  </si>
  <si>
    <t>Florida</t>
  </si>
  <si>
    <t>Nebraska</t>
  </si>
  <si>
    <t>Georgia</t>
  </si>
  <si>
    <t>Tennessee</t>
  </si>
  <si>
    <t>Kansas</t>
  </si>
  <si>
    <t>Nevada</t>
  </si>
  <si>
    <t>Oregon</t>
  </si>
  <si>
    <t>Maryland</t>
  </si>
  <si>
    <t>Virginia</t>
  </si>
  <si>
    <t>New Mexico</t>
  </si>
  <si>
    <t>Kentucky</t>
  </si>
  <si>
    <t>Massachusetts</t>
  </si>
  <si>
    <t>Illinois</t>
  </si>
  <si>
    <t>Minnesota</t>
  </si>
  <si>
    <t>North Carolina</t>
  </si>
  <si>
    <t>Wisconsin</t>
  </si>
  <si>
    <t>Michigan</t>
  </si>
  <si>
    <t>Pennsylvania</t>
  </si>
  <si>
    <t>Jeff Alexander</t>
  </si>
  <si>
    <t>http://www.turnto23.com/news/local-news/bakersfield-police-officer-shoots-knife-wielding-man-in-downtown-hotel-031815</t>
  </si>
  <si>
    <t>1125 1/2 19th Street</t>
  </si>
  <si>
    <t>Witnesses told officers that the suspect, only identified as a 47-year-old white man, had armed himself with a knife and had brandished it at several other people at the hotel. They also indicated what they believed to be an officer telling the suspect to put down the knife before the witnesses heard gunshots.</t>
  </si>
  <si>
    <t>1400 S State St</t>
  </si>
  <si>
    <t>Robert Teter</t>
  </si>
  <si>
    <t>Maldive Ct</t>
  </si>
  <si>
    <t>Eunice Rd</t>
  </si>
  <si>
    <t>St Martinville</t>
  </si>
  <si>
    <t>4085 Midway Rd</t>
  </si>
  <si>
    <t>Douglasville</t>
  </si>
  <si>
    <t>E 11th Ave and Yosemite St</t>
  </si>
  <si>
    <t>Leroy Browning</t>
  </si>
  <si>
    <t>37900 47th St E</t>
  </si>
  <si>
    <t>Mark Ramirez</t>
  </si>
  <si>
    <t>800 S Travis St</t>
  </si>
  <si>
    <t>Ruben Herrera</t>
  </si>
  <si>
    <t>1000 W Carson St</t>
  </si>
  <si>
    <t>Quarry Ln</t>
  </si>
  <si>
    <t>Erica Lauro</t>
  </si>
  <si>
    <t>1900 Lear Dr</t>
  </si>
  <si>
    <t>Northwood Police Department, Oregon Police Division</t>
  </si>
  <si>
    <t>Edel Moreland</t>
  </si>
  <si>
    <t>Homewood Rd</t>
  </si>
  <si>
    <t>Linthicum Heights</t>
  </si>
  <si>
    <t>Amos Frerichs</t>
  </si>
  <si>
    <t>145 Moss Grove Blvd</t>
  </si>
  <si>
    <t>325 Adobe Rd</t>
  </si>
  <si>
    <t>Taos</t>
  </si>
  <si>
    <t>Taos County Sheriff's Office</t>
  </si>
  <si>
    <t>Douglas Yon</t>
  </si>
  <si>
    <t>600 Virginia Ave</t>
  </si>
  <si>
    <t>Christopher Fletcher</t>
  </si>
  <si>
    <t>801 10th St</t>
  </si>
  <si>
    <t>Bryant Duncan</t>
  </si>
  <si>
    <t>200 Carmen Dr</t>
  </si>
  <si>
    <t>Camarillo</t>
  </si>
  <si>
    <t>Moreland allegedly tried to rob an off-duty Baltimore police officer using a toy gun. The off-duty officer, an 18-year veteran, opened fire during the incident.</t>
  </si>
  <si>
    <t>http://www.baltimoresun.com/news/maryland/crime/blog/bs-md-aaco-bpd-20151219-story.html</t>
  </si>
  <si>
    <t>Frerichs reportedly attempted to shoplift a sports store and fled from deputies who deployed Tasers as he resisted arrest. Frerichs reached his vehicle and ran over the two deputies, according to police. One deputy then opened fire.</t>
  </si>
  <si>
    <t>http://www.knoxnews.com/news/crime-courts/shoplifter-shot-by-knox-deputies-idd-as-repeat-offender-27472b6f-1b16-79dc-e053-0100007f4dc4-363035741.html</t>
  </si>
  <si>
    <t>Yon was standing outside his home with a machete when police responded to a disturbance call, according to authorities. Police said he was killed when he engaged officers.</t>
  </si>
  <si>
    <t>http://www.cleveland.com/akron/index.ssf/2015/12/kent_police_officer_fatally_sh_1.html</t>
  </si>
  <si>
    <t>Fletcher refused to stop riding his bicycle when police tried to pull him over, authorities said. Officers pursued Fletcher and shot him when they realized he was armed and ignored the officers' commands to drop his gun, according to police.</t>
  </si>
  <si>
    <t>http://www.modbee.com/news/local/crime/article50325910.html</t>
  </si>
  <si>
    <t>Duncan reportedly called 911 and told the dispatcher a crime was going to happen and he wanted police to kill him. Duncan was shot when he approached a responding deputy with a knife, police said.</t>
  </si>
  <si>
    <t>http://www.vcstar.com/news/local/camarillo/officer-involved-shooting-reported-in-camarillo-27097c6f-4730-3e2a-e053-0100007f1eba-362679981.html</t>
  </si>
  <si>
    <t>Officers were pursuing Lauro and two men she was with during an assault investigation, authorities said. When police caught up with group, Lauro and one of the men allegedly began shooting at officers. Police said Lauro was pronounced dead at the scene and both men were arrested.</t>
  </si>
  <si>
    <t>http://www.toledoblade.com/Police-Fire/2015/12/18/1-dead-after-officer-involved-shooting-in-Northwood.html#2oqpmjpJK63ix7PT.99</t>
  </si>
  <si>
    <t>The man allegedly waved a handgun at officers, who arrived following a domestic dispute. Two deputies were involved in the shooting, police said.</t>
  </si>
  <si>
    <t>http://www.santafenewmexican.com/news/local_news/taos-deputies-fatally-shoot-suspect/article_412ef08b-8e5a-57a5-9541-98a620ea0e6e.html</t>
  </si>
  <si>
    <t>Herrera allegedly reached for an officer's firearm during an altercation inside a local hospital. He was shot once in the torso. Officers brought Herrera to hospital after using a Taser and pepper spray on him as they claimed he resisted arrest. His mother witnessed the arrest and said Herrera had complied with police commands.</t>
  </si>
  <si>
    <t>http://www.latimes.com/local/lanow/la-me-ln-officer-involved-shooting-20151219-story.html</t>
  </si>
  <si>
    <t>The man took a three-year-old child hostage at a residence. A 15-hour standoff with police ended when the child was released without harm. The man then opened fired on officers, police said. The officers returned fire.</t>
  </si>
  <si>
    <t>http://www.newsadvance.com/news/local/man-dies-after--hour-hostage-situation-in-campbell-county/article_660b4c92-a68b-11e5-b197-6f37f78641c0.html</t>
  </si>
  <si>
    <t>Browning fled from deputies who were attempting to arrest him for DUI. Browning allegedly reached for a deputy's firearm during a physical altercation prompting police to open fire.</t>
  </si>
  <si>
    <t>http://abc7.com/news/suspect-killed-in-deputy-involved-shooting-at-palmdale-taco-bell/1129777/</t>
  </si>
  <si>
    <t>Police were informed that Ramirez was suicidal and possible armed, according to authorities. Officers responded to his home and shot Ramirez when he answered the door and moved his gun in the direction of the officers, police said.</t>
  </si>
  <si>
    <t>http://www.newschannel10.com/story/30796479/apd-armed-resident-shot-investigation-ongoing</t>
  </si>
  <si>
    <t>Teter allegedly got into an argument with a cab driver over the fare. Officials said Teter pulled out a gun when the driver called police. Deputies shot him when he refused to drop his weapon, according to authorities.</t>
  </si>
  <si>
    <t>http://www.floridatoday.com/story/news/crime/2015/12/22/gunman-shot-killed-deputies-after-cab-fare-dispute/77738534/</t>
  </si>
  <si>
    <t>Officers responded to a report of a man with a gun and shot the man when he allgedly brandished his gun at them, police said.</t>
  </si>
  <si>
    <t>http://www.pe.com/articles/evans-789901-police-hemet.html</t>
  </si>
  <si>
    <t>Police had been pursuing the man, who had allegedly stolen a car, for several days. They spotted the stolen vehicle in a convenience store parking lot, authorities said. The man rammed his car into an officer's cruiser and the store's front door before officers shot him, according to police.</t>
  </si>
  <si>
    <t>http://www.denverpost.com/news/ci_29297921/man-dies-officer-involved-shooting-denver</t>
  </si>
  <si>
    <t>A security guard at a mobile home park called police to report that he had been kidnapped and had escaped, according to authorities. Police were arresting three suspects in the kidnapping, when an officer disarmed one of the suspects and placed the gun on the hood of a nearby car, investigators said. A second suspect grabbed the gun and pointed it at deputies when he was fatally shot, according to officials.</t>
  </si>
  <si>
    <t>http://www.ajc.com/news/news/breaking-news/one-person-dead-in-officer-involved-shooting-in-do/nppqY/</t>
  </si>
  <si>
    <t>http://www.theadvertiser.com/story/news/local/2015/12/21/state-police-investigating-officer-involved-shooting-breaux-bridge/77730572/?from=global&amp;sessionKey=&amp;autologin=</t>
  </si>
  <si>
    <t>http://www.killedbypolice.net/victims/151158.jpg</t>
  </si>
  <si>
    <t>http://www.killedbypolice.net/victims/151157.jpg</t>
  </si>
  <si>
    <t>http://www.killedbypolice.net/victims/151153.jpg</t>
  </si>
  <si>
    <t>http://www.killedbypolice.net/victims/151152.jpg</t>
  </si>
  <si>
    <t>http://www.killedbypolice.net/victims/151149.jpg</t>
  </si>
  <si>
    <t>http://www.killedbypolice.net/victims/151148.jpg</t>
  </si>
  <si>
    <t>Robert L. Martinez</t>
  </si>
  <si>
    <t>http://www.killedbypolice.net/victims/151151.jpg</t>
  </si>
  <si>
    <t>Trevon Scruggs</t>
  </si>
  <si>
    <t>http://www.killedbypolice.net/victims/151155.jpg</t>
  </si>
  <si>
    <t>Footage shows the officer pursuing an SUV allegedly driven by Thomas. Right after Thomas crosses Black Olive Drive, the SUV flips and passenger and Ehorn is ejected.Feaster calls in the accident, gets out of the car, and shoots Thomas as he is attempting to exit the SUV out of the passenger side window. Thomas slumps back down into the vehicle. Ehorn died at the scene.</t>
  </si>
  <si>
    <t>http://www.chicoer.com/general-news/20151219/man-shot-by-paradise-officer-dies-protest-continues</t>
  </si>
  <si>
    <t>Paradise Police Department</t>
  </si>
  <si>
    <t>Black Olive Drive</t>
  </si>
  <si>
    <t>Darien Ehorn</t>
  </si>
  <si>
    <t>Bobby Daniels</t>
  </si>
  <si>
    <t>http://www.killedbypolice.net/victims/151164.jpg</t>
  </si>
  <si>
    <t>Derek DeGroat</t>
  </si>
  <si>
    <t>Volunteer Way</t>
  </si>
  <si>
    <t>Canaan Township</t>
  </si>
  <si>
    <t>Troopers responded after investigators say someone inside the home called 911 saying Derek DeGroat was threatening to take his own life and had guns.The Wayne County district attorney says troopers shot and killed DeGroat, but it's not clear what caused troopers to use deadly force.</t>
  </si>
  <si>
    <t>http://wnep.com/2015/12/22/state-police-involved-deadly-shooting-in-wayne-county/</t>
  </si>
  <si>
    <t>http://www.killedbypolice.net/victims/151165.jpg</t>
  </si>
  <si>
    <t>Alfredo Barrientos</t>
  </si>
  <si>
    <t>Guadalupe Quiroz</t>
  </si>
  <si>
    <t>http://www.lmtonline.com/front-news/article_55a2a37a-a837-11e5-af1f-1b20631b5206.html</t>
  </si>
  <si>
    <t>1700 E Saunders St</t>
  </si>
  <si>
    <t>Jeffrey Hiltz</t>
  </si>
  <si>
    <t>http://www.killedbypolice.net/victims/151160.jpg</t>
  </si>
  <si>
    <t>http://www.newburyportnews.com/news/danvers-man-killed-in-police-stop-stick-accident/article_25f2b5e6-a7f8-11e5-a089-8be2df7d7e32.html</t>
  </si>
  <si>
    <t>A Danvers man fleeing police was killed yesterday when the car he was driving ran over police "stop sticks" and went off Interstate 95.</t>
  </si>
  <si>
    <t>Route 1</t>
  </si>
  <si>
    <t>http://www.killedbypolice.net/victims/151163.jpg</t>
  </si>
  <si>
    <t>http://www.killedbypolice.net/victims/151174.jpg</t>
  </si>
  <si>
    <t>Rashad was riding up an escalator at about 8:25 p.m. Nov. 14, allegedly still holding the knife allegedly used in the stabbing, and headed toward the Amtrak level, while the officer was headed down another escalator. The officer tried to subdue the man, then shot him multiple times in the upper body, police said.</t>
  </si>
  <si>
    <t>http://www.nbcwashington.com/news/local/Stabbing-Suspect-Dies-Shot-Off-Duty-Police-Officer-Union-Station-Metro-363321761.html</t>
  </si>
  <si>
    <t>40 Massachusetts Ave., NE</t>
  </si>
  <si>
    <t>Dearborn police said the officer was patrolling the area of Tireman and Greenfield at the Dearborn-Detroit border when he saw Kevin. Police say he ran when the officer approached. "The officer chased the subject and encountered him several houses away in Detroit, where a struggle ensued," the news release said. "Subsequently, the officer fired his department-issued weapon, striking the subject."  He was unarmed, and community members dispute the police narrative.</t>
  </si>
  <si>
    <t>http://www.freep.com/story/news/local/2015/12/23/police-dearborn-officer-involved-fatal-shooting/77834122/</t>
  </si>
  <si>
    <t>8000 Whitcomb</t>
  </si>
  <si>
    <t>Brandon Barsnick</t>
  </si>
  <si>
    <t>Big Oak Valley Road</t>
  </si>
  <si>
    <t>Smartsville</t>
  </si>
  <si>
    <t xml:space="preserve">"Upon arrival, the team encountered the suspect outside on the porch of the residence. The man was armed with an assault rifle. A short standoff ensued," officials said. 
"He said Barsnick did not comply with SWAT members' orders. (He) pointed the rifle at team members and was fatally wounded by team members responding to the imminent, life- threatening situation," officials said. </t>
  </si>
  <si>
    <t>http://www.appeal-democrat.com/news/yuba-county-standoff-ends-in-wanted-man-s-death/article_69705330-a921-11e5-8b90-e736902c1dcc.html</t>
  </si>
  <si>
    <t>Michael Hilber</t>
  </si>
  <si>
    <t>Charles Reynolds</t>
  </si>
  <si>
    <t>Jose Rodriguez</t>
  </si>
  <si>
    <t>Kenneth Stephens</t>
  </si>
  <si>
    <t>2300 Endsley Rd</t>
  </si>
  <si>
    <t>106 Elm St</t>
  </si>
  <si>
    <t>Ludlow Police Department</t>
  </si>
  <si>
    <t>300 Pennsylvania St NE</t>
  </si>
  <si>
    <t>101 Elmwood Ave</t>
  </si>
  <si>
    <t>Vermont State Police, Drug Enforcement Administration</t>
  </si>
  <si>
    <t>http://www.killedbypolice.net/victims/151173.jpg</t>
  </si>
  <si>
    <t>http://www.killedbypolice.net/victims/151171.jpg</t>
  </si>
  <si>
    <t>http://www.killedbypolice.net/victims/151170.jpg</t>
  </si>
  <si>
    <t>http://www.killedbypolice.net/victims/151168.jpg</t>
  </si>
  <si>
    <t>Chan Leith</t>
  </si>
  <si>
    <t>http://www.killedbypolice.net/victims/151150.jpg</t>
  </si>
  <si>
    <t>http://www.killedbypolice.net/victims/151140.jpg</t>
  </si>
  <si>
    <t>http://www.killedbypolice.net/victims/151137.jpg</t>
  </si>
  <si>
    <t>http://www.killedbypolice.net/victims/151142.jpg</t>
  </si>
  <si>
    <t>Mharloun Verdejo Saycon</t>
  </si>
  <si>
    <t>http://www.killedbypolice.net/victims/151121.jpg</t>
  </si>
  <si>
    <t>http://www.killedbypolice.net/victims/151077.jpg</t>
  </si>
  <si>
    <t>Kevin Close</t>
  </si>
  <si>
    <t>http://www.killedbypolice.net/victims/151037.jpg</t>
  </si>
  <si>
    <t>Shane Tyler Whitehead</t>
  </si>
  <si>
    <t>http://www.killedbypolice.net/victims/150966.jpg</t>
  </si>
  <si>
    <t>http://www.killedbypolice.net/victims/150962.jpg</t>
  </si>
  <si>
    <t>Jeffrey Womack</t>
  </si>
  <si>
    <t>http://www.killedbypolice.net/victims/150887.jpg</t>
  </si>
  <si>
    <t>http://www.killedbypolice.net/victims/150869.jpg</t>
  </si>
  <si>
    <t>http://www.killedbypolice.net/victims/150778.jpg</t>
  </si>
  <si>
    <t>Mark Jeffrey Kaplan</t>
  </si>
  <si>
    <t>http://www.killedbypolice.net/victims/150756.jpg</t>
  </si>
  <si>
    <t>Daquan Antonio Westbrook</t>
  </si>
  <si>
    <t>http://www.killedbypolice.net/victims/151176.jpg</t>
  </si>
  <si>
    <t>http://www.wbtv.com/story/30827221/source-gunman-shot-and-killed-at-northlake-mall</t>
  </si>
  <si>
    <t>Shooting took place in the Northlake Mall. "Five guys started fighting, two of them ran out of the store when the third guy came out of the store he pulled out a gun," Elliott said. "Officer stepped up, said put your gun down, he turned around and opened fire." police said.</t>
  </si>
  <si>
    <t>6801 Northlake Mall Dr</t>
  </si>
  <si>
    <t>Terrozza Tyree Griffin</t>
  </si>
  <si>
    <t>http://www.killedbypolice.net/victims/151181.jpg</t>
  </si>
  <si>
    <t>Lansing</t>
  </si>
  <si>
    <t>http://www.wilx.com/breaking/home/BREAKING-Officer-Involved-Shooting-in-Lansing-363517161.html</t>
  </si>
  <si>
    <t>Chief Yankowski reports that shortly after 7:30 PM on Dec. 24th Lansing Police officers responded to a report of a home invasion in progress in the 5900 block of Selfridge on Lansing's southwest side. A man was seen entering the window of a home. When they went into the house, shots were fired at the officers, forcing them to retreat back outside. A short time later, they encountered the accused male suspect and he challenged them with a gun. Police officers shot the man, then secured him and removed him and themselves from the fire.</t>
  </si>
  <si>
    <t>Lansing Police Department</t>
  </si>
  <si>
    <t>5900 Selfridge</t>
  </si>
  <si>
    <t>Quintonio Legrier</t>
  </si>
  <si>
    <t>http://www.huffingtonpost.com/entry/chicago-cop-fatally-shoots-mentally-ill-teen-56-year-old-woman_567ecb6ae4b014efe0d850f6</t>
  </si>
  <si>
    <t>4700 W. Erie</t>
  </si>
  <si>
    <t>http://hinterlandgazette.com/wp-content/uploads/2015/12/quintonio-legrier-549x450.png</t>
  </si>
  <si>
    <t>Bettie Jones</t>
  </si>
  <si>
    <t>http://media.nbcchicago.com/images/1200*675/quintonio+bettie.jpg</t>
  </si>
  <si>
    <t>Rashad Bugg-Bey</t>
  </si>
  <si>
    <t>A U.S. Customs and Border Protection officer fatally shot her boyfriend in their Chula Vista apartment Saturday, telling police that it was in self-defense as he was hitting her, authorities said.</t>
  </si>
  <si>
    <t>http://www.obitsforlife.com/uploaded-images/converted/566275-55f0ab5889cd8-shrink-x180.jpg</t>
  </si>
  <si>
    <t>http://data.fatalencounters.org/s/preview-page/Andrew-Ellerbe-7360.1?height=512</t>
  </si>
  <si>
    <t>http://newsninja2012.com/wp-content/uploads/2015/06/baltimore.jpg</t>
  </si>
  <si>
    <t>http://mediaassets.commercialappeal.com/photo/2015/07/20/Darrius%20Stewart_1437431224858_21766409_ver1.0_640_480.jpg</t>
  </si>
  <si>
    <t>http://www.wdtv.com/wdtv.cfm?func=view&amp;section=5-News&amp;item=EXCLUSIVE-Weston-Man-Dead-Police-Officer-on-Administrative-Leave-24479</t>
  </si>
  <si>
    <t>http://www.miamiherald.com/news/local/community/miami-dade/miami-beach/article26060944.html</t>
  </si>
  <si>
    <t>http://www.wvva.com/story/29466467/2015/07/02/breaking-news-1-dead-hostage-situation-leads-to-officer-involved-shooting</t>
  </si>
  <si>
    <t>http://www.news4jax.com/news/suspect-killed-officer-injured-in-police-shooting/33974884</t>
  </si>
  <si>
    <t>http://www.wickedlocal.com/article/20150702/NEWS/150708999</t>
  </si>
  <si>
    <t>http://www.nbclosangeles.com/news/local/Deputy-shooting-lancaster-311628441.html</t>
  </si>
  <si>
    <t>http://www.courierpostonline.com/story/news/crime/2015/07/04/camden-police-officers-kill-man-gun/29693979/</t>
  </si>
  <si>
    <t>http://newsok.com/oklahoma-city-police-shoot-kill-man-saturday/article/5431785</t>
  </si>
  <si>
    <t>http://www.dailypress.com/news/newport-news/dp-officer-involved-shooting-in-newport-news-leaves-victim-dead-20150704-story.html</t>
  </si>
  <si>
    <t>http://newsok.com/second-fatal-officer-involved-shooting-since-saturday-reported-in-south-oklahoma-city/article/5431953</t>
  </si>
  <si>
    <t>http://www.kxlf.com/story/29538103/carjacking-suspect-dies-after-alleged-crime-spree-being-tased-multiple-times</t>
  </si>
  <si>
    <t>http://www.wxii12.com/news/1-dead-in-deputy-involved-shooting-in-Ashe-County/34070958</t>
  </si>
  <si>
    <t>http://www.appeal-democrat.com/news/yuba-county-deputies-shoot-and-kill-man/article_988dc48e-292b-11e5-aed0-fff834fef7bc.html</t>
  </si>
  <si>
    <t>http://www.wsbtv.com/news/news/local/gbi-investigates-fatal-officer-involved-shooting/nmxZz/</t>
  </si>
  <si>
    <t>http://www.kansascity.com/news/local/crime/article27392695.html</t>
  </si>
  <si>
    <t>http://www.king5.com/story/news/crime/2015/07/17/ravenna-spd-cruiser-rammed/30286759/</t>
  </si>
  <si>
    <t>Gunner was killed by his father, an officer with the Paris, Tennessee Police Department. The officer has been arrested on first-degree murder charges.</t>
  </si>
  <si>
    <t>Paris Police Department</t>
  </si>
  <si>
    <t>286 Howard Road</t>
  </si>
  <si>
    <t>Puryear</t>
  </si>
  <si>
    <t>Police said the off-duty officer was walking westbound when he was approached by two males, at least one of which was armed. When the men attempted to rob the officer, he fired 7 shots, striking one suspect several times, police said.</t>
  </si>
  <si>
    <t>http://abc13.com/news/one-dead-following-deputy-involved-shooting-at-nightclub/865562/</t>
  </si>
  <si>
    <t>http://www.koco.com/news/offduty-midwest-city-police-officer-involved-in-choctaw-shooting/34265766</t>
  </si>
  <si>
    <t>http://www.mercurynews.com/crime-courts/ci_28681936/fremont-man-dies-from-gunshot-wounds-officer-involved</t>
  </si>
  <si>
    <t>http://www.12newsnow.com/story/29588216/chambers-county-deputy-involved-shooting-near-winnie</t>
  </si>
  <si>
    <t>http://www.chicagotribune.com/news/local/breaking/ct-man-dies-in-police-custody-in-brighton-park-20150720-story.html</t>
  </si>
  <si>
    <t>http://www.northwestgeorgianews.com/calhoun_times/news/police_fire/stick-wielding-man-fatally-shot-by-bartow-deputy/article_854c9ebe-2ff6-11e5-bafd-2fa36e142427.html</t>
  </si>
  <si>
    <t>http://www.wtoc.com/story/29602599/gbi-investigates-ois-death-in-wayne-county</t>
  </si>
  <si>
    <t>http://www.local10.com/news/large-police-presence-outside-oakland-park-apartment-building/34278198</t>
  </si>
  <si>
    <t>http://fox11online.com/news/state/suspect-killed-by-deputies-pointed-unloaded-gun-at-them</t>
  </si>
  <si>
    <t>http://trib.com/news/local/crime-and-courts/man-dead-after-officer-involved-shooting-in-converse-county/article_21a539c9-1b63-5fdf-8d3c-52c45c3b8f26.html</t>
  </si>
  <si>
    <t>http://www.sacbee.com/news/local/crime/article28452859.html</t>
  </si>
  <si>
    <t>http://www.whio.com/news/news/crime-law/harrison-twp-shooting-believed-to-involve-deputies/nm5KW/</t>
  </si>
  <si>
    <t>http://www.carolinalive.com/news/story.aspx?id=1234584#.VbJhiVUViko</t>
  </si>
  <si>
    <t>http://www.sltrib.com/home/2784805-155/logan-swat-standoff-ends-with-deadly</t>
  </si>
  <si>
    <t>http://www.kait8.com/story/29656479/one-dead-following-officer-involved-shooting-in-manila</t>
  </si>
  <si>
    <t>http://www.wrcbtv.com/story/29646814/deputy-involved-shooting-in-bradley-county</t>
  </si>
  <si>
    <t>http://losangeles.cbslocal.com/2015/07/30/deputies-shoot-stick-wielding-suspect-in-whittier/</t>
  </si>
  <si>
    <t>http://www.nola.com/crime/baton-rouge/index.ssf/2015/07/police_fatal_shooting_baton_ro.html</t>
  </si>
  <si>
    <t>http://www.lcsun-news.com/las_cruces-news/ci_28555681/dona-ana-county-sheriffs-office-team-member-shoots</t>
  </si>
  <si>
    <t>https://www.bostonglobe.com/metro/2015/07/30/man-critical-condition-after-rampage-worcester-market/JkrgMwQj3EgJeEdSpDuUMJ/story.html</t>
  </si>
  <si>
    <t>http://www.krcrtv.com/southbound-i5-closed-after-fatal-chp-shooting-near-dunsmuir/34443668</t>
  </si>
  <si>
    <t>http://www.kolotv.com/home/headlines/Douglas-County-Sheriff-Deputies-Involved-in-Fatal-Shooting-320242491.html</t>
  </si>
  <si>
    <t>http://krqe.com/2015/07/31/officer-involved-shooting-occurs-in-roswell-friday-night/</t>
  </si>
  <si>
    <t>http://www.koat.com/news/police-ask-residents-to-avoid-garfield-at-edith/34474822</t>
  </si>
  <si>
    <t>http://www.star-telegram.com/news/local/community/fort-worth/article29627467.html</t>
  </si>
  <si>
    <t>http://www.wsaz.com/home/headlines/Police-on-the-Scene-of-a-Fatal-Shooting-in-Nitro-320403812.html</t>
  </si>
  <si>
    <t>http://www.wfaa.com/story/news/local/2015/08/01/man-unresponsive-after-dallas-jail-scuffle/30986151/</t>
  </si>
  <si>
    <t>http://www.sfgate.com/crime/article/Oakland-police-involved-in-shooting-6421188.php</t>
  </si>
  <si>
    <t>http://www.thestarpress.com/story/news/crime/2015/08/03/breaking-police-scene-apparent-hostage-situation/31059823/</t>
  </si>
  <si>
    <t>http://www.news-gazette.com/news/local/2015-08-04/man-dies-gunshot-rantoul-standoff.html</t>
  </si>
  <si>
    <t>http://www.ldnews.com/ci_28576774/police-involved-shooting-at-horseshoe-pike-gun-shop</t>
  </si>
  <si>
    <t>http://www.ocregister.com/articles/deputy-675830-sheriff-county.html</t>
  </si>
  <si>
    <t>http://www.nbc15.com/home/headlines/Suicidal-man-shot-and-killed-by-greenfield-police-320847671.html</t>
  </si>
  <si>
    <t>http://www.king5.com/story/news/local/tacoma/2015/08/05/robbery-suspect-shot--tacoma-officer/31198431/</t>
  </si>
  <si>
    <t>http://www.sacbee.com/news/local/crime/article24714634.html#storylink=cpy</t>
  </si>
  <si>
    <t>http://www.killedbypolice.net/victims/150246.jpg</t>
  </si>
  <si>
    <t>Larosa was shot after tripping and falling to the ground while fleeing officers following an undercover sting operation against drug deals, according to the sheriff's office. The officer alleged that he opened fire because Larosa reached into his waistband. No weapon was recovered from the scene.</t>
  </si>
  <si>
    <t>http://www.theguardian.com/us-news/freddie-gray</t>
  </si>
  <si>
    <t>http://www.chron.com/houston/article/Shots-fired-at-end-of-police-chase-6201525.php</t>
  </si>
  <si>
    <t>Frank Shephard III</t>
  </si>
  <si>
    <t>Kevin Matthews</t>
  </si>
  <si>
    <t>Siolosega Velega-Nuufolau</t>
  </si>
  <si>
    <t>29000 Del Sol Ct</t>
  </si>
  <si>
    <t>Santa Nella Village</t>
  </si>
  <si>
    <t>Merced County Sheriff's Department</t>
  </si>
  <si>
    <t>Corey Achstein</t>
  </si>
  <si>
    <t>300 Causey Ave</t>
  </si>
  <si>
    <t>Suffolk Police Department</t>
  </si>
  <si>
    <t>Michael Parker</t>
  </si>
  <si>
    <t>MS-26 and Henry Cochran Rd</t>
  </si>
  <si>
    <t>George County Sheriff's Office</t>
  </si>
  <si>
    <t>Sean Mould</t>
  </si>
  <si>
    <t>1000 E Fremont Dr</t>
  </si>
  <si>
    <t>Lonnie Niesen</t>
  </si>
  <si>
    <t>12220 N 39th Ave</t>
  </si>
  <si>
    <t>600 Forest Ave</t>
  </si>
  <si>
    <t>Palo Alto</t>
  </si>
  <si>
    <t>Palo Alto Police Department</t>
  </si>
  <si>
    <t>US-425</t>
  </si>
  <si>
    <t>Winnsboro</t>
  </si>
  <si>
    <t>16486 Pride-Baywood Rd</t>
  </si>
  <si>
    <t>Pride</t>
  </si>
  <si>
    <t>Omar Ventura</t>
  </si>
  <si>
    <t>200 N Larson St</t>
  </si>
  <si>
    <t>Porterville</t>
  </si>
  <si>
    <t>Porterville Police Department</t>
  </si>
  <si>
    <t>http://www.killedbypolice.net/victims/151180.jpg</t>
  </si>
  <si>
    <t>http://abc30.com/news/porterville-man-killed-in-officer-involved-shooting/1135772/</t>
  </si>
  <si>
    <t xml:space="preserve">Niesen was fatally shot outside a police station when he threw a rock or brick at an officer, according to authorities. He had allegedly thrown rocks at a patrol car and station window moments earlier.
</t>
  </si>
  <si>
    <t>A woman called 911 asking for help getting Mould, her boyfriend, to leave their home, authorities said. Police shot Mould when he refused to drop a knife as he walked toward officers, according to officials.</t>
  </si>
  <si>
    <t>Velega-Nuufolau was reportedly standing in a neighbor's driveway yelling for someone to call 911, according to authorities. Deputies arrived after the neighbor called police, and a responding deputy shot Velega-Nuufolau when she allegedly charged at him with a knife, police said. Velega-Nuufolau was a military veteran, according to officials.</t>
  </si>
  <si>
    <t>http://www.fresnobee.com/news/local/crime/article52044185.html</t>
  </si>
  <si>
    <t>http://www.13newsnow.com/story/news/local/mycity/suffolk/2015/12/28/suffolk-police-investigating-officer-involved-shooting/77998404/</t>
  </si>
  <si>
    <t>Police received multiple reports that Achstein was chasing and threatening people while brandishing a gun, according to authorities. A responding officer shot Achstein during an altercation, police said. Officials later said that he was carrying a BB gun.</t>
  </si>
  <si>
    <t>The man was shot dead after charging at officers with a knife, according to authorities. Officers were responding to a report that a man armed with a knife was threatening to harm people inside a home. Officials said it appeared, however, that the call had been a ruse to lure officers into shooting the man.</t>
  </si>
  <si>
    <t>http://www.mercurynews.com/peninsula/ci_29312525/palo-alto-person-allegedly-armed-knife-killed-officer</t>
  </si>
  <si>
    <t>Police said the man was shot by officers as he drove towards a road block and refused to stop his vehicle. He was being pursued for allegedly driving recklessly.</t>
  </si>
  <si>
    <t>http://www.kalb.com/home/headlines/Franklin-Parish-traffic-pursuit-leads-to-drivers-death-363500081.html</t>
  </si>
  <si>
    <t>Sanders was shot after he walked out of his home and pointed a high-powered rifle towards deputies, according to authorities. Officers had been called to the house to deal with a domestic disturbance. Sanders was said to have threatened to harm himself.</t>
  </si>
  <si>
    <t>Police said Ventura was shot as he walked with a knife towards his girlfriend, who was hiding behind a garbage can outside a home. The officer who fired had just been interviewing the girlfriend about two alleged domestic assaults by Ventura earlier in the day, when Ventura returned to the scene and refused to drop his knife as he approached the woman.</t>
  </si>
  <si>
    <t>http://theadvocate.com/news/14386195-64/deputy-involved-shooting-in-zachary-east-baton-rouge-sheriffs-office-reports</t>
  </si>
  <si>
    <t>http://www.sunherald.com/news/local/crime/article51784755.html</t>
  </si>
  <si>
    <t xml:space="preserve">Parker drove away from a traffic stop and led deputies on a vehicle pursuit, authorities said. The chase ended when Parker crashed. Officers were then forced to open fire, police said.
</t>
  </si>
  <si>
    <t>Police shot Rodriquez during a confrontation over an alleged armed carjacking. Officials said a gun was found with Rodriquez's body.</t>
  </si>
  <si>
    <t>http://www.abqjournal.com/695040/news/officer-involved-in-shooting-near-central-and-utah.html</t>
  </si>
  <si>
    <t>After they pulled into a busy shopping mall parking lot, Reynolds allegedly fired at a Ludlow police officer who had stopped him for a traffic violation. The officer was struck in the shoulder before returning fire and killing Reynolds.</t>
  </si>
  <si>
    <t>http://www.cincinnati.com/story/news/crime/ky-crime/2015/12/22/police-respond-officer-involved-shooting-ludlow/77784114/</t>
  </si>
  <si>
    <t>Police were conducting a drug raid when they confronted Stephens inside a home. Officers shot Stephens when he pointed a rifle at them, investigators said.</t>
  </si>
  <si>
    <t>http://www.wptz.com/news/police-investigate-lawenforcementinvolved-shooting-in-burlington/37093216</t>
  </si>
  <si>
    <t>Hilber, a fugitive from New Hampshire, allegedly carried out an armed robbery of a Family Dollar store with a second man. After fleeing the robbery in a car the pair split up. Officers found Hilber, who was armed, with the help of a police dog and shot him during an ensuing confrontation. The second man was captured and charged.</t>
  </si>
  <si>
    <t>http://www.fox13news.com/news/local-news/60194052-story</t>
  </si>
  <si>
    <t>http://www.azcentral.com/story/news/2015/12/26/phoenix-police-shooting/77923810/</t>
  </si>
  <si>
    <t>http://www.azcentral.com/story/news/local/tempe/breaking/2015/12/28/tempe-police-shooting-unwanted-guest/77962810/</t>
  </si>
  <si>
    <t>http://www.killedbypolice.net/victims/151192.jpg</t>
  </si>
  <si>
    <t>William David Raff</t>
  </si>
  <si>
    <t>Schuylar Gunning</t>
  </si>
  <si>
    <t>http://www.killedbypolice.net/victims/151178.jpg</t>
  </si>
  <si>
    <t>http://www.killedbypolice.net/victims/151185.jpg</t>
  </si>
  <si>
    <t>Cherokee County Sheriff's Office</t>
  </si>
  <si>
    <t>22279 N Four Mile Rd</t>
  </si>
  <si>
    <t>Fort Gibson</t>
  </si>
  <si>
    <t>I-5</t>
  </si>
  <si>
    <t>Melinda Dr</t>
  </si>
  <si>
    <t>Winder</t>
  </si>
  <si>
    <t>Hall County Sheriff's Department</t>
  </si>
  <si>
    <t>Hall</t>
  </si>
  <si>
    <t>Casselberry</t>
  </si>
  <si>
    <t>http://valleycentral.com/news/local/investigation-underway-after-harlingen-man-dies-while-in-police-custody</t>
  </si>
  <si>
    <t>Aitkin County Sheriff's Office</t>
  </si>
  <si>
    <t>Casselberry Police Department</t>
  </si>
  <si>
    <t>Aitkin</t>
  </si>
  <si>
    <t>Gardernville</t>
  </si>
  <si>
    <t>1200 Manhattan Way</t>
  </si>
  <si>
    <t>Davis Police Department</t>
  </si>
  <si>
    <t>Just after 6:00 PM Tuesday, Rockport Police were called to a home in the 100 block of Rattlesnake Point Rd. Officials tell us a man and woman were involved in a disturbance when officers arrived. An altercation broke out when officers tried to arrest the man. He became unresponsive once he was taken into custody, and was given first aid until an ambulance arrived.</t>
  </si>
  <si>
    <t>Aransas</t>
  </si>
  <si>
    <t>Rockport</t>
  </si>
  <si>
    <t>100 Rattlesnake Point Rd</t>
  </si>
  <si>
    <t>Santa Clara County Sheriff's Office</t>
  </si>
  <si>
    <t>http://www.killedbypolice.net/victims/151191.jpg</t>
  </si>
  <si>
    <t>http://www.nbcfh.com/obituaries/upload/2043_obit_photo.jpg</t>
  </si>
  <si>
    <t>http://www.killedbypolice.net/victims/151167.jpg</t>
  </si>
  <si>
    <t>http://www.killedbypolice.net/victims/151169.jpg</t>
  </si>
  <si>
    <t>http://www.killedbypolice.net/victims/151116.jpg</t>
  </si>
  <si>
    <t>Deuel County Sheriff's Office</t>
  </si>
  <si>
    <t>http://d3atbsy0flqavg.cloudfront.net/v1.13/site/uri/killed-by-police.silk.co/file/id/be45fe49-625e-458a-af48-46ef9d6d816f?x=0&amp;y=0&amp;width=773&amp;height=996&amp;zoom=108</t>
  </si>
  <si>
    <t>Paul Testa</t>
  </si>
  <si>
    <t>http://www.news4jax.com/news/local/jacksonville/man-hit-with-taser-gun-in-jail-dies-at-hospital</t>
  </si>
  <si>
    <t>Tien Hua</t>
  </si>
  <si>
    <t>http://www.nbclosangeles.com/news/local/barricade-rosemead-armed-man-strang-neighbors-evacuated-363780121.html</t>
  </si>
  <si>
    <t>Fred Perez</t>
  </si>
  <si>
    <t>http://abc30.com/news/1-man-dead-after-an-officer-involved-shooting-in-central-fresno/1140600/</t>
  </si>
  <si>
    <t>Perez was allegedly stabbing a woman repeatedly when police arrived in response to 911 calls about the incident, according to authorities. Officers fatally shot Perez when he continued to stab the woman after police fired a beanbag round at him, officials said. Police said the woman is being treated for her injuries at the hospital and is in stable condition.</t>
  </si>
  <si>
    <t>E Belmont Ave and N Weber Ave</t>
  </si>
  <si>
    <t>Hua, a suspect in a recent murder, was killed by Swat officers after an hours-long standoff at his home, according to authorities. Hua pointed an unknown object at officers during the standoff, police said.</t>
  </si>
  <si>
    <t>3500 Strang Ave</t>
  </si>
  <si>
    <t>http://www.killedbypolice.net/victims/3076.jpg</t>
  </si>
  <si>
    <t>Paul Testa, 44, was arrested Dec. 21 after a trespassing incident. While being booked in jail, police say Testa became violent and a corrections officer used a Taser gun on him. Then, following his first appearance in court, Testa again became combative and a Taser gun was used again, then he was placed in a restraint chair, where he became unresponsive.</t>
  </si>
  <si>
    <t>4727 Lannie Rd</t>
  </si>
  <si>
    <t>http://trib.com/news/state-and-regional/rawlins-police-shooting-under-investigation/article_771d9961-9165-5823-b9f8-d0f5e04ccfa5.html</t>
  </si>
  <si>
    <t>Rawlins Police Department</t>
  </si>
  <si>
    <t>Rawlins</t>
  </si>
  <si>
    <t>http://www.reviewjournal.com/news/las-vegas/metro-police-shoot-kill-wanted-man-west-valley</t>
  </si>
  <si>
    <t>8300 Golden Cypress Avenue</t>
  </si>
  <si>
    <t>The U.S. Marshals were conducting surveillance on the man and requested help from Metro when he fled. When police caught up with him, they claimed he had an "unknown object" in his hand. Assuming it was a gun, they shot him dead. The object turned out to be a cellphone.</t>
  </si>
  <si>
    <t>Police shot someone while trying to take him into custody based on an arrest warrant. They originally arrived at the scene because of a call about a man selling drugs.</t>
  </si>
  <si>
    <t>Keith Childress</t>
  </si>
  <si>
    <t>http://www.killedbypolice.net/victims/151199.jpg</t>
  </si>
  <si>
    <t>Taser, Beaten</t>
  </si>
  <si>
    <t>Michael Noel</t>
  </si>
  <si>
    <t>Charged, Convicted, Sentenced to 18 months</t>
  </si>
  <si>
    <t>Charged, Convicted, Sentenced to 5 years probation.</t>
  </si>
  <si>
    <t>Charged, Convicted, Sentenced to 50 years</t>
  </si>
  <si>
    <t>Charged, Convicted, Sentenced to 6 years</t>
  </si>
  <si>
    <t>21600 Oak Street</t>
  </si>
  <si>
    <t>5600 Wyalusing Avenue</t>
  </si>
  <si>
    <t>100 Lynhaven Drive</t>
  </si>
  <si>
    <t>John Randell Veach</t>
  </si>
  <si>
    <t>Police shoot and kill David Scott after he came out of an apartment building off of Fort Caroline Road holding what SWAT team members thought was a gun. Officers say the object David Scott was holding was actually a box stuffed in a black sock.</t>
  </si>
  <si>
    <t>http://www.pressdemocrat.com/news/3177073-181/man-shocked-about-four-times</t>
  </si>
  <si>
    <t>http://www.chron.com/news/houston-texas/houston/article/Unarmed-Baytown-man-dies-after-being-Tased-twice-5787109.php</t>
  </si>
  <si>
    <t>Police received call that armed individuals had entered an abandoned house. Tillman was shot multiple times and killed, but police have so far refused to release details of shooting, other than to say a BB gun was found near the scene. Three other suspects attempted to flee and were apprehended. Tillman family members say the 14-year-old African-American was unarmed and only answered the door because police knocked and was shot in the back "four or five times."</t>
  </si>
  <si>
    <t>http://america.aljazeera.com/watch/shows/america-tonight/articles/2014/12/6/black-young-and-unarmedthecaseofcamerontillman.html</t>
  </si>
  <si>
    <t>http://abc30.com/news/police-shoot-and-kill-man-wanted-for-three-fresno-murders/310949/</t>
  </si>
  <si>
    <t>Ramirez took Mendoza's wife hostage. Mendoza engaged in a gun fight with with Ramirez. SWAT accidentally shot and killed Mendoza and also shot and killed Ramirez.</t>
  </si>
  <si>
    <t>Eric Garner, a Staten Island dad died after an officer put him in a chokehold and other officers appeared to slam his head against the sidewalk, video of the incident shows. Evidently, the cops suspected him of selling untaxed cigarettes.</t>
  </si>
  <si>
    <t>Graffeo was a mentally ill man with a long history of altercations with police. The manager of his rooming house called to report Graffeo was having an episode and had barricaded himself in his apartment. Galleo was behaving violently so police tasered him three times. Graffeo went into respiratory failure and died at the hospital. The cause of death remains under investigation.</t>
  </si>
  <si>
    <t>http://www.news-journalonline.com/article/20150123/news/150129690</t>
  </si>
  <si>
    <t>http://www.sfgate.com/crime/article/Lawyer-Man-killed-by-deputy-in-Oakland-was-5669726.php</t>
  </si>
  <si>
    <t>http://www.stltoday.com/news/local/crime-and-courts/mcculloch-says-july-shooting-by-pine-lawn-police-was-justified/article_cd3b341f-37e6-5872-9b47-c613845157a7.html</t>
  </si>
  <si>
    <t>http://crimeblog.dallasnews.com/2015/08/arlington-police-officer-fatally-shot-a-man-early-friday-at-car-dealership.html/</t>
  </si>
  <si>
    <t>http://www.hutchnews.com/news/local_state_news/mcpherson-county-attorney-officer-s-shooting-of-man-justified/article_dc2dd158-5121-5cdf-b91e-627480d6058c.html</t>
  </si>
  <si>
    <t>Lloyd charged at an officer and allegedly pointed a lighter that looked like a gun at the officer. The officer then shot and killed Lloyd.</t>
  </si>
  <si>
    <t>Jobel was a vandal suspect. He was unarmed but did not comply with officers. It was not reported why officers shot and killed Jobel. Police allege that Jobel may have thrown a rock at them.</t>
  </si>
  <si>
    <t>Pulled over for a missing front license plate. He was attacked by K9 unit, tasered, and then beaten to death.</t>
  </si>
  <si>
    <t>Officers received a call about a car in a ditch. Rodriguez had crashed a previously carjacked car and was attempting to get the driver of a second vehicle to take him away from the scene. When the first officer arrived, she attempted to subdue Rodriguez, and a struggle began. The officer tried to use her stun gun on Rodriguez but couldn't stop Rodriguez. When Rodriguez allegedly attempted to take the officer's firearm, a backup officer, who had just arrived, fatally shot Rodriguez.</t>
  </si>
  <si>
    <t>Uran, alongside 23-year-old Jessica Hicks, was pursued by police after stealing a car. Uran was shot by police after attempting to steal another car in a downtown Phoenix mall. Hicks was charged with Uran's murder, under an Arizona law allowing police to charge a person with murder if a death happens during a violent felony. Uran had a pellet gun.</t>
  </si>
  <si>
    <t>Police say Sgt. Nick Pitofsky, a Crandall police officer, killed his wife Vanessa. He is said to be the only suspect in the apparent murder-suicide.</t>
  </si>
  <si>
    <t>A Border Patrol agent followed Flores-Cruz through a ravine and up a hillside when he began throwing rocks. Officials said the agent ordered Flores-Cruz to stop in English and in Spanish and used his hands to deflect some of the rocks. He was struck in the face. The agent, fearing for his safety, fired his duty weapon at the suspect, striking him. Investigators said the agent fired his weapon at least twice. The suspect died at the scene.</t>
  </si>
  <si>
    <t>Ariel Levy was killed in an officer-involved shooting after she reportedly threatened an officer with what later turned out to be a replica handgun.</t>
  </si>
  <si>
    <t>During a search of a robbery suspect's apartment, Smith was accidentally shot in the chest by an accompanying police officer. No criminal charges for the firing officer.</t>
  </si>
  <si>
    <t>Off duty officer who was running security at a downtown hotel, chased down off duty fireman who was accused of battery. Officer didn't call for back up and escalated the situation. The victim fought the officer, and was punching him, the officer who wasn't carrying mace, or a taser shot him twice in the chest.</t>
  </si>
  <si>
    <t>http://www.policestateusa.com/2014/ron-hillstrom/</t>
  </si>
  <si>
    <t>It started as a routine traffic stop. Trooper Corina Jandrew stopped a 4-door Cadillac with three people inside. The driver was Brandon Leonel Monroy. He failed to identify himself and was placed under arrest. Monroy fought with the trooper as she tried to arrest him and allegedly tried to steal the patrol car. He was shot and transported to UMC where he was later pronounced dead.</t>
  </si>
  <si>
    <t>http://www.staradvertiser.com/breaking-news/unarmed-man-fatally-shot-in-back-at-georgia-university-lawyer-says/</t>
  </si>
  <si>
    <t>http://www.cbs5az.com/story/25007751/phoenix-pd-carjacking-suspects-weapon-was-pellet-gun</t>
  </si>
  <si>
    <t>Three probation / parole officers and a county sheriff's deputy attempted to locate Shannon's brother Wayne in his mother's trailer, although they were also aware of a warrant out for Shannon's arrest regarding intoxication. Shannon attempted to hide in a dark bedroom, resisted officers and reportedly threatened to shoot them. He was shot three times and died later that evening. He'd been unarmed, holding a cellphone.</t>
  </si>
  <si>
    <t>http://www.wmur.com/news/fatal-rochester-shooting-ruled-justified/27111794</t>
  </si>
  <si>
    <t>http://www.dailymail.co.uk/news/article-2562612/Video-Man-killed-scuffle-authorities.html</t>
  </si>
  <si>
    <t>A deputy was responding to a report of a man attempting to break into homes and cars. When he confronted the suspect, a fight ensued, and then the deputy shot the suspect. No weapon was found at the scene.</t>
  </si>
  <si>
    <t>http://www.sandiegouniontribune.com/news/2014/feb/03/vista-deputies-fatal-shooting/</t>
  </si>
  <si>
    <t>An officer saw Baker riding his bike through Northwest Houston strip mall parking lot and looking into local businesses. The officer approached Jordan and asked to see his identification. Jordan began to scuffle with the officer and ran away. A foot chase ensued, before the officer caught up with Jordan and cornered him in an alley behind the strip mall. The police officer claims Jordan attacked him prompting him to discharge his weapon and kill the young man.</t>
  </si>
  <si>
    <t>After reports of a shooting, sheriff's deputies followed and engaged in a standoff with Rodarte for several hours. Rodarte was shot after he went to his front door and motioned as if he was pulling out a weapon. It was a BB gun.</t>
  </si>
  <si>
    <t>http://www.sbcountyda.org/Portals/8/PressReleases/2014/(12-4)%20OIS%20REPORT%20-%20FATAL%20-%20RODARTE.pdf</t>
  </si>
  <si>
    <t>http://www.bendbulletin.com/home/2100852-151/family-of-man-shot-by-bend-officer-intends</t>
  </si>
  <si>
    <t>County and BATF officers chased Smith by car and on foot into a wooded area. Cornered, he was ordered to show his hands, and he reportedly kept moving as if to produce a handgun. They fired 24 rounds. Nine fatally struck him. His sister claims he was unarmed, while police haven't confirmed whether he was armed or not.</t>
  </si>
  <si>
    <t>http://www.starnewsonline.com/article/20131014/ARTICLES/131019836?p=3&amp;tc=pg</t>
  </si>
  <si>
    <t>Transit Services Bureau deputies "came into contact" with Atkinson, who then allegedly grabbed a wooden stick from a shopping cart and “advanced toward the deputies with the wooden stick, prompting deputies to open fire."</t>
  </si>
  <si>
    <t>Jack Roberson's family called 911 after he took a handful of diabetes medicine with alcohol and expressed that he wanted to die; two officers arrived, and classified Jack as "combative" and shot him dead in front of his family. Police claim Roberson had two unspecified objects in his hand, but witnesses maintain he was unarmed.</t>
  </si>
  <si>
    <t>http://mic.com/articles/67037/jack-lamar-roberson-911-call-turns-deadly-for-unarmed-georgia-man#.pBZl4gD1C</t>
  </si>
  <si>
    <t>Captain George Brown was off duty, due to circumstances unknown, he was on the second floor of the Best Budget Inn and saw two men. There is no report of the specifics, but after feeling threatened the officer shot one of the men. He then stormed into the hotel room and arrested his friend. This officer was later fired after the investigation.</t>
  </si>
  <si>
    <t>http://chicago.cbslocal.com/2013/09/02/off-duty-officer-kills-burglary-suspect-in-lincoln-park/</t>
  </si>
  <si>
    <t>Geer was drinking and threw his girlfriend's clothes out of the house. He was talking with an officer at his doorway when he was shot to death in the chest.</t>
  </si>
  <si>
    <t>http://www.nydailynews.com/news/national/man-dies-beaten-kern-county-sheriff-detectives-article-1.1442007</t>
  </si>
  <si>
    <t>http://chicago.suntimes.com/news/7/71/787110/mom-suing-former-correctional-officer-over-sons-road-rage-shooting-death</t>
  </si>
  <si>
    <t>http://www.kansascity.com/news/local/article325208/Witnesses-Man-killed-by-KC-police-%E2%80%98baited%E2%80%99-officers-to-shoot-him.html</t>
  </si>
  <si>
    <t>http://6abc.com/archive/9180528/</t>
  </si>
  <si>
    <t>http://www.kens5.com/story/news/local/2014/06/26/10493134/</t>
  </si>
  <si>
    <t>http://articles.orlandosentinel.com/2013-07-10/news/os-st-cloud-suspect-dies-in-custody-20130710_1_reckless-driver-cloud-police-cloud-man</t>
  </si>
  <si>
    <t>Johnson was pulled over because officers suspected he was driving under the influence of drugs and alcohol. They tried to arrest him, but he allegedly resisted. Officers tasered and hit Johnson with a baton. He died two days later in the hospital.</t>
  </si>
  <si>
    <t>Demps, with a considerable criminal record, carjacked a white pickup truck at a restaurant. The owner called 911, and the pickup was quickly spotted. Demps pulled into a Marriott parking lot, was seen making a gesture towards his waistband, and was fatally shot. No weapon was found on him.</t>
  </si>
  <si>
    <t>1201 E. Airtex Drive</t>
  </si>
  <si>
    <t>"As the officers approached the vehicle, the suspect exited the vehicle with a weapon drawn and pointed it at the officers," Sgt. Cedrick Collier, with the Harris County Sheriff's Office, said. "The officers at that point discharged their weapon, striking the suspect several times. The suspect was pronounced deceased at the scene."</t>
  </si>
  <si>
    <t>Thomason, a suspect in a homicide from the previous day, was hiding in a shed on his stepmother's property when police found him, according to authorities. Officers shot and killed him while trying to arrest him, police said. A gun was found in the shed.</t>
  </si>
  <si>
    <t>Police were responding to a domestic violence call when they fatally shot Alvarez, officers said. A caller told a 911 dispatcher that Alvarez pulled the hair of a woman, believed to be his girlfriend, and threatened her. Police said they shot Alvarez when he charged at responding officers.</t>
  </si>
  <si>
    <t>Stretesky was killed during a confrontation when police attempted to serve warrants for his arrest, according to authorities. Stretesky shot and critically injured a deputy before being fatally struck.</t>
  </si>
  <si>
    <t>Police were attempting to arrest Munoz for an assault charge, according to authorities. Munoz was killed in an exchange of gunfire and an officer was shot in the leg, police said.</t>
  </si>
  <si>
    <t>Jozefowicz was fatally shot while exchanging gunfire with police after he fled a traffic stop, according to authorities.</t>
  </si>
  <si>
    <t>Hoang attacked a police officer in the head with a meat cleaver after the officer stopped to check on him in a broken down car during a snowstorm. Hoang then allegedly stole the officer's car and drove away. Police shot Hoang after a car chase when he got out of his vehicle carrying an object and refused to drop it, according to authorities.</t>
  </si>
  <si>
    <t>Slade was shot during a confrontation with an officer who had arrived at his home following a report of domestic violence, according to authorities.</t>
  </si>
  <si>
    <t>Deputies fatally shot Livingston during a confrontation at his home, according to authorities. The officers were investigating an alleged assault. Livingston's roommate said the dispute started when Livingston refused to let deputies enter without a search warrant.</t>
  </si>
  <si>
    <t xml:space="preserve">Gamino was fatally shot after fighting with a deputy who was responding to a report that someone was drinking alcohol in a park, according to authorities.
</t>
  </si>
  <si>
    <t>Jaramillo was shot by several deputies after allegedly ramming their vehicle with a stolen truck. Authorities said he had driven away when another deputy tried to pull him over. Two women in the truck with Jaramillo were injured and taken to hospital. Jaramillo was being prosecuted for a series of violent offences and a warrant was out for his arrest.</t>
  </si>
  <si>
    <t>Police said Cano ran at officers who were responding to a complaint that he was standing in the middle of a road while cars swerved to avoid him. A struggle ensued and Cano was shot with a bean-bag round, but was then able to knock one officer to the ground, take control of the bean-bag gun and fire a round. Cano was shocked with a Taser but could still not be restrained, according to authorities, leading an officer to shoot him.</t>
  </si>
  <si>
    <t>A deputy shot Long while responding to a domestic violence complaint, according to authorities. Investigators did not say what prompted the shooting.</t>
  </si>
  <si>
    <t>Mohammad allegedly stabbed and wounded four people at the University of California Merced's campus. Campus police shot and killed Mohammad, who was a student at the school, according to authorities. The four people who were stabbed, two of whom were students, suffered non-life-threatening injuries, police said.</t>
  </si>
  <si>
    <t>Police said they responded to a home after receiving a report of a verbal disturbance. Officers encountered Christensen and shot him after a 'scuffle' broke out, according to authorities. A police officer was injured during the incident and treated for noncritical injuries. No additional details have been released.</t>
  </si>
  <si>
    <t>Burg tried and failed to carjack two people before successfully carjacking a third person and driving away, police said. Deputies caught up to her and shot her following a confrontation and exchange of gunfire.</t>
  </si>
  <si>
    <t>Deputies came to Torngren's home after his daughter told police she was worried about his welfare, according to authorities. Deputies shot Torngren after he allegedly confronted them with a gun.</t>
  </si>
  <si>
    <t>Police responded to a report that Suarez-Ruiz was threatening to hurt himself, according to authorities. Officers said they killed Suarez-Ruiz after a 'confrontation'.</t>
  </si>
  <si>
    <t>Police killed Powell after responding to the same house three times in one night following reports that Powell was assaulting a resident and attempting to break in, according to authorities. Police said officers fatally shot Powell after a struggle.</t>
  </si>
  <si>
    <t>Dyksma died after leading police on a high-speed car chase, according to authorities. Police had received a call reporting that he was acting suspiciously in his car, and when they found him slumped over the steering wheel he drove away. Officers shocked him with a Taser after he refused to turn off his car's engine, police said.</t>
  </si>
  <si>
    <t>A deputy responded to the scene after receiving a call of a man with a shotgun, police said. Walling threatened the deputy at some point during their interaction and the deputy fired, according to police.</t>
  </si>
  <si>
    <t>Police killed Holman after a 12-hour standoff during which he threatened officers with a hand grenade, according to authorities. Officers responded to the residence after Holman refused to comply with an eviction order and learned after the shooting that the grenade was not live, police said.</t>
  </si>
  <si>
    <t>Jovicic broke into the home of his ex-girlfriend, a Kent police officer, and attacked her, according to police. She called 911 and then shot Jovicic, who had a history of domestic violence, as officers arrived.</t>
  </si>
  <si>
    <t>Poole, a veteran, allegedly opened fire on officers as they approached him sitting on his lawnmower. Police said they were responding to a report from a veterans crisis hotline that Poole was suicidal and that no one should be sent to help as it would 'not end well'.</t>
  </si>
  <si>
    <t>Authorities said Edison, who was wanted in South Dakota, was fatally shot by a deputy during a confrontation after he was discovered with a stolen vehicle under a bridge on a rural road. He was found with an air gun.</t>
  </si>
  <si>
    <t>Villalpando was pulled over after leading Officer Robert Clark on a chase. Dashcam video shows the officer ordering Villalpando to stay where he is, as he slowly shuffles towards Clark's police cruiser with his hands on his head. Villalpando is shot dead just after he walks past the camera's view.</t>
  </si>
  <si>
    <t>Deputies were chasing Noblitt, whom they suspected of driving a stolen car, and shot him when he drove his car toward them, police said.</t>
  </si>
  <si>
    <t>Smyth was shot inside his car as he drove at a 'high rate of speed' towards officers, according to police. Smyth had previously crashed his vehicle into a police patrol car, authorities said.</t>
  </si>
  <si>
    <t>Police said an officer shot Gonzalez after he got out of his car with a rifle during a traffic stop. The stop was attempted after fresh damage to Gonzalez's vehicle was noticed.</t>
  </si>
  <si>
    <t>Toney allegedly stabbed two people in a domestic violence incident. He was shot by police after he pointed a shotgun at officers when they arrived at his house, police said. The stabbing victims were treated for their wounds.</t>
  </si>
  <si>
    <t xml:space="preserve">Evans reportedly tried to kill himself before officers responded to his home. Officers shocked Evans with a Taser after he refused to go to the hospital, police said. When Evans armed himself with several kitchen knives, police shocked him again before shooting him, according to authorities.
</t>
  </si>
  <si>
    <t>McKinnis, an army veteran, was shot after an officer who had stopped him heard a gunshot as he walked toward McKinnis's car, according to authorities. A gun was allegedly found next to McKinnis's body. He had been stopped by an officer for a suspected license plate violation.</t>
  </si>
  <si>
    <t>Wickert, a national guard soldier, was shot when he allegedly tried to strangle a sheriff's deputy who had arrived at a company's holiday party in response to an emergency call. Officials said Wickert's girlfriend had reported her purse stolen, but the deputy determined that Wickert had been violent towards her.</t>
  </si>
  <si>
    <t>Deputies responded to a call about gunshots and forced their way into Rosemond's apartment, according to authorities. Rosemond shot a deputy in the head and was killed when deputies shot back, investigators said. The deputy who was shot is expected to recover.</t>
  </si>
  <si>
    <t>Officers were responding to a report of domestic violence and found an assault in progress, according to authorities. Police said they shot Gendreau to protect the woman being assaulted, who was later determined to be Gendreau's wife. She later died from her injuries, officials said.</t>
  </si>
  <si>
    <t>A fight broke out inside a restaurant, during which Penny allegedly killed another customer, police said. Penny injured two more people when the fight spilled into the restaurant's parking lot before two off-duty officers intervened and one shot Penny, killing him, according to authorities.</t>
  </si>
  <si>
    <t>Echols was reportedly suicidal and had barricaded himself in his house when officers arrived, according to authorities. Police shot him after he left the house and pointed a rifle at officers, investigators said.</t>
  </si>
  <si>
    <t>Officers were responding to a report of a man with a gun and said Chaidez matched the report's description, according to authorities. Police said Chaidez then 'presented a handgun' and was shot.</t>
  </si>
  <si>
    <t>Officers from multiple agencies ended a two-day manhunt for Brooks, who was wanted for aggravated assault, auto theft, and carjacking, when they fatally shot him, police said. Brooks exited a house with a gun and then attempted to run officers over with his car before crashing and getting out of the car with his gun, according to authorities.</t>
  </si>
  <si>
    <t>Kentucky state trooper was killed in a shooting during a chase, and officers shot and killed the suspect when he refused to drop his weapon after an hours-long manhunt, police said.</t>
  </si>
  <si>
    <t>Officers visited Hammen's home the previous day after receiving a call that he was suicidal but couldn't find him, police said. Officers returned to the home early the next morning and found it on fire. They spotted Hammen outside with a gun and a propane torch, according to authorities. Police said they fatally shot Hammen when he refused to drop his gun.</t>
  </si>
  <si>
    <t xml:space="preserve">An off-duty officer called for backup after spotting Dial in the parking lot of a Walgreens wearing a mask and apparently trying to avoid surveillance cameras, police said. Dial reportedly got out of his car with a gun visible and a responding officer shot him.
</t>
  </si>
  <si>
    <t>Police were following three people, including Ryans, believed to be involved in recent robberies, according to authorities. Officers confronted the group after they robbed a cash advance business at gunpoint, police said. They exchanged gunfire with two of the men, killing Ryans and injuring the other man, officials said.</t>
  </si>
  <si>
    <t>Womack pointed a gun at Swat officers from a window in a home at the end of a standoff lasting more than four hours, according to authorities. Womack had barricaded himself inside and refused to come out after officers arrived to check his welfare. Police said officers had used teargas to try to force Womack outside.</t>
  </si>
  <si>
    <t>Pettit allegedly burglarized a home and was running from police, officials said. The officer shot Pettit after he pointed a gun at the officer and ignored commands to drop the weapon, police said. Pettit died from his injuries about three weeks after the shooting, according to authorities.</t>
  </si>
  <si>
    <t>Foreman, who was a suspect in a fatal stabbing from the day before, was killed while exchanging gunfire with deputies during a standoff, according to investigators. One deputy was treated for a gunshot wound he sustained during the incident, authorities said.</t>
  </si>
  <si>
    <t>Turner allegedly shot two deputies who were responding to a domestic disturbance before the deputies returned fire, killing him. Neither deputy was seriously injured.</t>
  </si>
  <si>
    <t>Police responded to reports from a woman that West was threatening her and her child. When deputies arrived, West was alone inside his house and pointing his gun at himself, authorities said. After a standoff, deputies shot West when he pointed his gun at them, police said.</t>
  </si>
  <si>
    <t>Police said Ulloa got out of his vehicle during a traffic stop and fired at officers. Police fired back, wounding Ulloa, who then re-entered his vehicle and drove a short distance before coming to a stop. He was pronounced dead at the scene.</t>
  </si>
  <si>
    <t>Officers responded to a robbery in progress at a liquor store, police said. McMillan shot at reponding officers in the parking lot near the liquor store and was killed when officers returned fire, according to authorities.</t>
  </si>
  <si>
    <t>Police pursued Adams after he failed to make a traffic stop, according to authorities. Officers shot Adams when he pointed at gun at them while they were trying to arrest him, police said.</t>
  </si>
  <si>
    <t>A Swat team was serving a warrant at Graham's house, police said. An officer shot Graham when he opened the door and turned toward police with a gun in his hand, according to authorities.</t>
  </si>
  <si>
    <t>US Marshals Service members approached Dehart, who was wanted for attempted murder and other charges, when he fled in car, police said. Officers from the Marshals Service and the Oregon State Police pursued Dehart for 17 miles, during which Dehart shot at officers from his car, according to authorities. Officers who were alerted shot and killed Dehart as he approached, police said. Authorities have not identified the agency that shot him.</t>
  </si>
  <si>
    <t>Nole, a patient at a drug rehab center, stabbed four other patients and set a barn on fire, police said. Deputies shot Nole when he approached them with a knife, according to authorities. Three of the four wounded were transported to a hospital with serious injuries, police said.</t>
  </si>
  <si>
    <t>Cody Karasek</t>
  </si>
  <si>
    <t>Karasek opened fire through a window after scaling the side of his ex-girlfriend's apartment building, killing her and wounding her partner. Officers caught up to him after he fled, and Karasek was killed in a shootout.</t>
  </si>
  <si>
    <t>Gary Kendrick</t>
  </si>
  <si>
    <t>Police were responding to a domestic dispute in a parking lot when Herbert, a veteran, allegedly fired his weapon. It is not clear whether he was firing at the officer, who returned fire and killed Herbert.</t>
  </si>
  <si>
    <t>https://interactive.guim.co.uk/2015/the-counted/images/yellow/byron-herbert-275.jpg</t>
  </si>
  <si>
    <t>Bryan Bauer</t>
  </si>
  <si>
    <t>Christian Pena</t>
  </si>
  <si>
    <t>Roy Carreon</t>
  </si>
  <si>
    <t>1115 N Higley Blvd</t>
  </si>
  <si>
    <t>Carreon was allegedly holding a woman at knifepoint in front of his two children when officers arrived. Authorities said the woman freed herself and the officer shot Carreon after he refused to obey orders to put down the knife.</t>
  </si>
  <si>
    <t>The man allegedly stabbed two women, one of them fatally, before police arrived and shot him when he refused to drop his knife.</t>
  </si>
  <si>
    <t>Police on patrol stopped the man because he was 'acting suspicious and agitated' and shot him when he 'brandished' a gun, authorities said.</t>
  </si>
  <si>
    <t>Azevedo allegedly stole two cars at gunpoint before leading police on a car chase during which he shot at pursuing officers, police said. Officers killed Azevedo when they returned fire, according to authorities.</t>
  </si>
  <si>
    <t>Deputies shot Britton after he reportedly charged at them with a knife. The deputies were responding to a report of a suicidal man, according to authorities.</t>
  </si>
  <si>
    <t>Marcellus and two other men were pursued by police after an alleged home invasion. Officials said Marcellus was fatally shot after he opened fire, and the two other men were taken into custody.</t>
  </si>
  <si>
    <t>Winesett, a suspect in an armed bank robbery, was shot after he allegedly confronted officers with a razor blade, police said. Bystander video from the shooting appears to show an officer opening fire after Winesett takes a step toward him.</t>
  </si>
  <si>
    <t>A gunman held Funk and another man hostage in a motorcycle shop, according to authorities. Police arrested the gunman after he surrendered at the end of a standoff, but killed Funk during a shootout, officials said. Police said they shot Funk after he refused to drop his gun, but Funk's lawyer claims that he was retreating when he was shot.</t>
  </si>
  <si>
    <t>Huck shot a woman before barricading herself inside her home, authorities said. Police entered Huck's house after a standoff and shot her when she began shooting, according to officials. Police said the woman who was shot is expected to survive.</t>
  </si>
  <si>
    <t>Police found Krstic beating a steel pole against the ground and talking erratically, according to authorities. Officers shocked Krstic with a Taser when he refused to drop the pole, and shot him when picked it up and turned towards police, officials said.</t>
  </si>
  <si>
    <t>Malik and her partner, Syed Farook, were killed by police several hours after the pair opened fire at a community center, authorities said. The mass shooting left at least 14 people dead and more than 20 wounded, according to officials. Police said Farook and Malik amassed an arsenal of four guns, thousands of rounds of ammunition and improvised explosives. Two officers were injured in the exchange of gunfire and are expected to recover, law enforcement officials said.</t>
  </si>
  <si>
    <t>Farook and his partner, Tashfeen Malik, were killed by police several hours after the pair opened fire at a community center, authorities said. The mass shooting left at least 14 people dead and more than 20 wounded, according to officials. Police said Farook and Malik amassed an arsenal of four guns, thousands of rounds of ammunition and improvised explosives. Two officers were injured in the exchange of gunfire and are expected to recover, law enforcement officials said.</t>
  </si>
  <si>
    <t>Police responded to a call about a domestic dispute to find a woman, believed to be Lucero's girlfriend, with a gunshot wound, according to authorities. Officers then shot Lucero when he approached and threatened to harm them with his gun, police said. The woman died from her injuries, officials said.</t>
  </si>
  <si>
    <t>Gonzalez pointed a gun at officers from a gangs unit when he and another man were stopped in the street, according to authorities. The officers opened fire, killing Gonzalez.</t>
  </si>
  <si>
    <t>Smith was a passenger in a car that was driving in the opposite direction of traffic and that crashed after fleeing a police stop, according to authorities. Smith and the driver attempted to leave the scene before Smith exchanged gunfire with officers, police said.</t>
  </si>
  <si>
    <t>Police said Celio was fatally shot after shooting at an officer during a downtown foot chase. Celio had run away after officers arrived at a hotel to deal with a report of a fight involving several people.</t>
  </si>
  <si>
    <t>Authorities said McHenry parked his car and walked up to a trooper's patrol car late at night, and ordered the trooper to get out. He allegedly pulled out a handun and pointed it at the trooper, who shot McHenry after failing to disarm him.</t>
  </si>
  <si>
    <t>Police stopped Grigsby, who was driving a car with stolen license plates, and learned of multiple felony warrants for his arrest, police said. Grigsby assaulted one officer and shot another before the officers returned fire, according to authorities. Both officers were treated for their injuries.</t>
  </si>
  <si>
    <t>Law enforcement responded to a report of a domestic disturbance and shot Kerns when he allegedly pointed a gun at officers and ignored orders to stop, police said.</t>
  </si>
  <si>
    <t>Close was shot dead after allegedly charging at police from his home with a baseball bat and a poker. Officers had arrived in response to a 911 call in which Close reportedly said he was murdering someone. Police said they found Close's girlfriend bludgeoned to death inside the house.</t>
  </si>
  <si>
    <t>Gullickson was shot after coming out of his house after a three-hour standoff and pointing a handgun at deputies, according to the Stone County sheriff. Officers went to the house after Gullickson's wife called 911 and reported that he was shooting at her.</t>
  </si>
  <si>
    <t>Police said Phillips tried to grab an officer's gun after refusing commands to drop a knife during a confrontation at a mobile home park. The officer was responding to a report of a domestic disturbance. Neighbors said Phillips had been arguing with his partner.</t>
  </si>
  <si>
    <t xml:space="preserve">peer was fatally shot during an exchange of gunfire with officers at a bail bonds agency where she worked, according to investigators. Police said the officers were called after she opened fire on an employee of another bail bonds agency, who had come to take her into custody in relation to criminal charges.
</t>
  </si>
  <si>
    <t>Baez exchanged gunfire with police officers at an apartment building when they responded to a domestic violence call, according to authorities.</t>
  </si>
  <si>
    <t>Police shot Mceniry when he reached for a gun, according to authorities. The confrontation started with a traffic stop and Mceniry had previously been shocked with a Taser before officers opened fire.</t>
  </si>
  <si>
    <t xml:space="preserve">Reyna was shot when he approached an officer while carrying a knife, police said. Officers said they were responding to a drug overdose call at the time, and that they attempted to shock Reyna with a Taser before shooting him.
</t>
  </si>
  <si>
    <t>Police killed Kirk after he shot a family of four, fatally wounding three, according to authorities. A 12-year-old survived the shooting but is criticially injured, officials said. Police shot Kirk outside of the family's house after the attack, investigators said.</t>
  </si>
  <si>
    <t>A Swat team entered Martinez's home after a standoff lasting more than five hours, police said. The man, who was wanted on a robbery charge, was killed in the exchange of gunfire.</t>
  </si>
  <si>
    <t>Grows allegedly shot two people before police responded, according to authorities. Officers shot him when he confronted them at the scene, police said. The men Grows shot were hospitalized for treatment, investigators said.</t>
  </si>
  <si>
    <t>Hall, who was suspected of robbing convenience store, was shot as he allegedly advanced at officers with a knife and a rock.</t>
  </si>
  <si>
    <t>Deputies responded to a domestic disturbance and decided to call child welfare officials to the scene. According to police, Tarrant then pulled out a gun and pointed it at deputies.</t>
  </si>
  <si>
    <t>Officers were responding to a call from Hartnett's family members concerned that he was suicidal, according to authorities. Police shot Hartnett when he approached them with a knife, investigators said.</t>
  </si>
  <si>
    <t>Police said Salazar was shot when he charged at deputies with a hammer inside a Subway restaurant. A 911 caller had reported that he was destroying things with the hammer outside the restaurant.</t>
  </si>
  <si>
    <t>Coleman, an armed robbery suspect, was killed in an exchange of gunfire with deputies who had pursued him into some woods. Authorities said the officers were responding to a tip that Coleman was in the area. One deputy was shot in a shoulder during the encounter.</t>
  </si>
  <si>
    <t>Bartkiewicz was shot when he pointed a weapon at deputies who had arrived at his home, according to authorities. He was said to have made several threatening 911 calls.</t>
  </si>
  <si>
    <t>Officers shot Nerio when he allegedly charged at them with a knife. Police had arrived at his apartment complex after a woman called to report a sexual assault, according to authorities.</t>
  </si>
  <si>
    <t>Garcia, who was armed with a handgun and a stolen shotgun, was fatally shot by police after climbing to the sixth floor of a construction site and aiming one of his weapons toward a hospital and then at officers, according to authorities. He was said to have told police and a clerk at the store where he stole the shotgun that he wished to die.</t>
  </si>
  <si>
    <t xml:space="preserve">Deputies responded to Gavin's home twice in one evening, first after a report of a domestic dispute and later after a report of shots fired, officials said. Police shot Gavin when they found him pointing a gun at a woman, according to authorities. The woman was not hurt.
</t>
  </si>
  <si>
    <t>Officers were confronted by Sanchez, an armed robbery suspect, when he left his house with a gun, according to authorities. Police said Sanchez was shot dead when he pointed the weapon at an officer.</t>
  </si>
  <si>
    <t>A deputy shot Blake after he allegedly brandished a rifle during a traffic stop. The deputy had pulled Blake over on suspicion of drunk driving, police said.</t>
  </si>
  <si>
    <t>Mesaros, a suspect in a home-invasion robbery, led police from several agencies on two high-speed car chases after being spotted. He was shot by officers after 'displaying a firearm', according to authorities. Another suspect was taken into custody.</t>
  </si>
  <si>
    <t>Police shot Cuellar, an off-duty sheriff's deputy, while responding to a report that he was suicidal. Authorities said Cuellar pointed a gun at officers but Cuellar's mother said she witnessed the shooting and the gun remained at his side.</t>
  </si>
  <si>
    <t>Police shot Acevedo when he exited a house and fired shots at officers, according to authorities. Officials later said Acevedo had taken a woman hostage and then killed her before exiting and shooting at police.</t>
  </si>
  <si>
    <t>Hudson and another woman, both fugitives, opened fire on officers when the officers tried to arrest them, according to authorities. Officers killed Hudson and injured the woman, police said. Officials said Hudson was wanted on parole charges.</t>
  </si>
  <si>
    <t>Johnson was holding a gun to his head while standing in a parking lot near a hospital, according to authorities. During negotiations with police, Johnson reportedly fired his gun at the ground twice. Tactical officers fatally shot Johnson, although it is unclear what exactly prompted the shooting. The state medical examiner's office ruled that Johnson died by suicide, although he had no self-inflicted wounds.</t>
  </si>
  <si>
    <t>Bigley, who was reportedly suicidal, fatally shot a woman who tried to intervene, according to authorities. Police pursued Bigley after he left the scene and shot him when he exited his car with a gun, officials said.</t>
  </si>
  <si>
    <t>Hohman allegedly attacked his sister and 12-year-old nephew with a claw hammer. Police responded to a 911 call and shot Hohman when he ignored commands to drop the hammer and charged toward officers, police said.</t>
  </si>
  <si>
    <t>Lemieux was 'randomly discharging' her gun when police responded to a report of an active shooter, according to authorities. Police used 'less-lethal force' on Lemieux and then shot her after she pointed her gun at deputies, officials said.</t>
  </si>
  <si>
    <t>Deputies were serving search and arrest warrants at a home when Romanoski confronted them with a shotgun, police said.</t>
  </si>
  <si>
    <t>Officers discovered a car crash and began pursuing Tyndall, who was involved in the crash and had left the scene, police said. Officers shot Tyndall when he pointed a gun at them, according to authorities.</t>
  </si>
  <si>
    <t>Deputies responded to the scene of an accident involving a car and a bull, state police said. Officers were preparing to shoot the bull after the animal charged emergency responders and passing cars when Yantis, the bull's owner, confronted the deputies, according to authorities. Yantis shot at the deputies and the deputies returned fire, police said. Several eyewitnesses said Yantis aimed his rifle at the bull to humanely euthanise it and may have fired a shot accidentially as deputies wrestled with him.</t>
  </si>
  <si>
    <t>Officers responded to reports of a man breaking car windows and encountered McMillan, allegedly holding an axe. Police said McMillan walked towards an officer with it, prompting the officer to fire. Dashboard video shows McMillan repeatedly asking the officer to shoot him as the officer orders him to stay back.</t>
  </si>
  <si>
    <t>Police initially said that an officer pulled DuBose over for a routine traffic stop which escalated into some type of altercation, and that DuBose dragged an officer with his vehicle for a distance before the officer fired. That account was later disproven by body camera footage released by Cincinnati prosecutor Joseph Deters, who announced that murder charges were being filed against University of Cincinnati police officer Ray Tensing.</t>
  </si>
  <si>
    <t>Luster was chasing teenagers who may have vandalized his home. An officer saw Luster in his truck coming his way and fired shots and killed Luster.</t>
  </si>
  <si>
    <t>McCray allegedly burglarized a Target, and when police arrived to investigate, he rammed a patrol car, injuring the officer, then preceded to lead police and the state patrol on a high-speed freeway chase. Police and state troopers cornered him at a rest stop. When they got out of their cars to arrest McCray, he attempted to run them over and four officers shot and killed him.</t>
  </si>
  <si>
    <t>Showman herself called police in the mid-morning, claiming to be armed with an Uzi and threatening her family. She had a long history of mental health issues. When officers arrived Showman met them outside, holding a cordless drill. Officers felt threatened and they shot her to death.</t>
  </si>
  <si>
    <t>Keith Vidal was an 18-year-old schizophrenic whose parents called police because he was having a violent episode, as they had done on many previous occasions. Two officers arrived and attempted to calm Vidal, who was holding a small screwdriver but not attempting to attack anyone with it. A third officer, Detective Bryon Vassey arrived and allegedly ordered the officers to tase Vidal. Then Vassey shot Vidal in the chest. A Grand Jury indicted Vassey for involuntary manslaughter in February. As of September 2014, no trial date has been set.</t>
  </si>
  <si>
    <t>Hammond was shot while driving away from the scene of a drug deal sting operation. Authorities said Hammond drove his car at a patrol vehicle and an officer, but dashcam video showed he was shot twice from the side through his driver's window as he passed an officer who was ordering him to stop. A local solicitor said the 'deadly force was justified' and declined to bring criminal charges against Lieutenant Mark Tiller.</t>
  </si>
  <si>
    <t>Massey was a passenger in a car that was stopped by police at 431 South Wrecker Service in Eufaula when he was shot multiple times by police. Massey caused the vehicle to accelerate, dragging one of the officers, according to a statement released Wednesday from Mayor Jack Tibbs. The traffic stop about 45 miles south of Columbus developed into a drug-trafficking investigation.</t>
  </si>
  <si>
    <t>http://www.ledger-enquirer.com/news/local/article29326114.html</t>
  </si>
  <si>
    <t>Bethea allegedly tried to flee in a vehicle when two undercover narcotics officers tried to arrest him for selling drugs. Police said he used the car as a weapon and tried to run officers over.</t>
  </si>
  <si>
    <t>Henry and three others were chased by police who suspected them of being involved in a burglary. The police chased them, used stopsticks, and their car overturned. Its unclear who was driving the car.</t>
  </si>
  <si>
    <t>Brown and three others were chased by police who suspected them of being involved in a burglary. The police chased them, used stopsticks, and their car overturned. Its unclear who was driving the car.</t>
  </si>
  <si>
    <t>Ashland Police Department</t>
  </si>
  <si>
    <t>Lakeshire Police Department, St. Louis County Police Department</t>
  </si>
  <si>
    <t>Violent Crime Rate</t>
  </si>
  <si>
    <t>Population</t>
  </si>
  <si>
    <t>Ross Batista</t>
  </si>
  <si>
    <t>http://assets.nydailynews.com/polopoly_fs/1.2461457.1449768613!/img/httpImage/image.jpg_gen/derivatives/article_635/kingchatman11n-1-web.jpg</t>
  </si>
  <si>
    <t>Porter</t>
  </si>
  <si>
    <t>4900 G Street SE</t>
  </si>
  <si>
    <t>State</t>
  </si>
  <si>
    <t>City</t>
  </si>
  <si>
    <t>Total</t>
  </si>
  <si>
    <t>Amer. Indian</t>
  </si>
  <si>
    <t>Hawaiian</t>
  </si>
  <si>
    <t>Asian/Pacific Islander</t>
  </si>
  <si>
    <t>Other</t>
  </si>
  <si>
    <t>Two or
more races</t>
  </si>
  <si>
    <t>Murder and
nonnegligent manslaughter</t>
  </si>
  <si>
    <t>Murder Rate</t>
  </si>
  <si>
    <t>Kansas City Missouri</t>
  </si>
  <si>
    <t>Alaska</t>
  </si>
  <si>
    <t>New Jersey</t>
  </si>
  <si>
    <t>Buffalo Police Department</t>
  </si>
  <si>
    <t>Plano</t>
  </si>
  <si>
    <t>Plano Police Department</t>
  </si>
  <si>
    <t>Irvine</t>
  </si>
  <si>
    <t>Irvine Police Department</t>
  </si>
  <si>
    <t>Alabama</t>
  </si>
  <si>
    <t>United States</t>
  </si>
  <si>
    <t>James Paul Bertuglia</t>
  </si>
  <si>
    <t>http://bloximages.newyork1.vip.townnews.com/newsadvance.com/content/tncms/assets/v3/editorial/5/2a/52ad2d83-2418-518e-8871-925714162eff/56b2a754c9c7d.image.jpg?resize=960%2C720</t>
  </si>
  <si>
    <t>2508 Patrick Henry Highway</t>
  </si>
  <si>
    <t>Amherst</t>
  </si>
  <si>
    <t>24521</t>
  </si>
  <si>
    <t>Bertuglia was stunned by Tasers three times and pepper-sprayed twice by police after a high-speed pursuit through multiple jurisdictions</t>
  </si>
  <si>
    <t>http://www.dailyprogress.com/news/local/state-police-investigate-man-s-death-following-arrest-by-nelson/article_f18c7394-cc7a-11e5-b7fe-5bc40aba28da.html</t>
  </si>
  <si>
    <t>Jonathan Wardlow</t>
  </si>
  <si>
    <t>http://kwtv.images.worldnow.com/images/9448900_G.jpg</t>
  </si>
  <si>
    <t>250 Apex Dr</t>
  </si>
  <si>
    <t>Healdton</t>
  </si>
  <si>
    <t>73438</t>
  </si>
  <si>
    <t>Healdton Police Department</t>
  </si>
  <si>
    <t>A Healdton officer responded to a report of a domestic disturbance at a home. When the officer arrived, he found Wardlow acting erratically. Wardlow tried to hit the officer, who pulled out his Taser and told Wardlow to get on the ground, police said. Wardlow got on the ground, and the officer holstered the Taser and tried to handcuff him. While trying to handcuff Wardlow, Wardlow got on top of the officer and took the Taser, pointing it at the officer who shot and killed Wardlow.</t>
  </si>
  <si>
    <t>http://www.kxii.com/home/headlines/Officer-involved-shooting-in-Healdton-361681811.html</t>
  </si>
  <si>
    <t>Gilberto Heredia</t>
  </si>
  <si>
    <t>http://bloximages.chicago2.vip.townnews.com/idahopress.com/content/tncms/assets/v3/editorial/6/aa/6aab600e-0694-5644-996d-07e616040836/568b13f0305cb.image.jpg</t>
  </si>
  <si>
    <t>Homedale Police Department, Owyhee County Sheriff's Office</t>
  </si>
  <si>
    <t>Police say Heredia pulled a handgun and fired when officers arrived at his home to assist a child custody exchange.</t>
  </si>
  <si>
    <t>300 Montana Avenue</t>
  </si>
  <si>
    <t>http://www.idahostatesman.com/news/local/crime/article51908865.html</t>
  </si>
  <si>
    <t>89117</t>
  </si>
  <si>
    <t>82301</t>
  </si>
  <si>
    <t>93701</t>
  </si>
  <si>
    <t>95322</t>
  </si>
  <si>
    <t>23434</t>
  </si>
  <si>
    <t>Suffolk City</t>
  </si>
  <si>
    <t>48911</t>
  </si>
  <si>
    <t>94301</t>
  </si>
  <si>
    <t>28216</t>
  </si>
  <si>
    <t>70770</t>
  </si>
  <si>
    <t>71295</t>
  </si>
  <si>
    <t>93257</t>
  </si>
  <si>
    <t>87108</t>
  </si>
  <si>
    <t>41016</t>
  </si>
  <si>
    <t>05401</t>
  </si>
  <si>
    <t>30134</t>
  </si>
  <si>
    <t>92543</t>
  </si>
  <si>
    <t>18472</t>
  </si>
  <si>
    <t>70582</t>
  </si>
  <si>
    <t>Saint Martin</t>
  </si>
  <si>
    <t>32738</t>
  </si>
  <si>
    <t>95977</t>
  </si>
  <si>
    <t>79101</t>
  </si>
  <si>
    <t>93552</t>
  </si>
  <si>
    <t>03874</t>
  </si>
  <si>
    <t>90502</t>
  </si>
  <si>
    <t>24538</t>
  </si>
  <si>
    <t>21090</t>
  </si>
  <si>
    <t>37922</t>
  </si>
  <si>
    <t>43619</t>
  </si>
  <si>
    <t>87571</t>
  </si>
  <si>
    <t>44240</t>
  </si>
  <si>
    <t>93010</t>
  </si>
  <si>
    <t>21220</t>
  </si>
  <si>
    <t>95020</t>
  </si>
  <si>
    <t>38358</t>
  </si>
  <si>
    <t>25880</t>
  </si>
  <si>
    <t>80212</t>
  </si>
  <si>
    <t>98513</t>
  </si>
  <si>
    <t>76201</t>
  </si>
  <si>
    <t>76010</t>
  </si>
  <si>
    <t>80010</t>
  </si>
  <si>
    <t>37410</t>
  </si>
  <si>
    <t>70129</t>
  </si>
  <si>
    <t>18301</t>
  </si>
  <si>
    <t>85750</t>
  </si>
  <si>
    <t>93933</t>
  </si>
  <si>
    <t>44113</t>
  </si>
  <si>
    <t>42754</t>
  </si>
  <si>
    <t>10704</t>
  </si>
  <si>
    <t>11434</t>
  </si>
  <si>
    <t>82070</t>
  </si>
  <si>
    <t>44143</t>
  </si>
  <si>
    <t>Sunny Chin</t>
  </si>
  <si>
    <t>http://www.fatalencounters.org/wp-content/uploads/2013/10/Chin.png</t>
  </si>
  <si>
    <t>3312 W Cherokee Ave</t>
  </si>
  <si>
    <t>http://www.baynews9.com/content/news/baynews9/news/article.html/content/news/articles/bn9/2016/3/17/police_officers_were.html</t>
  </si>
  <si>
    <t>Map Kong</t>
  </si>
  <si>
    <t>http://www.fatalencounters.org/wp-content/uploads/2013/10/MapKong.png</t>
  </si>
  <si>
    <t>2901 Minnesota Hwy 13</t>
  </si>
  <si>
    <t>Burnsville</t>
  </si>
  <si>
    <t>Dakota</t>
  </si>
  <si>
    <t>Burnsville Police Department</t>
  </si>
  <si>
    <t>Officers responded to a call about a man acting suspiciously outside the McDonalds off Hwy. 13 and Washburn Avenue. They confronted the man, who police say was brandishing a knife, and shot and killed him.</t>
  </si>
  <si>
    <t>http://www.startribune.com/five-officers-named-in-shooting-at-burnsville-mcdonald-s/372581691/</t>
  </si>
  <si>
    <t>Thongsavanh Vandarack</t>
  </si>
  <si>
    <t>http://www.gannett-cdn.com/-mm-/3515ce114adcbc3142682653fc798ef69a04b7c1/c=0-50-321-292&amp;r=x404&amp;c=534x401/local/-/media/2016/01/28/TNGroup/Murfreesboro/635895900684549724-Vandarack.Jpg</t>
  </si>
  <si>
    <t>Grandview Dr</t>
  </si>
  <si>
    <t>37772</t>
  </si>
  <si>
    <t>Loudon County Sheriff's Office</t>
  </si>
  <si>
    <t>Two Loudon County Sheriff's Office investigators went to the home to serve a warrant for aggravated statutory rape of a 13-year-old. The man's girlfriend invited officers into the home, the 40-year-old male suspect was instructed to take his hands out of his pocket. When he did, police said the suspect pulled out a gun. The officers shot and killed him.</t>
  </si>
  <si>
    <t>http://www.local8now.com/news/headlines/Loudon-Co-deputies-respond-to-shooting-366757421.html</t>
  </si>
  <si>
    <t>Kisha Michael</t>
  </si>
  <si>
    <t>http://www.trbimg.com/img-56cbe0c2/turbine/la-me-ln-family-of-woman-killed-by-inglewood-p-001/750/750x422</t>
  </si>
  <si>
    <t>W Manchester Blvd and Inglewood Ave</t>
  </si>
  <si>
    <t>http://www.nbclosangeles.com/news/local/Inglewood-Officer-Involved-Shooting--369574341.html</t>
  </si>
  <si>
    <t>Henry Bennett</t>
  </si>
  <si>
    <t>http://www.palmbeachpost.com/news/news/crime-law/fire-rescue-one-dead-in-belle-glade-shooting-repor/np6Rf/#8587986</t>
  </si>
  <si>
    <t>SW Ave D and SW 9th St</t>
  </si>
  <si>
    <t>Belle Glade</t>
  </si>
  <si>
    <t>33430</t>
  </si>
  <si>
    <t>http://miami.cbslocal.com/2016/01/17/florida-deputy-shoots-kills-driver-following-traffic-stop/</t>
  </si>
  <si>
    <t>Ali Eisa Abdalla Yahia</t>
  </si>
  <si>
    <t>http://www.gannett-cdn.com/-mm-/81cfd8e5b7389a911842f27c11b7f5690961203b/c=37-53-213-185&amp;r=x404&amp;c=534x401/local/-/media/2016/02/15/IAGroup/DesMoines/635911511632480915-yahia.PNG</t>
  </si>
  <si>
    <t>4800 Merle Hay Rd</t>
  </si>
  <si>
    <t>Urbandale</t>
  </si>
  <si>
    <t>Urbandale Police Department</t>
  </si>
  <si>
    <t>http://whotv.com/2016/02/13/one-person-killed-in-officer-involved-shooting-at-urbandale-hotel/</t>
  </si>
  <si>
    <t>Thurman Reynolds</t>
  </si>
  <si>
    <t>http://www.fatalencounters.org/wp-content/uploads/2013/10/Thurman.png</t>
  </si>
  <si>
    <t>300 Neola St</t>
  </si>
  <si>
    <t>Park Forest Police were investigating a break-in at a vacant home and a stolen vehicle found at the location. After learning a person was inside the building, police set up a perimeter around the home. As the suspect left, police say they tried to take him into custody, he produced a handgun and started shooting at the officers, and he was shot and killed.</t>
  </si>
  <si>
    <t>http://chicago.cbslocal.com/2016/03/19/suspect-killed-officer-wounded-in-park-forest-police-involved-shooting/</t>
  </si>
  <si>
    <t>Lamar Harris</t>
  </si>
  <si>
    <t>http://www.fatalencounters.org/wp-content/uploads/2013/10/harrislamar1.jpg</t>
  </si>
  <si>
    <t>3700 W Polk St</t>
  </si>
  <si>
    <t>Officers were investigating "possible narcotics activity," police said. They approached Harris, who took off running and then turned and fired, hitting one officer in the back, another in the foot and the third officer in the chest, possibly in his bulletproof vest, police said. At least one of the officers shot and killed Harris.</t>
  </si>
  <si>
    <t>http://www.chicagotribune.com/news/local/breaking/ct-officers-shot-on-west-side-20160314-story.html</t>
  </si>
  <si>
    <t>Cedric Larry Ford</t>
  </si>
  <si>
    <t>http://www.fatalencounters.org/wp-content/uploads/2013/10/Ford.png</t>
  </si>
  <si>
    <t>200 S Ridge Rd</t>
  </si>
  <si>
    <t>Hesston</t>
  </si>
  <si>
    <t>67062</t>
  </si>
  <si>
    <t>Harvey County Sheriff's Office</t>
  </si>
  <si>
    <t>Ford led police on a miles long shooting spree before being killed at a factory. He'd killed three and injured 14 before police shot and killed him.</t>
  </si>
  <si>
    <t>http://www.nytimes.com/2016/02/26/us/shooting-at-plant-hesston-kansas.html</t>
  </si>
  <si>
    <t>Calvin Smith</t>
  </si>
  <si>
    <t>http://www.fatalencounters.org/wp-content/uploads/2013/10/Calvin.png</t>
  </si>
  <si>
    <t>Fairfields Ave</t>
  </si>
  <si>
    <t>Officers were responding to a report that someone was damaging property when a suspect jumped into a vehicle and drove off. He led police on a 2-mile chase before bailing out of the car with a rifle. He fired at the two officers, striking both of them before he was shot and killed.</t>
  </si>
  <si>
    <t>http://www.times-standard.com/general-news/20160213/the-latest-baton-rouge-police-say-2-officers-suspect-shot</t>
  </si>
  <si>
    <t>Timothy R. Albert</t>
  </si>
  <si>
    <t>http://i.dailymail.co.uk/i/pix/2016/01/21/14/306DBEB400000578-3409915-Killed_Saint_Landry_Parish_Sheriffs_Office_SWAT_team_shot_40_yea-a-29_1453385057523.jpg</t>
  </si>
  <si>
    <t>Louisiana Hwy 741</t>
  </si>
  <si>
    <t>Port Barre</t>
  </si>
  <si>
    <t>70577</t>
  </si>
  <si>
    <t>St. Landry</t>
  </si>
  <si>
    <t>Timothy Albert, 40, of Port Barre, was shot by St. Landry Parish sheriff's deputies after he engaged police in a nearly four-hour standoff, holding his girlfriend, Mindy Babineaux, hostage with a high-powered rifle.</t>
  </si>
  <si>
    <t>http://www.theadvertiser.com/story/news/crime/2016/01/20/deputies-scene-hostage-situation-near-port-barre/79065958/</t>
  </si>
  <si>
    <t>Randolph McClain</t>
  </si>
  <si>
    <t>http://www.fatalencounters.org/wp-content/uploads/2013/10/lynn.jpg</t>
  </si>
  <si>
    <t>Western Ave and Nichols Ave</t>
  </si>
  <si>
    <t>01904</t>
  </si>
  <si>
    <t>Four Lynn police officers went to execute five outstanding arrest warrants for restraining order violations and threats on McClain. Police called out to McClain and he answered that he had a gun and would kill them, police said. McClain fled the building onto a porch roof, pointed the gun at an officer and ran to the back of the house. He jumped to the ground, fled on foot, and attempted to steal a car at gunpoint. Officers approached the vehicle, McClain pointed his gun at officers and three officers shot and killed him.</t>
  </si>
  <si>
    <t>http://www.itemlive.com/news/police-investigating-a-shooting-on-western-ave/?utm_source=rss&amp;utm_medium=rss</t>
  </si>
  <si>
    <t>Jacai Colson</t>
  </si>
  <si>
    <t>http://www.fatalencounters.org/wp-content/uploads/2013/10/jacai-colson-3.jpg</t>
  </si>
  <si>
    <t>7600 Barlowe Road</t>
  </si>
  <si>
    <t>http://www.cnn.com/2016/03/16/us/maryland-police-officer-killed/</t>
  </si>
  <si>
    <t>Rakeem Bentley</t>
  </si>
  <si>
    <t>http://kool.corrections.ky.gov/Content/OffenderPhotos/0290437.jpg</t>
  </si>
  <si>
    <t>27033 Northwestern Hwy</t>
  </si>
  <si>
    <t>48075</t>
  </si>
  <si>
    <t>http://www.theoaklandpress.com/general-news/20160116/officer-shot-suspect-killed-in-southfield-standoff</t>
  </si>
  <si>
    <t>Jermon Seals</t>
  </si>
  <si>
    <t>http://www.fatalencounters.org/wp-content/uploads/2013/10/Seales.jpg</t>
  </si>
  <si>
    <t>1701 Nw State Route 7</t>
  </si>
  <si>
    <t>Blue Springs</t>
  </si>
  <si>
    <t>64014</t>
  </si>
  <si>
    <t>http://www.kctv5.com/story/31554750/robbery-suspect-shot-killed-by-police-outsideblue-springs-walgreens</t>
  </si>
  <si>
    <t>Crayton West</t>
  </si>
  <si>
    <t>http://www.fatalencounters.org/wp-content/uploads/2013/10/CraytonWest.png</t>
  </si>
  <si>
    <t>3517 S Grand Blvd</t>
  </si>
  <si>
    <t>Police responded to the scene after a citizen flagged down an officer driving by, saying there was an armed robbery in progress at a KFC. The officer saw the suspect inside the fast food restaurant and confronted him. The suspect raised his gun and the officer shot and killed him.</t>
  </si>
  <si>
    <t>http://www.kmov.com/story/30988370/armed-robber-killed-during-officer-involved-shooting-at-south-city-kfc</t>
  </si>
  <si>
    <t>Deriante Deon Miller</t>
  </si>
  <si>
    <t>http://www.fatalencounters.org/wp-content/uploads/2013/10/Deriante-Deon-Miller.jpg</t>
  </si>
  <si>
    <t>2644 Crepe Myrtle St</t>
  </si>
  <si>
    <t>Kinston</t>
  </si>
  <si>
    <t>28504</t>
  </si>
  <si>
    <t>Lenoir</t>
  </si>
  <si>
    <t>http://wnct.com/2016/03/28/trooper-fatally-shoots-armed-person-in-kinston/</t>
  </si>
  <si>
    <t>Germonta Wallace</t>
  </si>
  <si>
    <t>http://www.charlotteobserver.com/news/local/atzw18/picture52910980/ALTERNATES/FREE_320/James_Hampton_Evans</t>
  </si>
  <si>
    <t>2600 Watson Dr</t>
  </si>
  <si>
    <t>28208</t>
  </si>
  <si>
    <t>Police said they were searching for Wallace, who was wanted for the Dec. 30, 2015, murder of Norris Martin. When officers arrived Wallace and Marquez Breon Springs-Owens, 29, came outside. Police said Wallace started firing at the officers, hitting Officer Jessica Zinobile in the ankle. Multiple detectives shot and killed Wallace.</t>
  </si>
  <si>
    <t>http://www.charlotteobserver.com/news/local/article52912755.html</t>
  </si>
  <si>
    <t>Sahlah Ridgeway</t>
  </si>
  <si>
    <t>http://image.syracuse.com/home/syr-media/width620/img/crime_impact/photo/19745551-mmmain.jpg</t>
  </si>
  <si>
    <t>1313 Butternut St</t>
  </si>
  <si>
    <t>13208</t>
  </si>
  <si>
    <t>Syracuse Police Department</t>
  </si>
  <si>
    <t>http://www.syracuse.com/crime/index.ssf/2016/02/syracuse_police_investigating_shooting_at_north_side_apartments_officer_reported.html</t>
  </si>
  <si>
    <t>Marese Vince Collins</t>
  </si>
  <si>
    <t>https://mgtvwcmh.files.wordpress.com/2016/02/collins-mug.jpg?w=362&amp;h=452</t>
  </si>
  <si>
    <t>500 Whitethorne Ave</t>
  </si>
  <si>
    <t>43223</t>
  </si>
  <si>
    <t>Officers were dispatched to the 700 block of Whitethorne when police said Collins fled in a dark-colored SUV. After police spotted and followed the vehicle, Collins then fled by foot through the neighborhood. Witnessess said officers gave numerous commands for the suspect to drop his gun before they opened shot and killed him.</t>
  </si>
  <si>
    <t>http://nbc4i.com/2016/02/07/cpd-suspect-killed-in-officer-involved-shooting/</t>
  </si>
  <si>
    <t>Cedric Lamont Norris</t>
  </si>
  <si>
    <t>http://cdn2.newsok.biz/cache/w320-c_fc014e9d55bdf81e0c1a52f9e9099774.jpg</t>
  </si>
  <si>
    <t>US-69</t>
  </si>
  <si>
    <t>74432</t>
  </si>
  <si>
    <t>McIntosh</t>
  </si>
  <si>
    <t>Bank robbery suspects fled on Highway 69 but police caught up to them. One got out of the vehicle and shot at an Oklahoma Highway Patrol trooper, police said. The trooper shot and killed Norris.</t>
  </si>
  <si>
    <t>http://www.theepochtimes.com/n3/1947370-eufaula-oklahoma-2-dead-after-bank-robbery-and-shootout/</t>
  </si>
  <si>
    <t>Rodney Turner</t>
  </si>
  <si>
    <t>https://pbs.twimg.com/media/CX-OJ25UAAA_jR8.jpg</t>
  </si>
  <si>
    <t>3600 NW 42nd St</t>
  </si>
  <si>
    <t>Police were called to the Crestpark Apartments, where a victim said that multiple people broke into the home, showed a gun and demanded money. Rodney Turner, 22, was walking in the complex and matched a suspect description. Police said Turner grabbed the officer's rifle and attempted to disarm him. Police said the officer drew his sidearm and shot at Turner during the scuffle. Turner fled, but his weapon was found at the scene. Police were called to an apartment in reference to a shooting victim a short time later. According to police, Turner was found in the apartment.Turner again attempted to disarm an officer and was shot at again. He ran away, but police received a second call stating that a shot individual was inside another apartment at a different location approximately two blocks away. It's unclear from articles when Turner died.</t>
  </si>
  <si>
    <t>http://www.koco.com/news/okc-police-investigating-officerinvolved-shooting-on-northwest-side/37266056</t>
  </si>
  <si>
    <t>Christopher Kalonji</t>
  </si>
  <si>
    <t>http://www.fatalencounters.org/wp-content/uploads/2013/10/Kalonji.png</t>
  </si>
  <si>
    <t>3700 SE Concord Rd</t>
  </si>
  <si>
    <t>Oak Grove</t>
  </si>
  <si>
    <t>97267</t>
  </si>
  <si>
    <t>One of Kalonji's relatives called police claiming the 19-year-old was threatening family members with a rifle. Police negotiators and staff with the county's behavioral health unit responded. Police spoke to Kalonji for two and a half hours, until SWAT members arrived, the sheriff's office said. At some point, deputies spotted Kalonji waving a rifle. One deputy fired a handgun, another shot a rifle and one more fired at least one beanbag round. After the officers fired, Kalonji retreated into his second-floor apartment and locked himself inside one of the rooms. Kraus said the deputies heard at least one shot come from inside the unit. It's uncertain who shot and/or killed Kalonji.</t>
  </si>
  <si>
    <t>http://portlandtribune.com/pt/9-news/291047-168355-mentally-disturbed-man-dies-after-swat-standoff-at-holly-acres-apartment-complex-in-oak-grove</t>
  </si>
  <si>
    <t>Shalamar Longer</t>
  </si>
  <si>
    <t>http://www.fatalencounters.org/wp-content/uploads/2013/10/Shalamar.png</t>
  </si>
  <si>
    <t>1200 Keystone Rd</t>
  </si>
  <si>
    <t>Chester Police Department, Upland Police Department, Chester Township Police Department</t>
  </si>
  <si>
    <t>An officer tried to stop an SUV driven Longer for a burned out license plate light. Instead of stopping, police said, the Blazer took off, leading police on a chase through Upland Borough, onto I-95, then into Chester via the Highland Avenue exit. It ended about 6-10 minutes later when Shalamar jumped out of the SUV, pulled out a loaded gun and pointed it at police. Six officers shot about 100 rounds, killing him.</t>
  </si>
  <si>
    <t>http://www.delcotimes.com/article/DC/20160208/NEWS/160209713</t>
  </si>
  <si>
    <t>Alexio Allen</t>
  </si>
  <si>
    <t>http://www.fatalencounters.org/wp-content/uploads/2013/10/Allen.jpg</t>
  </si>
  <si>
    <t>3400 Dillard Rd</t>
  </si>
  <si>
    <t>http://www.wmcactionnews5.com/story/31559847/the-latest-police-man-fatally-shot-by-memphis-officer</t>
  </si>
  <si>
    <t>Christopher Michael Dew</t>
  </si>
  <si>
    <t>https://cbsdallas.files.wordpress.com/2016/01/christopher-michael-dew.jpg?w=640&amp;h=360&amp;crop=1</t>
  </si>
  <si>
    <t>Texas Hwy 183</t>
  </si>
  <si>
    <t>Irving police say Dew held a woman hostage in the parking lot of a Cash Store he was suspected of robbing. Officers had responded to an alarm call from the store in the 4100 block of West Highway 183 around 1 p.m. Two officers fired shots, hitting and killing the suspect.</t>
  </si>
  <si>
    <t>http://www.star-telegram.com/news/local/crime/article57357633.html</t>
  </si>
  <si>
    <t>Tyre Privott</t>
  </si>
  <si>
    <t>https://localtvwtkr.files.wordpress.com/2016/03/tyre-privott.png</t>
  </si>
  <si>
    <t>Chesapeake Blvd and Fishermans Rd</t>
  </si>
  <si>
    <t>23518</t>
  </si>
  <si>
    <t>Privott was wanted for questioning in a murder investigation. When police approached him, he shot at them and was shot and killed.</t>
  </si>
  <si>
    <t>http://wtkr.com/2016/03/11/police-investigate-officer-involved-shooting-in-bayview-area-of-norfolk/#</t>
  </si>
  <si>
    <t>Bruce Kelley Jr.</t>
  </si>
  <si>
    <t>Whitney Ave</t>
  </si>
  <si>
    <t>Port Authority Police</t>
  </si>
  <si>
    <t>http://pittsburgh.cbslocal.com/2016/01/31/person-shot-k9-officer-stabbed-killed-in-wilkinsburg/</t>
  </si>
  <si>
    <t>Greg Gunn</t>
  </si>
  <si>
    <t>http://www.fatalencounters.org/wp-content/uploads/2013/10/Gunn.png</t>
  </si>
  <si>
    <t>3200 McElvy St</t>
  </si>
  <si>
    <t>36108</t>
  </si>
  <si>
    <t>Montgomery Police Department</t>
  </si>
  <si>
    <t>An officer noticed a suspicious looking man walking in the area and stopped to talk to him. That's when a struggle between the officer and the man occurred, police say. The struggle lasted for about a block before the officer fired a shot at the man and killed him. The man was alleged to have had a painting pole or stick.</t>
  </si>
  <si>
    <t>Charged with murder</t>
  </si>
  <si>
    <t>http://www.wsfa.com/story/31311999/montgomery-man-killed-in-officer-involved-shooting</t>
  </si>
  <si>
    <t>Antronie Scott</t>
  </si>
  <si>
    <t>10362 Sahara Street</t>
  </si>
  <si>
    <t>http://www.mysanantonio.com/news/local/article/Man-wanted-on-two-felony-warrants-shot-dead-by-6808656.php</t>
  </si>
  <si>
    <t>Peter William Gaines</t>
  </si>
  <si>
    <t>Eastex Freeway Service Rd and Collingsworth St</t>
  </si>
  <si>
    <t>77020</t>
  </si>
  <si>
    <t>http://www.chron.com/news/houston-texas/article/Two-persons-shot-dead-by-police-identified-6889325.php</t>
  </si>
  <si>
    <t>Calin Devante Roquemore</t>
  </si>
  <si>
    <t>Texas Hwy 149</t>
  </si>
  <si>
    <t>Beckville</t>
  </si>
  <si>
    <t>75631</t>
  </si>
  <si>
    <t>Panola</t>
  </si>
  <si>
    <t>A state trooper tried to stop a vehicle for a traffic violation on Texas 149, but the driver fled in his vehicle. The driver then exited his still-running car in a Beckville residential neighborhood, where the car traveled a short distance and struck a tree. Roquemore then ran about 300 yards before he fell to the ground and then tried to get back up. The trooper told investigators he asked Roquemore to show his hands, and when Roquemore failed to comply, the trooper shot and killed him. No gun was found.</t>
  </si>
  <si>
    <t>http://www.news-journal.com/news/2016/feb/14/report-unarmed-man-shot-killed-by-texas-trooper-in/</t>
  </si>
  <si>
    <t>David Joseph</t>
  </si>
  <si>
    <t>http://assets.nydailynews.com/polopoly_fs/1.2526285.1455074131!/img/httpImage/image.jpg_gen/derivatives/article_635/austin10n-2-web.jpg</t>
  </si>
  <si>
    <t>300 E Yager Ln</t>
  </si>
  <si>
    <t>78753</t>
  </si>
  <si>
    <t>According to Austin police, officers responded after receiving multiple calls about a man acting aggressively toward neighbors. APD said when officers arrived, the man was naked, running through the neighborhood and continued acting aggressively. Details are sketchy, but at some point, a 10-and-a-half-year Austin Police shot and killed him.</t>
  </si>
  <si>
    <t>http://www.kvue.com/story/news/local/2016/02/08/police-responding-officer-involved-shooting-northeast-austin/80006352/</t>
  </si>
  <si>
    <t>Peter John</t>
  </si>
  <si>
    <t>5300 Clay Terrace NE</t>
  </si>
  <si>
    <t>https://www.washingtonpost.com/local/public-safety/dc-police-officer-involved-in-shooting-in-ne-washington/2016/02/01/236346f6-c8cd-11e5-a7b2-5a2f824b02c9_story.html</t>
  </si>
  <si>
    <t>Robert Dentmond</t>
  </si>
  <si>
    <t>http://www.fatalencounters.org/wp-content/uploads/2013/10/Detmond.jpg</t>
  </si>
  <si>
    <t>5800 SW 20th Ave</t>
  </si>
  <si>
    <t>Alachua County Sheriff's Office, Gainesville Police Department</t>
  </si>
  <si>
    <t>Officials say they responded to the Majestic Oaks apartment complex after Dentmond called 911 saying he had an automatic weapon and that he was going to shoot himself. Dentmond was shot and killed after officials told him to drop his gun, but he didn't comply. The "gun" turned out to be a toy rifle.</t>
  </si>
  <si>
    <t>http://www.alligator.org/news/_breaking_news/article_41d55850-ef73-11e5-bf41-339b1ef95afa.html</t>
  </si>
  <si>
    <t>Paul Gaston</t>
  </si>
  <si>
    <t>3300 Harrison Ave</t>
  </si>
  <si>
    <t>45211</t>
  </si>
  <si>
    <t>Police responded to a crash in which a man left the vehicle with an airsoft gun and appeared disoriented or intoxicated. At first, he appeared to cooperate with police who told them to drop the airsoft gun, and then he didn't, and he was shot and killed.</t>
  </si>
  <si>
    <t>http://www.wlwt.com/news/police-officerinvolved-shooting-on-harrison-avenue/38047306</t>
  </si>
  <si>
    <t>Dominique "Nonny" Silva</t>
  </si>
  <si>
    <t>http://www.fatalencounters.org/wp-content/uploads/2013/10/Nonny.png</t>
  </si>
  <si>
    <t>Webster St</t>
  </si>
  <si>
    <t>http://www.necn.com/news/new-england/PD-Man-Shot-Killed-by-Officer-Had-BB-Gun-373844941.html</t>
  </si>
  <si>
    <t>India M. Beaty</t>
  </si>
  <si>
    <t>http://www.fatalencounters.org/wp-content/uploads/2013/10/Beaty.png</t>
  </si>
  <si>
    <t>9500 Shore Dr</t>
  </si>
  <si>
    <t>http://wtkr.com/2016/03/19/woman-killed-in-officer-involved-shooting-in-norfolk/</t>
  </si>
  <si>
    <t>Kionte DeShaun Spencer</t>
  </si>
  <si>
    <t>http://bloximages.newyork1.vip.townnews.com/roanoke.com/content/tncms/assets/v3/editorial/f/26/f265d719-9e9e-50e4-8c90-3f9be0bdbc52/56d4f207b5d7e.image.jpg?resize=300%2C200</t>
  </si>
  <si>
    <t>4049 Brambleton Ave</t>
  </si>
  <si>
    <t>Cave Spring</t>
  </si>
  <si>
    <t>24018</t>
  </si>
  <si>
    <t>Roanoke</t>
  </si>
  <si>
    <t>Roanoke County Police Department</t>
  </si>
  <si>
    <t>Officers told Spencer several times to stop walking northbound on Electric Road, but he would not, according to police. Police say there were two attempts to tase Spencer, but neither were effective. The Roanoke County police chief says two officers then fired shots at Spencer after he turned toward them. A BB gun was still in Spencer's hand when he was shot.</t>
  </si>
  <si>
    <t>http://www.wdbj7.com/news/local/police-investigating-report-of-shots-fired-near-walgreens-on-brambleton-avenue/38220812</t>
  </si>
  <si>
    <t>Akiel Rakim Lakeith Denkins</t>
  </si>
  <si>
    <t>https://heavyeditorial.files.wordpress.com/2016/02/akiel-denkins-11.jpg?quality=65&amp;strip=all&amp;strip=all</t>
  </si>
  <si>
    <t>Bragg St</t>
  </si>
  <si>
    <t>27601</t>
  </si>
  <si>
    <t>http://wncn.com/2016/02/29/raleigh-police-investigate-officer-involved-shooting/</t>
  </si>
  <si>
    <t>Marquintan Sandlin</t>
  </si>
  <si>
    <t>http://www.fatalencounters.org/wp-content/uploads/2013/10/Sandlin.png</t>
  </si>
  <si>
    <t>Eric John Senegal</t>
  </si>
  <si>
    <t>http://www.fatalencounters.org/wp-content/uploads/2013/10/EricSenegal.jpg</t>
  </si>
  <si>
    <t>Gene Stanley Rd</t>
  </si>
  <si>
    <t>Ragley</t>
  </si>
  <si>
    <t>70657</t>
  </si>
  <si>
    <t>Beauregard Parish Sheriff's Office</t>
  </si>
  <si>
    <t>http://www.katc.com/story/30890387/man-dog-dead-following-officer-involved-shooting</t>
  </si>
  <si>
    <t>Johnathan Bratcher</t>
  </si>
  <si>
    <t>http://assets.nydailynews.com/polopoly_fs/1.2512088.1453967790!/img/httpImage/image.jpg_gen/derivatives/article_400/memphis29n-4-web.jpg</t>
  </si>
  <si>
    <t>800 South Parkway E</t>
  </si>
  <si>
    <t>38106</t>
  </si>
  <si>
    <t>http://www.wsmv.com/story/31072865/tbi-takes-over-officer-involved-shooting</t>
  </si>
  <si>
    <t>Dyzhawn L. Perkins</t>
  </si>
  <si>
    <t>http://www.farmvilleherald.com/wp-content/uploads/2016/02/DSC_1171-e1455497533904-681x1024.jpg</t>
  </si>
  <si>
    <t>800 Penlan Rd</t>
  </si>
  <si>
    <t>Arvonia</t>
  </si>
  <si>
    <t>23004</t>
  </si>
  <si>
    <t>Buckingham</t>
  </si>
  <si>
    <t>Buckingham County Sheriff's Department</t>
  </si>
  <si>
    <t>Police were initially called because someone was attacking people inside a store. The suspect then went to a home and attacked the people within and when police arrived, he attacked them. He was shot and killed.</t>
  </si>
  <si>
    <t>http://www.times-standard.com/general-news/20160214/virginia-police-investigating-deadly-force-incident</t>
  </si>
  <si>
    <t>http://cdn.tegna-tv.com/-mm-/bb937ce74946b58f472cf2e7c0926aa35daf8881/c=55-0-243-251&amp;r=537&amp;c=0-0-534-712/local/-/media/2016/02/10/WWL/WWL/635907383156461458-EricHarris.JPG</t>
  </si>
  <si>
    <t>Simon Bolivar Ave and Philip St</t>
  </si>
  <si>
    <t>Police said Harris was pointing a gun at people in a mall. He led them on a short chase, wrecking the car. When they approached the car, he attempted to back over them, and he was shot and killed.</t>
  </si>
  <si>
    <t>http://www.ksla.com/story/31172316/jp-deputies-fatally-shoot-suspect-in-orleans-after-incident-at-oakwood-mall</t>
  </si>
  <si>
    <t>Janet Wilson</t>
  </si>
  <si>
    <t>http://www.gannett-cdn.com/-mm-/3c0dce3d37195c906778d69a1c791ae276f1cf36/c=245-517-549-923&amp;r=183&amp;c=0-0-180-240/local/-/media/2016/02/03/DetroitFreePress/DetroitFreePress/635901091530191646-IMG-8446.JPG</t>
  </si>
  <si>
    <t>Hubbard Dr</t>
  </si>
  <si>
    <t>http://www.mlive.com/news/detroit/index.ssf/2016/01/dearborn_police_shoot_man_foll.html#incart_river_home</t>
  </si>
  <si>
    <t>Charles M. Smith</t>
  </si>
  <si>
    <t>7300 S Paulina St</t>
  </si>
  <si>
    <t>Police said they shot and killed a man who fired at officers responding to several calls of a man with a gun and a home invasion</t>
  </si>
  <si>
    <t>https://www.dnainfo.com/chicago/20160131/west-englewood/officers-shoot-kill-person-after-alleged-home-invasion-sunday-police</t>
  </si>
  <si>
    <t>Peter Fanfan</t>
  </si>
  <si>
    <t>Stanwood St and Laredo St</t>
  </si>
  <si>
    <t>Police were responding to a 911 call about a shooting when they were confronted by a man with a gun. He was shot and killed.</t>
  </si>
  <si>
    <t>http://www.nbcwashington.com/news/national-international/Multiple-Suspects-Injured-in-Officer-Involved-Shooting-368615471.html</t>
  </si>
  <si>
    <t>Carlton Antonio Murphy</t>
  </si>
  <si>
    <t>3117 Tacoma St</t>
  </si>
  <si>
    <t>Police said someone called 911 around 5 a.m. saying shots had been fired. When officers arrived, a person began shooting at them from a second-floor balcony, police Chief Kerr Putney said at the scene. Police later said Murphy fired more than 30 shots at responding officers. Officer Jacob Meadors returned fire, police said, and the man retreated into the apartment. A SWAT team and negotiators were sent to the scene, CMPD said. They went inside the second-floor apartment and found the suspect dead, Putney said.</t>
  </si>
  <si>
    <t>http://www.wcnc.com/story/news/crime/2016/01/05/cmpd-respond-to-shots-fired-call-in-west-charlotte/78293778/</t>
  </si>
  <si>
    <t>Keith Montgomery Jr.</t>
  </si>
  <si>
    <t>Parker St and Union St</t>
  </si>
  <si>
    <t>Police say the incident started as a suspected stolen car stop and escalated. A chase of three armed suspects ended in a shootout. Montgomery and Chester Police Captain Alan Davis was injured.</t>
  </si>
  <si>
    <t>http://6abc.com/1246670/</t>
  </si>
  <si>
    <t>Che Andre Taylor</t>
  </si>
  <si>
    <t>2100 NE 85th St</t>
  </si>
  <si>
    <t>98115</t>
  </si>
  <si>
    <t>http://www.seattletimes.com/seattle-news/crime/1-wounded-in-seattle-shooting/?utm_source=RSS#038;utm_medium=Referral&amp;#038;utm_campaign=RSS_seattle-news</t>
  </si>
  <si>
    <t>Mohamed Barry</t>
  </si>
  <si>
    <t>Stelzer Rd</t>
  </si>
  <si>
    <t>http://www.10tv.com/content/stories/2016/02/11/columbus-ohio-man-stabs-multiple-people-with-machette-in-northeast-columbus.html</t>
  </si>
  <si>
    <t>Marco Antonio Loud</t>
  </si>
  <si>
    <t>3833 Cypress Creek Pkwy</t>
  </si>
  <si>
    <t>A deputy interceded during an apparent carjacking attempt involving Loud, then struggled with him, police said. The deputy used a Taser to control the situation, to no avail. Police said Loud grabbed the Taser and struck the deputy, who shot and killed Loud.</t>
  </si>
  <si>
    <t>Christopher Nelms</t>
  </si>
  <si>
    <t>11314 North Freeway</t>
  </si>
  <si>
    <t>Police were surveiling five suspects who attempted to rob an Affordable Furniture store, police said. The men came out running and ignored verbal commands to drop their weapons. Two were shot and killed.</t>
  </si>
  <si>
    <t>http://www.brownsvilleherald.com/news/texas/article_cd4e572b-f2e1-507e-b563-700c2c6893af.html</t>
  </si>
  <si>
    <t>Travis Stevenson</t>
  </si>
  <si>
    <t>Terrace Ave</t>
  </si>
  <si>
    <t>70802</t>
  </si>
  <si>
    <t>http://www.ksla.com/story/31298829/la-state-police-investigates-deadly-officer-involved-shooting-in-baton-rouge</t>
  </si>
  <si>
    <t>Raymond Gonzalez</t>
  </si>
  <si>
    <t>N Blackstone Ave</t>
  </si>
  <si>
    <t>Gonzalez was standing with another man in front of Scotty's Liquor Store when officers spotted him. A plainclothes officer thought he was acting "suspiciously" and tried to contact him, police said. Gonzalez dropped a backpack and fled, and as he ran he pulled a handgun out of his waistband.An officer fired one round and missed. Police said body cam video shows when Gonzalez raised himself up, he had a black object in his hand that the officer believed was a gun. The officer fired again, this time killing Gonzalez.</t>
  </si>
  <si>
    <t>http://www.fresnobee.com/news/local/crime/article68036527.html</t>
  </si>
  <si>
    <t>S Ferris Avenue and Whittier Boulevard</t>
  </si>
  <si>
    <t>A man became combative during a traffic stop, which deputies made in the course of a stolen-vehicle investigation, according to police. During the fight, deputies said they believed the man was reaching for a gun. He failed to obey orders and was shot and killed.</t>
  </si>
  <si>
    <t>http://www.latimes.com/local/lanow/la-me-ln-deputy-shooting-20160214-story.html</t>
  </si>
  <si>
    <t>Osvaldo Torres</t>
  </si>
  <si>
    <t>Tweedy Blvd and Burtis St</t>
  </si>
  <si>
    <t>Police said Torres led police on a car chase after refusing to pull over for a traffic stop. After crashing, he shot at police and was shot and killed.</t>
  </si>
  <si>
    <t>http://ktla.com/2016/03/06/police-shoot-kill-man-who-opened-fire-on-them-in-south-gate-sheriffs-department/</t>
  </si>
  <si>
    <t>Gerardino Cayetano Gonzalez</t>
  </si>
  <si>
    <t>http://extras.mnginteractive.com/live/media/site36/2016/0224/20160224_031631_Alfonso_Padilla.jpg</t>
  </si>
  <si>
    <t>Lowell Blvd and W 35th Ave</t>
  </si>
  <si>
    <t>Police said officers investigating a burglary call made contact with two suspects on Irving Street. One of the two was taken into custody. One of the suspects fled on foot and was chased by police. Police said the suspect then carjacked a vehicle and police began chasing that car. The chase ended a short time later when the suspect lost control and officers stopped the car at 35th and Lowell Boulevard. Shots were exchanged and the suspect was shot and killed.</t>
  </si>
  <si>
    <t>http://www.denverpost.com/news/ci_29550970/denver-cop-shot-burglary-once-called-her-job</t>
  </si>
  <si>
    <t>Joel Gonzales</t>
  </si>
  <si>
    <t>2600 E 8th St</t>
  </si>
  <si>
    <t>Police were responding to a disturbance call. When they arrived they encountered Gonzales inside the home, armed. He was holding a handgun in one hand and a knife in the other. Officers repeatedly told him to drop the weapons, but Gonzales refused and advanced on officers who shot and killed him.</t>
  </si>
  <si>
    <t>http://www.kktv.com/home/headlines/1-Injured-In-Officer-Involved-Shooting-373341071.html</t>
  </si>
  <si>
    <t>Israel Vladimir Rodriguez</t>
  </si>
  <si>
    <t>http://media.cmgdigital.com/shared/img/photos/2016/01/28/bd/20/isrealrodriguez.jpg</t>
  </si>
  <si>
    <t>I-75 and Delk Rd</t>
  </si>
  <si>
    <t>Georgia Department of Public Safety</t>
  </si>
  <si>
    <t>http://www.11alive.com/story/news/traffic/2016/01/27/all-lanes--75-sb-closed-delk-road/79420342/</t>
  </si>
  <si>
    <t>Mario Sandoval</t>
  </si>
  <si>
    <t>http://www.fatalencounters.org/wp-content/uploads/2013/10/mario-sandoval.jpeg</t>
  </si>
  <si>
    <t>14500 Central Ave SW</t>
  </si>
  <si>
    <t>Pueblo of Laguna Police Department</t>
  </si>
  <si>
    <t>Police were investigating a stolen vehicle. Police say Sandoval fired first and was shot and killed.</t>
  </si>
  <si>
    <t>http://www.abqjournal.com/745380/news/1-person-dead-1-officer-injured-after-shooting-near-route-66-casino.html</t>
  </si>
  <si>
    <t>Edgar Camacho-Alvarado</t>
  </si>
  <si>
    <t>http://www.fatalencounters.org/wp-content/uploads/2013/10/Edgar-Camacho-Alvarado.jpg</t>
  </si>
  <si>
    <t>7501 Central Ave NW</t>
  </si>
  <si>
    <t>http://www.abqjournal.com/727690/news/state-police-confirm-name-of-man-killed-during-u-s-marshals-operation.html</t>
  </si>
  <si>
    <t>Alan Huberth Franco-Armenta</t>
  </si>
  <si>
    <t>http://www.fatalencounters.org/wp-content/uploads/2013/10/FRANCO-ARMENTA.png</t>
  </si>
  <si>
    <t>US-380</t>
  </si>
  <si>
    <t>Carrizozo</t>
  </si>
  <si>
    <t>88301</t>
  </si>
  <si>
    <t>According to New Mexico State Police, deputies initially encountered the man earlier that evening during a domestic violence call in Capitan. Deputies said the man fled when they arrived, resulting in a pursuit. Deputies were able to disable the man's vehicle with a tire deflation device on U.S. 380 near milepost 53. They said the suspect refused to get out of his vehicle and began pointing a gun at his head, telling officers he wanted to kill himself. AState police said the man fired shots from his vehicle at officers, who shot and killed him.</t>
  </si>
  <si>
    <t>http://www.kob.com/article/stories/S4010182.shtml?cat=504#.VpBJdfkrLIU</t>
  </si>
  <si>
    <t>Ronnie Lee Padron</t>
  </si>
  <si>
    <t>https://cbsdallas.files.wordpress.com/2016/02/padron_ronnie_lee.jpg?w=625&amp;h=352&amp;crop=1</t>
  </si>
  <si>
    <t>100 W Reno Rd</t>
  </si>
  <si>
    <t>75462</t>
  </si>
  <si>
    <t>Police responded because someone was shooting out of a home. After several hours of standoff, Padron came out with a gun, shooting at police, and was shot and killed.</t>
  </si>
  <si>
    <t>http://dfw.cbslocal.com/2016/02/19/reno-standoff-ends-with-police-killing-armed-suspect/</t>
  </si>
  <si>
    <t>Jorge Brian Gonzalez</t>
  </si>
  <si>
    <t>http://www.star-telegram.com/news/local/community/northeast-tarrant/se43gt/picture63583772/ALTERNATES/FREE_960/gonzales3</t>
  </si>
  <si>
    <t>508 Simmons Dr</t>
  </si>
  <si>
    <t>76040</t>
  </si>
  <si>
    <t>Euliss Police Department</t>
  </si>
  <si>
    <t>Officer David Hofer was shot and killed by Gonzalez after responding to a call of possible shots fired at the park. Gonzalez was then shot and killed by police.</t>
  </si>
  <si>
    <t>http://www.star-telegram.com/news/local/community/northeast-tarrant/article63564422.html</t>
  </si>
  <si>
    <t>Efrain Herrera Jr.</t>
  </si>
  <si>
    <t>8800 Norwich Ave</t>
  </si>
  <si>
    <t>91343</t>
  </si>
  <si>
    <t>http://homicide.latimes.com/post/efrain-herrera-jr/</t>
  </si>
  <si>
    <t>Jose Perez</t>
  </si>
  <si>
    <t>75 Cambridge St</t>
  </si>
  <si>
    <t>Lowell</t>
  </si>
  <si>
    <t>01851</t>
  </si>
  <si>
    <t>Two 911 callers reported a man at 75 Cambridge St. “threatening to kill everyone." Officers said they shot and killed the man after he advanced on police and refused to drop his weapons.</t>
  </si>
  <si>
    <t>http://www.necn.com/news/new-england/Officer-Involved-Shooting-in-Lowell-373665461.html</t>
  </si>
  <si>
    <t>Ethan James Rincon</t>
  </si>
  <si>
    <t>http://assets.nydailynews.com/polopoly_fs/1.2575134.1458763114!/img/httpImage/image.jpg_gen/derivatives/article_635/axe24n-4-web.jpg</t>
  </si>
  <si>
    <t>8800 SW 183rd Terrace</t>
  </si>
  <si>
    <t>Palmetto Bay</t>
  </si>
  <si>
    <t>Ethan James Rincon was shot and killed by police late Tuesday after cracking the windows and slashing the tires of six cars, then threatened three officers with a pickaxe, police said.</t>
  </si>
  <si>
    <t>http://www.miamiherald.com/news/local/crime/article67721542.html</t>
  </si>
  <si>
    <t>Baltazar Ramos</t>
  </si>
  <si>
    <t>3200 Telephone Rd</t>
  </si>
  <si>
    <t>77023</t>
  </si>
  <si>
    <t>The decedent caused a disturbance at a bus station. He was opening gas tanks with a machete, and apparently trying to light them. He may have struck an officer with the machete before he was shot and killed.</t>
  </si>
  <si>
    <t>http://www.khou.com/story/news/crime/2016/02/23/hpd-precinct-6-deputy-shoots-kills-suspect-bus-station/80806638/</t>
  </si>
  <si>
    <t>Jose Cordoba</t>
  </si>
  <si>
    <t>El Dorado St and E Clay St</t>
  </si>
  <si>
    <t>Cordoba died after being shocked several times with a Taser during a physical struggle with two officers in a strip mall. Police said he got out of his car and ran away after being stopped for driving erratically. The officers caught up to him and a fight ensued.</t>
  </si>
  <si>
    <t>http://fox40.com/2016/03/08/traffic-stop-turns-deadly-man-dies-in-stockton-police-custody/</t>
  </si>
  <si>
    <t>Cristian Rene Medina</t>
  </si>
  <si>
    <t>Holmes Ave and E 64th St</t>
  </si>
  <si>
    <t>Deputies responded to a false robbery report and found Medina, who held his hands as though he were holding a gun, pointing his finger at the deputies. He was shot and killed.</t>
  </si>
  <si>
    <t>http://homicide.latimes.com/post/cristian-rene-medina/</t>
  </si>
  <si>
    <t>Gustavo Najera</t>
  </si>
  <si>
    <t>1313 W Lido Pl</t>
  </si>
  <si>
    <t>Police were called about a suspicious person who was knocking on strangers' doors. Details have not been reported as to why Najera was shot and killed.</t>
  </si>
  <si>
    <t>http://ktla.com/2016/02/09/man-22-killed-in-officer-involved-shooting-in-anaheims-sage-park/</t>
  </si>
  <si>
    <t>Jose Raul Cruz</t>
  </si>
  <si>
    <t>http://www.fatalencounters.org/wp-content/uploads/2013/10/jose-raul-cruz.jpg</t>
  </si>
  <si>
    <t>Spring Valley Rd and Marsh Ln</t>
  </si>
  <si>
    <t>Addison</t>
  </si>
  <si>
    <t>75001</t>
  </si>
  <si>
    <t>Off-duty Officer Ken Johnson saw a burglary and pursued the car before shooting and killing the boy.</t>
  </si>
  <si>
    <t>http://www.nytimes.com/2016/03/18/us/texas-officer-charged-with-murder-in-shooting-of-teenagers-suspected-of-attempted-burglary.html?_r=0</t>
  </si>
  <si>
    <t>Alfred Longoria</t>
  </si>
  <si>
    <t>1800 Nichols Canyon Rd</t>
  </si>
  <si>
    <t>Officers were dispatched about 2:15 p.m. Saturday to a home in the 1800 block of Courtney Terrace on a report of burglary, said Los Angeles police officer Rosario Herrera of the Media Relations Section. That street is in Nichols Canyon, a street just east of Laurel Canyon, and the shooting was about two blocks north of Hollywood Boulevard. “The resident confronted the suspect and the suspect fled,” Herrera said. A perimeter was set up and around 3:30 p.m. Saturday the suspect emerged from the perimeter with a pellet gun. The suspect encountered two officers, she said, and an officer-involved shooting occurred.</t>
  </si>
  <si>
    <t>http://www.dailynews.com/general-news/20160117/burglary-suspect-fatally-shot-by-police-in-hollywood-hills</t>
  </si>
  <si>
    <t>Vincent Avila</t>
  </si>
  <si>
    <t>20000 Ochoa Rd</t>
  </si>
  <si>
    <t>Authorities said Avila broke into the officer's home. The officer, who was off duty at the time, fatally shot Avila after he ignored commands to lie on the floor and reached into his waistband, police said.</t>
  </si>
  <si>
    <t>http://www.pe.com/articles/officer-797326-sheriff-apple.html</t>
  </si>
  <si>
    <t>Miguel Hernandez</t>
  </si>
  <si>
    <t>Shangri-La Dr and Nathan Hill Dr</t>
  </si>
  <si>
    <t>http://homicide.latimes.com/post/miguel-hernandez-2016-00421/</t>
  </si>
  <si>
    <t>Daniel Chavez</t>
  </si>
  <si>
    <t>http://www.gannett-cdn.com/-mm-/0c5dbc40536f426fd1e922257edee4059af6bbcc/c=0-0-351-468&amp;r=537&amp;c=0-0-534-712/local/-/media/2016/03/09/TXNMGroup/Carlsbad/635931229320708002-chavez.jpg</t>
  </si>
  <si>
    <t>N Happy Valley Rd and W Texas St</t>
  </si>
  <si>
    <t>Carlsbad Police Department, Eddy County Sheriff's Office</t>
  </si>
  <si>
    <t>According to police, the Pecos Valley Drug Task Force had gone to a home in Carlsbad to arrest Chavez. They say Chavez tried to escape on foot, and then in a vehicle before he was shot.</t>
  </si>
  <si>
    <t>http://www.dothaneagle.com/news/ap/state/state-police-investigate-carlsbad-officer-involved-shooting/article_6582484b-ac35-5ff7-ae15-e972e92a453c.html</t>
  </si>
  <si>
    <t>Jose Mendez</t>
  </si>
  <si>
    <t>3300 E 6th St</t>
  </si>
  <si>
    <t>90023</t>
  </si>
  <si>
    <t>http://www.latimes.com/local/lanow/la-me-ln-lapd-shooting-teenager-20160209-story.html</t>
  </si>
  <si>
    <t>Martin Rene Hurtado</t>
  </si>
  <si>
    <t>E 68th St and Orcutt Ave</t>
  </si>
  <si>
    <t>Hurtado pointed a gun at police as he tried to run from a traffic stop.</t>
  </si>
  <si>
    <t>http://www.presstelegram.com/general-news/20160310/man-killed-by-officer-in-north-long-beach-is-identified</t>
  </si>
  <si>
    <t>Jose Miguel Alegre</t>
  </si>
  <si>
    <t>Sheila Gail Ln</t>
  </si>
  <si>
    <t>Walker County Sheriff's Office, Catoosa County Sheriff's Office, LaFayette Police Department</t>
  </si>
  <si>
    <t>Police were responding to a domestic disturbance including shots fired. After unsuccessful negotiations, police fired tear gas into the house, at which point, Alegre shot at police, and they shot and killed him.</t>
  </si>
  <si>
    <t>http://www.northwestgeorgianews.com/catwalkchatt/year-old-man-shot-killed-in-swat-standoff-in-walker/article_921cb0e4-c780-11e5-a29b-734852374ac2.html</t>
  </si>
  <si>
    <t>Edgar Rene Alvarado</t>
  </si>
  <si>
    <t>La Veta Dr NE and El Encanto Pl NE</t>
  </si>
  <si>
    <t>Bernalillo County Sheriff's Office, Albuquerque Police Department</t>
  </si>
  <si>
    <t>http://www.kob.com/article/stories/s4035920.shtml#.VrFlKfkrLIU</t>
  </si>
  <si>
    <t>Guadalupe Sauceda</t>
  </si>
  <si>
    <t>Madera Rd</t>
  </si>
  <si>
    <t>Jal</t>
  </si>
  <si>
    <t>88252</t>
  </si>
  <si>
    <t>Lea County Sheriff's Office, Jal Police Department</t>
  </si>
  <si>
    <t>Police responded to a call about a home invasion. They met the suspect on the back porch and exchanged gunfire, killing him.</t>
  </si>
  <si>
    <t>http://www.abqjournal.com/725696/news/state-police-investigating-fatal-officer-involved-shooting-near-jal.html</t>
  </si>
  <si>
    <t>Eric Hernandez</t>
  </si>
  <si>
    <t>300 E Pyron Ave</t>
  </si>
  <si>
    <t>Hernandez got into an altercation with neighbors who were moving furniture and fired shots at their home around 2 a.m. He went back inside his home, and while a search warrant was being prepared, police kept watch to make sure he didn't come out again with a gun. When SWAT arrived around 10 a.m. to the serve the warrant, the man came out of the house armed with a weapon and started pacing in front of his home and in the street. He was shot and killed.</t>
  </si>
  <si>
    <t>http://www.ksat.com/news/sapd-responds-to-shooting-on-south-side</t>
  </si>
  <si>
    <t>Hector Leroy</t>
  </si>
  <si>
    <t>S El Paso St and E Overland Ave</t>
  </si>
  <si>
    <t>http://www.kfoxtv.com/news/features/top-stories/stories/Two-dead-after-downtown-El-Paso-shooting-involving-Border-Patrol-252745.shtml#.Vs-IW5wrJvY</t>
  </si>
  <si>
    <t>Fernando Hernandez</t>
  </si>
  <si>
    <t>US-181</t>
  </si>
  <si>
    <t>Floresville</t>
  </si>
  <si>
    <t>78114</t>
  </si>
  <si>
    <t>Wilson County Sheriff's Department</t>
  </si>
  <si>
    <t>Police said Hernandez had stolen a car and fired shots at a house on a Wilson County road and began driving around Highway 181. Deputies began pursuing the man until he stopped, got out of the car and began firing at the deputies. Deputies returned fire, killing Hernandez.</t>
  </si>
  <si>
    <t>http://www.ksat.com/news/man-critically-wounded-in-shootout-with-wilson-county-deputies</t>
  </si>
  <si>
    <t>Sergio Ochoa</t>
  </si>
  <si>
    <t>S Lindsay Rd and E Warner Rd</t>
  </si>
  <si>
    <t>85296</t>
  </si>
  <si>
    <t>After threatening his girlfriend with a gun, Ochoa led police on a chase. Police tracked him down at a home with seven people inside. Officers chased him into the backyard where police say he pulled out several large kitchen knives. Officers attempted to use a less lethal beanbag round, but were unsuccessful. Ochoa continued to advance towards officers with the knives, and police shot and killed him.</t>
  </si>
  <si>
    <t>http://www.tucsonnewsnow.com/story/31383490/suspect-dies-after-officer-involved-shooting-in-gilbert</t>
  </si>
  <si>
    <t>Sergio Alvarado-Morales</t>
  </si>
  <si>
    <t>S McCarran Blvd</t>
  </si>
  <si>
    <t>Reno police were called to a multiple-vehicle chain reaction. Witnesses told officers about a man who had been involved in the crash who was holding a knife to his throat, and another person reportedly trying to disarm him. Police say officers found 38-year-old Sergio Alvarado-Morales with the knife and talked to him, trying to get him to put it down. They then used a Taser to subdue him, and when that didn't work, he and officers fought, and he was shot and killed. Peculiarly, a witness claimed he pulled a gun.</t>
  </si>
  <si>
    <t>http://www.ktvn.com/story/31053716/reno-police-say-one-man-dead-after-officer-involved-shooting2</t>
  </si>
  <si>
    <t>Filberto Valencia</t>
  </si>
  <si>
    <t>3200 Nicole St</t>
  </si>
  <si>
    <t>95205</t>
  </si>
  <si>
    <t>Officers responded to calls of a home intruder. Police said a man said someone was trying to kill him and ran off after failing to get into the house. The man then broke into a group home and was harming a girl inside. Upon arrival, police forced entry into the residence and found the suspect barricaded in the bathroom with four females. He had his arms wrapped around a 10-year-old girl's neck. The man fought with Stockton police officers who used tasers and batons. The man died on scene.</t>
  </si>
  <si>
    <t>http://fox40.com/2016/01/19/police-home-intruder-dead-after-physical-altercation-with-stockton-officers/</t>
  </si>
  <si>
    <t>Albert Thompson</t>
  </si>
  <si>
    <t>2601 Don Pedro Rd</t>
  </si>
  <si>
    <t>95307</t>
  </si>
  <si>
    <t>Officers were patroling in the area of a small apartment complex because of past drug activity. Thompson ran, but it's uncertain what caused officers to shoot and kill him other than him "exhibiting a hand torch."</t>
  </si>
  <si>
    <t>http://www.modbee.com/news/local/crime/article53316480.html</t>
  </si>
  <si>
    <t>Philip B. Salazar</t>
  </si>
  <si>
    <t>401 N Timberline Rd</t>
  </si>
  <si>
    <t>80524</t>
  </si>
  <si>
    <t>Larimer County Sheriff's Office</t>
  </si>
  <si>
    <t>http://denver.cbslocal.com/2016/01/30/police-shoot-man-holding-woman-hostage-in-larimer-county/</t>
  </si>
  <si>
    <t>Jose Quintanilla</t>
  </si>
  <si>
    <t>1100 E 4th St</t>
  </si>
  <si>
    <t>Officers responded after a report of a burglary. The officers made contact with four suspects and a confrontation ensued, police said. At some point, police opened fire. The spokesman did not know the specific circumstances that led to the shooting. Two people were killed by police and two arrested.</t>
  </si>
  <si>
    <t>http://www.latimes.com/local/lanow/la-me-ln-police-shooting-santa-ana-two-dead-20160218-story.html</t>
  </si>
  <si>
    <t>75th Ave and McDowell Rd</t>
  </si>
  <si>
    <t>Phoenix police say Rivera was driving a stolen car when he was shot and killed by police after using the car as a battering ram in an attempt to flee.</t>
  </si>
  <si>
    <t>http://www.azcentral.com/story/news/local/phoenix/breaking/2016/02/24/officer-involved-shooting-investigation-underway-west-phoenix/80876092/</t>
  </si>
  <si>
    <t>Francisco Garcia</t>
  </si>
  <si>
    <t>Alondra Blvd and Studebaker Rd</t>
  </si>
  <si>
    <t>90650</t>
  </si>
  <si>
    <t>A deputy was investigating a stolen car. He told the decedent to get out of the car, but the decedent hit the deputy with the car. The deputy shot and killed him.</t>
  </si>
  <si>
    <t>http://www.presstelegram.com/general-news/20160229/norwalk-man-killed-in-deputy-involved-shooting-in-cerritos-is-identified</t>
  </si>
  <si>
    <t>Dimitri Corcino</t>
  </si>
  <si>
    <t>http://www.fatalencounters.org/wp-content/uploads/2013/10/Corcino.png</t>
  </si>
  <si>
    <t>Mariposa Dr NE</t>
  </si>
  <si>
    <t>32905</t>
  </si>
  <si>
    <t>http://www.clickorlando.com/news/palm-bay-police-investigate-officer-involved-shooting</t>
  </si>
  <si>
    <t>Patricia Kruger</t>
  </si>
  <si>
    <t>http://alaska-native-news.com/wp-content/uploads/2016/02/image22-02-2016-08.59.26-283x300.jpg</t>
  </si>
  <si>
    <t>Hawk Ln</t>
  </si>
  <si>
    <t>Matanuska Susitna</t>
  </si>
  <si>
    <t>http://www.adn.com/article/20160222/trooper-shoots-kills-woman-during-standoff-mat-su</t>
  </si>
  <si>
    <t>Vincent Nageak III</t>
  </si>
  <si>
    <t>7400 N Star St</t>
  </si>
  <si>
    <t>Barrow</t>
  </si>
  <si>
    <t>99723</t>
  </si>
  <si>
    <t>North Slope</t>
  </si>
  <si>
    <t>North Slope Borough Police Department</t>
  </si>
  <si>
    <t>http://www.ktuu.com/news/news/fatal-officerinvolved-shooting-reported-in-barrow-says-borough-spokesman/37925150</t>
  </si>
  <si>
    <t>Jacqueline D. Salyers</t>
  </si>
  <si>
    <t>http://d1jrw5jterzxwu.cloudfront.net/sites/default/files/default/files/uploads/jacqueline_salyers_fatally_shot_by_tacoma_police_on_january_28_2016_-_courtesy_family_of_jacqueline_salyers.jpeg</t>
  </si>
  <si>
    <t>3300 S Sawyer St</t>
  </si>
  <si>
    <t>98418</t>
  </si>
  <si>
    <t>Police were searching for Kenneth Wright Jr., who was wanted on two outstanding warrants for first-degree robbery, unlawful possession of a firearm and unlawful delivery of a controlled substance. Two police spotted Wright in the passenger seat of a vehicle, got out of their patrol car and started to walk toward the car. Salyers, who was behind the wheel, drove straight at the officers, police said. She was shot and killed, Wright ran away.</t>
  </si>
  <si>
    <t>http://www.thenewstribune.com/news/local/crime/article57246553.html</t>
  </si>
  <si>
    <t>Loreal Tsingine</t>
  </si>
  <si>
    <t>http://nativenewsonline.net/wp-content/uploads/2016/03/Loreal-Tsingine-1.jpg</t>
  </si>
  <si>
    <t>323 N Williamson Ave</t>
  </si>
  <si>
    <t>86047</t>
  </si>
  <si>
    <t>http://nativenewsonline.net/currents/video-reportedly-shows-navajo-woman-not-raise-scissors-towards-winslow-police-officers/</t>
  </si>
  <si>
    <t>Raymond Gassman</t>
  </si>
  <si>
    <t>http://www.fatalencounters.org/wp-content/uploads/2013/10/RaymondGassman.png</t>
  </si>
  <si>
    <t>Rosebud</t>
  </si>
  <si>
    <t>57570</t>
  </si>
  <si>
    <t>Todd</t>
  </si>
  <si>
    <t>Rosebud Sioux Tribe Law Enforcement Services</t>
  </si>
  <si>
    <t>http://rapidcityjournal.com/news/local/one-killed-officer-injured-in-shooting-on-rosebud/article_041612ec-e475-52eb-bc7e-c0d31593d342.html</t>
  </si>
  <si>
    <t>Sherrisa Homer</t>
  </si>
  <si>
    <t>W Indian School Rd and N 23rd Ave</t>
  </si>
  <si>
    <t>http://www.azcentral.com/story/news/local/phoenix/breaking/2016/02/21/police-officer-involved-shooting-phoenix/80721910/#</t>
  </si>
  <si>
    <t>Marcos Perea</t>
  </si>
  <si>
    <t>http://pbs.twimg.com/media/Cbtnol9UcAArqof.jpg</t>
  </si>
  <si>
    <t>Interstate 5</t>
  </si>
  <si>
    <t>98467</t>
  </si>
  <si>
    <t>Pierce County Sheriff's Office</t>
  </si>
  <si>
    <t>Perea had killed his girlfriend as she worked at a nursing facility in University Place, police said. Police soon spotted him and chased his vehicle southbound on I-5 as he shot at them. He headed north on I-5, at which point the pursuing officers forced his car to spin out near an exit for Tillicum. He took cover behind his vehicle and engaged police in a shootout. Twelve officers from three agencies — Lakewood and Steilacoom police, as well as the sheriff's department — shot back, killing him.</t>
  </si>
  <si>
    <t>http://www.times-standard.com/general-news/20160220/suspect-killed-in-police-shootout-on-washington-freeway</t>
  </si>
  <si>
    <t>Arteair Porter</t>
  </si>
  <si>
    <t>http://media.graytvinc.com/images/690*427/arteair-porter.jpg</t>
  </si>
  <si>
    <t>Lemmon Dr</t>
  </si>
  <si>
    <t>89506</t>
  </si>
  <si>
    <t>Porter called police claiming his child had died and that he wanted to shoot someone. They tracked him by his cell phone, and he threatened them with a BB gun before he was shot and killed.</t>
  </si>
  <si>
    <t>http://www.kolotv.com/content/news/Man-killed-in-Reno-officer-involved-shooting-371766162.html</t>
  </si>
  <si>
    <t>Teodoro (Teo) Valencia Jr.</t>
  </si>
  <si>
    <t>http://www.fatalencounters.org/wp-content/uploads/2013/10/TeodoroValencia.png</t>
  </si>
  <si>
    <t>5724 Thornton Ave</t>
  </si>
  <si>
    <t>Officers responded to a call of a male gunman holding up the restaurant. About three minutes later, the robbery suspect left through the kitchen where a police officer positioned outside the back of the restaurant ordered him to stop, police said. The man turned toward the officer and pointed a black semi-automatic handgun at him, police said. The officer shot and killed him.</t>
  </si>
  <si>
    <t>http://www.insidebayarea.com/breaking-news/ci_29630727/newark-cop-fatally-shoots-kfc-robber</t>
  </si>
  <si>
    <t>Michael Laniado</t>
  </si>
  <si>
    <t>1881 Rte 37 W</t>
  </si>
  <si>
    <t>Toms River</t>
  </si>
  <si>
    <t>08757</t>
  </si>
  <si>
    <t>Ocean County Sheriff's Office, Manchester Township Police, Toms River Police</t>
  </si>
  <si>
    <t>http://patch.com/new-jersey/manchester-nj/breaking-police-involved-fatal-shooting-nj-authorities</t>
  </si>
  <si>
    <t>Scottie I.K. Yanagawa</t>
  </si>
  <si>
    <t>http://westhawaiitoday.com/sites/westhawaiitoday.com/files/styles/article600/public/field/image/2939035_web1_Scottie-Yanagawa201621014554123.jpg?itok=JiqudJmY</t>
  </si>
  <si>
    <t>325 Makaala St</t>
  </si>
  <si>
    <t>Hilo</t>
  </si>
  <si>
    <t>96720</t>
  </si>
  <si>
    <t>Yanagawa was wanted for his alleged involvement in a Jan. 31 shooting at Honolii that left a Kona man hospitalized and for furlough escape from Hale Nani Reintegration Center in Hilo on Nov. 19. Police say a traffic stop was made on a Toyota minivan known to be operated by Yanagawa, who was described Monday in a wanted bulletin as armed and dangerous. Officers commanded Yanagawa, who they say was in the passenger seat, and the female driver to get out of the van. Yanagawa, while getting out of the van, shot at officers with a handgun, police say. Four officers shot and killed Yanagawa.</t>
  </si>
  <si>
    <t>http://westhawaiitoday.com/news/local-news/police-investigate-2nd-fatal-officer-involved-shooting-less-week</t>
  </si>
  <si>
    <t>Angel Montion</t>
  </si>
  <si>
    <t>6400 Northside Dr</t>
  </si>
  <si>
    <t>Montion barricaded himself inside his home when deputies attempted to arrest him on kidnapping and assault charges, police said. Deputies said they shot and killed Montion at the end of a standoff when he left the home waving a gun.</t>
  </si>
  <si>
    <t>http://abc7.com/news/suspect-who-barricaded-self-in-east-la-home-dies-in-deputy-involved-shooting/1270723/</t>
  </si>
  <si>
    <t>Jeffry Graves</t>
  </si>
  <si>
    <t>36500 Bridgepointe Dr</t>
  </si>
  <si>
    <t>94560</t>
  </si>
  <si>
    <t>A woman called 911 to report that a 52-year-old man was threatening suicide. Officers responded and removed the woman from the home and then spent 40 minutes negotiating with the man, who was holding a handgun to his head inside the home, according to police. When the man eventually came out of the house, he continued talking with a crisis negotiator while pointing the gun at his head, chest and mouth. When the man pointed the gun at officers and nearby people, he was shot and killed.</t>
  </si>
  <si>
    <t>http://www.insidebayarea.com/breaking-news/ci_29460692/newark-officer-fatally-shoots-apparently-suicidal-man</t>
  </si>
  <si>
    <t>Michael Mallet</t>
  </si>
  <si>
    <t>Hoffman Ln</t>
  </si>
  <si>
    <t>Byron</t>
  </si>
  <si>
    <t>Police went to arrest a man for child molestation. After an overnight standoff, police sent in tear gas. He came out with a gun and was shot and killed.</t>
  </si>
  <si>
    <t>http://www.sfgate.com/crime/article/Police-shooting-in-Byron-after-warrant-standoff-6922401.php</t>
  </si>
  <si>
    <t>Danny Rendon</t>
  </si>
  <si>
    <t>2000 W Cris Ave</t>
  </si>
  <si>
    <t>92804</t>
  </si>
  <si>
    <t>http://abc7.com/news/armed-suspect-dies-in-officer-involved-shooting-in-anaheim/1210131/</t>
  </si>
  <si>
    <t>Daven Scott Hannu</t>
  </si>
  <si>
    <t>Grant St</t>
  </si>
  <si>
    <t>Police said an officer saw a suspicious driver pull into an RTD station lot. The car's lights were turned off. The officer talked to the driver, and walked back his patrol car. Police said the officer was seated back in his car when the suspect shot at him with a shotgun. The officer fired back, but the man returned to his car and drove off. The driver stopped in the middle of the road at Grant Street and E. 86th Avenue. Police said the suspect approached them with the shotgun and started shooting. Police shot and killed him.</t>
  </si>
  <si>
    <t>http://www.thedenverchannel.com/news/front-range/thornton/man-who-shot-thornton-officer-killed-by-police</t>
  </si>
  <si>
    <t>Abraham Martinez</t>
  </si>
  <si>
    <t>310 Rudisill Blvd</t>
  </si>
  <si>
    <t>Officers with the Fort Wayne Police Department and Indiana State Police responded to a call about shots fired at an AutoZone. When they arrived on scene, officers found a man with a gun outside of the business. According to police, the suspect began to fire shots at officers while trying to flee. He was shot and killed by Fort Wayne Police Officer David Wilkins.</t>
  </si>
  <si>
    <t>http://www.21alive.com/news/local/Shooting-on-East-Rudisill-leaves-one-dead-one-injured-372889371.html</t>
  </si>
  <si>
    <t>Herman Flores</t>
  </si>
  <si>
    <t>3007 Cerrillos Rd</t>
  </si>
  <si>
    <t>Santa Fe Police Department</t>
  </si>
  <si>
    <t>State police said Santa Fe police officers caught up with an armed robbery suspect at the motel. A witness said when the officer told the person to put his hands above his head the person refused and fired first. The witness said police fired back, chased him around the corner and fired three more times.</t>
  </si>
  <si>
    <t>http://www.santafenewmexican.com/news/local_news/state-police-santa-fe-officer-shot-killed-robbery-suspect-at/article_ac3e3195-db75-5473-951c-a9c794590efc.html</t>
  </si>
  <si>
    <t>Donald Andrew White</t>
  </si>
  <si>
    <t>Robert M Grissom Pkwy and 21st Ave N</t>
  </si>
  <si>
    <t>29577</t>
  </si>
  <si>
    <t>Myrtle Beach Police Department</t>
  </si>
  <si>
    <t>According to Myrtle Beach Police Department, a person called to say that a man was acting strange at the intersection of 21st Avenue North and Robert Grissom Parkway. Officers arrived at the intersection and saw that the man had a gun in his hand. The man presented the gun in a manner that made officers fear for their lives, and they shot and killed him.</t>
  </si>
  <si>
    <t>http://www.live5news.com/story/31570846/one-man-dead-after-officer-involved-shooting-in-myrtle-beach</t>
  </si>
  <si>
    <t>Anthony Bertoni</t>
  </si>
  <si>
    <t>Texas Hwy 274 and County Rd 4044</t>
  </si>
  <si>
    <t>Kemp</t>
  </si>
  <si>
    <t>75143</t>
  </si>
  <si>
    <t>Bertoni allegedly shot his neighbor and then barricaded himself inside his rural Henderson County home. There was a stand-off, and Bertoni apparently came out shooting. He was shot and killed.</t>
  </si>
  <si>
    <t>http://www.wfaa.com/news/crime/swat-at-scene-where-man-barricaded-in-kaufman-county/39266940</t>
  </si>
  <si>
    <t>Nathan Lee Bailey</t>
  </si>
  <si>
    <t>4000 Vista Ridge Ln</t>
  </si>
  <si>
    <t>Alvarado</t>
  </si>
  <si>
    <t>76009</t>
  </si>
  <si>
    <t>According to Johnson County Sheriff's Office Lt. Tim Jones, a business on the east side of Johnson County reported the theft of a firearm. At the same time, a Johnson County deputy saw a vehicle leaving the area of the theft traveling at an estimated 100 mph. The deputy pursued the suspect — later identified as 30-year-old Nathan Lee Bailey — to Vista Ridge Lane. Bailey ran into a home, where deputies and DPS troopers took up positions surrounding the mobile home. After a period of time, Jones said Bailey popped out of the residence and opened fire at Johnson County Sheriff's Office personnel, then did so again a few moments later. The second time, officers outside shot and killed Bailey.</t>
  </si>
  <si>
    <t>http://www.wfaa.com/story/news/crime/2016/01/27/suspect-shot-killed-johnson-co-after-chase/79426834/</t>
  </si>
  <si>
    <t>Herman Bean</t>
  </si>
  <si>
    <t>Arctic Blvd and W 32nd Ave</t>
  </si>
  <si>
    <t>99503</t>
  </si>
  <si>
    <t>http://www.ktuu.com/news/news/anchorage-police-respond-to-officerinvolved-shooting-at-32nd-ave-home/37407228</t>
  </si>
  <si>
    <t>Juan A. Ruiz</t>
  </si>
  <si>
    <t>N 3rd St and W Main St</t>
  </si>
  <si>
    <t>Immokalee</t>
  </si>
  <si>
    <t>34142</t>
  </si>
  <si>
    <t>A deputy responded to a 911 call regarding two people fighting in a parking lot. When the deputy spotted one man wielding a knife, the deputy ordered the man to put it down. Instead, the man came toward the deputy, prompting the deputy to shoot the man, a sheriff's spokesperson said.</t>
  </si>
  <si>
    <t>http://www.news-press.com/story/news/crime/2016/02/01/armed-immokalee-suspect-shot-killed-deputy/79630136/</t>
  </si>
  <si>
    <t>Jack Goodman</t>
  </si>
  <si>
    <t>101 E Benton St</t>
  </si>
  <si>
    <t>61727</t>
  </si>
  <si>
    <t>Dewitt</t>
  </si>
  <si>
    <t>Clinton Police Department</t>
  </si>
  <si>
    <t>Goodman called police saying he was armed and was going to kill himself. He advanced on police with a knife and was shot and killed.</t>
  </si>
  <si>
    <t>http://www.news-gazette.com/news/local/2016-03-12/suicidal-clinton-man-fatally-shot-police.html</t>
  </si>
  <si>
    <t>Angela Hiatt</t>
  </si>
  <si>
    <t>Lee Road 443</t>
  </si>
  <si>
    <t>Phenix</t>
  </si>
  <si>
    <t>36870</t>
  </si>
  <si>
    <t>The sheriff said the deputy was on routine patrol when he encountered two occupants in a pickup with a license plate registered to another vehicle. The deputy learned an outstanding warrant was issued for the woman.The deputy attempted to take the woman into custody when the pickup sped down Lee Road 443, also known as Stafford Road. After a short chase and the vehicle stopped, the deputy again tried to take the woman into custody. Police said she tried to run the deputy down, and he shot and killed her.</t>
  </si>
  <si>
    <t>http://www.ledger-enquirer.com/news/local/crime/article57379388.html</t>
  </si>
  <si>
    <t>Phillip Luchsinger</t>
  </si>
  <si>
    <t>191 Angel Ln</t>
  </si>
  <si>
    <t>72007</t>
  </si>
  <si>
    <t>Lonoke County Sheriff's Office</t>
  </si>
  <si>
    <t xml:space="preserve">Officers were sent to a domestic disturbance. Luchsinger came out with a gun and was shot and killed. </t>
  </si>
  <si>
    <t>http://katv.com/news/local/lonoke-county-deputy-involved-in-fatal-shooting-overnight</t>
  </si>
  <si>
    <t>San Fernando Rd and Hubbard St</t>
  </si>
  <si>
    <t>91342</t>
  </si>
  <si>
    <t>http://www.nbclosangeles.com/news/local/San-Fernando-Police-Shooting-Monday-364896211.html</t>
  </si>
  <si>
    <t>Oscar Reyes</t>
  </si>
  <si>
    <t>German Gustavo Anchondo Gonzalez</t>
  </si>
  <si>
    <t>8950 I-25</t>
  </si>
  <si>
    <t>Colorado City</t>
  </si>
  <si>
    <t>Colorado State Trooper</t>
  </si>
  <si>
    <t>Police say Gonzalez was pulled over a gas station off the interstate, ran, stole a nearby car, and accelerated toward officers. He was shot and killed.</t>
  </si>
  <si>
    <t>http://www.chieftain.com/news/4553421-120/troopers-gonzalez-reportedly-vehicle</t>
  </si>
  <si>
    <t>Scott Bennett</t>
  </si>
  <si>
    <t>David Green II</t>
  </si>
  <si>
    <t>2905 N Conway Ave</t>
  </si>
  <si>
    <t>78574</t>
  </si>
  <si>
    <t>Mission Police Department</t>
  </si>
  <si>
    <t>Mission police received a call for a domestic disturbance between a man and his adult son. The man said his son was outside with an ax, hitting the house and a vehicle. When police arrived to the scene, they said David Green outside with a machete. Officers told Green to put the weapon down, but he got into his truck and drove at an officer. The police fired shots at Green. He led police on a chase through the RV park and struck a patrol vehicle. Green tried to hit more officers with the vehicle and was shot and killed. It has been reported he was off his medication.</t>
  </si>
  <si>
    <t>http://www.krgv.com/story/31284012/1-dead-in-officer-involved-shooting</t>
  </si>
  <si>
    <t>Alex Buckner</t>
  </si>
  <si>
    <t>4800 W Sunnyside Ave</t>
  </si>
  <si>
    <t>85304</t>
  </si>
  <si>
    <t>Buckner shot his family and set their home ablaze. Killed were Kim, his mother, his father, Vic, and his sisters, Kaitlin, 18, and Emma, 6. Alex was shot by police inside the burning home.</t>
  </si>
  <si>
    <t>http://www.12news.com/news/local/valley/5-dead-including-suspect-in-shootings-house-fire/52208576</t>
  </si>
  <si>
    <t>Tristan Stearns Conti</t>
  </si>
  <si>
    <t>http://www.fatalencounters.org/wp-content/uploads/2013/10/Conti.png</t>
  </si>
  <si>
    <t>1280 Lincoln Hwy</t>
  </si>
  <si>
    <t>Silver Springs</t>
  </si>
  <si>
    <t>89429</t>
  </si>
  <si>
    <t>Lyon County Sheriff's Office</t>
  </si>
  <si>
    <t>http://www.rgj.com/story/news/crime/2016/02/26/deputy-shot-2-suspects-hurt-silver-springs-shooting/80985964/</t>
  </si>
  <si>
    <t>Jamie Clark Long</t>
  </si>
  <si>
    <t>601 Truxtun Ave</t>
  </si>
  <si>
    <t>93301</t>
  </si>
  <si>
    <t>Bakersfield Police Department received a report of a male brandishing a knife and threatening employees at the Amtrak Station. Several minutes later, a second call was received from an employee of Amtrak who stated this same suspect was now charging at employees with a knife. Within minutes of the second call, a Bakersfield police detective arrived and contacted the suspect. During the contact, the detective shot and killed him.</t>
  </si>
  <si>
    <t>http://www.turnto23.com/news/breaking-news/reports-of-officer-involved-shooting-at-amtrak-station</t>
  </si>
  <si>
    <t>Rouven Loch</t>
  </si>
  <si>
    <t>http://media.cmgdigital.com/shared/img/photos/2016/02/23/57/fc/Loch.jpg</t>
  </si>
  <si>
    <t>Eastview Dr</t>
  </si>
  <si>
    <t>Fairborn</t>
  </si>
  <si>
    <t>45324</t>
  </si>
  <si>
    <t>Fairborn Police Department</t>
  </si>
  <si>
    <t>Loch was suspected of burglary. Police contacted him on the telephone and asked him to come out. He refused and said he had a gun. They shot tear gas into the house, and when he came out, he pointed a pellet gun at them and was shot and killed.</t>
  </si>
  <si>
    <t>http://www.daytondailynews.com/news/news/crime-law/police-on-scene-of-apparent-standoff-in-fairborn/nqWHt/</t>
  </si>
  <si>
    <t>John Alan Chamberlain</t>
  </si>
  <si>
    <t>Mount Ida</t>
  </si>
  <si>
    <t>71957</t>
  </si>
  <si>
    <t>Chamberlain was shot and killed when he confronted two deputies responding to a call.</t>
  </si>
  <si>
    <t>http://www.arkansasmatters.com/news/local-news/officer-involved-shooting-leaves-one-dead-in-montgomery-county</t>
  </si>
  <si>
    <t>Ronald Barawis Jr.</t>
  </si>
  <si>
    <t>http://www.hawaiipolice.com/wp-content/gallery/01-20-16-wanted-ronald-barawis-jr/ronald-barawis.jpg</t>
  </si>
  <si>
    <t>2100 Kanoelehua Ave</t>
  </si>
  <si>
    <t>Barawis was a wanted fugitive. Police caught up with him at McDonald's. They ordered him to get out of his vehicle. Instead of obeying their commands, Barawis drove over barriers in the drive-thru, accelerated his vehicle and drove towards an officer, ramming into two police vehicles. He was shot and killed.</t>
  </si>
  <si>
    <t>http://bigislandnow.com/2016/02/05/hpd-identifies-wanted-man-killed-in-officer-involved-shooting/</t>
  </si>
  <si>
    <t>Shawn Henry Allen Dickens</t>
  </si>
  <si>
    <t>1513 Reeves Ave</t>
  </si>
  <si>
    <t>Mena</t>
  </si>
  <si>
    <t>71953</t>
  </si>
  <si>
    <t>Mena Police Department</t>
  </si>
  <si>
    <t>According to police, an officer approached Dickens outside a convenience store on Reeves Avenue around noon. During the confrontation, Dickens fled, dropping a handgun. The release says the man turned around to try and pick up the gun when he was ordered not the by the officer. Police say he repeatedly disobeyed this command and the officer shot and killed him.</t>
  </si>
  <si>
    <t>http://katv.com/news/local/authorities-investigating-officer-involved-shooting-in-mena</t>
  </si>
  <si>
    <t>Jordan Szymanski</t>
  </si>
  <si>
    <t>N Oracle Rd and W Roger Rd</t>
  </si>
  <si>
    <t>http://tucson.com/news/local/crime/gunman-killed-after-standoff-with-tucson-police/article_46792806-68f4-5b24-a116-7d543520a625.html</t>
  </si>
  <si>
    <t>Angel Alan Gleason</t>
  </si>
  <si>
    <t>22700 Jack Tone Rd</t>
  </si>
  <si>
    <t>Ripon</t>
  </si>
  <si>
    <t>95366</t>
  </si>
  <si>
    <t>Manteca Police Department</t>
  </si>
  <si>
    <t>Police said Gleason was driving a stolen BMW when officers from the San Joaquin County Delta Regional Auto Theft Team spotted him. They gave chase, and at some point Manteca police got involved. It went south on Highway 99 and entered Ripon, where Gleason took the Jack Tone Road offramp. His car struck another car occupied by a woman and her young daughter, causing it to overturn. Gleason got out of the BMW armed with a handgun, jumped over a guard rail and onto an embankment above railroad tracks. Police shot and killed him.</t>
  </si>
  <si>
    <t>http://www.kcra.com/news/local-news/news-stockton/chp-vehicle-chase-ends-in-ripon-crash/38152896</t>
  </si>
  <si>
    <t>Christian Oliver Dubrino</t>
  </si>
  <si>
    <t>Baseline Rd and Cherry Rd</t>
  </si>
  <si>
    <t>34472</t>
  </si>
  <si>
    <t>Deputies were called to the Marathon gas station on SE 58th Avenue about a man with multiple handguns in the parking lot. When deputies arrived, they went to talk to Dubrino, who was getting in and out of a vehicle with two handguns, according to a news release. Deputies said the man raised one of the handguns to his head, but while deputies were trying to talk him down, he began firing a second gun at the deputies. The deputies shot and killed him.</t>
  </si>
  <si>
    <t>http://www.firstcoastnews.com/news/crime/deputy-armed-suspect-injured-in-ocala-shootout/31906258</t>
  </si>
  <si>
    <t>Andrew Earl Abernathy</t>
  </si>
  <si>
    <t>4500 Bartow Carver Rd SE</t>
  </si>
  <si>
    <t>30102</t>
  </si>
  <si>
    <t>According to officials, deputies were called to the home for a domestic call. When deputies arrived, officials say they found a man and woman drunk inside the home. Deputies began interviewing the woman and that's when investigators say the man, the woman's boyfriend, stepped out onto the porch with a .22 caliber rifle and pointed it at responding deputies. They shot and killed him.</t>
  </si>
  <si>
    <t>http://www.santacruzsentinel.com/general-news/20160109/gbi-man-killed-after-pointing-gun-at-deputies</t>
  </si>
  <si>
    <t>Joshua Franklin Lee</t>
  </si>
  <si>
    <t>900 Horseshoe Rd</t>
  </si>
  <si>
    <t>http://nbc26.tv/2016/01/22/richmond-county-investigating-officer-involved-shooting-on-horseshoe-road/</t>
  </si>
  <si>
    <t>Willie C. Holderfield</t>
  </si>
  <si>
    <t>111 Seba St</t>
  </si>
  <si>
    <t>62949</t>
  </si>
  <si>
    <t>Illinois State Police</t>
  </si>
  <si>
    <t>Illinois State Police says the trooper was trying to serve an arrest warrant regarding a Carterville pharmacy robbery that happened a couple of weeks ago. The trooper shot the suspect, who died a short time later.</t>
  </si>
  <si>
    <t>http://www.wpsdlocal6.com/story/30970664/officer-involved-shooting-in-hurst-ill</t>
  </si>
  <si>
    <t>Manford Moore Jr.</t>
  </si>
  <si>
    <t>SE 10th St</t>
  </si>
  <si>
    <t>Rosalia</t>
  </si>
  <si>
    <t>67132</t>
  </si>
  <si>
    <t>http://www.kake.com/home/headlines/Shooting-in-Butler-County--371822962.html</t>
  </si>
  <si>
    <t>Joseph Harris</t>
  </si>
  <si>
    <t>Armory Dr and N Main St</t>
  </si>
  <si>
    <t>42276</t>
  </si>
  <si>
    <t>Russellville Police Department</t>
  </si>
  <si>
    <t>Harris apparently shot his girlfriend and then fled. Police caught up with him a few blocks away and shot and killed him.</t>
  </si>
  <si>
    <t>http://www.wsmv.com/story/31475336/1-killed-3-shot-in-officer-involved-shooting-in-russellville-ky</t>
  </si>
  <si>
    <t>David Evans</t>
  </si>
  <si>
    <t>3412 Merchant Boulevard</t>
  </si>
  <si>
    <t>Abingdon</t>
  </si>
  <si>
    <t>21009</t>
  </si>
  <si>
    <t>Early details are sketchy: A deputy entered a restaurant and Evans shot him. Leaving the restaurant, he shot and killed another deputy before he was shot and killed.</t>
  </si>
  <si>
    <t>http://baltimore.cbslocal.com/2016/02/10/deputies-involved-in-abingdon-shooting/</t>
  </si>
  <si>
    <t>Jeremy Sinclair</t>
  </si>
  <si>
    <t>64161</t>
  </si>
  <si>
    <t>Missouri State Highway Patrol, Jackson County Sheriff's</t>
  </si>
  <si>
    <t>http://www.kmbc.com/news/man-killed-in-trooperinvolved-shooting-in-sugar-creek/37737926</t>
  </si>
  <si>
    <t>Harless Scott</t>
  </si>
  <si>
    <t>Blue Ridge Blvd and E 113th St</t>
  </si>
  <si>
    <t>http://www.kansascity.com/news/local/crime/article58853333.html</t>
  </si>
  <si>
    <t>Mickey Dewayne Sweatt</t>
  </si>
  <si>
    <t>7300 Home of Grace Dr</t>
  </si>
  <si>
    <t>Gautier</t>
  </si>
  <si>
    <t>39553</t>
  </si>
  <si>
    <t>Gautier Police Department</t>
  </si>
  <si>
    <t>Sweatt was shot and killed by a Gautier Police Department officer after a two-hour standoff that started over a domestic disturbance, police said.</t>
  </si>
  <si>
    <t>http://blog.gulflive.com/mississippi-press-news/2016/03/suspect_shot_dead_by_gautier_p.html</t>
  </si>
  <si>
    <t>John Charles “JC” Graham</t>
  </si>
  <si>
    <t>S 1st St</t>
  </si>
  <si>
    <t>59041</t>
  </si>
  <si>
    <t>Carbon County Sheriff's Office</t>
  </si>
  <si>
    <t>http://billingsgazette.com/news/crime/sheriff-s-office-names-man-killed-in-joliet-following-gunfire/article_0d96f8ba-8a68-5a03-9e3f-4ba41b17f865.html</t>
  </si>
  <si>
    <t>Dennis Matthew Penny</t>
  </si>
  <si>
    <t>Blewett Falls Rd</t>
  </si>
  <si>
    <t>Lilesville</t>
  </si>
  <si>
    <t>http://ansonrecord.com/top-stories/2255/anson-deputies-shoot-kill-suspect-in-blewett-falls-gunfight</t>
  </si>
  <si>
    <t>Darrell P. Bosell</t>
  </si>
  <si>
    <t>4600 Genesee St</t>
  </si>
  <si>
    <t>14225</t>
  </si>
  <si>
    <t>Cheektowaga Police Department</t>
  </si>
  <si>
    <t>http://www.buffalonews.com/city-region/man-killed-by-police-officer-in-cheektowaga-was-troubled-20160307</t>
  </si>
  <si>
    <t>Phillip Vitullo</t>
  </si>
  <si>
    <t>3700 Lake Ave</t>
  </si>
  <si>
    <t>14612</t>
  </si>
  <si>
    <t>Officers were called to an apartment building for a report that a man there had threatened someone with a shotgun. A standoff ensued, with the suspect firing at least twice from inside the apartment building. When Vitullo leaned out of an apartment window with a shotgun, Officer Jeremy Nellist fired once, killing him.</t>
  </si>
  <si>
    <t>http://www.democratandchronicle.com/story/news/2016/03/09/rpd-identifies-man-shot-swat-team/81530234/</t>
  </si>
  <si>
    <t>Earl W. Hicks</t>
  </si>
  <si>
    <t>30 Main St</t>
  </si>
  <si>
    <t>http://www.kotatv.com/news/south-dakota-news/Rapid-City-man-identified-as-shooting-suspect/38253364</t>
  </si>
  <si>
    <t>Brandon David Bearden</t>
  </si>
  <si>
    <t>180 Collier Dr</t>
  </si>
  <si>
    <t>37862</t>
  </si>
  <si>
    <t>Sevier County Sheriff's Office</t>
  </si>
  <si>
    <t>http://wate.com/2016/01/13/shooting-involving-sevier-county-deputy-reported-near-sevierville-restaurant/</t>
  </si>
  <si>
    <t>Lance Light</t>
  </si>
  <si>
    <t>I-20 and Texas Hwy 70</t>
  </si>
  <si>
    <t>Sweetwater Police Officer</t>
  </si>
  <si>
    <t>Light allegedly shot and killed Lonnie Odell Sturdivant, 59, on January 2nd. Police have not revealed any additional details on the murder. Light was shot by a Sweetwater Police Officer during a pursuit that began at the crime scene and ended near the intersection of I-20 and TX-70</t>
  </si>
  <si>
    <t>http://www.bigcountryhomepage.com/news/breaking-news/murder-suspect-shot-by-sweetwater-police-officer-has-died</t>
  </si>
  <si>
    <t>Timothy Meehan</t>
  </si>
  <si>
    <t>805 W 1st St</t>
  </si>
  <si>
    <t>Cle Elum</t>
  </si>
  <si>
    <t>98922</t>
  </si>
  <si>
    <t>Kittitas</t>
  </si>
  <si>
    <t>Cle Elum Police Department</t>
  </si>
  <si>
    <t>http://dnews.com/news_ap/washington/police-cle-elum-officer-shoots-man-pointing-gun-at-him/article_ef5bbb89-dac8-5c5d-b2bb-fdc695e9fbbb.html</t>
  </si>
  <si>
    <t>Rammy Jaradat</t>
  </si>
  <si>
    <t>6900 Kester Ave</t>
  </si>
  <si>
    <t>http://ktla.com/2016/02/14/los-angeles-police-open-fire-during-incident-in-van-nuys-1-person-hospitalized-in-unknown-condition-officials/</t>
  </si>
  <si>
    <t>Justin Prescott</t>
  </si>
  <si>
    <t>10635 Folsom Blvd</t>
  </si>
  <si>
    <t>Cordova</t>
  </si>
  <si>
    <t>95670</t>
  </si>
  <si>
    <t>Witnesses said Prescott shoplifted at Walmart, and when he threatened security guards with a knife, they waited for police. Police tried to subdue him with a Taser, but eventually shot and killed him.</t>
  </si>
  <si>
    <t>http://www.sacbee.com/news/local/crime/article58084653.html</t>
  </si>
  <si>
    <t>Marc Stoddart</t>
  </si>
  <si>
    <t>4800 Bookelia Cir</t>
  </si>
  <si>
    <t>Marc Stoddart's wife called law enforcement saying her husband was drunk, armed with a knife and threatening to hurt her and himself. Stoddart was outside and armed with a knife when deputies arrived and had cut his wrists. Deputies told him to drop the knife. He refused, then approached a deputy in what police said was a threatening manner. He was shot and killed.</t>
  </si>
  <si>
    <t>http://www.bradenton.com/news/local/crime/article60461361.html</t>
  </si>
  <si>
    <t>Sean O'Brien</t>
  </si>
  <si>
    <t>100 Washington St</t>
  </si>
  <si>
    <t>59047</t>
  </si>
  <si>
    <t>Park</t>
  </si>
  <si>
    <t>Livingston Police Department</t>
  </si>
  <si>
    <t>http://helenair.com/news/crime-and-courts/man-dead-after-officer-involved-shooting-in-livingston/article_68963d1e-a02d-5b6b-808c-d0bcf0d840a8.html</t>
  </si>
  <si>
    <t>Samuel Edward Grady</t>
  </si>
  <si>
    <t>Virginia Ave</t>
  </si>
  <si>
    <t>28677</t>
  </si>
  <si>
    <t>Iredell County Sheriff's Office</t>
  </si>
  <si>
    <t>Deputies John Fletcher and Reggie Allen went to serve a civil Writ of Possession for the house in which 55-year-old Samuel Edward Grady was living. Media reported, Grady, who was carrying a large knife, came at the deputies and refused to obey their commands. At that point the deputies shot and killed Grady.</t>
  </si>
  <si>
    <t>http://www.wbtv.com/story/31012596/sheriff-deputies-exposed-to-imminent-danger-in-statesville-shooting</t>
  </si>
  <si>
    <t>Daniel David Burkhardt</t>
  </si>
  <si>
    <t>Spickler Alley</t>
  </si>
  <si>
    <t>Johnstown</t>
  </si>
  <si>
    <t>15906</t>
  </si>
  <si>
    <t>Cambria</t>
  </si>
  <si>
    <t>Johnstown Police Department</t>
  </si>
  <si>
    <t>http://wjactv.com/news/local/state-police-man-shot-and-killed-by-johnstown-police</t>
  </si>
  <si>
    <t>Boyd Keith Ballard</t>
  </si>
  <si>
    <t>600 Winston Churchill Dr</t>
  </si>
  <si>
    <t>Hopewell City</t>
  </si>
  <si>
    <t>Ballard stabbed his daughter's boyfriend and was shot and killed in the parking lot when he advanced towards officer with knives saying, "Shoot me."</t>
  </si>
  <si>
    <t>http://www.nbc12.com/story/31521884/hopewell-police-identify-man-killed-in-officer-involved-shooting</t>
  </si>
  <si>
    <t>David Jay Kent</t>
  </si>
  <si>
    <t>8900 Rose Valley Rd</t>
  </si>
  <si>
    <t>Cowlitz County Sheriff's Office</t>
  </si>
  <si>
    <t>http://www.oregonlive.com/pacific-northwest-news/index.ssf/2016/01/man_who_threatened_police_with.html</t>
  </si>
  <si>
    <t>Travis Bradley</t>
  </si>
  <si>
    <t>Althea Ct</t>
  </si>
  <si>
    <t>http://www.valdostadailytimes.com/news/national_international/man-killed-by-deputies-after-he-fired-a-gun/article_01a3ae1f-5b0a-50f4-bab7-07e101267c3e.html</t>
  </si>
  <si>
    <t>Joel Anthony Nelson</t>
  </si>
  <si>
    <t>93rd Ave SE</t>
  </si>
  <si>
    <t>Tumwater</t>
  </si>
  <si>
    <t>98501</t>
  </si>
  <si>
    <t>http://www.seattletimes.com/seattle-news/crime/authorities-investigating-fatal-officer-involved-shooting-in-thurston-county/?utm_source=RSS&amp;utm_medium=Referral&amp;utm_campaign=RSS_crime</t>
  </si>
  <si>
    <t>Jeffery Glen Casale</t>
  </si>
  <si>
    <t>Swallowtail Ct</t>
  </si>
  <si>
    <t>33613</t>
  </si>
  <si>
    <t>Casale appeared to be having some sort of breakdown when he threatened officers with a CO2 powered toy gun. He pointed it at police and was shot and killed.</t>
  </si>
  <si>
    <t>http://www.home.tampabay.com/news/publicsafety/man-shot-and-killed-by-hillsborough-sheriffs-deputies-in-tampa/2268537</t>
  </si>
  <si>
    <t>Christine A. Lucas</t>
  </si>
  <si>
    <t>600 Lombard Rd</t>
  </si>
  <si>
    <t>Rising Sun</t>
  </si>
  <si>
    <t>21911</t>
  </si>
  <si>
    <t>Police received a 911 call from a woman who repeatedly said that an intruder was inside her home. At some point, the call was disconnected and attempts to call her back were unanswered. Troopers, Cecil County Sheriff's Office deputies and an officer from the Rising Sun Police Department responded to the two-story home. Screams were then heard from within the home and troopers forced their way into the attached garage and eventually inside the home. Police found Lucas in the living room and gave her verbal commands that she did not heed. She picked up an airsoft gun, telling troopers that she did not believe they were "real police," officials said. Sheallegedly ignored their commands and then raised the airsoft gun, pointing it toward the troopers. "Out of fear for their lives," troopers Justin Rann and Timothy Graham shot and killed her.</t>
  </si>
  <si>
    <t>http://foxbaltimore.com/news/local/2-cecil-co-troopers-on-administrative-leave-following-trooper-involved-shooting</t>
  </si>
  <si>
    <t>Michael Lamar Robinson</t>
  </si>
  <si>
    <t>1855 County Rd 701</t>
  </si>
  <si>
    <t>Chilton County Sheriff's Office, Clanton Police Department</t>
  </si>
  <si>
    <t>Officers with the Chilton County Sheriff's Office and the Clanton Police Department were called to a home on a report of a domestic disturbance. When officers arrived, 43-year-old Michael Lamar Robinson was brandishing either a sword or a machete, Houston said. As officers told him to drop that weapon, he pulled a pistol from his right side. Police said Robinson raised the gun three-quarters of the way to full point when the officers shot and killed him.</t>
  </si>
  <si>
    <t>http://www.al.com/news/birmingham/index.ssf/2016/01/man_fatally_shot_by_chilton_co.html#incart_river_index</t>
  </si>
  <si>
    <t>Joseph Noel</t>
  </si>
  <si>
    <t>Ashford Ln</t>
  </si>
  <si>
    <t>Commerce</t>
  </si>
  <si>
    <t>30529</t>
  </si>
  <si>
    <t>Commerce Police Department</t>
  </si>
  <si>
    <t>Three police responded to a call of a man allegedly beating his wife. When they arrived at the home, Brian Noel told the officers to arrest his son, Joseph Noel. The officers found Joseph Noel hiding in the attic. They said Noel held up an object that the officers believed to be a firearm. The officers said Noel charged at them. The officers deployed a Taser and fired shots at Noel. He was shot in the leg, which killed him.</t>
  </si>
  <si>
    <t>http://www.11alive.com/story/news/local/2016/02/18/gbi-investigating-fatal-commerce-officer-involved-shooting/80562868/</t>
  </si>
  <si>
    <t>Joshua Douglas</t>
  </si>
  <si>
    <t>3rd Ave</t>
  </si>
  <si>
    <t>Police said a deputy killed Douglas in a residential area off Helenberg Road south of Covington. Deputies had been chasing Douglas for a traffic violation.</t>
  </si>
  <si>
    <t>http://www.nola.com/crime/index.ssf/2016/03/st_tammany_coroner_identifies_2.html</t>
  </si>
  <si>
    <t>Abraham Mitchell Fryer</t>
  </si>
  <si>
    <t>Twilight Dr and Concourse Dr</t>
  </si>
  <si>
    <t>57703</t>
  </si>
  <si>
    <t>After a traffic stop, Fryer and Pennington County Sheriff's Deputy Robert Schoeberl fought, although it has not been reported what caused the fight. Schoeberl shot and killed Fryer.</t>
  </si>
  <si>
    <t>http://www.argusleader.com/story/news/2016/02/27/rapid-city-traffic-stop-results-fatal-shooting/81031010/</t>
  </si>
  <si>
    <t>Old Decatur Rd</t>
  </si>
  <si>
    <t>76179</t>
  </si>
  <si>
    <t>Saginaw Police Department</t>
  </si>
  <si>
    <t>http://www.nbcdfw.com/news/local/Officer-Involved-Shooting-Leaves-1-Dead-in-Saginaw-367131831.html</t>
  </si>
  <si>
    <t>Clarence Layfield Jr.</t>
  </si>
  <si>
    <t>Petroleum</t>
  </si>
  <si>
    <t>26161</t>
  </si>
  <si>
    <t>Ritchie</t>
  </si>
  <si>
    <t>Layfield was allegedly driving without a license plate, and fled when a trooper tried to pull him over. Eventually, he drove at the trooper and was shot and killed.</t>
  </si>
  <si>
    <t>http://wchstv.com/news/local/pursuit-leads-to-state-trooper-shooting-killing-suspect</t>
  </si>
  <si>
    <t>Dylan Pape</t>
  </si>
  <si>
    <t>http://www.fatalencounters.org/wp-content/uploads/2013/10/DylanPape.jpg</t>
  </si>
  <si>
    <t>119 Wedgemere Rd</t>
  </si>
  <si>
    <t>Stamford</t>
  </si>
  <si>
    <t>06905</t>
  </si>
  <si>
    <t>Stamford Police Department</t>
  </si>
  <si>
    <t>http://www.stamfordadvocate.com/policereports/article/Officers-in-fatal-shooting-in-Stamford-identified-6998011.php</t>
  </si>
  <si>
    <t>Wesley Chad Deerman</t>
  </si>
  <si>
    <t>http://i.dailymail.co.uk/i/pix/2016/03/14/14/322E742500000578-3491555-image-m-28_1457964318089.jpg</t>
  </si>
  <si>
    <t>Sanford Rd</t>
  </si>
  <si>
    <t>36272</t>
  </si>
  <si>
    <t>Piedmont Police Department</t>
  </si>
  <si>
    <t>http://www.wbrc.com/story/31460532/man-dead-following-alabama-police-chase-shooting</t>
  </si>
  <si>
    <t>Joshua Tate Fielding</t>
  </si>
  <si>
    <t>http://wbrc.images.worldnow.com/images/9670245_G.jpg</t>
  </si>
  <si>
    <t>164 Christopher St</t>
  </si>
  <si>
    <t>Rainbow City</t>
  </si>
  <si>
    <t>35906</t>
  </si>
  <si>
    <t>Rainbow City Police Department</t>
  </si>
  <si>
    <t>Police were called to the Dogwood Trace Apartments on a disturbance call. Police confronted the man, who was carrying a weapon, in the parking lot of the complex, and used a Taser in an attempt to subdue him. The armed man then ran from officers, and after a short foot chase around the complex, an altercation with a police officer ended with the man being shot and killed.</t>
  </si>
  <si>
    <t>http://www.wbrc.com/story/30988343/armed-man-dies-in-officer-involved-shooting-in-rainbow-city</t>
  </si>
  <si>
    <t>Randy Joe Sanders Jr.</t>
  </si>
  <si>
    <t>http://image.al.com/home/bama-media/width380/img/news_huntsville_impact/photo/19593154-large.jpg</t>
  </si>
  <si>
    <t>US-231 and Inspirational Dr</t>
  </si>
  <si>
    <t>Meridianville</t>
  </si>
  <si>
    <t>35759</t>
  </si>
  <si>
    <t>http://www.waff.com/story/31019561/man-dies-after-deputy-involved-shooting</t>
  </si>
  <si>
    <t>Nathan Grissom</t>
  </si>
  <si>
    <t>http://wbrc.images.worldnow.com/images/9993596_G.jpg</t>
  </si>
  <si>
    <t>285 5th Ave</t>
  </si>
  <si>
    <t>Ashville</t>
  </si>
  <si>
    <t>35953</t>
  </si>
  <si>
    <t>St. Clair</t>
  </si>
  <si>
    <t>Ashville Police Department</t>
  </si>
  <si>
    <t>Police were called to a domestic disturbance. Police say Grissom took out a gun as officers approached him, and he was shot and killed.</t>
  </si>
  <si>
    <t>http://www.wbrc.com/story/31341469/authorities-id-man-killed-in-ashville-officer-involved-shooting</t>
  </si>
  <si>
    <t>Scott F. Scanlon</t>
  </si>
  <si>
    <t>http://www.fatalencounters.org/wp-content/uploads/2013/10/Scanlon.png</t>
  </si>
  <si>
    <t>Little Blakely Creek Rd</t>
  </si>
  <si>
    <t>Mountain Pine</t>
  </si>
  <si>
    <t>71949</t>
  </si>
  <si>
    <t>Mountain Pine Police Department</t>
  </si>
  <si>
    <t>Mountain Pine Police Chief Chad King reportedly responded to a trespassing call. When King got to the scene, he found a man inside a van that was stuck in mud. Few details have been released at this time, but Scanlon ended up dead, and King was injured.</t>
  </si>
  <si>
    <t>http://katv.com/news/local/authorities-investigating-officer-involved-shooting-in-garland-county</t>
  </si>
  <si>
    <t>Levi Gene Wilson</t>
  </si>
  <si>
    <t>W Peoria Ave and N 19th Ave</t>
  </si>
  <si>
    <t>http://www.12news.com/story/news/local/valley/2016/01/18/phoenix-police-barricade-situation-near-18th-avepeoria/78990086/</t>
  </si>
  <si>
    <t>Joshua Bispo</t>
  </si>
  <si>
    <t>Weedpatch Hwy and Farmers Lane</t>
  </si>
  <si>
    <t>Details are sketchy but, California Highway Patrol said there was a short pursuit, during which a man brandished a weapon. He was then shot and killed.</t>
  </si>
  <si>
    <t>http://bakersfieldnow.com/news/local/chp-involved-in-an-officer-involved-shooting-on-weedpatch-hwy</t>
  </si>
  <si>
    <t>602 Orange St</t>
  </si>
  <si>
    <t>92374</t>
  </si>
  <si>
    <t>Redlands Police Department</t>
  </si>
  <si>
    <t>A man abducted his ex-girlfriend from an Office Depot, holding her hostage for nearly three hours during a standoff with police before shooting her and being killed by police sharpshooters.</t>
  </si>
  <si>
    <t>http://www.nbclosangeles.com/news/local/Gunman-Holds-Ex-Girlfriend-Hostage-Redlands-Shooting-373430791.html?_osource=SocialFlowFB_LABrand</t>
  </si>
  <si>
    <t>Stephen John Bukwich</t>
  </si>
  <si>
    <t>http://www.fatalencounters.org/wp-content/uploads/2013/10/Stephen-John-Bukwich.jpg</t>
  </si>
  <si>
    <t>200 Boulder Creek Dr</t>
  </si>
  <si>
    <t>96003</t>
  </si>
  <si>
    <t>Redding police officers responded to multiple calls that said 6-8 gunshots had been fired at an apartment complex. Officers arrived and found Stephen John Bukwich, 52, inside apartment #A. Officers spoke with Bukwich via a patrol car PA system. Police said Bukwich would open the door to the apartment briefly and yell at officers. Police said that witnesses told them he was upset about recent legislation regarding gun laws passed by President Barack Obama. Officials said Bukwich was not cooperative when asked to come out of his apartment with his hands up. Less lethal methods were attempted, but eventually nine officers fired at Bukwich with handguns and rifles, striking him multiple times and killing him.</t>
  </si>
  <si>
    <t>http://www.redding.com/news/local/Police-called-to-reported-shooting-in-Redding-364320701.html?d=mobile</t>
  </si>
  <si>
    <t>Ramone Lonergan</t>
  </si>
  <si>
    <t>http://www.fatalencounters.org/wp-content/uploads/2013/10/ramone.lonergan.facebook.3.jpg</t>
  </si>
  <si>
    <t>W 26th Ave and Zuni St</t>
  </si>
  <si>
    <t>Police officers patrolling the parking lot of a Ramada Inn spotted a Toyota RAV4 that they said had been reported stolen. They called for backup, and two other officers saw a man, later identified as Lonergan, emerging from the RAV4. Lonergan allegedly tried to flee and was armed with a handgun. It's unknown at this time whether he pointed it at them, but they shot and killed him. His girlfriend, who owned the vehicle, said the car had not been reported stolen.</t>
  </si>
  <si>
    <t>http://www.denverpost.com/news/ci_29371161/denver-police-investigating-possible-officer-involved-shooting-monday</t>
  </si>
  <si>
    <t>Martin Wirth</t>
  </si>
  <si>
    <t>http://www.fatalencounters.org/wp-content/uploads/2013/10/Wirth.png</t>
  </si>
  <si>
    <t>36 Iris Dr</t>
  </si>
  <si>
    <t>Bailey</t>
  </si>
  <si>
    <t>80421</t>
  </si>
  <si>
    <t>Park County Sheriff's Office</t>
  </si>
  <si>
    <t>Eight deputies were trying to serve a high-risk eviction notice. Martin Wirth had been going through a lengthy eviction dispute over the property. Police say Wirth came out to his deck, paused and then went back inside. Officers then followed him inside the residence. As they entered, police say Wirth fired at the officers. Officers returned fire, shooting and killing Wirth. Corporal Nate Carrigan, who was with Park County Sheriff's Office for 13 years, was shot and died at the scene.</t>
  </si>
  <si>
    <t>http://www.9news.com/news/crime/3-deputies-shot-1-killed-in-bailey/54667695</t>
  </si>
  <si>
    <t>Luke Nathan Miller</t>
  </si>
  <si>
    <t>US-85</t>
  </si>
  <si>
    <t>Officers were investigating a suspicious vehicle. Two suspects ran. One temporarily got away, but a couple hours later, police caught up with him. According to police, he shot at them and was shot and killed.</t>
  </si>
  <si>
    <t>http://denver.cbslocal.com/2016/02/25/suspect-shot-killed-during-chase-in-evans/</t>
  </si>
  <si>
    <t>Patrick Matthew McManamon</t>
  </si>
  <si>
    <t>http://www.fatalencounters.org/wp-content/uploads/2013/10/MCMANAMON-159654.jpg</t>
  </si>
  <si>
    <t>11408 N 30th St</t>
  </si>
  <si>
    <t>Police say two people started arguing and shooting at each other. A witness called 911 and followed the men to the Hyatt Place Hotel and led police right to where they could find the suspects. Police say one of the suspects, Edward King, 51, was already dead once officers arrived at the Hyatt parking lot. That's when police say 46-year-old Patrick McManamon opened fire and shot Officer Jose Rodriguez, 53. Rodriguez and another officer were able to return fire, killing McManamon.</t>
  </si>
  <si>
    <t>http://www.baynews9.com/content/news/baynews9/news/article.html/content/news/articles/bn9/2016/3/27/new_information_in_o.html</t>
  </si>
  <si>
    <t>Blake Edward Fitzgerald</t>
  </si>
  <si>
    <t>http://www.fatalencounters.org/wp-content/uploads/2013/10/BlakeFitzgerald.png</t>
  </si>
  <si>
    <t>Garcon Point Rd</t>
  </si>
  <si>
    <t>Milton</t>
  </si>
  <si>
    <t>32583</t>
  </si>
  <si>
    <t>Escambia County Sheriff's Office, U.S. Marshals</t>
  </si>
  <si>
    <t>This couple has been on a crime spree since Jan. 31, including car theft and armed robbery. A massive manhunt ended with Blake Fitzgerald dead and Brittany Harper wounded.</t>
  </si>
  <si>
    <t>http://www.foxnews.com/us/2016/02/05/massive-search-underway-for-missouri-couple-wanted-in-four-state-crime-spree.html</t>
  </si>
  <si>
    <t>Jim Bravis Redmond</t>
  </si>
  <si>
    <t>3495 Madison Hwy</t>
  </si>
  <si>
    <t>31601</t>
  </si>
  <si>
    <t>http://www.valdostadailytimes.com/news/local_news/suspect-shot-by-authorities-at-pilot/article_089b0c44-bed9-11e5-8340-cb76f2e99187.html</t>
  </si>
  <si>
    <t>Kenneth P. "Kenny" Clay</t>
  </si>
  <si>
    <t>http://ak-cache.legacy.net/legacy/images/cobrands/tributes/photos/5705487_o.jpg</t>
  </si>
  <si>
    <t>Daviess County Sheriff's Office</t>
  </si>
  <si>
    <t>Deputies were dispatched to the burglary in progress. Daviess County Sheriff Keith Cain says deputies were told by the 911 caller who discovered the intruder that the intruder was brandishing a firearm as they left. Deputies started searching a wooded area near the house. Law enforcement found someone who met the description of the intruder. Officers confronted him and told him several times to surrender and the person knelt down to comply with the orders. An officer went to go for his Taser, but before he could get to it, the person raised a handgun in the direction of the officers, and he was shot and killed.</t>
  </si>
  <si>
    <t>http://www.14news.com/story/30910707/sheriff-man-shot-killed-following-burglary-in-daviess-co</t>
  </si>
  <si>
    <t>Dylan R. Whitaker</t>
  </si>
  <si>
    <t>http://www.fatalencounters.org/wp-content/uploads/2013/10/DylanWhitaker.jpg</t>
  </si>
  <si>
    <t>Dragline Rd</t>
  </si>
  <si>
    <t>Kentucky State Police says a trooper was involved in a chase with an ATV that ended on Dragline Road. Police said the driver of the ATV, Whitaker, lost control and overturned. The suspect then allegedly brandished a handgun and fired shots at the trooper, who shot and killed him.</t>
  </si>
  <si>
    <t>http://www.wbko.com/content/news/KSP-Trooper-involved-in-a-shooting-in-Hopkins-County-372752062.html</t>
  </si>
  <si>
    <t>Timothy Vessels</t>
  </si>
  <si>
    <t>http://www.fatalencounters.org/wp-content/uploads/2013/10/Vessels.png</t>
  </si>
  <si>
    <t>6400 Ladd Ave</t>
  </si>
  <si>
    <t>Timothy Vessels was wanted in Jefferson County for possession of a firearm and forced burglary. He was on federal supervised release with pending violations. An investigation led the U.S. Marshals to Ladd Avenue around 11:45 where Vessels and a female associate, also wanted by the law, were believed to reside. Before arriving at the house, a Deputy Marshal noticed Vessels was a passenger in a car near the home. The two Deputy Marshals conducted a traffic stop. Vessels refused to comply with the traffic stop and, while seated in the car, pulled a gun out and pointed it at the Marshals. In response to the threat, the U.S. Deputy Marshals shot and killed Vessels.</t>
  </si>
  <si>
    <t>http://www.lex18.com/story/31189421/us-marshal-involved-shooting-in-louisville</t>
  </si>
  <si>
    <t>Wesley Sheppard</t>
  </si>
  <si>
    <t>http://d1t3gia0in9tdj.cloudfront.net/photo/tributes/t/8/r/207x207/3661403/Wesley-Sheppard-1457800784.png</t>
  </si>
  <si>
    <t>Popps Ferry Bridge</t>
  </si>
  <si>
    <t>Biloxi</t>
  </si>
  <si>
    <t>39532</t>
  </si>
  <si>
    <t>Biloxi Police Department</t>
  </si>
  <si>
    <t>http://www.times-standard.com/general-news/20160311/coroner-man-killed-in-officer-involved-shooting-in-biloxi</t>
  </si>
  <si>
    <t>Charles Lee Lambert</t>
  </si>
  <si>
    <t>http://wlbt.images.worldnow.com/images/9927736_G.jpg</t>
  </si>
  <si>
    <t>231 County Rd 201</t>
  </si>
  <si>
    <t>http://www.msnewsnow.com/story/31268746/law-enforcement-at-standoff-in-tishomingo-county</t>
  </si>
  <si>
    <t>Vinson Ray Strickland</t>
  </si>
  <si>
    <t>http://wbtv.images.worldnow.com/images/9830236_G.jpg</t>
  </si>
  <si>
    <t>28634</t>
  </si>
  <si>
    <t>Iredell County Sheriff's Office, North Carolina State Highway Patrol</t>
  </si>
  <si>
    <t>Strickland tried to rob a bank before closing time. He got away with cash and fled into a wooded area nearby, police said. A witness said deputies, K-9 units, and troopers with the North Carolina State Highway Patrol set up a 2-mile perimeter in the area and began looking for Strickland. Campbell said that law enforcement officers spent close to two hours looking for Strickland. He praised the helicopters from local television stations for helping deputies keep an eye on the suspect. Deputies eventually found Strickland in a ditch in the woods about a mile away from the bank. Police said he shot at them, and they shot and killed him.</t>
  </si>
  <si>
    <t>http://www.wbtv.com/story/31155772/bank-robbery-suspect-shot-killed-in-iredell-county</t>
  </si>
  <si>
    <t>Robert Guerin</t>
  </si>
  <si>
    <t>http://www.fatalencounters.org/wp-content/uploads/2013/10/Gueren.png</t>
  </si>
  <si>
    <t>700 S Aspen Ave</t>
  </si>
  <si>
    <t>People called 911 Saturday night to report Robert Guerin driving erratically while waving a gun out the window, police said. When officers pulled him over, there was a brief standoff. Police say Guerin pointed his gun at three officers, and one of the officers shot and killed him.</t>
  </si>
  <si>
    <t>http://www.koat.com/news/man-armed-with-shotgun-fatally-shot-by-roswell-police-officer/38718482</t>
  </si>
  <si>
    <t>John Henry Neuman</t>
  </si>
  <si>
    <t>http://media2.kjrh.com/photo/2016/02/04/neuman_1454602954724_31350671_ver1.0_640_480.jpg</t>
  </si>
  <si>
    <t>Okmulgee County Sheriff's Office</t>
  </si>
  <si>
    <t>http://www.kjrh.com/news/local-news/okmulgee-county-identifies-person-in-fatal-deputy-involved-shooting-as-murder-suspect</t>
  </si>
  <si>
    <t>Phillip Ferry</t>
  </si>
  <si>
    <t>http://www.fatalencounters.org/wp-content/uploads/2013/10/Seaside.jpg</t>
  </si>
  <si>
    <t>300 Broadway St</t>
  </si>
  <si>
    <t>97138</t>
  </si>
  <si>
    <t>Clatsop</t>
  </si>
  <si>
    <t>http://www.cnn.com/2016/02/06/us/oregon-police-shooting/index.html?sr=fbnewday0206oregoncopkilled</t>
  </si>
  <si>
    <t>Clarence Briggs</t>
  </si>
  <si>
    <t>http://www.fatalencounters.org/wp-content/uploads/2013/10/Biggs.png</t>
  </si>
  <si>
    <t>Pennsylvania Turnpike</t>
  </si>
  <si>
    <t>Fort Littleton</t>
  </si>
  <si>
    <t>Armed with a handgun, Briggs, who retired from the police force four years ago, went to the toll booth and ordered two of the workers into the booth, police said. Briggs then attempted to tie up the victims, but when they began to fight back, Briggs tried to leave the scene, as the victims also tried to run. About that time, a turnpike fare collection vehicle arrived at the toll station, as Ronald Heist, who worked as a security guard at the turnpike, also came into view. At that point, Briggs opened fire, striking Grouse and Heist. The driver of the collection vehicle then fled, and Briggs took off in the vehicle and drove it to his own car, which was parked several hundred yards away. Briggs began to unload money from the collection vehicle into his own car when police arrived, and there was an exchange of gunfire. Briggs was shot and killed.</t>
  </si>
  <si>
    <t>http://www.guns.com/2016/03/21/retired-trooper-suspect-in-deadly-robbery-attempt/?utm_campaign=trueAnthem:+Trending+Content&amp;utm_content=56efd7b704d3013aeb2ff684&amp;utm_medium=trueAnthem&amp;utm_source=facebook</t>
  </si>
  <si>
    <t>Edward Gorinski</t>
  </si>
  <si>
    <t>http://www.fatalencounters.org/wp-content/uploads/2013/10/edward-gorinski.jpg</t>
  </si>
  <si>
    <t>1400 Broad St</t>
  </si>
  <si>
    <t>http://www.wtae.com/news/sources-state-police-shoot-kill-man-in-south-greensburg/38627246</t>
  </si>
  <si>
    <t>Robert Morgan Garrison Jr.</t>
  </si>
  <si>
    <t>W Gantt Cir</t>
  </si>
  <si>
    <t>A deputy was investigating an assault report when Garrison came out with a knife and gun. Garrison was ordered repeatedly to put the rifle down but police said Garrison did not comply. Garrison reportedly yelled at deputies “Kill me! Kill me! Kill me!” and then pointed his rifle as if to shoot. Two deputies complied.</t>
  </si>
  <si>
    <t>http://wspa.com/2016/03/29/one-killed-in-greenville-co-officer-involved-shooting/</t>
  </si>
  <si>
    <t>Lonnie Haskell Powers Jr.</t>
  </si>
  <si>
    <t>http://www.gannett-cdn.com/-mm-/4f06c4f5fcf7b754de0784819b8902461d8778a1/c=32-0-706-898&amp;r=537&amp;c=0-0-534-712/local/-/media/2016/01/03/SiouxFalls/SiouxFalls/635873772864048745-535355-1001746786568488-7010671129919608743-n.jpg.jpeg</t>
  </si>
  <si>
    <t>1301 E 10th St</t>
  </si>
  <si>
    <t>57103</t>
  </si>
  <si>
    <t>Powers was wanted on a federal warrant for a murder in South Carolina. He pulled out a gun during an arrest in a parking lot, according to police.</t>
  </si>
  <si>
    <t>http://www.argusleader.com/story/news/2016/01/02/accident-lewis/78206712/</t>
  </si>
  <si>
    <t>Curtis James Dugger</t>
  </si>
  <si>
    <t>http://www.fatalencounters.org/wp-content/uploads/2013/10/Duggar.png</t>
  </si>
  <si>
    <t>1709 S Side Rd</t>
  </si>
  <si>
    <t>Elizabethton</t>
  </si>
  <si>
    <t>37643</t>
  </si>
  <si>
    <t>Elizabethton Police Department</t>
  </si>
  <si>
    <t>http://wjhl.com/2016/02/19/shooting-reported-in-elizabethton-multiple-agencies-responding/</t>
  </si>
  <si>
    <t>Ashton Lane Morris</t>
  </si>
  <si>
    <t>5600 Enrique Barerra Pkwy</t>
  </si>
  <si>
    <t>According to police, the officer arrived at the Selina Inn Motel after someone called to report a vehicle theft in progress, according to police. The officer chased the suspect on foot after he tried to leave the scene. Police said the suspect fired multiple shots at the officer during the foot chase, but did not hit the officer. The officer shot and killed him.</t>
  </si>
  <si>
    <t>http://www.mysanantonio.com/news/local/article/SAPD-officer-involved-in-shooting-on-West-Side-6765652.php</t>
  </si>
  <si>
    <t>Gary Wayne Jones</t>
  </si>
  <si>
    <t>http://cdn.tegna-tv.com/-mm-/ef9b2ca2d5ef7ecd13b667d99dbef64dfa052bcf/c=10-0-290-373&amp;r=537&amp;c=0-0-534-712/local/-/media/2016/01/19/WFAA/WFAA/635888104699272438-gary-wayne-jones.jpg</t>
  </si>
  <si>
    <t>1100 Riverwood Rd</t>
  </si>
  <si>
    <t>Officers responded to a call about a suspicious vehicle behind a hotel along Pinson Road in Forney. When officers tried to pull the vehicle over, the driver — 36-year-old Gary Wayne Jones — took off and led police on a chase into Dallas. Police said the suspect got out of the vehicle and began shooting at officers. He was shot and killed.</t>
  </si>
  <si>
    <t>http://www.wfaa.com/story/news/2016/01/19/1-injured-police-chase-shooting-forney/78993606/</t>
  </si>
  <si>
    <t>Herbert Ballance</t>
  </si>
  <si>
    <t>http://kbmt.images.worldnow.com/images/10044845_G.jpg</t>
  </si>
  <si>
    <t>600 S 23rd St</t>
  </si>
  <si>
    <t>77707</t>
  </si>
  <si>
    <t>Beaumont police officers fatally shot Ballance, a suspect of car theft, when he confronted the officers when they responded to the trailer park regarding a car theft.</t>
  </si>
  <si>
    <t>http://www.beaumontenterprise.com/news/article/Investigation-into-Beaumont-officer-involved-6872717.php</t>
  </si>
  <si>
    <t>Ed Russell McIver Sr.</t>
  </si>
  <si>
    <t>https://cbsdallas.files.wordpress.com/2016/03/dad-mciver.jpg?w=640&amp;h=360&amp;crop=1</t>
  </si>
  <si>
    <t>I-30 and Hulen</t>
  </si>
  <si>
    <t>76108</t>
  </si>
  <si>
    <t>Fort Worth police officers attempted a felony traffic stop for 43-year-old Ed McIver Sr., who was with his 21-year-old son, Ed McIver Jr. The pair fled, and the father was shot and killed not long later. The son was later captured.</t>
  </si>
  <si>
    <t>http://dfw.cbslocal.com/2016/03/15/deceased-suspect-idd-as-father-of-other-suspect/</t>
  </si>
  <si>
    <t>Mark Minnick</t>
  </si>
  <si>
    <t>http://content.wfaa.com/photo/2016/03/07/mark-minnick_1457373452280_894376_ver1.0.jpg</t>
  </si>
  <si>
    <t>600 Alameda Rd</t>
  </si>
  <si>
    <t>Azle Police Department</t>
  </si>
  <si>
    <t>Police responded for a report of a man firing a gun. The first officer to arrive encountered Minnick and told him to drop his weapon. Minnick didn't comply and moved toward the officer, pointing his gun at him when the officer shot and killed him.</t>
  </si>
  <si>
    <t>http://www.wfaa.com/news/crime/man-with-gun-shot-killed-by-azle-police-sunday/71853175</t>
  </si>
  <si>
    <t>David Glen Watson</t>
  </si>
  <si>
    <t>https://cbsdallas.files.wordpress.com/2016/02/watson-david-glen-cid-0617788.jpg?w=600&amp;h=750</t>
  </si>
  <si>
    <t>7501 Camp Bowie W Blvd</t>
  </si>
  <si>
    <t>Watson was wanted in connection with an aggravated robbery of a convenience store in Cressen. When police approached, they say, he pulled a gun, and they shot and killed him.</t>
  </si>
  <si>
    <t>http://www.nbcdfw.com/news/local/Shooting-Involving-US-Marshals-in-Fort-Worth-Police-368676191.html</t>
  </si>
  <si>
    <t>Earl Ashby</t>
  </si>
  <si>
    <t>http://www.fatalencounters.org/wp-content/uploads/2013/10/Earl-Ashby.jpg</t>
  </si>
  <si>
    <t>14600 Ashland Drive</t>
  </si>
  <si>
    <t>Splendora</t>
  </si>
  <si>
    <t>77372</t>
  </si>
  <si>
    <t>Deputies responded to a home on a welfare check. When they arrived they were told Ashby had a gun and had gone into a shed near the home. A person in the home told deputies she heard a gunshot from the shed after Ashby went there. After deputies surrounded the shed and tried to speak with Ashby, the door of the shed suddenly swung open. Ashby came out carrying a handgun. Deputies ordered him to drop the gun and get down onto the ground, but they said Ashby ignored their commands. He moved toward the deputies, raised the gun and pointed it them, and he was shot and killed.</t>
  </si>
  <si>
    <t>http://www.chron.com/houston/article/Deputy-shoots-kills-gun-wielding-man-in-Splendora-7210583.php</t>
  </si>
  <si>
    <t>Cory Lee "Jasper" Henderson</t>
  </si>
  <si>
    <t>http://www.fatalencounters.org/wp-content/uploads/2013/10/CoryLHenderson.png</t>
  </si>
  <si>
    <t>2167 E 4500 S</t>
  </si>
  <si>
    <t>Holladay</t>
  </si>
  <si>
    <t>84117</t>
  </si>
  <si>
    <t>Henderson and a woman were seen leaving the scene of an accident. When Officer Officer Doug Barney approached them, Henderson shot and killed him. He was killed a short time later, after wounding another officer.</t>
  </si>
  <si>
    <t>http://fox13now.com/2016/01/17/officer-suspect-shot-in-officer-involved-shooting-in-holladay/</t>
  </si>
  <si>
    <t>Terrence Shane Blackburn</t>
  </si>
  <si>
    <t>http://www.fatalencounters.org/wp-content/uploads/2013/10/Blackburn.jpg</t>
  </si>
  <si>
    <t>1600 Old Home Creek Rd</t>
  </si>
  <si>
    <t>Grundy</t>
  </si>
  <si>
    <t>24614</t>
  </si>
  <si>
    <t>Grundy Police Department</t>
  </si>
  <si>
    <t>Virginia State Police say a Grundy Police officer and a Buchanan County Sheriff's Deputy responded to a call of a suicidal person. Before they got to the scene a second call came in saying the man was armed and outside the home firing a weapon. When the deputy and officer arrived, they got into a confrontation with Blackburn. Police say the Grundy Police Officer shot and killed him.</t>
  </si>
  <si>
    <t>http://www.nbc12.com/story/31571097/virginia-state-police-investigate-deadly-force-incident</t>
  </si>
  <si>
    <t>Keith Richardson</t>
  </si>
  <si>
    <t>http://bloximages.newyork1.vip.townnews.com/pilotonline.com/content/tncms/assets/v3/editorial/3/a7/3a7e2d6d-7259-58c5-ac89-1ec96f63cb50/56957532c6402.image.jpg</t>
  </si>
  <si>
    <t>1100 Land St</t>
  </si>
  <si>
    <t>23502</t>
  </si>
  <si>
    <t>Police were called for a person with a weapon. When they arrived, they were told that a woman and her husband, Keith Richardson, were involved in a domestic disturbance and that Richardson was armed with a gun. According to Officer Daniel Hudson with Norfolk Police, the wife was able to escape and Richardson barricaded himself in the home alone. Negotiators were called to the scene and after several hours of unsuccessful negotiations with Richardson, armed with a gun, exited his home. Richardson opened fire and shot and killed a police dog. After killing the dog, a member of the Special Operations Team shot Richardson. A second dog was released and partially restrained Richardson until Special Operation Team members were able to take him into custody. He died the next day.</t>
  </si>
  <si>
    <t>http://wtkr.com/2016/01/10/police-on-scene-of-barricade-situation-in-norfolk-2/</t>
  </si>
  <si>
    <t>Kayden Clarke transitioning from Danielle Jacobs</t>
  </si>
  <si>
    <t>Transgender</t>
  </si>
  <si>
    <t>http://www.fatalencounters.org/wp-content/uploads/2013/10/KaydenClarke.png</t>
  </si>
  <si>
    <t>E Brown Rd and N 80th St</t>
  </si>
  <si>
    <t>85207</t>
  </si>
  <si>
    <t>Mesa police officers responded to a suicidal person call and allegedly found Clarke with a knife. He was shot and killed.</t>
  </si>
  <si>
    <t>http://www.nydailynews.com/news/national/transgender-man-shot-dead-police-hoping-transition-article-1.2522193</t>
  </si>
  <si>
    <t>Joshua Adam Sisson</t>
  </si>
  <si>
    <t>http://lgbtweekly.com/wp-content/uploads/2016/01/190_5385_8067.jpg</t>
  </si>
  <si>
    <t>4200 6th Ave</t>
  </si>
  <si>
    <t>92103</t>
  </si>
  <si>
    <t>http://www.cbs8.com/story/30869980/officer-involved-shooting-in-hillcrest-kills-man</t>
  </si>
  <si>
    <t>Byron Rosas</t>
  </si>
  <si>
    <t>http://www.fatalencounters.org/wp-content/uploads/2013/10/Byron.png</t>
  </si>
  <si>
    <t>S 3rd St and Martha St</t>
  </si>
  <si>
    <t>Rosas apparently stabbed his estranged wife and another person before police shot and killed him.</t>
  </si>
  <si>
    <t>http://sanfrancisco.cbslocal.com/2016/03/09/san-jose-police-identify-suspect-killed-in-officer-involved-shooting/</t>
  </si>
  <si>
    <t>Christopher Andrews</t>
  </si>
  <si>
    <t>http://www.fatalencounters.org/wp-content/uploads/2013/10/Christopher.jpg</t>
  </si>
  <si>
    <t>22 Mountain Laurel Rd</t>
  </si>
  <si>
    <t>06824</t>
  </si>
  <si>
    <t>http://www.nydailynews.com/news/national/officer-involved-shooting-fairfield-conn-article-1.2533111</t>
  </si>
  <si>
    <t>Talmadge King</t>
  </si>
  <si>
    <t>http://jacksonville.com/sites/default/files/imagecache/premium_415_wide_scale/met_TalmadgeKing0119.jpg</t>
  </si>
  <si>
    <t>E 5th St</t>
  </si>
  <si>
    <t>http://jacksonville.com/news/crime/2016-02-12/story/jacksonville-man-shot-duty-federal-officer-during-attempted-robbery</t>
  </si>
  <si>
    <t>Daniel Wooters</t>
  </si>
  <si>
    <t>http://www.fatalencounters.org/wp-content/uploads/2013/10/Wooters.png</t>
  </si>
  <si>
    <t>3300 Morgan Ave</t>
  </si>
  <si>
    <t>Evansville</t>
  </si>
  <si>
    <t>Vanderburgh</t>
  </si>
  <si>
    <t>Evansville Police Department</t>
  </si>
  <si>
    <t>Evansville officers fatally shot a man after a chase that started when he charged at another officer with a knife and stole her squad car.</t>
  </si>
  <si>
    <t>http://www.courierpress.com/news/crime/coroners-office-called-to-hospital-after-police-chase-on-morgan-ave-2e2094d7-fd5e-625a-e053-0100007f-372184521.html</t>
  </si>
  <si>
    <t>Robert L. Dussourd</t>
  </si>
  <si>
    <t>Liberty Street and East Division Street</t>
  </si>
  <si>
    <t>Braintree</t>
  </si>
  <si>
    <t>02184</t>
  </si>
  <si>
    <t>Braintree Police Department</t>
  </si>
  <si>
    <t>Police were investigating a domestic dispute. Police found Dussourd hiding under a parked car, police said. Police tried to talk Dussourd into surrendering, but he emerged from underneath the car brandishing a knife, which he continued to hold even after officers fired at him with non-lethal bean bags.He was shot and killed after reportedly telling police to shoot him.</t>
  </si>
  <si>
    <t>https://www.bostonglobe.com/metro/2016/03/24/man-fatally-shot-braintree-police/nQ6E1tIPMCHIzHKlx4n6aM/story.html</t>
  </si>
  <si>
    <t>Robert Keil</t>
  </si>
  <si>
    <t>http://www.fatalencounters.org/wp-content/uploads/2013/10/Keil.png</t>
  </si>
  <si>
    <t>1500 SW 20 St</t>
  </si>
  <si>
    <t>64015</t>
  </si>
  <si>
    <t>Blue Springs Police Department</t>
  </si>
  <si>
    <t>Keil is said to have called police, saying there was a burglarly in progress, and then when they arrived, rushed them with a knife.</t>
  </si>
  <si>
    <t>http://www.kctv5.com/story/31301061/troopers-teen-shot-killed-by-blue-springs-police-was-on-suicide-mission</t>
  </si>
  <si>
    <t>Jeffery K. Lanahan</t>
  </si>
  <si>
    <t>http://www.fatalencounters.org/wp-content/uploads/2013/10/Lanahan.png</t>
  </si>
  <si>
    <t>200 NW Hickory St</t>
  </si>
  <si>
    <t>Lee's Summit</t>
  </si>
  <si>
    <t>64064</t>
  </si>
  <si>
    <t>Lee's Summit Police Department</t>
  </si>
  <si>
    <t>Police responded to a domestic disturbance at Lanahan's home, police said. According to police, Lanahan charged out of the front door in the direction of the officer with a large knife in his hand. The officer shot Lanahan in the chest, killing him.</t>
  </si>
  <si>
    <t>http://krcgtv.com/news/local/police-lees-summit-officer-shoots-kills-man-with-knife</t>
  </si>
  <si>
    <t>Alijah Jackson</t>
  </si>
  <si>
    <t>http://www.fatalencounters.org/wp-content/uploads/2013/10/Alijah.png</t>
  </si>
  <si>
    <t>601 Old Park Rd</t>
  </si>
  <si>
    <t>Maiden</t>
  </si>
  <si>
    <t>28650</t>
  </si>
  <si>
    <t>Maiden Police Department</t>
  </si>
  <si>
    <t>Police responded to a call of a person cutting himself with a knife. He had the knife in his hand when they arrived and did not drop it. Police said he threatened them with it, and he was shot and killed.</t>
  </si>
  <si>
    <t>http://www.wcnc.com/story/news/crime/2016/02/12/authorities-investigating-deadly-officer-involved-shooting-maiden/80275644/</t>
  </si>
  <si>
    <t>Timothy Joseph Alex Caruthers</t>
  </si>
  <si>
    <t>http://www.fatalencounters.org/wp-content/uploads/2013/10/TimothyCaruthers.png</t>
  </si>
  <si>
    <t>3012 Crater Lake Hwy</t>
  </si>
  <si>
    <t>An off-duty Medford police officer and others apparently chased a man after a shoplifting incident at Sportsman's Warehouse, where he menaced employees with a knife, police said. The alleged shoplifter then stopped next to a Dumpster and was about 6 feet away from the officer when he was shot and killed.</t>
  </si>
  <si>
    <t>http://www.mailtribune.com/article/20160118/NEWS/160119595/101033/NEWS?rssfeed=true</t>
  </si>
  <si>
    <t>David Zollo</t>
  </si>
  <si>
    <t>http://www.fatalencounters.org/wp-content/uploads/2013/10/David-Zollo.png</t>
  </si>
  <si>
    <t>151 S Bishop Ave</t>
  </si>
  <si>
    <t>19018</t>
  </si>
  <si>
    <t>David Zollo, called 911 threatening to harm himself. Upper Darby Police Superintendent Michael Chitwood says his officers had a number of dealings with Zollo over the years, mostly to address mental health concerns. Officers found Zollo in the parking lot of the Bishop Hollow Apartments with a knife. When a Taser failed to subdue him and he continued to threaten them, officers fired a dozen shots, killing him.</t>
  </si>
  <si>
    <t>http://philadelphia.cbslocal.com/2016/01/06/745839/</t>
  </si>
  <si>
    <t>John Wesley Smith</t>
  </si>
  <si>
    <t>http://www.fatalencounters.org/wp-content/uploads/2013/10/JohnWesleySmith.jpg</t>
  </si>
  <si>
    <t>Pocosin Rd</t>
  </si>
  <si>
    <t>Latta</t>
  </si>
  <si>
    <t>29565</t>
  </si>
  <si>
    <t>Dillon County Sheriff's Office</t>
  </si>
  <si>
    <t>Deputies were called about a home break-in. When they arrived they discovered a family dispute. One of the family members involved in the dispute was brandishing a knife, according police. Deputies attempted to control the person holding the knife and used pepper spray, which was ineffective. Confrontation with the suspect continued and a deputy shot and killed Smith.</t>
  </si>
  <si>
    <t>http://www.wistv.com/story/31073065/man-killed-during-confrontation-with-dillon-county-deputy-near-latta</t>
  </si>
  <si>
    <t>James K. Maher</t>
  </si>
  <si>
    <t>http://www.johnsoncitypress.com/image/2016/01/06/1200x/James-Keith-Maher.jpg</t>
  </si>
  <si>
    <t>Mary St</t>
  </si>
  <si>
    <t>37604</t>
  </si>
  <si>
    <t>Maher confronted the deputy marshals and brandished a knife as they attempted to serve a warrant for his arrest at a home in the Mary Street vicinity. The situation escalated and resulted in the two marshals firing their weapons, striking Maher, who died at the scene.</t>
  </si>
  <si>
    <t>http://wjhl.com/2016/01/05/police-respond-to-report-of-shooting-in-johnson-city/</t>
  </si>
  <si>
    <t>Justin Patrick Moses</t>
  </si>
  <si>
    <t>http://www.fatalencounters.org/wp-content/uploads/2013/10/Justin-Patrick-Moses.png</t>
  </si>
  <si>
    <t>North St</t>
  </si>
  <si>
    <t>Details are sketchy, but Ogden police say they found Moses, 35, stabbing a woman near 400 N. 600 East when they responded to a domestic violence call. An officer shot and killed Moses.</t>
  </si>
  <si>
    <t>http://www.sltrib.com/news/3560467-155/ogden-police-identify-man-officer-shot</t>
  </si>
  <si>
    <t>Ralph "Phil" Grenon</t>
  </si>
  <si>
    <t>http://www.gannett-cdn.com/-mm-/52c4e718188c0034b1145c348f906dda2c3db18b/c=0-51-1080-863&amp;r=x408&amp;c=540x405/local/-/media/2016/03/22/Burlington/Burlington/635942631525741703-12874328-10154006990181085-1278947929-o.jpg</t>
  </si>
  <si>
    <t>101 College St</t>
  </si>
  <si>
    <t>Grenon, who was mentally ill and known to police, advanced on police with knives when he was shot and killed.</t>
  </si>
  <si>
    <t>http://www.burlingtonfreepress.com/story/news/2016/03/22/officer-involved-shooting-update/82126210/</t>
  </si>
  <si>
    <t>Amy Jean McCoy</t>
  </si>
  <si>
    <t>9600 NE 81st St</t>
  </si>
  <si>
    <t>A woman driving erratically crashed her car, then tried to break into homes armed with hammer and knife. She attacked the police who responded to the attempted breakins, and they shot and killed her.</t>
  </si>
  <si>
    <t>http://www.columbian.com/news/2016/mar/13/woman-with-knife-reportedly-hurt-in-police-confrontation/?utm_source=feedburner&amp;utm_medium=feed&amp;utm_campaign=Feed%3A+the-columbian-local-headlines+%28The+Columbian%3A+Local+Headlines%29</t>
  </si>
  <si>
    <t>Eric C. Olsen</t>
  </si>
  <si>
    <t>3800 Lincoln Dr</t>
  </si>
  <si>
    <t>Lake Geneva</t>
  </si>
  <si>
    <t>53147</t>
  </si>
  <si>
    <t>Town of Geneva Police Department</t>
  </si>
  <si>
    <t>Two town of Geneva police officers fired their weapons at Eric C. Olsen, 26, when they say he charged at them with a with a long knife, according to a news release issued by the Town of Geneva Police Department.</t>
  </si>
  <si>
    <t>http://fox6now.com/2016/01/08/breaking-heavy-police-presence-near-lincoln-gooseberry-road-in-walworth-county/</t>
  </si>
  <si>
    <t>John Birkeland</t>
  </si>
  <si>
    <t>http://stmedia.startribune.com/images/1birk021216.jpg</t>
  </si>
  <si>
    <t>1600 W County Rd B</t>
  </si>
  <si>
    <t>Roseville</t>
  </si>
  <si>
    <t>55113</t>
  </si>
  <si>
    <t>Roseville Police Department</t>
  </si>
  <si>
    <t>According to the Star Tribune, police responding to noise complaints from neighbors made a forced entry and sent in a dog. When officers found Birkeland hiding in a closet, he stabbed the dog in the head with a kitchen knife, and police shot him dead.</t>
  </si>
  <si>
    <t>http://www.startribune.com/suspect-shot-dead-by-police-after-k-9-stabbed-in-roseville-altercation/368441451/</t>
  </si>
  <si>
    <t>Vasilios Alexander Katsouras</t>
  </si>
  <si>
    <t>http://www.fatalencounters.org/wp-content/uploads/2013/10/VasiliosKatsouras.png</t>
  </si>
  <si>
    <t>3800 Amy Pl</t>
  </si>
  <si>
    <t>An older woman called 911 reporting that an unknown person was in her backyard pounding on a sliding glass door, police said. When two officers responded to the home they found the man in the backyard "armed with a claw-style garden tool that had three steel spikes." The officers ordered the man to drop the weapon, but he did not comply and instead charged the officers with the weapon. He was shot and killed.</t>
  </si>
  <si>
    <t>http://www.insidebayarea.com/breaking-news/ci_29403791/union-city-police-fatally-shoot-suspect-backyard-home</t>
  </si>
  <si>
    <t>Matthew Quinn</t>
  </si>
  <si>
    <t>2800 La Vida Dr</t>
  </si>
  <si>
    <t>Police went to reported disturbance and found a man with an ax. He walked toward them, and they shot and killed him.</t>
  </si>
  <si>
    <t>http://www.santacruzsentinel.com/general-news/20160212/man-allegedly-wielding-ax-shot-in-north-los-angeles-county</t>
  </si>
  <si>
    <t>Alex Thompson</t>
  </si>
  <si>
    <t>Country Store Rd and US-70</t>
  </si>
  <si>
    <t>Johnston</t>
  </si>
  <si>
    <t>Kenly Police Department</t>
  </si>
  <si>
    <t>Thompson led police on a car chase after he ignored a deputy's commands to pull over for speeding, according to authorities. Police said an officer shocked Thompson when he ran toward the officer and ignored commands. Thompson died several days later</t>
  </si>
  <si>
    <t>http://www.wral.com/driver-stunned-by-police-after-two-county-chase-dies/15499072/</t>
  </si>
  <si>
    <t>Daniel Leetin Shaver</t>
  </si>
  <si>
    <t>http://www.fatalencounters.org/wp-content/uploads/2013/10/DanielSweet.png</t>
  </si>
  <si>
    <t>6530 E Superstition Springs Blvd</t>
  </si>
  <si>
    <t>85206</t>
  </si>
  <si>
    <t>http://www.azcentral.com/story/news/local/mesa/breaking/2016/01/19/1-dead-after-police-involved-shooting-mesa/79019960/</t>
  </si>
  <si>
    <t>Kelsey Rose Hauser</t>
  </si>
  <si>
    <t>http://kusi.images.worldnow.com/images/9684589_G.jpg</t>
  </si>
  <si>
    <t>300 S Pierce St</t>
  </si>
  <si>
    <t>El Cajon</t>
  </si>
  <si>
    <t>92020</t>
  </si>
  <si>
    <t>El Cajon Police Department</t>
  </si>
  <si>
    <t>A woman riding in a stolen car with three men was shot and killed by a police officer in El Cajon following a high-speed pursuit early Saturday, officials confirmed. Apparently, the chase ended on a dead end road, and when the officer attempted to approach the car, it drove toward him, so he fired into the car, killing the woman in the passenger seat and a dog.</t>
  </si>
  <si>
    <t>http://www.cbs8.com/story/30983403/woman-dog-killed-in-officer-involved-shooting</t>
  </si>
  <si>
    <t>James Anthony Scott</t>
  </si>
  <si>
    <t>http://s3.amazonaws.com/tributecenteronline/Obituaries/817668/Thumbnail.jpg</t>
  </si>
  <si>
    <t>E Rosser Ave and N 32nd St</t>
  </si>
  <si>
    <t>Bismarck</t>
  </si>
  <si>
    <t>58501</t>
  </si>
  <si>
    <t>Burleigh</t>
  </si>
  <si>
    <t>Bismarck Police Department</t>
  </si>
  <si>
    <t>Police responded to a 911 call regarding a person with a gun threatening another. When police arrived, Scott ran, leaving the weapon in the building. He was shot and killed.</t>
  </si>
  <si>
    <t>http://billingsgazette.com/news/state-and-regional/montana/bismarck-officer-shoots-kills-man-after-emergency-call/article_4ee097aa-fb44-5cd8-98f0-fafe517e62a5.html</t>
  </si>
  <si>
    <t>Ciara Meyer</t>
  </si>
  <si>
    <t>https://heavyeditorial.files.wordpress.com/2016/01/ciara-meyer-2.jpg?quality=65&amp;strip=all&amp;strip=all</t>
  </si>
  <si>
    <t>Rebecca Dr</t>
  </si>
  <si>
    <t>Duncannon</t>
  </si>
  <si>
    <t>17020</t>
  </si>
  <si>
    <t>Pennsylvania State Constable</t>
  </si>
  <si>
    <t>A 12-year-old Pennsylvania girl was home sick from school when she was accidentally shot and killed by a constable serving her father with an eviction notice, police said. The girl's father, 57-year-old Donald Meyer, pointed a loaded rifle at Constable Clark Steele and Steele fired a single shot in return, the bullet traveling through Meyer's arm and striking and killing Ciara Meyer, who was standing behind him, police said.</t>
  </si>
  <si>
    <t>http://www.ydr.com/story/news/crime/2016/01/11/1-dead-shooting-during-eviction-police-say/78636388/</t>
  </si>
  <si>
    <t>Joshua Grubb</t>
  </si>
  <si>
    <t>https://mgtvwate.files.wordpress.com/2016/03/vlcsnap-2016-03-14-15h35m19s208-e1457984178225.jpg?w=300&amp;h=452</t>
  </si>
  <si>
    <t>I-75 and Highway 321</t>
  </si>
  <si>
    <t>Lenoir City Police Department</t>
  </si>
  <si>
    <t>http://wate.com/2016/03/13/deadly-officer-involved-shooting-in-lenoir-city/</t>
  </si>
  <si>
    <t>Nathan Roman</t>
  </si>
  <si>
    <t>http://www.fatalencounters.org/wp-content/uploads/2013/10/Kid.png</t>
  </si>
  <si>
    <t>Schalren Dr</t>
  </si>
  <si>
    <t>Latham</t>
  </si>
  <si>
    <t>12110</t>
  </si>
  <si>
    <t>Colonie Police Department</t>
  </si>
  <si>
    <t>Police said Colonie Patrol Officer Israel Roman shot both his wife and younger son, lit his home on fire, and then shot himself.</t>
  </si>
  <si>
    <t>http://news10.com/2016/02/11/police-neighbors-still-asking-why-in-colonie-officer-murder-suicide/</t>
  </si>
  <si>
    <t>Deborah Roman</t>
  </si>
  <si>
    <t>http://ww2.hdnux.com/photos/43/64/26/9389457/13/920x920.jpg</t>
  </si>
  <si>
    <t>Eric Provost</t>
  </si>
  <si>
    <t>http://www.fatalencounters.org/wp-content/uploads/2013/10/EricProvost.png</t>
  </si>
  <si>
    <t>Swissco Dr</t>
  </si>
  <si>
    <t>Eric Provost's father called Orlando police on Monday night, concerned for his son's well-being. But when officers responded, Provost walked out of one of the units armed with an airsoft gun that appeared to be a real firearm. Provost kept ignoring their orders to drop the gun, and Officers Tino Cruz and Sonja Saunders shot and killed him.</t>
  </si>
  <si>
    <t>http://www.orlandosentinel.com/news/breaking-news/os-eric-provost-opd-officer-shootings-20160119-story.html</t>
  </si>
  <si>
    <t>Charles J. Hollstein</t>
  </si>
  <si>
    <t>http://www.campussafetymagazine.com/images/uploads/zion_shooting.jpg</t>
  </si>
  <si>
    <t>2000 Ezekiel Ave</t>
  </si>
  <si>
    <t>60099</t>
  </si>
  <si>
    <t>Officers were called to the area of 22nd Street and Bethesda Boulevard near Lakeview Elementary School in Zion around 8:30 a.m. The 911 caller said he was taking photos of Lakeview and Zion-Benton High Schools new tech campus. The suspicious man, who police said appeared to be wearing body armor, was located by officers, and a foot pursuit ensued. The man and officers fought, and the man was shot. It was reported that the man was shot in the back and that a Taser was used but it was ineffective. He reportedly had a BB gun on him.</t>
  </si>
  <si>
    <t>http://chicago.cbslocal.com/2016/01/06/suspect-take-pictures-of-schools-fatally-shot-by-police-in-zion/</t>
  </si>
  <si>
    <t>Robert Tenbrink</t>
  </si>
  <si>
    <t>http://www.fatalencounters.org/wp-content/uploads/2013/10/Tenbrink.jpg</t>
  </si>
  <si>
    <t>Rapid Run Rd and Sunset Ave</t>
  </si>
  <si>
    <t>45205</t>
  </si>
  <si>
    <t>Police got two 911 calls about an armed robber. The suspect tried to hold up the Walgreens on Glenway but the clerk told him there was no money in the register. An employee at the Deal$ across Glenway says she was robbed of $400. Both clerks gave a similar description of the robber, including that he was wearing pajama pants. Officers caught up with the suspect, identified as Robert Tenbrink, 45. They ordered him to keep his hands up. Dash cam video shows him turning slightly toward the officers, reaching down into his jacket and reach. Police say Tenbrink pointed a BB gun at police. They fired, killing Tenbrink.</t>
  </si>
  <si>
    <t>https://www.google.com/webhp?sourceid=chrome-instant&amp;ion=1&amp;espv=2&amp;ie=UTF-8#q=tebrink%20police</t>
  </si>
  <si>
    <t>Thomas Hirko</t>
  </si>
  <si>
    <t>https://localtvwjw.files.wordpress.com/2016/02/thomas-hirko.jpg?w=338&amp;h=450</t>
  </si>
  <si>
    <t>2925 River Rd</t>
  </si>
  <si>
    <t>44081</t>
  </si>
  <si>
    <t>Hirko allegedly stabbed his wife multiple times. Police said Hirko confronted responding deputies with an airsoft pistol, which they believed was real. A deputy fired when Hirko raised the gun, according to officials.</t>
  </si>
  <si>
    <t>http://fox8.com/2016/02/05/police-to-release-more-details-after-stabbing-suspect-shot-killed-by-deputy/</t>
  </si>
  <si>
    <t>Adam Karjalainen</t>
  </si>
  <si>
    <t>http://www.pamplinmediagroup.com/images/artimg/00003536127522.jpg</t>
  </si>
  <si>
    <t>10100 SW Murray Blvd</t>
  </si>
  <si>
    <t>http://www.oregonlive.com/washingtoncounty/index.ssf/2016/01/man_shot_by_beaverton_police_d.html</t>
  </si>
  <si>
    <t>Joseph Melvin</t>
  </si>
  <si>
    <t>3200 Park St</t>
  </si>
  <si>
    <t>Clearlake</t>
  </si>
  <si>
    <t>Clearlake Police Department</t>
  </si>
  <si>
    <t>An officer fatally shot Melvin, who police said was a suspect in a burglary, after Melvin reportedly struck the officer's head with a flashlight during a physical struggle as the officer responded to a burglar alarm.</t>
  </si>
  <si>
    <t>http://www.pressdemocrat.com/news/5437803-181/lake-county-police-officer-shoots</t>
  </si>
  <si>
    <t>Gevork Alachadzhyan</t>
  </si>
  <si>
    <t>100 S Glendale Ave</t>
  </si>
  <si>
    <t>http://www.nbclosangeles.com/news/local/police-Pursue-Vehicle-in-West-Covina-Area-371943382.html</t>
  </si>
  <si>
    <t>Brandon Lee Witt</t>
  </si>
  <si>
    <t>http://www.fatalencounters.org/wp-content/uploads/2013/10/BrandonLeeWitth-1.png</t>
  </si>
  <si>
    <t>22711 Oakcrest Cir</t>
  </si>
  <si>
    <t>Yorba Linda</t>
  </si>
  <si>
    <t>92887</t>
  </si>
  <si>
    <t>Deputies responded to a call of a suspicious-vehicle parked outside the Extended Stay America. When deputies, arrived they found Witt sitting in the vehicle. Police said a fight occurred between the deputy and a person in the car. Authorities have not released more details about what happened.</t>
  </si>
  <si>
    <t>http://www.ocregister.com/articles/sheriff-704312-shot-female.html</t>
  </si>
  <si>
    <t>Randall J. Selsor</t>
  </si>
  <si>
    <t>http://media.graytvinc.com/images/690*388/Selsor.jpg</t>
  </si>
  <si>
    <t>504 SW Taylor St</t>
  </si>
  <si>
    <t>66603</t>
  </si>
  <si>
    <t>Police attempted to serve warrants on Selsor. Police say a fight started and that's when he was shot and killed.</t>
  </si>
  <si>
    <t>http://ksnt.com/2016/03/08/friends-speak-out-about-deadly-shooting/</t>
  </si>
  <si>
    <t>Brandon Stanley</t>
  </si>
  <si>
    <t>https://1.bp.blogspot.com/-weo6YmWipXE/Vt1nsXODkjI/AAAAAAAAZpc/39wgsT680yw/s320/kennethstanley.JPG</t>
  </si>
  <si>
    <t>700 KY-3094</t>
  </si>
  <si>
    <t>East Bernstadt</t>
  </si>
  <si>
    <t>40729</t>
  </si>
  <si>
    <t>Laurel</t>
  </si>
  <si>
    <t>Laurel County Sheriff's Office</t>
  </si>
  <si>
    <t>A constable was attempting to serve an arrest warrant inside a gas station when Stanley was shot and killed. Very little information has been released regarding this death.</t>
  </si>
  <si>
    <t>http://www.bgdailynews.com/news/state/man-dies-after-being-shot-by-constable-in-laurel-county/article_fb43de48-bcc9-53eb-a526-7cdf3a51de7f.html</t>
  </si>
  <si>
    <t>Emily Thibodeaux</t>
  </si>
  <si>
    <t>http://www.fatalencounters.org/wp-content/uploads/2013/10/Emily.png</t>
  </si>
  <si>
    <t>3600 E Nic Dr</t>
  </si>
  <si>
    <t>70710</t>
  </si>
  <si>
    <t>Addis Police Department</t>
  </si>
  <si>
    <t>Ivy Thibodeaux, a reserve officer with the Addis Police Department, shot and killed his wife, Emily Thibodeaux, according to a spokesman for the State Police. No arrests have been made in the shooting, Lee said.</t>
  </si>
  <si>
    <t>http://theadvocate.com/news/police/14799518-123/state-police-identify-addis-reserve-officer-involved-in-wifes-fatal-shooting</t>
  </si>
  <si>
    <t>William A. Adams</t>
  </si>
  <si>
    <t>http://www.fatalencounters.org/wp-content/uploads/2013/10/Adams.png</t>
  </si>
  <si>
    <t>3600 S 67th St</t>
  </si>
  <si>
    <t>Police were investigating a stolen car report. A 911 caller reported the car at the address and police saw two men leave the car and enter the building. When the went to the door several people left. Adams stayed inside, threatening suicide. He pointed the gun at police and was shot and killed.</t>
  </si>
  <si>
    <t>http://www.ketv.com/news/officerinvolved-shooting-suspect-wouldve-chose-gun-battle-before-handcuffs-family-agrees/37709926</t>
  </si>
  <si>
    <t>Robert "LaVoy" Finicum</t>
  </si>
  <si>
    <t>http://consciouslyenlightened.com/wp-content/uploads/2016/01/b7ce1d5ed0282fa7.jpg</t>
  </si>
  <si>
    <t>US-395</t>
  </si>
  <si>
    <t>97720</t>
  </si>
  <si>
    <t>Harney</t>
  </si>
  <si>
    <t>Finicum was a member of the white supremicist/anti-federalist group that occupied Malheur National Wildlife Refuge. He got out of the vehicle and reached for a gun when the vehicle he was in was pulled over. He was shot and killed.</t>
  </si>
  <si>
    <t>http://koin.com/2016/01/26/malheur-militia-law-enforcement-01262016/</t>
  </si>
  <si>
    <t>Joe Molinaro</t>
  </si>
  <si>
    <t>http://thetimes-tribune.com/polopoly_fs/1.2003067.1454528509!/fileImage/httpImage/image.jpg_gen/derivatives/landscape_240/image.jpg</t>
  </si>
  <si>
    <t>Chestnut Ave</t>
  </si>
  <si>
    <t>Carbondale</t>
  </si>
  <si>
    <t>18407</t>
  </si>
  <si>
    <t>Lackawanna</t>
  </si>
  <si>
    <t>Carbondale Police Department</t>
  </si>
  <si>
    <t>Molinaro and his girlfriend, Leticia Moncrief, were apparently walking on the street, talking loudly, when an off-duty, part-time Carbondale police officer, Patrolman Francis Schulze, approached them. Details are sketchy, but Moncrief said he didn't identify himself until after Molinaro was shot and killed.</t>
  </si>
  <si>
    <t>Charged with criminal homicide, assault, and reckless endangerment</t>
  </si>
  <si>
    <t>http://thetimes-tribune.com/news/part-time-carbondale-cop-shot-and-killed-fell-twp-man-authorities-said-1.2002813</t>
  </si>
  <si>
    <t>Travis J. Blair</t>
  </si>
  <si>
    <t>http://bloximages.chicago2.vip.townnews.com/fredericksburg.com/content/tncms/assets/v3/editorial/b/05/b0548fbc-f11c-11e5-903f-ff53c26c8289/56f2d275892cc.image.png?crop=239%2C353%2C39%2C10</t>
  </si>
  <si>
    <t>Braehead Dr and Kinloch Dr</t>
  </si>
  <si>
    <t>Fredericksburg</t>
  </si>
  <si>
    <t>22401</t>
  </si>
  <si>
    <t>Fredericksburg City</t>
  </si>
  <si>
    <t>Fredericksburg Police Department</t>
  </si>
  <si>
    <t>http://wjla.com/news/crime/police-officer-involved-shooting-reported-in-fredericksburg</t>
  </si>
  <si>
    <t>Destry Meikle</t>
  </si>
  <si>
    <t>S Peachtree Ln</t>
  </si>
  <si>
    <t>Republic</t>
  </si>
  <si>
    <t>65738</t>
  </si>
  <si>
    <t>Republic Police Department</t>
  </si>
  <si>
    <t>Police responded to a vehicle accident that involved two homes. The driver first hit, and then attempted to hit again, a police person. He shot and killed him.</t>
  </si>
  <si>
    <t>http://www.news-leader.com/story/news/crime/2016/02/16/car-crashes-into-republic-home-neighbors-hear-gunshots/80455040/</t>
  </si>
  <si>
    <t>Christopher J. Davis</t>
  </si>
  <si>
    <t>N8416 County Rd ES</t>
  </si>
  <si>
    <t>East Troy</t>
  </si>
  <si>
    <t>53120</t>
  </si>
  <si>
    <t>Police from the Town of East Troy Police Department, Walworth County Sheriff's Office and Village of East Troy Police Department approached a vehicle in the parking lot of Roma's Ristorante and Lounge, according to the sheriff's office. The sheriff's office was assisting village of East Troy police with a drug investigation. The sheriff's deputy shot Davis after the vehicle driver failed to follow commands from law enforcement.</t>
  </si>
  <si>
    <t>http://www.tmj4.com/news/local-news/sheriff-suspect-shot-by-deputy-in-east-troy-has-died</t>
  </si>
  <si>
    <t>Maria Isabel Garcia</t>
  </si>
  <si>
    <t>http://www.brownsvilleherald.com/news/local/article_a931ce06-c4e5-11e5-a085-53905371b4e3.html</t>
  </si>
  <si>
    <t>William Keith Waldron</t>
  </si>
  <si>
    <t>Ward Avenue</t>
  </si>
  <si>
    <t>Elkins</t>
  </si>
  <si>
    <t>26241</t>
  </si>
  <si>
    <t>Elkins Police Department, West Virginia State Police</t>
  </si>
  <si>
    <t>Troopers assisted local officers serving a search warrant at a residence in Elkins. Police said in a statement that the troopers entered the residence and encountered a man later identified as William Keith Waldron. They said he pointed the shotgun at the troopers, who responded by firing their weapons at him.</t>
  </si>
  <si>
    <t>http://www.times-standard.com/general-news/20160116/police-man-killed-after-pointing-shotgun-at-troopers</t>
  </si>
  <si>
    <t>Stephen C. Davis</t>
  </si>
  <si>
    <t>Co Rd 106 &amp; Township Rd 105</t>
  </si>
  <si>
    <t>43326</t>
  </si>
  <si>
    <t>Kenton Police Department</t>
  </si>
  <si>
    <t>Police went to a disturbance at a home in Kenton. Davis left and police followed and participated in a stop-and-shoot gun battle that stretched more than five miles on city and country roads and ended with Davis wrecking. It's uncertain whether he was killed by gunfire or the wreck.</t>
  </si>
  <si>
    <t>http://nbc4i.com/2016/02/06/officer-shot-suspect-killed-in-kenton-shooting/</t>
  </si>
  <si>
    <t>Robert Miller</t>
  </si>
  <si>
    <t>Galveston Police Department</t>
  </si>
  <si>
    <t>Jason Wade Meador</t>
  </si>
  <si>
    <t>1209 Douglas Drive</t>
  </si>
  <si>
    <t>U.S. Marshals Service, Odessa Police Department</t>
  </si>
  <si>
    <t>http://www.brownsvilleherald.com/news/texas/article_d301d166-9ac2-5879-be56-ecfb145e4235.html</t>
  </si>
  <si>
    <t>Christopher Michael Tokazowski</t>
  </si>
  <si>
    <t>1606 Efland Drive</t>
  </si>
  <si>
    <t>27408</t>
  </si>
  <si>
    <t>Police went to a house and resolved a domestic dispute. Hours later, they returned to the home to serve papers, and Tokazowski met them at the door with a gun. After a standoff and a shootout, he was found dead.</t>
  </si>
  <si>
    <t>http://www.wfmynews2.com/news/crime/greensboro-man-found-dead-after-standoff-police/78530678</t>
  </si>
  <si>
    <t>Ryan Shorak</t>
  </si>
  <si>
    <t>http://media.cmgdigital.com/shared/img/photos/2016/03/18/51/40/suspect.jpg</t>
  </si>
  <si>
    <t>157 Wildwood Road</t>
  </si>
  <si>
    <t>Beaver</t>
  </si>
  <si>
    <t>Midland Police Department, Ohioville Police Department</t>
  </si>
  <si>
    <t>Authorities said Shorak, who had been drinking alcohol, threatened his wife and was armed with an AK-47 and 50 caliber pistol. She left the home, but when police arrived the man fired at least ten shots at officers with a semi-automatic rifle. After several hours of standoff, police shot and killed him.</t>
  </si>
  <si>
    <t>http://www.wpxi.com/news/news/local/shots-fired-police-during-standoff-beaver-co/nqndk/</t>
  </si>
  <si>
    <t>Michael Clyde Lynch</t>
  </si>
  <si>
    <t>http://ww3.hdnux.com/photos/43/31/54/9280262/7/460x1240.jpg</t>
  </si>
  <si>
    <t>4116 S Ranch Road 783</t>
  </si>
  <si>
    <t>Harper</t>
  </si>
  <si>
    <t>78631</t>
  </si>
  <si>
    <t>Gillespie</t>
  </si>
  <si>
    <t>Gillespie County Sheriff's Office, Kerrville Police Department, Lone Star Fugitive Task Force, Texas Department of Public Safety</t>
  </si>
  <si>
    <t>Kerrville Police Department and Lone Star Fugitive Task Force were looking for Michael Lynch, who was believed to be in the Kerrville area. Lynch was located in Kerrville but fled from police. Lynch led police on a vehicle pursuit which ended in Gillespie County near Harper. Once in Gillespie County, Lynch got out of his vehicle and led police on a two-to-three mile foot pursuit through heavy brush and at one point swimming across a creek. With the assistance of a Texas Department of Public Safety (DPS) helicopter, police were able to locate Lynch. During the course of the pursuit, a Kerrville Police Officer shot and killed Lynch.</t>
  </si>
  <si>
    <t>http://thepolicenews.net/default.aspx?act=Newsletter.aspx&amp;category=News+1-2&amp;newsletterid=58872&amp;menugroup=Home</t>
  </si>
  <si>
    <t>Erica Michelle Lauro</t>
  </si>
  <si>
    <t>http://media.graytvinc.com/images/353*536/lauro.jpg</t>
  </si>
  <si>
    <t>Officers were called to Icons Eatery in Oregon following a report of a disturbance. Three suspects, including a woman, got into a confrontation with other patrons which led to an argument outside in the parking lot. Police followed the car, and when it arrived at a residential area, there was a gunfight. Lauro was shot and killed.</t>
  </si>
  <si>
    <t>http://www.toledoblade.com/Police-Fire/2015/12/19/Woman-killed-in-shootout-with-police-in-Northwood.html</t>
  </si>
  <si>
    <t>1900 Lear Drive</t>
  </si>
  <si>
    <t>Fernando Sauceda</t>
  </si>
  <si>
    <t>Hwy 115</t>
  </si>
  <si>
    <t>Wink</t>
  </si>
  <si>
    <t>79745</t>
  </si>
  <si>
    <t>Winkler</t>
  </si>
  <si>
    <t>Jal Police Department</t>
  </si>
  <si>
    <t>Details are limited on why the chase started but it began in Jal, New Mexico, and ended on State Highway 115 near Wink, Texas. Police say they put out spikes which stopped Sauceda's car. They say Sauceda threatened officers and a Jal police officer shot and killed him.</t>
  </si>
  <si>
    <t>https://drive.google.com/file/d/0B-l9Ys3cd80fdWxndDUyT05Fb0k/view?usp=sharing</t>
  </si>
  <si>
    <t>30308</t>
  </si>
  <si>
    <t>80017</t>
  </si>
  <si>
    <t>04401</t>
  </si>
  <si>
    <t>69122</t>
  </si>
  <si>
    <t>Deuel</t>
  </si>
  <si>
    <t>08104</t>
  </si>
  <si>
    <t>45822</t>
  </si>
  <si>
    <t>74733</t>
  </si>
  <si>
    <t>Bryan</t>
  </si>
  <si>
    <t>55421</t>
  </si>
  <si>
    <t>43204</t>
  </si>
  <si>
    <t>78415</t>
  </si>
  <si>
    <t>30157</t>
  </si>
  <si>
    <t>Paulding</t>
  </si>
  <si>
    <t>88030</t>
  </si>
  <si>
    <t>Luna</t>
  </si>
  <si>
    <t>63033</t>
  </si>
  <si>
    <t>92337</t>
  </si>
  <si>
    <t>92336</t>
  </si>
  <si>
    <t>65681</t>
  </si>
  <si>
    <t>89169</t>
  </si>
  <si>
    <t>68507</t>
  </si>
  <si>
    <t>85215</t>
  </si>
  <si>
    <t>33139</t>
  </si>
  <si>
    <t>54956</t>
  </si>
  <si>
    <t>65721</t>
  </si>
  <si>
    <t>30268</t>
  </si>
  <si>
    <t>Coweta</t>
  </si>
  <si>
    <t>95969</t>
  </si>
  <si>
    <t>15211</t>
  </si>
  <si>
    <t>78073</t>
  </si>
  <si>
    <t>94124</t>
  </si>
  <si>
    <t>75159</t>
  </si>
  <si>
    <t>65803</t>
  </si>
  <si>
    <t>64490</t>
  </si>
  <si>
    <t>29801</t>
  </si>
  <si>
    <t>80601</t>
  </si>
  <si>
    <t>95928</t>
  </si>
  <si>
    <t>83612</t>
  </si>
  <si>
    <t>30721</t>
  </si>
  <si>
    <t>Whitfield</t>
  </si>
  <si>
    <t>59725</t>
  </si>
  <si>
    <t>Beaverhead</t>
  </si>
  <si>
    <t>31307</t>
  </si>
  <si>
    <t>95501</t>
  </si>
  <si>
    <t>74650</t>
  </si>
  <si>
    <t>Pawnee</t>
  </si>
  <si>
    <t>55350</t>
  </si>
  <si>
    <t>McLeod</t>
  </si>
  <si>
    <t>91752</t>
  </si>
  <si>
    <t>63123</t>
  </si>
  <si>
    <t>St .Louis</t>
  </si>
  <si>
    <t>78045</t>
  </si>
  <si>
    <t>91325</t>
  </si>
  <si>
    <t>71351</t>
  </si>
  <si>
    <t>Avoyelles</t>
  </si>
  <si>
    <t>26505</t>
  </si>
  <si>
    <t>26412</t>
  </si>
  <si>
    <t>95124</t>
  </si>
  <si>
    <t>28390</t>
  </si>
  <si>
    <t>94086</t>
  </si>
  <si>
    <t>38382</t>
  </si>
  <si>
    <t>28170</t>
  </si>
  <si>
    <t>76087</t>
  </si>
  <si>
    <t>97116</t>
  </si>
  <si>
    <t>19125</t>
  </si>
  <si>
    <t>Philadephia</t>
  </si>
  <si>
    <t>92106</t>
  </si>
  <si>
    <t>30175</t>
  </si>
  <si>
    <t>43701</t>
  </si>
  <si>
    <t>Muskingum</t>
  </si>
  <si>
    <t>St. Landry Parish Sheriff's Office, Opelousas Police Department, Port Barre Police Department, Louisiana State Police, Melville Police Department</t>
  </si>
  <si>
    <t>New York State Police</t>
  </si>
  <si>
    <t>Newark, CA Police Department</t>
  </si>
  <si>
    <t>http://media.click2houston.com/photo/2016/03/19/Dead%20robbery%20suspects_1458423645937_2427816_ver1.0_320_180.PNG</t>
  </si>
  <si>
    <t>Police said they shot and killed Johnson and his father, Matthew Wood Jr, while the two were aiming their guns across a street. The officers encountered the men during a patrol. Investigators said they believed the pair were about to begin shooting when police arrived. This narrative is heavily disputed by community members.</t>
  </si>
  <si>
    <t>http://www.baltimoresun.com/news/maryland/crime/bs-md-ci-police-shooting-20160331-story.html</t>
  </si>
  <si>
    <t>400 E Lanvale St</t>
  </si>
  <si>
    <t>Kimani Johnson</t>
  </si>
  <si>
    <t>https://pbs.twimg.com/media/Ce-ITlqWIAAV0pR.jpg</t>
  </si>
  <si>
    <t>Matthew Wood</t>
  </si>
  <si>
    <t>Brown allegedly shot and killed trooper Chad Dermyer when Dermyer approached Brown during a training exercise at a Greyhound bus station, police said. Other troopers shot back and killed Brown. Authorities said two more people were injured during the exchange of gunfire.</t>
  </si>
  <si>
    <t>2910 N Boulevard</t>
  </si>
  <si>
    <t>http://www.richmond.com/news/local/crime/article_6cd552f0-42fb-5215-ab7e-889230399faf.html</t>
  </si>
  <si>
    <t>http://media3.s-nbcnews.com/j/newscms/2016_13/1481211/160401-james-brown-iii-mdl_5892f8b77ad942f7fafce012f706d595.nbcnews-fp-360-360.jpg</t>
  </si>
  <si>
    <t>Lionel Waters</t>
  </si>
  <si>
    <t>Max Gracia</t>
  </si>
  <si>
    <t>Eugene McSwain</t>
  </si>
  <si>
    <t>https://interactive.guim.co.uk/2015/the-counted/images/yellow/james-strong-453.jpg</t>
  </si>
  <si>
    <t>Waters was shocked with a Taser after he brandished a gun at state troopers who were searching for someone else, according to authorities. Waters went into cardiac arrest and spent about 20 days in hospital before dying.</t>
  </si>
  <si>
    <t>http://www.delawareonline.com/story/news/crime/2015/12/24/man-gun-confronts-state-troopers/77890030/</t>
  </si>
  <si>
    <t>Harrington</t>
  </si>
  <si>
    <t>https://interactive.guim.co.uk/2015/the-counted/images/yellow/lionel-waters-1164.jpg</t>
  </si>
  <si>
    <t>Gracia died after multiple police dog bites on his thigh and leg became infected, according to a medical examiner. The dog bit him while Gracia was resisting arrest, police said, and Gracia died several days later in the Orange County jail. Gracia was arrested after allegedy robbing a convenience store at gunpoint.</t>
  </si>
  <si>
    <t>http://www.orlandosentinel.com/news/breaking-news/os-max-gracia-autopsy-police-dog-bite-20151118-story.html</t>
  </si>
  <si>
    <t>3530 W Robinson St</t>
  </si>
  <si>
    <t>http://mediaweb.wftv.com/photo/2016/01/21/Family%20demanding%20answers%20after%20man%20dies%20in%20Orange%20County%20_11689676_1453402088337_532692_ver1.0_1280_720.jpg</t>
  </si>
  <si>
    <t>10600 S Cottage Grove Ave</t>
  </si>
  <si>
    <t>McSwain allegedly pointed a gun at police officers when they approached the car. An officer then shot McSwain in the head and he died the next day. Officers had tried to stop the vehicle McSwain was riding in after they learned someone inside was a wanted suspect.</t>
  </si>
  <si>
    <t>http://chicago.suntimes.com/news/7/71/770838/man-shot-friday-chicago-police-dies</t>
  </si>
  <si>
    <t>Dallas, NC Police Department</t>
  </si>
  <si>
    <t>Cincinnati Polce Department</t>
  </si>
  <si>
    <t>Police were investigating a series of robberies. Seals was one of the suspects, and he was shot and killed after leaving a Walgreens that he allegedly had robbed. Police said he pointed a gun at them.</t>
  </si>
  <si>
    <t>Police say they initially went to the hotel on a drug complaint. After entering the lobby, officers confronted three people and a scuffle began with one of them. The person in scuffle was in possession of a handgun and fired it. He was shot and killed.</t>
  </si>
  <si>
    <t>Authorities say Kelley and his 60-year-old father were drinking alcohol in a busway gazebo in Wilkinsburg when they fought with officers. Zappala says officers had already tried to stun Kelley at least six times, with no effect, when they released the police dog. Zappala says Kelley stabbed the German shepherd and then was shot at 10 times by one officer and two times by another officer.</t>
  </si>
  <si>
    <t>Investigators said Peter Gaines, 35, was damaging a traffic sign Saturday afternoon at the intersection of Eastex Freeway and Collingsworth when an officer tried to stop him. HPD said its possible Gaines was on PCP. Police said the officer walked up to Gaines, asking him to calm down, but the man wouldn't stay back. The officer used a Taser twice to stop him before pulling out his gun and shooting, police said. Investigators said Gaines had no weapon, and the officer involved was unharmed.</t>
  </si>
  <si>
    <t>http://www.click2houston.com/news/officer-involved-shooting-in-northeast-houston</t>
  </si>
  <si>
    <t>Unjustified, Officer fired</t>
  </si>
  <si>
    <t>Police responded to a call regarding an armed robbery. Police say they tried to question Silva, who matched the description, and he ran, pointing a gun--later found to be a BB gun. He was shot and killed.</t>
  </si>
  <si>
    <t>Police responded to a report of a suspicious person. An officer attempted to stop John, who police say led the officer on a brief foot pursuit and then a struggle. During the struggle, John did not comply with the officer's commands and produced a BB gun, according to police. He was shot and killed.</t>
  </si>
  <si>
    <t>A MPD cruiser attempted to make a routine traffic stop when the gold Chevrolet Impala took off. Police initially chased the vehicle, but pulled back when the suspects began driving recklessly. The Impala crashed in front of Saint Andrews AME Church on South Parkway. The suspects then left their vehicles and ran from the officers, resulting in a chase on foot. That is when one of the two suspects opened fire. The two MPD officers both fired shots at the suspects, killing one.</t>
  </si>
  <si>
    <t>Deputies were serving a narcotics search warrant when the shooting happened, killing Senegal and a dog inside the house, Anderson said. The house is under investigation for illegal drug activity. This description depends entirely on the police narrative.</t>
  </si>
  <si>
    <t>Officers were called to the house by a woman who said Allen was having a mental episode that included hallucinations. Police said the officer shot and killed Allen as he struggled with a woman believed to be his girlfriend or fiancee over a rifle. His girlfriend insists Allen was not a threat, was instructing him to put down the rifle when he was shot.</t>
  </si>
  <si>
    <t>Police responding to complaints from neighbors about possible drug sales spotted the woman carrying a sawed-off shotgun, who ran from them, Friday night. An officer told her several times to drop the weapon, but she refused, and the officer shot her shortly after 8:30 p.m., officials said.</t>
  </si>
  <si>
    <t>Jesse Juarez</t>
  </si>
  <si>
    <t>Lockhart</t>
  </si>
  <si>
    <t>http://kxan.com/2016/04/01/lockhart-police-investigating-shooting-behind-a-dairy-queen/</t>
  </si>
  <si>
    <t>Cameron Gover</t>
  </si>
  <si>
    <t>http://www.gannett-cdn.com/-mm-/8334042135d7f679c06190b7cdf533ced74a407e/c=15-0-465-600&amp;r=537&amp;c=0-0-534-712/local/-/media/2016/04/03/INGroup/Indianapolis/635952800856209802-glover.jpg</t>
  </si>
  <si>
    <t>4645 W 38th St</t>
  </si>
  <si>
    <t>www.indystar.com/story/news/crime/2016/04/03/suspect-shot-killed-police-mcdonalds-robbbery/82579924/</t>
  </si>
  <si>
    <t>Joel Fabela</t>
  </si>
  <si>
    <t>https://blackopswiki.s3.amazonaws.com/uploads/article/avatar/1216/large_avatar_joel-fabela-2016268.jpg</t>
  </si>
  <si>
    <t>3001 E Business Loop 20</t>
  </si>
  <si>
    <t>Odessa Police Department</t>
  </si>
  <si>
    <t>Police were trying to arrest Jody Threadgill at a Quality Inn &amp; Suites. Fabela allegedly grabbed a gun and pointed it at police officers during a fight. Threadgill escaped.</t>
  </si>
  <si>
    <t>http://www.newswest9.com/story/31628475/man-killed-in-odessa-shooting-identified</t>
  </si>
  <si>
    <t>http://kxan.com/2016/04/04/injured-apd-officer-identified-suspect-still-not-named/</t>
  </si>
  <si>
    <t>A man was seen breaking into cars in the Austin City Lofts parking garage by private security, who was assisted by an APD cop on patrol in the area. As the officer attempted to restrain the suspect, the private security guard sees a gun, yells "Gun!" and the suspect fires a round at the officer, who returned fire and killed Martin.</t>
  </si>
  <si>
    <t>2611 W Moholt Dr</t>
  </si>
  <si>
    <t>Eau Claire</t>
  </si>
  <si>
    <t>Eau Claire County Sheriff's Office</t>
  </si>
  <si>
    <t>According to police, a deputy was conducting a traffic stop in a parking lot of Hope Gospel Mission. During the stop, it was discovered Mack was wanted on two federal parole and probation warrants. He became confrontational when the deputy tried to take him into custody and was armed with an "electronic device." As the deputy tried to move away from the subject, the suspect continued to be confrontational and threatened the deputy. This prompted the deputy to shoot and kill him.</t>
  </si>
  <si>
    <t>http://www.kare11.com/news/local/1-dead-in-officer-involved-shooting-in-eau-claire/117777883</t>
  </si>
  <si>
    <t>Melissa Boarts</t>
  </si>
  <si>
    <t>http://www.al.com/news/index.ssf/2016/04/i_had_no_idea_they_would_kill.html#incart_article_small</t>
  </si>
  <si>
    <t>Notasulga</t>
  </si>
  <si>
    <t>Police received a call about a possibly suicidal woman with a history of mental illness, threatening to hurt herself with a pocket knife. They made visual contact with her on the Interstate moving south toward Auburn and pulled her over when she exited on Red Creek Road. The woman allegedly got out of her car and charged at officers, who opened fire, killing her at the scene.</t>
  </si>
  <si>
    <t>http://www.al.com/news/index.ssf/2016/04/woman_shot_to_death_by_auburn.html</t>
  </si>
  <si>
    <t>http://stmedia.stimg.co/heraldes-111.JPG?w=525</t>
  </si>
  <si>
    <t>Responding to an early morning call, police encountered Marquez Heraldes in a foyer armed with a knife. He lunged at them with the knife and escaped to the bathroom of an apartment. After attempting to contact the man, officers heard screams for help, forced their way inside and found Heraldes stabbing a man. They opened fire, killing him.</t>
  </si>
  <si>
    <t>http://www.startribune.com/bca-man-killed-by-police-while-stabbing-another-man-had-lunged-at-officers/374933131/</t>
  </si>
  <si>
    <t>Cesar Frias</t>
  </si>
  <si>
    <t>Officers made contact with the subject, known to be possibly mentally ill and armed with a kitchen knife. They attempted to subdue him with a Taser and a beanbag gun but the subject escaped into a nearby house. Officers fired gas shells into the home and the man walked out. They attempted to subdue him again with a Taser and bean bag gun but the man ran into the backyard of the house. Attempting to subdue him, the man allegedly attacked an officer with his knife. The officer fired his gun and the subject died later that night at a nearby hospital.</t>
  </si>
  <si>
    <t>http://www.latimes.com/local/lanow/la-me-ln-man-shot-police-sylmar-identified-20160408-story.html</t>
  </si>
  <si>
    <t>Kevin Hicks</t>
  </si>
  <si>
    <t>http://www.gannett-cdn.com/-mm-/a3c9f2592a8a8a98de861d14eb08b7123f78d12a/c=24-0-407-288&amp;r=x404&amp;c=534x401/local/-/media/2016/04/06/INGroup/Indianapolis/635955375128443585-10thRural.jpg</t>
  </si>
  <si>
    <t>1001 N Rural St</t>
  </si>
  <si>
    <t>http://www.indystar.com/story/news/crime/2016/04/05/police-investigate-officer-involved-shooting-east-side/82682546/</t>
  </si>
  <si>
    <t>Peter Doherty</t>
  </si>
  <si>
    <t>http://image.masslive.com/home/mass-media/width960/img/breakingnews/photo/2016/04/06/dohertyjpg-c3cc6f32f8021c32.jpg</t>
  </si>
  <si>
    <t>West Springfield</t>
  </si>
  <si>
    <t>Neighbors called police to report cries of help during an alleged domestic situation. Upon arrival, the suspect, who had just allegedly stabbed his wife to death, charged them with a knife. They killed him at the scene.</t>
  </si>
  <si>
    <t>http://www.masslive.com/news/index.ssf/2016/04/peter_doherty_shot_by_west_spr.html</t>
  </si>
  <si>
    <t>Laronda Sweatt</t>
  </si>
  <si>
    <t>Gallatin Police Department (officer did the shooting) Sumner County Sheriff's Department (attacked with ax)</t>
  </si>
  <si>
    <t>http://www.tennessean.com/story/news/local/sumner/gallatin/2016/04/07/gallatin-police-release-graphic-video-officer-shooting-woman-ax/82764688/</t>
  </si>
  <si>
    <t>Lance McIntire</t>
  </si>
  <si>
    <t>http://www.omaha.com/news/crime/police-identify-man-shot-dead-by-officer-in-south-omaha/article_976e1aee-fd07-11e5-86b8-8f1d6e6f9f14.html?mode=image&amp;photo=1</t>
  </si>
  <si>
    <t>http://www.omaha.com/news/crime/police-identify-known-suspect-shot-dead-by-officer-in-south/article_976e1aee-fd07-11e5-86b8-8f1d6e6f9f14.html</t>
  </si>
  <si>
    <t>Luis Gongora</t>
  </si>
  <si>
    <t>A homeless outreach team of the police department was called about a homeless man allegedly wielding a knife. They tried to subdue him with beanbag shots. Gongora allegedly got up and charged at police, who opened fire and killed him at the scene.</t>
  </si>
  <si>
    <t>http://patch.com/california/san-francisco/alleged-knife-wielding-homeless-man-shot-police-identified-0</t>
  </si>
  <si>
    <t>Dazion Flenaugh</t>
  </si>
  <si>
    <t>http://www.sacbee.com/news/local/crime/article70938582.html</t>
  </si>
  <si>
    <t>Lamont Gulley</t>
  </si>
  <si>
    <t>https://lintvwood.files.wordpress.com/2016/04/lamont-gulley-copy.png?w=650</t>
  </si>
  <si>
    <t>Edington Dr. and Breton Rd.</t>
  </si>
  <si>
    <t>http://www.freep.com/story/news/local/michigan/2016/04/09/domestic-dispute-kentwood-michigan/82829620/</t>
  </si>
  <si>
    <t>Police responded to a disturbance call at a Wal-Mart where a developmentally disabled woman (shopping with chaperones) had allegedly "armed herself with a hatchet in the sporting goods department" and refused police commands to drop the weapon. Instead, she allegedly lunged toward an officer and was shot twice, dying later at nearby hospital.</t>
  </si>
  <si>
    <t>http://www.jsonline.com/news/crime/developmentally-disabled-woman-fatally-shot-by-police-at-wal-mart-b99703419z1-375141081.html</t>
  </si>
  <si>
    <t>Diahlo Grant</t>
  </si>
  <si>
    <t>http://media.nj.com/njcom_photos/photo/2016/04/11/diahlo-grant-264448a83f4a75fb.jpeg</t>
  </si>
  <si>
    <t>Somerset St &amp; Home St</t>
  </si>
  <si>
    <t>New Brunswick</t>
  </si>
  <si>
    <t>Franklin Township Police Department</t>
  </si>
  <si>
    <t>Grant was pursued by two Franklin Township police officers after an encounter on Somerset and Home Streets, officials said. The officers followed Grant across the town border on Somerset into New Brunswick where an exchange of gunfire and Grant was killed, according to police. Details are scant.</t>
  </si>
  <si>
    <t>http://www.nj.com/middlesex/index.ssf/2016/04/police_shoot_kill_man_in_new_brunswick.html</t>
  </si>
  <si>
    <t>Quron Williams</t>
  </si>
  <si>
    <t>Police say off-duty officer, Erik Bullock, intervened when he saw the armed suspect robbing an elderly citizen. After identifying himself as police, the officer ordered the suspect to drop his weapon. The alleged robber then pointed a gun at the officer who fired his weapon, police say. He fled on foot with the officer in pursuit. Police say during the foot chase, the suspect fired his gun at the officer, and the officer shot and killed him.</t>
  </si>
  <si>
    <t>http://6abc.com/news/off-duty-police-officer-shoots-robbery-suspect-in-olney-/1284067/</t>
  </si>
  <si>
    <t>An off-duty Memphis Police Department officer shot and killed acquaintance's ex-husband during child visitation exchange.</t>
  </si>
  <si>
    <t>http://www.fatalencounters.org/wp-content/uploads/2013/10/LuisSoto.png</t>
  </si>
  <si>
    <t>Rotterdam</t>
  </si>
  <si>
    <t>Rotterdam Police Department</t>
  </si>
  <si>
    <t>Police responded to a mother's call regarding her son, a former Marine, who was having an emotional crisis. Police came in, and Clark attacked them with a knife. They tried less-lethal means, but ultimately shot and killed him.</t>
  </si>
  <si>
    <t>http://www.twcnews.com/nys/capital-region/news/2016/04/13/rotterdam-officer-involved-fatal-shooting.html</t>
  </si>
  <si>
    <t>Efren Trujillo</t>
  </si>
  <si>
    <t>Police responded to reports of a shooting. They found a man suffering from apparent gunshot wounds. While helping the victim, bystanders pointed out the possible suspect in the shooting, police said. As officers approached Trujillo, he started to run and officers pursued him. Trujillo fired several rounds at the officers, and the officers shot and killed him.</t>
  </si>
  <si>
    <t>http://www.lasvegasnow.com/news/police-id-man-killed-in-officer-involved-shooting</t>
  </si>
  <si>
    <t>Pierre Loury</t>
  </si>
  <si>
    <t>https://assets.dnainfo.com/generated/chicago_photo/2016/04/pierre-loury-1460494466.jpg/larger.jpg</t>
  </si>
  <si>
    <t>https://www.dnainfo.com/chicago/20160412/north-lawndale/police-shootout-leaves-person-dead-north-lawndale</t>
  </si>
  <si>
    <t>Joshua Moreno</t>
  </si>
  <si>
    <t>Benton fled a burglary with stolen guns. He crashed a car, carjacked a second car, and after shooting at police, was shot and killed.</t>
  </si>
  <si>
    <t>http://www.wsiltv.com/story/31708416/isp-suspect-in-chase-killed-by-officers-shots</t>
  </si>
  <si>
    <t>Rodney Watts</t>
  </si>
  <si>
    <t>West Lane and Knickerbocker Drive</t>
  </si>
  <si>
    <t>http://sacramento.cbslocal.com/2016/04/13/stockton-police-kill-carjacking-suspect/</t>
  </si>
  <si>
    <t>Edson Thevenin</t>
  </si>
  <si>
    <t>Kisha Arrone</t>
  </si>
  <si>
    <t>Richard Bard Jr.</t>
  </si>
  <si>
    <t>S East Ave and Almond St</t>
  </si>
  <si>
    <t>Bard and another man allegedly robbed someone at gunpoint. Bard was killed in an exchange of gunfire with pursuing officers, authorities said.</t>
  </si>
  <si>
    <t>Arrone was armed and had allegedly threatened to kill her partner. Police stopped her while she was driving and shot her when she got out of the car and fired the gun into the air while walking toward a group of people, authorities said.</t>
  </si>
  <si>
    <t>3100 Wexford Pl</t>
  </si>
  <si>
    <t>Police shot and killed Thevenin when he drove his car toward an officer, trapping the officer between his car and the officer's, according to authorities. The officer began pursuing Thevenin after a traffic stop during which Thevenin allegedly tried to run over the officer before driving away.</t>
  </si>
  <si>
    <t>6th Ave</t>
  </si>
  <si>
    <t>Police patrolling in a high-crime area pursued Watts and two others after they took off running when a police car approached, authorities said. After being pursued by police, Watts attempted to carjack a nearby woman's vehicle to get away. He was shot while attempting the carjacking.</t>
  </si>
  <si>
    <t>Officers on patrol were trying to pull over a car they thought had been involved in a shooting when someone jumped out of the car and ran, according to police. A brief chase led to an "armed encounter" between the person and the officer, and it ended with the officer shooting and killing the teen as he tried to climb a fence to safety.</t>
  </si>
  <si>
    <t>Gulley allegedly stabbed and killed his girlfriend. Officials said he fled and encountered police nearby. Police shot Gulley when he made threatening movements toward officers while still armed with a knife, authorities said.</t>
  </si>
  <si>
    <t>Police said they stopped Flenaugh and detained him in the back of a patrol car after receiving reports of 'suspicious activity'. Authorities said Flenaugh was thrashing and kicking in the back of the car, and that when the officers stopped to try and secure him, he ran away. Flenaugh then allegedly broke into a home and armed himself with kitchen knives before threatening a woman, who then escaped. Flenaugh had fled and hid behind a nearby car when officers confronted him. Officers said they shot him when he 'verbally challenged' them.</t>
  </si>
  <si>
    <t>Sweatt was shot after she allegedly injured a sheriff's deputy who had arrived at her home to serve her with an eviction notice. Body camera footage shows an officer shooting Sweatt as she approaches with an ax.</t>
  </si>
  <si>
    <t>Hicks was shot by an officer during a physical struggle at a gas station, according to authorities. The officer was responding to a call from Hicks's wife alleging that Hicks was hitting her. A witness reportedly claimed the officer started the struggle by striking Hicks first while handcuffing him. Authorities later said the officer tried to use a Taser on Hicks but that the weapon was knocked from his hand. The officer was treated for a bite to a hand and was being monitored for a possible concussion.</t>
  </si>
  <si>
    <t>Police said Glover and a second man were carrying out an armed robbery of a McDonald's restaurant. Officers were called and confronted the men. Glover was shot when he refused to cooperate, according to authorities. The second man, Briscoe Jones, was arrested. Jones was charged with robbery and felony murder, because Glover was killed during the robbery.</t>
  </si>
  <si>
    <t>Police said Beaty threatened a man with a toy gun when they shot and killed her.</t>
  </si>
  <si>
    <t>Ruben Cossyleon</t>
  </si>
  <si>
    <t>David Alma Giles</t>
  </si>
  <si>
    <t>Denise Fairchild</t>
  </si>
  <si>
    <t>Fairchild was armed and reportedly threatening to kill herself. She was shot and killed at the end of a standoff during which she fired at officers more than once, police said.</t>
  </si>
  <si>
    <t>340th Ave and Highway 210</t>
  </si>
  <si>
    <t>http://www.kare11.com/news/local/woman-killed-in-officer-involved-shooting-in-aitken-co/110336090</t>
  </si>
  <si>
    <t>Idaho Falls</t>
  </si>
  <si>
    <t>3100 Channing Way</t>
  </si>
  <si>
    <t>http://www.localnews8.com/news/new-details-in-officer-involved-shooting-death-near-eirmc/38641436</t>
  </si>
  <si>
    <t>Ruben Cossyleon, a 25-year-old man armed with a gun, was shot on March 30, 2016, in Glendale, Ariz. Phoenix police were responding to a report of a fight. When officers found the suspect's vehicle, a man began shooting at police. When officer's returned fire, they shot and killed another man, Cossyleon, who was also involved in the disturbance.</t>
  </si>
  <si>
    <t>http://www.abc15.com/news/region-west-valley/glendale/officer-involved-shooting-victim-has-died-suspect-to-be-charged-with-murder</t>
  </si>
  <si>
    <t>77th Avenue and Bethany Home Road</t>
  </si>
  <si>
    <t>Officers said they received a call of a suspicious vehicle stopped. Marquintan Sandlin was a passenger in a car stopped at an intersection. Inglewood police approached the car and noticed that the woman who was driving had a gun. Officers shot and killed Sandlin and the woman, Kisha Michael.</t>
  </si>
  <si>
    <t>Che Taylor, a 46-year-old black man armed with a gun, was shot on Feb. 21, 2016, on a street in Seattle, Wash. Seattle police were investigating a suspicious vehicle when they encountered an armed man nearby. Taylor refused to drop his gun</t>
  </si>
  <si>
    <t>Officers said they received a call of a suspicious vehicle stopped. Inglewood police approached the car and noticed that the woman who was driving, Kisha, had a gun. Officers shot and killed Kisha Michael and her passenger, Marquintan Sandlin.</t>
  </si>
  <si>
    <t>Nageak allegedly pointed a shotgun at police before one officer shot back, killing him, according to authorities. Someone had called police to report that Nageak was armed with a gun in a domestic disturbance.</t>
  </si>
  <si>
    <t>Deerman was reportedly driving a stolen car and led police on a vehicle pursuit before he crashed. He fired a gun at officers when he got out of the car and officers returned fire and killed him, police said.</t>
  </si>
  <si>
    <t>Rendon shot and wounded his brother-in-law before firing shots at a police helicopter, according to authorities. Officers said they fatally shot him after he refused to drop his gun.</t>
  </si>
  <si>
    <t>Officers fatally shot Jose when he got out of a car with a gun, according to authorities. Police said the vehicle was stolen.</t>
  </si>
  <si>
    <t>An unidentified person, a man driving a vehicle, was shot on Jan. 11, 2016, in San Fernando, Calif. San Fernando officers shot the man after he rammed his car into a patrol car and led police on a short chase.</t>
  </si>
  <si>
    <t>Police say officers responded to a domestic disturbance call. Once on scene, officers spoke to Sunny Chin, 53, who they say refused to cooperate and pointed a handgun at them, misfired, and when back into the house. Later, Chin came out of the house and onto his carport, with a gun tucked into a towel around his waist. Officers approached the suspect while carrying a shield, and ordered him to keep his hands visible and not fire on them. Chin then reportedly reached for the weapon at his waist and fired one shot, which hit the shield. Officers then shot and killed Chin.</t>
  </si>
  <si>
    <t>State Trooper Jacob Fields tried to pull Rodriguez over, but he refused to stop. Several other troopers joined the chase over the next 10 miles. As they neared Delk Road, the troopers tried to box Rodriguez in. He crashed into another car and disabled his own truck, police said. When Rodriguez jumped out, the shootout began. Fields was injured, Rodriguez was killed.</t>
  </si>
  <si>
    <t>According to Capt. Stryde Jones of the Lowndes County Sheriff's Office, the officer involved shooting came after the Hahira Police Department reported an armed robbery at Harvey's grocery store in Hahira and authorities began searching for the suspect. There were no injuries at the time of the armed robbery. The search led to an encounter with an armed suspect at the Pilot station, where Redmond was shot and killed after he pointed a gun at officers and his female accomplice was arrested.</t>
  </si>
  <si>
    <t>Police say they were arresting Denkins on a warrant when he began running away. Officer D.C. Twiddy, according to County District Attorney Lorrin Freeman's report, pursued Denkins and tackled him. At that point, Twiddy said he shot Denkins as he "attempted to reach into his waistband for a handgun." Twiddy fired twice at Denkins “because he was in fear of his life,” the report said. Whether Denkins had a gun, and whether he reached for it, is in dispute. A forensic pathologist found that Denkins was shot in the back.</t>
  </si>
  <si>
    <t>Dearborn police were called to Fairlane Mall because the woman was causing "a disturbance." Upon arrival, security guards told the officers she nearly hit two security guards with her vehicle, one on foot and another in a security vehicle. Police tried to stop the woman but she fled the mall parking lot and became stuck in traffic, according to Shaw. When Traffic cleared, two police vehicles closed in and tried to stop her, but she attempted to flee again, allegedly coming close to hitting one of the officers as she fled. She was shot and killed.</t>
  </si>
  <si>
    <t>About 8 p.m., a woman called law enforcement reporting a man firing a rifle during a domestic disturbance. Three deputies were dispatched, and around 20 minutes after their arrival Graham came out the front entrance of the residence and fired a shot at the deputies, police said. Deputies shot and killed Graham.</t>
  </si>
  <si>
    <t>A deputy US marshal was searching for a suspect in a 2014 homicide when he noticed Camacho-Alvarado carrying a gun, state police said. New Mexico is an open carry state, so carrying a gun in public is not a crime. However, the deputy chased Camacho-Alvarado when he fled and shot him after he allegedly pointed his gun at the deputy, according to investigators.</t>
  </si>
  <si>
    <t>Conti and three teenagers were allegedly involved in a carjacking. When a deputy approached the group several hours later, Conti opened fired and the deputy shot back, according to authorities. In the exchange of gunfire, Conti was killed and the deputy and one other person were wounded.</t>
  </si>
  <si>
    <t>Two officers were trying to arrest Ferry on a felony warrant when Ferry fatally shot one of them, police said. The second officer shot back, killing Ferry.</t>
  </si>
  <si>
    <t>Residents called Beaverton police to say Karjalainen was in the neighborhood and wanted him gone. Although he didn't commit any crimes there, and police had already left, they returned after learning there was a warrant for Karjalainen's arrest based on a parole violation. Karjalainen allegedly had a replica gun when police returned, police said. They told him to drop the replica gun repeatedly, but he kept moving toward the officers, and he was shot and killed.</t>
  </si>
  <si>
    <t>Dugger was said to have been wanted on federal charges for abduction by force of a female victim, and armed burglary with intent to commit murder, rape, robbery, or arson. He was killed and an officer was injured in an exchange of gunfire, investigators said.</t>
  </si>
  <si>
    <t>Leroy allegedly killed a man during a robbery and was trying to carjack another man when US Border Patrol agents arrived, police said. He ignored the agents' commands to drop his gun and instead pointed it toward an agent, at which point another agent killed him.</t>
  </si>
  <si>
    <t>Brown allegedly attacked several people and two police officers. Officers shocked him twice with a Taser before fatally shooting him, according to police.</t>
  </si>
  <si>
    <t>A deputy stopped to question Nelson, who had run away upon seeing the patrol car, authorities said. While they were speaking, Nelson allegedly attacked the deputy before getting into the driver's seat of the patrol car. Officials said the deputy jumped onto the running board of the car and tried unsuccessfully to subdue Nelson with a stun gun. The deputy shot Nelson after he struck another vehicle while driving the patrol car.</t>
  </si>
  <si>
    <t>An officer shot Homer after she pointed a gun at police, authorities said. She had previously fired gunshots near an apartment complex and called police multiple times to say she had shot several people, according to investigators. She allegedly pointed her gun at herself before directing it toward officers.</t>
  </si>
  <si>
    <t>After responding to a welfare check, police discovered a man had barricaded himself inside a duplex. The man started making threats about harming his family and police. He fired shots throughout the night. Police said the man was shot dead by SWAT team members, after firing random shots at responding officers, according to police.</t>
  </si>
  <si>
    <t>Wilson reportedly fired a gun inside his house, prompting his sister to call police. Officers negotiated with Wilson throughout an hours-long standoff during which he threatened to hurt himself, authorities said. Police shot Wilson after he left his house and pointed a gun at himself and then at officers.</t>
  </si>
  <si>
    <t>Officials said Alachadzhyan initially called police to request help and asked for a ride. When the officers dropped him off, Alachadzhyan reportedly got into the driver's seat and led police on a car chase while driving the cruiser. Officers shot him at the end of the pursuit, authorities said.</t>
  </si>
  <si>
    <t>A Swat team responded to a 911 call from Pape's father, who said he was armed and suicidal. Officers said they shot Pape after a negotiation. Investigators later said that Pape was carrying a BB gun purchased hours before he was killed.</t>
  </si>
  <si>
    <t>Corcino reportedly threatened to shoot three construction workers near his home. Police said an officer shot him after a two-hour standoff when Corcino left his home with a gun. His girlfriend said Corcino was an army veteran with mental health issues, including PTSD.</t>
  </si>
  <si>
    <t>Moore was shot when he got out of his truck, which was parked on the hard shoulder of a highway, and raised a rifle towards officers, according to authorities. Officers were responding to a report that Moore was sitting in the truck with the rifle pointing out of a window. Deputies said they tried talking to Moore through a loudspeaker for half an hour before he was shot.</t>
  </si>
  <si>
    <t>Police said Alvarado forcibly stole two cars, led officers on a car chase and was trying to steal a third car when officers shot him. Alvarado also allegedly shot someone earlier in the day, according to authorities.</t>
  </si>
  <si>
    <t>Bosell stole a gun from a relative and was killed when he approached an officer 'aggressively' with the gun in hand, police said. The gun wasn't loaded.</t>
  </si>
  <si>
    <t>Gorinski had stolen an assault rifle and violated a protection order by threatening his parents hours after getting out of jail, police said. Authorities said Gorinski was shot when he refused to drop a rifle he was carrying while trying to carjack a woman.</t>
  </si>
  <si>
    <t>Police were investigating an active shooter situation. Police say Hicks shot someone and then pointed a gun at an officer, prompting him to shoot and kill him.</t>
  </si>
  <si>
    <t>Police responded to a call about a suicidal man, finding him cornered in an alley. He poured flammable liquid on himself before he pointed his gun at law enforcement and was shot and killed.</t>
  </si>
  <si>
    <t>Officers responded to a motel after Meehan allegedly made suicidal comments to a family member who then called police, officials said. When Meehan answered his door he pointed a gun at the officers, one of whom fired after Meehan ignored multiple commands to drop the weapon.</t>
  </si>
  <si>
    <t>Police shot Bean while responding to a report of a fight at an apartment between Bean and a woman, according to authorities. Bean allegedly charged at the officers with a knife.</t>
  </si>
  <si>
    <t>Madison County Sheriff's deputies received a call about a man walking along the Highway 231/431 parkway with a gun in his waistband. Deputies say when they attempted to stop him, the man took off running. Deputies chased after him and cornered the man in the Inspiration Pointe subdivision in Meridianville. He refused to show his hands to a deputy before he was shot, police said.</t>
  </si>
  <si>
    <t>Two guests who were in the motel pool area reported seeing a male subject pointing a rifle out the window of a room several floors above the pool, police said. Officers located the room and began giving commands for the people to come out. A man and a woman came out. The woman was arrested without a struggle. Officers then began giving commands to the man, but he didn't comply. He kept reaching behind him, and he was shot and killed. The gun was apparently a pellet gun he used in his job of pest control.</t>
  </si>
  <si>
    <t>Officers responded to a report of “unknown trouble." The call was subsequently upgraded to a report of a hot-prowl burglary and later to an assault with a deadly weapon. The officers arrived to find a male victim suffering from a stab wound. As they attempted to render aid and called for an ambulance, they were directed to a man who was armed with a knife, police said. He was subsequently shot and killed after "confronting" them.</t>
  </si>
  <si>
    <t>A deputy stopped Hernandez because his car matched the description of a vehicle used in an earlier assault. The deputy shot Hernandez after he 'turned his body and aggressively reached behind his back appearing to retrieve a weapon', officials said. Investigators found a knife near Hernandez.</t>
  </si>
  <si>
    <t>Sisson allegedly held a knife to his boyfriend's throat and fled before officers responded to the area. An officer shot Sisson when he refused to drop the knife and moved toward him, according to authorities.</t>
  </si>
  <si>
    <t>Salazar took his girlfriend hostage in a mobile home and repeatedly threatened to blow it up, police said. A deputy shot Salazar after forcing entry into the home when Salazar lunged with scissors.</t>
  </si>
  <si>
    <t>Andrews attacked and wounded his wife and three children, police said. A responding officer shot and killed Andrews when he approached the officer with a weapon, according to officials.</t>
  </si>
  <si>
    <t>Police said Sheppard was shot and killed by officers after shooting at passing cars on a bridge.</t>
  </si>
  <si>
    <t>When officers tried to arrest Laniado's girlfriend, the pair barricaded themselves inside their home, police said. During negotiations, a Swat team fired teargas into the home, and Laniado left the building holding his girlfriend at knifepoint. Investigators said an officer fatally shot Laniado when he began to move toward officers with a knife and was not stopped by bean bag rounds.</t>
  </si>
  <si>
    <t>Three police arrived at the location after being dispatched to the area for a report of a threatening man armed with a knife. State police said the Johnstown officers said they came in contact with Burkhardt and that he was armed with two knives, one in each hand. State police said the officers told him to drop the knives, but he wouldn't and moved toward the officers. Officers fired bean bag rounds from a shot gun and a Taser at Burkhardt, but he continued to move toward them. That's when police shot and killed him.</t>
  </si>
  <si>
    <t>Grubb and a second man were discovered drunk outside a store in a truck that matched the description of a vehicle involved in a reported DUI. While an officer arrested the passenger, according to authorities, Grubb began driving away. The officer said he jumped on the bed of the truck and fired shots into Grubb's cab when he refused to stop.</t>
  </si>
  <si>
    <t>A deputy was trying to arrest Bearden on outstanding charges when Bearden ran away from the deputy, police said. While running, Bearden allegedly pointed a gun at the deputy who then fatally shot Bearden.</t>
  </si>
  <si>
    <t>Rico Johnson</t>
  </si>
  <si>
    <t>Officers were called to an apartment building to deal with a report of a man shooting a gun. They found Johnson firing from his third-floor balcony. Following a two-hour standoff Johnson was shot when he fired at officers, according to authorities.</t>
  </si>
  <si>
    <t>Greenbelt Police Department</t>
  </si>
  <si>
    <t>6200 Springhill Ct</t>
  </si>
  <si>
    <t>Greenbelt</t>
  </si>
  <si>
    <t>Jorevis Scruggs</t>
  </si>
  <si>
    <t>3200 St Louis Ave</t>
  </si>
  <si>
    <t>Police said Jorevis was fatally shot when he pointed a gun at an officer while trying to flee. He was one of two passengers to leave a vehicle that officers had stopped based on a suspicion that it was stolen in a carjacking the previous day. The medical examiner said Jorevis died from a single shot to the right side of his back.</t>
  </si>
  <si>
    <t>Livingston police responded to a report of a man threatening Shopko Hometown employees that "someone was going to die" if the police were not called to the store, police said. Officers found O'Brien outside of the store and he allegedly threatened them with a knife. Police tried to subdue O'Brien using a Taser, but the attempt was ineffective. O'Brien ran at the officer with a knife, and he was shot and killed.</t>
  </si>
  <si>
    <t>Deputies were called out to a home after Stevenson's girlfriend reported that he had allegedly broken into her apartment and sprayed mace at her and her daughter. Stevenson left before the deputies arrived, but they were able to reach him on the phone when he threatened to jump from a bridge. Law enforcement checked both bridges crossing the Mississippi River in the area and were unable to find Stevenson. Two EBRSO homicide detectives found him and tried to get Stevenson out of his vehicle. Police say the detectives shot and killed Stevenson after he tried to escape by allegedly ramming into them with his vehicle.</t>
  </si>
  <si>
    <t>Barry apparently attacked several people in a restaurant with a machette. After leading police on a short chase, he crashed into a car, and when he got out, he was surrounded by police, who tried to shock him with a Taser, then he was shot and killed.</t>
  </si>
  <si>
    <t>Demetrius Dorsey</t>
  </si>
  <si>
    <t>Dorsey was shot by police following a standoff after allegedly taking two gas station employees hostage at gunpoint. Officers had arrived in response to an alarm indicating the station was being robbed.</t>
  </si>
  <si>
    <t>6400 Mableton Pkwy SW</t>
  </si>
  <si>
    <t>Demarcus Semer</t>
  </si>
  <si>
    <t>Ave G and N 19th St</t>
  </si>
  <si>
    <t>Semer reportedly hit an officer with his car while trying to flee a traffic stop. Police said a second officer was partially trapped in Semer's car while Semer drove away. The officer shot and killed Semer after he got out of the car and started to run away on foot, authorities said.</t>
  </si>
  <si>
    <t>Robert Howard</t>
  </si>
  <si>
    <t>Howard allegedly followed an off-duty detective into a liquor store, pulled out a replica gun and a knife, and tried to rob the detective. The officer fatally shot Howard with his service weapon.</t>
  </si>
  <si>
    <t>1400 W Baltimore St</t>
  </si>
  <si>
    <t>http://www.baltimoresun.com/news/maryland/crime/bs-md-ci-police-shooting-prior-case-20160419-story.html</t>
  </si>
  <si>
    <t>George Tillman</t>
  </si>
  <si>
    <t>116th Ave and 135th St</t>
  </si>
  <si>
    <t>Police shot and killed Tillman when he allegedly reached for a gun in his waistband. Authorities said Tillman ran from officers who approached him while he was holding an open bottle of alcohol and that he ignored officers' commands.</t>
  </si>
  <si>
    <t>http://www.nbcnewyork.com/news/local/NYC-Man-Killed-in-Police-Involved-Shooting-in-Queens-375983101.html</t>
  </si>
  <si>
    <t>Joshua Brooks</t>
  </si>
  <si>
    <t>1300 Hawthorne Dr</t>
  </si>
  <si>
    <t>Chesapeake City</t>
  </si>
  <si>
    <t>Police were serving an emergency custody order at a home when Brooks began firing, hitting and injuring a female relative as she tried to run away, authorities said. Officers said they shot and killed Brooks as he turned toward them.</t>
  </si>
  <si>
    <t>http://pilotonline.com/news/local/crime/man-dies-after-being-shot-by-chesapeake-police/article_ba02f018-d6c5-5964-b061-7456e1cd93f5.html</t>
  </si>
  <si>
    <t>Jerand Ross</t>
  </si>
  <si>
    <t>Riverdale Police Department</t>
  </si>
  <si>
    <t>Police said Officer Barney was helping to serve a no-knock drug-related warrant at an apartment when Jerand Ross ran out the back door shooting a gun, striking Barney several times. Officers on the scene that day shot Ross.</t>
  </si>
  <si>
    <t>6603 Church St</t>
  </si>
  <si>
    <t>Riverdale</t>
  </si>
  <si>
    <t>http://www.killedbypolice.net/16/v/160326.jpg</t>
  </si>
  <si>
    <t>http://www.wsbtv.com/news/local/clayton-county/man-accused-of-shooting-killing-riverdale-police-major-dies/208837823</t>
  </si>
  <si>
    <t>Anadarko</t>
  </si>
  <si>
    <t>Carencro</t>
  </si>
  <si>
    <t>Torrey Lamar Robinson</t>
  </si>
  <si>
    <t>http://www.tbo.com/storyimage/TB/20160319/ARTICLE/160319197/AR/0/AR-160319197.jpg</t>
  </si>
  <si>
    <t>9200 Dresden Lane</t>
  </si>
  <si>
    <t>Port Richey</t>
  </si>
  <si>
    <t>Deputies said Robinson had broken into a home through a window in the 9200 block of Dresden Lane in Port Richey. Robinson sustained multiple lacerations on his arm and began fighting with one of the residents in the home, deputies said. Deputies and Fire Rescue responded and attempted to take Robinson into custody. Robinson was tased "over an 11-minute episode" and then handcuffed, then became unconscious and died.</t>
  </si>
  <si>
    <t>http://www.tbo.com/news/crime/man-who-broke-into-pasco-house-is-tased-then-dies-20160319/</t>
  </si>
  <si>
    <t>Kevin Higgenbotham</t>
  </si>
  <si>
    <t>http://www.killedbypolice.net/16/v/0256.jpg</t>
  </si>
  <si>
    <t>200 Bellevue Avenue</t>
  </si>
  <si>
    <t>Baton, Pepper Spray, Physical Restraint</t>
  </si>
  <si>
    <t>Kevin called police for help to report a trespasser and subsequently was beaten and put into a coma by responding officers. He died months later.</t>
  </si>
  <si>
    <t>http://www.trentonian.com/general-news/20160318/trenton-man-allegedly-beaten-into-coma-by-cops-dies</t>
  </si>
  <si>
    <t>Thomas Lane</t>
  </si>
  <si>
    <t>Thomas Lane was involved in a car accident. Police used a stun gun on him after he allegedly "resisted extraction" from his vehicle.</t>
  </si>
  <si>
    <t>http://www.ctpost.com/local/article/Bridgeport-man-dies-after-highway-crash-stun-gun-6848904.php</t>
  </si>
  <si>
    <t>http://image.nhregister.com/apps/pbcsi.dll/bilde?Site=NH&amp;Date=20160226&amp;Category=NEWS&amp;ArtNo=226009997&amp;Ref=PH&amp;Item=1&amp;NewTbl=1</t>
  </si>
  <si>
    <t>West Haven</t>
  </si>
  <si>
    <t>Sylasone Ackhavong</t>
  </si>
  <si>
    <t>2415 Little Rock Rd</t>
  </si>
  <si>
    <t>Broadway and Chelsea St</t>
  </si>
  <si>
    <t>Everett Police Department</t>
  </si>
  <si>
    <t>Illinois Hwy 37</t>
  </si>
  <si>
    <t>Franklin County Sheriff's Department</t>
  </si>
  <si>
    <t>Arturo Yobani-Torrez Valdez</t>
  </si>
  <si>
    <t>1400 Gabriel Garcia Marquez St</t>
  </si>
  <si>
    <t>Luis Soto</t>
  </si>
  <si>
    <t>1700 Getwell Rd</t>
  </si>
  <si>
    <t>Shotwell St</t>
  </si>
  <si>
    <t>14700 Lakeside St</t>
  </si>
  <si>
    <t>Raul Marquez-Heraldes</t>
  </si>
  <si>
    <t>2100 Minnehaha Ave</t>
  </si>
  <si>
    <t>1000 S Main St</t>
  </si>
  <si>
    <t>NW 2nd St and NW 7th Ave</t>
  </si>
  <si>
    <t>Beltway 8</t>
  </si>
  <si>
    <t>Harris County Constable Precinct 5</t>
  </si>
  <si>
    <t>100 S State St</t>
  </si>
  <si>
    <t>10000 W Spring River St</t>
  </si>
  <si>
    <t>Ada County Sheriff's Office</t>
  </si>
  <si>
    <t>7300 Tennyson St</t>
  </si>
  <si>
    <t>Westminster</t>
  </si>
  <si>
    <t>Westminster Police Department</t>
  </si>
  <si>
    <t>3000 Green Oaks Cir NE</t>
  </si>
  <si>
    <t>480 Wadsworth Blvd</t>
  </si>
  <si>
    <t>Kay Campbell</t>
  </si>
  <si>
    <t>422 E Blue Ridge Rd</t>
  </si>
  <si>
    <t>East Flat Rock</t>
  </si>
  <si>
    <t>Francis Dufore</t>
  </si>
  <si>
    <t>SW 180th Ave</t>
  </si>
  <si>
    <t>Jackie Kirkham</t>
  </si>
  <si>
    <t>1542 Arkansas Hwy 9</t>
  </si>
  <si>
    <t>Perryville</t>
  </si>
  <si>
    <t>Eric Wilson</t>
  </si>
  <si>
    <t>7200 Tierra Taos Dr</t>
  </si>
  <si>
    <t>Clemente Najeda</t>
  </si>
  <si>
    <t>300 W Heald Ave</t>
  </si>
  <si>
    <t>19th Ave and E Kansas Ave</t>
  </si>
  <si>
    <t>McPherson County Sheriff's Department</t>
  </si>
  <si>
    <t>2000 Paradise Rd</t>
  </si>
  <si>
    <t>Jacquelyn Burke</t>
  </si>
  <si>
    <t>5800 Eubank Blvd NE</t>
  </si>
  <si>
    <t>Darrel Machemehl</t>
  </si>
  <si>
    <t>US-90 and FM1104</t>
  </si>
  <si>
    <t>Kingsbury</t>
  </si>
  <si>
    <t>Seguin Police Department</t>
  </si>
  <si>
    <t>Bradford Macomber</t>
  </si>
  <si>
    <t>1724 Beach Blvd</t>
  </si>
  <si>
    <t>Mitchell Oakley</t>
  </si>
  <si>
    <t>1175 S Arizona Avenue</t>
  </si>
  <si>
    <t>Jakob Wagner</t>
  </si>
  <si>
    <t>1900 10th Ave</t>
  </si>
  <si>
    <t>Antigo</t>
  </si>
  <si>
    <t>Antigo Police Department</t>
  </si>
  <si>
    <t>Eric Wakup</t>
  </si>
  <si>
    <t>1300 Church St</t>
  </si>
  <si>
    <t>Tyler Hunkin</t>
  </si>
  <si>
    <t>6600 MoPac Expy</t>
  </si>
  <si>
    <t>Carl Baranishyn</t>
  </si>
  <si>
    <t>12 High Point Rd</t>
  </si>
  <si>
    <t>Berne</t>
  </si>
  <si>
    <t>Daniel Blackmon</t>
  </si>
  <si>
    <t>US 278 and Alabama 79</t>
  </si>
  <si>
    <t>Blount County Sheriff's Office, Marshall County Sheriff's Office, Snead Police Department, Blountsville Police Department</t>
  </si>
  <si>
    <t>Gerald Boyes</t>
  </si>
  <si>
    <t>26211 Illinois Route 173</t>
  </si>
  <si>
    <t>Lake County Sheriff's Office, McHenry County Sheriff's Office</t>
  </si>
  <si>
    <t>Allen 'Storm' Smith</t>
  </si>
  <si>
    <t>4200 E Jackson St</t>
  </si>
  <si>
    <t>David Swatsky</t>
  </si>
  <si>
    <t>300 SW Whitetail Dr</t>
  </si>
  <si>
    <t>Comanche County Sheriff's Office</t>
  </si>
  <si>
    <t>Jeffrey Wise</t>
  </si>
  <si>
    <t>Texas Hwy 71 and County Rd 305</t>
  </si>
  <si>
    <t>Llano</t>
  </si>
  <si>
    <t>Texas Department of Public Safety, Llano County Sheriff's Office</t>
  </si>
  <si>
    <t>Koltlee Whitson</t>
  </si>
  <si>
    <t>Post Oak Bridge Rd</t>
  </si>
  <si>
    <t>White County Sheriff's Office</t>
  </si>
  <si>
    <t>Dion Damon</t>
  </si>
  <si>
    <t>Bannock St and W 14th Ave Pkwy</t>
  </si>
  <si>
    <t>Travis Wood</t>
  </si>
  <si>
    <t>Noma</t>
  </si>
  <si>
    <t>Holmes County Sheriff's Office</t>
  </si>
  <si>
    <t>Lonnie Ball</t>
  </si>
  <si>
    <t>Lance St</t>
  </si>
  <si>
    <t>William Clark III</t>
  </si>
  <si>
    <t>1061 Roberta Rd</t>
  </si>
  <si>
    <t>Melissa Abbott</t>
  </si>
  <si>
    <t>2786 Commercial Blvd</t>
  </si>
  <si>
    <t>Lake Hallie</t>
  </si>
  <si>
    <t>Lake Hallie Police Department</t>
  </si>
  <si>
    <t>L St and S 31st St</t>
  </si>
  <si>
    <t>Arkansas Department of Corrections</t>
  </si>
  <si>
    <t>Marvin Cremeans</t>
  </si>
  <si>
    <t>1449 Monroe Hollow Rd</t>
  </si>
  <si>
    <t>Oak Hill</t>
  </si>
  <si>
    <t>Christopher Erdman</t>
  </si>
  <si>
    <t>2020 26th Ave E</t>
  </si>
  <si>
    <t>24 Myron St</t>
  </si>
  <si>
    <t>West Springfield Police Department</t>
  </si>
  <si>
    <t>David Mack</t>
  </si>
  <si>
    <t>Darrin Martin</t>
  </si>
  <si>
    <t>508 West Ave</t>
  </si>
  <si>
    <t>Red Creek Rd</t>
  </si>
  <si>
    <t>Jeff Robertson</t>
  </si>
  <si>
    <t>Orlando Collins</t>
  </si>
  <si>
    <t>http://www.fatalencounters.org/wp-content/uploads/2013/10/OrlandoCollinscopy.jpg</t>
  </si>
  <si>
    <t>3732 SW Topeka Blvd</t>
  </si>
  <si>
    <t>According to the FBI, police were serving an arrest warrant for Collins at the motel when gun fire erupted as they approached the motel room door. During the barrage, a fire started in the room and spread to envelop the entire motel. The FBI is still processing the crime scene, while ATF and the fire marshal are conducting the fire investigation. The Topeka Police Dept., Shawnee Co. Sheriff's Office, and Kansas Highway Patrol are assisting with the investigation.</t>
  </si>
  <si>
    <t>http://www.wibw.com/content/news/Multiple-shots-fired-at-Topeka-motel-Law-enforcement-have-area-blocked-off-376872351.html</t>
  </si>
  <si>
    <t>http://www.fatalencounters.org/wp-content/uploads/2013/10/Blackmon.jpg</t>
  </si>
  <si>
    <t>http://www.fatalencounters.org/wp-content/uploads/2013/10/MitchellOakley.png</t>
  </si>
  <si>
    <t>http://images1.westword.com/imager/u/745xauto/7805283/dion.damon.mug.shot.jpg</t>
  </si>
  <si>
    <t>https://blackopswiki.s3.amazonaws.com/uploads/article/avatar/1799/large_avatar_Demarcus.jpg</t>
  </si>
  <si>
    <t>http://www.fatalencounters.org/wp-content/uploads/2013/10/Francis-Scot-Dufore.png</t>
  </si>
  <si>
    <t>https://blackopswiki.s3.amazonaws.com/uploads/article/avatar/1673/large_avatar_Demetrius_Dorsey.jpg</t>
  </si>
  <si>
    <t>https://suntimesmedia.files.wordpress.com/2016/04/boyes416.jpg?w=1059</t>
  </si>
  <si>
    <t>http://www.fatalencounters.org/wp-content/uploads/2013/10/StormSmith.jpg</t>
  </si>
  <si>
    <t>https://blackopswiki.s3.amazonaws.com/uploads/article/avatar/1770/large_avatar_Mario.jpg</t>
  </si>
  <si>
    <t>https://blackopswiki.s3.amazonaws.com/uploads/article/avatar/1674/large_avatar_Rico.JPG</t>
  </si>
  <si>
    <t>https://blackopswiki.s3.amazonaws.com/uploads/article/avatar/1675/large_avatar_Jorevis.PNG</t>
  </si>
  <si>
    <t>https://blackopswiki.s3.amazonaws.com/uploads/article/avatar/1669/large_avatar_SylasoneA.JPG</t>
  </si>
  <si>
    <t>http://www.fatalencounters.org/wp-content/uploads/2013/10/CarlBaranishynJr.png</t>
  </si>
  <si>
    <t>http://www.fatalencounters.org/wp-content/uploads/2013/10/Bard.png</t>
  </si>
  <si>
    <t>https://lintvwdtn.files.wordpress.com/2016/04/kisha-arrone-pic.jpg</t>
  </si>
  <si>
    <t>http://spartalive.com/wp-content/uploads/2016/04/Whitson-Koltlee-Rij-1.jpg</t>
  </si>
  <si>
    <t>https://lintvkxan.files.wordpress.com/2016/04/tyler-hunkin-newer-e1461621519825.jpg?w=469</t>
  </si>
  <si>
    <t>https://lintvkxan.files.wordpress.com/2016/04/jeffrey-gray-wise.jpg</t>
  </si>
  <si>
    <t>http://media3.s-nbcnews.com/j/newscms/2016_16/1510351/160424-jakob-wagner-yh-0256p_1c315a96063ca4e310df6e3b6cb1cefe.nbcnews-ux-2880-1000.jpg</t>
  </si>
  <si>
    <t>02149</t>
  </si>
  <si>
    <t>01089</t>
  </si>
  <si>
    <t>08873</t>
  </si>
  <si>
    <t>Langlade</t>
  </si>
  <si>
    <t>Blackmon led police around two counties, while he went on a shooting spree. He was eventually shot and killed.</t>
  </si>
  <si>
    <t>According to the Chandler Police Department, a Walmart employee saw a man trespassing on the premises. Two officers were called out and when the first officer arrived, witnesses saw Oakley fire at the officer. Chandler police said an "ambush" on the officer occurred, and he was shot in the face. A second officer responded to the scene and fired back at the suspect but was also shot by Oakley. The second officer shot and killed Oakley who was pronounced dead at the scene.</t>
  </si>
  <si>
    <t>A Riverside County Sheriff's Department news release said an officer responded to multiple reports of a man breaking windows on South Poe Street. The officer encountered a man a few blocks away on West Heald Street who matched the description of witnesses and asked him to surrender, according to the release. Police said the suspect had used a piece of wood to break windows and a sliding glass door to a residence, which he attempted to enter and was confronted by the occupants, one of whom was struck by the suspect and sustained injuries. In an effort to subdue the suspect the officer used pepper spray, but the man did not appear to be affected, said police. The man came back at the officer armed with two baseball bats, and he was shot and killed.</t>
  </si>
  <si>
    <t>Ball was shot and killed after a woman called Modesto police to report a man was at her door with a gun. When police arrived, Ball drove off. Police chased him through the area until he returned back to the house. Neighbors said they heard police ask Ball to get out of the car. Modesto Police said he did, and then shots were fired.</t>
  </si>
  <si>
    <t>Damon, a bank robbery suspect, was unarmed when he was shot and killed in front of his wife and child. Police say he made a threatening gesture.</t>
  </si>
  <si>
    <t>Miami-Dade police officer fatally shot a shotgun-wielding man, Dufore, who kidnapped his ex-wife and forced her into a stolen car, police said.</t>
  </si>
  <si>
    <t>Police fatally shot Boyes, suspected of killing his father and the father's girlfriend in western Kentucky, in a pizzeria parking lot. Police said he was killed when he brandished a gun,</t>
  </si>
  <si>
    <t>The officer involved was dispatched to the 4200 block of East Jackson Street on a report of a threat. Police would not elaborate on the nature of the threat. Police say an altercation between the officer and Storm Allen Smith, 26, occurred. A foot pursuit and a struggle ensued between the two, then police say the officer shot and killed Smith.</t>
  </si>
  <si>
    <t>Two deputies were trying to serve an arrest warrant when the suspect resisted and then started fighting with both deputies. One of the deputies fired his Taser numerous times with no success. The man hit one of the deputies several times in the face. The other deputy called for him to stop but the attack on both deputies continued. One of the deputies pulled his gun and shot and killed the man.</t>
  </si>
  <si>
    <t>Witnesses saw Martinez acting strangely. They said he was walking around a light post and muttering to himself. But when police arrived, the situation escalated quickly. Police ordered him to drop his knife, and when he lunged at police, he was shot and killed.</t>
  </si>
  <si>
    <t>Charlotte-Mecklenburg police and a SWAT unit were called to the 7-Eleven on Little Rock Road after a gunman barricaded himself in the store around 3 a.m. Officers with the SWAT team shot and killed 41-year-old Sylasone Ackhavong during the standoff after he raised a gun at officers, police said.</t>
  </si>
  <si>
    <t>Baranishyn called the police, saying he was feeling suicidal and homicidal. Two troopers found Baranishyn outside his house holding two 3- to 4-inch folding knives, police said. Baranishyn did not respond to several commands to drop his knives and then "aggressively approached" the troopers, who both shot and killed him.</t>
  </si>
  <si>
    <t>Police responded to a home-invasion, domestic violence call, shooting and killing Cremeans when he threatened his ex-wife with an ax.</t>
  </si>
  <si>
    <t>Following a pursuit with White County Sheriff Office deputies, officers say Whitson shot at them when they attempted to conduct a traffic stop on his vehicle.</t>
  </si>
  <si>
    <t>The first officer to arrive found a 29-year-old man standing outside his vehicle and holding knives in both hands, police said. The officer got out of his patrol car to confront the man. The officer instructed the man to drop the knives, the man charged toward the officer, who shot him with a long rifle.</t>
  </si>
  <si>
    <t>Police responded to suicide threat, and Wilson moved toward officers with something in his hand. He was shot and killed. The something was a cell phone.</t>
  </si>
  <si>
    <t>Wise, 52, of Austin, was stopped as part of an ongoing criminal investigation into bank robberies in Louisiana and Round Rock, near Austin. Authorities say a trooper stopped Wise near the town of Llano. Wise refused to put down his gun and then pointed the weapon toward officers who opened fire, killing him.</t>
  </si>
  <si>
    <t>Wakup barricaded himself inside a home Friday night. Early Saturday, police say Wakup fired at officers, who fatally shot him.</t>
  </si>
  <si>
    <t>A teenage gunman shot two students outside a Wisconsin high school's prom Saturday night, police said. Police, who were on campus, shot Wagner.</t>
  </si>
  <si>
    <t>Bender Dass</t>
  </si>
  <si>
    <t>N Gary Rd and E Empire Blvd</t>
  </si>
  <si>
    <t>San Tan Valley</t>
  </si>
  <si>
    <t>Pinal County Sheriff's Office, Maricopa County Sheriff's Office</t>
  </si>
  <si>
    <t>Dass was involved in a collison and reportedly drove away from responding officers. He then collided with a police vehcile and drove towards two officers who opened fire, police said.</t>
  </si>
  <si>
    <t>http://tucson.com/news/state-and-regional/man-shot-killed-by-deputies-in-san-tan-valley/article_75977f52-0f0c-11e6-b6d1-0fb0495e6a33.html</t>
  </si>
  <si>
    <t>Jeffrey Hobbs</t>
  </si>
  <si>
    <t>Hobbs was partially handcuffed after a traffic stop but fought with the trooper and fled back to his vehicle, authorities said. The two continued to fight inside the car and Hobbs attempted to drive away with the trooper inside, according to police. The trooper then opened fire.</t>
  </si>
  <si>
    <t>17742 MO-177</t>
  </si>
  <si>
    <t>http://www.semissourian.com/story/2300601.html</t>
  </si>
  <si>
    <t>Mark Bess</t>
  </si>
  <si>
    <t>4500 S 3200 W</t>
  </si>
  <si>
    <t>Utah County Sheriff's Office</t>
  </si>
  <si>
    <t>Bess was wanted on multiple arrest warrants and spotted by a sheriff's deputy. Following a short foot chase, Bess produced a knife and charged at the officer, according to police. The deputy then opened fire.</t>
  </si>
  <si>
    <t>http://www.sltrib.com/news/3839387-155/utah-county-deputy-shoots-injures-suspect</t>
  </si>
  <si>
    <t>Officers responded to a domestic disturbance, police said. The man reportedly grabbed a knife as he was arrested and an officer opened fire multiple times.</t>
  </si>
  <si>
    <t>Wausau Police Department</t>
  </si>
  <si>
    <t>725 Gilbert St</t>
  </si>
  <si>
    <t>Wasau</t>
  </si>
  <si>
    <t>http://www.wausaudailyherald.com/story/news/2016/05/01/reports-one-dead-wausau-police-shooting/83787170/</t>
  </si>
  <si>
    <t>Police encountered an injured woman in an apartment following a domestic disturbance call, according to authorities. The man then emerged from a bedroom carrying two knives and officers opened fire, police said.</t>
  </si>
  <si>
    <t>Parthenia St and Orion Ave</t>
  </si>
  <si>
    <t>http://www.dailynews.com/general-news/20160501/knife-wielding-man-shot-dead-by-officers-in-north-hills</t>
  </si>
  <si>
    <t>Michael S. Kurtz</t>
  </si>
  <si>
    <t>Lee Easter</t>
  </si>
  <si>
    <t>Cin Mung</t>
  </si>
  <si>
    <t>Kurtz, a homeless man, was reportedly suicidal and armed with a knife. When police responded he held the knife to his own chest before approaching officers with it, authorities said. Officers said they fatally shot him when he continued to approach with the knife and a Taser failed to stop him.</t>
  </si>
  <si>
    <t>http://www.spokesman.com/stories/2016/apr/28/man-shot-dead-at-the-house-of-charity/</t>
  </si>
  <si>
    <t>Deputies shot and killed Easter when he approached them with a handgun, police said. Someone from inside the Easter's house called 911 to report an intruder and another 911 caller said he was worried about his mental health.</t>
  </si>
  <si>
    <t>http://kboi2.com/news/local/one-dead-after-deputy-involved-shooting</t>
  </si>
  <si>
    <t>Robin Barber</t>
  </si>
  <si>
    <t>Police said they were monitoring a suspicious car in a motel parking lot when Barber approached the car. When police stopped Barber to question him, he fled and fired at police during a foot chase before officers shot back and killed him, authorities said.</t>
  </si>
  <si>
    <t>http://www.denverpost.com/news/ci_29818018/lakewood-police-investigate-officer-involved-shooting</t>
  </si>
  <si>
    <t>Mung was reportedly carrying a live chicken and a machete. Police said they shot him when he refused to drop the machete. Officers were in the area in response to 911 calls about Mung, authorities said.</t>
  </si>
  <si>
    <t>http://www.ajc.com/news/news/crime-law/dekalb-police-shoot-machete-wielding-man/nrCgh/</t>
  </si>
  <si>
    <t>Machemehl allegedly took a 'shooting stance' and pointed a bag containing a shotgun toward police officers. He was confronted by police at the end of a 17-minute car chase after carrying out an armed robbery at a convenience store. Authorities said Machemehl ignored more than 40 orders to drop the bag and surrender.</t>
  </si>
  <si>
    <t>http://www.mysanantonio.com/news/local/article/Robbery-suspect-fatally-shot-by-Sequin-police-7378602.php</t>
  </si>
  <si>
    <t>Officers tried to arrest Burke earlier in the day for allegedly violating her probation but she fled in a stolen car, authorities said. A federal taskforce later found Burke and at least one deputy opened fire when she reportedly brandished a gun.</t>
  </si>
  <si>
    <t>http://www.abqjournal.com/763878/news/apd-federal-law-enforcement-involved-in-ne-abq-shooting.html</t>
  </si>
  <si>
    <t>Macomber was reportedly causing a disturbance at a restaurant. Police shocked him with a Taser before he was taken to a hospital and pronounced dead, authorities said.</t>
  </si>
  <si>
    <t>http://www.trussvilletribune.com/2016/04/19/blount-county-shooting-spree-leaves-4-wounded-gunman-dead/</t>
  </si>
  <si>
    <t>http://www.abc15.com/news/region-southeast-valley/chandler/two-officers-shot-in-chandler-walmart-suspect-dead</t>
  </si>
  <si>
    <t>http://patch.com/california/lakeelsinore-wildomar/man-shot-dead-following-bizarre-lake-elsinore-rampage-idd</t>
  </si>
  <si>
    <t>http://www.latimes.com/local/lanow/la-me-ln-boyle-heights-shooting-20160411-story.html</t>
  </si>
  <si>
    <t>http://www.abc10.com/news/local/modesto/armed-man-killed-after-car-chase-shooting-with-modesto-police/127870372</t>
  </si>
  <si>
    <t>http://www.westword.com/news/dion-damon-bank-robbery-suspect-unarmed-when-killed-by-denver-cop-7805210</t>
  </si>
  <si>
    <t>http://cbs12.com/news/local/21-year-old-dead-after-officer-involved-shooting</t>
  </si>
  <si>
    <t>http://www.local10.com/news/miamidade-police-officer-shoots-kills-shotgunwielding-kidnapping-suspect</t>
  </si>
  <si>
    <t>http://www.newsherald.com/news/20160413/update-more-details-released-in-holmes-county-police-chase-fatal-shooting</t>
  </si>
  <si>
    <t>http://www.11alive.com/news/local/mableton/gas-station-robbery-suspect-shot-after-swat-standoff/140453277</t>
  </si>
  <si>
    <t>http://www.chicagotribune.com/news/local/breaking/ct-bar-and-grill-scene-of-fatal-antioch-shooting-20160416-story.html</t>
  </si>
  <si>
    <t>http://fox59.com/2016/04/15/coronor-releases-name-of-man-killed-in-police-action-shooting-in-muncie/</t>
  </si>
  <si>
    <t>http://www.kwch.com/content/news/KBI-investigating-deputy-involved-shooting-in-McPherson-County-375804401.html</t>
  </si>
  <si>
    <t>http://www.wcvb.com/news/knifewielding-man-killed-in-officerinvolved-shooting-identified/39171770</t>
  </si>
  <si>
    <t>http://kxan.com/ap/police-id-man-fatally-shot-after-firing-from-balcony/</t>
  </si>
  <si>
    <t>http://www.stltoday.com/news/local/crime-and-courts/man-fleeing-from-stolen-car-shot-by-st-louis-police/article_e0d7645c-8d67-5335-b84e-678f5b4689c7.html</t>
  </si>
  <si>
    <t>http://www.blueridgenow.com/article/20160426/ARTICLES/160429873/1151?Title=Shooting-victim-s-name-released-had-threatened-suicide-by-cop-</t>
  </si>
  <si>
    <t>http://www.wcnc.com/news/local/swat-situation-blocks-west-charlotte-road/142535525</t>
  </si>
  <si>
    <t>http://www.courierpostonline.com/story/news/2016/04/17/vineland-police-officers-involved-fatal-shooting-overnight/83154550/</t>
  </si>
  <si>
    <t>http://www.timesunion.com/local/article/State-troopers-shoot-kill-Berne-man-7305356.php</t>
  </si>
  <si>
    <t>http://wnyt.com/news/troy-police-traffic-stop-officer-pinned-by-car-suspect-shot/4109350/</t>
  </si>
  <si>
    <t>http://wdtn.com/2016/04/17/woman-killed-in-officer-involved-shooting/</t>
  </si>
  <si>
    <t>http://www.wsaz.com/content/news/Intruder-shot-and-killed-by-law-enforcement-officer-374750511.html</t>
  </si>
  <si>
    <t>http://wkrn.com/2016/04/14/suspect-shot-by-deputy-during-pursuit-in-white-county/</t>
  </si>
  <si>
    <t>http://www.statesman.com/news/news/crime-law/austin-police-responding-to-officer-involved-shoot/nq9q4/</t>
  </si>
  <si>
    <t>http://www.kvia.com/news/officerinvolved-shooting/39071656</t>
  </si>
  <si>
    <t>http://keyetv.com/news/local/man-shot-and-killed-by-dps-trooper-in-llano-co-was-round-rock-bank-robbery-suspect</t>
  </si>
  <si>
    <t>http://www.nbc12.com/story/31818572/police-virginia-man-killed-after-he-fired-at-officers</t>
  </si>
  <si>
    <t>http://www.nbcnews.com/news/us-news/antigo-shooting-least-three-shot-outside-wisconsin-prom-n561196</t>
  </si>
  <si>
    <t>Erdman died after being shocked with Tasers by deputies who were called to a behavorial health hospital where he was reported to be behaving erratically. He had been dropped at the hospital after reportedly being under the influence of drugs for several days.</t>
  </si>
  <si>
    <t>http://www.bradenton.com/news/local/news-columns-blogs/breaking-news-blog/article70251662.html</t>
  </si>
  <si>
    <t>Swatsky was reportedly suicidal and armed with a gun. Police fatally shot him when he pointed the gun at officers, authorities said.</t>
  </si>
  <si>
    <t>Police said Kirkham was armed and wanted in connection with a theft investigation. He was killed during a confrontation with a deputy, authorities said.</t>
  </si>
  <si>
    <t>Police said the man is believed to have stabbed a woman and her two-year-old daughter, killing the woman and injuring the child. An officer on routine patrol opened fire when he saw the man armed with a knife and the woman covered in blood outside a building, authorities said.</t>
  </si>
  <si>
    <t>A deputy stopped a car with multiple toll road violations and drew his gun when the driver began to move the car forward with the deputy holding on to the car's open door, authorities said. The deputy fatally shot the driver when he allegedly reached toward the deputy's gun.</t>
  </si>
  <si>
    <t>http://www.chron.com/news/houston-texas/houston/article/Suspect-shot-dead-by-officer-7382045.php</t>
  </si>
  <si>
    <t>Police were investigating a stolen car when a man 'associated' with the car began firing shots at the officers, police said. The officers shot back and killed him.</t>
  </si>
  <si>
    <t>http://www.thedenverchannel.com/news/front-range/westminster/suspect-dead-officer-injured-after-shootout-in-westminster</t>
  </si>
  <si>
    <t>http://www.miamiherald.com/news/local/community/miami-dade/article74377677.html</t>
  </si>
  <si>
    <t>http://5newsonline.com/2016/04/21/asp-johnson-co-deputy-fatally-wounds-theft-suspect-in-perry-co/</t>
  </si>
  <si>
    <t>http://www.sunherald.com/latest-news/article73769367.html</t>
  </si>
  <si>
    <t>http://www.news9.com/story/31742002/osbi-investigating-after-officer-shoots-kills-man-in-comanche-county</t>
  </si>
  <si>
    <t>Oswald Mattner</t>
  </si>
  <si>
    <t>Marathon</t>
  </si>
  <si>
    <t>Cape Girardeau</t>
  </si>
  <si>
    <t>Deputies were sent to conduct a health and welfare check at the residence, police said. The shooting occurred during the encounter and while awaiting the arrival of involuntary commitment papers. Campbell allegedly pulled out a weapon and the deputies fatally shot her, authorities said. Campbell had also reportedly threatened to hurt her caregiver and herself.</t>
  </si>
  <si>
    <t>An officer shot McIntire in a parking lot when McIntire allegedly drove his car directly toward the officer. Officers had tried to stop McIntire's car earlier in the day after receiving a tip that the occupants of the car were armed, authorities said.</t>
  </si>
  <si>
    <t>Nikki Bascom</t>
  </si>
  <si>
    <t>1304 Serrina Court</t>
  </si>
  <si>
    <t>Silver City</t>
  </si>
  <si>
    <t>Silver City Police Department</t>
  </si>
  <si>
    <t>Off-duty Silver City police Capt. Marcello Contreras, 41, fatally shot his girlfriend Nikki Bascom, 31, and then shot himself.</t>
  </si>
  <si>
    <t>http://www.koat.com/news/silver-city-police-captain-shoots-kill-girlfriend-before-turning-gun-on-himself/39170394</t>
  </si>
  <si>
    <t>Thomas Lagano</t>
  </si>
  <si>
    <t>Andrew Mike</t>
  </si>
  <si>
    <t>Dustin Edward Jones</t>
  </si>
  <si>
    <t>Michael Roll</t>
  </si>
  <si>
    <t>William John Jennings Jr.</t>
  </si>
  <si>
    <t>Alex J. Zoucha</t>
  </si>
  <si>
    <t>John Tozzi</t>
  </si>
  <si>
    <t>Inocencio Cardenas Jr.</t>
  </si>
  <si>
    <t>Johnathan Fowler</t>
  </si>
  <si>
    <t>Wendell Celestine Jr.</t>
  </si>
  <si>
    <t>Stephen Schenck</t>
  </si>
  <si>
    <t>Dana Bruce Ott</t>
  </si>
  <si>
    <t>An off-duty deputy shot Dustin after an altercation that began at the Red Rose Genleman's Club in Okaloosa County and that continued in a parking lot across the street, according to police.</t>
  </si>
  <si>
    <t>http://www.officer.com/news/12186196/off-duty-florida-deputy-shot-outside-strip-club</t>
  </si>
  <si>
    <t>106 Santa Rosa Blvd</t>
  </si>
  <si>
    <t>Okaloosa Island</t>
  </si>
  <si>
    <t>Responding to a domestic disturbance call, "Officer Kevin Hill gave Thomas multiple commands to drop the firearm, and he did not comply,” Wooten said. “Instead, Thomas lowered the firearm toward Officer Hill, and Officer Hill fired one round from his service weapon striking Thomas.</t>
  </si>
  <si>
    <t>210 James Moore Drive</t>
  </si>
  <si>
    <t>Butts</t>
  </si>
  <si>
    <t>Damon Blair</t>
  </si>
  <si>
    <t>Kendar del Rosario</t>
  </si>
  <si>
    <t>Ashtain Barnes</t>
  </si>
  <si>
    <t>http://www.killedbypolice.net/16/v/160374.jpg</t>
  </si>
  <si>
    <t>http://www.killedbypolice.net/16/v/160376.jpg</t>
  </si>
  <si>
    <t>http://www.killedbypolice.net/16/v/160377.jpg</t>
  </si>
  <si>
    <t>http://www.killedbypolice.net/16/v/160369.jpg</t>
  </si>
  <si>
    <t>http://www.killedbypolice.net/16/v/160368.jpg</t>
  </si>
  <si>
    <t>http://www.killedbypolice.net/16/v/0367.jpg</t>
  </si>
  <si>
    <t>http://www.killedbypolice.net/16/v/160365.jpg</t>
  </si>
  <si>
    <t>http://www.killedbypolice.net/16/v/160366.jpg</t>
  </si>
  <si>
    <t>Marion Habana</t>
  </si>
  <si>
    <t>When officials arrived to the scene of the crash, they found a 1995 Toyota 4-Runner overturned onto its side in the northbound lanes of the William Natcher Parkway. Police say the driver, Michael Roll, 52, became extremely combative and a taser was used in an attempt to apprehend him. Roll continued to resist arrest before becoming unconscious, according to authorities.</t>
  </si>
  <si>
    <t>http://www.lex18.com/story/31456548/ksp-investigating-death-of-man-after-he-was-tased</t>
  </si>
  <si>
    <t>William Natcher Parkway</t>
  </si>
  <si>
    <t>Bowling Green</t>
  </si>
  <si>
    <t>http://www.killedbypolice.net/16/v/160232.jpg</t>
  </si>
  <si>
    <t>http://www.mlive.com/news/saginaw/index.ssf/2016/03/2-county_police_pursuit_of_all.html</t>
  </si>
  <si>
    <t>Birch Run Rd</t>
  </si>
  <si>
    <t>Saginaw</t>
  </si>
  <si>
    <t>Birch Run</t>
  </si>
  <si>
    <t>http://www.killedbypolice.net/16/v/160215.jpg</t>
  </si>
  <si>
    <t xml:space="preserve">Officer Joe Silva said the 28-year-old man was pulled over at El Dorado and Clay Streets at 9:05 p.m. and took off running from police. When police caught up to the suspect, he allegedly began physically fighting with the officers. Silva said then officers tased him. The suspect was hit an unknown number of times, according to Silva, and became unresponsive.CPR was used, but he died at the hospital. </t>
  </si>
  <si>
    <t>http://www.abc10.com/news/local/stockton/man-dies-in-stockton-police-custody-after-tasing/73694784</t>
  </si>
  <si>
    <t>El Dorado and Clay Street</t>
  </si>
  <si>
    <t>Abelino Cordova-Cuevas</t>
  </si>
  <si>
    <t>http://www.killedbypolice.net/16/v/160187.jpg</t>
  </si>
  <si>
    <t>http://www.ketv.com/news/4-bellevue-police-officers-on-leave-after-man-dies-in-custody/38182032</t>
  </si>
  <si>
    <t>Van Buren Street and 22nd Avenue</t>
  </si>
  <si>
    <t>Officers responded to a disturbance call. When police arrived, they saw Zoucha attempting to force entry into a home in the area, causing significant damage to the front door. Police said Zoucha was non-compliant and became violently combative. An altercation took place and police tried to use a stun gun to stop him from fighting, which had little to no effect. While officers attempted to gain control, Zoucha became unresponsive.</t>
  </si>
  <si>
    <t>Bellevue, WA Police Department</t>
  </si>
  <si>
    <t>http://www.killedbypolice.net/16/v/160153.jpg</t>
  </si>
  <si>
    <t>Ulster</t>
  </si>
  <si>
    <t>New Paltz Police Department</t>
  </si>
  <si>
    <t>http://www.poughkeepsiejournal.com/story/news/crime/2016/02/17/man-involved-police-shootout-new-paltz-dies/80522678/</t>
  </si>
  <si>
    <t>Rte 32 S</t>
  </si>
  <si>
    <t>New Paltz</t>
  </si>
  <si>
    <t>http://www.killedbypolice.net/16/v/160149.jpg</t>
  </si>
  <si>
    <t>http://www.themonitor.com/news/local/officers-placed-on-leave-after-man-dies-in-custody/article_3fca02bc-d6a1-11e5-bc73-b7c7e3ed156d.html</t>
  </si>
  <si>
    <t>Donna Police Department</t>
  </si>
  <si>
    <t>Donna</t>
  </si>
  <si>
    <t>200 South Seventh Street</t>
  </si>
  <si>
    <t>Roosevelt Highway and Leslie Drive</t>
  </si>
  <si>
    <t>College Park</t>
  </si>
  <si>
    <t>http://www.ajc.com/news/news/local/kennesaw-man-ejected-from-truck-killed-after-polic/nqPfp/</t>
  </si>
  <si>
    <t>East 6th Street and McElheny Road</t>
  </si>
  <si>
    <t>http://www.killedbypolice.net/16/v/160067.jpg</t>
  </si>
  <si>
    <t>http://www.vvdailypress.com/article/20160125/NEWS/160129821</t>
  </si>
  <si>
    <t>8800 11th Avenue</t>
  </si>
  <si>
    <t>Hesperia</t>
  </si>
  <si>
    <t>Millville</t>
  </si>
  <si>
    <t>http://www.killedbypolice.net/16/v/160019.jpg</t>
  </si>
  <si>
    <t>http://gazette.com/man-shot-after-pointing-air-rifle-at-colorado-springs-police-dies-from-his-injuries/article/1567391</t>
  </si>
  <si>
    <t>Two officers shot Ott in his lower abdomen while responding to a disturbance at his house, 5120 Lanagan St., according to the 4th Judicial District Attorney's Office. The officers shot Ott when he raised the weapon and pointed it at them, the District Attorney's Office said. Moments before opening fire, the officers said they heard Ott say something to the effect of "Shoot me," an arrest affidavit said. Ott ignored their calls to drop his rifle, the affidavit said.Investigators later learned Ott was holding an air rifle - though there were no markings on it, such as an orange safety tip, to suggest it wasn't an actual gun - the District Attorney's Office said. Ott also had unused pellet rounds in his pocket.</t>
  </si>
  <si>
    <t>5120 Lanagan St</t>
  </si>
  <si>
    <t>Police tried to stop Espinal in the Bronx for various traffic violations and followed him when he refused to stop his car, according to authorities. Espinal crashed his car after driving against traffic and then fled on foot. An officer shot Espinal while trying to take him into custody, according to investigators.</t>
  </si>
  <si>
    <t>A police officer killed Perez while investigating reports of a stolen golf cart. Authorities said Perez was armed and died in an exchange of gunfire with the officer.</t>
  </si>
  <si>
    <t>Authorities said Pacheco was shot by a trooper when, during a traffic stop, he said he was a convicted felon with a weapon in his car and tried to get into the vehicle. The trooper had stopped Pacheco for a broken tail light and reportedly deployed his Taser before shooting.</t>
  </si>
  <si>
    <t>Charlin Charles</t>
  </si>
  <si>
    <t>Ronald Branch</t>
  </si>
  <si>
    <t>Alamo</t>
  </si>
  <si>
    <t>Raymond Hopper</t>
  </si>
  <si>
    <t>2600 E Delta Ave</t>
  </si>
  <si>
    <t>Richard Ferretti</t>
  </si>
  <si>
    <t>Matthew Tucker</t>
  </si>
  <si>
    <t>32600 Hislop Way</t>
  </si>
  <si>
    <t>Temecula Police Department</t>
  </si>
  <si>
    <t>Deresha Armstrong</t>
  </si>
  <si>
    <t>N 76th St and W Mill Road</t>
  </si>
  <si>
    <t>Corey DiGiovanni</t>
  </si>
  <si>
    <t>Weirton</t>
  </si>
  <si>
    <t>Weirton Police Department</t>
  </si>
  <si>
    <t>Alton Witchard</t>
  </si>
  <si>
    <t>Lionel Gibson</t>
  </si>
  <si>
    <t>Christian Bowman</t>
  </si>
  <si>
    <t>8011 Tucker Rd</t>
  </si>
  <si>
    <t>Derek Sam</t>
  </si>
  <si>
    <t>631 Main St</t>
  </si>
  <si>
    <t>Presque Isle</t>
  </si>
  <si>
    <t>Presque Isle Police Department</t>
  </si>
  <si>
    <t>10929 Dizzy Dean Pl</t>
  </si>
  <si>
    <t>Arthur DaRosa</t>
  </si>
  <si>
    <t>2 Galleria Mall Dr #247</t>
  </si>
  <si>
    <t>Taunton</t>
  </si>
  <si>
    <t>Plymouth County Sheriff's Department</t>
  </si>
  <si>
    <t>US-85 and 31st St</t>
  </si>
  <si>
    <t>Thongsoune Vilaysane</t>
  </si>
  <si>
    <t>Stephen Godfrey</t>
  </si>
  <si>
    <t>Byng</t>
  </si>
  <si>
    <t>Pontotoc County Sheriff's Office</t>
  </si>
  <si>
    <t>Crockett</t>
  </si>
  <si>
    <t>Pontotoc</t>
  </si>
  <si>
    <t>Stephen Ray Schuster</t>
  </si>
  <si>
    <t>Willie Tillman</t>
  </si>
  <si>
    <t>http://5newsonline.com/2016/05/09/fayetteville-police-suspect-dies-following-officer-involved-shooting-in-april/</t>
  </si>
  <si>
    <t>Alexander Larmon</t>
  </si>
  <si>
    <t>Benston Calvin Clinkscales</t>
  </si>
  <si>
    <t>http://www.independentmail.com/news/state-investigating-death-of-man-in-anderson-police-custody-31cbe416-5ee0-5824-e053-0100007ff462-377746431.html</t>
  </si>
  <si>
    <t>Police were called to Orange Blossom Trail on reports of a man walking up and down the road with a chrome firearm, police said. The first officer to respond found Charles and asked for back-up, saying he had Charles at gunpoint. Three additional officers arrived to help and commanded Charles to drop the gun. He refused and raised it. Officers Michael Ragsdale and Joseph Imburgio then fired at Charles, killing him.</t>
  </si>
  <si>
    <t>http://www.wftv.com/news/local/man-armed-with-gun-killed-by-orlando-police/251456157</t>
  </si>
  <si>
    <t>http://www.fatalencounters.org/wp-content/uploads/2013/10/Clinkscales.jpg</t>
  </si>
  <si>
    <t>902 Pickens St</t>
  </si>
  <si>
    <t>Crockett County Sheriff's Office, Maury City Police Department</t>
  </si>
  <si>
    <t>Crockett County deputies and a Maury City police officer were executing a search warrant at a home when Branch, who is not a resident of the home, entered the residence brandishing a weapon, according police. There was an exchange of gunfire during which officers fired their weapons, killing Branch.</t>
  </si>
  <si>
    <t>http://www.jacksonsun.com/story/news/local/2016/05/01/one-dies-officer-involved-shooting-crockett-co/83802870/</t>
  </si>
  <si>
    <t>Reginald Darnell Dogan</t>
  </si>
  <si>
    <t>http://www.gannett-cdn.com/-mm-/91881958fc89c744d3eb0a5929ac8ff7a051810e/c=19-0-595-768&amp;r=537&amp;c=0-0-534-712/local/-/media/2016/05/18/CarolinaGroup/Greenville/635992085351034190-Dogan.jpg</t>
  </si>
  <si>
    <t>Tappan Drive and Wade Hampton Boulevard</t>
  </si>
  <si>
    <t>Deputies received a call about a person waving around a gun. The first deputy to respond found Dogan armed on Tappan Drive. After making contact with Dogan, the deputy asked for backup and another deputy responded, police said. When the second deputy arrived, Dogan began walking toward the deputy; the deputy told the man to get to the ground, and he did not. The second deputy shot Dogan in the neck, and he died two weeks later.</t>
  </si>
  <si>
    <t>http://www.wyff4.com/news/dispatch-crews-on-scene-of-reported-shooting-in-greenville-county/39346400</t>
  </si>
  <si>
    <t>http://www.visaliatimesdelta.com/story/news/2016/05/03/least-one-shot-officer-involved-shooting/83869488/</t>
  </si>
  <si>
    <t>Tucker was shot by Temecula Police Officers after he advanced upon them wielding a knife. Police responded to a 9-1-1 call within a residence. As police arrived on scene, they were directed to the garage at the residence. During the contact, the male advanced towards the officers with the knife, and he was shot and killed.</t>
  </si>
  <si>
    <t>http://myvalleynews.com/local/temecula-officer-involved-shooting-leaves-one-man-dead/</t>
  </si>
  <si>
    <t>Cayce A. DiTullio</t>
  </si>
  <si>
    <t>SW 146th Street and 21st Ave SW</t>
  </si>
  <si>
    <t>DiTullio was apparently shot and killed by police when he brandished an AR-15 rifle from inside his truck. Police said that DiTullio led them on a chase around town before returning to his home, where he was shot and killed after showing the weapon.</t>
  </si>
  <si>
    <t>http://b-townblog.com/2016/05/04/followup-burien-man-shot-by-police-wed-morning-identified-as-cayce-ditullio/</t>
  </si>
  <si>
    <t>Gerry J. Thompson</t>
  </si>
  <si>
    <t>8 Granger Lane</t>
  </si>
  <si>
    <t>Missouri State Highway Patrol, Dallas County Sheriff's Department, Buffalo Police Department</t>
  </si>
  <si>
    <t>Police responded to a reported domestic violence incident five-miles south of Buffalo. Officers made contact with a white man who was suspected of being armed. The subject allegedly failed to obey officers' commands and was shot and killed.</t>
  </si>
  <si>
    <t>http://www.ozarksfirst.com/news/trooper-shoots-kills-suspected-armed-man-after-altercation</t>
  </si>
  <si>
    <t>Several college students called police when they saw a man circling the neighborhood in a minivan and thought he was casing homes in the neighborhood. A marked unit turned on its emergency lights behind the minivan while an unmarked police car stopped in front of the minivan. Police say both officers exited their vehicle and ordered the driver of the minivan to turn off the engine. At that time the driver allegedly drove towards the plainclothes officer's direction. An officer fired four shots, killing Ferretti.</t>
  </si>
  <si>
    <t>http://6abc.com/traffic/driver-killed-in-police-involved-shooting-in-overbrook/1322605/</t>
  </si>
  <si>
    <t>http://www.fatalencounters.org/wp-content/uploads/2013/10/Deresha.png</t>
  </si>
  <si>
    <t>Officers responded to a burglary in progress and found Armstrong outside and armed. They shot and killed her.</t>
  </si>
  <si>
    <t>http://www.orlandosentinel.com/news/breaking-news/os-deputy-involved-shooting-delhi-street-20160505-story.html</t>
  </si>
  <si>
    <t>http://image.nola.com/home/nola-media/width620/img/crime_impact/photo/20281679-mmmain.jpg</t>
  </si>
  <si>
    <t>Westbank Expy &amp; Milton St</t>
  </si>
  <si>
    <t>Police were attempting to serve a warrant for drugs on DiGiovanni when he led them on an extensive chase. He was shot and killed when he drove at police.</t>
  </si>
  <si>
    <t>http://www.nola.com/crime/index.ssf/2016/05/gretna_officer-involved_shooti.html</t>
  </si>
  <si>
    <t>Burt T. Johnson</t>
  </si>
  <si>
    <t>http://www.cbs58.com/story/31905841/officer-shot-and-suspect-killed-near-73rd-and-mill-road</t>
  </si>
  <si>
    <t>Ronald D. Williams Jr.</t>
  </si>
  <si>
    <t>Williams' girlfriend called to report a domestic incident. She said Williams was holding a knife up and threatening to harm himself after she said she was breaking up with him. The girlfriend said Williams pushed her into a closet and went to get a gun from his vehicle, telling her of his intention to get police to shoot him. Williams met police officers outside the home, brandishing the gun in their direction. He was then shot and killed.</t>
  </si>
  <si>
    <t>http://wtov9.com/news/local/police-release-name-of-man-killed-in-weirton-shooting</t>
  </si>
  <si>
    <t>http://www.fatalencounters.org/wp-content/uploads/2013/10/Lionel-Gibson.jpg</t>
  </si>
  <si>
    <t>21st Street and Locust Avenue</t>
  </si>
  <si>
    <t>Police received a call reporting a man with “an Uzi-style gun” speaking to three individuals inside a vehicle near 21st Street and Locust Avenue, Zabel said. Officers arrived within minutes and the shooting happened shortly after. The man had an airsoft toy gun.</t>
  </si>
  <si>
    <t>www.presstelegram.com/general-news/20160507/fatal-officer-involved-shooting-investigated-in-south-wrigley-area-of-long-beach</t>
  </si>
  <si>
    <t>http://www.fatalencounters.org/wp-content/uploads/2013/10/Alton-Witchard.jpg</t>
  </si>
  <si>
    <t>2000 21st Ave S</t>
  </si>
  <si>
    <t>Auto Theft Task Force deputies were following a minivan they thought was stolen. The passenger in the van, Alton Witchard, got out of the van holding an AR-15 assault rifle. Deputies say Witchard failed to heed multiple warnings to drop the weapon, and he was shot and killed.</t>
  </si>
  <si>
    <t>http://www.baynews9.com/content/news/baynews9/news/article.html/content/news/articles/bn9/2016/5/7/deputy_involved_shoo.html</t>
  </si>
  <si>
    <t>http://www.fatalencounters.org/wp-content/uploads/2013/10/DerekSam.png</t>
  </si>
  <si>
    <t>Sam was shot by Presque Isle police officer Lucas Hafford. Responding to calls about erratic behavior, Hafford encountered Sam carrying a knife and used verbal orders and a stun gun before shooting and killing him, according to police.</t>
  </si>
  <si>
    <t>http://bangordailynews.com/2016/05/10/news/aroostook/man-shot-by-officer-in-presque-isle-dies-at-hospital/</t>
  </si>
  <si>
    <t>127th Drive NE and 44th Street NE</t>
  </si>
  <si>
    <t>http://komonews.com/news/local/man-dead-after-officer-involved-shooting-in-lake-stevens</t>
  </si>
  <si>
    <t>35.387258, -96.448025</t>
  </si>
  <si>
    <t>Cromwell</t>
  </si>
  <si>
    <t>Larmon was killed when his car was knocked off the road by a pursuing state trooper.</t>
  </si>
  <si>
    <t>http://www.tulsaworld.com/news/state/sapulpa-man-dies-in-crash-following-pursuit-by-ohp-trooper/article_be75b5a5-0115-561e-bc48-cdf6fd24feae.html?mode=story</t>
  </si>
  <si>
    <t>Joseph Napoli</t>
  </si>
  <si>
    <t>15990 Northeast 160th Avenue Road</t>
  </si>
  <si>
    <t>Fort McCoy</t>
  </si>
  <si>
    <t>http://www.mynews13.com/content/news/cfnews13/news/article.html/content/news/articles/cfn/2016/5/9/man_dead_in_deputy_i.html</t>
  </si>
  <si>
    <t>Port St. Lucie</t>
  </si>
  <si>
    <t>Port St. Lucie Police Department</t>
  </si>
  <si>
    <t>Jaffort Demont Smith</t>
  </si>
  <si>
    <t>A man seen waving a gun at a St. Paul impound lot was later shot and killed by police officers after he ignored repeated commands to raise his hands, police said.</t>
  </si>
  <si>
    <t>http://www.startribune.com/large-police-presense-in-st-paul-neighborhood-where-shots-rang-out-early-monday/378615361/</t>
  </si>
  <si>
    <t>http://www.fatalencounters.org/wp-content/uploads/2013/10/Christian-Bowman.jpg</t>
  </si>
  <si>
    <t>Deputies responded at the request of the clerk on duty to investigate possible drug activity in a Ramada Inn room. When the deputies made contact with the suspect, he became "aggressively combative" toward the officer, police said. Another deputy arrived to assist in subduing the suspect, and the fight escalated until one of the deputies shot and killed Bowman.</t>
  </si>
  <si>
    <t>http://www.clarionledger.com/story/news/2016/05/09/mississippi-fatal-police-shooting/84137108/</t>
  </si>
  <si>
    <t>Michael D. Johnson</t>
  </si>
  <si>
    <t>Police responded to a holdup alarm, as a security guard chased the armed suspect out of the bank, according to police. The officers chased the suspect about a block. Officers ran into a gangway between buildings, and the robber turned around with a gun and an officer shot and killed him.</t>
  </si>
  <si>
    <t>http://www.chicagotribune.com/news/local/breaking/ct-chicago-police-shoot-robbery-suspect-on-southwest-side-20160509-story.html</t>
  </si>
  <si>
    <t>Arthur R. Williams Jr.</t>
  </si>
  <si>
    <t>http://www.fatalencounters.org/wp-content/uploads/2013/10/ArthurWilliams.jpg</t>
  </si>
  <si>
    <t>Williams was shot by two officers as he ran out of a house toward them, waving what appeared to be a handgun and ignoring commands to drop it. After the officers shot and disarmed Williams, the handgun was found to be a BB gun.</t>
  </si>
  <si>
    <t>http://www.kvia.com/news/suspect-in-officerinvolved-shooting-dies-police-release-idenity/39471430</t>
  </si>
  <si>
    <t>Jamie Allen Stotts</t>
  </si>
  <si>
    <t>http://ktre.images.worldnow.com/images/10524302_G.jpg</t>
  </si>
  <si>
    <t>7318 FM 2259</t>
  </si>
  <si>
    <t>Nacogdoches County Sheriff's Office, Texas Department of Public Safety</t>
  </si>
  <si>
    <t>A deputy and a trooper responded to an assault. Stotts fled on a motorcycle, arriving at his home. He went for a shotgun, and was shot and killed.</t>
  </si>
  <si>
    <t>http://www.kltv.com/story/31936746/authorities-investigate-officer-involved-shooting-in-nacogdoches-county</t>
  </si>
  <si>
    <t>http://www.fatalencounters.org/wp-content/uploads/2013/10/DaRosa.jpg</t>
  </si>
  <si>
    <t>http://boston.cbslocal.com/2016/05/10/taunton-police-silver-city-galleria-shooting/</t>
  </si>
  <si>
    <t>Nancy Friedrich</t>
  </si>
  <si>
    <t>5284 Oak St</t>
  </si>
  <si>
    <t>Kennedale</t>
  </si>
  <si>
    <t>A woman with a history of mental illness threatened a deputy with a log.</t>
  </si>
  <si>
    <t>http://crimeblog.dallasnews.com/2016/05/kennedale-woman-with-history-of-mental-illness-drug-abuse-dies-after-being-tased-by-constable.html/</t>
  </si>
  <si>
    <t>http://www.fatalencounters.org/wp-content/uploads/2013/10/Thongsoune-Vilaysane.jpg</t>
  </si>
  <si>
    <t>After an attempted traffic stop, Vilaysane fled. Eventually, he was surrounded, and he responded by running into police cars with his. He was shot and killed.</t>
  </si>
  <si>
    <t>http://www.nbcsandiego.com/news/local/Shooting-in-Encanto-Shuts-down--379093111.html</t>
  </si>
  <si>
    <t>Multiple Aurora police officers shot and killed an armed suspect following a carjacking and a police chase right after the suspect rammed a police vehicle, police said.</t>
  </si>
  <si>
    <t>http://www.denverpost.com/news/ci_29877532/aurora-police-officer-shot-and-killed-carjacking-suspect</t>
  </si>
  <si>
    <t>Sean Ryan Mondragon</t>
  </si>
  <si>
    <t>http://www.fatalencounters.org/wp-content/uploads/2013/10/Mondragon.jpg</t>
  </si>
  <si>
    <t>Two Greeley police officers shot and killed a suspect at the intersection of U.S. 85 and 31st Street. The man had tried to rob two women at gunpoint near a bowling alley earlier in the night, pointed his gun at police officers, led police on a high-speed chase and attempted to carjack a vehicle after crashing into another car, according to police.</t>
  </si>
  <si>
    <t>http://www.greeleytribune.com/news/21985903-113/breaking-news-greeley-police-shoot-kill-robbery-suspect</t>
  </si>
  <si>
    <t>Police were called to help a suicidal man. They did.</t>
  </si>
  <si>
    <t>http://www.newson6.com/story/31952548/law-enforcement-in-byng-search-for-armed-suspect</t>
  </si>
  <si>
    <t>Robert Mark Diaz</t>
  </si>
  <si>
    <t>Police said the suspected gang member displayed a weapon as officers were conducting a pedestrian stop. There was an exchange of gunfire and the man was killed, LAPD said.</t>
  </si>
  <si>
    <t>http://www.nbclosangeles.com/news/local/Officer-Hospitalized-in-Boyle-Heights-Shooting-379483661.html</t>
  </si>
  <si>
    <t>FL-33 and East Cardinal Pines Drive</t>
  </si>
  <si>
    <t>Mylynda Martinez was on the run after police tried to pull her over for a traffic infraction. Police said they had been following her from a drug house in Leesburg. Martinez was on County Road 33, fleeing Lake County deputies, when she lost control of the car, which had been disabled by spike strips, and went into oncoming traffic. Martinez then crashed head-on into the Escalade driven by Kimberly King, killing them both.</t>
  </si>
  <si>
    <t>http://www.wesh.com/news/fatal-crash-under-investigation-in-lake-county-fhp-says/39523620</t>
  </si>
  <si>
    <t>Mylynda Martinez</t>
  </si>
  <si>
    <t>http://www.fatalencounters.org/wp-content/uploads/2013/10/Mylynda-Martinez.jpg</t>
  </si>
  <si>
    <t>Michael Gaffney</t>
  </si>
  <si>
    <t>http://wac.450f.edgecastcdn.net/80450F/nj1015.com/files/2016/05/Gaffney1.jpg</t>
  </si>
  <si>
    <t>999 Rosemont Ave N</t>
  </si>
  <si>
    <t>http://nj1015.com/mom-off-duty-newark-cop-was-drunk-when-he-shot-and-killed-my-son/</t>
  </si>
  <si>
    <t>Francis Clark</t>
  </si>
  <si>
    <t>http://www.fatalencounters.org/wp-content/uploads/2013/10/francis-clark.jpg</t>
  </si>
  <si>
    <t>3737 West McDowell Road</t>
  </si>
  <si>
    <t>Officers responded to a report of a possible armed home invasion. Several people called 911 and told dispatchers there was a man with a gun chasing a woman, later identified as 41-year-old Mercy Cordova. Police arrived to find Cordova dead. When the officers turned a corner, Clark started shooting from the second floor. Police returned fire and killed Clark.</t>
  </si>
  <si>
    <t>http://www.abc15.com/news/region-phoenix-metro/central-phoenix/police-officer-hurt-suspect-down-in-shooting-involving-phoenix-pd</t>
  </si>
  <si>
    <t>Jeffrey Sims</t>
  </si>
  <si>
    <t>Osteen</t>
  </si>
  <si>
    <t>Deputies Miguel Kent and Djhon Knight saw what they thought was an abandoned two-door passenger car on the side of the road, police said. As they approached the car, they noticed Sims in the driver's seat and a handgun in the back seat. The deputies, who were in uniform, positioned themselves on either side of the car and ordered Sims to remain still and not reach for the gun. Sims instead took off his shirt and placed it to obstruct the deputies' view. When the shirt fell from the window, the deputies saw Sims was in the back seat holding the gun. When Sims refused orders to lower the gun, Kent shot and killed him.</t>
  </si>
  <si>
    <t>http://www.news-journalonline.com/article/20160515/NEWS/160519656/101040?Title=UPDATE-Deputy-fatally-shoots-armed-Altamonte-Springs-man-in-West-Volusia</t>
  </si>
  <si>
    <t>Cody Nathaniel Marsh</t>
  </si>
  <si>
    <t>http://www.fatalencounters.org/wp-content/uploads/2013/10/CodyMarch.jpg</t>
  </si>
  <si>
    <t>253 East State Street</t>
  </si>
  <si>
    <t>After posting suicidal thoughts on Facebook, Marsh went to a McDonalds armed with knives and was shot and killed.</t>
  </si>
  <si>
    <t>http://jacksonville.com/news/crime/2016-05-16/story/knife-wielding-19-year-old-orange-park-man-shot-after-charging#</t>
  </si>
  <si>
    <t>Ryan Johnson</t>
  </si>
  <si>
    <t>http://www.fatalencounters.org/wp-content/uploads/2013/10/RyanJohnson.png</t>
  </si>
  <si>
    <t>Stockbridge</t>
  </si>
  <si>
    <t>Police were called twice to a home regarding a domestic dispute between a son and his father. The second time, Johnson refused to talk and when police broke in, he was shot and killed.</t>
  </si>
  <si>
    <t>http://www.11alive.com/news/local/deadly-stockbridge-swat-standoff/192456976</t>
  </si>
  <si>
    <t>Dracy "Clint" Pendleton</t>
  </si>
  <si>
    <t>http://bloximages.chicago2.vip.townnews.com/herald-review.com/content/tncms/assets/v3/editorial/5/17/5171ce25-e7d8-56c7-aebd-96f47e420544/572fec5534175.image.jpg?resize=200%2C267</t>
  </si>
  <si>
    <t>Raum Rd</t>
  </si>
  <si>
    <t>Golconda</t>
  </si>
  <si>
    <t>FBI, Illinois State Police</t>
  </si>
  <si>
    <t>After a massive manhunt because Pendleton was suspected of shooting a police officer, Pendleton was killed in a gunfight.</t>
  </si>
  <si>
    <t>http://thesouthern.com/news/police-shooting-suspect-killed-in-gunfight-with-authorities/article_633ae6fd-f8cc-5af0-955e-544f72791bd1.html</t>
  </si>
  <si>
    <t>Scott Macomber</t>
  </si>
  <si>
    <t>http://www.fatalencounters.org/wp-content/uploads/2013/10/Macomber.png</t>
  </si>
  <si>
    <t>584 Mount Hope Ave.</t>
  </si>
  <si>
    <t>Fall River</t>
  </si>
  <si>
    <t>Fall River Police Department</t>
  </si>
  <si>
    <t>Police went to a home to arrest a woman on outstanding warrants. Macomber also had warrants. He resisted and was shot and killed.</t>
  </si>
  <si>
    <t>http://www.heraldnews.com/article/20160517/NEWS/305179984</t>
  </si>
  <si>
    <t>Jabril Robinson</t>
  </si>
  <si>
    <t>http://www.fatalencounters.org/wp-content/uploads/2013/10/Jabril-Robinson.jpg</t>
  </si>
  <si>
    <t>1500 Cheryl Leigh Dr</t>
  </si>
  <si>
    <t>Robinson was shot and killed after trying to run away from officers who were responding to a domestic dispute between him and his girlfriend. Police said he had a gun; family members disputed this.</t>
  </si>
  <si>
    <t>http://www.11alive.com/news/crime/family-of-man-in-clayton-co-officer-involved-shooting-speaks/199406634</t>
  </si>
  <si>
    <t>Luke Sanders</t>
  </si>
  <si>
    <t>799 99-97 Cutoff</t>
  </si>
  <si>
    <t>Siskiyou County Sheriff's Office</t>
  </si>
  <si>
    <t>Deputies received a called about an armed man acting irrationally with a severe injury. Deputies said Sanders had cut off his own hand. Officials explained they tried to help the man, but he resisted and a confrontation ensued, which escalated based on the threat he posed to deputies, a California Highway Patrol officer and citizens. Deputies said Sanders was armed with an ax and failed to follow commands. He was shot and killed.</t>
  </si>
  <si>
    <t>http://www.krcrtv.com/news/local/siskiyou-co-sheriffs-office-identifies-man-killed-in-shooting/39655576</t>
  </si>
  <si>
    <t>Israel Santos-Banos</t>
  </si>
  <si>
    <t>http://www.fatalencounters.org/wp-content/uploads/2013/10/Santos-Banos.jpg</t>
  </si>
  <si>
    <t>Police say up to six officers who went to a home knowing that they would be confronting an armed suspect. The 911 caller made the disclosure while meeting with police in a nearby parking lot beforehand. Santos-Banos opened fire at police while sitting inside a vehicle in the driveway and he was shot and killed. He killed Officer David Glasser.</t>
  </si>
  <si>
    <t>http://www.azcentral.com/story/news/local/phoenix-breaking/2016/05/20/phoenix-police-id-gunman-who-killed-officer-19-year-old/84640648/</t>
  </si>
  <si>
    <t>Garry Conrad Jr.</t>
  </si>
  <si>
    <t>810 8th Ave</t>
  </si>
  <si>
    <t>Conrad entered the Food Emporium and became aggressive toward workers in the store. After an NYPD officer was alerted, he confronted Conrad and a struggle between the men ensued. Both of them fell to the ground, but when Conrad stood up, he displayed an 8-inch knife and approach the officer and two other officers. He was shot and killed.</t>
  </si>
  <si>
    <t>http://www.nydailynews.com/new-york/man-shot-dead-nypd-involved-shooting-hell-kitchen-article-1.2641080</t>
  </si>
  <si>
    <t>Joseph Weatherby</t>
  </si>
  <si>
    <t>http://www.fatalencounters.org/wp-content/uploads/2013/10/Weatherby.png</t>
  </si>
  <si>
    <t>1617 S Service Road</t>
  </si>
  <si>
    <t>West Sullivan</t>
  </si>
  <si>
    <t>Weatherby fled a stop. There was a car chase, then a foot chase, and then Weatherby pulled a gun on the trooper and was shot and killed.</t>
  </si>
  <si>
    <t>http://www.kmov.com/story/32010068/suspect-wounded-in-officer-involved-shooting-in-crawford-county-mo</t>
  </si>
  <si>
    <t>Jessica Williams</t>
  </si>
  <si>
    <t>http://www.fatalencounters.org/wp-content/uploads/2013/10/Williams.png</t>
  </si>
  <si>
    <t>Shafter Ave and Elmira St</t>
  </si>
  <si>
    <t>Williams was shot and killed by a San Francisco police sergeant after she allegedly attempted to flee officers in a suspected stolen car.</t>
  </si>
  <si>
    <t>http://www.sfgate.com/bayarea/article/Woman-killed-by-SF-police-sergeant-IDd-as-Jessica-7887427.php</t>
  </si>
  <si>
    <t>Jaime Ide</t>
  </si>
  <si>
    <t>http://www.fatalencounters.org/wp-content/uploads/2013/10/Ide.jpg</t>
  </si>
  <si>
    <t>Ide was shot and killed by Citrus Heights police after a standoff with police. Ide was shot and killed at an apartment complex after police said he threatened police with a knife in a narrow corridor.</t>
  </si>
  <si>
    <t>http://www.kcra.com/news/local-news/news-sacramento/citrus-heights-standoff-suspect-shot-killed-by-police-identified/39662410</t>
  </si>
  <si>
    <t>Kentrill William Carraway</t>
  </si>
  <si>
    <t>http://www.fatalencounters.org/wp-content/uploads/2013/10/Carraway-COPSHOOT-MH-AF0111.jpg</t>
  </si>
  <si>
    <t>NW 20th Ave and NW 76th St</t>
  </si>
  <si>
    <t>http://www.miamiherald.com/news/local/crime/article78685602.html</t>
  </si>
  <si>
    <t>Jeremias Cruz</t>
  </si>
  <si>
    <t>http://www.fatalencounters.org/wp-content/uploads/2013/10/Cruz.jpg</t>
  </si>
  <si>
    <t>2140 N Las Vegas Blvd</t>
  </si>
  <si>
    <t>Cruz apparently beat a man to death and refused to follow orders. He attacked an officer and was shot and killed.</t>
  </si>
  <si>
    <t>http://www.reviewjournal.com/crime/homicides/chaotic-episode-leads-fatal-beating-officer-involved-shooting-north-las-vegas-casino</t>
  </si>
  <si>
    <t>Timothy Brandon Stacy</t>
  </si>
  <si>
    <t>Jenny Holland Drive</t>
  </si>
  <si>
    <t>Fisty</t>
  </si>
  <si>
    <t>Troopers responded to a complaint about an intoxicated man who was fighting with several people at a home. Stacy was standing outside and became combative. He then went inside. Troopers say after several attempts to get him to come out unarmed, Stacy came out with a gun. They say he refused to drop the gun, made threats then raised the gun toward officers, and he was shot and killed.</t>
  </si>
  <si>
    <t>http://www.wtvq.com/2016/05/20/ksp-troopers-involved-in-fatal-knott-county-shooting/</t>
  </si>
  <si>
    <t>Joshua S. Beebee</t>
  </si>
  <si>
    <t>http://www.fatalencounters.org/wp-content/uploads/2013/10/Beebee.png</t>
  </si>
  <si>
    <t>W Maple Rd and N 165th St</t>
  </si>
  <si>
    <t>According to police, Beebee was carrying an 11-inch kitchen knife, and he charged at Officer Rowe after repeatedly refusing commands to drop the weapon. People had called police because they had seen Beebee walking in the area for some time with the knife.</t>
  </si>
  <si>
    <t>http://www.ketv.com/news/family-of-man-killed-by-police-speaks-out/39656646</t>
  </si>
  <si>
    <t>Mark Nelson</t>
  </si>
  <si>
    <t>6630 Lumberjack Blvd</t>
  </si>
  <si>
    <t>Coconino</t>
  </si>
  <si>
    <t>Coconino County Sheriff's Office</t>
  </si>
  <si>
    <t>Police said Nelson's mother called 911 reporting Nelson was armed and suicidal behind the home. Coconino County Sheriff's Office, Flagstaff Police Department and the Arizona Department of Public Safety all arrived at the area and tried to convince Nelson to surrender his gun. Nelson drove his truck to the front of the home and got out of the truck with a high-powered rifle. After more negotiation, Nelson pointed the gun at himself, then at officers, which is when CCSO deputies shot and killed him.</t>
  </si>
  <si>
    <t>http://www.12news.com/news/local/arizona/coconino-co-deputies-kill-man-in-standoff/208243333</t>
  </si>
  <si>
    <t>Travis Anthony Moore</t>
  </si>
  <si>
    <t>200 S 2nd St</t>
  </si>
  <si>
    <t>Oregon City Police Department</t>
  </si>
  <si>
    <t>Police say the man was shot when he resisted arrest. Details are pretty sparce.</t>
  </si>
  <si>
    <t>http://koin.com/2016/05/21/oregon-city-police-involved-in-shooting/</t>
  </si>
  <si>
    <t>Norman Campbell</t>
  </si>
  <si>
    <t>1716 Westfield Church Rd</t>
  </si>
  <si>
    <t>Florence County Sheriff's Office, South Carolina Law Enforcement Division</t>
  </si>
  <si>
    <t>Police were investigating shots fired. After a 15-hour standoff, Campbell came out and threatened police with a gun, and he was shot and killed.</t>
  </si>
  <si>
    <t>http://www.wsoctv.com/news/local/officials-investigating-after-fatal-officer-involved-shooting/297346673</t>
  </si>
  <si>
    <t>Bryson Fischer</t>
  </si>
  <si>
    <t>13th Street and Arapahoe Avenue</t>
  </si>
  <si>
    <t>Two officers fired on Fischer when they confronted him about 2:15 p.m. Sunday at Boulder Creek under the Broadway bridge, where he had been firing a gun into the creek. Police say preliminary information indicates Fischer pointed a gun at the officers before they shot and killed him.</t>
  </si>
  <si>
    <t>http://www.denverpost.com/2016/05/24/erie-man-identified-as-man-shot-by-boulder-police-after-pointing-gun/</t>
  </si>
  <si>
    <t>Michael Eugene Wilson Jr.</t>
  </si>
  <si>
    <t>http://www.fatalencounters.org/wp-content/uploads/2013/10/Wilson.png</t>
  </si>
  <si>
    <t>137 Golden Isles Dr</t>
  </si>
  <si>
    <t>According to police, officers were responding to reports of a burglary in progress. Wilson was shot sitting behind the wheel of a car as he and a suspected accomplice attempted to flee.</t>
  </si>
  <si>
    <t>http://www.sun-sentinel.com/local/broward/hallandale/fl-hallandale-beach-police-shooting-20160522-story.html</t>
  </si>
  <si>
    <t>Vernell Bing Jr</t>
  </si>
  <si>
    <t>http://www.fatalencounters.org/wp-content/uploads/2013/10/Vernell-Bing.jpg</t>
  </si>
  <si>
    <t>N Liberty St &amp; E 9th St</t>
  </si>
  <si>
    <t>Vernell Bing Jr. was shot once in the side of the head after leading officers on 3.7-mile high-speed chase that ended when it appeared he intentionally struck the officer's cruiser on a Springfield street, according to the Jacksonville Sheriff's Office.</t>
  </si>
  <si>
    <t>http://www.news4jax.com/news/local/jacksonville/mom-of-man-shot-by-officer-you-took-my-boys-life</t>
  </si>
  <si>
    <t>Jorge Zambrano</t>
  </si>
  <si>
    <t>31 Watch St.</t>
  </si>
  <si>
    <t>Zambrano, 35, is suspected in the shooting and killing of Auburn Police Officer Ronald Tarentino, Jr. during a traffic stop. He was eventually killed at an Oxford home after a standoff with police.</t>
  </si>
  <si>
    <t>http://www.masslive.com/news/worcester/index.ssf/2016/05/jorge_zambrano_may_have_been_s.html</t>
  </si>
  <si>
    <t>Verl Bedonie</t>
  </si>
  <si>
    <t>http://bloximages.chicago2.vip.townnews.com/azdailysun.com/content/tncms/assets/v3/editorial/7/df/7dfeb572-a72c-5524-b113-d7e2e267f1bd/574650e950be2.image.jpg</t>
  </si>
  <si>
    <t>201 West Butler</t>
  </si>
  <si>
    <t>Flagstaff Police Department, Northern Arizona University Police Department</t>
  </si>
  <si>
    <t>Officers responded to reports of an armed man in the High Country Conference Center, after a short chase, an exchange of gunfire and a carjacking, Bedonie was shot and killed.</t>
  </si>
  <si>
    <t>http://www.azcentral.com/story/news/local/arizona/2016/05/23/flagstaff-police-fatally-shoot-man-who-brandished-gun-near-nau/84796144/</t>
  </si>
  <si>
    <t>Bodhi Wilson Dean Phelps</t>
  </si>
  <si>
    <t>http://media.oregonlive.com/gresham_impact/photo/bodhi-wilson-dean-phelps-8f692b99d7717bc2.jpg</t>
  </si>
  <si>
    <t>Gresham</t>
  </si>
  <si>
    <t>Gresham Police Department</t>
  </si>
  <si>
    <t>Wilson was fatally shot by officers after allegedly assaulting and forcing a woman into a car in a Gresham.</t>
  </si>
  <si>
    <t>http://www.oregonlive.com/gresham/index.ssf/2016/05/man_shot_killed_by_police_afte.html</t>
  </si>
  <si>
    <t>Leslie Wayne Goletz</t>
  </si>
  <si>
    <t>I-49 &amp; Highway J</t>
  </si>
  <si>
    <t>Peculiar</t>
  </si>
  <si>
    <t>Cass County Sheriff's Office</t>
  </si>
  <si>
    <t>Police received a report of a suspicious driver on I-49 north of Harrisonville. A caller said the driver had caused several wrecks on the highway. When a deputy tried to stop the driver, the man sped off. Police said an officer from the Peculiar Police Department deployed stop sticks and the driver stopped just north of Highway J on I-49. There was a struggle when the deputy tried to arrest him and the man was shot and killed.</t>
  </si>
  <si>
    <t>http://www.kmbc.com/news/man-shot-killed-by-cass-county-deputy-on-i49/39715442</t>
  </si>
  <si>
    <t>Mario Montoya</t>
  </si>
  <si>
    <t>Western Skies Dr SE</t>
  </si>
  <si>
    <t>Marshals were trying to arrest Montoya for walking away from his assigned halfway house on May 20. They say he pulled a gun and was shot and killed.</t>
  </si>
  <si>
    <t>http://www.kob.com/albuquerque-news/fugitive-dead-after-us-marshals-shooting-in-abq-tuesday-night-mario-montoya-colleen-calamia/4150301/#.V0ya3ZErJOA</t>
  </si>
  <si>
    <t>Doll Pierre Louis</t>
  </si>
  <si>
    <t>http://browardarrests.org/pics/DOLL_PIERRE-LOUIS_501503507.jpg</t>
  </si>
  <si>
    <t>Northwest 167th and Northwest 37th Avenue</t>
  </si>
  <si>
    <t>http://miami.cbslocal.com/2016/05/25/one-dead-after-fhp-involved-shooting-in-miami-gardens/</t>
  </si>
  <si>
    <t>Derek Allan Prophet</t>
  </si>
  <si>
    <t>N Western Ave &amp; W Sheridan Ave</t>
  </si>
  <si>
    <t>Two Oklahoma City police bike patrol officers made contact with a man. They say the man refused to follow officers verbal directions and then produced a knife and made threatening gestures. He was shot and killed.</t>
  </si>
  <si>
    <t>http://kfor.com/2016/05/28/officials-identify-man-killed-in-officer-involved-shooting-in-n-w-oklahoma-city/</t>
  </si>
  <si>
    <t>Fernando Castro</t>
  </si>
  <si>
    <t>1400 Fjord Dr</t>
  </si>
  <si>
    <t>Solvang</t>
  </si>
  <si>
    <t>Castro was wanted on an Amber Alert for kidnapping. After a chase and a carjacking, he was shot and killed.</t>
  </si>
  <si>
    <t>http://ktla.com/2016/05/26/missing-bay-area-teen-was-last-seen-bleeding-screaming-for-help-man-sought-authorities/</t>
  </si>
  <si>
    <t>7958 Old Spanish Trail</t>
  </si>
  <si>
    <t>Sneads</t>
  </si>
  <si>
    <t>Sneads Police Department</t>
  </si>
  <si>
    <t>Police were called to a domestic disturbance. The unidentified woman advanced on the officer with a knife and was shot and killed.</t>
  </si>
  <si>
    <t>http://www.jcfloridan.com/news/local/article_fa3a5b1e-2422-11e6-a9d0-db4bf18c39cd.html</t>
  </si>
  <si>
    <t>Eugene Francis Smith</t>
  </si>
  <si>
    <t>http://minnesota.cbslocal.com/2016/05/27/sp-ois-id/</t>
  </si>
  <si>
    <t>Devonte Gates</t>
  </si>
  <si>
    <t>N 51st St &amp; Eastgate St</t>
  </si>
  <si>
    <t>Washington Park</t>
  </si>
  <si>
    <t>U.S. Marshals Service, Caseyville Police Department</t>
  </si>
  <si>
    <t>Gates was wanted for murdering a 21-year-old St. Charles County mother during a carjacking in downtown St. Louis was shot and killed by police. Few details have been released in the news media.</t>
  </si>
  <si>
    <t>http://fox2now.com/2016/05/27/devonte-gates-21-identified-as-carjacking-suspect-shot-and-killed-by-police/</t>
  </si>
  <si>
    <t>Warren Christian</t>
  </si>
  <si>
    <t>16831 Torrence Ave</t>
  </si>
  <si>
    <t>Christian a man tried to steal meat from an Ultra grocery store. Employees called police, and when officers tried to take the man into custody, police said the man grabbed an officer's gun, shot the officer, and tried to run before he was shot and killed.</t>
  </si>
  <si>
    <t>http://abc7chicago.com/news/officer-injured-suspect-killed-in-shootout-in-lansing-mall-parking-lot/1357848/</t>
  </si>
  <si>
    <t>Angel Daniel Navarro</t>
  </si>
  <si>
    <t>I-25</t>
  </si>
  <si>
    <t>Socorro</t>
  </si>
  <si>
    <t>Police were searching for a carjacked SUV. When they attempted to pull Navarro over, he fled. Exactly what led to the shooting has not been released.</t>
  </si>
  <si>
    <t>http://krqe.com/2016/05/30/police-identify-suspect-shot-killed-by-officers-on-i-25/</t>
  </si>
  <si>
    <t>2434 SW Loop 410</t>
  </si>
  <si>
    <t>Police said the unidentified man was a wanted man who wasn't willing to be arrested. He fought and was tasered, but he grabbed one of the officer's guns and was shot and killed.</t>
  </si>
  <si>
    <t>http://www.ksat.com/news/motel-guest-man-shot-killed-by-police-had-been-acting-strangely</t>
  </si>
  <si>
    <t>Terry Edwards</t>
  </si>
  <si>
    <t>While serving a search warrant regarding an earlier shooting, Indiana State Police broke down the front door of a home and were met by an armed suspect. There was an exchange of gunfire, and Edwards was shot and killed.</t>
  </si>
  <si>
    <t>http://fox59.com/2016/05/27/indiana-state-police-shoot-kill-suspect-during-drug-investigation/</t>
  </si>
  <si>
    <t>Dennis Hudson</t>
  </si>
  <si>
    <t>53410 Old US Hwy 78</t>
  </si>
  <si>
    <t>Eastaboga</t>
  </si>
  <si>
    <t>Police have released little information. A witness said she heard police telling the man to put down his gun before he was shot and killed.</t>
  </si>
  <si>
    <t>http://www.wbrc.com/story/32088819/officer-involved-shooting-in-lincoln-leaves-1-dead</t>
  </si>
  <si>
    <t>Dennis Humphrey</t>
  </si>
  <si>
    <t>Officers responded to a domestic violence call, police say. A man identified as Dennis Humphrey pointed a gun at them, and police shot and killed him.</t>
  </si>
  <si>
    <t>http://www.kob.com/albuquerque-news/police-man-in-critical-condition-after-officer-involved-shooting/4153659/?cat=504#.V0uoI5ErK00</t>
  </si>
  <si>
    <t>Ollie Lee Brooks</t>
  </si>
  <si>
    <t>http://www.fatalencounters.org/wp-content/uploads/2013/10/Brooks.png</t>
  </si>
  <si>
    <t>1011 S Garnett Rd</t>
  </si>
  <si>
    <t>Officers went to the motel to search the register for guests with outstanding warrants, police said. They found that Brooks — who was wanted in Okmulgee County — was staying there. Two officers went to his room, knocked on the door and, when Brooks answered, reportedly saw drug paraphernalia. Police entered the room to arrest Brooks, and he fought them, getting pepper-sprayed, tasered and killed.</t>
  </si>
  <si>
    <t>http://www.tulsaworld.com/news/crimewatch/man-dies-after-tulsa-police-officer-pepper-sprays-shocks-him/article_d8d5b3f7-a624-573c-8c79-c20bc546dc66.html</t>
  </si>
  <si>
    <t>Ernesto Carraman</t>
  </si>
  <si>
    <t>Carman was throwing items and causing a disturbance at a house, which prompted family members to call police. When he resisted arrest, he was tasered and restrained and died.</t>
  </si>
  <si>
    <t>http://www.mysanantonio.com/news/local/crime/article/Man-tasered-by-SAPD-officers-while-resisting-7951532.php</t>
  </si>
  <si>
    <t>Ronald Edward Brown III</t>
  </si>
  <si>
    <t>17-92 and Firehouse Road</t>
  </si>
  <si>
    <t>Deputies responded to an armed robbery at the Orange City Park N Ride, where victims reported their wallets were stolen at gunpoint. Deputies said they stopped the suspect vehicle in DeLand. The woman driver, identified as Erin Casey Finney, 24, was taken into custody, but the male suspect, Donald Edward Brown III, 32, refused to comply with the deputies' request that he show his hands. The Sheriff's Office said three of their deputies shot and killed Brown, who was found to have a knife in his hand following the shooting.</t>
  </si>
  <si>
    <t>http://www.clickorlando.com/news/deputy-involved-shooting-closes-parts-of-17-92-in-deland</t>
  </si>
  <si>
    <t>John Mark Coffey</t>
  </si>
  <si>
    <t>100 Southeast Boulevard</t>
  </si>
  <si>
    <t>Clinton Police Department, North Carolina State Highway Patrol</t>
  </si>
  <si>
    <t>Officers were called to the Burger King regarding a man sitting in a truck with a gun on his lap. Local officers and members of the North Carolina State Highway Patrol closed off the parking lot and talked to the man for about half an hour. When the man pointed his gun at officers, they shot and killed him.</t>
  </si>
  <si>
    <t>http://www.wral.com/clinton-police-shoot-armed-man-in-burger-king-parking-lot/15737165/</t>
  </si>
  <si>
    <t>Todd Brent Burroughs</t>
  </si>
  <si>
    <t>http://www.fatalencounters.org/wp-content/uploads/2013/10/Burroughs.png</t>
  </si>
  <si>
    <t>3287 Garrett Rd</t>
  </si>
  <si>
    <t>Stoneville</t>
  </si>
  <si>
    <t>Rockingham County Sheriff's Department</t>
  </si>
  <si>
    <t>Two deputies were investigating a car parked behind a business when the vehicle drove away. Authorities say the deputies tried to pull the car over for several miles before it stopped. Investigators say a man inside the car then started to fight with the officers and was shot and killed.</t>
  </si>
  <si>
    <t>http://abc11.com/news/1-dead-after-deputy-involved-shooting-in-rockingham-co/1361749/</t>
  </si>
  <si>
    <t>Dionisio Garza III</t>
  </si>
  <si>
    <t>http://www.fatalencounters.org/wp-content/uploads/2013/10/Dionisio-Garza-III.png</t>
  </si>
  <si>
    <t>13200 Memorial Drive</t>
  </si>
  <si>
    <t>Dionisio Garza III, 25, has been identified as the shooter in the Memorial Drive mass shooting in west Houston. Eight people were shot and two of them, including Garza, were killed.</t>
  </si>
  <si>
    <t>http://abc13.com/news/mystery-surrounds-west-houston-mass-shooting/1362286/</t>
  </si>
  <si>
    <t>Osee Calix</t>
  </si>
  <si>
    <t>http://bloximages.chicago2.vip.townnews.com/tucson.com/content/tncms/assets/v3/editorial/a/e7/ae79fbd0-2792-11e6-ab5a-77abeb9d06ab/574e31338aace.image.jpg</t>
  </si>
  <si>
    <t>N Columbus Blvd and E Fairmount St</t>
  </si>
  <si>
    <t>Calix was detained for crashing his bike and lying about his name. He apparently gave police a false name. He pulled a gun and was shot and killed.</t>
  </si>
  <si>
    <t>http://www.abc15.com/news/region-central-southern-az/tucson/man-osee-calix-shot-by-tucson-police-dies-from-his-injuries</t>
  </si>
  <si>
    <t>Robert Wickizer</t>
  </si>
  <si>
    <t>http://www.fatalencounters.org/wp-content/uploads/2013/10/Robert-Wickizer.jpg</t>
  </si>
  <si>
    <t>Tualatin</t>
  </si>
  <si>
    <t>Tualatin Police Department</t>
  </si>
  <si>
    <t>Wickizer was armed with a gun and trying to break into a neighbor's house, apparently in pursuit of two of his female family members, when he was shot and killed, according to police.</t>
  </si>
  <si>
    <t>http://www.oregonlive.com/tualatin/index.ssf/2016/05/tualatin_police_shoot_man.html</t>
  </si>
  <si>
    <t>Nicholas Berger</t>
  </si>
  <si>
    <t>http://www.fatalencounters.org/wp-content/uploads/2013/10/Nicholas-Berger.jpg</t>
  </si>
  <si>
    <t>59800 South Highway 97</t>
  </si>
  <si>
    <t>Berger was shot after he held a woman around the neck with a knife held to her throat, threatening to kill her inside the High Desert Museum. The events leading up to the incident have not been disclosed.</t>
  </si>
  <si>
    <t>http://www.oregonlive.com/pacific-northwest-news/index.ssf/2016/06/man_killed_by_police_at_bend_m.html</t>
  </si>
  <si>
    <t>2020 N 75th Ave</t>
  </si>
  <si>
    <t>Police responded to a report of an armed man yelling profanities and banging on doors and windows at a strip mall. Police said a worker cleaning the strip mall's parking lot called 911 to report the man's conduct, saying that the man was frothing at the mouth. Three to four officers exchanged fire with the man, killing him.</t>
  </si>
  <si>
    <t>http://www.azcentral.com/story/news/local/phoenix/2016/06/01/police-kill-armed-man-west-phoenix-strip-mall/85233632/</t>
  </si>
  <si>
    <t>Michael Johnson</t>
  </si>
  <si>
    <t>http://www.fatalencounters.org/wp-content/uploads/2013/10/MichaelJohnson.jpg</t>
  </si>
  <si>
    <t>590 Bullsboro Dr</t>
  </si>
  <si>
    <t>Newnan</t>
  </si>
  <si>
    <t>Coweta County Sheriff's Office</t>
  </si>
  <si>
    <t>Johnson fled on foot from a traffic stop, shooting at the deputy who stopped him. He was shot and killed.</t>
  </si>
  <si>
    <t>http://www.ajc.com/news/news/crime-law/man-killed-by-deputies-had-10-outstanding-warrants/nrYnr/</t>
  </si>
  <si>
    <t>Daniel Pigg</t>
  </si>
  <si>
    <t>http://www.fatalencounters.org/wp-content/uploads/2013/10/daniel-pigg.jpg</t>
  </si>
  <si>
    <t>Log Cabin Rd and Arthur Jackson Ln</t>
  </si>
  <si>
    <t>Berea</t>
  </si>
  <si>
    <t>Deputy Kevin Crutcher had attempted to make a traffic stop of a Ford F-150, which pulled into a driveway. Pigg got out of the vehicle and walked to the door of a home. State police said Pigg ignored verbal commands and then shot Crutcher. After being struck, Crutcher shot and killed Pigg.</t>
  </si>
  <si>
    <t>http://www.kentucky.com/news/local/crime/article81140062.html</t>
  </si>
  <si>
    <t>Joshua Smith</t>
  </si>
  <si>
    <t>Megan Way and East Jean Drive</t>
  </si>
  <si>
    <t>Palmer</t>
  </si>
  <si>
    <t>Troopers in Palmer were notified of a disturbance. When officials arrived on scene, they encountered a man wielding a knife, police said. "While troopers were talking with him, the male charged at troopers with a knife in his hand," troopers wrote. "Two troopers fired their service weapons while one trooper attempted to utilize a Taser." The man was shot multiple times and died a short time later.</t>
  </si>
  <si>
    <t>http://www.ktuu.com/content/news/Trooper-involved-shooting-381742681.html</t>
  </si>
  <si>
    <t>Rodney Rodriguez Smith</t>
  </si>
  <si>
    <t>7800 N Tryon St</t>
  </si>
  <si>
    <t>Officers responded to a 911 call for shots fired on a CATS bus near the intersection of North Tryon Street and University City Boulevard. When police arrived, they discovered that a person had been shot in the lower leg on the bus. Police said officers Michael Bell and Garret Tryon located the suspect, 18-year-old Rodney Rodriguez Smith, down the street. Police perceived an “imminent lethal threat,” and shot and killed Smith.</t>
  </si>
  <si>
    <t>http://www.wcnc.com/news/crime/cmpd-officer-shoots-kills-suspect/229338499</t>
  </si>
  <si>
    <t>Willie Demetrius "Meat-Meat" James</t>
  </si>
  <si>
    <t>http://www.fatalencounters.org/wp-content/uploads/2013/10/WillieJames.jpg</t>
  </si>
  <si>
    <t>400 Chapel St</t>
  </si>
  <si>
    <t>Norfolk police said James had a knife and lunged at officers was shot and killed him in a home. Relatives said he had no weapon.</t>
  </si>
  <si>
    <t>http://pilotonline.com/news/local/crime/man-shot-and-killed-by-norfolk-officers-relatives-dispute-police/article_77ad85c6-c5b6-5278-89a9-e9f5d67c92e1.html</t>
  </si>
  <si>
    <t>Hubert “Bones” Burns Jr.</t>
  </si>
  <si>
    <t>50 Homes Rd</t>
  </si>
  <si>
    <t>Colorado River Indian Tribes Police Department</t>
  </si>
  <si>
    <t>Colorado River Indian Tribes Dispatch received a call from a reporting party requesting an officer respond to 100 Homes because there was a man with a knife pointing it at people. The officer made contact with the male subject who was still wielding the knife. The officer gave multiple commands to drop the knife, but the man did not, and he was shot and killed.</t>
  </si>
  <si>
    <t>http://www.parkerliveonline.com/2016/06/04/officer-involved-shooting-at-100-homes-one-dead/</t>
  </si>
  <si>
    <t>Jamie Lee Brave Heart</t>
  </si>
  <si>
    <t>US-18</t>
  </si>
  <si>
    <t>Pine Ridge</t>
  </si>
  <si>
    <t>Oglala Lakota</t>
  </si>
  <si>
    <t>Pine Ridge Tribal Police Department</t>
  </si>
  <si>
    <t>Brave Heart allegedly stabbed an officer while under police custody and waiting for a medical evaluation in the emergency room at the Indian Health Service hospital in Pine Ridge.</t>
  </si>
  <si>
    <t>http://www.ksfy.com/content/news/Man-shot-by-tribal-police-officer-in-emergency-room-dies-383111841.html</t>
  </si>
  <si>
    <t>Demarco Rhymes</t>
  </si>
  <si>
    <t>https://blackopswiki.s3.amazonaws.com/uploads/article/avatar/2213/large_avatar_DemarcoRhymes.jpg</t>
  </si>
  <si>
    <t>999 Stephenson St</t>
  </si>
  <si>
    <t>Eufaula Police Department</t>
  </si>
  <si>
    <t>Police said Rhymes shot a 2-year-old in the leg at Level Acres Mobile Home Park. Afterward, Rhymes traveled to Davis Street, where he shot a 42-year-old woman, and then to Norman Street, where he shot a 39-year-old man. Police caught up with Rhymes near Zion Church. Authorities said Rhymes shot at police when he encountered them. He then led police on a foot and car chase and shot at police before being shot and killed.</t>
  </si>
  <si>
    <t>http://www.al.com/news/montgomery/index.ssf/2016/06/officer-involved_shooting_unde.html</t>
  </si>
  <si>
    <t>Daniel Jonathan Shaham</t>
  </si>
  <si>
    <t>92 W Louie Rd</t>
  </si>
  <si>
    <t>Details are sketchy. A trooper shot and killed a man, but the events leading up to the killing have been withheld.</t>
  </si>
  <si>
    <t>http://www.redding.com/news/local/Suspect-killed-in-officer-involved-shooting-381880091.html</t>
  </si>
  <si>
    <t>Larry Dustin Stepp</t>
  </si>
  <si>
    <t>Police said a caller to 911 at first told a dispatcher a man was harassing her granddaughter, and then said he had produced a knife and stabbed the girl in the stomach. When two officers arrived at the scene, Stepp was outside holding a knife with a long blade, and he began to walk toward the officers. The patrolmen told Stepp to stop and then shot and killed him.</t>
  </si>
  <si>
    <t>http://www.thestarpress.com/story/news/crime/2016/06/04/man-injured-police-action-shooting-muncie/85419012/</t>
  </si>
  <si>
    <t>Christopher Moran</t>
  </si>
  <si>
    <t>5100 Skyline Blvd</t>
  </si>
  <si>
    <t>Moran was suspected of killing two people immediately before his car was stopped by police, and he opened fire before being shot and killed.</t>
  </si>
  <si>
    <t>http://www.news-press.com/story/news/crime/2016/06/05/cape-coral-police-investigate-shooting/85459222/</t>
  </si>
  <si>
    <t>Hope Catherine Elferdink</t>
  </si>
  <si>
    <t>90 McAllister Rd</t>
  </si>
  <si>
    <t>Battle Creek</t>
  </si>
  <si>
    <t>Calhoun County Sheriff's Office</t>
  </si>
  <si>
    <t>Calhoun County Sheriff's Deputy Mark Elferdink, 43, apparently murdered his wife, Hope Elferdink, 38, before committing suicide.</t>
  </si>
  <si>
    <t>http://woodtv.com/2016/06/05/calhoun-co-deputy-spouse-killed-in-emmett-twp/</t>
  </si>
  <si>
    <t>Kalyp Allen Rapoza</t>
  </si>
  <si>
    <t>http://www.hawaiipolice.com/wp-content/gallery/04-27-15-wanted-kalyp-rapoza/kalyp-rapoza.JPG</t>
  </si>
  <si>
    <t>Kanoelehua Ave and E Kawailani St</t>
  </si>
  <si>
    <t>Police say they received a report of a disturbance from a home on West Kawailani Street. When an officer got there, he came across a man armed with a knife, along with a pit bull that had chased paramedics into their vehicle. He was shot and killed.</t>
  </si>
  <si>
    <t>http://khon2.com/2016/06/06/police-investigate-officer-involved-hilo-shooting/</t>
  </si>
  <si>
    <t>Henry Green</t>
  </si>
  <si>
    <t>Ontario St and Duxberry Ave</t>
  </si>
  <si>
    <t>Two officers were working undercover in the Linden area in an unmarked vehicle. The officers came across two people, one armed with a gun. They told Green suspect to drop the gun. He started shooting at the officers and was shot and killed.</t>
  </si>
  <si>
    <t>http://nbc4i.com/2016/06/06/reported-north-columbus-shooting-leaves-1-in-critical-condition/</t>
  </si>
  <si>
    <t>Omar Villagomez</t>
  </si>
  <si>
    <t>2300 W Main St</t>
  </si>
  <si>
    <t>Police were trying to arrest Villagomez when the vehicle he was driving collided with unmarked police vehicles. The Modesto officers fired, killing Villagomez.</t>
  </si>
  <si>
    <t>http://www.modbee.com/news/local/crime/article83107557.html</t>
  </si>
  <si>
    <t>William "David" Powell</t>
  </si>
  <si>
    <t>http://www.fatalencounters.org/wp-content/uploads/2013/10/William-Powell.jpg</t>
  </si>
  <si>
    <t>690 Swan Lake Rd</t>
  </si>
  <si>
    <t>http://www.wsbtv.com/news/local/henry-county/man-shot-by-police-responding-to-wrong-location-has-died/333736593</t>
  </si>
  <si>
    <t>Andrew Henson</t>
  </si>
  <si>
    <t>S Polk Ave and SW 13th St</t>
  </si>
  <si>
    <t>Wagoner</t>
  </si>
  <si>
    <t>Wagoner Police Department</t>
  </si>
  <si>
    <t>Police tried to stop Henson's vehicle for a routine traffic violation, police said. Henson drove off then hit the officer's car before rolling his own vehicle. Henson got out of his car and ran, making a threatening gesture to the officer who then shot and killed him.</t>
  </si>
  <si>
    <t>http://www.newson6.com/story/32161369/25-year-old-man-shot-killed-by-wagoner-police-officer</t>
  </si>
  <si>
    <t>Willis Walker Jr.</t>
  </si>
  <si>
    <t>Culpeper County Sheriff's Office</t>
  </si>
  <si>
    <t>http://wtvr.com/2016/06/08/culpeper-sheriffs-shooting-update/</t>
  </si>
  <si>
    <t>Carlos Garcia</t>
  </si>
  <si>
    <t>3500 Bellefontaine Ave</t>
  </si>
  <si>
    <t>U.S. Drug Enforcement Administration</t>
  </si>
  <si>
    <t>Michael J. Wilkins was the primary target of a U.S. Drug Enforcement Administration task force involved in a four-hour standoff. On Thursday, federal prosecutors charged Wilkins with possessing about 5 kilos of methamphetamine with intent to distribute. Carlos Garcia, 43, died in a shootout with police at the home after Wilkins was arrested outside.</t>
  </si>
  <si>
    <t>http://www.kansascity.com/news/local/crime/article82909297.html</t>
  </si>
  <si>
    <t>William Michael Hollis</t>
  </si>
  <si>
    <t>5th Ave S and 30th St S</t>
  </si>
  <si>
    <t>Irondale Police Department</t>
  </si>
  <si>
    <t>Officers pursued Hollis and a woman who was in the vehicle with him from Irondale to Birmingham. Police aren't saying what happened next, but there was a crash involving the suspects' yellow sedan and an SUV. Hollis was shot and killed about 300 feet from the crash scene.</t>
  </si>
  <si>
    <t>https://s.yimg.com/uu/api/res/1.2/wJW0B82wIMb_Pjg8mCsdNA--/Zmk9c3RyaW07aD0xNzA7cHlvZmY9MDtxPTgwO3c9MTcwO3NtPTE7YXBwaWQ9eXRhY2h5b24-/http://slingstone.zenfs.com/offnetwork/3fdec23f75cdcfce27f76f3db98f87b5</t>
  </si>
  <si>
    <t>10498 W County 11th St</t>
  </si>
  <si>
    <t>Somerton</t>
  </si>
  <si>
    <t>http://www.yumasun.com/news/border-agent-shoots-kills-illegal-entrant-who-was-attacking-him/article_b115c42a-2f33-11e6-97ba-2f90c328452a.html</t>
  </si>
  <si>
    <t>200 Silver St</t>
  </si>
  <si>
    <t>Ishpeming</t>
  </si>
  <si>
    <t>Marquette</t>
  </si>
  <si>
    <t>Marquette County Sheriff's Office</t>
  </si>
  <si>
    <t>A deputy was dispatched to a residence in Ishpeming Township after receiving a report that an unidentified man had called UP Health System Marquette to say that he was in severe pain and was going to take his own life. Upon arriving at the scene, the deputy was confronted by an elderly male subject. The deputy attempted to calm the situation by engaging in conversation with the subject, but the individual leveled a shotgun at the deputy. The deputy shot and killed him.</t>
  </si>
  <si>
    <t>http://www.uppermichiganssource.com/content/news/Police-responding-to-Ishpeming-Twp-incident-382352271.html</t>
  </si>
  <si>
    <t>James Allen Nickol</t>
  </si>
  <si>
    <t>974 East Philadelphia Street</t>
  </si>
  <si>
    <t>http://fox43.com/2016/06/09/suspect-dead-and-sheriffs-deputy-injured-in-shooting-in-york-city/</t>
  </si>
  <si>
    <t>John Michael Brisco</t>
  </si>
  <si>
    <t>http://www.fatalencounters.org/wp-content/uploads/2013/10/Brisco.png</t>
  </si>
  <si>
    <t>3700 Hwy 365</t>
  </si>
  <si>
    <t>Police say they responded to a robbery at Walgreens in Port Arthur. Investigators say Brisco fired a shot in the store as he was leaving. When officers arrived, a chase began and shots were exchanged. An officer shot and killed Brisco a few buildings down from Walgreens.</t>
  </si>
  <si>
    <t>http://kfdm.com/news/local/new-information-on-shooting-of-port-arthur-walgreens-robbery-suspect</t>
  </si>
  <si>
    <t>Lorez Rayfond Chambers</t>
  </si>
  <si>
    <t>http://www.fatalencounters.org/wp-content/uploads/2013/10/Lorez-Rayfond-Chambers.jpg</t>
  </si>
  <si>
    <t>1840 NW 10 Street</t>
  </si>
  <si>
    <t>http://kfor.com/2016/06/20/oklahoma-city-man-dies-in-police-custody/</t>
  </si>
  <si>
    <t>Bobby Sanchez</t>
  </si>
  <si>
    <t>Sanchez was being sought in connection with robberies in Colorado Springs, police said. Pueblo police assisted the Department of Corrections Fugitive Unit search for him. Police said Sanchez led an officer on a brief foot chase to a field behind a home. He turned and pointed a handgun at the officer, who shot and killed him.</t>
  </si>
  <si>
    <t>http://gazette.com/man-shot-by-pueblo-police-idd-as-colorado-springs-resident/article/1578192</t>
  </si>
  <si>
    <t>Clayton Thomas Millsaps</t>
  </si>
  <si>
    <t>124 Estes Rd</t>
  </si>
  <si>
    <t>Millsaps had assaulted two people with a bat and was coming after the officers when he was shot and killed, according to police.</t>
  </si>
  <si>
    <t>http://www.officer.com/news/12220262/north-carolina-deputies-kill-bat-wielding-suspect</t>
  </si>
  <si>
    <t>J. Juan Briseno-Ortega</t>
  </si>
  <si>
    <t>2125 S 68th Ave</t>
  </si>
  <si>
    <t>Police responded to a domestic dispute believed to involve two brothers and found two men fighting in the garage of the single-family home, police said. After one of the men pulled a handgun, one of the officers shot and killed him.</t>
  </si>
  <si>
    <t>http://www.yakimaherald.com/news/crime_and_courts/man-shot-and-killed-by-yakima-police-identified/article_29b696c6-3014-11e6-95e5-8f6bf16c087a.html</t>
  </si>
  <si>
    <t>Jesus Duran</t>
  </si>
  <si>
    <t>Deputies responded to a family disturbance call. Authorities said Duran's family called for help, saying Duran was threatening them. When deputies arrived, they found Duran armed with a home-made spear. Police said they attempted to use a Taser when Duran lunged at the deputies. One deputy shot and killed him.</t>
  </si>
  <si>
    <t>http://abc7.com/news/suspect-with-spear-killed-in-maywood-deputy-involved-shooting/1381668/</t>
  </si>
  <si>
    <t>Lyndarius Witherspoon</t>
  </si>
  <si>
    <t>320 Monument Dr</t>
  </si>
  <si>
    <t>Tupelo Police Department</t>
  </si>
  <si>
    <t>Shortly after allegedly killing his pregnant girlfriend in Baldwyn, a Tupelo man on the run from police posted a video on social media saying he was responsible for the May 13 killing of a Tupelo cab driver. Lyndarius Witherspoon was shot and killed in a gun battle with Tupelo police in an apartment complex parking lot. He didn't mention the dead girlfriend, and it's uncertain whether he actually killed the cabby.</t>
  </si>
  <si>
    <t>http://djournal.com/news/alleged-shooter-claims-cabbie-killing/</t>
  </si>
  <si>
    <t>Omar Mir Seddique Mateen</t>
  </si>
  <si>
    <t>http://www.fatalencounters.org/wp-content/uploads/2013/10/mateen.jpg</t>
  </si>
  <si>
    <t>1912 S Orange Ave</t>
  </si>
  <si>
    <t>Mateen killed at least 48 people at the Pulse nightclub in Orlando. He was shot and killed. It was the largest mass murder by a single individual in U.S. history.</t>
  </si>
  <si>
    <t>http://www.cnn.com/2016/06/12/us/orlando-shooting-timeline/</t>
  </si>
  <si>
    <t>Daniel Bennett Edwards</t>
  </si>
  <si>
    <t>2198 E. Summit Way</t>
  </si>
  <si>
    <t>Eagle Mountain</t>
  </si>
  <si>
    <t>Deputies were called to a home when Edwards' wife reported her husband was threatening suicide and was holding a large knife on a girl he'd taken hostage, police said. Edwards died from a single gunshot to the head during a standoff with police when deputies rushed into his Eagle Mountain home to prevent him from harming the girl who was being held at knifepoint.</t>
  </si>
  <si>
    <t>http://www.heraldextra.com/news/local/crime-and-courts/police-identify-man-killed-in-eagle-mountain-officer-involved-shooting/article_1e7adbd2-c5da-5492-85a6-8bb21aa017d2.html</t>
  </si>
  <si>
    <t>6958 Coral Hill Rd</t>
  </si>
  <si>
    <t>Glasgow</t>
  </si>
  <si>
    <t>Barren</t>
  </si>
  <si>
    <t>Barren County Sheriff's Office</t>
  </si>
  <si>
    <t>Williams and his wife were involved in a domestic situation at their home. William shot his wife in the arm. She fled the residence and called 911, police said. Williams fled but returned home. Williams fired a gun multiple times and in response Deputy Dean Crumbaugh returned fire, killing him.</t>
  </si>
  <si>
    <t>http://www.glasgowdailytimes.com/news/update-shooting-in-hiseville-leaves-one-man-dead/article_1424ae2c-3133-11e6-9ef6-ab99744949e6.html</t>
  </si>
  <si>
    <t>Michael Moore</t>
  </si>
  <si>
    <t>Stanton Road and Wagner Street</t>
  </si>
  <si>
    <t>A Mobile police officer pulled over the car that Moore was driving. There were two other people inside. Moore didn't have a valid license and was told to step out of the vehicle. Once out of the vehicle, police say there was a brief confrontation, and the officer noticed Moore had a handgun on his waist. The officer pulled his gun and shot Moore four times, killing him.</t>
  </si>
  <si>
    <t>http://local15tv.com/news/local/officer-involved-shooting-on-stanton-road</t>
  </si>
  <si>
    <t>Frank Anthony Kelley</t>
  </si>
  <si>
    <t>http://www.fatalencounters.org/wp-content/uploads/2013/10/frank-anthony-kelley.jpg</t>
  </si>
  <si>
    <t>2143 43rd St SE</t>
  </si>
  <si>
    <t>Grand Rapids</t>
  </si>
  <si>
    <t>Kelley was a suspect in the robbery of a credit union. After a vehicle pursuit, and a short foot chase, police say Kelley pointed a gun at the officer and was shot and killed.</t>
  </si>
  <si>
    <t>http://www.mlive.com/news/grand-rapids/index.ssf/2016/06/robbery_suspect_shot_and_kille.html</t>
  </si>
  <si>
    <t>Joshua Sciscm</t>
  </si>
  <si>
    <t>http://www.fatalencounters.org/wp-content/uploads/2013/10/Joshua-Sciscm.jpg</t>
  </si>
  <si>
    <t>1st Ave &amp; Sunset St</t>
  </si>
  <si>
    <t>Plainclothes detectives were investigating something when Sciscm approached them. Police said Sciscm and the detectives had a brief conversation. Police said he lifted his shirt and exposed a handgun in his waistband. Detectives then left their vehicle, drew their service weapons and identified themselves as police. According to police, Sciscm drew his weapon and pointed it at the detectives. One detective fired several rounds and killed Sciscm.</t>
  </si>
  <si>
    <t>http://news10.com/2016/06/13/police-investigating-officer-involved-shooting-in-schenectady/</t>
  </si>
  <si>
    <t>Edward Acquisto</t>
  </si>
  <si>
    <t>http://www.fatalencounters.org/wp-content/uploads/2013/10/Edward-Acquisto.jpg</t>
  </si>
  <si>
    <t>110 Ford Farm Road</t>
  </si>
  <si>
    <t>Tiverton</t>
  </si>
  <si>
    <t>Newport</t>
  </si>
  <si>
    <t>Acquisto allegedly killed John Cloud before leading police on a chase, shooting at them and then being shot and killed when he got out of the car.</t>
  </si>
  <si>
    <t>http://patch.com/rhode-island/tiverton/shootings-reported-tiverton</t>
  </si>
  <si>
    <t>Kenneth Allen Pointer</t>
  </si>
  <si>
    <t>http://16749-presscdn-0-94.pagely.netdna-cdn.com/wp-content/uploads/2016/06/Kenneth-Allen-Pointer.jpg</t>
  </si>
  <si>
    <t>NE 10th Ave &amp; NE 219th St</t>
  </si>
  <si>
    <t>After a bank robbery and chase, Pointer was shot and killed by Deputy Albin Boyse.</t>
  </si>
  <si>
    <t>http://www.oregonlive.com/clark-county/index.ssf/2016/06/vancouver_bank_robbery_suspect_2.html</t>
  </si>
  <si>
    <t>Noel Rodriguez</t>
  </si>
  <si>
    <t>http://www.fatalencounters.org/wp-content/uploads/2013/10/Noel-Rodriguez.jpg</t>
  </si>
  <si>
    <t>8711 Brynwood Dr</t>
  </si>
  <si>
    <t>http://www.idahostatesman.com/news/local/crime/article83638777.html</t>
  </si>
  <si>
    <t>Fernando Geovanni Llanez</t>
  </si>
  <si>
    <t>2310 Proctor Valley Rd</t>
  </si>
  <si>
    <t>US Homeland Security</t>
  </si>
  <si>
    <t>Police said a meeting between Homeland Security investigators and suspected high level drug dealers devolved into a violent struggle and the fatal shooting of Llanez, police said</t>
  </si>
  <si>
    <t>http://www.nbcsandiego.com/news/local/Chula-Vista-Police-Searching-for-Suspect-in-Eastlake-Shooting-383023971.html</t>
  </si>
  <si>
    <t>Nicholas Ferro</t>
  </si>
  <si>
    <t>North Outer Road</t>
  </si>
  <si>
    <t>Lafayette County Sheriff's Office</t>
  </si>
  <si>
    <t>A woman called 911 to report two men at her house near North Outer Road east of Johnson Drive, asking for gasoline. When a deputy responded to the call, the deputy made contact with the vehicle and two men. Police said one of the men produced a gun and the deputy shot and killed him.</t>
  </si>
  <si>
    <t>http://fox4kc.com/2016/06/14/lafayette-county-deputy-shoots-kills-armed-man-officials-report/</t>
  </si>
  <si>
    <t>Mohammad Sadegh Moghaddam</t>
  </si>
  <si>
    <t>http://www.fatalencounters.org/wp-content/uploads/2013/10/Mohammad-Sadegh-Moghaddam.jpg</t>
  </si>
  <si>
    <t>4215 Canyon Dr</t>
  </si>
  <si>
    <t>Moghaddam was shot dead by police after opening fire inside a Texas Walmart where he worked before taking two people hostage.</t>
  </si>
  <si>
    <t>http://heavy.com/news/2016/06/mohammad-sadegh-moghaddam-amarillo-texas-walmart-gunman-shooter-hostage-somalia-somalian-wife-leila-gachlou-photos/</t>
  </si>
  <si>
    <t>Russell Rosser</t>
  </si>
  <si>
    <t>http://www.fatalencounters.org/wp-content/uploads/2013/10/Russell-Rosser.jpg</t>
  </si>
  <si>
    <t>Rosser hit a police car and fled. As an officer attempted to put down stop sticks, Rosser allegedly swerved toward him, and Rosser was shot and killed.</t>
  </si>
  <si>
    <t>http://www.newson6.com/story/32240844/tpd-identifies-sergeant-involved-in-fatal-shooting</t>
  </si>
  <si>
    <t>Michael Rasmussen</t>
  </si>
  <si>
    <t>US 141 and Holmes Junction Road</t>
  </si>
  <si>
    <t>Pembine</t>
  </si>
  <si>
    <t>Rasmussen was being pursued because he'd made threats. After negotiating by phone, he pulled over and threatened police with a gun before he was shot and killed.</t>
  </si>
  <si>
    <t>http://wbay.com/2016/06/15/large-police-presence-near-pembine/</t>
  </si>
  <si>
    <t>Ronald Delfino</t>
  </si>
  <si>
    <t>http://www.fatalencounters.org/wp-content/uploads/2013/10/Ronald-Delfino.jpg</t>
  </si>
  <si>
    <t>Central Ave and Unsner Blvd</t>
  </si>
  <si>
    <t>After a carjacking and murder, police caught up with Delfino, chased him and exchanged gunfire. Delfino was shot and killed.</t>
  </si>
  <si>
    <t>http://krqe.com/2016/06/17/bcso-identifies-suspect-in-fatal-carjacking/</t>
  </si>
  <si>
    <t>8601 Sheridan Blvd</t>
  </si>
  <si>
    <t>Officers were in the parking lot of a Guitar Center trying to arrest a man who had multiple felony warrants, police said. Police said there was a struggle outside the suspect's vehicle and it had a remote start. The suspect managed to get into the car. He tried to drive off, dragging and officer, and was shot and killed.</t>
  </si>
  <si>
    <t>http://www.9news.com/news/crime/suspect-dead-after-officer-involved-shooting/246481939</t>
  </si>
  <si>
    <t>Peter Grandpre</t>
  </si>
  <si>
    <t>604 S Clark St</t>
  </si>
  <si>
    <t>Silver Bow</t>
  </si>
  <si>
    <t>Butte Police Department</t>
  </si>
  <si>
    <t>Police were called to a domestic disturbance. Grandpre and the officer exchanged gunfire, and Grandpre was shot and killed.</t>
  </si>
  <si>
    <t>http://helenair.com/news/crime-and-courts/police-identify-man-shot-thursday-by-butte-police-as-peter/article_14a3da13-8702-5b25-964d-a16a0359237d.html</t>
  </si>
  <si>
    <t>John Michael Anderson</t>
  </si>
  <si>
    <t>7606 US 20 Highway</t>
  </si>
  <si>
    <t>Montpelier</t>
  </si>
  <si>
    <t>Williams County Sheriff's office</t>
  </si>
  <si>
    <t>Police were called to check on Anderson's welfare. He met them with a rifle, and after a negotiation, he was shot and killed.</t>
  </si>
  <si>
    <t>http://www.toledoblade.com/Police-Fire/2016/06/18/Sheriff-says-fatal-shooting-likely-justified.html</t>
  </si>
  <si>
    <t>William Thomas Hennessey</t>
  </si>
  <si>
    <t>http://www.fatalencounters.org/wp-content/uploads/2013/10/William-Thomas-Hennessey.jpg</t>
  </si>
  <si>
    <t>1004 Jordan Lane NW</t>
  </si>
  <si>
    <t>Police were searching for a drunken driver. He pulled a gun when police approached, there was a fight, and Hennessey was shot and killed.</t>
  </si>
  <si>
    <t>http://www.waff.com/story/32252639/huntsville-officer-on-administrative-leave-after-shooting-investigation-ongoing</t>
  </si>
  <si>
    <t>Sergey Makarenko</t>
  </si>
  <si>
    <t>Sacramento County Sheriff's Department</t>
  </si>
  <si>
    <t>Deputies tried to stop Makarenko because he was driving erratically through neighborhoods in Carmichael, according to police. When he turned onto a street with a dead end, deputies got out of their cars and ordered him to get out of his car. Instead, Makarenko put his car in reverse and accelerated. A deputy shot and killed him.</t>
  </si>
  <si>
    <t>http://www.latimes.com/local/lanow/la-me-ln-teen-killed-by-deputies-20160620-snap-story.html</t>
  </si>
  <si>
    <t>Antwun Shumpert</t>
  </si>
  <si>
    <t>http://www.fatalencounters.org/wp-content/uploads/2013/10/Antwun-Shumpert.jpg</t>
  </si>
  <si>
    <t>900 Harrison St</t>
  </si>
  <si>
    <t>Shumpert fled a routine traffic stop. He was found under a house, and police said he attacked the officer and his dog. He was shot and killed, but it's unreported whether he was armed.</t>
  </si>
  <si>
    <t>http://www.wtva.com/news/Traffic_Stop_Ends_in_Death_After_Suspect_Flees_From_Officer_and_K9.html</t>
  </si>
  <si>
    <t>Anthony Ford</t>
  </si>
  <si>
    <t>204 Watson Drive</t>
  </si>
  <si>
    <t>Fort Walton Beach</t>
  </si>
  <si>
    <t>Fort Walton Beach Police Department</t>
  </si>
  <si>
    <t>An officer responded to a repeat call concerning loud noise. The officer arrived and made contact with the individual about the complaint. Ford brandished a firearm, refused to drop it, and was shot and killed.</t>
  </si>
  <si>
    <t>http://www.nwfdailynews.com/news/20160619/update-man-dies-in-fwbpd-officer-involved-shooting-early-sunday-morning</t>
  </si>
  <si>
    <t>Clarence Mahogany X. Howard</t>
  </si>
  <si>
    <t>http://www.gannett-cdn.com/-mm-/9e088434a69a4372e184d924f02762e65e319e69/c=0-0-150-200&amp;r=183&amp;c=0-0-180-240/local/-/media/2016/06/19/Brevard/Brevard/636019653417361344-clarence.JPG</t>
  </si>
  <si>
    <t>Emerson Drive and St. John's Heritage Parkway</t>
  </si>
  <si>
    <t>Few details have been released. Apparently, there was a road rage incident over miles before off-duty Deputy Yousef Hafza shot and killed Howard.</t>
  </si>
  <si>
    <t>http://www.clickorlando.com/news/one-person-shot-by-off-duty-deputy-in-road-rage-incident-in-palm-bay</t>
  </si>
  <si>
    <t>Rashaun Lloyd</t>
  </si>
  <si>
    <t>http://www.fatalencounters.org/wp-content/uploads/2013/10/Rashaun-Lloyd.jpg</t>
  </si>
  <si>
    <t>725 Randall Ave</t>
  </si>
  <si>
    <t>Police responded to a 911 call about gunshots fired in the vicinity of the housing complex at 1725 Randall Ave. When they arrived, they found Lloyd with a gun. He refused to drop the gun and pointed it at officers when they ordered him to, police said. Three officers then shot him 31 times, killing him.</t>
  </si>
  <si>
    <t>http://pix11.com/2016/06/19/man-killed-in-police-involved-shooting-at-bronx-housing-complex/</t>
  </si>
  <si>
    <t>Terry Maddox aka Gary Porter</t>
  </si>
  <si>
    <t>http://www.fatalencounters.org/wp-content/uploads/2013/10/Terry-MaddoxakaGary-Porter.png</t>
  </si>
  <si>
    <t>310 Otisco Street</t>
  </si>
  <si>
    <t>Porter was shot and killed at a Father's Day party. Family members said he was shot by police, but the killing is apparently under investigation.</t>
  </si>
  <si>
    <t>http://www.syracuse.com/news/index.ssf/2016/06/syracuse_shooting_victim_pregnant_fiancee_hit_by_bullets_family_seeks_answers.html#incart_m-rpt-1</t>
  </si>
  <si>
    <t>Devin Christopher Scott</t>
  </si>
  <si>
    <t>http://www.fatalencounters.org/wp-content/uploads/2013/10/DevinScott.png</t>
  </si>
  <si>
    <t>Lake Havasu City</t>
  </si>
  <si>
    <t>Lake Havasu City Police Department</t>
  </si>
  <si>
    <t>http://www.havasunews.com/news/man-dies-after-being-shot-by-havasu-police-officers/article_7dcbaa20-3713-11e6-8869-ff2d439d2b75.html</t>
  </si>
  <si>
    <t>Raphael M. Bostick</t>
  </si>
  <si>
    <t>20751 Whyte Hardee Blvd</t>
  </si>
  <si>
    <t>Hardeeville</t>
  </si>
  <si>
    <t>Jasper County Sheriff's Office, Hardeeville Police</t>
  </si>
  <si>
    <t>Bostick attempted to rob a Dollar Store when a witness called it in. When Hardeeville police and Jasper County deputies arrived, Bostick was holding a store clerk hostage. Officers shattered the glass doors to break into the business. The clerk was able to make it to safety, as Bostick tried to escape through the back of the store. Bostick and the three officers inside exchanged gunfire, and Bostick was killed.</t>
  </si>
  <si>
    <t>http://wsav.com/2016/06/20/breaking-officer-involved-shooting-in-hardeeville/</t>
  </si>
  <si>
    <t>Clinkscales' mother called 911 around 11:15 p.m. Saturday, saying her son was acting strange and had been drinking heavily before putting his arm through a window, police said. Police who arrived at the residence found a belligerent man, and they tasered him. First aid workers took him to a hospital where he died.</t>
  </si>
  <si>
    <t>Charles Todero</t>
  </si>
  <si>
    <t>N Madison Ave and Camby St</t>
  </si>
  <si>
    <t>Greenwood Police Department</t>
  </si>
  <si>
    <t>http://www.theindychannel.com/news/local-news/family-demands-answers-in-mans-death-after-he-is-tased-by-greenwood-police</t>
  </si>
  <si>
    <t>Police said they were responding to a call that Todero was acting erratically, walking in between traffic. At some point in their confrontation, officers deployed a Taser and Todero lost consciousness shortly after. Todero died after spending two weeks in the hospital in a coma.</t>
  </si>
  <si>
    <t>Nicholas Damon</t>
  </si>
  <si>
    <t>E Sunbridge Dr</t>
  </si>
  <si>
    <t>Tillman was shot after jumping back into his car during a traffic stop and trying to drive away. Police said he was stopped because his car did not have headlights. Officers said they were dragged as Tillman attempted to flee and that they tried to subdue him with a Taser before opening fire.</t>
  </si>
  <si>
    <t>2400 Everglades Drive</t>
  </si>
  <si>
    <t>3700 Horton Lane</t>
  </si>
  <si>
    <t>4100 East Pine Street</t>
  </si>
  <si>
    <t>5200 Corona Ave</t>
  </si>
  <si>
    <t>3100 W 27th St</t>
  </si>
  <si>
    <t>13000 Gray St</t>
  </si>
  <si>
    <t>1300 West 18th Street</t>
  </si>
  <si>
    <t>18100 SW Cheyenne Way</t>
  </si>
  <si>
    <t>1200 Crystal</t>
  </si>
  <si>
    <t>3900 Goodrich Avenue</t>
  </si>
  <si>
    <t>100 W Gimber St</t>
  </si>
  <si>
    <t>2100 Minnehaha Ave E</t>
  </si>
  <si>
    <t>18900 Southeast Grant Street</t>
  </si>
  <si>
    <t>6000 Birdcage St</t>
  </si>
  <si>
    <t>7600 S 48th Ln</t>
  </si>
  <si>
    <t>400 Swan Lake Road</t>
  </si>
  <si>
    <t>1400 State Road 415</t>
  </si>
  <si>
    <t>3400 Lee Street</t>
  </si>
  <si>
    <t>100 Pagel Place</t>
  </si>
  <si>
    <t>7700 S. Quatar Ct</t>
  </si>
  <si>
    <t>700 Buffalo Street</t>
  </si>
  <si>
    <t>4900 South Karlov Avenue</t>
  </si>
  <si>
    <t>100 Marie Avenue</t>
  </si>
  <si>
    <t>600 Delhi Street</t>
  </si>
  <si>
    <t>6200 Overbrook Avenue</t>
  </si>
  <si>
    <t>600 Orange Blossom Trail</t>
  </si>
  <si>
    <t>2000 Colvett Road</t>
  </si>
  <si>
    <t>3400 West Grenshaw Street</t>
  </si>
  <si>
    <t>5700 Park Avenue</t>
  </si>
  <si>
    <t>7600 Prescott Way</t>
  </si>
  <si>
    <t>200 Chaffin Court</t>
  </si>
  <si>
    <t>5000 Camelia Street</t>
  </si>
  <si>
    <t>1600 Plymouth Ave N</t>
  </si>
  <si>
    <t>3700 Oakmont Ave</t>
  </si>
  <si>
    <t>400 Comanchee Dr</t>
  </si>
  <si>
    <t>5000 Ave 309</t>
  </si>
  <si>
    <t>4669 N Fisher Ave</t>
  </si>
  <si>
    <t>800 Ashcomb Dr</t>
  </si>
  <si>
    <t>5200 W 40th St</t>
  </si>
  <si>
    <t>4400 Yender Ave</t>
  </si>
  <si>
    <t>44000 Jacob Court</t>
  </si>
  <si>
    <t>600 Mercury St.</t>
  </si>
  <si>
    <t>1300 West Redbud Drive</t>
  </si>
  <si>
    <t>3500 W. Grenshaw St</t>
  </si>
  <si>
    <t>500 Watkins St</t>
  </si>
  <si>
    <t>1100 W San Ysidro Blvd</t>
  </si>
  <si>
    <t>600 Robinson Rd</t>
  </si>
  <si>
    <t>500 North Main St</t>
  </si>
  <si>
    <t>9200 S. Steven Trail</t>
  </si>
  <si>
    <t>600 S. Canton St</t>
  </si>
  <si>
    <t>12000 Comers Rock Rd</t>
  </si>
  <si>
    <t>1800 Tulip Street</t>
  </si>
  <si>
    <t>100 Spur Ranch Ave</t>
  </si>
  <si>
    <t>800 W Washington St</t>
  </si>
  <si>
    <t>4100 Willimet St</t>
  </si>
  <si>
    <t>4400 Lee St.</t>
  </si>
  <si>
    <t>16700 Valley Boulevard</t>
  </si>
  <si>
    <t>3900 Glen Way</t>
  </si>
  <si>
    <t>1000 Abington Rd.</t>
  </si>
  <si>
    <t>8500 Whitcomb Ave</t>
  </si>
  <si>
    <t>2900 Holly St.</t>
  </si>
  <si>
    <t>1700 Angier Ave</t>
  </si>
  <si>
    <t>3200 Ladoga Ave</t>
  </si>
  <si>
    <t>500 N Mentzer St</t>
  </si>
  <si>
    <t>500 S Little Ave</t>
  </si>
  <si>
    <t>5800 S Southland Blvd</t>
  </si>
  <si>
    <t>3600 Penelope St.</t>
  </si>
  <si>
    <t>400 Lakehurst Rd</t>
  </si>
  <si>
    <t>400 2nd Street</t>
  </si>
  <si>
    <t>10000 Tinsbloom Mill Lane</t>
  </si>
  <si>
    <t>6100 West Kellogg Dr.</t>
  </si>
  <si>
    <t>100 E. Huckleberry Drive</t>
  </si>
  <si>
    <t>3100 Senter Road</t>
  </si>
  <si>
    <t>700 San Aleso Ave</t>
  </si>
  <si>
    <t>3300 N Butler Ave</t>
  </si>
  <si>
    <t>600 E Sanson Ave</t>
  </si>
  <si>
    <t>2100 West Cary Street</t>
  </si>
  <si>
    <t>2100 S Pershing Dr</t>
  </si>
  <si>
    <t>3800 Martin Luther King Jr. Way</t>
  </si>
  <si>
    <t>2100 Urbine Rd</t>
  </si>
  <si>
    <t>5700 Ashby Dr</t>
  </si>
  <si>
    <t>300 Iris Park Dr</t>
  </si>
  <si>
    <t>1900 N Harvard Ave</t>
  </si>
  <si>
    <t>200 Hillbrook Dr</t>
  </si>
  <si>
    <t>1000 75th Street</t>
  </si>
  <si>
    <t>500 Sibley Blvd</t>
  </si>
  <si>
    <t>400 West 30th St.</t>
  </si>
  <si>
    <t>1400 Pin Oak Street</t>
  </si>
  <si>
    <t>1700 Kentucky 2181</t>
  </si>
  <si>
    <t>5200 San Mateo Drive</t>
  </si>
  <si>
    <t>800 Fillmore Street</t>
  </si>
  <si>
    <t>2200 Powers Ferry Road</t>
  </si>
  <si>
    <t>4100 Lexington Pkwy</t>
  </si>
  <si>
    <t>200 NE 2nd street</t>
  </si>
  <si>
    <t>9400 Rue De Bois</t>
  </si>
  <si>
    <t>1900 N Windham Ct</t>
  </si>
  <si>
    <t>700 S 17th St</t>
  </si>
  <si>
    <t>200 E Patty Ln</t>
  </si>
  <si>
    <t>1600 S Swope Dr</t>
  </si>
  <si>
    <t>1300 Queen St NE</t>
  </si>
  <si>
    <t>1000 Creston Avenue</t>
  </si>
  <si>
    <t>800 Highway 411</t>
  </si>
  <si>
    <t>5200 N. Crowley Lane</t>
  </si>
  <si>
    <t>1700 Farm Road 45</t>
  </si>
  <si>
    <t>700 Kirk Glen Dr</t>
  </si>
  <si>
    <t>9200 San Luis Ave</t>
  </si>
  <si>
    <t>4000 Tulip Tree Drive</t>
  </si>
  <si>
    <t>700 Old San Mateo Road</t>
  </si>
  <si>
    <t>7500 South Woodbury Grove Dr</t>
  </si>
  <si>
    <t>4800 Yavapai Hills</t>
  </si>
  <si>
    <t>900 Hart St.</t>
  </si>
  <si>
    <t>22900 Redwood Way</t>
  </si>
  <si>
    <t>200 Pennsylvania Avenue</t>
  </si>
  <si>
    <t>7000 Dawn Bloom</t>
  </si>
  <si>
    <t>7400 Jackson St</t>
  </si>
  <si>
    <t>400 Kelly Court</t>
  </si>
  <si>
    <t>16400 Woodruff Ave</t>
  </si>
  <si>
    <t>3000 West Ramsey Street</t>
  </si>
  <si>
    <t>10900 South Eberhart Avenue</t>
  </si>
  <si>
    <t>500 Poplar Avenue</t>
  </si>
  <si>
    <t>100 East Main Street</t>
  </si>
  <si>
    <t>100 Cindy Lane</t>
  </si>
  <si>
    <t>28600 Cloverleaf Pl</t>
  </si>
  <si>
    <t>14400 South Campbell Ave</t>
  </si>
  <si>
    <t>4600 Alta Saga Drive</t>
  </si>
  <si>
    <t>5200 Magic Ave</t>
  </si>
  <si>
    <t>700 Erie St.</t>
  </si>
  <si>
    <t>2300 10th Street</t>
  </si>
  <si>
    <t>1800 West Monroe Street</t>
  </si>
  <si>
    <t>500 East Surfside Drive</t>
  </si>
  <si>
    <t>200 Spring Court</t>
  </si>
  <si>
    <t>300 W Hubbard Ave</t>
  </si>
  <si>
    <t>6100 South Cottage Grove Avenue</t>
  </si>
  <si>
    <t>32600 Kenita Way</t>
  </si>
  <si>
    <t>2200 Taxco Road</t>
  </si>
  <si>
    <t>23000 Riverside Dr</t>
  </si>
  <si>
    <t>2400 W Devonshire Ave</t>
  </si>
  <si>
    <t>1600 Portland Street</t>
  </si>
  <si>
    <t>6400 Greenwood Road</t>
  </si>
  <si>
    <t>2100 West Tennyson Road</t>
  </si>
  <si>
    <t>3800 Fleetwood Street</t>
  </si>
  <si>
    <t>19700 I-30 Frontage Rd</t>
  </si>
  <si>
    <t>5200 South Mozart Street</t>
  </si>
  <si>
    <t>1200 Erie Street S</t>
  </si>
  <si>
    <t>700 Park Avenue</t>
  </si>
  <si>
    <t>1300 South Long Beach Boulevard</t>
  </si>
  <si>
    <t>9000 Crystal Rock Circle</t>
  </si>
  <si>
    <t>2100 east Cairo</t>
  </si>
  <si>
    <t>2400 Second Street</t>
  </si>
  <si>
    <t>1700 Wawaset Street</t>
  </si>
  <si>
    <t>10100 Daventry Drive</t>
  </si>
  <si>
    <t>400 Lloyd Avenue</t>
  </si>
  <si>
    <t>1300 Kitmore Road</t>
  </si>
  <si>
    <t>1600 Connor Drive</t>
  </si>
  <si>
    <t>3200 Briarwood Drive</t>
  </si>
  <si>
    <t>1800 West Pico Blvd.</t>
  </si>
  <si>
    <t>400 Central Avenue</t>
  </si>
  <si>
    <t>8900 Datapoint Drive</t>
  </si>
  <si>
    <t>1100 Adams Street</t>
  </si>
  <si>
    <t>1600 Grandon Drive</t>
  </si>
  <si>
    <t>10000 Old Creek Road</t>
  </si>
  <si>
    <t>4600 Aubuchon Road</t>
  </si>
  <si>
    <t>6400 San Juan Avenue at Jammes Road</t>
  </si>
  <si>
    <t>8100 S Avenue 7 E</t>
  </si>
  <si>
    <t>100 Chinese Fir Court</t>
  </si>
  <si>
    <t>9100 Beulah Church Road</t>
  </si>
  <si>
    <t>3600 Valley Way Ave.</t>
  </si>
  <si>
    <t>2000 South Fourth Street</t>
  </si>
  <si>
    <t>400 72nd Ave</t>
  </si>
  <si>
    <t>100 Bellevue Ave East.</t>
  </si>
  <si>
    <t>5600 S State St</t>
  </si>
  <si>
    <t>200 Southwest 67th Street</t>
  </si>
  <si>
    <t>1300 Bronco Way</t>
  </si>
  <si>
    <t>5000 Parkside Ave.</t>
  </si>
  <si>
    <t>12700 Van Nuys Boulevard</t>
  </si>
  <si>
    <t>12900 2nd Street</t>
  </si>
  <si>
    <t>5100 Galahad Drive</t>
  </si>
  <si>
    <t>1100 West Arbutus Street</t>
  </si>
  <si>
    <t>36600 117th Street East</t>
  </si>
  <si>
    <t>40300 Mayberry Avenue</t>
  </si>
  <si>
    <t>8000 45th Street</t>
  </si>
  <si>
    <t>2200 SE 15th Street</t>
  </si>
  <si>
    <t>800 South Townsend Street</t>
  </si>
  <si>
    <t>5100 Morten Avenue</t>
  </si>
  <si>
    <t>6800 North Colony Drive</t>
  </si>
  <si>
    <t>600 Balleywood</t>
  </si>
  <si>
    <t>15200 Meadow Road</t>
  </si>
  <si>
    <t>14900 Washington Avenue Southwest</t>
  </si>
  <si>
    <t>5200 Gawain Drive</t>
  </si>
  <si>
    <t>100 Woodrow Avenue</t>
  </si>
  <si>
    <t>4400 Edgewater Dr</t>
  </si>
  <si>
    <t>1900 Nicole Circle</t>
  </si>
  <si>
    <t>2100 N Shaffer St</t>
  </si>
  <si>
    <t>first North Queen Street</t>
  </si>
  <si>
    <t>200 North Wolcott Street</t>
  </si>
  <si>
    <t>9000 Rockfish Gap Turnpike</t>
  </si>
  <si>
    <t>1500 N. Hwy 78</t>
  </si>
  <si>
    <t>2400 Springdale Street</t>
  </si>
  <si>
    <t>300 10th Street</t>
  </si>
  <si>
    <t>4100 N. McDonald Road</t>
  </si>
  <si>
    <t>3100 Highway 24</t>
  </si>
  <si>
    <t>1000 Rosewood Court</t>
  </si>
  <si>
    <t>2400 Ritchie Street</t>
  </si>
  <si>
    <t>2100 Farrar Avenue</t>
  </si>
  <si>
    <t>1200 H Street</t>
  </si>
  <si>
    <t>8300 Folsom Blvd</t>
  </si>
  <si>
    <t>200 55th Avenue East</t>
  </si>
  <si>
    <t>7400 Woodridge Way</t>
  </si>
  <si>
    <t>400 South 1st Street</t>
  </si>
  <si>
    <t>6100 Miramonte Boulevard</t>
  </si>
  <si>
    <t>1000 Carob Way</t>
  </si>
  <si>
    <t>3200 Thannisch Avenue</t>
  </si>
  <si>
    <t>13000 Corcoran Street</t>
  </si>
  <si>
    <t>22000 West Charles Road</t>
  </si>
  <si>
    <t>2600 South Federal Boulevard</t>
  </si>
  <si>
    <t>4400 El Paulo Ct.</t>
  </si>
  <si>
    <t>200 Grand Street</t>
  </si>
  <si>
    <t>4105 Walnut St</t>
  </si>
  <si>
    <t>2000 Eden Drive</t>
  </si>
  <si>
    <t>2700 Carmel Drive</t>
  </si>
  <si>
    <t>1100 N. Parrish St.</t>
  </si>
  <si>
    <t>1300 South Independence Boulevard</t>
  </si>
  <si>
    <t>7700-Weymouth Court</t>
  </si>
  <si>
    <t>100 Paul Stanley Road</t>
  </si>
  <si>
    <t>500 Fairview Avenue</t>
  </si>
  <si>
    <t>9900 Beach Boulevard</t>
  </si>
  <si>
    <t>300 West Courtland Street</t>
  </si>
  <si>
    <t>4300 Spatz Avenue</t>
  </si>
  <si>
    <t>2600 S. 71st St.</t>
  </si>
  <si>
    <t>6800 Quebec Court</t>
  </si>
  <si>
    <t>800 Truman Street</t>
  </si>
  <si>
    <t>6400 Brentwood Stair Road</t>
  </si>
  <si>
    <t>7200 W. Mill Road</t>
  </si>
  <si>
    <t>700 Valdez Street</t>
  </si>
  <si>
    <t>5300 East Ferry Drive</t>
  </si>
  <si>
    <t>2700 Edmondson Avenue</t>
  </si>
  <si>
    <t>400 Freeland Avenue</t>
  </si>
  <si>
    <t>800 West Park Avenue</t>
  </si>
  <si>
    <t>8800 Cross Country Place</t>
  </si>
  <si>
    <t>4400 West Olive Avenue</t>
  </si>
  <si>
    <t>100 West Main Street</t>
  </si>
  <si>
    <t>3400-Foster Avenue</t>
  </si>
  <si>
    <t>900 De Haro Street</t>
  </si>
  <si>
    <t>1500 Hackberry Street</t>
  </si>
  <si>
    <t>800 Kimball Road</t>
  </si>
  <si>
    <t>8800 Northwest Seventh Court</t>
  </si>
  <si>
    <t>1800 Pierce Road</t>
  </si>
  <si>
    <t>5000 43rd Avenue South</t>
  </si>
  <si>
    <t>3000 Holton Street</t>
  </si>
  <si>
    <t>2700 Murtha Drive</t>
  </si>
  <si>
    <t>200 North Homan Avenue</t>
  </si>
  <si>
    <t>100 Stony Mont Drive</t>
  </si>
  <si>
    <t>100 South Queen Street</t>
  </si>
  <si>
    <t>23000 Greenfield Road</t>
  </si>
  <si>
    <t>3300 Southern Oaks Boulevard</t>
  </si>
  <si>
    <t>5600 Lebanon Avenue</t>
  </si>
  <si>
    <t>4100 Turner Ave.</t>
  </si>
  <si>
    <t>900 Drury Lane</t>
  </si>
  <si>
    <t>300 Freedom St. SW</t>
  </si>
  <si>
    <t>10000 Lanshire Drive</t>
  </si>
  <si>
    <t>800 North Branciforte Avenue</t>
  </si>
  <si>
    <t>10100 4th Avenue NW</t>
  </si>
  <si>
    <t>200 S. Adelbert Avenue</t>
  </si>
  <si>
    <t>7400 Kitty Hawk</t>
  </si>
  <si>
    <t>6400 Keynote St.</t>
  </si>
  <si>
    <t>400 Hykes Mill Road</t>
  </si>
  <si>
    <t>1900 Hobson Road</t>
  </si>
  <si>
    <t>5400 Alpaca Circle</t>
  </si>
  <si>
    <t>3400 Duke St.</t>
  </si>
  <si>
    <t>8200 Twilight Drive</t>
  </si>
  <si>
    <t>3400 Nut Plains Drive</t>
  </si>
  <si>
    <t>2100 Forest Hills Road</t>
  </si>
  <si>
    <t>400 South Atlantic Avenue</t>
  </si>
  <si>
    <t>40200 Mimulus Way</t>
  </si>
  <si>
    <t>1300 Maple Ave.</t>
  </si>
  <si>
    <t>500 Westview Lane</t>
  </si>
  <si>
    <t>700 Blaine Avenue</t>
  </si>
  <si>
    <t>5000 East Thomas Avenue</t>
  </si>
  <si>
    <t>100 Evergreen Street</t>
  </si>
  <si>
    <t>900 Olive Road</t>
  </si>
  <si>
    <t>500 North Madeira Street in east Baltimore</t>
  </si>
  <si>
    <t>200 West Second Street</t>
  </si>
  <si>
    <t>1300 Esther Drive</t>
  </si>
  <si>
    <t>5400 Reservoir Drive</t>
  </si>
  <si>
    <t>200 South F Street</t>
  </si>
  <si>
    <t>400 Norwood Avenue</t>
  </si>
  <si>
    <t>1100 East Sunset Avenue</t>
  </si>
  <si>
    <t>2700 Co Rd 243</t>
  </si>
  <si>
    <t>6500 Brooklyn Avenue</t>
  </si>
  <si>
    <t>200 North Maxine Street</t>
  </si>
  <si>
    <t>4800 Westwind Drive</t>
  </si>
  <si>
    <t>4700 Northwest 44th Street</t>
  </si>
  <si>
    <t>1400 North J Street</t>
  </si>
  <si>
    <t>300 Cooper Drive</t>
  </si>
  <si>
    <t>6900 Rattalee Lake Road</t>
  </si>
  <si>
    <t>7100 IL-140</t>
  </si>
  <si>
    <t>2400 Cleveland Street</t>
  </si>
  <si>
    <t>8000 Debbie Ann Court</t>
  </si>
  <si>
    <t>Charged with second-degree murder</t>
  </si>
  <si>
    <t>Alton Sterling</t>
  </si>
  <si>
    <t>2112 N Foster Dr</t>
  </si>
  <si>
    <t>Anthony Nunez</t>
  </si>
  <si>
    <t>Delrawn Small</t>
  </si>
  <si>
    <t>Shannon Labit</t>
  </si>
  <si>
    <t>Raul Saavedra-Vargas</t>
  </si>
  <si>
    <t>Pedro Villanueva</t>
  </si>
  <si>
    <t>Jonathan Justice</t>
  </si>
  <si>
    <t>1403 Bluff City Hwy</t>
  </si>
  <si>
    <t>Bristol Police Department</t>
  </si>
  <si>
    <t>275 Deaverview Rd</t>
  </si>
  <si>
    <t>Steven McQueen</t>
  </si>
  <si>
    <t>Cartersville</t>
  </si>
  <si>
    <t>Landrum</t>
  </si>
  <si>
    <t>Jasen Ramirez</t>
  </si>
  <si>
    <t>302 S 5th St</t>
  </si>
  <si>
    <t>Kawme Patrick</t>
  </si>
  <si>
    <t>1100 Lockhurst Rd</t>
  </si>
  <si>
    <t>Michael Schumacher</t>
  </si>
  <si>
    <t>1300 Morrison St</t>
  </si>
  <si>
    <t>Tristan Vilters</t>
  </si>
  <si>
    <t>Guffey</t>
  </si>
  <si>
    <t>Jessie Mills</t>
  </si>
  <si>
    <t>Kentucky Hwy 223</t>
  </si>
  <si>
    <t>Flat Lick</t>
  </si>
  <si>
    <t>Tyrone Reado</t>
  </si>
  <si>
    <t>Luther Dr</t>
  </si>
  <si>
    <t>Ouachita Parish Sheriff's Office</t>
  </si>
  <si>
    <t>Lafayette Evans</t>
  </si>
  <si>
    <t>1206 48th St</t>
  </si>
  <si>
    <t>Walden Dang</t>
  </si>
  <si>
    <t>1212 Kinau St</t>
  </si>
  <si>
    <t>Barry Prak</t>
  </si>
  <si>
    <t>2800 E 15th St</t>
  </si>
  <si>
    <t>Blake Peacock</t>
  </si>
  <si>
    <t>307 Georgia Hwy 257</t>
  </si>
  <si>
    <t>Cochran</t>
  </si>
  <si>
    <t>Bleckley County Sheriff's Office</t>
  </si>
  <si>
    <t>Travis Vierra</t>
  </si>
  <si>
    <t>Laguna Pueblo</t>
  </si>
  <si>
    <t>Laguna</t>
  </si>
  <si>
    <t>Michael Disbrowe</t>
  </si>
  <si>
    <t>332 W 2nd St</t>
  </si>
  <si>
    <t>Boone Police Department, Boone County Sheriff's Office</t>
  </si>
  <si>
    <t>Raymond Hutson</t>
  </si>
  <si>
    <t>Delaware Route 1</t>
  </si>
  <si>
    <t>Frederica</t>
  </si>
  <si>
    <t>Sherman Evans</t>
  </si>
  <si>
    <t>100 Varnum St NE</t>
  </si>
  <si>
    <t>Donte Johnson</t>
  </si>
  <si>
    <t>1445 E Sibley Blvd</t>
  </si>
  <si>
    <t>Dolton Police Department</t>
  </si>
  <si>
    <t>Germichael Kennedy</t>
  </si>
  <si>
    <t>N 14th St</t>
  </si>
  <si>
    <t>Terry Maurer</t>
  </si>
  <si>
    <t>8000 Clark Lake Rd</t>
  </si>
  <si>
    <t>Clarklake</t>
  </si>
  <si>
    <t>Columbia Township Police Department</t>
  </si>
  <si>
    <t>Daniel Reyes</t>
  </si>
  <si>
    <t>High Street Ext</t>
  </si>
  <si>
    <t>Thomaston</t>
  </si>
  <si>
    <t>Thomaston Police Department</t>
  </si>
  <si>
    <t>Rodrigo Guardiola</t>
  </si>
  <si>
    <t>Waldemar Bogusiewicz</t>
  </si>
  <si>
    <t>6082 96th Terrace</t>
  </si>
  <si>
    <t>Pinellas Park</t>
  </si>
  <si>
    <t>Pinellas Park Police Department</t>
  </si>
  <si>
    <t>Dylan Noble</t>
  </si>
  <si>
    <t>E Shields Ave and N Armstrong Ave</t>
  </si>
  <si>
    <t>Ismael Miranda</t>
  </si>
  <si>
    <t>Summer St and Oak St</t>
  </si>
  <si>
    <t>Josh Herrera</t>
  </si>
  <si>
    <t>Fierro Rd</t>
  </si>
  <si>
    <t>Christy Sheats</t>
  </si>
  <si>
    <t>6000 Remson Hollow Ln</t>
  </si>
  <si>
    <t>Fulshear Police Department</t>
  </si>
  <si>
    <t>Miguel Chavez-Angles</t>
  </si>
  <si>
    <t>N Classen Blvd and NW 23rd St</t>
  </si>
  <si>
    <t>Randy Blecher</t>
  </si>
  <si>
    <t>133 Neal St</t>
  </si>
  <si>
    <t>Deravis Rogers</t>
  </si>
  <si>
    <t>2100 Monroe Dr NE</t>
  </si>
  <si>
    <t>Jay Anderson</t>
  </si>
  <si>
    <t>9800 W Glendale Ave</t>
  </si>
  <si>
    <t>Angelo Brown</t>
  </si>
  <si>
    <t>Pheasantwood Dr</t>
  </si>
  <si>
    <t>Isaiah Core III</t>
  </si>
  <si>
    <t>Oporto Madrid Blvd and Sunrise Dr</t>
  </si>
  <si>
    <t>Shelby County Sheriff's Office</t>
  </si>
  <si>
    <t>Roger Ponce</t>
  </si>
  <si>
    <t>1000 Mulberry Pl</t>
  </si>
  <si>
    <t>Wellington</t>
  </si>
  <si>
    <t>Josiah Williams</t>
  </si>
  <si>
    <t>2622 Delta Dr</t>
  </si>
  <si>
    <t>Quencezola Splunge</t>
  </si>
  <si>
    <t>6851 Highway 301</t>
  </si>
  <si>
    <t>Walls</t>
  </si>
  <si>
    <t>DeSoto County Sheriff's Office</t>
  </si>
  <si>
    <t>Antonio Richardson</t>
  </si>
  <si>
    <t>500 W Alma Ave</t>
  </si>
  <si>
    <t>Flint Police Department, Michigan State Police</t>
  </si>
  <si>
    <t>Shaun Walke</t>
  </si>
  <si>
    <t>2812 Nelius Rd</t>
  </si>
  <si>
    <t>Bellville</t>
  </si>
  <si>
    <t>Austin County Sheriff's Office</t>
  </si>
  <si>
    <t>Lane Lesko</t>
  </si>
  <si>
    <t>212 Greenfield Rd</t>
  </si>
  <si>
    <t>Peterborough</t>
  </si>
  <si>
    <t>Pedro Cruz-Amado</t>
  </si>
  <si>
    <t>1300 E Stage Coach Trail</t>
  </si>
  <si>
    <t>Lawndale</t>
  </si>
  <si>
    <t>Cleveland County Sheriff's Office</t>
  </si>
  <si>
    <t>Jeff Hyde</t>
  </si>
  <si>
    <t>E 1st St and N Fenway St</t>
  </si>
  <si>
    <t>Mills Police Department</t>
  </si>
  <si>
    <t>Philando Castile</t>
  </si>
  <si>
    <t>http://www.fatalencounters.org/wp-content/uploads/2013/10/HT_PhilandoCastile.jpg</t>
  </si>
  <si>
    <t>http://www.fatalencounters.org/wp-content/uploads/2013/10/AltonSterling.jpg</t>
  </si>
  <si>
    <t>http://www.fatalencounters.org/wp-content/uploads/2013/10/AnthonyNunez.jpg</t>
  </si>
  <si>
    <t>http://www.fatalencounters.org/wp-content/uploads/2013/10/William-Tracy-Patterson.jpg</t>
  </si>
  <si>
    <t>http://www.fatalencounters.org/wp-content/uploads/2013/10/Delrawn.jpg</t>
  </si>
  <si>
    <t>http://www.fatalencounters.org/wp-content/uploads/2013/10/TristanVilters.jpg</t>
  </si>
  <si>
    <t>http://www.fatalencounters.org/wp-content/uploads/2013/10/Mills.jpg</t>
  </si>
  <si>
    <t>http://www.fatalencounters.org/wp-content/uploads/2013/10/Reado.jpg</t>
  </si>
  <si>
    <t>http://www.fatalencounters.org/wp-content/uploads/2013/10/Prak.jpg</t>
  </si>
  <si>
    <t>http://www.fatalencounters.org/wp-content/uploads/2013/10/travis-vierra.jpg</t>
  </si>
  <si>
    <t>http://www.fatalencounters.org/wp-content/uploads/2013/10/Hutson.jpg</t>
  </si>
  <si>
    <t>http://www.fatalencounters.org/wp-content/uploads/2013/10/Rodrigo-Guardiola.jpg</t>
  </si>
  <si>
    <t>http://www.fatalencounters.org/wp-content/uploads/2013/10/Dylan-Noble.jpg</t>
  </si>
  <si>
    <t>http://www.fatalencounters.org/wp-content/uploads/2013/10/Ismael-Miranda.jpg</t>
  </si>
  <si>
    <t>http://www.fatalencounters.org/wp-content/uploads/2013/10/Deravis-Caine-Rogers.jpg</t>
  </si>
  <si>
    <t>http://www.fatalencounters.org/wp-content/uploads/2013/10/Jay-Anderson.jpg</t>
  </si>
  <si>
    <t>http://www.fatalencounters.org/wp-content/uploads/2013/10/Brown.jpg</t>
  </si>
  <si>
    <t>http://www.fatalencounters.org/wp-content/uploads/2013/10/Isaiah-Core-III.jpg</t>
  </si>
  <si>
    <t>http://www.fatalencounters.org/wp-content/uploads/2013/10/Lane-Lesko.jpg</t>
  </si>
  <si>
    <t>http://www.fatalencounters.org/wp-content/uploads/2013/10/Pedro-Cruz-Amado.jpg</t>
  </si>
  <si>
    <t>42104 Moraga Rd</t>
  </si>
  <si>
    <t>After allegedly robbing an El Pollo Loco, the unidentified man fled, and there was a chase. He crashed twice before police shot and killed him in front of the Temecula Elementary School.</t>
  </si>
  <si>
    <t>http://www.pe.com/articles/report-807550-fleeing-started.html</t>
  </si>
  <si>
    <t>William Tracy Patterson</t>
  </si>
  <si>
    <t>8174 Waltham Rd</t>
  </si>
  <si>
    <t>According to police, Patterson was trying to run people over with his car. Officers arrived on scene and surrounded a house where the car was parked. Soon after, Patterson came to a window on the second floor and began shooting at police, who shot and killed him.</t>
  </si>
  <si>
    <t>http://counton2.com/2016/07/05/suspect-in-north-charleston-standoff-with-police-dies-in-hospital/</t>
  </si>
  <si>
    <t>St. Anthony Police Department</t>
  </si>
  <si>
    <t>Bleckley</t>
  </si>
  <si>
    <t>Cibola</t>
  </si>
  <si>
    <t>Litchfield</t>
  </si>
  <si>
    <t>Police shot and killed Castile after a routine traffic stop, apparently after he identified himself as legally carrying a gun. His girlfriend filmed the aftermath of the encounter. Her daughter was also in the vehicle.</t>
  </si>
  <si>
    <t>Officers were called to check on the welfare of a possibly suicidal man with a gun. But police have provided no details about the circumstances that led to the fatal shooting.</t>
  </si>
  <si>
    <t>An off-duty officer got in an argument with another driver in Cypress Hills. Both men stopped their vehicles at a red light on Bradford Street. According to the NYPD, that's when the driver of a 2016 Kia EX exited his vehicle -- with a 5-month-old inside -- and punched the officer's head through an open driver's side window. Police said the beating continued despite the officer identifying himself as a member of the NYPD. He then pulled out his gun and shot and killed the driver.</t>
  </si>
  <si>
    <t>Deputies responded to a residence for a reported domestic dispute. Upon their arrival, police said the officers confronted the knife-wielding suspect, and he was shot and killed.</t>
  </si>
  <si>
    <t>Metro Transit Police went to investigate a large crowd setting off fireworks, D.C. police said. When they arrived, officers found a man with a gun. The officers identified themselves as police, and the man fired shots at them before one of the officers shot and killed the man, police said.</t>
  </si>
  <si>
    <t>Deputies responded to a domestic disturbance call where a male suspect was accused of stabbing two women. Deputies said after they arrived, the man barricaded himself inside of the home. Eventually he came at the deputies with the knife and was shot and killed.</t>
  </si>
  <si>
    <t>Saavedra-Vargas went around barricades at a downtown Reno event, hit a vehicle and drove toward a crowd and police, who shot and killed him.</t>
  </si>
  <si>
    <t>Undercover California Highway Patrol officers followed a truck containing which eventually made it into a residential area in Fullerton. The officers attempted a traffic stop, but the suspects did not stop. Authorities said the driver turned the truck around and drove toward the officers. The officers feared for their safety and shot and killed Villanueva.</t>
  </si>
  <si>
    <t>Justice was shot and killed when officers attempted to serve an arrest warrant at a motel.</t>
  </si>
  <si>
    <t>Cartersville Police Officers and Bartow County Sheriff's Deputies were attempting to arrest McQueen for a probation violation warrant and an aggravated assault warrant. Deputies and officers made contact with McQueen who was armed with a handgun. A Taser was fired at McQueen didn't subdue him. McQueen pointed his handgun at the officers and deputies, at which point a deputy and an officer shot and killed him.</t>
  </si>
  <si>
    <t>As of July 5, olice have not said what they were investigating. They have said he was heavily armed and pointed a gun at them.</t>
  </si>
  <si>
    <t>Police are called to a home on Stonewall Drive. The family says their mother was being held by a man at knifepoint. Police rushed in and killed him.</t>
  </si>
  <si>
    <t>According to police, deputy U.S. Marshals were involved in a line-of-duty shooting incident, while attempting to apprehend fugitive Jasen Scott Ramirez, who was wanted on drug charges. During the attempted arrest, Ramirez was shot and killed.</t>
  </si>
  <si>
    <t>Police said the incident started as a shooting off Whittier Street where officers followed 25-year-old Kawme Dejuan Patrick to the Lockhurst Apartments. Patrick was shot in the front yard of the apartment complex.</t>
  </si>
  <si>
    <t>Neighbors reported seeing someone chest-deep in Lake Monona, acting oddly by slapping the water and talking to himself. Neighbors reported the man also threw a rock through a window of the home. Koval says the homeowners reported that someone was in their house, and they could hear things being smashed. The first arriving officer was waiting for backup when the suspect approached him at the threshold of the door, while holding a pitchfork-like tool. The officer told the suspect multiple times to put down the tool and keep back, but he did not listen to commands. The officer felt threatened and shot and killed him.</t>
  </si>
  <si>
    <t>According to police, a man shot and killed his brother during a domestic dispute. The man started shooting at deputies when they responded to the scene, and he was shot and killed.</t>
  </si>
  <si>
    <t>Police say Mills showed up at his in-laws' home. Relatives say he appeared high on drugs and wanted to see his 2-year-old daughter. They say that when they allowed him to see her, he grabbed the child and took off in an SUV that later ran out of gas. Police found Mills with the child walking on a dangerous stretch of Hwy 223. They say that Mills refused to cooperate with them and a fight broke out, and he was shot and killed.</t>
  </si>
  <si>
    <t>Police said they responded to an domestic disturbance, which led them to Reado's home. They said Reado pulled a gun; then they shot and killed him.</t>
  </si>
  <si>
    <t>Police were called to a bank robbery. During a chase, Evans shot at police and was shot and killed.</t>
  </si>
  <si>
    <t>Police responded to a call regarding a suicidal man. When they came back to the apartment, Dang threatened them with a knife and was shot and killed.</t>
  </si>
  <si>
    <t>Deputies responded to a domestic disturbance. Peacock met them in the front yard with a rifle and refused to put it down. He was shot and killed.</t>
  </si>
  <si>
    <t>Officers responded to a call for assistance from the Laguna Tribal Police in reference to an armed person running from tribal police. State police located Vierra, who fired at them, and he was shot and killed.</t>
  </si>
  <si>
    <t>Officers were called on a report of a man with a gun threatening people. When officers arrived they found a man who matched the description. While talking with him, officers say Disbrowe took a gun out of his waistband. Officers ordered him to drop the gun but he refused and raised it, pointing the weapon at officers and walking toward them. He was shot and killed.</t>
  </si>
  <si>
    <t>Hutson was an accused burglar who led police on a chase, then pointed his gun at them before he was shot and killed.</t>
  </si>
  <si>
    <t>Police found Evans with a gun on a walkway between two apartment buildings, police said. Officers ordered him to drop the gun, but he refused and raised it, police said. The officers opened fire and killed Evans.</t>
  </si>
  <si>
    <t>Police had been called to a disturbance, police said. When they arrived, officers encountered Reyes, who had a knife. Reyes approached the officers, ignoring their orders to stop. He was shot and killed.</t>
  </si>
  <si>
    <t>Two officers responded to a call of an armed robbery at a gas and saw a man pointing a pistol at someone outside the business, according to police. Both officers drew their weapons, and when the robber saw them, he pointed his gun at them. The officers shot and killed Johnson.</t>
  </si>
  <si>
    <t>Kennedy was suspected in a murder and an assault. When police caught up with him, he pointed his gun at them, and he was shot and killed.</t>
  </si>
  <si>
    <t>Two officers responded to a call regarding a domestic disturbance. Shortly after arriving, police opened fire on a man outside of the house. The man died from a gunshot wound. A neighbor said the man who was shot after he threatened police with a baseball bat.</t>
  </si>
  <si>
    <t>Guardiola fled a roadway check point. The chase ended on Industrial Boulevard near Queen City Parkway when troopers tried to block the SUV, and there was an accident. Authorities said the vehicle occupants took off on foot. Sgt. Allen caught up with Guardiola at a creek, where authorities said Guardiola tried to drown the trooper. And he was shot and killed.</t>
  </si>
  <si>
    <t>Bogusiewicz shot his son after having an argument with his wife. When police arrived, he began shooting at them and was shot and killed.</t>
  </si>
  <si>
    <t>Fresno Police said officers tried pulling the man over for speeding. When the driver pulled over at the Chevron gas station, police said he didn't comply with officers' commands to show his hands. Officers felt the man was reaching for a weapon, so they shot and killed him. No weapon was found on the suspect.</t>
  </si>
  <si>
    <t>Two police were walking toward Miranda when he began firing at them, police said. He was shot and killed.</t>
  </si>
  <si>
    <t>New Mexico State Police officers were assisting the Grant County Sheriff's Department with a call involving a male subject with a firearm at a residence. A NMSP officer shot and killed Herrera.</t>
  </si>
  <si>
    <t>Christy was shot and killed by a Fulshear Police officer after she opened fire on her two daughters. One of the woman's daughters was pronounced dead on the scene. The other was taken to the hospital by Life Flight in critical condition where she later died.</t>
  </si>
  <si>
    <t>Chavez-Angles was wanted for vandalism. Police say he forced his way into a car with two women inside. He made them drive off but later got out of the car. Officers say Chavez eventually ran onto a city bus where he was confronted by an Oklahoma City Police officer, Heather Lane. Chavez reached for officer Lane's gun and the two got into a fight for Lane's weapon. Officer Daniel Carli came to her aid, and he shot and killed Chavez.</t>
  </si>
  <si>
    <t>An off-duty Atlanta police officer was patrolling the parking lot of a Monroe Drive apartment complex when he spotted a man suspected of breaking into cars, police said. The off-duty officer, whose name was not released, called for an additional officers and ran after the suspect, but was unable to catch him. Rogers was able to run from the officer and got into a silver car as on-duty officers arrived at the scene, police said. Officers attempted to stop Rogers, but he continued driving. One of the on-duty officers shot and killed Rogers.</t>
  </si>
  <si>
    <t>Little has been released about this death. Apparently, he was in his car after hours when police approached. He was shot and killed.</t>
  </si>
  <si>
    <t>Police said they were called to the West Pheasantwood Apartments. When officers approached the scene, they say Brown had a gun in his hand started running. When officers caught up to him, there was a confrontation, and officers shot and killed him.</t>
  </si>
  <si>
    <t>A deputy noticed an SUV near an apartment complex with two drivers inside acting suspicious. The deputy tried to pull over the SUV, but the driver sped away to Interstate 20. The deputy followed the SUV as other law enforcement agencies joined the chase and stayed behind the SUV until it stopped on Oporto-Madrid Boulevard. Deputies shot and killed Core when the SUV started rolling toward them.</t>
  </si>
  <si>
    <t>Two deputies arrived at a residence to escort a woman, who was living at a safe house, to gather belongings at the home. A man at the home attacked the deputies with two butcher knives, and he was shot and killed.</t>
  </si>
  <si>
    <t>Colorado Springs police fatally shot Williams after he approached officers with an alcoholic beverage in one hand and a handgun in the other, police said. The man was shot and killed after he pointed his gun at the officer and refused to obey a command to drop it.</t>
  </si>
  <si>
    <t>Splunge fired on police and engaged in a standoff before he was shot and killed in a bank parking lot.</t>
  </si>
  <si>
    <t>Richardson was accused of a double stabbing, refused to put down a knife when police attempted to arrest him. He was tasered and died.</t>
  </si>
  <si>
    <t>Two Austin County Sheriff's Office deputies and one Bellville Police Department officer responded to a report of a male individual with a gun at a trailer house, police said. Officers shot and killed Walke after he pointed a weapon toward them.</t>
  </si>
  <si>
    <t>Police have released little information. Lesko was being pursued before he got out of the car and was shot and killed.</t>
  </si>
  <si>
    <t>A deputy was called to assist a suicidal man. Cruz-Amado attacked the deputy with a chair, and the deputy shot and killed him.</t>
  </si>
  <si>
    <t>A Mills police officer shot and killed a man who had been firing a rifle into houses, police said. The gunman fired multiple shots at police, but no officers were hit.</t>
  </si>
  <si>
    <t>http://abcnews.go.com/US/man-minnesota-police-killed-traffic-stop/story?id=40402805</t>
  </si>
  <si>
    <t>http://www.wave3.com/story/32371223/officer-involved-shooting-leaves-man-dead</t>
  </si>
  <si>
    <t>http://www.mercurynews.com/crime-courts/ci_30090228/san-jose-police-investigating-officer-involved-shooting-man</t>
  </si>
  <si>
    <t>http://pix11.com/2016/07/04/off-duty-cop-shoots-motorist-in-brooklyn-road-rage-incident-police-sources/</t>
  </si>
  <si>
    <t>http://inforney.com/local-news/item/4587-police-shoot-kill-knife-wielding-assailant-two-airlifted</t>
  </si>
  <si>
    <t>http://www.nbcwashington.com/news/local/Metro-Transit-Officer-Shoots-Man-Near-Deanwood-Metro-Station-385521951.html</t>
  </si>
  <si>
    <t>http://www.katc.com/story/32363290/officer-involved-shooting-being-investigated-in-iberia-parish</t>
  </si>
  <si>
    <t>http://www.rgj.com/story/news/2016/07/03/police-investigating-shooting-near-wingfest/86659740/</t>
  </si>
  <si>
    <t>http://abc7.com/news/1-killed-1-arrested-in-fullerton-officer-involved-shooting/1412501/</t>
  </si>
  <si>
    <t>http://www.heraldcourier.com/news/tbi-investigating-fatal-police-involved-shooting-in-bristol/article_a895dafe-40b5-11e6-848e-9797885cb990.html</t>
  </si>
  <si>
    <t>http://newschannel9.com/news/local/gbi-investigates-officer-involved-shooting-in-bartow-county</t>
  </si>
  <si>
    <t>http://www.goupstate.com/article/20160701/ARTICLES/160709949?Title=Shooting-reported-in-Landrum</t>
  </si>
  <si>
    <t>http://fox6now.com/2016/07/01/one-woman-taken-to-hospital-following-officer-involved-critical-incident-in-village-of-jackson/</t>
  </si>
  <si>
    <t>http://www.douglas-budget.com/news/article_1d12d29e-3f0b-11e6-b619-9f6e6f4f858c.html</t>
  </si>
  <si>
    <t>http://abc6onyourside.com/news/local/suspect-hospitalized-in-officer-involved-shooting</t>
  </si>
  <si>
    <t>http://www.wkow.com/story/32351785/2016/06/30/police-respond-to-report-of-residential-break-in-on-madisons-near-east-side</t>
  </si>
  <si>
    <t>http://www.koaa.com/story/32358733/park-county-man-kills-brother-is-shot-and-killed-by-police</t>
  </si>
  <si>
    <t>http://www.lex18.com/story/32343200/1-dead-in-officer-involved-shooting-in-knox-county</t>
  </si>
  <si>
    <t>http://www.knoe.com/content/news/BREAKING-Possible-deputy-involved-shooting-in-south-Ouachita-Parish--Our-crew-confirms-a-dead-body-is-at-the-scene--384960361.html</t>
  </si>
  <si>
    <t>http://www.dailydem.com/news/article_be147f64-3e0f-11e6-9049-27481a05a6cf.html</t>
  </si>
  <si>
    <t>http://www.hawaiinewsnow.com/story/32331213/officer-involved-shooting-reported-on-kinau-street</t>
  </si>
  <si>
    <t>http://www.presstelegram.com/general-news/20160628/long-beach-police-shoot-and-kill-suspect-k9-dies-near-orizaba-park</t>
  </si>
  <si>
    <t>http://www.13wmaz.com/news/local/bleckley-deputy-shoots-kills-suspect/257286657</t>
  </si>
  <si>
    <t>http://krqe.com/2016/07/01/state-police-identify-suspect-that-was-shot-killed-on-laguna-pueblo/</t>
  </si>
  <si>
    <t>http://whotv.com/2016/06/28/dci-investigating-boone-officer-involved-shooting/</t>
  </si>
  <si>
    <t>http://www.wdel.com/story/75826-police-involved-shooting-near-frederica-after-harrowing-pursuit-led-by-wanted-suspect</t>
  </si>
  <si>
    <t>http://www.nbcwashington.com/news/local/Officer-Involved-Shooting-Reported-in-NE-DC-384653811.html</t>
  </si>
  <si>
    <t>http://www.courant.com/breaking-news/hc-thomaston-shooting-0627-2-20160626-story.html</t>
  </si>
  <si>
    <t>http://chicago.suntimes.com/news/man-fatally-shot-by-dolton-police-during-armed-robbery/</t>
  </si>
  <si>
    <t>http://journalstar.com/news/local/911/year-old-woman-killed-in-early-morning-shooting-suspect-fatally/article_12a7dac4-c561-5e48-b5cb-1689734c5faa.html</t>
  </si>
  <si>
    <t>http://www.wilx.com/content/news/One-man-dead-following-officer-involved-shooting-in-Jackson-County-384475561.html</t>
  </si>
  <si>
    <t>http://www.fox5atlanta.com/news/166118131-story</t>
  </si>
  <si>
    <t>http://www.abcactionnews.com/news/region-pinellas/pinellas-park-police-investigating-an-officer-involved-shooting</t>
  </si>
  <si>
    <t>http://www.yourcentralvalley.com/news/fresno-police-man-shot-in-ois-in-southeast-fresno-dies</t>
  </si>
  <si>
    <t>http://www.northjersey.com/news/authorities-man-dead-in-exchange-of-gunfire-with-paterson-police-officers-1.1621357</t>
  </si>
  <si>
    <t>http://www.scsun-news.com/story/news/crime/2016/06/26/new-mexico-state-police-officer-involved-shooting/86406602/</t>
  </si>
  <si>
    <t>http://www.khou.com/news/local/fbcso-one-dead-one-injured-in-officer-involved-shooting-during-family-dispute/255482942</t>
  </si>
  <si>
    <t>http://www.news9.com/story/32303626/emergency-crews-respond-to-officer-involved-shooting-in-nw-okc</t>
  </si>
  <si>
    <t>http://5newsonline.com/2016/06/24/police-armed-man-spotted-at-farmington-house-fire/</t>
  </si>
  <si>
    <t>http://www.ajc.com/news/news/crime-law/cop-shot-and-killed-man-accused-of-breaking-into-a/nrmCS/</t>
  </si>
  <si>
    <t>http://www.cbs58.com/story/32288998/update-man-dies-after-officer-involved-shooting-in-tosa-park</t>
  </si>
  <si>
    <t>http://www.ksdk.com/news/local/illinois-state-police-investigate-deadly-officer-involved-shooting/255046764</t>
  </si>
  <si>
    <t>http://abc3340.com/news/local/two-county-chase-leads-deputies-to-stolen-vehicle-and-stolen-weapon</t>
  </si>
  <si>
    <t>http://www.wptv.com/news/region-c-palm-beach-county/wellington/pbso-investigates-shooting-in-wellington</t>
  </si>
  <si>
    <t>http://gazette.com/man-killed-in-colorado-springs-officer-involved-shooting/article/1578730</t>
  </si>
  <si>
    <t>http://www.commercialappeal.com/news/suburbs/desoto/desoto-law-enforcement-involved-in-standoff-35e24788-9a06-77ad-e053-0100007fda6a-384029591.html</t>
  </si>
  <si>
    <t>http://detroit.cbslocal.com/2016/06/22/flint-double-stabbing-suspect-dies-after-he-was-tasered-by-police/</t>
  </si>
  <si>
    <t>http://www.sealynews.com/breaking_news/article_dbe1b77a-3976-11e6-a247-23279f52b84b.html</t>
  </si>
  <si>
    <t>http://www.unionleader.com/public-safety/body-in-road-at-officer-involved-incident-in-peterborough-tuesday-morning-20160622</t>
  </si>
  <si>
    <t>http://www.shelbystar.com/news/20160622/sheriffs-office-deputy-used-deadly-force-after-attacked-with-chair-345-pm-update</t>
  </si>
  <si>
    <t>http://trib.com/news/officer-involved-shooting-in-casper-leaves-one-dead/article_1ff80134-d4fe-5e2a-bb5c-0e297e95a2ee.html</t>
  </si>
  <si>
    <t>Helmut Wihowski</t>
  </si>
  <si>
    <t>Stonewall Drive and Highland Road</t>
  </si>
  <si>
    <t>Larpenteur Ave W and St Mary's St</t>
  </si>
  <si>
    <t>Alva Braziel</t>
  </si>
  <si>
    <t>PD</t>
  </si>
  <si>
    <t>Charged with felony murder</t>
  </si>
  <si>
    <t>Charged, Convicted, Sentenced to 4 years</t>
  </si>
  <si>
    <t>Indicted, charged with manslaughter</t>
  </si>
  <si>
    <t>Thomas Mone III</t>
  </si>
  <si>
    <t>Boo Boo Blvd</t>
  </si>
  <si>
    <t>Hollister</t>
  </si>
  <si>
    <t>Taney</t>
  </si>
  <si>
    <t>Missouri State Highway Patrol, Taney County Sheriff's Office</t>
  </si>
  <si>
    <t xml:space="preserve">Mone was killed in an exchange of gunfire with officers who came to his home searching for a car involved in a previous pursuit with police, authorities said. A deputy and a woman at the home were also injured.
</t>
  </si>
  <si>
    <t>http://bransontrilakesnews.com/news_free/article_c1b49402-7c0c-11e6-aad2-2f3a4225e09a.html</t>
  </si>
  <si>
    <t>Robert Carrillo</t>
  </si>
  <si>
    <t>S 21st St and E Watkins St</t>
  </si>
  <si>
    <t>Carrillo, a suspect in a home invasion, allegedly pointed a gun while running from police before he was shot. Authorities said Carrillo fled from the home invasion in his car before he crashed and ran away on foot.</t>
  </si>
  <si>
    <t>http://www.12news.com/news/local/valley/man-dead-after-officer-involved-shooting-in-phoenix/319067088</t>
  </si>
  <si>
    <t>Morgan Crocker</t>
  </si>
  <si>
    <t>4200 Monterey Oaks Blvd</t>
  </si>
  <si>
    <t>Authorities received a 911 call reporting that a man was looking into car windows in a parking lot, police said. On their second trip to the parking lot, officers spotted Crocker and chased him as he fled. An officer used a Taser to stop Crocker, who then rolled over and began shooting at police, according to officials. Officers shot back and killed him.</t>
  </si>
  <si>
    <t>http://www.statesman.com/news/news/crime-law/officials-man-dead-in-officer-involved-shooting-in/nsYTy/</t>
  </si>
  <si>
    <t>Joseph Schlosser</t>
  </si>
  <si>
    <t>10264 Ridge Top Loop</t>
  </si>
  <si>
    <t>Weeki Wachee</t>
  </si>
  <si>
    <t>A healthcare worker called 911 to report that Schlosser, a military veteran, was suicidal and had weapons in his home, authorities said. Police said deputies attempted to take Schlosser into custody using 'less lethal means' before fatally shooting him.</t>
  </si>
  <si>
    <t>http://www.tampabay.com/news/publicsafety/names-of-officers-released-in-fatal-shooting-of-disabled-veteran-in/2293888</t>
  </si>
  <si>
    <t>Tyre King</t>
  </si>
  <si>
    <t>27 Hoffman Ave</t>
  </si>
  <si>
    <t>Police said officers were responding to a report of an armed robbery and that they saw three people – Tyre and two companions who matched the description of the suspects. Police shot Tyre as he ran away.  Police claim he pulled a BB gun from his waistband, but multiple witnesses dispute this.</t>
  </si>
  <si>
    <t>http://www.dispatch.com/content/stories/local/2016/09/15/13-year-old-shooting-update.html</t>
  </si>
  <si>
    <t>San Gabriel</t>
  </si>
  <si>
    <t>Eugene Craig</t>
  </si>
  <si>
    <t>Titus Avenue</t>
  </si>
  <si>
    <t>Police said they were at Craig's house to perform a welfare check. After trying to enter the home through the front door, deputies entered through the back where they found Craig allegedly armed with a gun. A deputy shot and killed Craig after he ignored commands to drop the gun and began to raise it, authorities said.</t>
  </si>
  <si>
    <t>http://www.nbcbayarea.com/news/local/Deputy-Involved-in-Shooting-in-Saratoga-Sheriffs-Official-393207741.html</t>
  </si>
  <si>
    <t>900 E C St</t>
  </si>
  <si>
    <t>Police were chasing a reported stolen car. The chase ended in front of Washington High School, police said. The specifics of why he was shot and killed were not immediately disclosed.</t>
  </si>
  <si>
    <t>http://www.sbsun.com/general-news/20160912/colton-police-shoot-kill-man-following-pursuit</t>
  </si>
  <si>
    <t>Markell Lamarr Bivins</t>
  </si>
  <si>
    <t>1735 Edgewood Road NW</t>
  </si>
  <si>
    <t>Officers responded to a domestic disturbance at Valley High Apartments. At some point during that response, a 25-year-old suspect was shot. Few details were immediately released.</t>
  </si>
  <si>
    <t>http://www.kcrg.com/content/news/393298031.html</t>
  </si>
  <si>
    <t>Terrence Sterling</t>
  </si>
  <si>
    <t>M St NW &amp; 3rd St NW</t>
  </si>
  <si>
    <t>Police were apparently trying to stop an erratically driven motorcycle when the motorcycle struck a police car and Sterling was shot and killed.</t>
  </si>
  <si>
    <t>http://wjla.com/news/local/one-dead-after-police-involved-shooting-in-dc</t>
  </si>
  <si>
    <t>Dennis Claude Stanley</t>
  </si>
  <si>
    <t>Lorton Lick Road</t>
  </si>
  <si>
    <t>Dispatchers got a call about an armed man acting erratically in the road. Mercer County Deputies and West Virginia State Police responded near Route 71 in Montcalm. They found Dennis Claude Stanley in the roadway. According to police, Stanley refused several verbal commands to show his hands. He then tried to pull a gun from his pants. Stanley was shot and killed by deputies. Later, police determined that the gun was a handgun replica.</t>
  </si>
  <si>
    <t>http://wvmetronews.com/2016/09/10/man-killed-in-officer-involved-shooting-in-mercer-county/</t>
  </si>
  <si>
    <t>Gregory Frazier</t>
  </si>
  <si>
    <t>http://www.fatalencounters.org/wp-content/uploads/2013/10/Gregory-Frazier.jpg</t>
  </si>
  <si>
    <t>NW Third Avenue and NW 14th Street</t>
  </si>
  <si>
    <t>Two deputies shot and killed a man who was carrying a knife. Few details were released.</t>
  </si>
  <si>
    <t>http://wsvn.com/news/local/bso-investigating-deputy-involved-shooting-in-pompano-beach/</t>
  </si>
  <si>
    <t>Ricardo Tenorio</t>
  </si>
  <si>
    <t>http://www.fatalencounters.org/wp-content/uploads/2013/10/tenorio.jpg</t>
  </si>
  <si>
    <t>1100 Ingram Boulevard</t>
  </si>
  <si>
    <t>West Memphis</t>
  </si>
  <si>
    <t>http://www.commercialappeal.com/news/crime/suspect-who-tried-to-run-over-deputies-shot-to-death-by-authorites-3c11ff98-c8b4-78f4-e053-0100007f0-392861021.html</t>
  </si>
  <si>
    <t>Travis Ell</t>
  </si>
  <si>
    <t>8th St NE &amp; Pike St NE</t>
  </si>
  <si>
    <t>An officer was responding to a report of malicious mischief regarding a man breaking car windows in a parking lot. A man approached him and posed a threat, according to police. The officer fired multiple shots, killing the man. Police did not provide more details about how the man posed a threat.</t>
  </si>
  <si>
    <t>http://www.king5.com/news/local/police-investigate-officer-involved-shooting-in-auburn/316387138</t>
  </si>
  <si>
    <t>Juan Manuel Barajas Torres aka Jose Torres</t>
  </si>
  <si>
    <t>Delhi</t>
  </si>
  <si>
    <t>Deputies were called to investigate a domestic disturbance report. Torres came out of the home with “an assault-like rifle,” and opened fire, striking Deputy Alejandro “Alex” Barba twice. Deputy Adam Leuchner shot and killed him.</t>
  </si>
  <si>
    <t>http://www.mercedsunstar.com/news/local/crime/article100769527.html</t>
  </si>
  <si>
    <t>Sadiq Bishara-Abaker Idris</t>
  </si>
  <si>
    <t>http://www.fatalencounters.org/wp-content/uploads/2013/10/Sadiq-Bishara-Abaker-Idris.png</t>
  </si>
  <si>
    <t>Eastern Ave SE &amp; 32nd St SE</t>
  </si>
  <si>
    <t>Wyoming Department of Public Safety</t>
  </si>
  <si>
    <t>Police say they responded to a report of a theft from a gun store. The suspect had reportedly been looking at firearms, and ran from the store with a semi-automatic pistol, before getting on a bicycle. Officers followed a tip call to the suspect's location. The caller indicated that the suspect appeared to have a handgun in his back pocket. A Wyoming Public Safety officer made contact with the suspect, who reached for his gun and pointed it at the officer, who shot and killed him.</t>
  </si>
  <si>
    <t>http://wwmt.com/news/local/police-responding-to-incident-in-wyoming</t>
  </si>
  <si>
    <t>Francis Perry</t>
  </si>
  <si>
    <t>http://www.fatalencounters.org/wp-content/uploads/2013/10/Francis-Perry.jpg</t>
  </si>
  <si>
    <t>Police said Perry refused to roll down his dark-tinted car windows, so a detective finally smashed a passenger window. Perry fired at them with a handgun, and all four detectives fired back, at least 28 times, killing him.</t>
  </si>
  <si>
    <t>http://www.wesh.com/news/suspect-identified-in-officerinvolved-shooting-in-lakeland/41570036</t>
  </si>
  <si>
    <t>Jessie Joynt</t>
  </si>
  <si>
    <t>http://www.fatalencounters.org/wp-content/uploads/2013/10/Jessie-Joynt.jpg</t>
  </si>
  <si>
    <t>Barna Ave &amp; Harrison St</t>
  </si>
  <si>
    <t>An armed man who held up a bank and attempted to get away with the cash was shot and killed by Titusville police. Exactly what precipitated the shooting was not disclosed.</t>
  </si>
  <si>
    <t>http://www.floridatoday.com/story/news/2016/09/07/titusville-police-respond-bank-robbery-reports-shots-fired/89955884/</t>
  </si>
  <si>
    <t>Donald Degraw</t>
  </si>
  <si>
    <t>http://www.fatalencounters.org/wp-content/uploads/2013/10/Donald-Degraw.png</t>
  </si>
  <si>
    <t>1739 Split Fork Drive</t>
  </si>
  <si>
    <t>Oldsmar</t>
  </si>
  <si>
    <t>Degraw, a veteran with PTSD, was under protective custody when he became unresponsive as deputies tasered and handcuffed him.</t>
  </si>
  <si>
    <t>http://www.tampabay.com/news/publicsafety/pinellas-sheriffs-office-investigating-death-of-oldsmar-man-under/2292707</t>
  </si>
  <si>
    <t>Robert Lee Brown</t>
  </si>
  <si>
    <t>South Madison and West Lincoln Avenue</t>
  </si>
  <si>
    <t>Dougherty</t>
  </si>
  <si>
    <t>Albany Police Department</t>
  </si>
  <si>
    <t>An officer was stabbed by Brown after he responded to a call of a suspicious person throwing items onto the road. When the officer arrived and spoke to Brown, he lunged at the officer, hitting him in the shoulder.The officer shot and killed Brown.</t>
  </si>
  <si>
    <t>http://www.walb.com/story/33035760/officer-stabbed-suspect-dies-after-being-shot</t>
  </si>
  <si>
    <t>Larry Grant Whitehead</t>
  </si>
  <si>
    <t>153 Moody Lane</t>
  </si>
  <si>
    <t>Deputies responded to a call about a disturbance at a home on Moody Lane in Gray. Upon arrival, officers encountered a male subject armed with a weapon, police said. Allegedly, a confrontation occurred which resulted in the officers shooting and killing Whitehead.</t>
  </si>
  <si>
    <t>http://wjhl.com/2016/09/06/wcso-investigating-shooting-on-moody-lane-in-gray/</t>
  </si>
  <si>
    <t>Bernard Cottrell</t>
  </si>
  <si>
    <t>WV-14 and Randolph Road</t>
  </si>
  <si>
    <t>Spencer</t>
  </si>
  <si>
    <t>Family members were in the process of getting a mental hygiene petition in Roane County for Cottrell, due to the fact that he was a threat to himself and others. Cottrell was encountered by police driving south on Route 14 near Spencer. A vehicle pursuit ensued. The pursuit ended, and Cotrell pointed a firearm at the officers and was shot and killed.</t>
  </si>
  <si>
    <t>http://wvmetronews.com/2016/09/06/1-killed-in-officer-involved-shooting-in-roane-county/</t>
  </si>
  <si>
    <t>Dylan Papa</t>
  </si>
  <si>
    <t>http://www.fatalencounters.org/wp-content/uploads/2013/10/Dylan-Papa.jpg</t>
  </si>
  <si>
    <t>E Thomas Rd &amp; N 37th St</t>
  </si>
  <si>
    <t>Papa's mother called police to report that her son was arguing with her and was armed with a large sword. The man fled before officers arrived. The woman called police again saying her son returned and was in a nearby apartment threatening people with a knife. She said he had also assaulted a man. Officers spent an hour talking Papa out of the apartment and when he exited, he had a large hunting-style knife tied to his hand. Police say Papa charged at officers and when non-lethal methods didn't stop him, officers shot and killed him.</t>
  </si>
  <si>
    <t>http://www.abc15.com/news/region-phoenix-metro/central-phoenix/phx-pd-involved-in-fatal-shooting-for-second-time-in-12-hours</t>
  </si>
  <si>
    <t>Steven Del Rio</t>
  </si>
  <si>
    <t>http://www.fatalencounters.org/wp-content/uploads/2013/10/Steven-Del-Rio.jpg</t>
  </si>
  <si>
    <t>1827 W Baseline Rd</t>
  </si>
  <si>
    <t>Del Rio was shot and killed after reportedly robbing a bank, and firing at officers before he was eventually cornered near Baseline Road and Interstate 10.</t>
  </si>
  <si>
    <t>http://www.azcentral.com/story/news/local/phoenix-breaking/2016/09/06/phoenix-police-chase-ends-gunshots-near--10-baseline-road/89925028/</t>
  </si>
  <si>
    <t>David L. Anderson</t>
  </si>
  <si>
    <t>Q St &amp; S 24th St</t>
  </si>
  <si>
    <t>Deputies were attempting to serve a felony warrant for possession of a controlled substance to Anderson when he was shot and killed. Few details were immediately released.</t>
  </si>
  <si>
    <t>http://www.wowt.com/content/news/Reports-Police-respond-to-help-an-officer-call-in-south-Omaha-392488871.html</t>
  </si>
  <si>
    <t>Cesar Garcia</t>
  </si>
  <si>
    <t>Police responded to a domestic disturbance. When they arrived, an unidentified man in the parking lot pointed a rifle at them, and he was shot and killed.</t>
  </si>
  <si>
    <t>http://keyetv.com/news/local/officer-involved-shooting-in-northeast-austin</t>
  </si>
  <si>
    <t>Moses Ruben</t>
  </si>
  <si>
    <t>1700 N. Kaufman St</t>
  </si>
  <si>
    <t>Ennis</t>
  </si>
  <si>
    <t>75119</t>
  </si>
  <si>
    <t>Ellis Police Department</t>
  </si>
  <si>
    <t>After being told he was under arrest because of multiple warrants, Ruben crashed his car into several police cars and was shot and killed.</t>
  </si>
  <si>
    <t>http://www.nbcdfw.com/news/local/Ennis-Police-Fatally-Shoot-Driver-During-Traffic-Stop-392404311.html</t>
  </si>
  <si>
    <t>Simon Gomez</t>
  </si>
  <si>
    <t>28 1/2 Road and North Ave</t>
  </si>
  <si>
    <t>Police responded to a domestic disturbance. When they arrived, an unidentified man, who may have been armed with a knife was shot and killed.</t>
  </si>
  <si>
    <t>http://www.kjct8.com/content/news/BREAKING-Suspect-killed-in-officer-invovled-shooting-Sunday-afternoon-392305851.html</t>
  </si>
  <si>
    <t>Jerome Damon</t>
  </si>
  <si>
    <t>2100 Pacific Ave</t>
  </si>
  <si>
    <t>Men opened fire on police when they were pulled over for a traffic stop. Damon was shot and killed.</t>
  </si>
  <si>
    <t>http://philadelphia.cbslocal.com/2016/09/03/officer-shot-in-atlantic-city-two-arrest-made/</t>
  </si>
  <si>
    <t>Donny Max Daugherty</t>
  </si>
  <si>
    <t>Unionville Road</t>
  </si>
  <si>
    <t>Brookport</t>
  </si>
  <si>
    <t>Daugherty was wanted by the U.S. Marshals Service for a probation violation pertaining to a charge of possession of a weapon and an aggravated assault warrant through the Nashville, Tennessee Police Department. After he attacked someone in their home, a manhunt was launched, and police eventually caught up with Daugherty, and shot and killed him during a gunfight.</t>
  </si>
  <si>
    <t>http://www.wpsdlocal6.com/story/33009581/officer-involved-shooting-leaves-person-dead-in-brookport</t>
  </si>
  <si>
    <t>Jeremiah “Jeremy” Richard Ramirez</t>
  </si>
  <si>
    <t>S 25th St &amp; W Avenue G</t>
  </si>
  <si>
    <t>Temple</t>
  </si>
  <si>
    <t>76504</t>
  </si>
  <si>
    <t>Temple Police Department</t>
  </si>
  <si>
    <t>After a pursuit from Cameron to Temple, Ramirez pointed a gun at police and was shot and killed.</t>
  </si>
  <si>
    <t>http://www.tdtnews.com/news/article_ab4535e8-7232-11e6-886a-af4ab86e838b.html</t>
  </si>
  <si>
    <t>Jose Romero</t>
  </si>
  <si>
    <t>1600 Obispo Ave</t>
  </si>
  <si>
    <t>Police responded to a call for a suicidal veteran. They shot and killed him when he refused to disarm. Possibly premeditated suicide by cop.</t>
  </si>
  <si>
    <t>http://abc7.com/news/long-beach-police-fatally-shoot-man-armed-with-knife-officials-say/1498809/</t>
  </si>
  <si>
    <t>Cameron Ayers</t>
  </si>
  <si>
    <t>200 Bellevue St NW</t>
  </si>
  <si>
    <t>East Wenatchee</t>
  </si>
  <si>
    <t>East Wenatchee Police Department</t>
  </si>
  <si>
    <t>Police were trying to arrest Ayers when he was shot and killed. Few details have been disclosed by police as to why he was shot.</t>
  </si>
  <si>
    <t>http://komonews.com/news/local/east-wenatchee-officer-shoots-kills-man</t>
  </si>
  <si>
    <t>Michael Thompson Jr.</t>
  </si>
  <si>
    <t>900 Harlan Ave</t>
  </si>
  <si>
    <t>Officers in a marked police vehicle attempted attempted to pull a man over who was driving erratically in a auto with out-of-state plates. The man was wanted for parole violations and also had felony warrants. After stopping, he ran about a block and fired a shot at the officer before his gun jammed. He was shot and killed.</t>
  </si>
  <si>
    <t>http://www.stltoday.com/news/local/metro/one-person-is-shot-by-st-louis-police-officer/article_f0582caa-de7f-5a9e-b715-478ac9a61ca2.html</t>
  </si>
  <si>
    <t>http://www.fatalencounters.org/wp-content/uploads/2013/10/JosephMoreno.jpg</t>
  </si>
  <si>
    <t>600 S Florida Ave</t>
  </si>
  <si>
    <t>Alamogordo</t>
  </si>
  <si>
    <t>88310</t>
  </si>
  <si>
    <t>Alamogordo Police Department</t>
  </si>
  <si>
    <t>Moreno was wanted on multiple charges. After a foot chase and a gun battle in which Officer Clint Corvinus was also killed, Moreno was shot and killed.</t>
  </si>
  <si>
    <t>http://www.cbsnews.com/news/police-officer-clint-corvinus-killed-by-joseph-moreno-alamogordo-new-mexico/</t>
  </si>
  <si>
    <t>Randall Rodick</t>
  </si>
  <si>
    <t>9250 Crown Crest Blvd</t>
  </si>
  <si>
    <t>80138</t>
  </si>
  <si>
    <t>Police were called for a suicidal person. There was a gun battle and a deputy was injured while Rodick was killed.</t>
  </si>
  <si>
    <t>http://www.denverpost.com/2016/09/02/parker-police-gunman/</t>
  </si>
  <si>
    <t>Michael Robert Musson Jr.</t>
  </si>
  <si>
    <t>Round Lake</t>
  </si>
  <si>
    <t>60073</t>
  </si>
  <si>
    <t>Round Lake Police Department</t>
  </si>
  <si>
    <t>An officer was sent to North Macgillis Drive in Round Lake; multiple people had called 911 saying a suspicious man was banging on doors of homes on the block and trying to force his way into at least one of them, police said. The man confronted the officer with a piece of broken glass and the two got into a fight. The officer then shot and killed him.</t>
  </si>
  <si>
    <t>http://chicago.suntimes.com/news/man-fatally-shot-by-round-lake-police-officer/</t>
  </si>
  <si>
    <t>Joshua Quintero</t>
  </si>
  <si>
    <t>Deputies responded to a gunshot victim call, and while deputies attended to the victim, other deputies attempted to detain three male suspects. One of the suspects ran down an alley, immediately followed by two deputies. When the deputies caught up, the man turned toward one of them and drew a revolver from his waistband, police said. He was shot and killed.</t>
  </si>
  <si>
    <t>http://www.latimes.com/local/lanow/la-me-ln-deputy-shots-man-20160901-snap-story.html</t>
  </si>
  <si>
    <t>Caleb James Douglas</t>
  </si>
  <si>
    <t>1100 N Tyler Rd</t>
  </si>
  <si>
    <t>67212</t>
  </si>
  <si>
    <t>Sedgwick County Sheriff's Office</t>
  </si>
  <si>
    <t>Douglas was pulled over for impaired driving. He pulled a gun and was shot and killed. He drove a short distance, crashing into a house before he died.</t>
  </si>
  <si>
    <t>http://www.kansas.com/news/local/crime/article99215797.html</t>
  </si>
  <si>
    <t>2400 E 57th St</t>
  </si>
  <si>
    <t>Huntington Park</t>
  </si>
  <si>
    <t>90058</t>
  </si>
  <si>
    <t>Huntington Park Police Department</t>
  </si>
  <si>
    <t>A homeless man apparently attacked police with rocks and a lead pipe before he was shot and killed.</t>
  </si>
  <si>
    <t>http://ktla.com/2016/09/01/man-shot-by-huntington-park-police-condition-unknown/</t>
  </si>
  <si>
    <t>Ed Holup</t>
  </si>
  <si>
    <t>5834 Friedly Dr.</t>
  </si>
  <si>
    <t>43623</t>
  </si>
  <si>
    <t>Sylvania Township Police Department</t>
  </si>
  <si>
    <t>Apparently, although few details were released, Holup struck an officer with his car, and he was shot and killed.</t>
  </si>
  <si>
    <t>http://www.toledoblade.com/Police-Fire/2016/09/01/Police-investigate-early-morning-incident-in-Sylvania-Township.html</t>
  </si>
  <si>
    <t>Michael Ferguson</t>
  </si>
  <si>
    <t>http://www.fatalencounters.org/wp-content/uploads/2013/10/MICHAEL-FERGUSON.jpg</t>
  </si>
  <si>
    <t>80236</t>
  </si>
  <si>
    <t>Officers were searching for a wanted suspect in a home when he fled out a back window. Officers chased him before a fight happened, and Ferguson was shot and killed.</t>
  </si>
  <si>
    <t>http://www.denverpost.com/2016/08/31/shots-fired-denver-police-operation/</t>
  </si>
  <si>
    <t>Thomas E. Sekscinski</t>
  </si>
  <si>
    <t>FR 1165 and FR 2040</t>
  </si>
  <si>
    <t>Sekscinski fled when police tried to stop him in a stolen vehicle. He turned down a private lane at which time an officer stopped and got out of his vehicle. Sekscinski turned around and was driving back towards the officer when he was shot and killed.</t>
  </si>
  <si>
    <t>http://www.ozarksfirst.com/news/aurora-man-dies-from-officer-involved-shooting</t>
  </si>
  <si>
    <t>James Robert Richards</t>
  </si>
  <si>
    <t>http://www.fatalencounters.org/wp-content/uploads/2013/10/Richards.jpg</t>
  </si>
  <si>
    <t>1512 South Cushman Street</t>
  </si>
  <si>
    <t>99701</t>
  </si>
  <si>
    <t>Fairbanks Police Department</t>
  </si>
  <si>
    <t>Richards was shot and killed in Fairbanks after he threatened a woman with a gun, grabbed a hostage off the street and ignored commands to drop his weapon, according to police.</t>
  </si>
  <si>
    <t>http://www.adn.com/alaska-news/crime-courts/2016/08/30/streets-shut-down-as-fairbanks-police-respond-to-officer-involved-shooting/</t>
  </si>
  <si>
    <t>Gregory Mathis</t>
  </si>
  <si>
    <t>http://www.star-telegram.com/news/local/community/weatherford-star-telegram/7voj0q/picture99281117/ALTERNATES/FREE_320/mathis,gregory.jpeg</t>
  </si>
  <si>
    <t>111 I-20 Frontage Rd</t>
  </si>
  <si>
    <t>Police were trying to serve two aggravated robbery warrants. Police say Mathis emerged from a motel bathroom with a knife, and he was shot and killed.</t>
  </si>
  <si>
    <t>http://www.star-telegram.com/news/local/community/weatherford-star-telegram/article98990042.html</t>
  </si>
  <si>
    <t>Levonia Riggins</t>
  </si>
  <si>
    <t>http://www.fatalencounters.org/wp-content/uploads/2013/10/Levonia.jpg</t>
  </si>
  <si>
    <t>1432 Longwood Loop</t>
  </si>
  <si>
    <t>33619</t>
  </si>
  <si>
    <t>Riggins was shot and killed as deputies searched his home for drugs. No details were released as to why Riggins was an immediate threat.</t>
  </si>
  <si>
    <t>http://wfla.com/2016/08/30/hillsborough-deputy-is-on-paid-leave-after-firing-shot-killing-suspect/</t>
  </si>
  <si>
    <t>Justin Baker</t>
  </si>
  <si>
    <t>9000 262nd St E</t>
  </si>
  <si>
    <t>Graham</t>
  </si>
  <si>
    <t>98338</t>
  </si>
  <si>
    <t>http://www.thenewstribune.com/news/local/crime/article98794767.html</t>
  </si>
  <si>
    <t>Lyle Patrick Blanchard</t>
  </si>
  <si>
    <t>Harker Heights</t>
  </si>
  <si>
    <t>76548</t>
  </si>
  <si>
    <t>Bell County Sheriff's Department</t>
  </si>
  <si>
    <t>A deputy attempted to stop a vehicle on FM 2410. The vehicle fled before eventually coming to a stop in a private driveway. There was a gunfight, and Blanchard was killed.</t>
  </si>
  <si>
    <t>http://www.kvue.com/news/local/suspect-dead-after-chase-and-gunfire-in-bell-county/311518359</t>
  </si>
  <si>
    <t>Jaqwan Julius Terry</t>
  </si>
  <si>
    <t>http://www.fatalencounters.org/wp-content/uploads/2013/10/jaqwan-taylor.png</t>
  </si>
  <si>
    <t>311 Donald Ross Drive</t>
  </si>
  <si>
    <t>Police responded because he was walking around with a gun. When they arrived, he fled. Few details have been released about what exactly happened to precipitate the shooting.</t>
  </si>
  <si>
    <t>http://www.nydailynews.com/news/national/armed-north-carolina-man-fatally-shot-foot-chase-article-1.2770838</t>
  </si>
  <si>
    <t>Paula Phillips</t>
  </si>
  <si>
    <t>N Stockton Hill Rd &amp; Broadway Ave</t>
  </si>
  <si>
    <t>Kingman Police Department</t>
  </si>
  <si>
    <t>Police responded to a vehicle stopped in the middle of the roadway. Phillips pointed a shotgun at the responding officer. The officer then shot and killed her.</t>
  </si>
  <si>
    <t>http://www.abc15.com/news/region-northern-az/other/mohave-county-sheriffs-office-investigating-deadly-officer-involved-shooting-in-kingman</t>
  </si>
  <si>
    <t>Michael Peacor</t>
  </si>
  <si>
    <t>http://www.fatalencounters.org/wp-content/uploads/2013/10/Peacor.jpg</t>
  </si>
  <si>
    <t>16th Street and Massachusetts Avenue</t>
  </si>
  <si>
    <t>Police responded to a domestic disturbance. They tasered the man who began stabbing his wife. He was shot and killed.</t>
  </si>
  <si>
    <t>http://www.sbsun.com/general-news/20160829/san-bernardino-police-fatally-shoot-man-who-they-say-stabbed-his-wife</t>
  </si>
  <si>
    <t>Justin Kulhanek-Derks</t>
  </si>
  <si>
    <t>Eagan</t>
  </si>
  <si>
    <t>Eagan Police Department</t>
  </si>
  <si>
    <t>Eagan police were called to Forest Ridge Townhomes on a report that a man was firing a gun outside the building. An exchange of gunfire happened after officers arrived. Kulhanek-Derks was killed.</t>
  </si>
  <si>
    <t>http://www.twincities.com/2016/08/29/investigation-continues-into-officer-involved-shooting-in-eagan-that-left-a-single-father-dead/</t>
  </si>
  <si>
    <t>Darrel Hetrick</t>
  </si>
  <si>
    <t>http://www.wvgazettemail.com/apps/pbcsi.dll/storyimage/CH/20160829/GZ0118/160829521/AR/0/AR-160829521.jpg&amp;imageVersion=SoftCropArticlePictures&amp;s=1472576013417</t>
  </si>
  <si>
    <t>Price Hill Rd</t>
  </si>
  <si>
    <t>Monongalia County Sheriff's Office</t>
  </si>
  <si>
    <t>Hetrick was killed because he was armed and threatened to kill deputies who had arrived at his home to serve an arrest warrant, police said.</t>
  </si>
  <si>
    <t>http://wvmetronews.com/2016/08/29/armed-suspected-killed-by-mon-county-deputies/</t>
  </si>
  <si>
    <t>Terry Salazar</t>
  </si>
  <si>
    <t>http://www.fatalencounters.org/wp-content/uploads/2013/10/Terry-Salazar.jpg</t>
  </si>
  <si>
    <t>8 S Fox St</t>
  </si>
  <si>
    <t>Salazar threatened police with a knife before he was shot and killed. He'd been involved in several altercations that night.</t>
  </si>
  <si>
    <t>http://www.denverpost.com/2016/08/29/terry-salazar-shot-by-denver-police/</t>
  </si>
  <si>
    <t>Alfred Toe</t>
  </si>
  <si>
    <t>http://www.fatalencounters.org/wp-content/uploads/2013/10/Alfred-Toe.jpg</t>
  </si>
  <si>
    <t>West Ingham Avenue and Roosevelt Street</t>
  </si>
  <si>
    <t>08638</t>
  </si>
  <si>
    <t>Toe tried to wrestle a gun away from an off-duty Trenton police officer at a family gathering in the city was shot in the chest during the struggle and later died, police said.</t>
  </si>
  <si>
    <t>http://www.nj.com/mercer/index.ssf/2016/08/man_shot_while_struggling_with_trenton_officer_ove.html</t>
  </si>
  <si>
    <t>Angel Torres Jr.</t>
  </si>
  <si>
    <t>http://www.fatalencounters.org/wp-content/uploads/2013/10/Angel-Torres-Jr..jpg</t>
  </si>
  <si>
    <t>W Thomas Rd and N 57th Ave</t>
  </si>
  <si>
    <t>Police responded to a domestic disturbance. They say Torres pointed a BB gun that looked like a real gun at them.</t>
  </si>
  <si>
    <t>http://www.azcentral.com/story/news/local/phoenix-breaking/2016/08/28/phoenix-police-id-man-shot-killed-after-pointing-gun-officer/89508198/</t>
  </si>
  <si>
    <t>Matthew Gibbon</t>
  </si>
  <si>
    <t>Boulder Hwy &amp; U.S. 95</t>
  </si>
  <si>
    <t>Gibbon was one of two passengers in a vehicle that was pulled over for a traffic violation. Gibbon fled the car. The trooper chased him and gunfire was exchanged. Gibbon was shot dead at the scene and a bullet hit the trooper's badge.</t>
  </si>
  <si>
    <t>http://lasvegassun.com/news/2016/aug/28/man-fatally-shot-in-gunfight-with-nevada-trooper-i/</t>
  </si>
  <si>
    <t>Michael W. Gaskill</t>
  </si>
  <si>
    <t>http://www.fatalencounters.org/wp-content/uploads/2013/10/Michael-Gaskill-jpg.jpg</t>
  </si>
  <si>
    <t>NW Canal Boulevard</t>
  </si>
  <si>
    <t>Redmond Police Department</t>
  </si>
  <si>
    <t>Jerry Lee Jackson</t>
  </si>
  <si>
    <t>Fort Collins Police Services</t>
  </si>
  <si>
    <t>Jackson was shot as he reportedly approached Fort Collins officers while armed with a knife on Bainbridge Street. Three officers shot Jackson, killing him, police said.</t>
  </si>
  <si>
    <t>http://www.coloradoan.com/story/news/2016/08/26/suspect-police-shooting-had-troubled-past/89409334/</t>
  </si>
  <si>
    <t>Donta Taylor</t>
  </si>
  <si>
    <t>http://www.fatalencounters.org/wp-content/uploads/2013/10/Donta-Taylor.png</t>
  </si>
  <si>
    <t>W Arbutus St and N Kemp Ave</t>
  </si>
  <si>
    <t>Deputies encountered Taylor standing on the sidewalk on Wilmington Avenue, police said. He produced a handgun and ran, leading to a chase on foot. The deputies caught up with him in the wash near Arbutus Street and Kemp Avenue. When the man pointed his handgun at one of the deputies, one of them shot and killed him.</t>
  </si>
  <si>
    <t>http://www.nbclosangeles.com/news/local/Man-Fatally-Shot-by-Sheriffs-Deputies-in-Compton-391385291.html</t>
  </si>
  <si>
    <t>David Coborubio</t>
  </si>
  <si>
    <t>http://www.fatalencounters.org/wp-content/uploads/2013/10/David-Coborubio.jpg</t>
  </si>
  <si>
    <t>S White Ave</t>
  </si>
  <si>
    <t>Coborubio was fatally wounded during an altercation as FBI SWAT agents served a search warrant at his mother's home. Little information is known.</t>
  </si>
  <si>
    <t>http://patch.com/california/southgate-lynwood/compton-man-killed-fbi-involved-shooting-family-wants-answers</t>
  </si>
  <si>
    <t>William Charbonneau</t>
  </si>
  <si>
    <t>3826 Marsh Lilly Dr</t>
  </si>
  <si>
    <t>Deputy Richard Nye and other two deputies went the scene of where a man had a shotgun and was threatening suicide. Charbonneau denied multiple commands to drop the gun and was shot and killed.</t>
  </si>
  <si>
    <t>http://www.orlandosentinel.com/news/breaking-news/os-deputy-involved-shooting-avalon-20160824-story.html</t>
  </si>
  <si>
    <t>Elias Portillo</t>
  </si>
  <si>
    <t>3700 W Davis St</t>
  </si>
  <si>
    <t>After a traffic stop and a foot chase, Portillo pulled a gun and was shot and killed.</t>
  </si>
  <si>
    <t>http://www.dallasnews.com/news/local-news/20160824-suspect-shot-by-police-after-traffic-stop-in-west-oak-cliff.ece</t>
  </si>
  <si>
    <t>Jeffrey Darren Hosea</t>
  </si>
  <si>
    <t>http://www.fatalencounters.org/wp-content/uploads/2013/10/JeffreyDarrenHosea.jpg</t>
  </si>
  <si>
    <t>905 E Lane St</t>
  </si>
  <si>
    <t>Shelbyville Police Department</t>
  </si>
  <si>
    <t>Hosea was holding his son hostage when he was shot and killed.</t>
  </si>
  <si>
    <t>http://www.newschannel5.com/news/local-news/1-killed-in-officer-involved-shooting-in-shelbyville</t>
  </si>
  <si>
    <t>Bobby Lyn Buck</t>
  </si>
  <si>
    <t>http://www.fatalencounters.org/wp-content/uploads/2013/10/Bobby-Lyn-Buck.jpg</t>
  </si>
  <si>
    <t>Sanders Street</t>
  </si>
  <si>
    <t>Myra</t>
  </si>
  <si>
    <t>Cooke</t>
  </si>
  <si>
    <t>Montague County Sheriff's Office</t>
  </si>
  <si>
    <t>Police say Buck carjacked a woman at the Family Dollar store in Nocona, and headed east on U.S. Highway 82. Police began the chase in St. Jo. The chase ended on Sanders Street where a Montague County police fired at Buck.</t>
  </si>
  <si>
    <t>http://www.kxii.com/content/news/Officer-involved-in-fatal-shooting-in-Cooke-County.html</t>
  </si>
  <si>
    <t>Kelley Brandon Forte</t>
  </si>
  <si>
    <t>http://www.fatalencounters.org/wp-content/uploads/2013/10/FOrte.jpg</t>
  </si>
  <si>
    <t>1090 High St</t>
  </si>
  <si>
    <t>Forte apparently was attempting to rob a pharmacy when he was shot and killed.</t>
  </si>
  <si>
    <t>http://www.daytondailynews.com/news/news/robbery-suspect-shot-killed-by-officer-in-hamilton/nsKCr/</t>
  </si>
  <si>
    <t>Bernie Porche</t>
  </si>
  <si>
    <t>Law St and New Orleans St</t>
  </si>
  <si>
    <t>One man was killed in an incident that began as an auto theft stop, according to police, and quickly turned into a rolling gun battle. Two suspects escaped. A Louisiana State Police trooper was shot in the elbow.</t>
  </si>
  <si>
    <t>http://www.nola.com/crime/index.ssf/2016/08/trooper_shot_in_elbow_during_g.html</t>
  </si>
  <si>
    <t>Juan Gabriel Torres</t>
  </si>
  <si>
    <t>Torres reportedly committed a robbery and stole a pickup truck. Officers saw the truck flee the scene and pursued it east on Lohman, but heavy traffic in the area forced police to stop the chase. Later, Torres held a large knife and a beer bottle when he attempted to open another vehicle. Torres was shot when he lunged toward an officer with the knife.</t>
  </si>
  <si>
    <t>http://www.kob.com/new-mexico-news/man-shot-by-las-cruces-police-lunged-at-officer-with-knife-spokesman-says/4242242/</t>
  </si>
  <si>
    <t>Brandon Coles</t>
  </si>
  <si>
    <t>http://www.fatalencounters.org/wp-content/uploads/2013/10/Brandon-Coles.jpg</t>
  </si>
  <si>
    <t>15700 Allen Dr</t>
  </si>
  <si>
    <t>Dinwiddie</t>
  </si>
  <si>
    <t>Dinwiddie County Sheriff's Office</t>
  </si>
  <si>
    <t>Dinwiddie Sheriff's Deputy Terrell Coles, 24, was arrested and charged with the second-degree murder of his brother.</t>
  </si>
  <si>
    <t>http://wtvr.com/2016/08/21/allen-drive-fatal-shooting/</t>
  </si>
  <si>
    <t>Pedro Montanez</t>
  </si>
  <si>
    <t>44510 Jackson St.</t>
  </si>
  <si>
    <t>An unidentified man was apparently threatening people at a convenience store with a knife when he was shot and killed.</t>
  </si>
  <si>
    <t>http://www.desertsun.com/story/news/crime_courts/2016/08/21/man-dies-after-officer-involved-shooting-indio/89071120/</t>
  </si>
  <si>
    <t>Todd Browning</t>
  </si>
  <si>
    <t>1700 Prigmore Rd</t>
  </si>
  <si>
    <t>East Ridge Police Department</t>
  </si>
  <si>
    <t>http://www.eastridgenewsonline.com/hcsd-investigating-erpd-officer-involved-shooting/</t>
  </si>
  <si>
    <t>Jorge Ceniceros</t>
  </si>
  <si>
    <t>E Thomas Rd and N 20th St</t>
  </si>
  <si>
    <t>According to police, an officer was investigating a suspicious car in a parking lot near a park when Ceniceros came out of the bushes and approached him. They got into a fight during which Ceniceros punched the officer in the face and head, breaking his nose. The injured officer was able to radio for assistance. Ceniceros continued to assault the officer and grabbed the officer's weapon with both hands trying to take it from him. A plainclothes detective who was nearby arrived to help and tried to step in as the officer and suspect struggled over the weapon. Both the detective and officer fired their weapons killing him.</t>
  </si>
  <si>
    <t>http://www.azfamily.com/story/32796225/suspect-dead-after-officer-involved-shooting-in-phoenix</t>
  </si>
  <si>
    <t>Kole B. Knight</t>
  </si>
  <si>
    <t>Algoma St and Wallace St</t>
  </si>
  <si>
    <t>Waupaca</t>
  </si>
  <si>
    <t>Knight was shot after producing a toy gun when confronted by officers during a street patrol, according to authorities. The officers recognized Knight and approached becuase of an outstanding arrest warrant, an investigation found. Knight's fiancee said he was suicidal and had been diagnosed with depression, bipolar disorder and post-traumatic stress disorder.</t>
  </si>
  <si>
    <t>http://www.wkow.com/story/32799691/2016/08/19/one-dead-in-new-london-officer-involved-shooting</t>
  </si>
  <si>
    <t>Marcelo Luna</t>
  </si>
  <si>
    <t>http://www.fatalencounters.org/wp-content/uploads/2013/10/Marcelo-Luna.jpg</t>
  </si>
  <si>
    <t>Sunset Blvd and Hobart Boulevard</t>
  </si>
  <si>
    <t>Luna was off his psychiatric medication and had just quarreled with his wife, when he walked out of his East Hollywood apartment carrying a bayonet-like item and was soon after shot and killed by Los Angeles police.</t>
  </si>
  <si>
    <t>http://ktla.com/2016/08/19/1-dead-in-east-hollywood-officer-involved-shooting-lapd/</t>
  </si>
  <si>
    <t>Kyle Zimbelman</t>
  </si>
  <si>
    <t>N Virginia St and Stead Blvd</t>
  </si>
  <si>
    <t>Deputies and Nevada Highway Patrol troopers attempted to stop a U Haul van near Interstate 80 and the USA Parkway, police said. The vehicle did not stop and traveled from I-80 to northbound Interstate 580 towards Stead where the vehicle exited onto a dirt road on the west side of North Virginia Street. According to police, officers then attempted to block the vehicle. Zimbelman was shot and killed.</t>
  </si>
  <si>
    <t>http://www.rgj.com/story/news/crime/2016/08/19/man-killed-officer-involved-shooting-stead/89017370/</t>
  </si>
  <si>
    <t>Francisco Villarreal</t>
  </si>
  <si>
    <t>http://www.fatalencounters.org/wp-content/uploads/2013/10/Francisco-Villarreal.jpg</t>
  </si>
  <si>
    <t>Officers tried to conduct a traffic stop for an improper turn on the 3900 block of Stockdale Highway, but the driver wouldn't stop, and a pursuit ensued. When the suspects' car stopped on the 900 block of Feliz Drive, two men got out of the backseat. Two women in the front seats stayed in the car. Villarreal led officers on a foot chase, shooting at officers several times. Officers shot and killed Villarreal.</t>
  </si>
  <si>
    <t>http://bakersfieldnow.com/news/local/officer-involved-shooting-in-southeast-bakersfield</t>
  </si>
  <si>
    <t>David Klassen</t>
  </si>
  <si>
    <t>Carrizo Canyon Rd</t>
  </si>
  <si>
    <t>Ruidoso police officers responded to a house after what they called a “domestic violence dispute” in which he threatened some residents with a rifle. Police said they rescued approximately 15 other people from the house before they shot Klassen after he ignored repeated orders to drop his .308 caliber rifle.</t>
  </si>
  <si>
    <t>http://www.ruidosonews.com/story/news/local/crime/2016/08/19/state-police-probe-possible-shooting-carrizo-canyon-rd/88993530/</t>
  </si>
  <si>
    <t>David Alan Fulton</t>
  </si>
  <si>
    <t>1740 Sutter Rd</t>
  </si>
  <si>
    <t>McKinleyville</t>
  </si>
  <si>
    <t>http://www.northcoastjournal.com/NewsBlog/archives/2016/08/17/3rd-update-suspect-killed-in-mckinleyville-standoff</t>
  </si>
  <si>
    <t>Chad Irwin</t>
  </si>
  <si>
    <t>Andante Dr and Brahms Ct</t>
  </si>
  <si>
    <t>http://www.sacbee.com/news/local/crime/article96600647.html</t>
  </si>
  <si>
    <t>Silivenusi Pacelli Namato Ravono</t>
  </si>
  <si>
    <t>250 Bon Air Rd</t>
  </si>
  <si>
    <t>Greenbrae</t>
  </si>
  <si>
    <t>Marin</t>
  </si>
  <si>
    <t>Marin County Sheriff's Office</t>
  </si>
  <si>
    <t>Ravono was taken to Marin General Hospital's emergency department by a friend because he was acting erratically, police said. When Ravono left the hospital, hospital staff notified the Marin County Sheriff's Office. The Central Marin Police Authority found Ravono in the area of South Eliseo Drive. Ravono resisted the police officers and sheriff's deputies. He was handcuffed, placed in custody, and taken to the Psychiatric Emergency Services. He continued to fight until he became unresponsive and died.</t>
  </si>
  <si>
    <t>http://www.marinij.com/article/NO/20160818/NEWS/160819821</t>
  </si>
  <si>
    <t>Trenton Lohman</t>
  </si>
  <si>
    <t>http://www.fatalencounters.org/wp-content/uploads/2013/10/Trenton-Lohman.jpg</t>
  </si>
  <si>
    <t>Poway Rd and Espola Rd</t>
  </si>
  <si>
    <t>Poway</t>
  </si>
  <si>
    <t>Lohman stole a deputy's car, carjacked another, and was shot and killed when he crashed after a chase.</t>
  </si>
  <si>
    <t>http://www.sandiegouniontribune.com/news/2016/aug/19/poway-deputy-shooting-victim-identified/</t>
  </si>
  <si>
    <t>Daniel Kevin Harris</t>
  </si>
  <si>
    <t>http://www.fatalencounters.org/wp-content/uploads/2013/10/Daniel-Harris.jpg</t>
  </si>
  <si>
    <t>Rocky River Rd and Interstate 485</t>
  </si>
  <si>
    <t>Troopers tried to stop a Volvo on I-485 near the 30-mile marker for a speeding violation. A seven-mile chase led the vehicles to Seven Oaks Drive. Troopers said Harris got out of the vehicle, and that led to an encounter where he was shot and killed. He had a hearing and speech impairment.</t>
  </si>
  <si>
    <t>http://www.wbtv.com/story/32793636/sources-man-shot-killed-by-state-trooper-after-chase-in-ne-charlotte</t>
  </si>
  <si>
    <t>Joseph Nathaniel Weber</t>
  </si>
  <si>
    <t>http://www.fatalencounters.org/wp-content/uploads/2013/10/Joseph-Nathaniel-Weber.png</t>
  </si>
  <si>
    <t>Hays Police Department</t>
  </si>
  <si>
    <t>http://ksn.com/2016/08/18/man-killed-in-officer-involved-shooting-in-hays/</t>
  </si>
  <si>
    <t>Omer Ismail Ali</t>
  </si>
  <si>
    <t>103 W Main St</t>
  </si>
  <si>
    <t>http://tdn.com/news/local/officer-involved-shooting-at-kelso-gas-station/article_89d36d2b-c401-5927-a883-1dd8554dd9d9.html</t>
  </si>
  <si>
    <t>Colby Friday</t>
  </si>
  <si>
    <t>http://www.fatalencounters.org/wp-content/uploads/2013/10/Colby-Friday.jpg</t>
  </si>
  <si>
    <t>Jamestown St and Sousa St</t>
  </si>
  <si>
    <t>According to police, an officer was investigating a robbery in the area when he spotted a man who matched the description of the robbery suspect. When the officer attempted contact, the man fled on foot and pulled out a firearm. The suspect stopped running and engaged in a confrontation with the officer, and he was shot and killed.</t>
  </si>
  <si>
    <t>http://www.recordnet.com/news/20160816/man-fatally-shot-by-stockton-police</t>
  </si>
  <si>
    <t>Carl Nivins</t>
  </si>
  <si>
    <t>http://www.fatalencounters.org/wp-content/uploads/2013/10/Carl-Nivins.jpg</t>
  </si>
  <si>
    <t>935 Blowing Rock Blvd</t>
  </si>
  <si>
    <t>Lenoir Police Department</t>
  </si>
  <si>
    <t>Lenoir Police officers responded to a call from Walmart employees about suspicious activity. Police said Nivins attempted to run from the store. Police say that Nivins pulled a .38 caliber revolver from his waistband and turned toward officers while running from the store and was shot and killed.</t>
  </si>
  <si>
    <t>http://www.wcnc.com/news/crime/officer-involved-shooting-outside-walmart/299515668</t>
  </si>
  <si>
    <t>Michael Scott Martin</t>
  </si>
  <si>
    <t>Miller Rd and Dodgeville Rd</t>
  </si>
  <si>
    <t>Ashtabula</t>
  </si>
  <si>
    <t>Ashtabula County Sheriff's Office</t>
  </si>
  <si>
    <t>A deputy on his way home from work stopped at a house where he thought a robbery suspect might be, according to police. The sheriff's office would not say what led up to the shooting but said four deputies fired shots. Martin was shot, crashed his vehicle and died.</t>
  </si>
  <si>
    <t>http://www.newsnet5.com/news/local-news/oh-ashtabula/sheriffs-office-deputy-involved-shooting-in-ashtabula-county</t>
  </si>
  <si>
    <t>Marcos Antonio Gastelum</t>
  </si>
  <si>
    <t>South Leonard Ave and W Floyd St</t>
  </si>
  <si>
    <t>Pima County Sheriff's Office</t>
  </si>
  <si>
    <t>Deputy Koby Knodle responded to a call about a person in a vehicle taking pictures of kids in the area and trying to lure them into a car. Knodle spotted the suspect's vehicle and attempted to stop it. Gastelum did not comply and continued down the street before stopping in a driveway. Knodle and Gastelum got out of their vehicles and began fighting, according to police. Knodle then shot and killed Gastelum.</t>
  </si>
  <si>
    <t>http://www.tucsonnewsnow.com/story/32776153/pima-co-sheriff-deputy-involved-shooting-on-the-southwest-side</t>
  </si>
  <si>
    <t>John O'Handley</t>
  </si>
  <si>
    <t>US-50</t>
  </si>
  <si>
    <t>Hampshire</t>
  </si>
  <si>
    <t>Hampshire County Sheriff's Office</t>
  </si>
  <si>
    <t>http://wvmetronews.com/2016/08/17/suspect-shot-and-killed-by-deputy-in-hampshire-county/</t>
  </si>
  <si>
    <t>Larry Eugene Kurtley Jr.</t>
  </si>
  <si>
    <t>100 W Tepee St</t>
  </si>
  <si>
    <t>Police were trying to search Kurtley's home. He refused so they shot tear gas in the house, and when he was seen through a window with a BB gun, he was shot and killed.</t>
  </si>
  <si>
    <t>http://www.abc15.com/news/region-southeast-valley/apache-junction/1-person-injured-during-officer-involved-shooting-in-apache-junction</t>
  </si>
  <si>
    <t>Kenney Watkins</t>
  </si>
  <si>
    <t>A motorcycle officer stopped a dark sedan, police said. During the traffic stop, a passenger got out of the vehicle, and at some point, the officer shot him. Few further details were immediately released.</t>
  </si>
  <si>
    <t>http://www.latimes.com/local/lanow/la-me-ln-lapd-shooting-20160816-snap-story.htmlhttp://www.latimes.com/local/lanow/la-me-ln-lapd-shooting-20160816-snap-story.html</t>
  </si>
  <si>
    <t>Danny Pirtle</t>
  </si>
  <si>
    <t>http://www.fatalencounters.org/wp-content/uploads/2013/10/Danny-Pirtle.jpg</t>
  </si>
  <si>
    <t>100 Blackberry Way</t>
  </si>
  <si>
    <t>Counce</t>
  </si>
  <si>
    <t>U.S. marshals were assisting the Hardin County Sheriff's Office in serving a capias warrant on Pirtle, who fired at officers when they tried to arrest him. Marshals returned fire, killing the man.</t>
  </si>
  <si>
    <t>http://www.jacksonsun.com/story/news/crime/2016/08/16/suspect-officer-invovled-shooting-dies/88835702/</t>
  </si>
  <si>
    <t>Jovany Martinez</t>
  </si>
  <si>
    <t>3300 Gallows Rd</t>
  </si>
  <si>
    <t>Falls Church</t>
  </si>
  <si>
    <t>Martinez was fatally shot by an on-duty sheriff's deputy after he threatened the deputy and a hospital security guard with a metal signpost, police said.</t>
  </si>
  <si>
    <t>http://www.nbcwashington.com/news/local/Deputy-Involved-Shooting-Reported-at-Inova-Fairfax-Hospital-390275431.html</t>
  </si>
  <si>
    <t>Sylville Smith</t>
  </si>
  <si>
    <t>http://www.fatalencounters.org/wp-content/uploads/2013/10/Sylville_Smith.jpg</t>
  </si>
  <si>
    <t>W Auer Ave and N 44th St</t>
  </si>
  <si>
    <t>Smith fled a traffic stop and apparently pulled a gun when he was shot and killed.</t>
  </si>
  <si>
    <t>http://www.dailymail.co.uk/news/article-3743470/Sister-cop-shooting-victim-Sylville-Smith-tells-rioters-burn-suburbs-reveals-brother-went-high-school-shooter.html</t>
  </si>
  <si>
    <t>Perry Lee Heitman</t>
  </si>
  <si>
    <t>Sheridan Blvd and W 1st Ave</t>
  </si>
  <si>
    <t>Police had tried to arrest Heitman on multiple warrants. He showed a weapon which started a standoff. As police moved in to arrest him, he pulled out a gun and was shot and killed.</t>
  </si>
  <si>
    <t>http://www.denverpost.com/2016/08/15/man-killed-confrontation-lakewood-police-identified/</t>
  </si>
  <si>
    <t>Ruben Horacio Strand</t>
  </si>
  <si>
    <t>W Indian School Rd and N 43rd Ave</t>
  </si>
  <si>
    <t>Police were investigating a shooting. They went to Strand's home and found the vehicle. When they went to Strand's bedroom, he confronted and cut an officer with a knife before he was shot and killed.</t>
  </si>
  <si>
    <t>http://www.azcentral.com/story/news/local/phoenix-breaking/2016/08/13/phoenix-investigating-fatal-officer-involved-shooting/88669022/</t>
  </si>
  <si>
    <t>130 W Oakland St</t>
  </si>
  <si>
    <t>Monticello</t>
  </si>
  <si>
    <t>Drew</t>
  </si>
  <si>
    <t>Monticello Police Department</t>
  </si>
  <si>
    <t>Brown was tasered and killed after he fought with an officer who was attempting to handcuff him.</t>
  </si>
  <si>
    <t>http://www.swtimes.com/news/20160816/man-dies-after-monticello-police-officer-subdues-him-with-taser</t>
  </si>
  <si>
    <t>Eric Ortega Soto</t>
  </si>
  <si>
    <t>900 Cheryl Ann Cir</t>
  </si>
  <si>
    <t>Soto was one of two suspects police encountered in a stolen car, police said. Police did not provide further details about the shooting but said two officers and a citizen also suffered minor injuries.</t>
  </si>
  <si>
    <t>http://www.nbcbayarea.com/news/local/Suspect-Dies-Days-After-Hayward--390640981.html</t>
  </si>
  <si>
    <t>Mistie Reynolds</t>
  </si>
  <si>
    <t>http://www.fatalencounters.org/wp-content/uploads/2013/10/Mistie.jpg</t>
  </si>
  <si>
    <t>2294 E Irlo Bronson Memorial Hwy</t>
  </si>
  <si>
    <t>Kissimmee</t>
  </si>
  <si>
    <t>Murder/suicide</t>
  </si>
  <si>
    <t>http://www.wftv.com/news/local/deputies-seminole-deputy-fatally-shoots-girlfriend-self-behind-gas-station/422336899</t>
  </si>
  <si>
    <t>Charged with manslaughter</t>
  </si>
  <si>
    <t>Dominic Fontana Rollice</t>
  </si>
  <si>
    <t>http://www.fatalencounters.org/wp-content/uploads/2013/10/Ruben.jpg</t>
  </si>
  <si>
    <t>400 E Shawnee St</t>
  </si>
  <si>
    <t>Rollice apparently refused to drop a hammer and lunged at police when he was shot and killed.</t>
  </si>
  <si>
    <t>http://www.tulsaworld.com/homepagelatest/update-tahlequah-officers-fatally-shoot-man-reportedly-wielding-a-hammer/article_fc4e0c8f-9278-51bd-8ea2-57fece4cda1f.html</t>
  </si>
  <si>
    <t xml:space="preserve">Jesus Armando Carillo </t>
  </si>
  <si>
    <t>N Country Club Dr and W McKellips Rd</t>
  </si>
  <si>
    <t>Police said three officers fired at Carillo after he reached for a gun. Carillo was believed to have shot 55-year-old Willy James Thomas during a drug-related incident.</t>
  </si>
  <si>
    <t>http://www.azcentral.com/story/news/local/mesa-breaking/2016/08/13/breaking-mesa-police-involved-shooting/88658092/</t>
  </si>
  <si>
    <t>Jeff Martelli</t>
  </si>
  <si>
    <t>5800 S 152nd Pl</t>
  </si>
  <si>
    <t>Police were investigating a shooting and car wreck. This unidentified man holed up in an apartment, firing at officers before he was shot and killed.</t>
  </si>
  <si>
    <t>http://www.seattletimes.com/seattle-news/police-officer-has-shot-someone-in-tukwila/</t>
  </si>
  <si>
    <t>Sergio Weick</t>
  </si>
  <si>
    <t>http://www.fatalencounters.org/wp-content/uploads/2013/10/Sergio.jpg</t>
  </si>
  <si>
    <t>Bronze Way</t>
  </si>
  <si>
    <t>Weick was a known gang member wanted for violating his probation. When deputies tried to pull him over, he sped off. Deputies chased Weick for about 8 minutes to the Copper Hill community gate on Bronze, where he hit a curb and stopped. He ditched the car and ran into the complex with deputies at his heels. Some sort of confrontation happened soon after and both deputies fired, killing Weick, police said.</t>
  </si>
  <si>
    <t>http://www.sandiegouniontribune.com/news/2016/aug/15/felon-shot-vista-deputies-dies/</t>
  </si>
  <si>
    <t>Mark Sawaf</t>
  </si>
  <si>
    <t>http://www.fatalencounters.org/wp-content/uploads/2013/10/Sawaf.jpg</t>
  </si>
  <si>
    <t>Woodland Hills</t>
  </si>
  <si>
    <t>Harlan</t>
  </si>
  <si>
    <t>Sawaf was apparently helping police find explosives he'd planted as a hobby. Police say he tried to run when he was shot and killed.</t>
  </si>
  <si>
    <t>http://www.wtvq.com/2016/08/14/father-harlan-co-man-shot-fire-investigator-reacts-sons-death/</t>
  </si>
  <si>
    <t>Jeffrey Allen Morris</t>
  </si>
  <si>
    <t>http://www.fatalencounters.org/wp-content/uploads/2013/10/Jeffrey-Allen-Morris.jpg</t>
  </si>
  <si>
    <t>803 Mountain Springs Rd</t>
  </si>
  <si>
    <t>Anderson County deputies attempted to serve a probation violation warrant at a home. Police said that Morris "presented a weapon at the officer" and barricaded himself in the home. Deputies went in the home, where Morris was shot and killed.</t>
  </si>
  <si>
    <t>http://www.wyff4.com/news/man-in-standoff-with-deputies-officials-say/41121980</t>
  </si>
  <si>
    <t>Jesse James Romero</t>
  </si>
  <si>
    <t>http://www.fatalencounters.org/wp-content/uploads/2013/10/JesseRomero.jpg</t>
  </si>
  <si>
    <t>N Breed St</t>
  </si>
  <si>
    <t>Romero was shot and killed by police in Boyle Heights. He was suspected of writing gang-style graffiti in the area before he bolted from officers and fired a gun at them, the Los Angeles Police Department said.</t>
  </si>
  <si>
    <t>http://www.latimes.com/local/lanow/la-me-ln-shooting-boyle-heights-20160810-snap-story.html</t>
  </si>
  <si>
    <t>Ronald Smith</t>
  </si>
  <si>
    <t>https://mgtvwcmh.files.wordpress.com/2016/08/vet1.jpg</t>
  </si>
  <si>
    <t>Five Points Pike</t>
  </si>
  <si>
    <t>Mt. Sterling</t>
  </si>
  <si>
    <t>Pickaway County Sheriff's Office</t>
  </si>
  <si>
    <t>http://nbc4i.com/2016/08/09/man-shot-and-killed-while-deputies-check-on-suicidal-veteran/</t>
  </si>
  <si>
    <t>Mary Knowlton</t>
  </si>
  <si>
    <t>http://www.fatalencounters.org/wp-content/uploads/2013/10/MaryKnowlton.jpg</t>
  </si>
  <si>
    <t>1410 Tamiami Trail</t>
  </si>
  <si>
    <t>Punta Gorda Police Department</t>
  </si>
  <si>
    <t>Knowlton was fatally shot by an officer while participating in a "shoot-don't shoot" exercise during a two-hour citizens academy hosted by the Punta Gorda Police Department.</t>
  </si>
  <si>
    <t>http://www.cbsnews.com/news/mary-knowlton-death-husband-speaks-about-shooting/</t>
  </si>
  <si>
    <t>Michael McClurg</t>
  </si>
  <si>
    <t>Police dispatchers received a report of an armed man behaving strangely on Grenola Way. When officers arrived, the man pointed the gun at them, and at least one officer opened fire, killing him, police said.</t>
  </si>
  <si>
    <t>http://www.sacbee.com/news/local/crime/article94537432.html</t>
  </si>
  <si>
    <t>James Eugene Burgess</t>
  </si>
  <si>
    <t>Congo Road</t>
  </si>
  <si>
    <t>Wilkesboro</t>
  </si>
  <si>
    <t>28697</t>
  </si>
  <si>
    <t>Wilkes</t>
  </si>
  <si>
    <t>Three Wilkes County deputies went to the home on a shots fired call and ordered Burgess to show his hands, police said. Burgess then began firing at the law enforcement officials, two of which returned fire, killing him.</t>
  </si>
  <si>
    <t>http://www.wxii12.com/news/deputy-involved-in-shooting-in-wilkes-county/41113068</t>
  </si>
  <si>
    <t>James Jennings Jr.</t>
  </si>
  <si>
    <t>2110 Wash Lever Rd.</t>
  </si>
  <si>
    <t>Little Mountain</t>
  </si>
  <si>
    <t>29075</t>
  </si>
  <si>
    <t>Newberry</t>
  </si>
  <si>
    <t>Deputies responded to a domestic dispute and found a man barricaded in his home, heavily armed, and heavily medicated, police said. Deputies tried to negotiate with the suspect for four hours. The suspect was pointing a gun at the deputies, telling them to shoot him. As tensions grew, the deputies elected to shoot the suspect with a bean bag, which had no effect. After the suspect was shot, he proceeded to pick his gun up and shoot himself twice and then he pointed the gun back at the deputy. The deputy shot the suspect again, this time with his service weapon, killing him.</t>
  </si>
  <si>
    <t>http://www.thestate.com/news/local/article94505672.html</t>
  </si>
  <si>
    <t>Darnell Wicker</t>
  </si>
  <si>
    <t>http://www.fatalencounters.org/wp-content/uploads/2013/10/Darnell-Wicker.jpg</t>
  </si>
  <si>
    <t>Officers responded to an apartment complex for a call about a domestic dispute. When officers arrived, a man walked out of the apartment holding a knife and a machete or saw. The officers told the man to put the weapons down. Police said he started coming toward them, and they shot and killed him.</t>
  </si>
  <si>
    <t>http://www.wlky.com/news/1-person-killed-in-officerinvolved-shooting-on-broadleaf-drive/41096792</t>
  </si>
  <si>
    <t>Juan J. Godines</t>
  </si>
  <si>
    <t>Midway Rd</t>
  </si>
  <si>
    <t>Woodford</t>
  </si>
  <si>
    <t>Godines held his wife against her will. After he dropped his wife off at work, she reported the domestic violence. Law enforcement planned on arresting him on domestic violence and unlawful imprisonment charges, when he picked her up from work, but when he saw them, he took off, hitting multiple law enforcement vehicles. He eventually crashed and got out of the vehicle, running, and he was shot and killed.</t>
  </si>
  <si>
    <t>http://www.wkyt.com/content/news/KSP-Pursuit-ends-with-officer-involved-shooting-in-Scott-County-389532492.html</t>
  </si>
  <si>
    <t>Jawari Porter</t>
  </si>
  <si>
    <t>http://www.fatalencounters.org/wp-content/uploads/2013/10/Jawari-Porter.jpg</t>
  </si>
  <si>
    <t>East Fifth Street and Main Street</t>
  </si>
  <si>
    <t>Police were searching for a man who had robbed a Kroger. Police say when they found Porter, he rushed at them with a knife and was shot and killed.</t>
  </si>
  <si>
    <t>http://www.cincinnati.com/story/news/2016/08/07/police-shoot-kill-downtown-robbery-suspect/88361704/</t>
  </si>
  <si>
    <t>Earl "Shaleek" Pinckney</t>
  </si>
  <si>
    <t>http://www.fatalencounters.org/wp-content/uploads/2013/10/Earl-Pinckney.jpg</t>
  </si>
  <si>
    <t>2330 Green Street</t>
  </si>
  <si>
    <t>Police say Pinckney had a knife at his mother's throat when he was shot and killed. The mother disputes this narrative.</t>
  </si>
  <si>
    <t>http://abc27.com/2016/08/07/man-is-dead-following-officer-involved-shooting-in-uptown-harrisburg/</t>
  </si>
  <si>
    <t>Jamarion Rashad Robinson</t>
  </si>
  <si>
    <t>http://www.fatalencounters.org/wp-content/uploads/2013/10/Jamarion-Rashad-Robinson.jpg</t>
  </si>
  <si>
    <t>4031 Seven Oaks Ln</t>
  </si>
  <si>
    <t>Police had been searching for Robinson since he exchanged fire with officers at the Royal Coach Apartments on July 28. Marshals tracked Robinson to his girlfriend's apartment at the Parkside at Camp Creek apartment complex and attempted to arrest him. Authorities say Robinson opened fire on the marshals, and they shot and killed him.</t>
  </si>
  <si>
    <t>http://www.wsbtv.com/news/local/south-fulton-county/police-shooting-suspect-killed-in-shootout-with-us-marshals/417909111</t>
  </si>
  <si>
    <t>James A. Quealy</t>
  </si>
  <si>
    <t>215 Woodland Drive</t>
  </si>
  <si>
    <t>Beaver Dam</t>
  </si>
  <si>
    <t>53916</t>
  </si>
  <si>
    <t>Dodge</t>
  </si>
  <si>
    <t>Quealy was making suicidal comments. When police arrived he said he wanted to be killed by police. He was shot and killed.</t>
  </si>
  <si>
    <t>http://www.wiscnews.com/bdc/news/local/article_fc679203-6725-58f8-81f9-b7d94cb136c1.html</t>
  </si>
  <si>
    <t>Johannes M. Wood</t>
  </si>
  <si>
    <t>Aldie</t>
  </si>
  <si>
    <t>20105</t>
  </si>
  <si>
    <t>The sheriff's office received a report from a relative of a disorderly subject damaging items inside his home. As the deputy arrived, Wood advanced on the deputy with a knife near the front doorway. The subject was told by the deputy to drop the knife but failed to comply, and he was shot and killed.</t>
  </si>
  <si>
    <t>http://www.loudountimes.com/news/article/developing_loudoun_county_deputy_fatally_shoots_man_with_a_knife_in_aldie43</t>
  </si>
  <si>
    <t>Ronald Robbibaro</t>
  </si>
  <si>
    <t>http://www.fatalencounters.org/wp-content/uploads/2013/10/Ronald-Robbibaro.jpg</t>
  </si>
  <si>
    <t>Greenfield Rd. and US-41</t>
  </si>
  <si>
    <t>Spring Hill</t>
  </si>
  <si>
    <t>34610</t>
  </si>
  <si>
    <t>After a wreck, a stolen vehicle and a fight with a deputy, Robbibaro was shot and killed.</t>
  </si>
  <si>
    <t>http://wfla.com/2016/08/05/us-41-closed-for-pasco-sheriffs-office-investigation/</t>
  </si>
  <si>
    <t>David Michael Moya</t>
  </si>
  <si>
    <t>Santee</t>
  </si>
  <si>
    <t>92071</t>
  </si>
  <si>
    <t>Deputies from the Santee Station responded to a family disturbance where the man reportedly threatened to kill his mother and was possibly in possession of weapons including an ax and a knife. The unidentified man was found dead after he reportedly fired arrows from a bow at deputies from inside a home.</t>
  </si>
  <si>
    <t>http://www.cbs8.com/story/32697727/santee-man-found-dead-inside-home-after-prompting-swat-standoff</t>
  </si>
  <si>
    <t>E.J. Walters Jr.</t>
  </si>
  <si>
    <t>Upper Possum Creek Road</t>
  </si>
  <si>
    <t>Gate City</t>
  </si>
  <si>
    <t>24251</t>
  </si>
  <si>
    <t>Deputies attempted to make a traffic stop on a suspect wanted for outstanding warrants when the man fled into Scott County, Virginia. Police said the vehicle came to a stop in the middle of Upper Possum Creek Road and the suspect got out of the vehicle pointing a shotgun at Hawkins County deputies. He was shot and killed.</t>
  </si>
  <si>
    <t>http://wjhl.com/2016/08/05/breaking-hawkins-county-deputies-shoot-kill-suspect-following-pursuit-into-virginia/</t>
  </si>
  <si>
    <t>Marcus Sexton</t>
  </si>
  <si>
    <t>http://www.fatalencounters.org/wp-content/uploads/2013/10/Marcus-Sexton.jpg</t>
  </si>
  <si>
    <t>71 Red Gate Drive</t>
  </si>
  <si>
    <t>72210</t>
  </si>
  <si>
    <t>Sexton was caught in a house he had broken into. He was killed during a fight and restraint.</t>
  </si>
  <si>
    <t>http://www.arkansasonline.com/news/2016/aug/05/suspect-dies-custody-little-rock-police/?f=crime</t>
  </si>
  <si>
    <t>Santa Barbara County Sheriff's Office</t>
  </si>
  <si>
    <t>Benjamin William Heaton</t>
  </si>
  <si>
    <t>http://www.fatalencounters.org/wp-content/uploads/2013/10/Benjamin-William-Heaton.jpg</t>
  </si>
  <si>
    <t>Fern Drive</t>
  </si>
  <si>
    <t>Clearfield</t>
  </si>
  <si>
    <t>84015</t>
  </si>
  <si>
    <t>Clearfield Police Department</t>
  </si>
  <si>
    <t>Police stopped a vehicle that had been reported stolen on July 31. The driver fled the scene, climbing onto the roof of a shed behind a Fern Drive home. He fired several shots with a handgun from the shed roof, police say. He was shot and killed.</t>
  </si>
  <si>
    <t>http://kutv.com/news/local/1-dead-after-clearfield-officer-involved-shooting</t>
  </si>
  <si>
    <t>Bradley Carey</t>
  </si>
  <si>
    <t>http://www.fatalencounters.org/wp-content/uploads/2013/10/Bradley-Carey.jpg</t>
  </si>
  <si>
    <t>17729 Telegraph Rd</t>
  </si>
  <si>
    <t>48219</t>
  </si>
  <si>
    <t>West Bloomfield Police Department, Michigan Department of Corrections</t>
  </si>
  <si>
    <t>Police were seeking a suspected bank robber armed at a motel in Detroit. He greeted police with a large knife was shot and killed. A West Bloomfield police officer and a Michigan Department of Corrections (MDOC) agent both fired shots, police said.</t>
  </si>
  <si>
    <t>http://www.clickondetroit.com/news/bank-robbery-suspect-shot-killed-by-police-in-detroit</t>
  </si>
  <si>
    <t>Demarco Newman</t>
  </si>
  <si>
    <t>http://www.fatalencounters.org/wp-content/uploads/2013/10/Demarco-Newman.jpg</t>
  </si>
  <si>
    <t>Lockheed Street</t>
  </si>
  <si>
    <t>Police say Newman shot and wounded his wife as she called 911 for help, hours before SWAT team members stormed the small cottage home and shot him to death.</t>
  </si>
  <si>
    <t>http://www.floridatoday.com/story/news/crime/2016/08/02/police-investigating-palm-bay-double-shooting/87986298/</t>
  </si>
  <si>
    <t>Matthew David Conrad</t>
  </si>
  <si>
    <t>http://www.fatalencounters.org/wp-content/uploads/2013/10/Matthew-David-Conrad.jpg</t>
  </si>
  <si>
    <t>Interstate 84</t>
  </si>
  <si>
    <t>Hammett</t>
  </si>
  <si>
    <t>83627</t>
  </si>
  <si>
    <t>Elmore County Sheriff's Office</t>
  </si>
  <si>
    <t>Two Elmore County deputies shot Conrad who reportedly stole a pickup, led officers on a chase, attempted to carjack three different vehicles and then pointed a firearm at the deputies, according to Idaho State Police.</t>
  </si>
  <si>
    <t>http://magicvalley.com/news/local/crime-and-courts/officer-involved-shooting-closes-i--west-of-glenns-ferry/article_f3e35a73-a4bf-510c-acc4-bf0f04952468.html</t>
  </si>
  <si>
    <t>Richard Lance London</t>
  </si>
  <si>
    <t>http://www.fatalencounters.org/wp-content/uploads/2013/10/Richard-Lance-London.jpg</t>
  </si>
  <si>
    <t>Ron McNair Boulevard</t>
  </si>
  <si>
    <t>29560</t>
  </si>
  <si>
    <t>London was wanted in connection with the death of 80-year-old Melvin Eugene Powell. London had driven away in a stolen vehicle, police said. Police conducted a traffic stop, and once the vehicle was stopped, London got out and started shooting at police. He was shot and killed.</t>
  </si>
  <si>
    <t>http://www.live5news.com/story/32595164/coroner-identifies-wanted-virginia-suspect-shot-and-killed-by-lake-city-police</t>
  </si>
  <si>
    <t>Adam Jo Klimek</t>
  </si>
  <si>
    <t>http://www.fatalencounters.org/wp-content/uploads/2013/10/Adam-Jo-Klimek.png</t>
  </si>
  <si>
    <t>56308</t>
  </si>
  <si>
    <t>According to the St. Paul Police Department, the Bureau of Criminal Apprehension (BCA) was conducting an undercover operation involving the solicitation of minors. During the operation, numerous BCA agents entered a single family home in Alexandria. There, they encountered Klimek and told him he was under arrest. Klimek then obtained a knife and charged three agents. Two agents, Beth Eilers and Dustin Van der Hagen, fired their weapons, killing him.</t>
  </si>
  <si>
    <t>http://www.echopress.com/news/4086423-update-one-dead-after-officer-involved-shooting-alexandria-wvideo</t>
  </si>
  <si>
    <t>William Bowers</t>
  </si>
  <si>
    <t>http://www.fatalencounters.org/wp-content/uploads/2013/10/William-Bowers.jpg</t>
  </si>
  <si>
    <t>Deputies tried to make contact with a man riding a bike, police said. The driver deputy recognized him from previous contacts as a narcotics offender. The man then left his bike and fled on foot from the deputies, who followed and caught up to him. He attempted to reach into his pockets and was shot and killed.</t>
  </si>
  <si>
    <t>http://losangeles.cbslocal.com/2016/08/02/suspect-dies-following-deputy-involved-shooting-in-castaic/</t>
  </si>
  <si>
    <t>Korryn Gaines</t>
  </si>
  <si>
    <t>http://www.fatalencounters.org/wp-content/uploads/2013/10/Korryn-Gaines.jpg</t>
  </si>
  <si>
    <t>Gaines was wanted for failing to appear in cases related to a March incident in which she was charged with disorderly conduct, resisting arrest and numerous traffic violations, police said. After an hours-long standoff, she was shot and killed. A 5-year-old child also received a gunshot wound.</t>
  </si>
  <si>
    <t>http://www.baltimoresun.com/news/maryland/crime/bs-md-co-police-barricade-20160801-story.html</t>
  </si>
  <si>
    <t>Kenneth Eugene Bonanno</t>
  </si>
  <si>
    <t>http://www.fatalencounters.org/wp-content/uploads/2013/10/Kenneth-Eugene-Bonanno.jpg</t>
  </si>
  <si>
    <t>Cool Spring Road and Kings Highway</t>
  </si>
  <si>
    <t>22405</t>
  </si>
  <si>
    <t>Stafford County Sheriff's Office</t>
  </si>
  <si>
    <t>When police responded to an accident, no one was in the vehicle, but they found an unidentified man a short distance away who shot at them and was shot and killed.</t>
  </si>
  <si>
    <t>http://www.fredericksburg.com/townnews/police/man-shot-and-killed-by-stafford-deputies/article_920e30fa-bfb6-59c9-b499-606df45e998c.html</t>
  </si>
  <si>
    <t>Richard Gene Swihart</t>
  </si>
  <si>
    <t>600 N Ross St</t>
  </si>
  <si>
    <t>Swihart, a homeless man, was stopped by two officers as he was riding his bike. He fought with one of the officers and was shot by the other when he allegedly reached for the officer's gun, police said. He died about two weeks later.</t>
  </si>
  <si>
    <t>http://www.ocregister.com/articles/swihart-727579-police-homeless.html</t>
  </si>
  <si>
    <t>Manuel De La Cruz</t>
  </si>
  <si>
    <t>http://www.fatalencounters.org/wp-content/uploads/2013/10/Cruz-1.jpg</t>
  </si>
  <si>
    <t>2555 Jimmy Johnson Blvd</t>
  </si>
  <si>
    <t>77640</t>
  </si>
  <si>
    <t>Cruz was taken to the hospital in mental crisis. He was tasered and restrained and died a short time later.</t>
  </si>
  <si>
    <t>http://www.12newsnow.com/news/local/port-arthur-family-seeks-answers-after-death-of-mentally-ill-son/292634589</t>
  </si>
  <si>
    <t>Bryan N. Byrd</t>
  </si>
  <si>
    <t>A deputy responded to Glenda Court on a call of a suspicious person in a vehicle, police say. During the investigation, police say Byrd drove toward the deputy, striking him, and the deputy shot and killed him.</t>
  </si>
  <si>
    <t>http://www.abccolumbia.com/2016/08/01/lexington-county-deputy-involved-in-fatal-shooting/</t>
  </si>
  <si>
    <t>Limichael Shine</t>
  </si>
  <si>
    <t>Robin St</t>
  </si>
  <si>
    <t>Manchester Township</t>
  </si>
  <si>
    <t>08759</t>
  </si>
  <si>
    <t>Manchester Township Division of Police</t>
  </si>
  <si>
    <t>Shine called 911 saying that he wanted to commit suicide, according to police. When Manchester officers arrived at the Robin Street residence where Shine had been cleaning a house with his mother, they encountered Shine holding a knife. He asked the responding officers to shoot him, and then threatened them with a knife, and he was shot and killed. He left a note saying he wanted police to kill him.</t>
  </si>
  <si>
    <t>http://nj1015.com/manchester-cops-shoot-kill-suicidal-male-police-say/</t>
  </si>
  <si>
    <t>John Casey</t>
  </si>
  <si>
    <t>http://www.fatalencounters.org/wp-content/uploads/2013/10/Casey.jpg</t>
  </si>
  <si>
    <t>Phillips Branch Rd</t>
  </si>
  <si>
    <t>Phelps</t>
  </si>
  <si>
    <t>Police say they were called to a home in the area to check out an assault complaint. State Police say when they got there, Casey assaulted a trooper and a trooper shot and killed Casey.</t>
  </si>
  <si>
    <t>http://www.wkyt.com/content/news/Man-killed-in-officer-involved-shooting-in-Pike-County-388800822.html</t>
  </si>
  <si>
    <t>Mario Martinez Torres</t>
  </si>
  <si>
    <t>Wapato Police Department</t>
  </si>
  <si>
    <t>Few details have been released. Police were responding to a domestic violence call. Police say a man at the home was shot by one of the responding officers and died at the scene. One officer was treated for injuries.</t>
  </si>
  <si>
    <t>http://kimatv.com/news/local/authorities-investigating-officer-involved-shooting-in-wapato</t>
  </si>
  <si>
    <t>Amanda Bivens</t>
  </si>
  <si>
    <t>http://www.fatalencounters.org/wp-content/uploads/2013/10/ABivens.jpg</t>
  </si>
  <si>
    <t>317 W Valley Ave</t>
  </si>
  <si>
    <t>Police received an anonymous tip that the robbery suspect was at the Marco Xpress package store. When they arrived, Bivens was outside the store, police said. They approached her, and the woman brandished her gun and three officers opened fire, killing her.</t>
  </si>
  <si>
    <t>http://www.al.com/news/birmingham/index.ssf/2016/08/tennessee_woman_idd_as_robber.html</t>
  </si>
  <si>
    <t>Melvin Faison</t>
  </si>
  <si>
    <t>http://www.fatalencounters.org/wp-content/uploads/2013/10/Melvin-Faison.jpg</t>
  </si>
  <si>
    <t>4794 Big Johns Store Road</t>
  </si>
  <si>
    <t>Pleasant Hill</t>
  </si>
  <si>
    <t>Northampton County Sheriff's Office</t>
  </si>
  <si>
    <t>Deputies responded to a domestic assault call. Upon arrival, Pamela Faison told deputies that Melvin Faison, 59, had assaulted her. Deputies attempted to arrest Melvin Faison, but he pointed a gun at the deputies, and they retreated and set up a perimeter, police said. Faison left his home and pointed a handgun Sgt. Christopher Collier and Deputy Teodore Antunez Jr, who shot him. He went back in the home and died.</t>
  </si>
  <si>
    <t>http://wncn.com/2016/08/01/new-details-released-in-fatal-nc-officer-involved-shooting/</t>
  </si>
  <si>
    <t>Lafourche</t>
  </si>
  <si>
    <t>Jesus Rael</t>
  </si>
  <si>
    <t>http://www.fatalencounters.org/wp-content/uploads/2013/10/Jesus-Rael.jpg</t>
  </si>
  <si>
    <t>N Campbell Ave and E 8th St</t>
  </si>
  <si>
    <t>After a bank robbery, several carjackings, including the theft of a police car, Rael was shot and killed.</t>
  </si>
  <si>
    <t>http://www.kvoa.com/story/32567897/suspect-leads-officers-on-high-speed-chase-through?utm_medium=social&amp;utm_source=facebook_News_4_Tucson_-_KVOA</t>
  </si>
  <si>
    <t>Omar Gonzalez</t>
  </si>
  <si>
    <t>1200 Atwood Pl</t>
  </si>
  <si>
    <t>After a chase, Gonzalez got out of the car, and police shot and killed him. It's uncertain at this time whether he was armed.</t>
  </si>
  <si>
    <t>http://abc7.com/news/city-terrace-police-chase-ends-in-officer-involved-shooting/1448038/</t>
  </si>
  <si>
    <t>Jorge Moreno-Aguirre</t>
  </si>
  <si>
    <t>1st St and Richards Way</t>
  </si>
  <si>
    <t>A man was apparently driving erratically, hitting several cars and driving on the wrong side of the road. When stopped, he was shot and killed, although what precipitated the killing has not been disclosed.</t>
  </si>
  <si>
    <t>http://www.rgj.com/story/news/crime/2016/07/28/police-respond-incident-northeast-sparks/87667398/</t>
  </si>
  <si>
    <t>Donnell Thompson Jr.</t>
  </si>
  <si>
    <t>Deputies attempted to stop a car for a traffic violation. The driver in the vehicle refused to pull over and fled from deputies, prompting a chase. During the pursuit, deputies discovered that the car had been stolen in an armed carjacking earlier in the morning. The chase ended when the car crashed near Slater and Compton avenues. The suspect then got out of the car and began shooting at the deputies. The deputies fired back and the suspect ran into an adjacent neighborhood. It was unclear if the suspect was shot at the time. The man was found hiding in a home and taken into custody. At the same time that was happening, SWAT officers spotted another man, believed to be matching the description of the suspect, in the driveway of a home in the 800 block of West Stockwell Street. Police said the man charged at them before they fatally shot him.</t>
  </si>
  <si>
    <t>http://abc7.com/news/deputies-search-for-suspect-in-compton-after-deputy-involved-shooting/1446712/</t>
  </si>
  <si>
    <t>Chicago police say they shot and killed an 18-year-old man who was in a stolen Jaguar that sideswiped a squad car and hit a parked car, injuring some officers.</t>
  </si>
  <si>
    <t>http://www.chicagotribune.com/news/local/breaking/ct-police-shooting-south-shore-20160728-story.html</t>
  </si>
  <si>
    <t>Jeffrey Smith</t>
  </si>
  <si>
    <t>La Quinta</t>
  </si>
  <si>
    <t>After a carjacking, a chase and a short standoff, Smith was shot and killed.</t>
  </si>
  <si>
    <t>http://www.desertsun.com/story/news/local/la-quinta/2016/07/30/officer-involved-shooting-la-quinta/87760224/</t>
  </si>
  <si>
    <t>Saddam Trejeda-Campos</t>
  </si>
  <si>
    <t>A passing motorist told police of a man — later identified as Saddam Trejeda-Campos — acting suspicious. When an officer “attempted to make contact” with Trejeda-Campos, police said, he charged the officer with a hunting knife. After Trejeda-Campos reportedly ignored numerous commands to drop the knife and show his hands, at least one officer fired two shots, killing him.</t>
  </si>
  <si>
    <t>http://www.sbsun.com/general-news/20160727/man-shot-killed-by-san-bernardino-police-after-reportedly-charging-at-officer-with-knife</t>
  </si>
  <si>
    <t>Dylan Liberti</t>
  </si>
  <si>
    <t>http://www.fatalencounters.org/wp-content/uploads/2013/10/Dylan-Liberti.png</t>
  </si>
  <si>
    <t>9301 E Shea Blvd</t>
  </si>
  <si>
    <t>Two officers were trying to locate a man, who witnesses said had been acting erratically, police said. Officers found him in front of the local Sprouts Farmers Market and followed him toward Chompies deli. Police said that the man pulled out a knife and lunged at one of the officers. It wasn't clear whether one or both officers fired their weapons, but he was shot and killed.</t>
  </si>
  <si>
    <t>http://www.azcentral.com/story/news/local/scottsdale-breaking/2016/07/27/scottsdale-police-involved-shooting-sprouts-parking-lot/87642452/</t>
  </si>
  <si>
    <t>Ambrose Mecklenburg</t>
  </si>
  <si>
    <t>US-191</t>
  </si>
  <si>
    <t>Malta</t>
  </si>
  <si>
    <t>Phillips</t>
  </si>
  <si>
    <t>Phillips County Sheriff's Office</t>
  </si>
  <si>
    <t>According to the Montana Department of Justice, a deputy was responding to a report about a suspicious man walking along U.S. Highway 191 near mile marker 122. When the man was confronted, he attacked and stabbed the deputy multiple times. The deputy shot and killed him.</t>
  </si>
  <si>
    <t>http://www.ktvq.com/story/32554588/man-shot-killed-after-stabbing-phillips-county-sheriffs-deputy</t>
  </si>
  <si>
    <t>Michael Sean Adams</t>
  </si>
  <si>
    <t>Estill Springs</t>
  </si>
  <si>
    <t>A deputy pulled Adams over in a traffic stop, but when the deputy identified Adams as having warrants for his arrest, he got out of the car and fled on foot, according to police. The deputy chased Adams in a vehicle and then got out to chase him on foot. When the deputy attempted to arrest Adams, he pulled a knife, and the deputy shot and killed him.</t>
  </si>
  <si>
    <t>http://www.tennessean.com/story/news/crime/2016/07/27/armed-suspect-shot-killed-franklin-county-deputy/87643642/</t>
  </si>
  <si>
    <t>Dalvin Hollins</t>
  </si>
  <si>
    <t>http://www.fatalencounters.org/wp-content/uploads/2013/10/Dalvin-Hollins.png</t>
  </si>
  <si>
    <t>Hollins was shot by a police officer after robbing a pharmacy in Tempe died of his wounds as he hid in a nearby senior-care center, police say.</t>
  </si>
  <si>
    <t>http://www.azcentral.com/story/news/local/tempe-breaking/2016/07/27/tempe-police-active-shooter-guadalupe-rural/87616946/</t>
  </si>
  <si>
    <t>Devon Martes</t>
  </si>
  <si>
    <t>4013 N Interstate 10 Service Rd W</t>
  </si>
  <si>
    <t>Deputy David Dalton fired six shots at Martes as authorities say the teen pointed a 9mm pistol at the officer inside The Times-Picayune warehouse. The Sheriff's Office received a 911 call reporting two people who were "rolling shiny objects down the street." The pair was seen jumping a fence near a car dealership's new vehicle storage lot. Deputies who began searching the area spotted a person later identified as Martes running towards the back of the newspaper warehouse. Dalton followed the teen into the warehouse and opened fire after spotting the teen's weapon, according to police.</t>
  </si>
  <si>
    <t>http://www.nola.com/crime/index.ssf/2016/07/devon_martes_jpso_shooting.html</t>
  </si>
  <si>
    <t>Juan Reynaldo Duran</t>
  </si>
  <si>
    <t>605 W Runyan Ave</t>
  </si>
  <si>
    <t>Artesia Police Department</t>
  </si>
  <si>
    <t>Artesia Police Department officers were dispatched in reference to a “shots fired” 911 call. According to police, officers encountered Duran, who was armed with two firearms. During the encounter between Duran and the APD, shots were fired by at least one officer. Duran was shot and killed.</t>
  </si>
  <si>
    <t>https://www.artesianews.com/1338123/investigation-continues-into-officer-involved-shooting.html</t>
  </si>
  <si>
    <t>Scot A. Minard</t>
  </si>
  <si>
    <t>Hillview Road</t>
  </si>
  <si>
    <t>Pine River</t>
  </si>
  <si>
    <t>Deputies were called to assist with Antigo police who were chasing a suspect who had fired a gun at an officer during a traffic stop. The chase ended on Hillview Road in the town of Pine River, where the suspect left his car armed with a gun, and police lapsed into an hour-long standoff. Police negotiated with the suspect, but declined to say what led police to shot and kill the unidentified man.</t>
  </si>
  <si>
    <t>http://www.wausaudailyherald.com/story/news/2016/07/26/police-kill-suspect-merrill-standoff/87563238/</t>
  </si>
  <si>
    <t>Humberto Martinez</t>
  </si>
  <si>
    <t>http://www.fatalencounters.org/wp-content/uploads/2013/10/Humberto-Martinez.jpg</t>
  </si>
  <si>
    <t>Pittsburg Police Department</t>
  </si>
  <si>
    <t>Officers attempted to stop a vehicle, but the suspect led them on a short pursuit and fled into a residence. They followed him inside where a struggle ensued, during which the suspect bit an officer's hand. At some point during the struggle they deployed a Taser, but it was ineffective, according to police. The suspect was eventually handcuffed, but moments later he became unresponsive and they performed CPR. He was resuscitated and transported to a hospital, where he was pronounced dead.</t>
  </si>
  <si>
    <t>http://www.sfgate.com/news/bayarea/article/Update-Suspect-Dies-During-Arrest-After-Leading-8439025.php</t>
  </si>
  <si>
    <t>John Heffran</t>
  </si>
  <si>
    <t>Winnebago County Sheriff's Office</t>
  </si>
  <si>
    <t>Deputies were called to check the welfare of John E. Heffran. Heffran was combative when deputies attempted to take him into custody for a mental health evaluation, according to police. He remained combative after he was placed in handcuffs until he fell unconscious. Emergency personnel, who were at the scene, transported Heffran to Rockford Memorial Hospital, where he was pronounced dead.</t>
  </si>
  <si>
    <t>http://www.rrstar.com/news/20160727/man-dies-after-struggle-with-winnebago-county-deputies</t>
  </si>
  <si>
    <t>Jeff Cornell Tyson</t>
  </si>
  <si>
    <t>http://www.fatalencounters.org/wp-content/uploads/2013/10/jeff-tyson.jpg</t>
  </si>
  <si>
    <t>After an attempted traffic stop, Tyson fled, shooting at police, wounding one. A gun battle happened, and Tyson was shot and killed.</t>
  </si>
  <si>
    <t>http://www.indystar.com/story/news/fox59/2016/07/25/impd-officer-shot-another-injured-during-pursuit-northwest-side/87548522/</t>
  </si>
  <si>
    <t>Anthony Michael Edwards</t>
  </si>
  <si>
    <t>http://www.fatalencounters.org/wp-content/uploads/2013/10/Anthony-Michael-Edwards.jpg</t>
  </si>
  <si>
    <t>Patterson Rd and Winchester Dr</t>
  </si>
  <si>
    <t>Walland</t>
  </si>
  <si>
    <t>A Blount County Sheriff's Office spokesperson said police received and responded to a call about suspicious people. When Deputy Jerry Burns arrived on the scene, according to the BCSO, he stopped and questioned the two men. Edwards gave Burns a false name and date of birth. As Burns attempted to pat Edwards downy, he fled. Burns chased him, and tried unsuccessfully to use a Taser on Edwards. They fought and as Burns took Edwards to the ground, Edwards hit his head on the pavement. He died two days later.</t>
  </si>
  <si>
    <t>http://www.wbir.com/news/local/maryville-blount/man-involved-in-scuffle-with-blount-deputy-has-died/283514089</t>
  </si>
  <si>
    <t>Richard Risher Jr.</t>
  </si>
  <si>
    <t>E 111th St &amp; Antwerp St</t>
  </si>
  <si>
    <t>Police saw a group of people who began dispersing and running away, police said. As police chased them, one began shooting at police. During the gun battle, an officer was struck in the left arm, and Risher was struck by police gunfire.</t>
  </si>
  <si>
    <t>http://www.latimes.com/local/lanow/la-me-ln-lapd-officer-shot-20160725-snap-story.html</t>
  </si>
  <si>
    <t>Robert Lee Lourenco Jr.</t>
  </si>
  <si>
    <t>W Stetson Ave &amp; Lawrence Ct</t>
  </si>
  <si>
    <t>People called 911 to report a man carrying a hatchet and handgun had been seen walking in a sparse residential area. Police tried to negotiate with the man for more than two hours. Police didn't provide information about the number of officers involved in the shooting, the number of times the man was shot or what occurred just before the man was shot and killed.</t>
  </si>
  <si>
    <t>http://www.pe.com/articles/shooting-808998-involved-deputy.html</t>
  </si>
  <si>
    <t>Alvin R. Sylversmythe</t>
  </si>
  <si>
    <t>http://www.fatalencounters.org/wp-content/uploads/2013/10/Alvin-R.-Sylversmythe.jpg</t>
  </si>
  <si>
    <t>Gallup</t>
  </si>
  <si>
    <t>McKinley</t>
  </si>
  <si>
    <t>Gallup Police Department</t>
  </si>
  <si>
    <t>Police received reports Sylversmythe threatened people with a knife. When they found Sylversmythe, police said he was armed with two knifes. Officers shot and killed him, although police did not say what precipitated the shooting.</t>
  </si>
  <si>
    <t>http://www.kob.com/new-mexico-news/nmsp-investigating-officer-involved-shooting-in-gallup/4209859/#.V5WASEYrLnD</t>
  </si>
  <si>
    <t>Bernard Wells III</t>
  </si>
  <si>
    <t>Chino Police Department</t>
  </si>
  <si>
    <t>A Chino police officer responded to a shopping center after a woman reported a suspicious man with a gun in his car. An officer confronted Wells, setting off a foot chase that ended in an adjoining shopping center when Wells pointed a gun at another officer and was shot and killed.</t>
  </si>
  <si>
    <t>http://www.dailybulletin.com/general-news/20160724/san-diego-man-shot-killed-after-confrontation-with-chino-police</t>
  </si>
  <si>
    <t>Steven Alfred Longoria</t>
  </si>
  <si>
    <t>Police arrived at a home to investigate a report of family violence, Longoria opened fire. A police cruiser was struck by one of the gunshots. Two officers returned fire, killing Longoria, police said.</t>
  </si>
  <si>
    <t>http://www.ksat.com/news/suspect-wounded-in-officer-involved-shooting-dies</t>
  </si>
  <si>
    <t>Austin Jerry Lee Howard Jr.</t>
  </si>
  <si>
    <t>Police shot and killed Howard, a suspect in a fatal stabbing, after he returned to the scene and charged at them with a knife, the Milwaukee Police Department said.</t>
  </si>
  <si>
    <t>http://www.jsonline.com/news/milwaukee-police-shoot-kill-stabbing-suspect-b99766770z1-388014112.html</t>
  </si>
  <si>
    <t>BJ Medeiros</t>
  </si>
  <si>
    <t>http://www.fatalencounters.org/wp-content/uploads/2013/10/Medeiros.jpg</t>
  </si>
  <si>
    <t>Kaloli Drive and Beach Road</t>
  </si>
  <si>
    <t>Keaau</t>
  </si>
  <si>
    <t>96749</t>
  </si>
  <si>
    <t>Police were called to Hawaiian Paradise Park for a suicidal, armed man. Police say Medeiros struggled with one police officer over a .45 caliber gun. When the handgun was pointed at that officer, another officer fired one shot killing Medeiros.</t>
  </si>
  <si>
    <t>http://www.hawaiinewsnow.com/story/32503835/hilo-police-fatally-shoot-man-during-struggle-over-a-gun</t>
  </si>
  <si>
    <t>Derek Love</t>
  </si>
  <si>
    <t>S Calumet Ave and E 18th St</t>
  </si>
  <si>
    <t>Bicycle officers were told that a man was acting erratically in a park. Officers went to the park and found Love on his cellphone. The officers told him to get off the phone and talk to them, but he reached into a backpack and started firing, police said. The officers returned fire, killing the man.</t>
  </si>
  <si>
    <t>http://www.chicagotribune.com/news/local/breaking/ct-officer-shot-south-loop-20160721-story.html</t>
  </si>
  <si>
    <t>Paul Edward Yacabitis</t>
  </si>
  <si>
    <t>50 York Road</t>
  </si>
  <si>
    <t>Buckhannon</t>
  </si>
  <si>
    <t>Upshur</t>
  </si>
  <si>
    <t>Upshur County Sheriff's Office</t>
  </si>
  <si>
    <t>http://www.wvgazettemail.com/news/20160722/upshur-deputy-shoots-and-kills-pennsylvania-man</t>
  </si>
  <si>
    <t>Javier Garcia Gaona</t>
  </si>
  <si>
    <t>1400 S Broadway and W Enos Drive</t>
  </si>
  <si>
    <t>Gaona had a knife and was stabbing at himself and shouting obscenities on a busy street corner when he was shot and killed by police after he lunged at officers.</t>
  </si>
  <si>
    <t>http://santamariatimes.com/news/local/man-armed-with-a-knife-shot-by-santa-maria-police/article_09193b8a-bcea-5c4b-b65e-3a09327ce7b9.html</t>
  </si>
  <si>
    <t>James T. Stuart</t>
  </si>
  <si>
    <t>http://www.fatalencounters.org/wp-content/uploads/2013/10/James-T.-Stuart.jpg</t>
  </si>
  <si>
    <t>31-33 Marion Ave.</t>
  </si>
  <si>
    <t>Waterbury</t>
  </si>
  <si>
    <t>06708</t>
  </si>
  <si>
    <t>Waterbury Police Department</t>
  </si>
  <si>
    <t>A city police officer, a military veteran with three children, is suspected of shooting a man several times before turning the gun on himself in what is believed to be a murder suicide. Officer Hallock Yocher was on the force for about a decade and is believed to have shot a father of two, James T. Stuart, following a domestic disturbance that began at the home he owned with his wife in Naugatuck.</t>
  </si>
  <si>
    <t>http://rep-am.com/news/local/doc578f6b5132c08416884246.txt</t>
  </si>
  <si>
    <t>Jerry L. Brimer</t>
  </si>
  <si>
    <t>http://www.tulsaworld.com/news/crimewatch/axe-wielding-man-fatally-shot-by-tulsa-police-in-west/article_56830253-78a3-5aec-96e0-7f9ab970107e.html</t>
  </si>
  <si>
    <t>Gavin Eugene Long</t>
  </si>
  <si>
    <t>http://www.fatalencounters.org/wp-content/uploads/2013/10/Gavin-Eugene-Long.jpg</t>
  </si>
  <si>
    <t>9607 Airline Hwy</t>
  </si>
  <si>
    <t>Long ambushed and killed three Baton Rouge police and wounded three, before he was shot and killed.</t>
  </si>
  <si>
    <t>http://www.wafb.com/story/32463160/baton-rouge-police-respond-to-report-of-officers-down?clienttype=generic&amp;sf31129941=2</t>
  </si>
  <si>
    <t>Jermaine Johnson</t>
  </si>
  <si>
    <t>Debevoise Ave. and Jackson St.</t>
  </si>
  <si>
    <t>http://www.nydailynews.com/new-york/brooklyn/person-shot-police-involved-shooting-brooklyn-article-1.2714732</t>
  </si>
  <si>
    <t>Kevin Higgins</t>
  </si>
  <si>
    <t>1401 Union Ave</t>
  </si>
  <si>
    <t>Sheboygan</t>
  </si>
  <si>
    <t>Sheboygan Police Department</t>
  </si>
  <si>
    <t>Police Chief Chris Domagalski said that two officers responded to a reported robbery in progress at the Union Avenue Tap and encountered the robbery suspect near the doorway. The man allegedly was carrying an “AR-15 style” rifle as the officers approached, and the officers shot and killed the man.</t>
  </si>
  <si>
    <t>http://www.sheboyganpress.com/story/news/2016/07/18/sheboygan-officer-involved-shooting/87240686/</t>
  </si>
  <si>
    <t>Michael Ray Ramsey Jr.</t>
  </si>
  <si>
    <t>Officer Stephen Blaylock, 28, shot and killed Ramsey after Ramsey reportedly threw a screwdriver at officers while causing a disturbance outside a northeast Tulsa home .</t>
  </si>
  <si>
    <t>http://www.tulsaworld.com/news/crimewatch/man-dies-following-officer-involved-shooting-in-northeast-tulsa/article_3dc1d796-4c8b-11e6-9187-2788d9f21ddc.html</t>
  </si>
  <si>
    <t>Patrick O'Rourke</t>
  </si>
  <si>
    <t>Louisiana Hwy 16</t>
  </si>
  <si>
    <t>Port Vincent</t>
  </si>
  <si>
    <t>A state trooper stopped to check on a vehicle crash. After the trooper stopped, he saw that the driver, O'Rourke, was holding a sword. O'Rourke started running away from the trooper, who chased him. When O'Rourke turned around and confronted the trooper with the sword, the trooper fired his Taser. Shortly after that, O'Rourke died.</t>
  </si>
  <si>
    <t>http://www.theadvocate.com/article_e58f9caa-4d2c-11e6-bde7-d71748661d32.html</t>
  </si>
  <si>
    <t>Billy D. Smith</t>
  </si>
  <si>
    <t>3300 Citation Dr</t>
  </si>
  <si>
    <t>Green Cove Springs</t>
  </si>
  <si>
    <t>Police said they had been in contact with Smith, a marine veteran, for a couple of hours over the phone in an attempt to bring him out of his home. Neighbors were evacuated from their homes on Citation Dr. and SWAT was called in. Investigators say Smith came out of his home and pointed a gun at a SWAT officer, according to the Clay County Sheriff's Office, at which point he was shot and killed.</t>
  </si>
  <si>
    <t>http://www.firstcoastnews.com/news/swat-presence-in-green-cove-springs/275060143</t>
  </si>
  <si>
    <t>Cody Wayne Jarrett</t>
  </si>
  <si>
    <t>https://cbsla.files.wordpress.com/2016/07/sbsuspect1.png?w=420</t>
  </si>
  <si>
    <t>Highland Avenue and Mountain View Avenue</t>
  </si>
  <si>
    <t>Police said the Honda Accord Jarrett was driving had been reported stolen earlier in Yucaipa. According to police, Jarrett was armed with a sawed-off shotgun, and after a brief “confrontation,” police shot and killed him.</t>
  </si>
  <si>
    <t>http://losangeles.cbslocal.com/2016/07/16/police-shoot-and-kill-driver-in-san-bernardino/</t>
  </si>
  <si>
    <t>Patrick Fennell</t>
  </si>
  <si>
    <t>http://www.fatalencounters.org/wp-content/uploads/2013/10/Fennell.jpg</t>
  </si>
  <si>
    <t>Sycamore Dr</t>
  </si>
  <si>
    <t>08087</t>
  </si>
  <si>
    <t>Ocean County Sheriff's Office</t>
  </si>
  <si>
    <t>Police arrived at the couple's Sycamore Drive home and called for backup from the county SWAT team. When the team arrived, Fennell fled the house into a wooded area. Officers reported seeing Fennell holding a handgun when he left the house. Officers confronted Fennell, who allegedly was armed with a handgun. An officer or officers from the SWAT team shot and killed Fennell. Police recovered a handgun at the scene of the shooting.</t>
  </si>
  <si>
    <t>http://www.nj.com/ocean/index.ssf/2016/07/state_investigating_ocean_county_swat_team_shootin.html</t>
  </si>
  <si>
    <t>Bobby Rex Horne</t>
  </si>
  <si>
    <t>http://www.fatalencounters.org/wp-content/uploads/2013/10/Bobby-Rex-Horne.png</t>
  </si>
  <si>
    <t>Upper White Store Rd</t>
  </si>
  <si>
    <t>Peachland</t>
  </si>
  <si>
    <t>https://yourdailyjournal.com/news/41128/man-dies-following-confrontation-with-anson-county-deputies-1</t>
  </si>
  <si>
    <t>Isaiah Soehngen</t>
  </si>
  <si>
    <t>http://www.fatalencounters.org/wp-content/uploads/2013/10/Isaiah-Joseph-Soehngen.jpeg</t>
  </si>
  <si>
    <t>2006 South Western Avenue</t>
  </si>
  <si>
    <t>46953</t>
  </si>
  <si>
    <t>Marion Police Department</t>
  </si>
  <si>
    <t>http://fox59.com/2016/07/14/marion-police-search-for-armed-robber-who-shot-k9/</t>
  </si>
  <si>
    <t>Dayten Ernest Harper</t>
  </si>
  <si>
    <t>Police heard shots. They found the man, and there was an exchange of gunfire. Police found the man in an apartment. He was pronounced dead shortly thereafter.</t>
  </si>
  <si>
    <t>http://www.wbaltv.com/news/police-involved-in-shooting-in-west-baltimore/40716923</t>
  </si>
  <si>
    <t>Donald S. Myers</t>
  </si>
  <si>
    <t>Flagstaff Police Department</t>
  </si>
  <si>
    <t>Police went to a 911 call where the caller left the line open but did not speak. They found a person and pursued him, shooting and killing him, although the exact reason for shooting him has been withheld.</t>
  </si>
  <si>
    <t>http://azdailysun.com/news/local/crime-and-courts/a-m-update-police-shot-and-killed-man-following-foot/article_b817e848-490f-11e6-9129-5b7dbee830b1.html</t>
  </si>
  <si>
    <t>DeAngelo W. Webb</t>
  </si>
  <si>
    <t>Police said Webb was armed with a pair of scissors when officers used a Taser while attempting to take him into custody. He made a threatening gesture toward officers, and one of the officers shocked him with his Taser. Officers disarmed the man and placed handcuffs on him. The man continued to be combative toward the officers, who then placed him in maximal restraints, securing his legs. Officers then noticed the man was having difficulty breathing. Handcuffs were removed and an ambulance was called. The man was taken to a hospital where he was pronounced dead.</t>
  </si>
  <si>
    <t>http://newsok.com/article/5509407</t>
  </si>
  <si>
    <t>Richard G. Dinneny</t>
  </si>
  <si>
    <t>http://www.fatalencounters.org/wp-content/uploads/2013/10/Richard-Dinneny.jpg</t>
  </si>
  <si>
    <t>109 Overlook Drive</t>
  </si>
  <si>
    <t>Police responded to a domestic disturbance. Dinneny met them with a pellet gun, threatened to kill his girlfriend, himself and police and was shot and killed.</t>
  </si>
  <si>
    <t>http://www.recordonline.com/news/20160713/middletown-cops-involved-in-fatal-shooting</t>
  </si>
  <si>
    <t>Danny Cupps Jr.</t>
  </si>
  <si>
    <t>Police responded to a break-in. Cupps was in the basement, growling and apparently wearing shorts and duct work. He was tasered and died a short time later.</t>
  </si>
  <si>
    <t>http://www.al.com/news/birmingham/index.ssf/2016/07/birmingham_burglar_dies_after.html</t>
  </si>
  <si>
    <t>Benjamin Zekovic</t>
  </si>
  <si>
    <t>400 Rodeo Pl</t>
  </si>
  <si>
    <t>Anchorage Police Department responded to a report of a robbery in progress the Home Depot on Rodeo Place. Zekovic reportedly stole multiple items then “assaulted an employee while armed with several hatchets and axes,” police said. He threw at least one of the weapons at police and was shot and killed.</t>
  </si>
  <si>
    <t>http://www.ktva.com/robbery-turns-into-officer-involved-shooting-behind-anchorage-home-depot-400/</t>
  </si>
  <si>
    <t>Jason Brooks</t>
  </si>
  <si>
    <t>Gaty Ave and N 16th St</t>
  </si>
  <si>
    <t>East St Louis</t>
  </si>
  <si>
    <t>Washington Park Police Department</t>
  </si>
  <si>
    <t>Police say Brooks fired shots at bystanders, then in the direction of two officers. He was shot and killed.</t>
  </si>
  <si>
    <t>http://www.ksdk.com/news/local/officer-involved-shooting-in-east-st-louis/269594035</t>
  </si>
  <si>
    <t>Orville Edwards</t>
  </si>
  <si>
    <t>78th Street and Stillwell Avenue</t>
  </si>
  <si>
    <t>Police say they were chasing a burglar when he pulled a gun on them. He was shot and killed.</t>
  </si>
  <si>
    <t>http://www.nytimes.com/2016/07/12/nyregion/man-killed-by-officers-responding-to-burglary-report-in-brooklyn.html?_r=1</t>
  </si>
  <si>
    <t>Pablo Medina</t>
  </si>
  <si>
    <t>8600 Wickham Rd</t>
  </si>
  <si>
    <t>Romulus</t>
  </si>
  <si>
    <t>48174</t>
  </si>
  <si>
    <t>Romulus Police Department</t>
  </si>
  <si>
    <t>Medina, a suspect wanted in the weekend killings of his wife and her friend in Detroit, was fatally shot after coming out of a storage closet and pointing a gun at officers, police said.</t>
  </si>
  <si>
    <t>http://www.freep.com/story/news/local/michigan/wayne/2016/07/11/romulus-police-fatally-shoot-homicide-suspect-hotel/86950836/</t>
  </si>
  <si>
    <t>Larry Darnell Gordon</t>
  </si>
  <si>
    <t>http://www.fatalencounters.org/wp-content/uploads/2013/10/Larrygordon.jpg</t>
  </si>
  <si>
    <t>811 Port Street</t>
  </si>
  <si>
    <t>49085</t>
  </si>
  <si>
    <t>Berrien County Sheriff's Office</t>
  </si>
  <si>
    <t>Two court bailiffs -- both retired police officers -- were killed and the suspect, Gordon, was shot and killed by police inside the county courthouse in downtown St. Joseph.</t>
  </si>
  <si>
    <t>http://www.freep.com/story/news/local/michigan/2016/07/11/reports-shots-fired-berrien-county-courthouse-st-joseph/86953034/</t>
  </si>
  <si>
    <t>Joseph Mann</t>
  </si>
  <si>
    <t>A man was acting erratically, waving a knife, when police were called. At least one witness said he had a gun. He was shot and killed when he threatened police with the knife.</t>
  </si>
  <si>
    <t>http://www.sacbee.com/news/local/crime/article88885402.html</t>
  </si>
  <si>
    <t>Andre Johnson</t>
  </si>
  <si>
    <t>E 10th St and Norris Dr</t>
  </si>
  <si>
    <t>Broken Bow</t>
  </si>
  <si>
    <t>McCurtain</t>
  </si>
  <si>
    <t>Broken Bow Police Department</t>
  </si>
  <si>
    <t>A Broken Bow officer saw Johnson, who was wanted in Sevier County, Ark., and attempted to stop the vehicle he was driving. During the chase, Johnson drove down a dead-end street, got out of the car and shot at an officer's car. Johnson then shot at the windshield of a second police car before law officers opened fire on him, killing him, police said.</t>
  </si>
  <si>
    <t>http://newsok.com/article/5509016</t>
  </si>
  <si>
    <t>http://www.fatalencounters.org/wp-content/uploads/2013/10/alva-braziel2-1024x538.jpg</t>
  </si>
  <si>
    <t>6730 Cullen Boulevard</t>
  </si>
  <si>
    <t>Police said they encountered Braziel while on routine patrol. They said he pointed a gun at the sky, and when they told him to drop it, he pointed it at them and was shot and killed. Video from a nearby convenience store seems to contradict the story.</t>
  </si>
  <si>
    <t>http://www.newsweek.com/alva-braziel-what-we-know-houston-police-shooting-479210</t>
  </si>
  <si>
    <t>Tyler Gebhard</t>
  </si>
  <si>
    <t>http://assets.nydailynews.com/polopoly_fs/1.2706517.1468187229!/img/httpImage/image.jpg_gen/derivatives/article_1200/stlouis11n-1-web.jpg</t>
  </si>
  <si>
    <t>After an apparent Facebook dispute, Gebhard apparently tried to break into a police officer's home, and he was shot and killed.</t>
  </si>
  <si>
    <t>http://fox2now.com/2016/07/09/off-duty-officer-shoots-person-trying-to-break-into-south-county-home/</t>
  </si>
  <si>
    <t>Abraham Smith</t>
  </si>
  <si>
    <t>N 7th Ave and E Rillito St</t>
  </si>
  <si>
    <t>Members of a countywide Mobile Acute Crisis team that deal with mental illness situations went to Smith's mobile home to serve Smith a court-ordered emergency mental health petition, police said. Three officers entered the mobile home, when they encountered Smith coming out of a back bedroom, with what appeared to be two knives in his hands. Two officers were able to back out of the trailer and out of Smith's way, but officer Ryder Schrage was backed into a fence, and unable to escape as Smith continued to advance. Schrage ordered Smith to stop, and shot and killed him.</t>
  </si>
  <si>
    <t>http://tucson.com/news/local/crime/authorities-identify-man-shot-killed-by-tucson-police/article_127167be-4619-11e6-963c-17990d7f248d.html</t>
  </si>
  <si>
    <t>Micah Xavier Johnson</t>
  </si>
  <si>
    <t>https://timedotcom.files.wordpress.com/2016/07/micah_johnson_dallas.jpg?quality=75&amp;strip=color&amp;w=1012</t>
  </si>
  <si>
    <t>800 Main St</t>
  </si>
  <si>
    <t>Johnson killed five and wounded seven police officers and wounded two non-police at an anti-violence protest, police said. Police killed him with a robot with a bomb on it. More police died in the attack than any since Sept. 11, 2001.</t>
  </si>
  <si>
    <t>http://heavy.com/news/2016/07/micah-xavier-x-johnson-dallas-police-shooting-sniper-gunman-shooter-suspect-name-identified-photos-facebook-video/</t>
  </si>
  <si>
    <t>Earnest Fells</t>
  </si>
  <si>
    <t>700 King St</t>
  </si>
  <si>
    <t>Officers responded to a domestic violence incident at a residence. Selma police said family members had notified a 911 operator that the suspect had shot their mother. Officers heard gunfire coming from the residence upon arrival. Officers were trying to enter the residence when the suspect fired shots at them. Officers returned fire, killing Fells.</t>
  </si>
  <si>
    <t>http://www.al.com/news/index.ssf/2016/07/selma_police_officer_returns_f.html</t>
  </si>
  <si>
    <t>Vinson Lee Ramos</t>
  </si>
  <si>
    <t>7120 Atlantic Ave</t>
  </si>
  <si>
    <t>Bell Police Department</t>
  </si>
  <si>
    <t>Bell Police Department personnel and East Los Angeles Station (sheriff's) personnel received 911 calls regarding a domestic dispute at a local convenience store, police said. The man had argued with and assaulted a woman, who had a child with her, at a fast food restaurant and then walked next door to a convenience store, where the dispute continued. When Bell police officers arrived, they encountered a man armed with a knife. He refused to comply with the officers' commands and advanced toward the officers with the knife, Ramos and was shot and killed.</t>
  </si>
  <si>
    <t>http://patch.com/california/southgate-lynwood/knife-wielding-suspect-killed-police-idd-vinson-lee-ramos</t>
  </si>
  <si>
    <t>Adam Smith</t>
  </si>
  <si>
    <t>500 Helm Ave</t>
  </si>
  <si>
    <t>Clovis Police Department</t>
  </si>
  <si>
    <t>Officers fired three rounds at Smith as he accelerated his vehicle toward them. Police had been trying to serve a warrant at a home.</t>
  </si>
  <si>
    <t>http://www.fresnobee.com/news/local/crime/article88607337.html</t>
  </si>
  <si>
    <t>Falcon Heights</t>
  </si>
  <si>
    <t>Kenyatta Lee Moorehead</t>
  </si>
  <si>
    <t>http://www.fatalencounters.org/wp-content/uploads/2013/10/kenyatta-moorehead.jpg</t>
  </si>
  <si>
    <t>Midway Road</t>
  </si>
  <si>
    <t>Raymond</t>
  </si>
  <si>
    <t>39154</t>
  </si>
  <si>
    <t>Moorehead was accused of raping his ex-girlfriend of eight years last week, according to police. He was found dead in a home after a 3 1/2 hour standoff that began with gunfire exchanged between him and U.S. Marshals who had come to pick him up on three felony warrants. Authorities said he came out of a closet with a shotgun, and shots were fired. Whether Moorehead was injured in that exchange and later died, was shot later, or whether his fatal wounds were self-inflicted has not yet been released and is under investigation by the Mississippi Bureau of Investigation.</t>
  </si>
  <si>
    <t>http://www.clarionledger.com/story/news/local/2016/07/07/report-more-details-released-standoff-suspect/86800686/</t>
  </si>
  <si>
    <t>Victor Sigala</t>
  </si>
  <si>
    <t>573 N Azusa Ave</t>
  </si>
  <si>
    <t>Covina</t>
  </si>
  <si>
    <t>http://www.latimes.com/local/lanow/la-me-ln-covina-lapd-officer-fatal-shooting-20160706-snap-story.html</t>
  </si>
  <si>
    <t>Thomas Vandemark</t>
  </si>
  <si>
    <t>769 State 17 Highway</t>
  </si>
  <si>
    <t>Rush Springs</t>
  </si>
  <si>
    <t>Rush Springs Police Department</t>
  </si>
  <si>
    <t>Rush Springs police officer Daniel Smith shot Vandemark after he refused to put down his gun. Smith was responding to a domestic violence call.</t>
  </si>
  <si>
    <t>http://newsok.com/article/5508775</t>
  </si>
  <si>
    <t>Melissa Ventura</t>
  </si>
  <si>
    <t>Deputies went to Ventura's home on a domestic call and knocked on the door. Ventura opened the door with a knife in hand and immediately began attacking them. She was shot and killed.</t>
  </si>
  <si>
    <t>http://www.al.com/news/index.ssf/2016/07/knife-wielding_arizona_woman_s.html</t>
  </si>
  <si>
    <t>Sam Newby</t>
  </si>
  <si>
    <t>Joshua Bolster</t>
  </si>
  <si>
    <t>http://www.fatalencounters.org/wp-content/uploads/2013/10/JoshuaBolster.jpg</t>
  </si>
  <si>
    <t>Highway 22 and Doaks Ferry Road NW</t>
  </si>
  <si>
    <t>Officers were called to an apartment complex in Monmouth where the man was allegedly trespassing and harassing an ex-girlfriend. Police said they were told the suspect left after getting into a confrontation with a male tenant of one of the apartments and pulling out a knife. When they spotted him, deputies pulled him over and tried to arrest him. Oregon State Police said a trooper used a less lethal force option before a deputy shot the suspect. Some reports said he was armed with a knife.</t>
  </si>
  <si>
    <t>http://katu.com/news/local/family-speaks-out-about-man-killed-by-deputies-in-polk-county</t>
  </si>
  <si>
    <t>Sidney Washington Jr.</t>
  </si>
  <si>
    <t>Metro Transit Police</t>
  </si>
  <si>
    <t>Bradford Street and Atlantic Avenue</t>
  </si>
  <si>
    <t>Rosser</t>
  </si>
  <si>
    <t>McDonald Street</t>
  </si>
  <si>
    <t>346 N Virginia St</t>
  </si>
  <si>
    <t>Jai “Jerry” Williams</t>
  </si>
  <si>
    <t>https://mgtvwspa.files.wordpress.com/2016/07/jai-williams-web.jpg?w=338&amp;h=450</t>
  </si>
  <si>
    <t>Officers responded to a call of shots fired at the Pisgah View Apartments, and followed a suspect car to the Deaverview Apartments. Police say Williams was seen fighting with a woman in a car. When Williams got out of the car, officers say he had an AR-15, and he was shot and killed.</t>
  </si>
  <si>
    <t>http://www.citizen-times.com/story/news/local/2016/07/07/chief-addresses-community-concerns-wake-shooting/86743940/</t>
  </si>
  <si>
    <t>Fermin Vincent Valenzuela III</t>
  </si>
  <si>
    <t>http://images1.ocweekly.com/imager/u/blog/7310719/vincent_valenzuela_and_son.png</t>
  </si>
  <si>
    <t>240 S Magnolia Ave</t>
  </si>
  <si>
    <t>Anaheim police officers responded July 2 to a call about a suspicious man who had followed a woman to her home, police said. Somehow, he got from the home at the 2600 block W. Broadway Ave. to the 7-Eleven at 240 S Magnolia Ave, where police say he fought them. He was tasered, and after a few days in a coma, he died on July 10.</t>
  </si>
  <si>
    <t>http://www.ocweekly.com/news/homeless-man-left-in-coma-after-encounter-with-anaheim-police-dies-7328489</t>
  </si>
  <si>
    <t>11 Parmenter Street</t>
  </si>
  <si>
    <t>Cartersville Police Department, Bartow County Sheriff's Office</t>
  </si>
  <si>
    <t>Ronald Arrington</t>
  </si>
  <si>
    <t>S Union Ave &amp; W 124th St</t>
  </si>
  <si>
    <t>http://chicago.suntimes.com/news/second-cpd-officer-to-be-released-from-hospital-after-fatal-chase/</t>
  </si>
  <si>
    <t>Jimmy Malone</t>
  </si>
  <si>
    <t>Alexis George Mishtowt</t>
  </si>
  <si>
    <t>Terence Crutcher</t>
  </si>
  <si>
    <t>Terence was killed as he leaned on his vehicle with his hands up. He was having car trouble and police mistook him for a "bad dude", firing at him and tasing him simultaneously and then failing to provide medical aid after he was shot.</t>
  </si>
  <si>
    <t>http://www.cnn.com/2016/09/20/us/oklahoma-tulsa-police-shooting/</t>
  </si>
  <si>
    <t>36th St N and Lewis Ave</t>
  </si>
  <si>
    <t>Dahir Aidan</t>
  </si>
  <si>
    <t>Avon Police Department</t>
  </si>
  <si>
    <t>Adan stabbed nine people at a shopping mall while dressed as a private security guard. Witnesses said he made references to Allah and asked one person if he or she were Muslim. He was fatally shot by an off-duty police officer who was visiting the mall. The FBI said it was investigating potential links to terrorism after responsibility for the mass stabbing was claimed online by an Islamist group.</t>
  </si>
  <si>
    <t>http://www.sctimes.com/story/news/local/2016/09/17/reports-several-hurt-crossroads-center-incident/90607870/</t>
  </si>
  <si>
    <t>4101 Division St</t>
  </si>
  <si>
    <t>Stearns</t>
  </si>
  <si>
    <t>http://assets.nydailynews.com/polopoly_fs/1.2798434.1474310710!/img/httpImage/image.jpg_gen/derivatives/article_750/tulsa20n-1-web.jpg</t>
  </si>
  <si>
    <t>Keith Lamont Scott</t>
  </si>
  <si>
    <t>http://www.cbsnews.com/news/person-killed-in-officer-involved-shooting-in-charlotte-north-carolina/</t>
  </si>
  <si>
    <t>Nicholas Glenn</t>
  </si>
  <si>
    <t>100 S 48th St</t>
  </si>
  <si>
    <t>Glenn was fatally shot during a shootout with officers following a shooting spree in which he killed a woman and wounded several other people, including two police officers. Authorities said he was carrying a note expressing his hatred of law enforcement. He began by ambushing a police officer and shooting at her 18 times and went on to fire an estimated 51 times at different sites.</t>
  </si>
  <si>
    <t>http://www.philly.com/philly/news/20160918_What_we_know_about_the_suspect_in_West_Philadelphia_rampage.html</t>
  </si>
  <si>
    <t>Tawon Boyd</t>
  </si>
  <si>
    <t>Boyd died three days after a struggle with police that began after he reportedly called 911 for medical help. Boyd was acting erratically when officers arrived, and tried to enter two police cars and banged on a neighbor's door asking them to call police, according to a police report. Boyd's girlfriend, who was present when police arrived, said officers sat on him and used their body weight to restrain him and struck him twice in the face with a closed fist during the struggle.</t>
  </si>
  <si>
    <t>Officers were looking to arrest a man on outstanding warrants near an apartment complex when they saw Scott in his car allegedly "rolling a blunt" and with a gun, according to authorities. After he got out of his car, police shot him a he walked slowly backwards with his arms by his sides.</t>
  </si>
  <si>
    <t>9400 Lexington Cir</t>
  </si>
  <si>
    <t>https://www.theguardian.com/us-news/2016/sep/24/baltimore-man-tawon-boyd-dies-after-he-called-911</t>
  </si>
  <si>
    <t>Akin Cir</t>
  </si>
  <si>
    <t>Oddis Colvin</t>
  </si>
  <si>
    <t>Colvin, a suspect in a bank robbery, was shot and killed by police after fleeing from the bank, authorities said. A second suspect was reportedly injured and taken into custody.</t>
  </si>
  <si>
    <t>Old Court Rd</t>
  </si>
  <si>
    <t>http://www.baltimoresun.com/news/maryland/crime/bs-md-co-county-police-shooting-20160923-story.html</t>
  </si>
  <si>
    <t>Alfred Olango</t>
  </si>
  <si>
    <t>Pikesville</t>
  </si>
  <si>
    <t>Police claim Alfred was walking in the road and, when engaged by police, he had his hands in his pockets. They shot him as he allegedly moved his hands "rapidly" out of his pockets. He was unarmed.</t>
  </si>
  <si>
    <t>http://www.nydailynews.com/news/crime/california-police-shoot-man-witnesses-unarmed-article-1.2809204</t>
  </si>
  <si>
    <t>701 Broadway</t>
  </si>
  <si>
    <t>Jesse Beshaw</t>
  </si>
  <si>
    <t>32 Malletts Bay Ave</t>
  </si>
  <si>
    <t>Winooski</t>
  </si>
  <si>
    <t>Beshaw was shot seven times by a deputy who had accompanied two police officers to serve Beshaw with an arrest warrant for a burglary. Authorities said Beshaw was unarmed but advanced toward the officers with one hand behind his back and refused to stop.</t>
  </si>
  <si>
    <t>http://www.burlingtonfreepress.com/story/news/2016/09/17/police-shooting-jesse-beshaw-stuns-winooski/90585130/</t>
  </si>
  <si>
    <t>Lucas Anderson</t>
  </si>
  <si>
    <t>600 Delray St</t>
  </si>
  <si>
    <t xml:space="preserve">Daviess </t>
  </si>
  <si>
    <t>Owensboro Police Department</t>
  </si>
  <si>
    <t>Police responding to a report of domestic violence confronted Anderson as he held a woman by the hair and put a knife to her neck, according to authorities. After ignoring demands to drop the knife, Anderson charged at the officers with the knife and was fatally shot.</t>
  </si>
  <si>
    <t>http://www.wbko.com/content/news/Officer-involved-shooting-in-Owensboro-Friday-night-393835321.html</t>
  </si>
  <si>
    <t>Robert Young</t>
  </si>
  <si>
    <t>8212 Bailey Cove Rd SE</t>
  </si>
  <si>
    <t>Police said officers shot Young dead when he ran out of a gas station pointing guns at them. Authorities said they learned after the shooting that the guns were replicas. Young appeared to have been robbing the gas station and the officers were responding to a burglary alarm.</t>
  </si>
  <si>
    <t>http://whnt.com/2016/09/19/huntsville-police-identify-man-shot-by-officers-at-marathon-gas-station-2-officers-on-leave/</t>
  </si>
  <si>
    <t>William Ryan</t>
  </si>
  <si>
    <t>166 Monfredo St</t>
  </si>
  <si>
    <t>Rutherfordton</t>
  </si>
  <si>
    <t>Rutherfordton Police Department, Rutherford County Sheriff's Department</t>
  </si>
  <si>
    <t xml:space="preserve">Authorities said Ryan was fatally shot during an exchange of fire outside a house. Officers had been called because Ryan was reportedly suicidal and armed. One sheriff's deputy was struck by fellow officers' gunfire in one of his legs during the confrontation.
</t>
  </si>
  <si>
    <t>http://wlos.com/news/local/rutherford-county-man-shot-killed-in-attempted-suicide-incident</t>
  </si>
  <si>
    <t>Robert Duh</t>
  </si>
  <si>
    <t>1695 E 6th St</t>
  </si>
  <si>
    <t>Duh was fatally shot by officers after threatening drive-through customers at a Burger King restaurant with a hatchet and a stick, according to police. He was said to have ignored commands to drop his weapons.</t>
  </si>
  <si>
    <t>http://www.pe.com/articles/parking-813571-enforcement-partial.html</t>
  </si>
  <si>
    <t>Philip Hasan</t>
  </si>
  <si>
    <t>1000 Florida Ave, Akron</t>
  </si>
  <si>
    <t>A 911 caller told police that his arm had been slammed in car door by Hasan, according to authorities. Officers said they approached Hasan and shot him when he pulled an assault rifle from his car and ignored commands to stop.</t>
  </si>
  <si>
    <t>http://www.cleveland.com/metro/index.ssf/2016/09/man_killed_by_akron_police_ide.html</t>
  </si>
  <si>
    <t>Jeremy Swenson</t>
  </si>
  <si>
    <t>Cache County Sheriff's Office</t>
  </si>
  <si>
    <t xml:space="preserve">Swenson was reportedly suicidal and armed with a weapon. Authorities said Swenson was making 'threatening actions' toward another person and that a deputy shot him when he refused to drop the weapon.
</t>
  </si>
  <si>
    <t>http://www.sltrib.com/news/4372651-155/report-of-a-shooting-in-logan</t>
  </si>
  <si>
    <t>Michelle Miller</t>
  </si>
  <si>
    <t>23900 Spring Dane Dr</t>
  </si>
  <si>
    <t>Spring</t>
  </si>
  <si>
    <t>Harris County Precinct 4 Constable's Office</t>
  </si>
  <si>
    <t xml:space="preserve">Miller's family asked police to check on her because she was threatening family members and law enforcement, according to authorities. Deputies waited for Miller at her home and said that when she arrived, she pulled out a gun. She was shot after allegedly pointing the gun at deputies. Investigators said Miller had a history of mental health problems.
</t>
  </si>
  <si>
    <t>http://www.khou.com/news/local/one-woman-dead-after-officer-involved-shooting-in-spring/321793480</t>
  </si>
  <si>
    <t>Joshua Scott</t>
  </si>
  <si>
    <t>300 SW Abacus Ave</t>
  </si>
  <si>
    <t>Port St Lucie</t>
  </si>
  <si>
    <t>St. Lucie County Sheriff's Office</t>
  </si>
  <si>
    <t>Deputies were attempting to involuntarily commit Scott for mental health treatment under a court order, authorities said. Scott reportedly armed himself with a gun and barricaded himself inside his home when deputies arrived. During a six-hour standoff, police said they tried to negotiate with Scott, who fired out of his home multiple times. He was shot and killed when he allegedly pointed the gun at Swat officers.</t>
  </si>
  <si>
    <t>http://www.tcpalm.com/story/news/crime/st-lucie-county/2016/09/20/port-st-lucie-man-shot-killed-after-standoff-deputies/90725022/</t>
  </si>
  <si>
    <t>Charles Dove</t>
  </si>
  <si>
    <t>US-641</t>
  </si>
  <si>
    <t>Decaturville</t>
  </si>
  <si>
    <t>Dove was shot 'during an altercation' with police after he allegedly robbed a gas station and fled from responding officers, officials said.</t>
  </si>
  <si>
    <t>http://www.jacksonsun.com/story/news/crime/2016/09/20/tbi-investigates-officer-involved-shooting-decatur-co/90728852/</t>
  </si>
  <si>
    <t>Michael Goodale</t>
  </si>
  <si>
    <t>350 Trolley Line Blvd</t>
  </si>
  <si>
    <t>Mashantucket</t>
  </si>
  <si>
    <t>Mashantucket Pequot Tribal Police Department</t>
  </si>
  <si>
    <t>A tribal police officer shot at Goodale outside a casino while authorities were arresting him on an outstanding warrant, according to state police. Goodale allegedly pointed a gun before the officer opened fire, causing Goodale to fall from a four-storey parking garage.</t>
  </si>
  <si>
    <t>http://www.theday.com/policefirecourts/20160920/casino-patron-dies-after-confrontation-with-tribal-police-in-foxwoods-garage</t>
  </si>
  <si>
    <t>Sandy Duke</t>
  </si>
  <si>
    <t>Dickerson Pike and Donald St</t>
  </si>
  <si>
    <t>Duke allegedly broke into someone's home and tied someone up before stealing a pistol and a car, among other items. Authorities tracked Duke after he fled and fatally shot him when he turned toward officers with a pistol in his hand, according to police.</t>
  </si>
  <si>
    <t>http://www.tennessean.com/story/news/crime/2016/09/20/police-officer-involved-shooting-reported-talbots-corner/90746392/</t>
  </si>
  <si>
    <t>Thomas Tucker Jr</t>
  </si>
  <si>
    <t>Huron St and W 121st Ave</t>
  </si>
  <si>
    <t>Police said Tucker and several others were burglarizing a home, and when the homeowner returned Tucker punched him in the face and pointed a gun at him. Tucker then fled on his motorcycle before crashing while officers pursued him, according to authorities. Tucker was shot after he allegedly brandished a weapon as he ran away on foot.</t>
  </si>
  <si>
    <t>http://www.denverpost.com/2016/09/20/officer-involved-shooting-westminster/</t>
  </si>
  <si>
    <t>Austin Baier</t>
  </si>
  <si>
    <t>Cherry St and 1st St</t>
  </si>
  <si>
    <t>A deputy stopped the man because he was suspected of driving recklessly. The man got of his car and approached the deputy, and was shot after a 'confrontation', according to authorities.</t>
  </si>
  <si>
    <t>http://www.omaha.com/news/crime/motorist-shot-in-louisville-by-cass-county-deputy/article_8d8629c8-80a5-11e6-84d9-6b1abb610020.html</t>
  </si>
  <si>
    <t>Jesse Attaway</t>
  </si>
  <si>
    <t>Piedra Way and Mohawk Way</t>
  </si>
  <si>
    <t>Attaway allegedly broke into a home and later tried to break into a second home in the same neighborhood. Police located Attaway nearby and fatally shot him when he 'quickly pointed an object towards the deputies and rushed towards them,' according to a police statement. Investigators said they did not find a weapon.</t>
  </si>
  <si>
    <t>http://www.abc10.com/news/local/sacramento/officers-at-a-shooting-in-northern-fair-oaks-neighborhood/324639208</t>
  </si>
  <si>
    <t>Christopher Contreras</t>
  </si>
  <si>
    <t>700 Humboldt St</t>
  </si>
  <si>
    <t>Police said Contreras assaulted and threatened his girlfriend before running from police. He allegedly ran into a home and threatened someone inside with a gun. Contreras was fatally shot by officers with a Swat team when he came out of the house and refused to drop the gun, according to authorities.</t>
  </si>
  <si>
    <t>http://www.ksat.com/news/swat-team-responds-to-call-on-citys-south-side</t>
  </si>
  <si>
    <t>Cody Lafont</t>
  </si>
  <si>
    <t>Congress St</t>
  </si>
  <si>
    <t>Claremont</t>
  </si>
  <si>
    <t>Authorities said Lafont was killed by police after a confrontation when officers responded to a call for assistance. Lafont's mother said her son had been diagnosed with depression and had called 911 for help in the past.</t>
  </si>
  <si>
    <t>http://www.unionleader.com/public-safety/officer-involved-shooting-claims-life-of-claremont-man-20160925</t>
  </si>
  <si>
    <t>22000 Colonel Glenn Rd</t>
  </si>
  <si>
    <t>Pulaski County Sheriff's Office</t>
  </si>
  <si>
    <t xml:space="preserve">The man was reportedly standing on someone's front porch while holding a gun and acting erratically. A deputy fatally shot the man after he refused to put down his gun, authorities said.
</t>
  </si>
  <si>
    <t>http://www.thv11.com/news/local/suspect-killed-in-ark-officer-involved-shooting/326178026</t>
  </si>
  <si>
    <t>Anthony Bauer</t>
  </si>
  <si>
    <t>301 E 50th St</t>
  </si>
  <si>
    <t>Garden City</t>
  </si>
  <si>
    <t>Garden City Police Department, Boise Police Department</t>
  </si>
  <si>
    <t>Officers said that when they responded to a report of a suspicious person, Bauer fled in his car. The car later pulled into the Garden City Police Department parking lot, authorities said. When officers approached Bauer, he allegedly pointed a gun at them. Officers opened fire and Bauer drove into the police building, according to officials.</t>
  </si>
  <si>
    <t>http://www.idahostatesman.com/news/local/article104186201.html</t>
  </si>
  <si>
    <t>Nathan DeSai</t>
  </si>
  <si>
    <t>4400 Law St</t>
  </si>
  <si>
    <t>DeSai wounded nine people after he began randomly shooting at passing cars before he was 'neutralized' by officers, according to police. Authorities are unsure what caused DeSai's shooting spree but said Nazi emblems were found in his clothing.</t>
  </si>
  <si>
    <t>http://www.usatoday.com/story/news/nation/2016/09/27/lawyer-nathan-desai-identified-gunman-who-shot-9-houston/91161506/</t>
  </si>
  <si>
    <t>1600 Cliff Rd E</t>
  </si>
  <si>
    <t>Police said they responded to a 911 call reporting that the man was suicidal and armed with a gun. He was shot after officers found him near his apartment with the gun, according to authorities.</t>
  </si>
  <si>
    <t>Leeland White</t>
  </si>
  <si>
    <t>Jamie Lewis</t>
  </si>
  <si>
    <t>16300 Dixie Hwy</t>
  </si>
  <si>
    <t>Markham</t>
  </si>
  <si>
    <t>Markham Police Department</t>
  </si>
  <si>
    <t xml:space="preserve">The man was shot and killed by an officer outside of a nightclub following a fight inside the club, authorities said. The man was reportedly armed with a gun.
</t>
  </si>
  <si>
    <t>http://www.chicagotribune.com/news/local/breaking/ct-markham-police-shooting-met-story.html</t>
  </si>
  <si>
    <t>Joshua Perry</t>
  </si>
  <si>
    <t>6th Ave N</t>
  </si>
  <si>
    <t>Hometown</t>
  </si>
  <si>
    <t>Three men, including Perry, fled on foot from a deputy who was investigating a report of a suspicious car that the men were sitting in, authorities said. The deputy pursued Perry and fatally shot him after Perry allegedly pointed a gun and ignored commands to drop it.</t>
  </si>
  <si>
    <t>http://wvmetronews.com/2016/10/01/man-dead-after-officer-involved-shooting/</t>
  </si>
  <si>
    <t>Carnell Snell Jr</t>
  </si>
  <si>
    <t>W 107th St</t>
  </si>
  <si>
    <t>Officers said they were pursuing a car with paper license plates after the driver refused to pull over. When the car eventually stopped, Snell and the other occupant reportedly fled on foot in different directions. Police said they shot him at the end of the chase.</t>
  </si>
  <si>
    <t>http://www.latimes.com/local/lanow/la-me-ln-south-la-shooting-20161001-snap-story.html</t>
  </si>
  <si>
    <t>Jacquarius Robinson</t>
  </si>
  <si>
    <t>1300 Knollwood Dr E</t>
  </si>
  <si>
    <t>Robinson was suspected of shooting and killing a man before police found him several hours later. Authorities said Robinson was armed with a gun and that he fled when he saw police. He was shot and killed during the chase, officials said.</t>
  </si>
  <si>
    <t>http://www.dispatch.com/content/stories/local/2016/09/30/officer-involved-shooting.html</t>
  </si>
  <si>
    <t>Najier Salaam</t>
  </si>
  <si>
    <t>500 N 7th St</t>
  </si>
  <si>
    <t>Police shot and killed Salaam and another man, George Richards-Meyers, while investigating previous robberies, authorities said. A teenager was also arrested after the shooting.</t>
  </si>
  <si>
    <t>http://www.nj.com/essex/index.ssf/2016/09/2_dead_in_friday_morning_shooting_in_newark.html</t>
  </si>
  <si>
    <t>George Richards-Meyers</t>
  </si>
  <si>
    <t>Richard Parent</t>
  </si>
  <si>
    <t>Parent refused to show his identification after being stopped for not wearing his seatbelt, claiming 'sovereign citizen status', according to authorities. A trooper then broke a window in Parent's car to arrest him and Parent sped off, leading authorities on a chase, police said. Parent was fatally shot after troopers forced his car to stop and he got out with a gun and allegedly pointed it at police.</t>
  </si>
  <si>
    <t>http://www.freep.com/story/news/local/michigan/wayne/2016/09/30/van-buren-township-police-shooting/91345050/</t>
  </si>
  <si>
    <t>Douglas Rainey</t>
  </si>
  <si>
    <t>Links Dr</t>
  </si>
  <si>
    <t>Campobello</t>
  </si>
  <si>
    <t>Rainey was suspected of robbing a dollar store at gunpoint and police found him several hours later after a pursuit. Rainey, who was armed with a gun, began to fight with a deputy and a police dog before another deputy shot and killed him, according to authorities.</t>
  </si>
  <si>
    <t>http://www.greenvilleonline.com/story/news/crime/2016/09/30/robbery-suspect-caught-after-lockdown-manhunt/91329326/</t>
  </si>
  <si>
    <t>Clayton Baker</t>
  </si>
  <si>
    <t>400 W 2nd St</t>
  </si>
  <si>
    <t>Groveton</t>
  </si>
  <si>
    <t>Baker was shot and killed after deputies responded to an assault in progress at a home, authorities said.</t>
  </si>
  <si>
    <t>http://www.kltv.com/story/33288883/multiple-agencies-working-at-crime-scene-in-groveton</t>
  </si>
  <si>
    <t>Jeffrey Cave</t>
  </si>
  <si>
    <t>1700 Miami Ave</t>
  </si>
  <si>
    <t>Cave was killed in an exchange of gunfire with police that also left an officer seriously wounded, according to authorities.</t>
  </si>
  <si>
    <t>http://www.ktnv.com/news/kingman-police-officer-suspect-shot-in-confrontation</t>
  </si>
  <si>
    <t>Christopher Sowell</t>
  </si>
  <si>
    <t>Cobbs Creek Pkwy and Webster St</t>
  </si>
  <si>
    <t>Sowell allegedly assaulted multiple people, stabbing two boys with a knife and choking his daughter, according to police. He then went to a nearby home where authorities said he attacked two women. Police shot and killed Sowell when he came out of the home and 'abruptly' took his hands out of his pockets. The two boys are in critical condition.</t>
  </si>
  <si>
    <t>http://www.philly.com/philly/news/20160929_Stabbing_suspect_shot_during_encounter_with_Philly_police.html</t>
  </si>
  <si>
    <t>Johnathan Lozano-Murillo</t>
  </si>
  <si>
    <t>1600 Fresno St</t>
  </si>
  <si>
    <t>Valdosta Police Department</t>
  </si>
  <si>
    <t>An officer responded to Lozano-Murillo's home over a child custody issue, authorities said. While the officer and Lozano-Murillo were speaking, a woman arrived at the home and Lozano-Murillo reportedly began attacking her. Police said the officer shot Lozano-Murillo after he armed himself with a knife.</t>
  </si>
  <si>
    <t>http://wfxl.com/news/local/gbi-investigating-valdosta-pd-officer-involved-shooting</t>
  </si>
  <si>
    <t>https://www.facebook.com/cameron.ayers.756</t>
  </si>
  <si>
    <t>http://www.twincities.com/2016/09/27/suicidal-man-shot-and-killed-by-burnsville-police-officer/</t>
  </si>
  <si>
    <t>http://s3.amazonaws.com/tributecenteronline/Obituaries/735393/Thumbnail.jpg</t>
  </si>
  <si>
    <t>http://www.thielenfh.com/fh_live/13700/13722/images/obituaries/3753990.jpg</t>
  </si>
  <si>
    <t>http://www.sidneyjonescampbell.com/obituaries/uploads/OI1799299430_raufealbostick.jpg</t>
  </si>
  <si>
    <t>http://westernnews.media.clients.ellingtoncms.com/img/photos/2016/09/01/n_Officer_shooting_3_RGB_t715.jpg?529764a1de2bdd0f74a9fb4f856b01a9d617b3e9</t>
  </si>
  <si>
    <t>http://d3trabu2dfbdfb.cloudfront.net/6/9/6991600_300x300_1.jpeg</t>
  </si>
  <si>
    <t>Donte Jones</t>
  </si>
  <si>
    <t>https://www.facebook.com/mr.fluffybunny09</t>
  </si>
  <si>
    <t>https://www.idoc.state.il.us/subsections/search/pub_showfront.asp?idoc=Y10522</t>
  </si>
  <si>
    <t>http://cdn.arre.st/Jails/ILJails.info/images2/JIMMY-MALONE-201300613023.jpg</t>
  </si>
  <si>
    <t>http://ak-cache.legacy.net/legacy/images/cobrands/thestarpress/photos/msp017058-1_20160611.jpgx?w=130&amp;h=180&amp;option=1&amp;v=0x0000000035b803ff</t>
  </si>
  <si>
    <t>Kevin T. Marshall</t>
  </si>
  <si>
    <t>http://arre.st/AZ-111478313</t>
  </si>
  <si>
    <t>http://ak-cache.legacy.net/legacy/images/cobrands/lincolncourier/photos/3120430_20160316.jpgx?w=130&amp;h=180&amp;option=1&amp;v=0x0000000033d51c2d</t>
  </si>
  <si>
    <t>Alan Paul Bartley</t>
  </si>
  <si>
    <t>http://homicide.latimes.com.s3.amazonaws.com/media/homicide/c14d4e2b-3610-4825-91ac-32dee228cd6d.jpeg</t>
  </si>
  <si>
    <t>http://abcnews.go.com/US/wireStory/west-virginia-sheriffs-deputy-shoots-kills-man-42498754</t>
  </si>
  <si>
    <t>https://www.rlsmedia.com/sites/default/files/styles/collageformatter/public/collageformatter/field/image/article/618x322_symlink_image_2891.jpeg?itok=gPh7kcux</t>
  </si>
  <si>
    <t>Haggerty Rode</t>
  </si>
  <si>
    <t>http://www.jcfloridan.com/news/local/article_fa3a5b1e-2422-11e6-a9d0-db4bf18c39cd.html#comments</t>
  </si>
  <si>
    <t>Tonnia Davis</t>
  </si>
  <si>
    <t>Deric Brown</t>
  </si>
  <si>
    <t>An officer shot and killed Brown after he opened fire on the officer during a traffic stop, police said.</t>
  </si>
  <si>
    <t>http://www.syracuse.com/crime/index.ssf/2016/10/syracuse_man_shoots_at_police_during_traffic_stop_officer_returns_fire_suspect_d.html</t>
  </si>
  <si>
    <t>600 Walnut Ave</t>
  </si>
  <si>
    <t>Figueroa's roommate called 911 after Figueroa allegedly threatened him with a knife. Figueroa, a local constable, opened fire when police responded, seriously wounding two officers, according to authorities. Officials said he was killed in gun battle with police.</t>
  </si>
  <si>
    <t>https://www.bostonglobe.com/metro/2016/10/13/east-boston-man-identified-person-who-shot-two-boston-police-officer/JjSeuu8QF7WGw1fg2lDNzI/story.html?p1=Article_Trending_Most_Viewed</t>
  </si>
  <si>
    <t>Kirk Figueroa</t>
  </si>
  <si>
    <t>136 Gladstone St</t>
  </si>
  <si>
    <t>Benton Harbor Department of Public Safety</t>
  </si>
  <si>
    <t>Police responded to a home after receiving a report that a man was holding another person at gunpoint, but residents told the officers no one had called the police, authorities said. As they left, the man appeared in the street and began shooting toward the home, according to the police account. One officer returned fire, killing the man. Investigators currently believe the man was targeting someone inside the house.</t>
  </si>
  <si>
    <t>http://woodtv.com/2016/10/18/officer-involved-shooting-in-benton-harbor/</t>
  </si>
  <si>
    <t>E Empire Ave and Pavone St</t>
  </si>
  <si>
    <t>Deborah Danner</t>
  </si>
  <si>
    <t>Pugsley Avenue</t>
  </si>
  <si>
    <t>The police said the sergeant, who was in uniform, entered the apartment and found Ms. Danner in a bedroom holding a pair of scissors. She put down the scissors, then picked up a baseball bat and tried to hit him with it, the police said. The sergeant fired two shots, striking Ms. Danner in her torso. She died at Jacobi Medical Center.</t>
  </si>
  <si>
    <t>http://www.nytimes.com/2016/10/20/nyregion/nypd-sergeant-fatal-shooting-bronx-woman.html?smid=tw-share</t>
  </si>
  <si>
    <t>Reno, TX Police Department</t>
  </si>
  <si>
    <t>Reginald Thomas Jr.</t>
  </si>
  <si>
    <t>http://www.fatalencounters.org/wp-content/uploads/2013/10/Reginald-Thomas-Jr..jpg</t>
  </si>
  <si>
    <t>Pasadena Police Department</t>
  </si>
  <si>
    <t>Police were called to a residence for a "domestic disturbance with a suspect at the location armed with a knife." The man did not comply with officers' orders and tried to re-enter the occupied apartment, according to police. After a Taser was used on the man, a fight ensued. He was eventually restrained and killed.</t>
  </si>
  <si>
    <t>http://ktla.com/2016/09/30/death-of-man-in-pasadena-handed-to-sheriffs-homicide-investigators-police/</t>
  </si>
  <si>
    <t>Jose Cesar Viloria</t>
  </si>
  <si>
    <t>http://www.fatalencounters.org/wp-content/uploads/2013/10/Jose-Cesar-Viloria.jpg</t>
  </si>
  <si>
    <t>1800 Lacey St</t>
  </si>
  <si>
    <t>Police were called because Viloria apparently had a machete and had taken some items. Police said he resisted arrest, and he stopped breathing while he was being arrested.</t>
  </si>
  <si>
    <t>http://www.turnto23.com/news/local-news/suspect-involved-in-sundays-machete-incident-dies-at-hospital?autoplay=true</t>
  </si>
  <si>
    <t>Daniel Enrique Perez</t>
  </si>
  <si>
    <t>East 48th Street and Ascot Avenue</t>
  </si>
  <si>
    <t>Police were responding to a complaint about shots fired. Two men were stopped, and one was shot and killed. Little information was immediately released.</t>
  </si>
  <si>
    <t>http://abc7.com/news/1-killed-following-officer-involved-shooting-in-south-la/1536579/</t>
  </si>
  <si>
    <t>Rector</t>
  </si>
  <si>
    <t>John H. Fetter III</t>
  </si>
  <si>
    <t>Ventnor</t>
  </si>
  <si>
    <t>Ventnor Police Department</t>
  </si>
  <si>
    <t>Few details were released by police. A man barricaded himself inside a home and came out with a gun and was shot and killed.</t>
  </si>
  <si>
    <t>http://philadelphia.cbslocal.com/2016/10/03/police-shoot-kill-man-following-barricade-situation-in-ventnor/</t>
  </si>
  <si>
    <t>Sheridan</t>
  </si>
  <si>
    <t>Robert "Bobby" Dapkus</t>
  </si>
  <si>
    <t>300 Lynn Shore Drive</t>
  </si>
  <si>
    <t>Police had come to a high-rise building on Lynn Shore Drive to serve a search warrant on Dapkus, who was under investigation in an armed robbery of the Porthole Pub in Lynn, police said. He was shot and killed when he allegedly pointed a gun at police.</t>
  </si>
  <si>
    <t>https://www.bostonglobe.com/metro/2016/10/03/deadly-force-investigation-underway-lynn/jn82Z7uSn1UW38WWTZoJdI/story.html</t>
  </si>
  <si>
    <t>Thomas Wayne Binkley</t>
  </si>
  <si>
    <t>http://www.fatalencounters.org/wp-content/uploads/2013/10/Thomas-Wayne-Binkley.jpg</t>
  </si>
  <si>
    <t>Burbank Police Department</t>
  </si>
  <si>
    <t>Police were called to a domestic dispute. They tasered Binkley, who died. Another man went into the house with a gun, causing a standoff, but he eventually surrendered.</t>
  </si>
  <si>
    <t>http://losangeles.cbslocal.com/2016/10/04/man-dies-after-confrontation-with-burbank-police/</t>
  </si>
  <si>
    <t>Dean Allen Bruning</t>
  </si>
  <si>
    <t>http://www.fatalencounters.org/wp-content/uploads/2013/10/Dean-Bruning.jpg</t>
  </si>
  <si>
    <t>2302 N Chard Road</t>
  </si>
  <si>
    <t>Hessel</t>
  </si>
  <si>
    <t>Mackinac</t>
  </si>
  <si>
    <t>Mackinac County Sheriff's Office, Michigan State Police</t>
  </si>
  <si>
    <t>Police were responding to a suicidal person. Bruning met them at the door with a handgun. He was shot and killed.</t>
  </si>
  <si>
    <t>http://upnorthlive.com/news/local/state-police-man-dies-after-trooper-involved-shooting</t>
  </si>
  <si>
    <t>Isaias Salgado</t>
  </si>
  <si>
    <t>http://www.fatalencounters.org/wp-content/uploads/2013/10/Isaias-Salgado.jpg</t>
  </si>
  <si>
    <t>Rivercrest Dr &amp; Oakridge Ave</t>
  </si>
  <si>
    <t>Riverview</t>
  </si>
  <si>
    <t>Poice said the incident began with a three-car crash in Riverview. After the crash, one of the drivers ran from the scene and to a nearby business, where he tried to carjack a vehicle, but was unsuccessful. He unsuccessfully tried to carjact two other vehicles. The man then tried to break into vehicles and residences. Deputy Stuart Gray arrived and confronted the suspect. The man grabbed a brick and attacked the deputy, who shot and killed Salgado.</t>
  </si>
  <si>
    <t>http://www.wtsp.com/news/suspect-shot-by-hillsborough-deputy-after-crash/329024293</t>
  </si>
  <si>
    <t>Zachary Sutton</t>
  </si>
  <si>
    <t>http://www.fatalencounters.org/wp-content/uploads/2013/10/Zachary-Sutton.jpg</t>
  </si>
  <si>
    <t>Turner St and Gates Ave</t>
  </si>
  <si>
    <t>Springdale</t>
  </si>
  <si>
    <t>Springdale Police Department</t>
  </si>
  <si>
    <t>Two officers made a traffic stop when a man was driving a scooter. After stopping, the man on the scooter produced a pistol and fired at the officers. The officers shot and killed the man.</t>
  </si>
  <si>
    <t>http://www.4029tv.com/news/man-dies-following-officerinvolved-shooting-in-springdale/41969441</t>
  </si>
  <si>
    <t>Brandon Simmons</t>
  </si>
  <si>
    <t>http://www.fatalencounters.org/wp-content/uploads/2013/10/Brandon-Simmons.jpg</t>
  </si>
  <si>
    <t>2150 Stadium Dr</t>
  </si>
  <si>
    <t>University of Colorado Boulder Police Department, Boulder Police Department</t>
  </si>
  <si>
    <t>A religious zealot was apparently threatening people with a machete and was shot and killed.</t>
  </si>
  <si>
    <t>http://www.dailycamera.com/news/boulder/ci_30437065</t>
  </si>
  <si>
    <t>Robert Solberg</t>
  </si>
  <si>
    <t>Solberg was shot by a deputy after a woman called saying he was walking with a rifle in front and behind her home, according to police.</t>
  </si>
  <si>
    <t>http://www.wbbjtv.com/2016/10/06/sheriff-confirms-officer-involved-shooting-gibson-county/</t>
  </si>
  <si>
    <t>Lucas Felkel</t>
  </si>
  <si>
    <t>http://www.fatalencounters.org/wp-content/uploads/2013/10/Lucas-Felkel.png</t>
  </si>
  <si>
    <t>3300 Cypress Gardens Rd</t>
  </si>
  <si>
    <t>Moncks Corner</t>
  </si>
  <si>
    <t>Felkel was apparently upset about his evacuation route. He argued with police then fled. When other officers caught up with him, he allegedly drove toward them with his vehicle and was shot and killed.</t>
  </si>
  <si>
    <t>http://www.live5news.com/story/33331129/officials-man-shot-in-exchange-with-deputies-has-died</t>
  </si>
  <si>
    <t>Ricky Hall</t>
  </si>
  <si>
    <t>http://www.fatalencounters.org/wp-content/uploads/2013/10/RickyHall.jpg</t>
  </si>
  <si>
    <t>1504 Ben Taub Loop</t>
  </si>
  <si>
    <t>Hall took a medical student hostage by holding a sharp, metal object to her neck. A deputy inside the hospital responded to her screams and shot him. He died on Oct. 19.</t>
  </si>
  <si>
    <t>http://www.click2houston.com/news/man-involved-in-deputy-involved-shooting-taken-off-life-support</t>
  </si>
  <si>
    <t>Christopher Darnell Shackleford</t>
  </si>
  <si>
    <t>1943 Dublin Rd</t>
  </si>
  <si>
    <t>Shackleford was a suspect in fatal shooting. He was shot and killed as he exited a building firing a gun he pointed at law enforcement officers, police said.</t>
  </si>
  <si>
    <t>http://www.thetowntalk.com/story/news/2016/10/07/alexandria-man-dies-after-thursday-shooting/91735482/</t>
  </si>
  <si>
    <t>Thomas Burns</t>
  </si>
  <si>
    <t>http://www.fatalencounters.org/wp-content/uploads/2013/10/ThomasBurns.jpg</t>
  </si>
  <si>
    <t>An officer with the Benton Police Department responded to a report of unknown trouble with a male screaming. The officer spoke with Burns and a woman who were arguing, and they were separated. The officer encountered Burns a short time later. Police said Burns threatened the officer with a handgun, and he was shot, dying a few days later.</t>
  </si>
  <si>
    <t>http://www.thv11.com/news/local/benton-man-dies-after-being-shot-in-officer-involved-shooting/333415702</t>
  </si>
  <si>
    <t>Joseph S. Schroeder</t>
  </si>
  <si>
    <t>http://www.fatalencounters.org/wp-content/uploads/2013/10/Joseph-S.-Schroeder.jpg</t>
  </si>
  <si>
    <t>5328 N Stony Run Ln</t>
  </si>
  <si>
    <t>Fort Wayne police responded to a domestic dispute. They said when officers arrived a man grabbed a young child and barricaded himself inside the residence. The woman escaped. Eventually his actions made police feel the child was in immediate danger, and they shot and killed Schroeder. The child was not hurt.</t>
  </si>
  <si>
    <t>http://www.journalgazette.net/news/local/police-fire/Suspect-in-fatal-police-action-shooting-identified-15658743</t>
  </si>
  <si>
    <t>101 Florence Blvd</t>
  </si>
  <si>
    <t>Killen</t>
  </si>
  <si>
    <t>U.S. Marshals, Lauderdale County Sheriff's Office, Florence Police Department, Huntsville Police Department, Madison County Sheriff's Office</t>
  </si>
  <si>
    <t>U.S. Marshals and Lauderdale County deputies went to a motel to serve a warrant on Eddie Collins. Lauderdale County Chief Deputy Richard Richey said the officers identified themselves, and the suspect fired a shot through the door. According to law enforcement, Collins tried to escape through the backdoor. Richey said he then fired several shots at the officers, went back inside and locked the door. Police say Collin's was a fugitive from Florida and was wanted for firing a missile or weapon into a vehicle or dwelling and four counts of aggregated assault with a deadly weapon. He was eventually killed, presumably, by police. A woman in his room, Venita Keen, was also killed, again, it's uncertain who fired the fatal shot.</t>
  </si>
  <si>
    <t>http://www.wect.com/story/33330242/suspect-and-woman-dead-after-being-shot-at-killen-standoff</t>
  </si>
  <si>
    <t>Eddie Collins</t>
  </si>
  <si>
    <t>http://www.fatalencounters.org/wp-content/uploads/2013/10/EddieCollins.jpg</t>
  </si>
  <si>
    <t>Larry Daniel Matthews</t>
  </si>
  <si>
    <t>500 Colquitt St</t>
  </si>
  <si>
    <t>Bibb</t>
  </si>
  <si>
    <t>Bibb County Sheriff's Office</t>
  </si>
  <si>
    <t>Police responded to a shoplifting complaint, and after a Taser and pepper spray were used, a fight continued and the deputy shot and killed Matthews.</t>
  </si>
  <si>
    <t>http://wgxa.tv/news/local/man-killed-in-deputy-involved-shooting-in-macon</t>
  </si>
  <si>
    <t>Ricardo Hernandez</t>
  </si>
  <si>
    <t>3000 S 288th St</t>
  </si>
  <si>
    <t>Police were dispatched for a reported domestic violence situation between two adult brothers. One of the brothers was armed with a knife. After officers arrived, they assisted family members as they escaped out through a window. The 21-year old Hispanic suspect was armed with knives when he confronted police officers. According to police, the man made a statement about wanting to die, and then he moved toward the officers who shot and killed him.</t>
  </si>
  <si>
    <t>http://q13fox.com/2016/10/08/21-year-old-dead-after-officer-involved-shooting-in-federal-way/</t>
  </si>
  <si>
    <t>Charles E. Antrup</t>
  </si>
  <si>
    <t>http://www.fatalencounters.org/wp-content/uploads/2013/10/Charles-E.-Antrup.jpg</t>
  </si>
  <si>
    <t>3730 E. Washington Blvd.</t>
  </si>
  <si>
    <t>Police responded to a call about an armed and threatening man in the rear of Hallmark Inn, police said. The officer gave repeated commands for the man to drop his knife, which he refused to do. Then, the man “closed the distance,” and he was shot and killed.</t>
  </si>
  <si>
    <t>http://www.journalgazette.net/news/local/police-fire/Man-with-knife-killed-by-police-15683989</t>
  </si>
  <si>
    <t>Kim Jackson</t>
  </si>
  <si>
    <t>1500 Queens Ave</t>
  </si>
  <si>
    <t>Officers were called to a family disturbance. According to police, the caller reported his 53-year-old daughter was intoxicated and vandalizing the inside of his residence. When officers arrived, the woman had left the home, but she returned and was armed with a knife. When police returned to the residence, the woman, armed with knives, confronted them in the street. Police said officers told her to drop the knives but she “advanced rapidly at them with the knives raised above her head.” Officers used a Taser and bean bags before one officer shot and killed her.</t>
  </si>
  <si>
    <t>http://www.modbee.com/news/local/crime/article106987017.html</t>
  </si>
  <si>
    <t>Dylan Rogers</t>
  </si>
  <si>
    <t>http://www.fatalencounters.org/wp-content/uploads/2013/10/Dylan-Rogers.jpg</t>
  </si>
  <si>
    <t>E 127 Rd and N S 381 Rd</t>
  </si>
  <si>
    <t>Wetumka</t>
  </si>
  <si>
    <t>Hughes</t>
  </si>
  <si>
    <t>Wetumka Police Department</t>
  </si>
  <si>
    <t>Police began a chase after a vehicle ran a stop sign and failed to stop for police. Rogers was arrested after a police chase ended near county roads 127 and 381. Rogers was handcuffed in a Wetumka police cruiser, but he managed to get out of his restraint and into a Hughes County deputy's vehicle. Officers said Rogers drove toward a Wetumka police officer, who shot and killed him.</t>
  </si>
  <si>
    <t>http://www.news9.com/story/33348470/osbi-one-dead-after-shooting-in-hughes-county</t>
  </si>
  <si>
    <t>Luis Michael Hoff</t>
  </si>
  <si>
    <t>http://www.fatalencounters.org/wp-content/uploads/2013/10/Luis-Michael-Hoff.jpg</t>
  </si>
  <si>
    <t>AZ-101 Loop and N 56th St</t>
  </si>
  <si>
    <t>After a chase and a gunfight and a crash, a person was shot and killed by troopers.</t>
  </si>
  <si>
    <t>http://www.12news.com/news/local/valley/loop-101-reopens-in-scottsdale-after-troopers-chase-shoot-suspect/333205961</t>
  </si>
  <si>
    <t>Mauricio Barron</t>
  </si>
  <si>
    <t>http://www.fatalencounters.org/wp-content/uploads/2013/10/Mauricio-Barron.jpg</t>
  </si>
  <si>
    <t>El Camino Real &amp; Santa Ana Fwy &amp; Barranca Pkwy</t>
  </si>
  <si>
    <t>Barron was already struck by a car on the I-5 freeway in Irvine when he told a California Highway Patrol officer that he had a gun and went into “a shooting stance” while standing, before the officer shot him, police said.</t>
  </si>
  <si>
    <t>http://www.ocregister.com/articles/officer-731773-shot-killed.html</t>
  </si>
  <si>
    <t>Dennis Hunt</t>
  </si>
  <si>
    <t>W 5th St and Hilton St</t>
  </si>
  <si>
    <t>Sgt. J.F. Hinson and two Robeson County deputies were searching for flood victims. They were in swift-moving water that was 3 or 4 feet deep, when they encountered Hunt, who became hostile toward them and produced a gun, police said. When Hinson saw the gun, he shot and killed Hunt.</t>
  </si>
  <si>
    <t>http://www.fayobserver.com/news/local/lumberton-man-killed-by-state-trooper-identified/article_2e8c69f7-0bbe-5e21-9f60-28e5e20b939e.html</t>
  </si>
  <si>
    <t>Kheyanev Littledog</t>
  </si>
  <si>
    <t>Terrell St. and Industrial Ave.</t>
  </si>
  <si>
    <t>Few details are available, but officers were called to check on a suspicious person. Police said the man armed with a gun and causing a disturbance. He was shot and killed.</t>
  </si>
  <si>
    <t>http://www.newswest9.com/story/33360172/man-dies-following-officer-involved-shooting-in-midland</t>
  </si>
  <si>
    <t>Devan Desnoyers</t>
  </si>
  <si>
    <t>http://www.fatalencounters.org/wp-content/uploads/2013/10/Devan-Desnoyers.jpg</t>
  </si>
  <si>
    <t>Detroit Road and Crocker Road</t>
  </si>
  <si>
    <t>Westlake</t>
  </si>
  <si>
    <t>Westlake Police Department</t>
  </si>
  <si>
    <t>Westlake police fatally shot Devan Desnoyers, a robbery suspect, after he crashed his car into an officer's cruiser, police said.</t>
  </si>
  <si>
    <t>http://www.cleveland.com/westlake/index.ssf/2016/10/westlake_police_fatally_shoot.html</t>
  </si>
  <si>
    <t>Dominick Musulman</t>
  </si>
  <si>
    <t>http://www.fatalencounters.org/wp-content/uploads/2013/10/Dominick-Musulman.jpg</t>
  </si>
  <si>
    <t>Officers responded to a report of a stabbing in the 2900 block of Crawford Street, police said. About a half-hour later, officers located the suspect, Musulman, in the backyard of a home not associated with him. After ordering Musulman to surrender, officers set a police on him, and he used some sort of garden shears to stab the dog in the face. Two officers shot and killed Musulman.</t>
  </si>
  <si>
    <t>http://www.nbcbayarea.com/news/local/Police-Officer-Shoots-Stabbing-Suspect-in-Concord-396722711.html</t>
  </si>
  <si>
    <t>Michael L. Taylor</t>
  </si>
  <si>
    <t>Airport Way S and S Stacy St</t>
  </si>
  <si>
    <t>Seattle police fatally shot Taylor after encountering a fight near The Jungle as city crews were moving out the last remaining residents of the troubled homeless camp.</t>
  </si>
  <si>
    <t>http://www.seattletimes.com/seattle-news/remaining-residents-to-be-moved-out-of-the-jungle/</t>
  </si>
  <si>
    <t>Blaine Justin Beason</t>
  </si>
  <si>
    <t>http://www.fatalencounters.org/wp-content/uploads/2013/10/Blaine-Justin-Beason.jpg</t>
  </si>
  <si>
    <t>Springwood Blvd</t>
  </si>
  <si>
    <t>Beason was wanted in Livingston Parish for firing a gun at a deputy during a chase. A deputy looking for him found him hiding inside a barn in Denham Springs and opened fire when Beason pointed a weapon, according to police.</t>
  </si>
  <si>
    <t>http://www.nola.com/crime/index.ssf/2016/10/wanted_man_killed_in_deputy-in.html</t>
  </si>
  <si>
    <t>400 Jason Ave N</t>
  </si>
  <si>
    <t>Police said detectives were at the home to serve a search warrant related to a suspicious death in August at the residence. Kent detectives, accompanied by a patrol officer, made contact with the suspect, who was armed with a handgun, and he was shot and killed.</t>
  </si>
  <si>
    <t>http://www.kentreporter.com/news/396875551.html</t>
  </si>
  <si>
    <t>Rex Vance Wilson</t>
  </si>
  <si>
    <t>http://www.fatalencounters.org/wp-content/uploads/2013/10/Rex-Vance-Wilson.jpg</t>
  </si>
  <si>
    <t>N Hualapai Way &amp; Bruce Woodbury Beltway &amp; Co Rd 215</t>
  </si>
  <si>
    <t>Police said Wilson was a suspect in a recent string of robberies and a Henderson carjacking. Officers saw him driving near the Stratosphere. They attempted to stop his vehicle. He did not stop, and the pursuit began. Officers chased him in a car they identified by its license plates. The pursuit continued several miles through the valley before ending on the 215 Beltway near North Hualapai Way. Police said Wilson had a gun and was shot and killed.</t>
  </si>
  <si>
    <t>http://www.reviewjournal.com/crime/homicides/las-vegas-police-shoot-kill-man-suspected-robberies-carjacking</t>
  </si>
  <si>
    <t>Matthew Brewer</t>
  </si>
  <si>
    <t>Old Hilda Rd</t>
  </si>
  <si>
    <t>Morehead</t>
  </si>
  <si>
    <t>A trooper went to a home on Old Hilda Road to serve the arrest warrant on Brewer. Police say Brewer was outside and, as he was going into the house, he pointed a gun at the trooper, who shot and killed him.</t>
  </si>
  <si>
    <t>http://www.wtvq.com/2016/10/13/ksp-man-fatally-shot-trooper-morehead/</t>
  </si>
  <si>
    <t>Shawn Pappe</t>
  </si>
  <si>
    <t>http://www.fatalencounters.org/wp-content/uploads/2013/10/Shawn-Pappe.jpg</t>
  </si>
  <si>
    <t>US-199</t>
  </si>
  <si>
    <t>Grants Pass Department of Public Safety</t>
  </si>
  <si>
    <t>Police said several 911 calls about an SUV driving erratically preceded a traffic stop. The driver had a knife. He said officers attempted to negotiate with the driver after he left his vehicle. Officers used a taser and less-than-lethal rounds before he was shot and killed.</t>
  </si>
  <si>
    <t>http://www.oregonlive.com/pacific-northwest-news/index.ssf/2016/10/post_244.html</t>
  </si>
  <si>
    <t>Chaz Logan York</t>
  </si>
  <si>
    <t>http://www.fatalencounters.org/wp-content/uploads/2013/10/Chaz-York.jpg</t>
  </si>
  <si>
    <t>4000 Dowlen Rd</t>
  </si>
  <si>
    <t>Police said York was involved in multiple disturbances and had assaulted several men and women. An off-duty Beaumont police officer, who was not involved in the disturbances, intervened. York tried to assault the officer with a bat and the officer shot and killed him.</t>
  </si>
  <si>
    <t>http://www.12newsnow.com/news/local/one-person-shot-dead-following-disturbance-in-parking-lot-outside-of-madisons-bar-and-grill/335953492</t>
  </si>
  <si>
    <t>George Zapata</t>
  </si>
  <si>
    <t>300 E Brownlee Ave</t>
  </si>
  <si>
    <t>An officer was conducting an investigation of an unrelated property crime when a deadly shooting unfolded in front of him. The officer – in plain clothes, driving an unmarked police vehicle, whose identity has not been released – returned fire, killing the shooter, but not before he was struck in the foot. Three other men were taken to the hospital. Police said the suspect, 24-year-old George Zapata and the man he shot died.</t>
  </si>
  <si>
    <t>http://www.nbcdfw.com/news/local/Multiple-People-Injured-in-Oak-Cliff-Shooting-DFR-397157751.html</t>
  </si>
  <si>
    <t>Nicholas McWherter</t>
  </si>
  <si>
    <t>28th Avenue and Vicente Street</t>
  </si>
  <si>
    <t>Police received reports of a man who was threatening people and causing a disturbance at the Lakeshore Plaza Shopping Center. Police said the man was “behaving erratically.” Officers found the man nearby and attempted to contact him. The man turned toward officers and fired multiple shots at them, striking one in the head and then fled. Arriving officers surrounded the area and began looking for the gunman who emerged from bushes near 28th Avenue and Vicente Street and tried to run away. He was shot and died a few days later.</t>
  </si>
  <si>
    <t>http://www.latimes.com/local/lanow/la-me-ln-san-francisco-police-shooting-suspect-dies-20161017-snap-story.html</t>
  </si>
  <si>
    <t>Daniel Richard Murphy</t>
  </si>
  <si>
    <t>http://www.fatalencounters.org/wp-content/uploads/2013/10/Dennis-Hunt.jpg</t>
  </si>
  <si>
    <t>Lee Road 851</t>
  </si>
  <si>
    <t>After a four-hour negotiation with Murphy--suspected of killing a woman--barricaded inside a home, he pointed what appeared to be a laser, possibly attached to a weapon, at a police officer. At that point, the officer shot and killed Murphy.</t>
  </si>
  <si>
    <t>http://wrbl.com/2016/10/15/woman-shot-and-killed-at-home-in-lee-county-multiple-law-enforcement-agencies-investigating-murder/</t>
  </si>
  <si>
    <t>Micah Jester</t>
  </si>
  <si>
    <t>744 W. William Cannon</t>
  </si>
  <si>
    <t>Austin police say they were called to the apartment complex for a husband who called stating his wife had a weapon. When the officers arrived, a white woman came out of the breezeway. The woman had a weapon in her hands and “extended the weapon towards the officers and said "shoot me, shoot me, kill me.'" Police told her to drop the weapon, but she proceeded to move towards the officers, and they shot her. As she was lying on the ground, police say she was still moving after being shot so they shot her some more.</t>
  </si>
  <si>
    <t>http://kxan.com/2016/10/16/officer-involved-shooting-at-apartment-complex/</t>
  </si>
  <si>
    <t>Eric St. Germain</t>
  </si>
  <si>
    <t>A neighbor heard arguing from a couple inside of the home. The neighbor heard more arguing and heard the suspect yell "call the cops, I have a gun." Pasco County sheriff's office arrived on scene. Deputies, along with SWAT team members, spent two hours trying to get the suspect to come out. After 2 hours, negotiations broke down and the suspect stopped communicating with officials. Deputies used tear gas, flash bangs and a robot to try to get him to come out. SWAT members ultimately forced entry into the home and found the suspect in the bathroom with a knife in his hand. They told him to put the knife down but he refused, so they tasered him, but it was ineffective, and they shot and killed him.</t>
  </si>
  <si>
    <t>http://www.abcactionnews.com/news/region-pasco/man-killed-by-pasco-deputies-wanted-suicide-by-cop-charged-at-deputies-with-knife</t>
  </si>
  <si>
    <t>Sean Arlt</t>
  </si>
  <si>
    <t>The resident of a home reported a man “pounding” on his front door. While Santa Cruz police were en route, the man called back and said the man was now at the back door of the residence and yelling that he wanted to kill everyone inside, according to police. When officers arrived, they called the man out of the backyard. The man proceeded to attack the officers with a metal bow rake and refused repeated commands to drop the tool. When Tasers proved ineffective in stopping the suspect, he was shot and killed.</t>
  </si>
  <si>
    <t>http://www.mercurynews.com/2016/10/17/rake-wielding-man-shot-and-killed-by-santa-cruz-cop/</t>
  </si>
  <si>
    <t>http://www.fatalencounters.org/wp-content/uploads/2013/10/Keagan-Schweikle.jpg</t>
  </si>
  <si>
    <t>Police responded to a family disturbance with a 17-year-old who had a handgun. Responding officers were told the teen had fled into a wooded area near the home. Officers found the teen nearby, where police say he failed to comply with officers' orders to drop the gun. Police say he pointed the gun toward an officer, which led to the officer shooting and killing him.</t>
  </si>
  <si>
    <t>http://katv.com/news/local/officer-involved-shooting-results-in-death-of-17-year-old-in-benton</t>
  </si>
  <si>
    <t>Rolando Roman Delgado</t>
  </si>
  <si>
    <t>NW 183rd Street and 57th Avenue</t>
  </si>
  <si>
    <t>An unidentified man had just stolen a sport utility vehicle, refused to get out after several verbal commands and threatened officers with "medieval-looking" type of sword, before he was shot dead.</t>
  </si>
  <si>
    <t>http://www.miamiherald.com/news/local/community/miami-dade/article108752377.html</t>
  </si>
  <si>
    <t>Darius Wimberly</t>
  </si>
  <si>
    <t>Charles Stidham</t>
  </si>
  <si>
    <t>http://www.fatalencounters.org/wp-content/uploads/2013/10/Charles-Stidham.jpg</t>
  </si>
  <si>
    <t>1919 Brent St</t>
  </si>
  <si>
    <t>Paris Police Department, Kentucky State Police</t>
  </si>
  <si>
    <t>Police went to Stidham's house. Stidham shot an officer, who was not injured due to his bulletproof vest. After a gunfight and standoff, Stidham was found dead. It has not been reported as to why the police went to the home.</t>
  </si>
  <si>
    <t>http://www.wtvq.com/2016/10/19/paris-police-officer-shot-vest-suspect-barricaded-home/</t>
  </si>
  <si>
    <t>Salvador Reyes Sanchez</t>
  </si>
  <si>
    <t>http://www.fatalencounters.org/wp-content/uploads/2013/10/Salvador-Reyes-Sanchez.jpg</t>
  </si>
  <si>
    <t>16902 East 45th Street</t>
  </si>
  <si>
    <t>Sanchez was holding a child hostage when he was shot and killed.</t>
  </si>
  <si>
    <t>http://www.tulsaworld.com/news/crimewatch/tulsa-police-sniper-reportedly-shoots-kills-armed-man-holding-/article_23ce9eda-4e86-5543-bc9d-7a335020a8b2.html</t>
  </si>
  <si>
    <t>Anthony Garcia</t>
  </si>
  <si>
    <t>http://www.fatalencounters.org/wp-content/uploads/2013/10/Anthony-Garcia.jpg</t>
  </si>
  <si>
    <t>3500 Virginia Blvd</t>
  </si>
  <si>
    <t>A Dallas detective investigating a carjacking found Garcia behind the wheel. Garcia pulled a gun and was shot and killed.</t>
  </si>
  <si>
    <t>http://www.dallasnews.com/news/oak-cliff/2016/10/19/authorities-respond-officer-involved-shooting-west-oak-cliff</t>
  </si>
  <si>
    <t>Javier Munoz</t>
  </si>
  <si>
    <t>993 Auto Show Dr, Henderson, NV 89014</t>
  </si>
  <si>
    <t>After a carjacking and a crash, Munoz attempted another carjacking and was shot and killed.</t>
  </si>
  <si>
    <t>http://www.reviewjournal.com/crime/shootings/man-shot-nhp-trooper-henderson-has-died</t>
  </si>
  <si>
    <t>Frank Sandor</t>
  </si>
  <si>
    <t>36300 Euclid Ave</t>
  </si>
  <si>
    <t>Willoughby</t>
  </si>
  <si>
    <t>Willoughby Police Department</t>
  </si>
  <si>
    <t>Sandor was shot and killed after he hit a police motorcycle and tried to run over officers. Apparently, he had unspecified warrants for his arrest.</t>
  </si>
  <si>
    <t>http://www.cleveland19.com/story/33428820/officer-involved-shooting-in-lowes-parking-lot-in-willoughby</t>
  </si>
  <si>
    <t>Jacob DePetris</t>
  </si>
  <si>
    <t>http://www.fatalencounters.org/wp-content/uploads/2013/10/Jacob-DePetris.jpg</t>
  </si>
  <si>
    <t>Shims Road and Sapp Boulevard</t>
  </si>
  <si>
    <t>DePetris was carrying a shotgun in one hand and a bottle of liquor in the other when he was shot and killed by a Jacksonville police officer following an apparent home invasion and domestic issue.</t>
  </si>
  <si>
    <t>http://jacksonville.com/news/2016-10-20/jacksonville-sheriff-s-office-suspect-dead-police-involved-shooting</t>
  </si>
  <si>
    <t>Renee Davis</t>
  </si>
  <si>
    <t>http://www.fatalencounters.org/wp-content/uploads/2013/10/Renee-Davis.jpg</t>
  </si>
  <si>
    <t>15800 382nd St SE</t>
  </si>
  <si>
    <t>Deputies were doing a welfare check on Davis. Allegedly, the pregnant woman had a gun and two children nearby and was shot and killed when she pointed the gun at deputies.</t>
  </si>
  <si>
    <t>http://www.seattletimes.com/news/woman-fatally-shot-by-deputies-was-pregnant-relative-says/</t>
  </si>
  <si>
    <t>William H. Frost Jr.</t>
  </si>
  <si>
    <t>http://www.fatalencounters.org/wp-content/uploads/2013/10/William-H.-Frost-Jr..jpg</t>
  </si>
  <si>
    <t>N Utica Ave and E Admiral Pl</t>
  </si>
  <si>
    <t>http://www.tulsaworld.com/news/crimewatch/man-dies-after-officer-involved-shooting-near-admiral-and-utica/article_a5cfc101-3c2f-5119-8fb2-97c5a6ac765b.html</t>
  </si>
  <si>
    <t>Murrieta Police Department</t>
  </si>
  <si>
    <t>Officers spotted a stolen vehicle in Murrieta. When they tried to stop the driver of the vehicle, the person fled, police said. After leading police in a chase up the freeway, the driver got off on Bundy Canyon Road in Wildomar and continued down several city streets before crashing into a fence. After crashing into the fence, the driver crashed into multiple Murrieta police cruisers before driving toward officers, when he was shot and killed.</t>
  </si>
  <si>
    <t>http://www.pe.com/articles/fatally-816599-sustained-officer.html</t>
  </si>
  <si>
    <t>Nathaniel B. Dorough</t>
  </si>
  <si>
    <t>http://www.fatalencounters.org/wp-content/uploads/2013/10/Nathaniel-B.-Dorough.jpg</t>
  </si>
  <si>
    <t>Sterrett</t>
  </si>
  <si>
    <t>Deputies responded to a residence to try to de-escalate a domestic situation where one of the family members was mentally ill. Upon arrival, the deputies spoke with the caller and were then confronted by the other family member who had a weapon and charged at one of the deputies. Dorough was shot and killed.</t>
  </si>
  <si>
    <t>http://abc3340.com/news/local/deputy-involved-shooting-in-shelby-county-leaves-1-dead</t>
  </si>
  <si>
    <t>Demetrious Mac Moore</t>
  </si>
  <si>
    <t>http://www.fatalencounters.org/wp-content/uploads/2013/10/Demetrious-Mac-Moore.jpg</t>
  </si>
  <si>
    <t>N Union Blvd and E Boulder St</t>
  </si>
  <si>
    <t>Brothers Demetrius and Daniel Moore, were being sought by police after a woman was found shot inside a home in Security-Widefield. The victim was taken to the hospital where she later died. One of the brothers, Demetrious, was located early Sunday. According to police, he fired at least one shot at officers before he was shot and killed.</t>
  </si>
  <si>
    <t>http://www.koaa.com/story/33454346/search-for-murder-suspects-leads-to-deadly-officer-involved-shooting</t>
  </si>
  <si>
    <t>Kenny Tomblin</t>
  </si>
  <si>
    <t>http://www.fatalencounters.org/wp-content/uploads/2013/10/Kenny-Tomblin.jpg</t>
  </si>
  <si>
    <t>242 Junior Caffee Rd</t>
  </si>
  <si>
    <t>Edmonton</t>
  </si>
  <si>
    <t>Metcalfe</t>
  </si>
  <si>
    <t>http://www.wbko.com/content/news/A-Metcalfe-County-man-is-dead-following-an-officer-involved-shooting-398094441.html</t>
  </si>
  <si>
    <t>Kristofer Daniel Youngquist</t>
  </si>
  <si>
    <t>36947 Dogwood Road</t>
  </si>
  <si>
    <t>Lanesboro</t>
  </si>
  <si>
    <t>Fillmore</t>
  </si>
  <si>
    <t>Police were investigating a domestic violence call at another location. They located Youngquist at home later and shot and killed him when he presented a gun.</t>
  </si>
  <si>
    <t>http://www.kaaltv.com/news/fillmore-county-police-situation/4299498/</t>
  </si>
  <si>
    <t>Aaron Ballard</t>
  </si>
  <si>
    <t>Ballard was shot and killed by an officer following a police pursuit of a stolen vehicle that ended in a crash. He was the passenger.</t>
  </si>
  <si>
    <t>http://www.kmov.com/story/33469438/officers-injured-in-crash-chasing-carjacking-suspect-in-north-city</t>
  </si>
  <si>
    <t>Chelsea M. Porter</t>
  </si>
  <si>
    <t>http://www.fatalencounters.org/wp-content/uploads/2013/10/Chelsea-M.-Porter.jpg</t>
  </si>
  <si>
    <t>291 E Pulaski Hwy</t>
  </si>
  <si>
    <t>Brandon Jones and Chelsea M. Porter were wanted by the Delaware State Police on warrants listing numerous charges against them, including possession with intent to distribute heroin, four counts of possession of a firearm in the commission of a felony, three counts of possession of a deadly weapon by a person prohibited and receiving a stolen firearm, according to police. When police caught up with them, they brandished BB guns before they were shot and killed.</t>
  </si>
  <si>
    <t>http://www.cecildaily.com/spotlight/article_037af5f7-dd09-5eb9-a7f9-f7b9247159fe.html</t>
  </si>
  <si>
    <t>Brandon Wayne Millard</t>
  </si>
  <si>
    <t>http://www.fatalencounters.org/wp-content/uploads/2013/10/Brandon-Wayne-Millard.jpg</t>
  </si>
  <si>
    <t>270 G St</t>
  </si>
  <si>
    <t>http://www.kcra.com/article/police-investigate-deadly-incident-in-lincoln/7209811</t>
  </si>
  <si>
    <t>Roy Lee Richards</t>
  </si>
  <si>
    <t>Officers responded to calls of a disturbance involving a man with a weapon. Officers engaged with the man and shots were fired outside the home. The man was killed.</t>
  </si>
  <si>
    <t>http://katv.com/news/local/little-rock-police-investigate-deadly-officer-involved-shooting</t>
  </si>
  <si>
    <t>William Clifford Cole</t>
  </si>
  <si>
    <t>300 Edgewood Ave</t>
  </si>
  <si>
    <t>Bartlesville</t>
  </si>
  <si>
    <t>Bartlesville Police Department</t>
  </si>
  <si>
    <t>Bartlesville police responded to a domestic assault and battery call at a home, but Cole had gone down the road. When police got to the street for the second time, they say a woman came out of the house and Cole followed her, rushing through the door and tackling her to the ground. Officers used a Taser on Cole but said it didn't stop him. Cole punched an officer in the face, who then shot and killed him.</t>
  </si>
  <si>
    <t>http://www.newson6.com/story/33498943/osbi-identifies-man-shot-and-killed-by-bartlesville-police</t>
  </si>
  <si>
    <t>Malcolm Loren Hickson</t>
  </si>
  <si>
    <t>1240 W Trinity Mills Rd</t>
  </si>
  <si>
    <t>Carrollton Police Department</t>
  </si>
  <si>
    <t>Police said they responded to the InTown Suites after one of two women who were being held against their will showed up at the Carrollton Police Department and said she had escaped the man. When the SWAT team arrived, the man, Hickson, left his room with a gun in his waistband and his hands up, according to police. Officers shot Hickson when he reached for the weapon.</t>
  </si>
  <si>
    <t>http://www.nbcdfw.com/news/local/Carrollton-Police-Officer-Involved-in-Fatal-Shooting-398687691.html</t>
  </si>
  <si>
    <t>Kyle W. Killough</t>
  </si>
  <si>
    <t>http://www.fatalencounters.org/wp-content/uploads/2013/10/Kyle-W.-Killough.jpg</t>
  </si>
  <si>
    <t>843 Parkway Ln</t>
  </si>
  <si>
    <t>Billings Police got a call from a Days Inn desk clerk saying a man had come in with a semi-automatic handgun. The man at one point held the gun to his own head, police said. The clerk got out of the office, and police arrived at the Days Inn within minutes. Eight to nine officers were in the lobby with the man, with more officers outside the building. Killough stood up and began to turn around. He had a gun in his left hand and was shot and killed.</t>
  </si>
  <si>
    <t>http://billingsgazette.com/news/crime/wyoming-man-killed-in-officer-involved-shooting-at-days-inn/article_42785cff-a52f-587a-ae34-a52b0c6abd11.html</t>
  </si>
  <si>
    <t>Edwin Amaya Maldonado</t>
  </si>
  <si>
    <t>http://www.fatalencounters.org/wp-content/uploads/2013/10/Edwin-Amaya-Maldonado.jpg</t>
  </si>
  <si>
    <t>Georgia Hwy 77 and Red Hill Road</t>
  </si>
  <si>
    <t>Elberton</t>
  </si>
  <si>
    <t>Elbert</t>
  </si>
  <si>
    <t>An Elbert County Highway Patrol trooper stopped a vehicle for a traffic offense. During the stop, police say Maldonado was found to be driving without a license and was suspected to be driving under the influence. When the trooper attempted to arrest Maldonado for the offenses, Maldonado reached for the trooper's gun belt. The trooper shot and killed Maldonado.</t>
  </si>
  <si>
    <t>http://www.walb.com/story/33503283/gbi-man-dead-in-elberton-officer-involved-shooting</t>
  </si>
  <si>
    <t>Police were investigating a report of woman being held against her will. When an officer kicked down the door, the man pointed a rifle at him. The man with the rifle was shot and killed.</t>
  </si>
  <si>
    <t>http://www.ksat.com/news/man-killed-in-officer-involved-shooting-on-ne-side</t>
  </si>
  <si>
    <t>Lamont Perry</t>
  </si>
  <si>
    <t>http://www.fatalencounters.org/wp-content/uploads/2013/10/Lamont-Perry.jpg</t>
  </si>
  <si>
    <t>Sikes Drive</t>
  </si>
  <si>
    <t>North Carolina Department of Public Safety</t>
  </si>
  <si>
    <t>Perry was killed when Probation and Parole Officer William Kyle Torrence attempted to arrest him for parole violations. Wadesboro police were there, but their role is not clear. No shots were fired.</t>
  </si>
  <si>
    <t>http://www.wbtv.com/story/33506639/probation-officer-idd-after-person-dies-while-being-arrested-in-anson-co</t>
  </si>
  <si>
    <t>Jay Johannes Holmgren</t>
  </si>
  <si>
    <t>MN-27 and Traverse County Road 6</t>
  </si>
  <si>
    <t>Herman</t>
  </si>
  <si>
    <t>Stevens County Sheriff's Office, Traverse County Sheriff's Office, Grant County Sheriff's Office, Morris Police Department, Wheaton Police Department, Minnesota State Patrol</t>
  </si>
  <si>
    <t>After a 50-mile chase across three counties and a short foot chase, Holmgren was shot and killed.</t>
  </si>
  <si>
    <t>http://www.kare11.com/news/man-shot-and-killed-by-police-in-western-minn/344029754</t>
  </si>
  <si>
    <t>Jun Wang</t>
  </si>
  <si>
    <t>http://www.fatalencounters.org/wp-content/uploads/2013/10/Yun.jpg</t>
  </si>
  <si>
    <t>9859 Independence Drive</t>
  </si>
  <si>
    <t>North Royalton</t>
  </si>
  <si>
    <t>North Royalton Police Department</t>
  </si>
  <si>
    <t>Wang died when an officer shot him at a condominium. Officers had gone to the condo to serve a probate order and take him to St. Vincent Charity Medical Center, police said. Wang became defiant during the encounter, grabbed a knife and stabbed an officer's face and leg, police said. The officer's partner shot and killed Wang.</t>
  </si>
  <si>
    <t>http://www.cleveland.com/north-royalton/index.ssf/2016/10/north_royalton_man_fatally_sho.html</t>
  </si>
  <si>
    <t>Jason King</t>
  </si>
  <si>
    <t>http://www.fatalencounters.org/wp-content/uploads/2013/10/Jason-King.jpg</t>
  </si>
  <si>
    <t>Tyler St and Date Ave</t>
  </si>
  <si>
    <t>http://www.sacbee.com/news/local/crime/article111315152.html</t>
  </si>
  <si>
    <t>Kenneth Jack Kennedy</t>
  </si>
  <si>
    <t>Stockton Hill Rd &amp; Gordon Dr</t>
  </si>
  <si>
    <t>Kennedy was stopped for an alleged traffic violation, attempted to leave in his vehicle, struck two police vehicles and was driving forward toward a deputy when the deputy shot and killed him.</t>
  </si>
  <si>
    <t>http://www.azfamily.com/story/33512738/mohave-county-deputy-shoots-kills-man</t>
  </si>
  <si>
    <t>Luis Armando Lopez</t>
  </si>
  <si>
    <t>308 Bowie</t>
  </si>
  <si>
    <t>Van Horn</t>
  </si>
  <si>
    <t>Culberson</t>
  </si>
  <si>
    <t>http://www.cbs7.com/content/news/399194741.html</t>
  </si>
  <si>
    <t>Terrence Coleman</t>
  </si>
  <si>
    <t>245 Shawmut Ave</t>
  </si>
  <si>
    <t>Boston EMS and Boston police responded to an apartment after a mother called 911 reporting her emotionally disturbed 31-year-old son was out of control. Police said the man was suffering from paranoia and schizophrenia. While trying to help the man, a struggle ensued and the man armed himself with a knife. Officers ran in to assist, and police said the man swung repeatedly at the officers and EMTs as they struggled to get the knife away. After failed attempts to disarm the man, he was shot and killed.</t>
  </si>
  <si>
    <t>http://www.wmur.com/article/officer-involved-shooting-in-bostons-south-end/8032928</t>
  </si>
  <si>
    <t>Michael Dale Vance Jr.</t>
  </si>
  <si>
    <t>http://www.fatalencounters.org/wp-content/uploads/2013/10/Michael-Dale-Vance-Jr..jpg</t>
  </si>
  <si>
    <t>OK-33</t>
  </si>
  <si>
    <t>Michael Vance was wanted in the shootings of two Oklahoma police officers and in connection with the deaths of two relatives. He was killed in a shootout after being found near the western Oklahoma town of Hammon.</t>
  </si>
  <si>
    <t>http://www.tulsaworld.com/news/state/fugitive-michael-vance-shot-killed-in-western-oklahoma/article_772da50f-ed01-5652-9795-d7adf0e1362d.html</t>
  </si>
  <si>
    <t>Jordan Gonzales</t>
  </si>
  <si>
    <t>Police responded to a call about multiple shots fired. Police found the man and there was an exchange of gunfire. The man was killed.</t>
  </si>
  <si>
    <t>http://www.kristv.com/story/33515883/suspect-shot-and-killed-by-police-during-standoff-at-shoreline</t>
  </si>
  <si>
    <t>Jose Armando Cueva</t>
  </si>
  <si>
    <t>9425 Penfield Ave.</t>
  </si>
  <si>
    <t>Chatsworth</t>
  </si>
  <si>
    <t>Cueva allegedly stabbed a woman, possibly his estranged wife, as she drove him to the Chatsworth Courthouse. He was wielding a knife when he was shot and killed by a deputy.</t>
  </si>
  <si>
    <t>http://sfvmedia.com/sfv/man-fatally-shot-police-stabbing-estranged-wife-chatsworth-courthouse-identified/</t>
  </si>
  <si>
    <t>Michelle Lee Shirley</t>
  </si>
  <si>
    <t>2761 Cabrillo Ave</t>
  </si>
  <si>
    <t>Torrence</t>
  </si>
  <si>
    <t>Police tried to stop a woman who was driving erratically. They eventually shot and killed her through the windows of the moving vehicle.</t>
  </si>
  <si>
    <t>http://ktla.com/2016/10/31/man-shot-by-police-during-confrontation-in-torrance/</t>
  </si>
  <si>
    <t>Henry Simpson</t>
  </si>
  <si>
    <t>505 South Roop Street</t>
  </si>
  <si>
    <t>According to Carson City Sheriff Ken Furlong, deputies and troopers responded to the Senator Apartments. Furlong said the trooper made contact with the male suspect, and the suspect was shot and killed. Furlong could not specify why the suspect was shot.</t>
  </si>
  <si>
    <t>http://www.rgj.com/story/news/crime/2016/11/01/one-dead-after-nhp-trooper-involved-shooting/93123520/</t>
  </si>
  <si>
    <t>Michael Shriver</t>
  </si>
  <si>
    <t>1501 W. Randolph Ave.</t>
  </si>
  <si>
    <t>Enid</t>
  </si>
  <si>
    <t>Enid Police Department</t>
  </si>
  <si>
    <t>http://www.enidnews.com/news/new-suspect-in-early-morning-shooting-now-in-custody/article_3a879272-a05b-11e6-81b1-e38d7bf882c9.html</t>
  </si>
  <si>
    <t>Keenan Bradley</t>
  </si>
  <si>
    <t>http://www.fatalencounters.org/wp-content/uploads/2013/10/Bradley.jpg</t>
  </si>
  <si>
    <t>3525 W. Benjamin Holt Drive</t>
  </si>
  <si>
    <t>http://www.recordnet.com/news/20161102/masked-man-killed-by-off-duty-sj-deputy</t>
  </si>
  <si>
    <t>Ariel Galarza</t>
  </si>
  <si>
    <t>http://www.fatalencounters.org/wp-content/uploads/2013/10/Ariel-Galarza.jpg</t>
  </si>
  <si>
    <t>Mayflower Ave. and St. Theresa Ave.</t>
  </si>
  <si>
    <t>Police responded to a 911 call about a man armed with a knife who was acting violently. Three officers and the sergeant confronted the man in a basement apartment of the home. The distraught man menaced them with a glass bottle, police said. He was shocked twice with a Taser, killing him.</t>
  </si>
  <si>
    <t>http://www.nydailynews.com/new-york/bronx/man-critical-condition-cops-taser-bronx-clash-article-1.2855934</t>
  </si>
  <si>
    <t>Wilton Henry</t>
  </si>
  <si>
    <t>http://www.fatalencounters.org/wp-content/uploads/2013/10/WiltonHenry.jpg</t>
  </si>
  <si>
    <t>1367 La. 182</t>
  </si>
  <si>
    <t>Terrebonne Parish Sheriff's Office</t>
  </si>
  <si>
    <t>A deputy responded to a call about a suspicious person in a green Dodge Durango in the parking lot of the Coteau Truck Plaza. The deputy found Henry, who appeared to be sleeping in the SUV's back seat. After a deputy asked Henry for his identification, he picked up a handgun. The deputy ordered him several times to put down the gun, but Henry shot himself in the upper part of his chest. Police said, the deputy ordered him again to put down the gun, and he refused. Allegedly, Henry pointed the gun at the deputy, and the deputy shot and killed him.</t>
  </si>
  <si>
    <t>http://www.houmatoday.com/news/20161102/terrebonne-deputy-kills-man-who-shot-himself-then-pointed-gun-at-officer</t>
  </si>
  <si>
    <t>Jesse Jay Taylor</t>
  </si>
  <si>
    <t>8880 S. 1075 West</t>
  </si>
  <si>
    <t>Taylor was killed after a shootout with police in West Jordan, which followed a robbery at local credit union and a chase, police said.</t>
  </si>
  <si>
    <t>http://www.sltrib.com/home/4537376-155/shooting-reported-in-west-jordan</t>
  </si>
  <si>
    <t>Dennis Kirk</t>
  </si>
  <si>
    <t>112 N 7th St</t>
  </si>
  <si>
    <t>Chambersburg Police Department</t>
  </si>
  <si>
    <t>Officers went to Chambersburg Hospital for a report that Kirk, who was a patient, was armed with a knife was making threats toward hospital staff. When police arrived, Kirk turned his threats towards the officers. Police say Kirk was shot and killed after he continued to brandish the knife and threaten officers while they attempted to subdue him.</t>
  </si>
  <si>
    <t>http://fox43.com/2016/11/07/police-id-man-killed-in-officer-involved-shooting-at-chambersburg-hospital/</t>
  </si>
  <si>
    <t>Rita King</t>
  </si>
  <si>
    <t>Loganville</t>
  </si>
  <si>
    <t>Walton</t>
  </si>
  <si>
    <t>Walton County Sheriff's Office</t>
  </si>
  <si>
    <t>Deputies responded to a reported shooting after a what was first believed to be a possible break-in at the home. Details are unavailable as to what prompted the killing.</t>
  </si>
  <si>
    <t>http://www.waltontribune.com/article_0b26a9f6-a1d6-11e6-8613-eb8d373e2d97.html</t>
  </si>
  <si>
    <t>Ferguson Claude Laurent Jr.</t>
  </si>
  <si>
    <t>http://www.fatalencounters.org/wp-content/uploads/2013/10/Ferguson-Claude-Laurent-Jr..jpg</t>
  </si>
  <si>
    <t>Police served a “no-knock” warrant in search of narcotics, weapons and stolen property, police said. It was known at the time that the suspects inside were armed, officials said. At least one shot was fired at officers before Laurent was shot and killed.</t>
  </si>
  <si>
    <t>http://www.charlotteobserver.com/news/local/article112267557.html</t>
  </si>
  <si>
    <t>Edward Lowell Hills</t>
  </si>
  <si>
    <t>200361 US-101</t>
  </si>
  <si>
    <t>Clallam</t>
  </si>
  <si>
    <t>Forks Police Department, Clallam County Sheriff's Office</t>
  </si>
  <si>
    <t>http://www.peninsuladailynews.com/news/beaver-area-man-killed-in-police-standoff-at-trailer/</t>
  </si>
  <si>
    <t>Manuel Rosales</t>
  </si>
  <si>
    <t>Noble Avenue and Bronx River Avenue</t>
  </si>
  <si>
    <t>Rosales fatally shot an NYPD Sgt. Paul Tuozzolo and wounded a second officer as police approached his car. He was killed in a barrage of police bullets.</t>
  </si>
  <si>
    <t>http://www.nydailynews.com/new-york/nyc-crime/nypd-sergeant-shot-dead-wounded-bronx-gunman-ambush-article-1.2858556</t>
  </si>
  <si>
    <t>Abraham Ortiz</t>
  </si>
  <si>
    <t>http://www.fatalencounters.org/wp-content/uploads/2013/10/Abraham-Ortiz.jpg</t>
  </si>
  <si>
    <t>366 S. Palm Canyon Drive</t>
  </si>
  <si>
    <t>Palm Springs</t>
  </si>
  <si>
    <t>Palm Springs Police Department</t>
  </si>
  <si>
    <t>Police received multiple calls about a man who was acting erratically, shouting homophobic and racial slurs, urinating in public and exposing himself to passersby. One caller said the man was possibly armed. After two uniformed officers found the man in the parking lot of Rite Aid there was a struggle that went to the ground, and Ortiz was shot and killed.</t>
  </si>
  <si>
    <t>http://www.desertsun.com/story/news/crime_courts/2016/11/04/palm-springs-police-shooting/93304396/</t>
  </si>
  <si>
    <t>Joshua Beal</t>
  </si>
  <si>
    <t>http://www.fatalencounters.org/wp-content/uploads/2013/10/Joshua-Beal.jpg</t>
  </si>
  <si>
    <t>W 111th St &amp; S Troy St</t>
  </si>
  <si>
    <t>Beal was shot and killed during traffic incident regarding a funeral procession.</t>
  </si>
  <si>
    <t>http://wgntv.com/2016/11/05/man-killed-in-police-involved-shooting-in-mount-greenwood-family-says/</t>
  </si>
  <si>
    <t>Russell Elswick</t>
  </si>
  <si>
    <t>http://www.fatalencounters.org/wp-content/uploads/2013/10/Russell-Elswick.jpg</t>
  </si>
  <si>
    <t>Clendenin</t>
  </si>
  <si>
    <t>http://wvmetronews.com/2016/11/06/clendenin-man-killed-following-officer-involved-shooting/</t>
  </si>
  <si>
    <t>Patrick Wise</t>
  </si>
  <si>
    <t>Gladewater</t>
  </si>
  <si>
    <t>Gladewater Police Department</t>
  </si>
  <si>
    <t>https://www.news-journal.com/news/2016/nov/05/one-dead-officer-involved-shooting-gladewater/</t>
  </si>
  <si>
    <t>James Carl Coale</t>
  </si>
  <si>
    <t>http://www.fatalencounters.org/wp-content/uploads/2013/10/james-carl-coale.jpeg</t>
  </si>
  <si>
    <t>Okemah</t>
  </si>
  <si>
    <t>A deputy pulled over Coale because he was driving a vehicle deputies had been looking for in connection to a stabbing earlier in the day, police said. One of the deputies was outside his patrol unit when Coale tried to run over him. He was shot and killed.</t>
  </si>
  <si>
    <t>http://www.newson6.com/story/33641271/deputy-shoots-kills-okemah-man-during-traffic-stop</t>
  </si>
  <si>
    <t>John F. Zemola</t>
  </si>
  <si>
    <t>5198 64th St N</t>
  </si>
  <si>
    <t>Deputies responded to a home after a 911 call came in for a domestic disturbance. Deputy Jake Guathier and Deputy Jonathan Segrete responded. At the scene, the deputies saw Zemola ramming a car and their house, knocking a front pillar down, with his pickup truck. Deputies said that when they approached Zemora, he put the truck in reverse and pulled onto 64th Street where his vehicle became disabled. He then got out of the truck with a knife in his hand and after deputies told him several times to drop the knife, they shot and killed him.</t>
  </si>
  <si>
    <t>http://wfla.com/2016/11/06/deputy-involved-shooting-in-pinellas/</t>
  </si>
  <si>
    <t>Joel Burt Keenan</t>
  </si>
  <si>
    <t>http://www.fatalencounters.org/wp-content/uploads/2013/10/JoelBurtKeenan.jpg</t>
  </si>
  <si>
    <t>598 Pine Log Road</t>
  </si>
  <si>
    <t>Beech Island</t>
  </si>
  <si>
    <t>After a couple of incidents pointing guns at strangers, police found Keenan. When police caught up to him, he pointed the gun at them and was shot and killed.</t>
  </si>
  <si>
    <t>http://www.aikenstandard.com/news/sled-investigating-fatal-officer-involved-shooting-in-aiken-county/article_ad7a638e-a4d6-11e6-9d07-f3296867cb7a.html</t>
  </si>
  <si>
    <t>Joseph Newcomb</t>
  </si>
  <si>
    <t>Hensley</t>
  </si>
  <si>
    <t>McDowell</t>
  </si>
  <si>
    <t>http://www.bdtonline.com/news/man-shot-in-mcdowell-threatened-troopers-with-hammer/article_65c1756c-a50f-11e6-8303-cf97a3e7c2d1.html</t>
  </si>
  <si>
    <t>Jimmy L. Testa</t>
  </si>
  <si>
    <t>http://www.fatalencounters.org/wp-content/uploads/2013/10/Jimmy-L.-Testa.jpg</t>
  </si>
  <si>
    <t>Testa was reportedly shot once by a trooper during an outdoors struggle with state police, police said. Testa was said to have fled the scene of a burglary.</t>
  </si>
  <si>
    <t>http://www.thedailyjournal.com/story/news/crime/2016/11/06/police-involved-shooting-probed-maurice-river/93394178/</t>
  </si>
  <si>
    <t>Randy Clark Jr.</t>
  </si>
  <si>
    <t>Dave Gaskey Ln and Old Logansport Rd</t>
  </si>
  <si>
    <t>http://www.wbko.com/content/news/Bowling-Green-man-dead-after-officer-involved-shooting-in-Butler-County-400165321.html</t>
  </si>
  <si>
    <t>Christian Redwine</t>
  </si>
  <si>
    <t>5th Ave &amp; Riverchase Dr</t>
  </si>
  <si>
    <t>After short vehicle chase from J.R. Allen Parkway to Riverchase Drive in Phenix City, the driver was shot and killed.</t>
  </si>
  <si>
    <t>http://www.ledger-enquirer.com/news/local/article112901458.html</t>
  </si>
  <si>
    <t>David Contreras Jr.</t>
  </si>
  <si>
    <t>Edinger Avenue and South Sullivan Street</t>
  </si>
  <si>
    <t>Police spotted a white pickup truck parked in front of a business, and attempted to contact the driver, police said. The driver got into a fight with police, and he was shocked with a Taser. He was then shot and killed.</t>
  </si>
  <si>
    <t>http://ktla.com/2016/11/07/man-shot-killed-during-altercation-with-officers-in-santa-ana/</t>
  </si>
  <si>
    <t>Darryl Chisholm</t>
  </si>
  <si>
    <t>http://www.fatalencounters.org/wp-content/uploads/2013/10/Darryl-Chisholm.jpg</t>
  </si>
  <si>
    <t>Chisholm was a suspect in the shooting of a 44-year-old man in North Philadelphia, police said. Officers were searching the area around Darien when someone pointed out the suspect. The suspect started running, with officers in pursuit. He pulled out a gun and was shot and killed.</t>
  </si>
  <si>
    <t>http://www.philly.com/philly/news/20161108_Phila__police_fatally_shoot_armed_suspect_in_confrontation.html</t>
  </si>
  <si>
    <t>Evan Cox</t>
  </si>
  <si>
    <t>W Prospect Rd and Fort Ave</t>
  </si>
  <si>
    <t>Ashtabula Police Department</t>
  </si>
  <si>
    <t>Police were investigating a robbery when Cox attempted to run down officers. He was shot and killed.</t>
  </si>
  <si>
    <t>http://www.newsnet5.com/news/local-news/oh-ashtabula/officer-involved-shooting-in-ashtabula</t>
  </si>
  <si>
    <t>Carlos Mendez</t>
  </si>
  <si>
    <t>http://www.fatalencounters.org/wp-content/uploads/2013/10/CarlosMendez.jpg</t>
  </si>
  <si>
    <t>Azusa Police Department, Irwindale Police Department</t>
  </si>
  <si>
    <t>Mendez killed a 77-year-old man and wounded two women, ages 59 and 65, who happened to be in the neighborhood when he began a shooting rampage. He was allegedly binging on cocaine.</t>
  </si>
  <si>
    <t>http://abc7.com/news/2-dead-including-gunman-2-others-injured-in-azusa-shooting-authorities-say/1596785/</t>
  </si>
  <si>
    <t>An investigation into a drive-by shooting led police to a man. When he fired at police, he was shot and killed.</t>
  </si>
  <si>
    <t>http://www.thedenverchannel.com/news/front-range/denver/denver-police-investigating-officer-involved-shooting-on-east-46th-avenue-in-denver</t>
  </si>
  <si>
    <t>Ritchie Lee Harbison</t>
  </si>
  <si>
    <t>2112 Howard Gap Road</t>
  </si>
  <si>
    <t>Police received a call about a vehicle crash involving multiple parked cars at an apartment complex. Deputies found the driver of the wrecked vehicle naked in the middle of Howard Gap Road. They say Harbison was not compliant and “acting extremely irrational.” They tasered and killed him.</t>
  </si>
  <si>
    <t>http://wspa.com/2016/11/08/nude-irrational-driver-dies-after-tasing-deputies-say/</t>
  </si>
  <si>
    <t>Kenton J. Kobza</t>
  </si>
  <si>
    <t>http://www.fatalencounters.org/wp-content/uploads/2013/10/Kenton-J.-Kobza.jpg</t>
  </si>
  <si>
    <t>US-183</t>
  </si>
  <si>
    <t>Plainville</t>
  </si>
  <si>
    <t>Ellis County Sheriff's Office</t>
  </si>
  <si>
    <t>Kobza fled a traffic stop. He was shot and killed after a high-speed chase.</t>
  </si>
  <si>
    <t>https://www.hayspost.com/2016/11/08/ellis-co-attorney-driver-dies-at-the-scene-of-deputy-involved-shooting-north-of-hays/</t>
  </si>
  <si>
    <t>Daniel Erickson</t>
  </si>
  <si>
    <t>http://www.fatalencounters.org/wp-content/uploads/2013/10/DanielErickson.jpg</t>
  </si>
  <si>
    <t>2244 W. White Mountain Blvd.</t>
  </si>
  <si>
    <t>Lakeside</t>
  </si>
  <si>
    <t>Erickson allegedly killed a Show Low police officer and kidnapped a girl. He was shot and killed during a standoff.</t>
  </si>
  <si>
    <t>http://www.azcentral.com/story/news/local/arizona-breaking/2016/11/08/show-low-police-seek-man-linked-officers-shooting/93495824/</t>
  </si>
  <si>
    <t>John Pacuicrk</t>
  </si>
  <si>
    <t>2938 Delrose Dr N</t>
  </si>
  <si>
    <t>Police say Pacuicrk shot his mother in both legs and then pointed his gun at deputies before he was shot and killed.</t>
  </si>
  <si>
    <t>http://www.theledger.com/news/20161110/sheriff-grady-judd-lakeland-man-shoots-his-mother-shot-dead-by-deputies</t>
  </si>
  <si>
    <t>George Delacruz Jr.</t>
  </si>
  <si>
    <t>http://www.fatalencounters.org/wp-content/uploads/2013/10/George-Delacruz-Jr..jpg</t>
  </si>
  <si>
    <t>302 W. Harris Ave.</t>
  </si>
  <si>
    <t>Multiple agencies were apparently trying to arrest Delacruz when he pulled a gun and was shot and killed.</t>
  </si>
  <si>
    <t>http://www.conchovalleyhomepage.com/news/local-news/report-shooting-vicitm-near-schlotzskys</t>
  </si>
  <si>
    <t>Marco Romero</t>
  </si>
  <si>
    <t>http://www.fatalencounters.org/wp-content/uploads/2013/10/Marco-Romero.jpg</t>
  </si>
  <si>
    <t>West Irving Street</t>
  </si>
  <si>
    <t>Police were investigating a shooting when Romero fired on them. Romero injured to officers before he was shot and killed.</t>
  </si>
  <si>
    <t>http://www.idahostatesman.com/news/local/crime/article114217323.html</t>
  </si>
  <si>
    <t>3200 Lakeview Pl</t>
  </si>
  <si>
    <t>Two officers responded to a call of a suspicious person at the apartment complex. As they approached the suspect, he became combative, police said. There was a struggle and officers used a Taser and then shot and killed the man.</t>
  </si>
  <si>
    <t>http://www.cbs46.com/story/33685267/man-shot-killed-during-scuffle-with-police-officers</t>
  </si>
  <si>
    <t>Rebecka J. Pearce</t>
  </si>
  <si>
    <t>http://www.fatalencounters.org/wp-content/uploads/2013/10/Rebecka-J.-Pearce.jpg</t>
  </si>
  <si>
    <t>Fuquay-Varina</t>
  </si>
  <si>
    <t>Granville County Sheriff's Office</t>
  </si>
  <si>
    <t>Granville County Sheriff's Deputy Jeremy S. Pearce, and his wife, Rebecka J. Pearce, were found shot dead at a house in Fuquay-Varina in a case of domestic violence.</t>
  </si>
  <si>
    <t>http://abc11.com/news/sheriffs-deputy-wife-shot-dead-at-fuquay-varina-home/1603417/</t>
  </si>
  <si>
    <t>Brian Gaither</t>
  </si>
  <si>
    <t>http://www.fatalencounters.org/wp-content/uploads/2013/10/Brian-Gaither.jpg</t>
  </si>
  <si>
    <t>South 9th Street and Pitkin Avenue</t>
  </si>
  <si>
    <t>Police responded to a suspicious vehicle, police said. Officer Jacob Steele thought the vehicle was involved in a previous weapons violation with a known suspect. Authorities said Steele called for backup, then called “shots fired” over the radio and requested an ambulance. Backup officers found the Steele pinned between a vehicle and a building and broke a window to move the vehicle and free the officer.</t>
  </si>
  <si>
    <t>http://www.nbc11news.com/content/news/400810611.html</t>
  </si>
  <si>
    <t>William Ray Score Jr.</t>
  </si>
  <si>
    <t>http://ak-cache.legacy.net/legacy/images/cobrands/coloradoan/photos/fcc015197-1_20161121.jpgx?w=130&amp;h=180&amp;option=1&amp;v=0x0000000038bd72c6</t>
  </si>
  <si>
    <t>Montrose County Sheriff's Office</t>
  </si>
  <si>
    <t>William Ray Score Jr. died of a “distant” gunshot wound to the head. Officials did not provide an exact location. Investigators have not said what precipitated the shooting.</t>
  </si>
  <si>
    <t>http://www.denverpost.com/2016/11/15/loveland-man-suspect-killed-deputy-shooting/</t>
  </si>
  <si>
    <t>James Dale Ritchie</t>
  </si>
  <si>
    <t>E 5th Ave and Cordova St</t>
  </si>
  <si>
    <t>As an officer responded to a robbery, an unidentified man ambushed an unidentified officer.</t>
  </si>
  <si>
    <t>https://www.adn.com/alaska-news/anchorage/2016/11/12/anchorage-police-officer-shot-multiple-times-and-survives-suspect-killed/</t>
  </si>
  <si>
    <t>Richard T. Herrera Jr.</t>
  </si>
  <si>
    <t>http://www.fatalencounters.org/wp-content/uploads/2013/10/Richard-T.-Herrera-Jr..jpg</t>
  </si>
  <si>
    <t>Sahuarita</t>
  </si>
  <si>
    <t>Sahuarita Police Department</t>
  </si>
  <si>
    <t>Officers were called to a home in Rancho Sahuarita, according to police. As they arrived, the man tried to run over them with a car and a pursuit began. The pursuit ended five miles to the southwest, when Herrera was shot and killed.</t>
  </si>
  <si>
    <t>http://www.gvnews.com/news/sahuarita-police-shoot-kill-suspect-following-pursuit/article_9dfb946c-a9b0-11e6-b781-cfdd30d4f0d4.html</t>
  </si>
  <si>
    <t>Daniel Laguna</t>
  </si>
  <si>
    <t>http://www.fatalencounters.org/wp-content/uploads/2013/10/Daniel-Laguna.jpg</t>
  </si>
  <si>
    <t>9401 S Shartel Ave</t>
  </si>
  <si>
    <t>Two Oklahoma City police officers were involved in a confrontation when one of the officers shot and killed Laguna. Few details have been released.</t>
  </si>
  <si>
    <t>http://kfor.com/2016/11/13/police-one-person-shot-in-sw-okc/</t>
  </si>
  <si>
    <t>Juan Carlos Fernandez</t>
  </si>
  <si>
    <t>Fernandez shot a City Heights family, killing one member and taking another hostage, before being fatally shot by a San Diego police officer.</t>
  </si>
  <si>
    <t>http://www.sandiegouniontribune.com/news/public-safety/sd-me-fatal-ois-20161113-story.html</t>
  </si>
  <si>
    <t>Lawrence Police Department</t>
  </si>
  <si>
    <t>Michael Cookson</t>
  </si>
  <si>
    <t>Ynez Rd and County Center Dr</t>
  </si>
  <si>
    <t>Police responded to a fight between a man and a woman at Temecula Courthouse. When police arrived, Cookson grabbed something, a fight started, and he was shot and killed.</t>
  </si>
  <si>
    <t>http://abc7.com/news/suspect-killed-in-temecula-deputy-involved-shooting-/1608428/</t>
  </si>
  <si>
    <t>Robert Daffern</t>
  </si>
  <si>
    <t>889 Bay Area Blvd</t>
  </si>
  <si>
    <t>Police said they went to the motel to serve a warrant to a known violent offender. When officers approached Daffern, he was in the front seat of a vehicle in the parking lot. The officer commanded Daffern to show his hands before he pulled out a handgun and pointed it at officers, and two officers shot and killed him.</t>
  </si>
  <si>
    <t>http://www.click2houston.com/news/officers-shoot-man-to-death-in-motel-parking-lot-police-say</t>
  </si>
  <si>
    <t>Rasheem Singletary</t>
  </si>
  <si>
    <t>N George St &amp; George Street &amp; Veterans of Foreign Wars Memorial Hwy</t>
  </si>
  <si>
    <t>A trooper pulled over Singletary for a traffic violation, police said. He apparently dragged the officer for about a third of a mile and was shot and killed.</t>
  </si>
  <si>
    <t>http://www.pennlive.com/news/2016/11/trooper_fatally_shot_driver_wh.html</t>
  </si>
  <si>
    <t>Edmund Charles Leighty Sr.</t>
  </si>
  <si>
    <t>2779 Reservoir Ln</t>
  </si>
  <si>
    <t>http://www.redding.com/news/local/Shooting-reported-in-east-Redding-401541246.html</t>
  </si>
  <si>
    <t>Bruce Lee Edward Johnson</t>
  </si>
  <si>
    <t>http://www.fatalencounters.org/wp-content/uploads/2013/10/Bruce-Lee-Edward-Johnson.jpg</t>
  </si>
  <si>
    <t>Mackenzie Drive</t>
  </si>
  <si>
    <t>Buchanan County Sheriff's Office</t>
  </si>
  <si>
    <t>Police attempted to make contact with a man who had a warrant out for his arrest at a home. As officers approached the house they were confronted by a middle-aged, white male who threatened officers with a ball bat. When officers responded, Johnson dropped the bat and ran toward the back of the home. After being tasered, he continued to fight, trying to bite the investigators. Johnson was eventually restrained and died.</t>
  </si>
  <si>
    <t>http://www.stjoechannel.com/news/local-news/man-dies-after-being-tased-by-strike-force-investigators</t>
  </si>
  <si>
    <t>Jose Gregory Anthony Franco</t>
  </si>
  <si>
    <t>Penn Street and Painter Avenue</t>
  </si>
  <si>
    <t>Whittier Police Department</t>
  </si>
  <si>
    <t>Police responded to a report of an armed man walking down the street in a threatening manner. The suspect picked up a stick, threw it and struck one of the officers, according to police. The man charged at police with a machete, and he was shot and killed.</t>
  </si>
  <si>
    <t>http://abc7.com/news/man-armed-with-machete-fatally-shot-by-whittier-police/1610061/</t>
  </si>
  <si>
    <t>Garvin</t>
  </si>
  <si>
    <t>Gabriel Parker</t>
  </si>
  <si>
    <t>http://www.fatalencounters.org/wp-content/uploads/2013/10/Gabriel-Parker.jpg</t>
  </si>
  <si>
    <t>N Pinal Ave and W 10th St</t>
  </si>
  <si>
    <t>Casa Grande</t>
  </si>
  <si>
    <t>Casa Grande Police Department</t>
  </si>
  <si>
    <t>Officers arrived at Parker's house after being called because Parker had a knife and was threatening to hurt himself. After they arrived, he went into the home and came back out with a machete, charging at the officers, police said. Officers used non-lethal means on Parker, shooting him with a bean bag and using a Taser on him, but neither stopped him, and he was shot and killed.</t>
  </si>
  <si>
    <t>http://www.12news.com/news/local/arizona/casa-grande-man-with-machete-shot-killed-by-police/353965824</t>
  </si>
  <si>
    <t>Joseph Leland Fletcher</t>
  </si>
  <si>
    <t>http://www.fatalencounters.org/wp-content/uploads/2013/10/Joseph-Leland-Fletcher.jpg</t>
  </si>
  <si>
    <t>618 Gap Creek Drive</t>
  </si>
  <si>
    <t>Okaloosa County Sheriff's Deputies were serving Joseph Fletcher, 35, with a felony warrant on charges of grand theft of a motor vehicle, possession of a controlled substance, and fleeing and eluding. When they got to his home, his girlfriend answered the door and told them that Fletcher was hiding in a closet. When they found Fletcher, at first it seemed he was going to comply, but he lashed out at officers. One of them used a Taser on Fletcher to get him under control, but it didn't work, and a struggle followed. Fletcher went for one of the deputy's guns, got a hold of it, and another deputy shot and killed him.</t>
  </si>
  <si>
    <t>http://www.wjhg.com/content/news/One-dead-in-officer-involved-shooting-in-Okaloosa-County-401913675.html</t>
  </si>
  <si>
    <t>Dontrell Montese Carter</t>
  </si>
  <si>
    <t>http://www.fatalencounters.org/wp-content/uploads/2013/10/DontrellCarter.jpg</t>
  </si>
  <si>
    <t>Ludowici</t>
  </si>
  <si>
    <t>Long</t>
  </si>
  <si>
    <t>Carter was wanted in connection with a shoot-out with deputies two months prior and was shot and killed by law enforcement agents after he shot and killed a U.S. Marshal.</t>
  </si>
  <si>
    <t>http://www.wtvm.com/story/33746792/suspect-in-sumter-shoot-out-with-deputies-killed-after-fatally-wounding-us-marshal</t>
  </si>
  <si>
    <t>Samson Fleurant</t>
  </si>
  <si>
    <t>http://www.fatalencounters.org/wp-content/uploads/2013/10/Samson-Fleurant.jpg</t>
  </si>
  <si>
    <t>Fleurant was allegedly attacking a house with a machete. Police tasered and shot and killed him.</t>
  </si>
  <si>
    <t>http://www.tcpalm.com/story/news/crime/st-lucie-county/2016/11/18/teen-boy-very-critical-after-shooting-port-st-lucie/94084924/</t>
  </si>
  <si>
    <t>Adalid Flores</t>
  </si>
  <si>
    <t>http://www.fatalencounters.org/wp-content/uploads/2013/10/Adalid-Flores.jpg</t>
  </si>
  <si>
    <t>After hitting several cars, Flores and another man fled as police approached. He was shot and killed.</t>
  </si>
  <si>
    <t>http://ktla.com/2016/11/20/suspect-wanted-for-allegedly-ramming-car-into-another-vehicle-on-91-freeway-fatally-shot-by-anaheim-police-no-officers-injured/</t>
  </si>
  <si>
    <t>Erickson Gomez Brito</t>
  </si>
  <si>
    <t>http://www.fatalencounters.org/wp-content/uploads/2013/10/Erickson-Gomez-Brito.jpg</t>
  </si>
  <si>
    <t>362 Sutter Ave</t>
  </si>
  <si>
    <t>A male and female uniformed NYPD housing police officers were struck in the head with a metal police baton during a scuffle with a man inside a housing development. The officers were responding to a 911 call about a suspicious man in the Van Dyke housing development. They encountered the man in a ninth floor hallway. The officers approached the man, asking for identification, and a scuffle ensued. The male officer took out his baton, but the suspect got a hold of it, and repeatedly hit both officers. The male officer suffered a two-inch gash. The officers shot the man several times, killing him.</t>
  </si>
  <si>
    <t>http://newyork.cbslocal.com/2016/11/19/officers-hurt-in-brooklyn-shooting/</t>
  </si>
  <si>
    <t>Darius Jones</t>
  </si>
  <si>
    <t>http://www.fatalencounters.org/wp-content/uploads/2013/10/Darius-Jones.jpg</t>
  </si>
  <si>
    <t>Jones was shooting another man when he was shot and killed by police.</t>
  </si>
  <si>
    <t>http://www.chicagotribune.com/news/local/breaking/ct-police-involved-shooting-20161118-story.html</t>
  </si>
  <si>
    <t>Steve Dwayne Vananda</t>
  </si>
  <si>
    <t>1908 W. Montana Ave</t>
  </si>
  <si>
    <t>Chickasha Police Department</t>
  </si>
  <si>
    <t>According to the Chickasha Police Department, officers responded to a home after receiving a disturbance call. Police said they were informed the involved suspect had a gun. Officers entered the home and approached a room. Vananda and another family member were inside, and Vananda grabbed a gun. He exchanged gunfire with an officer and was killed.</t>
  </si>
  <si>
    <t>http://www.news9.com/story/33750775/osbi-investigating-officer-involved-shooting-in-chickasha</t>
  </si>
  <si>
    <t>Luke Smith</t>
  </si>
  <si>
    <t>http://www.fatalencounters.org/wp-content/uploads/2013/10/Luke-Smith.jpg</t>
  </si>
  <si>
    <t>348 Pioneer Road</t>
  </si>
  <si>
    <t>Watsonville</t>
  </si>
  <si>
    <t>Police responded when two people were stabbed. After speaking to responders, Smith fled. When police caught up with him, he threatened them with a knife. Police said they tried some less-lethal methods to stop him, before they shot and killed him.</t>
  </si>
  <si>
    <t>http://www.santacruzsentinel.com/general-news/20161119/sheriffs-deputy-shoots-kills-knife-wielding-teen-after-two-stabbed-outside-watsonville</t>
  </si>
  <si>
    <t>Jacob Stevens</t>
  </si>
  <si>
    <t>U.S. 169 &amp; Northwest Vivion Road</t>
  </si>
  <si>
    <t>Gladstone Police Department</t>
  </si>
  <si>
    <t>According to Kansas City police, who were called to assist Gladstone police, a passenger ran from the vehicle after it was stopped. Officers pursued the suspect on foot and attempted to take the person into custody. Police say a fight followed, and Stevens produced a handgun and was shot and killed.</t>
  </si>
  <si>
    <t>http://www.kansascity.com/news/local/crime/article116133663.html</t>
  </si>
  <si>
    <t>Police said they received a call from a woman who said her ex-boyfriend had broken into her apartment. When she walked in, he put a gun to head, then went past her and fired a round, stepped back and pointed the gun at her head. She got out safely, but he barricaded himself inside. For several hours, negotiators tried to convince the man to surrender. When he came out of the building, he pointed a gun at officers. Three SWAT officers responded by each firing a single shot, killing him.</t>
  </si>
  <si>
    <t>http://www.ksat.com/news/standoff-ends-with-man-killed-in-officer-involved-shooting</t>
  </si>
  <si>
    <t>Michael Giles</t>
  </si>
  <si>
    <t>Lompoc</t>
  </si>
  <si>
    <t>Lompoc Police Department</t>
  </si>
  <si>
    <t>Police were called to the Jet Action Laundromat. The caller said that a man, possibly intoxicated, was harassing and threatening patrons and staff at the business, according to police. Officers responded and upon arrival, they were confronted by a male subject who immediately drew a large knife. Giles took off running, eventually losing the officers who were chasing him. Police ultimately found Giles, who confronted the officers with the knife. He was shot and killed.</t>
  </si>
  <si>
    <t>http://lompocrecord.com/news/local/lompoc-police-fatally-shoot-knife-wielding-suspect/article_623e813a-009a-5f6e-afaf-b3379c56361c.html</t>
  </si>
  <si>
    <t>George Bush III</t>
  </si>
  <si>
    <t>Smiley Ave and Leola Ave</t>
  </si>
  <si>
    <t>George Bush III allegedly wounded a police sergeant in an earlier incident. Police found his car abandoned at a parking garage. A woman had picked him up there, and officers tracked their vehicle to the intersection of Smiley and Leola avenues in St. Louis. Bush apparently realized he was being followed, jumped out of the car and fired a shot at the officers, striking the windshield of their pickup truck. He ran, and police pursued. He was shot killed in front of a house about 100 yards up the street.</t>
  </si>
  <si>
    <t>http://www.stltoday.com/news/local/crime-and-courts/st-louis-police-officer-shot/article_e119c0eb-d2a1-5fd0-9600-cc252d77fed1.html</t>
  </si>
  <si>
    <t>200 Orange Grove Boulevard</t>
  </si>
  <si>
    <t>700 North Burghley Avenue</t>
  </si>
  <si>
    <t>500 North Mariposa Street</t>
  </si>
  <si>
    <t>200 Pleasant Hill Road</t>
  </si>
  <si>
    <t>1400 Longview Drive</t>
  </si>
  <si>
    <t>1400 San Jose Avenue</t>
  </si>
  <si>
    <t>5200 BlueJay Drive</t>
  </si>
  <si>
    <t>200 Chace St</t>
  </si>
  <si>
    <t>1200 River Oaks</t>
  </si>
  <si>
    <t>32500 Mesa Dr</t>
  </si>
  <si>
    <t>6900 Old HIghway 280</t>
  </si>
  <si>
    <t>4100 Lee Avenue</t>
  </si>
  <si>
    <t>500 East 8th St.</t>
  </si>
  <si>
    <t>200 Rainbow Drive</t>
  </si>
  <si>
    <t>300 North Shoreline Boulevard</t>
  </si>
  <si>
    <t>6400 Escoe Drive</t>
  </si>
  <si>
    <t>600 E Lafayette St</t>
  </si>
  <si>
    <t>3100 Leatherwood Rd</t>
  </si>
  <si>
    <t>500 E Lake Dr</t>
  </si>
  <si>
    <t>100 High Street</t>
  </si>
  <si>
    <t>3100 N 9th St</t>
  </si>
  <si>
    <t>500 E. 4th St.</t>
  </si>
  <si>
    <t>14500 E 46th Ave</t>
  </si>
  <si>
    <t>1700 McLaurin Lane</t>
  </si>
  <si>
    <t>1300 W Calle De La Plaza</t>
  </si>
  <si>
    <t>3800 Marlborough Ave</t>
  </si>
  <si>
    <t>11800 Tibet Road</t>
  </si>
  <si>
    <t>600 SW Colleen Ave</t>
  </si>
  <si>
    <t>1300 N East St</t>
  </si>
  <si>
    <t>6900 South Damen Avenue</t>
  </si>
  <si>
    <t>5800 Shadow Glen</t>
  </si>
  <si>
    <t>1100 North H Street</t>
  </si>
  <si>
    <t>Frank Clark</t>
  </si>
  <si>
    <t>Wabash St and Dayton St</t>
  </si>
  <si>
    <t>Police said that three officers on patrol stopped to speak with Clark and began struggling with him when he made a 'sudden movement' toward his waistband. The officers shot him during the struggle. Authorities said they found a gun near Clark's body after the shooting but have not said if he was armed.</t>
  </si>
  <si>
    <t>http://www.newsobserver.com/news/local/crime/article116421508.html</t>
  </si>
  <si>
    <t>Montrose</t>
  </si>
  <si>
    <t>Rod Lucas</t>
  </si>
  <si>
    <t>Lucas, a sergeant with the sheriff's office, was accidentally shot by a colleague inside an office building, according to authorities. Investigators believe that several officers were having a conversation about weapons safety when a detective's gun discharged and struck Lucas.</t>
  </si>
  <si>
    <t>Accidental</t>
  </si>
  <si>
    <t>http://www.fresnobee.com/news/local/article111892927.html</t>
  </si>
  <si>
    <t>1755 N Gateway Blvd</t>
  </si>
  <si>
    <t>Juan Ramos</t>
  </si>
  <si>
    <t>Keagan Schweikle</t>
  </si>
  <si>
    <t>Patrick Reddeck</t>
  </si>
  <si>
    <t>Thad Hale</t>
  </si>
  <si>
    <t>Charged, Convicted, Sentenced to 5 years in prison</t>
  </si>
  <si>
    <t>Andrew Moreno</t>
  </si>
  <si>
    <t>Dustin Kirk</t>
  </si>
  <si>
    <t>Grass Valley</t>
  </si>
  <si>
    <t>Nevada County Sheriff's Office</t>
  </si>
  <si>
    <t>Police were told that a drunken man had assaulted his mother. Deputies say that within minutes of getting to the scene, a man armed with a firearm confronted them. The deputies shot and killed Kirk.</t>
  </si>
  <si>
    <t>http://sacramento.cbslocal.com/2016/12/27/grass-valley-man-35-shot-and-killed-by-deputies/</t>
  </si>
  <si>
    <t>Gerald Javon Hall</t>
  </si>
  <si>
    <t>http://www.fatalencounters.org/wp-content/uploads/2013/10/Gerald-Javon-Hall.jpg</t>
  </si>
  <si>
    <t>Police responded to a domestic disturbance and found Hall with a knife. When he did not drop it, he was shot and killed.</t>
  </si>
  <si>
    <t>http://www.wusa9.com/news/local/dc/man-seriously-injured-in-dc-officer-involved-shooting/377904065</t>
  </si>
  <si>
    <t>James Tylka</t>
  </si>
  <si>
    <t>http://www.fatalencounters.org/wp-content/uploads/2013/10/James-Tylka.png</t>
  </si>
  <si>
    <t>SW Bell Rd &amp; SW Gimm Ln</t>
  </si>
  <si>
    <t>Sherwood</t>
  </si>
  <si>
    <t>http://koin.com/2016/12/26/osp-trooper-shot-in-washington-county/</t>
  </si>
  <si>
    <t>Joseph Garcia</t>
  </si>
  <si>
    <t>Jamestown Road</t>
  </si>
  <si>
    <t>Desha</t>
  </si>
  <si>
    <t>http://5newsonline.com/2016/12/25/one-man-dead-after-officer-involved-shooting-in-independence-county/</t>
  </si>
  <si>
    <t>Michael Alan Altice</t>
  </si>
  <si>
    <t>Calendula Avenue and Cosmos Avenue</t>
  </si>
  <si>
    <t>Michael Alan Altice, 61, called 911 and threatened to shoot himself, others or police. Altice was inside an RV behind a family home in the area where he lived when officers arrived. Beseler said Altice came out with a handgun and would not put it down when instructed by officers. Two officers shot and killed him.</t>
  </si>
  <si>
    <t>http://www.firstcoastnews.com/news/local/investigation-underway-after-officer-involved-shooting-in-middleburg/377893189</t>
  </si>
  <si>
    <t>Zhonghua Li</t>
  </si>
  <si>
    <t>Li suffering from mental health issues attacking family members with a pair of scissors was shot and killed by deputies. He allegedly threatened the deputies with the scissors.</t>
  </si>
  <si>
    <t>http://www.nbclosangeles.com/news/local/Man-Killed-in-Deputy-Shooting-in-Pico-Rivera-408187075.html</t>
  </si>
  <si>
    <t>Miriam Ann Savino</t>
  </si>
  <si>
    <t>http://www.fatalencounters.org/wp-content/uploads/2013/10/Miriam-Ann-Savino.jpg</t>
  </si>
  <si>
    <t>Hastings Road</t>
  </si>
  <si>
    <t>Lake Wales</t>
  </si>
  <si>
    <t>A woman called police several times, saying her son needed help. When they arrived, Savino pulled a knife and was shot and killed.</t>
  </si>
  <si>
    <t>http://www.orlandosentinel.com/news/breaking-news/os-polk-deputies-kill-woman-20161224-story.html</t>
  </si>
  <si>
    <t>Wetter Street</t>
  </si>
  <si>
    <t>Gadsden Police Department</t>
  </si>
  <si>
    <t>Police responded to reports of a woman shot by a man. The woman was pronounced dead at the scene. The man fled the scene on foot, and was spotted a few minutes later by two Gadsden police officers, police said. He ran from police, and after a short foot pursuit produced a gun. Officers then shot and killed him.</t>
  </si>
  <si>
    <t>http://www.al.com/news/anniston-gadsden/index.ssf/2016/12/woman_dead_man_shot_by_police.html</t>
  </si>
  <si>
    <t>Michael T. Jacques</t>
  </si>
  <si>
    <t>Franklin Avenue and Bond Street</t>
  </si>
  <si>
    <t>At least one, possibly two, Bend police officers shot and killed Jacques when the he resisted arrest during a traffic stop for drunken and reckless driving, after use of a Taser failed to subdue him.</t>
  </si>
  <si>
    <t>http://www.ktvz.com/news/bend-police-shoot-kill-driver-in-downtown-traffic-stop/230221202</t>
  </si>
  <si>
    <t>Fieldcrest Street and Esto Avenue</t>
  </si>
  <si>
    <t>An El Monte officer attempted to stop an SUV in the area of Valley Boulevard and Tyler Avenue for a suspected DUI. The driver fled. He stopped at an intersection, and police officers got out of their vehicles. The driver then drove into a cul-de-sac, turned around and drove towards the officers, shot and killed him.</t>
  </si>
  <si>
    <t>http://www.nbclosangeles.com/news/local/Suspected-DUI-Driver-Fatally-Shot-by-El-Monte-Police-408140675.html</t>
  </si>
  <si>
    <t>Jonathan Barrio</t>
  </si>
  <si>
    <t>Trona</t>
  </si>
  <si>
    <t>http://www.sbsun.com/general-news/20161225/san-bernardino-county-sheriffs-department-investigating-trona-mans-in-custody-death</t>
  </si>
  <si>
    <t>Raymond James Salaiz</t>
  </si>
  <si>
    <t>http://www.fatalencounters.org/wp-content/uploads/2013/10/RaymondJamesSalaiz.jpg</t>
  </si>
  <si>
    <t>Reno police officers were attempting to talk to a person suspected of committing a recent burglary and arson. He reportedly tried to run them down with a vehicle and was shot and killed.</t>
  </si>
  <si>
    <t>http://mynews4.com/news/local/police-activity-outside-gold-dust-west-in-reno</t>
  </si>
  <si>
    <t>Stanley Eversol</t>
  </si>
  <si>
    <t>252 Whisper Lake Road</t>
  </si>
  <si>
    <t>Palm Harbor</t>
  </si>
  <si>
    <t>Pinellas County sheriff's deputies fatally shot 55-year-old Stanley Eversole after he pointed a loaded crossbow toward deputies who were investigating a domestic disturbance between Eversole and his girlfriend, Lora Richter.</t>
  </si>
  <si>
    <t>http://web.tampabay.com/news/publicsafety/crime/man-wounded-in-deputy-involved-shooting-in-palm-harbor/2307242</t>
  </si>
  <si>
    <t>Terrence Thomas Jr</t>
  </si>
  <si>
    <t>4100 Byers St</t>
  </si>
  <si>
    <t>Capitol Heights</t>
  </si>
  <si>
    <t>Prince George's County</t>
  </si>
  <si>
    <t>https://www.washingtonpost.com/local/public-safety/police-investigate-officer-involved-shooting-in-prince-georges-county/2016/12/22/7a94a5a2-c852-11e6-bf4b-2c064d32a4bf_story.html</t>
  </si>
  <si>
    <t>Anthony Lovell Eddington</t>
  </si>
  <si>
    <t>http://www.fatalencounters.org/wp-content/uploads/2013/10/Anthony-Lovell-Eddington.jpg</t>
  </si>
  <si>
    <t>600 W College Ave</t>
  </si>
  <si>
    <t>Coalinga</t>
  </si>
  <si>
    <t>http://www.fresnobee.com/news/local/crime/article122278694.html</t>
  </si>
  <si>
    <t>Colton Dale Calaway</t>
  </si>
  <si>
    <t>http://www.fatalencounters.org/wp-content/uploads/2013/10/Colton-Dale-Calaway.png</t>
  </si>
  <si>
    <t>400 Iroquois Trail</t>
  </si>
  <si>
    <t>Burns Flat</t>
  </si>
  <si>
    <t>Washita</t>
  </si>
  <si>
    <t>Elk City Police Department</t>
  </si>
  <si>
    <t>An Elk City officer pulled over a vehicle with several people inside when the driver, Colton Dale Calaway, drove off. The officer pursued the vehicle into Burns Flat where he performed a PIT maneuver, which caused the vehicle to stall. Calaway then fled into a neighborhood and attempted to enter a home. Calaway was shot and killed when he turned toward the officer with a gun in his hand.</t>
  </si>
  <si>
    <t>http://www.news9.com/story/34104435/officers-shoot-chase-suspect-in-burns-flat</t>
  </si>
  <si>
    <t>Benjamin Ortiz</t>
  </si>
  <si>
    <t>800 S School Ave</t>
  </si>
  <si>
    <t>According to police, a deputy was at the Tire Tracks and was approached by the other person. Police said the deputy fired shots, but they have not disclosed the reason the shots were fired.</t>
  </si>
  <si>
    <t>http://www.nwahomepage.com/news/fox-24/washington-county-deputy-involved-in-shooting-on-school-ave/624619207</t>
  </si>
  <si>
    <t>Matthew Blake Richardson</t>
  </si>
  <si>
    <t>http://www.fatalencounters.org/wp-content/uploads/2013/10/Matthew-Blake-Richardson.png</t>
  </si>
  <si>
    <t>1118 Martha Alleyn Drive</t>
  </si>
  <si>
    <t>Saraland</t>
  </si>
  <si>
    <t>Saraland Police Department</t>
  </si>
  <si>
    <t>Matthew Blake Richardson opened fire at Saraland Police Officer Jackie Tucker, striking her in the head, when she got to a residence in response to a domestic dispute. Other officers shot and killed Richardson.</t>
  </si>
  <si>
    <t>http://wkrg.com/2016/12/21/breaking-officer-shot-in-saraland-suspect-in-custody/</t>
  </si>
  <si>
    <t>Ian Shea King</t>
  </si>
  <si>
    <t>http://www.fatalencounters.org/wp-content/uploads/2013/10/Ian-Shea-King.jpg</t>
  </si>
  <si>
    <t>N Union St &amp; W Grand Ave</t>
  </si>
  <si>
    <t>Ponca City</t>
  </si>
  <si>
    <t>Kay</t>
  </si>
  <si>
    <t>Ponca City Police Department</t>
  </si>
  <si>
    <t>Ponca City Police received a 911 call that a man was assaulting a delivery driver with what appeared to be a tire iron. Police said King confronted officers with a sword and was shot and killed.</t>
  </si>
  <si>
    <t>http://kfor.com/2016/12/21/one-man-killed-another-injured-in-ponca-city-shooting/</t>
  </si>
  <si>
    <t>William R. Newman</t>
  </si>
  <si>
    <t>Starke</t>
  </si>
  <si>
    <t>Knox City Police Department, Starke County Sheriff's Office</t>
  </si>
  <si>
    <t>Knox City Police and Starke County Sheriff Deputies arrived to serve a felony warrant. Within seven minutes, police say, Newman drove through a garage door, hit a police car and attempted to run over a police officer when he was shot and killed.</t>
  </si>
  <si>
    <t>http://wsbt.com/news/local/breaking-indiana-state-police-investigating-officer-involved-shooting-in-knox</t>
  </si>
  <si>
    <t>San Joaquin County Sheriff's Office</t>
  </si>
  <si>
    <t>The sheriff's office received a report of a disturbance involving a man wielding a knife, police said. The fatal shooting occurred shortly after the deputy arrived at the scene, although what precipitated the killing was not immediately released.</t>
  </si>
  <si>
    <t>http://www.kcra.com/article/sheriffs-office-investigates-deputy-involved-shooting-in-stockton/8526219</t>
  </si>
  <si>
    <t>Martin Gomez</t>
  </si>
  <si>
    <t>Pharr</t>
  </si>
  <si>
    <t>Pharr Police Department</t>
  </si>
  <si>
    <t>Police were called to Emil Street for a domestic disturbance. When police arrived, they encountered a man holding a knife, police said. Officers ordered the man to drop the knife, but he refused. Police said he lunged at them, and they shot and killed him.</t>
  </si>
  <si>
    <t>http://www.krgv.com/story/34096662/officer-involved-shooting-in-pharr-under-investigation</t>
  </si>
  <si>
    <t>Nick Hamilton</t>
  </si>
  <si>
    <t>http://www.fatalencounters.org/wp-content/uploads/2013/10/Nick-Hamilton.png</t>
  </si>
  <si>
    <t>Girard Street and Sharose Drive</t>
  </si>
  <si>
    <t>Nick Hamilton led Hemet police on a chase that ended in the armed suspect being fatally shot by a police officer. What precipitated the killing was not immediately released.</t>
  </si>
  <si>
    <t>http://www.pe.com/articles/dec-821328-police-killed.html</t>
  </si>
  <si>
    <t>Brawley</t>
  </si>
  <si>
    <t>Brawley Police Department</t>
  </si>
  <si>
    <t>Police say they were called out after someone reported a suicidal man. When police arrived, the man was holding a knife and refusing to comply with their orders and allegedly posing a threat. The man was shot and killed.</t>
  </si>
  <si>
    <t>http://www.kyma.com/news/fatal-officer-involved-shooting-in-brawley/222871814</t>
  </si>
  <si>
    <t>Roy Lee Minton</t>
  </si>
  <si>
    <t>http://www.fatalencounters.org/wp-content/uploads/2013/10/Roy-Lee-Minton.png</t>
  </si>
  <si>
    <t>1211 Dudley Shoals Rd</t>
  </si>
  <si>
    <t>Granite Falls</t>
  </si>
  <si>
    <t>Caldwell County Sheriff's Office</t>
  </si>
  <si>
    <t>Few details were immediately released, but deputies when to Minton's home to investigate a domestic disturbance, and a deputy shot and killed Minton.</t>
  </si>
  <si>
    <t>http://www.wcnc.com/news/investigations/sbi-investigating-officer-involved-shooting-in-caldwell-county/372984415</t>
  </si>
  <si>
    <t>Ryan Joseph</t>
  </si>
  <si>
    <t>http://www.fatalencounters.org/wp-content/uploads/2013/10/Ryan-Joseph.jpg</t>
  </si>
  <si>
    <t>S Western Ave and W 60th Pl</t>
  </si>
  <si>
    <t>Police said a man was shot and killed after officers saw the man holding what was believed to be a weapon in his waistband. The suspect ran near an apartment building, and the man was shot and killed. Police said a weapon was recovered at the scene. No further information was immediately released.</t>
  </si>
  <si>
    <t>http://abc7.com/news/suspect-shot-killed-in-south-la-officer-involved-shooting/1662988/</t>
  </si>
  <si>
    <t>Paul Kolar</t>
  </si>
  <si>
    <t>319 N.W. 289th St.</t>
  </si>
  <si>
    <t>http://www.columbian.com/news/2016/dec/18/police-trespassing-suspect-killed-in-ridgefield-area/</t>
  </si>
  <si>
    <t>Ronald Roy Massengale</t>
  </si>
  <si>
    <t>West 8th Street and Charles Page Blvd</t>
  </si>
  <si>
    <t>Police arrived about five minutes after a call about shots fired and encountered a man outside the home, police said. Shortly after, the man reportedly walked toward officers and pointed a gun at them. Officer Steve Dickson shot and killed Massengale. Massengale's wife and three dogs were found killed inside the house.</t>
  </si>
  <si>
    <t>http://www.tulsaworld.com/news/crimewatch/police-release-names-of-officer-man-fatally-shot-by-him/article_4c32a682-8acb-527d-b805-d608eb48f99e.html</t>
  </si>
  <si>
    <t>Jimmy Lee Lawson</t>
  </si>
  <si>
    <t>http://www.fatalencounters.org/wp-content/uploads/2013/10/jimmy-lee-lawson.jpeg</t>
  </si>
  <si>
    <t>9591 Osborn Rd</t>
  </si>
  <si>
    <t>Deputies responded to a call about a violent man. Jimmy Lee Lawson, a convicted sex offender who had at least two prior domestic violence incidents this year, allegedly walked out on the driveway armed with a knife. The deputies opened fire, killing Lawson.</t>
  </si>
  <si>
    <t>http://www.commercialappeal.com/story/news/crime/2016/12/18/tbi-investigates-fatal-officer-involved-shooting/95584864/</t>
  </si>
  <si>
    <t>http://ktla.com/2016/12/17/man-shot-in-deputy-involved-shooting-in-east-los-angeles/</t>
  </si>
  <si>
    <t>http://www.heraldnet.com/news/lynnwood-officer-fatally-shoots-suspect-during-struggle/</t>
  </si>
  <si>
    <t>Jeremiah N. Anderson</t>
  </si>
  <si>
    <t>http://www.fatalencounters.org/wp-content/uploads/2013/10/Jeremiah-N.-Anderson.jpg</t>
  </si>
  <si>
    <t>321 NE Kings Valley Hwy</t>
  </si>
  <si>
    <t>Three Dallas police officers contacted a man in the Wal-Mart parking lot for a DUI related incident when gunfire was exchanged. One officer was shot in the leg. The suspect was also shot and killed.</t>
  </si>
  <si>
    <t>https://kobi5.com/news/officer-wounded-suspect-dead-in-dallas-oregon-42525/</t>
  </si>
  <si>
    <t>Marlon Lewis</t>
  </si>
  <si>
    <t>http://www.fatalencounters.org/wp-content/uploads/2013/10/Marlon-Lewis.jpg</t>
  </si>
  <si>
    <t>Dewey Street and Mayo Street</t>
  </si>
  <si>
    <t>Badin</t>
  </si>
  <si>
    <t>Stanly</t>
  </si>
  <si>
    <t>Badin Police Department</t>
  </si>
  <si>
    <t>Marlon Lewis was agitated and called police. He fought with one officer, and two deputies arrived. He was tasered several times, killing him.</t>
  </si>
  <si>
    <t>http://www.wsoctv.com/news/local/man-dies-after-being-shocked-with-taser-in-badin-police-chief-says/476145155</t>
  </si>
  <si>
    <t>Robert James Hess</t>
  </si>
  <si>
    <t>Hacienda Heights</t>
  </si>
  <si>
    <t>Downey police officers responded to a report of a person armed with a knife and a gun who was threatening to kill family members. When officers arrived, the suspect fled on a motorcycle, initiating a chase. The fleeing man escaped. An unmarked police vehicle watched his home on Windrush Drive and saw him walk toward the home. When officers approached the man, he said he was armed with a gun. When he reached for it, he was shot and killed.</t>
  </si>
  <si>
    <t>http://www.sgvtribune.com/general-news/20161216/suspect-killed-in-hacienda-heights-deputy-involved-shooting</t>
  </si>
  <si>
    <t>Lavar Montray Douglas</t>
  </si>
  <si>
    <t>http://www.fatalencounters.org/wp-content/uploads/2013/10/Lavar-Montray-Douglas.jpg</t>
  </si>
  <si>
    <t>Warwick Street and Windsor Avenue</t>
  </si>
  <si>
    <t>Coppin State Police Department</t>
  </si>
  <si>
    <t>Police saw the passenger of one car get out to shoot at another car. When the officer shot and killed the shooter, the driver who had the suspect in the passenger side of the car fled. The man killed was 18 years old, and not a student at Coppin State University.</t>
  </si>
  <si>
    <t>http://baltimore.cbslocal.com/2016/12/13/police-involved-shooting-near-coppin-state/</t>
  </si>
  <si>
    <t>Earl Labon Eubanks Jr.</t>
  </si>
  <si>
    <t>http://www.fatalencounters.org/wp-content/uploads/2013/10/EarlEubanks.jpg</t>
  </si>
  <si>
    <t>26 E Main St N A</t>
  </si>
  <si>
    <t>Police responded to a call about a domestic disturbance at a dentist office. They said the fight spilled out into the alleyway out back. When police arrived, the man was assaulting the woman in the alley. A Henry County officer shot the man after he pulled out a gun and began to point it toward them, police said.</t>
  </si>
  <si>
    <t>http://www.cbs46.com/story/34040709/police-man-shot-by-officer-after-refusing-to-drop-weapon</t>
  </si>
  <si>
    <t>Kenneth Robledo</t>
  </si>
  <si>
    <t>http://www.fatalencounters.org/wp-content/uploads/2013/10/Kenneth-Robledo.jpg</t>
  </si>
  <si>
    <t>Hellerman St &amp; Cranford Ave</t>
  </si>
  <si>
    <t>U.S. Marshals were searching for Kenneth Robledo, 28. Investigators say Robledo was wanted in connection to a shooting that occurred in Philadelphia in July, and the marshals were serving a warrant. Police say Robledo walked out of the home he was staying in and ignored their commands and pulled out a gun and was shot and killed.</t>
  </si>
  <si>
    <t>http://www.nbcphiladelphia.com/news/local/US-Marshal-Gunfire-Frontenac-406031025.html</t>
  </si>
  <si>
    <t>Rainer Tyler Smith</t>
  </si>
  <si>
    <t>6750 GA-42</t>
  </si>
  <si>
    <t>Culloden</t>
  </si>
  <si>
    <t>Byron Police Department, Peach County Drug Task Force</t>
  </si>
  <si>
    <t>Two Byron officers were shot while serving a search warrant for drugs in Crawford County. A multi-jurisdiction drug task force knocked on the door of a home on Highway 42 around 2:30 a.m. When no one answered, they went inside. One person in the home started firing at the officers, and he was shot and killed.</t>
  </si>
  <si>
    <t>http://www.13wmaz.com/news/local/two-byron-officers-shot-serving-warrant-suspect-dead/368227424</t>
  </si>
  <si>
    <t>Francisco Serna</t>
  </si>
  <si>
    <t>http://www.fatalencounters.org/wp-content/uploads/2013/10/Francisco-Serna.jpg</t>
  </si>
  <si>
    <t>According to police, a man, identified by family as 73-year-old Francisco Serna, was brandishing a gun when they shot and killed him. No gun was found. Serna apparently suffered from dementia.</t>
  </si>
  <si>
    <t>http://www.turnto23.com/news/local-news/bpd-investigating-an-officer-involved-shooting-in-southwest-bakersfield</t>
  </si>
  <si>
    <t>Randy Lee Cumberledge</t>
  </si>
  <si>
    <t>32 Tygart Valley Mall</t>
  </si>
  <si>
    <t>Fairmont</t>
  </si>
  <si>
    <t>White Hall Police Department, Marion County Sheriff's Office</t>
  </si>
  <si>
    <t>A man allegedly tried to run over police with his car and was shot and killed outside the White Hall Walmart. State police confirmed it happened when two police officers from different agencies attempted to serve outstanding warrants on the man.</t>
  </si>
  <si>
    <t>http://www.wdtv.com/content/news/Suspect-dead-in-White-Hall-Walmart-shooting--405948655.html</t>
  </si>
  <si>
    <t>Gary Leon Herd Jr.</t>
  </si>
  <si>
    <t>Medicine Lodge</t>
  </si>
  <si>
    <t>Barber</t>
  </si>
  <si>
    <t>Medicine Lodge Police Department</t>
  </si>
  <si>
    <t>Four officers went to a house in Medicine Lodge to serve a warrant and were conducting a search when an officer encountered Herd in a bedroom. Herd was holding a handgun. According to police, both Herd and the officer fired shots, and Herd was killed.</t>
  </si>
  <si>
    <t>http://www.kansas.com/news/local/crime/article120423998.html</t>
  </si>
  <si>
    <t>Jose Angel Vallarta</t>
  </si>
  <si>
    <t>A person had called 911 saying there was an individual in an apartment on Norton who was threatening to harm himself and was armed with a knife. Police said that when officers encountered the man in or near the apartment, he refused to drop the knife. Officers then opened fire, killing Vallarta when he stabbed an officer more than once in his arm.</t>
  </si>
  <si>
    <t>http://www.lmtonline.com/news/article/Man-fatally-shot-by-Laredo-police-10789657.php</t>
  </si>
  <si>
    <t>Amber M. Lewis</t>
  </si>
  <si>
    <t>Bullhead City</t>
  </si>
  <si>
    <t>Bullhead City Police Department</t>
  </si>
  <si>
    <t>According to police, a woman called 911 and said she was going to shoot her girlfriend and herself. The first officer arrived at the house, and a short time later, he encountered a woman outside the home who pointed a handgun at the officer, police said. The officer then shot and killed her.</t>
  </si>
  <si>
    <t>http://www.azfamily.com/story/34036387/woman-with-replica-pistol-shot-and-killed-by-officer-in-bullhead-city</t>
  </si>
  <si>
    <t>Timothy Case</t>
  </si>
  <si>
    <t>2222 N Lincoln Ave.</t>
  </si>
  <si>
    <t>York Police Chief Don Klug said officers were dispatched to York General Hospital because a man was reportedly wielding a knife and threatening hospital staff. They tasered him, used pepper spray and then shot and killed him.</t>
  </si>
  <si>
    <t>http://www.omaha.com/news/crime/nebraska-man-dies-after-being-wounded-in-officer-related-shooting/article_6bab2ede-bfd4-11e6-9825-f7f3cfdfdaa7.html</t>
  </si>
  <si>
    <t>Waltki Cermoun Williams</t>
  </si>
  <si>
    <t>http://www.fatalencounters.org/wp-content/uploads/2013/10/Waltki-Cermoun-Williams.jpg</t>
  </si>
  <si>
    <t>North Guignard Drive and Miller Road</t>
  </si>
  <si>
    <t>Sumter</t>
  </si>
  <si>
    <t>Sumter Police Department</t>
  </si>
  <si>
    <t>Sumter Police said the incident began as a domestic disturbance call at the Sumter Mall. When officers arrived, they say Waltki Cermoun Williams drove off, and officers chased him. That pursuit ended when at least one of the vehicle involved crashed near the intersection of North Guignard Drive and Miller Road. At the end of the chase, there was an exchange of gunfire, and Williams was killed.</t>
  </si>
  <si>
    <t>http://www.wltx.com/news/local/sumter-police-say-suspect-dead-after-shootout-with-officers/367773380</t>
  </si>
  <si>
    <t>Samson G. Varner</t>
  </si>
  <si>
    <t>http://www.fatalencounters.org/wp-content/uploads/2013/10/Samson-G.-Varner.jpg</t>
  </si>
  <si>
    <t>832 Heatherwood Dr</t>
  </si>
  <si>
    <t>A woman called police, saying her boyfriend had stabbed her. When the officer arrived, they found a man and a woman in a garage with the door open. The man had the woman at knifepoint, police said. The man wasn't following orders, and the officer was afraid he would take the woman's life, so he shot and killed the man.</t>
  </si>
  <si>
    <t>http://www.theindychannel.com/news/local-news/greenwood-police-shoot-kill-man</t>
  </si>
  <si>
    <t>Stephen Joshua Whitney</t>
  </si>
  <si>
    <t>http://www.fatalencounters.org/wp-content/uploads/2013/10/stephen-joshua-whitney.jpeg</t>
  </si>
  <si>
    <t>Highway 11 and Kipimana Street</t>
  </si>
  <si>
    <t>Police say they were searching for 30-year-old Stephen Joshua Whitney of Hilo who was a suspect in an attempted murder investigation during a domestic incident. Police say Whitney drove at an officer with a stolen truck, and he was shot and killed.</t>
  </si>
  <si>
    <t>http://khon2.com/2016/12/09/suspect-killed-in-officer-involved-shooting-on-hawaii-island/</t>
  </si>
  <si>
    <t>Scott MacIntosh</t>
  </si>
  <si>
    <t>http://www.fatalencounters.org/wp-content/uploads/2013/10/Scott-MacIntosh.jpg</t>
  </si>
  <si>
    <t>531 Apple Blossom Rd</t>
  </si>
  <si>
    <t>Forks Township Police Department</t>
  </si>
  <si>
    <t>Forks Township police were called to 531 Apple Blossom Road around 4 p.m. in reference to a suicide attempt. Few details were immediately released regarding exactly what precipitated the killing.</t>
  </si>
  <si>
    <t>http://www.wfmz.com/news/top-stories/man-shot-and-killed-by-forks-township-police-officer/203462830</t>
  </si>
  <si>
    <t>David Scott Winkler</t>
  </si>
  <si>
    <t>http://www.fatalencounters.org/wp-content/uploads/2013/10/David-Scott-Winkler.jpg</t>
  </si>
  <si>
    <t>Chestua Road</t>
  </si>
  <si>
    <t>A deputy saw a man attempting to steal some of his property on Chestua Road before a confrontation between the two men. David Scott Winkler, 44, then attempted to hit the deputy with his vehicle, according to police. The deputy shot at Winkler's vehicle and killed him.</t>
  </si>
  <si>
    <t>http://www.wbir.com/news/local/mcminn-monroe/sheriffs-office-tbi-investigating-fatal-monroe-co-shooting/367123570</t>
  </si>
  <si>
    <t>Brent Quinn</t>
  </si>
  <si>
    <t>Bridgeport Way</t>
  </si>
  <si>
    <t>Leland</t>
  </si>
  <si>
    <t>Leland Police Department</t>
  </si>
  <si>
    <t>Leland Police Officer Jacob Schwenk was shot several times and Brent Quinn was killed during an exchange of gunfire, according to police. A 911 caller reported a vehicle driving "all over the road" and that it had "taken out multiple mailboxes." Schwenk responded, and was shot several times in the leg, as well as once in the chest, according to police before shooting and killing Quinn.</t>
  </si>
  <si>
    <t>http://www.wect.com/story/34019895/officer-shot-suspect-killed-in-leland-shooting</t>
  </si>
  <si>
    <t>Allen Police Department</t>
  </si>
  <si>
    <t>Allen Police shot and killed a man while responding to a reported domestic disturbance. Police said a man came out of the home and fired a gun at the officers. The officers shot and killed him.</t>
  </si>
  <si>
    <t>http://www.nbcdfw.com/news/local/Allen-Police-Fatally-Shoot-405554496.html</t>
  </si>
  <si>
    <t>Mark Anthony Hicks</t>
  </si>
  <si>
    <t>http://www.fatalencounters.org/wp-content/uploads/2013/10/Mark-Anthony-Hicks.jpg</t>
  </si>
  <si>
    <t>Hicks stabbed Amanda Williams to death and was killed by Fayetteville police after he lunged at them with a knife, police said.</t>
  </si>
  <si>
    <t>http://www.fayobserver.com/news/crime_courts/police-man-stabs-woman-to-death-then-shot-killed-by/article_f2e547cb-bfe0-54e5-8ded-3f917a6d369b.html</t>
  </si>
  <si>
    <t>Redrick Jevon Batiste</t>
  </si>
  <si>
    <t>16250 Imperial Valley Dr</t>
  </si>
  <si>
    <t>HPD says three suspects arrived at an Amegy Bank. HPD had a bait-armored car in place. Police say Batiste was nearby with a long rifle and believe he was a sniper planning to take out the armored car driver. Batiste was shot and killed by police.</t>
  </si>
  <si>
    <t>http://www.khou.com/news/local/hpd-officer-shot-wounded-suspected-robbery-suspect/365102468</t>
  </si>
  <si>
    <t>Steven Garrett Ward</t>
  </si>
  <si>
    <t>http://www.fatalencounters.org/wp-content/uploads/2013/10/Steven-Garrett-Ward.jpg</t>
  </si>
  <si>
    <t>357 Bethel Ridge Road</t>
  </si>
  <si>
    <t>Avella</t>
  </si>
  <si>
    <t>Police responded to a domestic dispute call in Avella. When state police arrived, they heard several shots. Police say Steven Ward then walked toward the troopers carrying a large, Bowie-style knife. Ward refused to drop the weapon, and they shot him. He died a week later.</t>
  </si>
  <si>
    <t>http://pittsburgh.cbslocal.com/2016/12/16/suspect-shot-during-avella-domestic-dispute-call-dies-in-hospital/</t>
  </si>
  <si>
    <t>Keelan Charles Murray</t>
  </si>
  <si>
    <t>http://www.fatalencounters.org/wp-content/uploads/2013/10/Murray2.jpg</t>
  </si>
  <si>
    <t>Duncanville Police Department</t>
  </si>
  <si>
    <t>Police said the Duncanville officer who shot Keelan Charles Murray, 37, was a member of a Drug Enforcement Administration Task Force serving Murray a warrant. It was not immediately released as to why Murray was wanted for arrest. During the operation, the officer shot and killed Murray for an unknown reason.</t>
  </si>
  <si>
    <t>http://www.dallasnews.com/news/crime/2016/12/07/duncanville-officer-fatally-shoots-person-operation-downtown-dallas</t>
  </si>
  <si>
    <t>Daniel Anthony Riedmann</t>
  </si>
  <si>
    <t>Myrtle St and Tri View Ave</t>
  </si>
  <si>
    <t>After pulling over a Chevy Suburban, officers learned there was an outstanding warrant for the lone passenger, Daniel Anthony Riedmann, 36, and the Dakota Dunes man could be armed and dangerous, police said. Officers tolk Riedmann to get out of the vehicle. The vehicle was locked, and as they were making their demands, there were some furtive movements at which time the officer stepped back and shot and killed Riedmann.</t>
  </si>
  <si>
    <t>http://siouxcityjournal.com/news/local/sioux-city-police-officer-shot-killed-passenger-after-traffic-stop/article_25b92815-8e21-55ad-aebe-f3c7fa2108da.html</t>
  </si>
  <si>
    <t>Wayne Donald Dorsey</t>
  </si>
  <si>
    <t>http://www.fatalencounters.org/wp-content/uploads/2013/10/Dorsey.jpg</t>
  </si>
  <si>
    <t>Fruitland Park</t>
  </si>
  <si>
    <t>A Lake County sheriff's deputy shot and killed Wayne Donald Dorsey who repeatedly tried to hit him in the head with an oar as he attempted to escape in a boat, police said. Deputies were called to a hit-and-run at a store in Fruitland Park, where the driver crashed into the store and another vehicle. When deputies arrived, they realized the man had just tried to carjack an occupied vehicle.</t>
  </si>
  <si>
    <t>http://www.clickorlando.com/news/deputy-involved-shooting-investigation-underway-in-fruitland-park-deputies-say</t>
  </si>
  <si>
    <t>Westley Daum</t>
  </si>
  <si>
    <t>Orange City</t>
  </si>
  <si>
    <t>Orange City Police Department</t>
  </si>
  <si>
    <t>Orange City police officers encountered Westley Daum, 47, after receiving three 911 calls about a person standing in the middle of Volusia Avenue pointing a gun at passing cars. After a search, they found him a in front of a home, and after trying less lethal methods, he was shot and killed.</t>
  </si>
  <si>
    <t>http://www.orlandosentinel.com/news/breaking-news/os-officer-involved-shooting-orange-city-20161206-story.html</t>
  </si>
  <si>
    <t>Steven Wayne Liffel</t>
  </si>
  <si>
    <t>http://www.fatalencounters.org/wp-content/uploads/2013/10/Steven-Wayne-Liffel.jpg</t>
  </si>
  <si>
    <t>SE 148th Ave and E Burnside Street</t>
  </si>
  <si>
    <t>Liffel was allegedly shooting a gun outside an apartment. When police arrived, he came out with a gun and was shot and killed.</t>
  </si>
  <si>
    <t>http://www.oregonlive.com/portland/index.ssf/2016/12/portland_police_shoot_kill_man.html</t>
  </si>
  <si>
    <t>Richard R. Jones</t>
  </si>
  <si>
    <t>3503-A Ridgewood Dr</t>
  </si>
  <si>
    <t>Hutchinson Police Department were dispatched regarding a “trouble with subject” call. Police entered the residence. As the officers were announcing their presence, they encountered Jones in a bedroom armed with a handgun. He pointed the gun at officers and was shot and killed.</t>
  </si>
  <si>
    <t>http://www.kansas.com/news/local/crime/article119125213.html</t>
  </si>
  <si>
    <t>Norman Gary</t>
  </si>
  <si>
    <t>Police were investigating a burglary. While on scene officers heard gunfire nearby. Elkhart Police Chief Ed Windbigler said two officers ran over and exchanged gunfire with two people who were leaving the scene in a vehicle, killing Gray and injuring another.</t>
  </si>
  <si>
    <t>http://wsbt.com/news/local/large-crowd-gathers-at-scene-of-elkhart-shooting-investigation</t>
  </si>
  <si>
    <t>James Dean Smith</t>
  </si>
  <si>
    <t>http://www.fatalencounters.org/wp-content/uploads/2013/10/James-Dean-Smith.jpg</t>
  </si>
  <si>
    <t>715 West Main Street</t>
  </si>
  <si>
    <t>American Fork</t>
  </si>
  <si>
    <t>American Fork Police Department, Lehi Police Department, Utah County Sheriff's Office</t>
  </si>
  <si>
    <t>Smith shot and killed his ex-girlfriend, fled, and was shot and killed when police saw he had a gun, although it was not immediately reported whether he pointed it at them.</t>
  </si>
  <si>
    <t>http://www.sltrib.com/news/4672455-155/two-people-dead-in-officer-involved-shooting</t>
  </si>
  <si>
    <t>Saif Nasser Mubarak Alameri</t>
  </si>
  <si>
    <t>Hudson Police Department</t>
  </si>
  <si>
    <t>According to police, Saif Nasser Mubarak Alameri was driving on the Ohio Turnpike when he sideswiped another vehicle and flipped his vehicle. He climbed out of his car and fled the scene before the Ohio State Highway Patrol arrived. Around an hour later, a Hudson police officer found him in a nearby wooded area off of Hudson-Aurora Road. There was a struggle between the officer and the man, and he was shot and killed. Alameri was a citizen of the United Arab Emirates and was a student at Case Western Reserve University.</t>
  </si>
  <si>
    <t>http://www.newsnet5.com/news/local-news/oh-summit/fatal-officer-involved-shooting-following-crash-in-hudson</t>
  </si>
  <si>
    <t>Isreal Flores</t>
  </si>
  <si>
    <t>N Arnoult Rd &amp; 46th St</t>
  </si>
  <si>
    <t>Jefferson Parish Sheriff's deputy Nicholas Songy arrived to investigate a domestic disturbance call. After speaking with the woman who made the call, Songy, who was alone, went into the backyard, where he encountered an armed man, police said. Songy and Flores exchanged gunfire. Songy was shot in the leg, and Flores was hit as well. When backup arrived, police ordered Flores to lower his weapon and shot and killed him when he refused.</t>
  </si>
  <si>
    <t>http://www.theadvocate.com/new_orleans/news/crime_police/article_ffe052a8-b982-11e6-9834-5329717dee67.html?sr_source=lift_amplify</t>
  </si>
  <si>
    <t>Joseph Edward Turner Jr.</t>
  </si>
  <si>
    <t>http://www.fatalencounters.org/wp-content/uploads/2013/10/Joseph-Edward-Turner-Jr..png</t>
  </si>
  <si>
    <t>1322 Military Road</t>
  </si>
  <si>
    <t>Joseph Edward Turner Jr., suspect in an attempted bank robbery, was fatally shot by an off-duty Benton police officer. Turner was shot after the off-duty officer "intervened in the attempted armed robbery of" Simmons Bank at 1323 Military Road, police said.</t>
  </si>
  <si>
    <t>http://www.arkansasonline.com/news/2016/dec/02/police-suspect-shot-after-attempted-bank-robbery/?f=crime</t>
  </si>
  <si>
    <t>Josh Dunne</t>
  </si>
  <si>
    <t>http://www.fatalencounters.org/wp-content/uploads/2013/10/Josh-Dunne.jpg</t>
  </si>
  <si>
    <t>2121 S Triviz Dr</t>
  </si>
  <si>
    <t>http://www.lcsun-news.com/story/news/2016/12/03/officers-fatally-shoot-suicidal-man-las-cruces-hotel/94880692/</t>
  </si>
  <si>
    <t>Dylan M. Dalzell</t>
  </si>
  <si>
    <t>http://www.fatalencounters.org/wp-content/uploads/2013/10/Dylan-M.-Dalzell.jpg</t>
  </si>
  <si>
    <t>7208 Shelbyville Rd</t>
  </si>
  <si>
    <t>Simpsonville</t>
  </si>
  <si>
    <t>Kentucky State Police say Dylan M. Dalzell broke into a small-town Kentucky church and was holding a crowbar and moving toward a sheriff's deputy when the deputy shot and killed him.</t>
  </si>
  <si>
    <t>http://abcnews.go.com/US/wireStory/latest-man-crowbar-shot-officer-church-43938368</t>
  </si>
  <si>
    <t>Derek Lynn Scott</t>
  </si>
  <si>
    <t>http://www.fatalencounters.org/wp-content/uploads/2013/10/Derek-Lynn-Scott.jpg</t>
  </si>
  <si>
    <t>1401 Woodmont Drive</t>
  </si>
  <si>
    <t>Tuscumbia</t>
  </si>
  <si>
    <t>Tuscumbia Police Department</t>
  </si>
  <si>
    <t>Police suspected the driver and passenger, Scott, of having pot. As Scott was being searched, he pulled a gun, shot himself, and then was shot and killed by police.</t>
  </si>
  <si>
    <t>http://whnt.com/2016/12/02/breaking-officer-involved-shooting-under-investigation-in-tuscumbia/</t>
  </si>
  <si>
    <t>Paul Mebane</t>
  </si>
  <si>
    <t>11110 Causeway Blvd</t>
  </si>
  <si>
    <t>Deputies were contacted by Tampa police to locate Mebane who was reported to be suicidal. Deputies found the missing man's vehicle in a parking lot, and as they approached, they saw the man with a firearm in his hand. Deputies told him to drop the weapon, but he raised it instead, and one deputy shot and killed him.</t>
  </si>
  <si>
    <t>http://www.wtsp.com/news/crime/deputy-not-hurt-in-shooting-at-brandon-walmart/362274329</t>
  </si>
  <si>
    <t>Bruce R. Johnson II</t>
  </si>
  <si>
    <t>http://www.fatalencounters.org/wp-content/uploads/2013/10/Bruce-R.-Johnson-II.jpg</t>
  </si>
  <si>
    <t>413 East 52nd Street</t>
  </si>
  <si>
    <t>Johnson was suspected of shooting and killing Tacoma police officer Reginald Jake Gutierrez. He was shot and killed by police after an hours-long standoff.</t>
  </si>
  <si>
    <t>http://www.kiro7.com/news/local/reports-gunman-on-loose-after-tacoma-shooting/471880730</t>
  </si>
  <si>
    <t>Quinton Phillips</t>
  </si>
  <si>
    <t>http://www.fatalencounters.org/wp-content/uploads/2013/10/Quinton-Phillips.jpg</t>
  </si>
  <si>
    <t>Pope County Sheriff's Office</t>
  </si>
  <si>
    <t>Phillips was fatally shot by police after he fired a weapon toward sheriff's deputies, police said. According to police, he was shot when he confronted arriving officers while armed with a gun and ignored orders to drop the weapon.</t>
  </si>
  <si>
    <t>http://www.arkansasonline.com/news/2016/dec/01/state-police-en-route-shooting-pope-county-spokesm/?f=news-arkansas</t>
  </si>
  <si>
    <t>Jose Noe Barron Gomez</t>
  </si>
  <si>
    <t>http://www.fatalencounters.org/wp-content/uploads/2013/10/Jose-Noe-Barron-Gomez2.jpg</t>
  </si>
  <si>
    <t>4750 S Campbell Ave</t>
  </si>
  <si>
    <t>Two police officers were attempting to serve a felony arrest warrant to 27-year-old Jose N. Barron Gomez for aggravated assault with a dangerous instrument, when gunfire was exchanged. Gomez was shot and killed.</t>
  </si>
  <si>
    <t>http://www.tucsonnewsnow.com/story/33842487/two-tucson-police-officers-shot-suspect-has-life-threatening-injuries</t>
  </si>
  <si>
    <t>David K. Crosby-Dowdy</t>
  </si>
  <si>
    <t>http://www.fatalencounters.org/wp-content/uploads/2013/10/David-K.-Crosby-Dowdy.jpg</t>
  </si>
  <si>
    <t>Van Brunt Blvd and E 8 St</t>
  </si>
  <si>
    <t>Kansas City police patrol and street narcotics officers pulled over a car as part of a planned arrest. The man, a suspect in several robberies, had told police that he was armed and ready for a shootout with officers if they attempted to arrest him, police said. Initially, the man complied with the officers who pulled him over. The shooting happened when officers, both uniformed and in plain clothes, tried to remove the man from the car. Police shot the man as he reached for a gun.</t>
  </si>
  <si>
    <t>http://www.kansascity.com/news/local/crime/article117997383.html</t>
  </si>
  <si>
    <t>Daniel Landeros</t>
  </si>
  <si>
    <t>http://www.fatalencounters.org/wp-content/uploads/2013/10/Daniel-Landeros.jpg</t>
  </si>
  <si>
    <t>Elk Grove Boulevard and Ginther Drive</t>
  </si>
  <si>
    <t>Elk Grove Police Department</t>
  </si>
  <si>
    <t>A man was in multiple car crashes and fled from police on foot. He was tasered at least twice, killing him.</t>
  </si>
  <si>
    <t>http://www.sacbee.com/news/local/crime/article118172608.html</t>
  </si>
  <si>
    <t>Bradley King</t>
  </si>
  <si>
    <t>http://www.fatalencounters.org/wp-content/uploads/2013/10/BradleyKing.jpg</t>
  </si>
  <si>
    <t>Avon</t>
  </si>
  <si>
    <t>Hendricks County Sheriff's Office</t>
  </si>
  <si>
    <t>King, who suffered from mental illness, called police several times, and when they arrived, he met them with a knife and was shot and killed.</t>
  </si>
  <si>
    <t>http://www.theindychannel.com/news/crime/one-dead-in-officer-involved-shooting-in-hendricks-county</t>
  </si>
  <si>
    <t>Toby Cummins</t>
  </si>
  <si>
    <t>http://www.fatalencounters.org/wp-content/uploads/2013/10/Toby-Cummins.jpg</t>
  </si>
  <si>
    <t>Friendswood Police Department</t>
  </si>
  <si>
    <t>Police responded to reports of a theft. Cummins was armed with a box cutter, police said. They have not released information on what led to the shooting. Witnesses described seeing a man walking while a police officer chased him on foot. They say the man was ignoring the officer and at some point the officer drew his weapon.One witness said the officer began shooting when Cummins appeared to start throwing rocks at the officer. Cummins was killed.</t>
  </si>
  <si>
    <t>http://abc13.com/news/police-investigating-critical-incident-in-friendswood/1631210/</t>
  </si>
  <si>
    <t>Alexander Chance Partain</t>
  </si>
  <si>
    <t>http://www.fatalencounters.org/wp-content/uploads/2013/10/Alexander-Chance-Partain.jpg</t>
  </si>
  <si>
    <t>Bascomb Drive</t>
  </si>
  <si>
    <t>Iva</t>
  </si>
  <si>
    <t>A deputy had pulled the vehicle over just outside Iva city limits when a man in the car jumped out and ran into a wooded area. The man was later identified as Partain. There was a fight during the chase, and Partain was shot and killed.</t>
  </si>
  <si>
    <t>http://www.independentmail.com/story/news/2016/11/29/deputy-injured-after-shots-fired-near-iva/94610208/</t>
  </si>
  <si>
    <t>Michael McInnis</t>
  </si>
  <si>
    <t>451 Lynnway</t>
  </si>
  <si>
    <t>https://www.bostonglobe.com/metro/2016/11/29/police-officer-shoots-lynnway/xUZfuq5nMXTsPUfL7mWAMI/story.html</t>
  </si>
  <si>
    <t>Jason Stringer</t>
  </si>
  <si>
    <t>http://bloximages.newyork1.vip.townnews.com/stltoday.com/content/tncms/assets/v3/editorial/a/10/a10d941a-900a-5652-a074-e61b52a7719b/583db8c4de25c.image.jpg</t>
  </si>
  <si>
    <t>1511 Camp Jackson Road</t>
  </si>
  <si>
    <t>Cahokia</t>
  </si>
  <si>
    <t>An off-duty Washington Park officer, 53, whose name was not released, called police to report seeing a wanted man with a woman outside the store. Two Cahokia officers tried to take the suspect into custody, but he fled after a struggle. Cahokia Police Chief Dave Landmann said the man got into a vehicle and drove toward the Washington Park officer, who shot and killed him. Cahokia police did not shoot.</t>
  </si>
  <si>
    <t>http://www.bnd.com/news/local/article117611713.html</t>
  </si>
  <si>
    <t>Richard Grimes</t>
  </si>
  <si>
    <t>http://www.fatalencounters.org/wp-content/uploads/2013/10/Richard-Grimes.jpg</t>
  </si>
  <si>
    <t>Police responded to a call of the domestic battery in which a 24-year-old pregnant woman had been shot in the abdomen. Grimes left the scene but ran into officers in the first block of North Kenton, where he fired a handgun at the officers before running away. Grimes was spotted again in a gangway, where he again shot at the officers and was shot and killed.</t>
  </si>
  <si>
    <t>http://chicago.suntimes.com/news/person-shot-by-chicago-police-in-west-garfield-park/</t>
  </si>
  <si>
    <t>Abdul Razak Ali Artan</t>
  </si>
  <si>
    <t>http://www.fatalencounters.org/wp-content/uploads/2013/10/Abdul-Razak-Ali-Artan.jpg</t>
  </si>
  <si>
    <t>117 W 19th Ave</t>
  </si>
  <si>
    <t>Ohio State University Police Department</t>
  </si>
  <si>
    <t>Artan ran his car into a crowd at Ohio State University then got out and started slashing with a knife. He ran a short distance away before he was shot and killed.</t>
  </si>
  <si>
    <t>http://www.dispatch.com/content/stories/local/2016/11/28/active-shooter.html</t>
  </si>
  <si>
    <t>Irecas Rayshion "Suga Ray" Valentine</t>
  </si>
  <si>
    <t>http://www.charlotteobserver.com/news/local/article117578618.html</t>
  </si>
  <si>
    <t>Pablo Renato Cartagena</t>
  </si>
  <si>
    <t>http://www.fatalencounters.org/wp-content/uploads/2013/10/Pablo-Renato-Cartagena.jpg</t>
  </si>
  <si>
    <t>Maple Ave &amp; E 27th St</t>
  </si>
  <si>
    <t>Police spotted a man who they believed was about to burglarize a vehicle. When the officers stopped their own vehicle to investigate, the man ran away, police said. Police briefly chased the man on foot to the back of a nearby home, and when they got to the rear of that residence, they shot and killed the man.</t>
  </si>
  <si>
    <t>http://ktla.com/2016/11/28/man-shot-dead-by-police-during-foot-chase-in-historic-south-central-lapd/</t>
  </si>
  <si>
    <t>Norman J. Strobel</t>
  </si>
  <si>
    <t>http://www.fatalencounters.org/wp-content/uploads/2013/10/norman-strobel.jpg</t>
  </si>
  <si>
    <t>73 Songo School Rd</t>
  </si>
  <si>
    <t>Strobel shot his ex-girlfriend's daughter's boyfriend and killed his own roommate before he was shot and killed by police.</t>
  </si>
  <si>
    <t>http://www.wcsh6.com/news/local/windham/deputies-shoot-and-kill-man-in-naples-after-exchange-of-gunfire/356211728</t>
  </si>
  <si>
    <t>Terrell Walker</t>
  </si>
  <si>
    <t>United Plaza Boulevard and Essen Lane</t>
  </si>
  <si>
    <t>Walker first killed his girlfriend, April Peck, and then was killed in a gunfight with deputies later.</t>
  </si>
  <si>
    <t>http://www.theadvocate.com/baton_rouge/news/crime_police/article_afa3af80-b4fd-11e6-86ea-5fc86837b8ba.html</t>
  </si>
  <si>
    <t>Walter R. Echols</t>
  </si>
  <si>
    <t>395 KS-7</t>
  </si>
  <si>
    <t>Police say a man swung a stick at an officer at Walmart, and he was shot and killed.</t>
  </si>
  <si>
    <t>http://fox4kc.com/2016/11/27/breaking-officer-involved-shooting-at-olathe-wal-mart/</t>
  </si>
  <si>
    <t>Derek Adame</t>
  </si>
  <si>
    <t>http://www.fatalencounters.org/wp-content/uploads/2013/10/Adame.jpg</t>
  </si>
  <si>
    <t>N 177th Ave and W Voltaire St</t>
  </si>
  <si>
    <t>Police were called after receiving reports about a suspicious car. When officers arrived, Adame began being combative and attempted to drive away from the area. An officer shot and killed Adame.</t>
  </si>
  <si>
    <t>http://www.abc15.com/news/region-west-valley/surprise/surprise-police-shoot-and-kill-suspect-that-injured-officer-while-trying-to-flee-scene</t>
  </si>
  <si>
    <t>Cleotha Mitchell</t>
  </si>
  <si>
    <t>http://www.fatalencounters.org/wp-content/uploads/2013/10/Cleotha-Mitchell.jpg</t>
  </si>
  <si>
    <t>W Harrison St and Central Park Avenue</t>
  </si>
  <si>
    <t>Officers were responding to a call of gunfire. When they arrived, they saw a man shooting another man while standing over him, police said. The officers left their vehicles and shot and killed him.</t>
  </si>
  <si>
    <t>http://www.chicagotribune.com/news/local/breaking/ct-police-involved-fatal-shooting-20161125-story.html</t>
  </si>
  <si>
    <t>Jerome Chris Harmon</t>
  </si>
  <si>
    <t>Old Airport Road and Att Avenue</t>
  </si>
  <si>
    <t>Forrest</t>
  </si>
  <si>
    <t>Hattiesburg Police Department</t>
  </si>
  <si>
    <t>A Hattiesburg police officer spotted someone driving down the road who appeared to be a suspect in a burglary and credit card fraud, police said. When the officers attempted to stop him, he fled. Harmon's vehicle eventually was stopped, and he fled on foot. He allegedly fired shots at the officer in pursuit, who shot and killed him.</t>
  </si>
  <si>
    <t>http://www.clarionledger.com/story/news/local/2016/11/25/injured-officer-involved-shooting-hub-city/94444704/</t>
  </si>
  <si>
    <t>Carlos Valencia</t>
  </si>
  <si>
    <t>http://www.fatalencounters.org/wp-content/uploads/2013/10/Carlos-Valencia.jpg</t>
  </si>
  <si>
    <t>29th Street &amp; 6th Avenue</t>
  </si>
  <si>
    <t>Officers were responding to a call about a man's erratic behavior at the Gospel Rescue Mission. The man fought officers who were attempting to take him into custody, using pepper spray and Tasers, and he was shot and killed.</t>
  </si>
  <si>
    <t>http://www.tucsonnewsnow.com/story/33792494/suspect-shot-by-police-officer-in-south-tucson</t>
  </si>
  <si>
    <t>Logan Ron Augustine</t>
  </si>
  <si>
    <t>5101 Marconi Ave</t>
  </si>
  <si>
    <t>Augustine was upset about national events when he called police. When he began stabbing himself, he was shot and killed.</t>
  </si>
  <si>
    <t>http://www.kcra.com/article/officer-involved-shooting-investigated-in-carmichael/8364155</t>
  </si>
  <si>
    <t>Don Fitzgerald White</t>
  </si>
  <si>
    <t>238 Summar Dr</t>
  </si>
  <si>
    <t>According to police, Don Fitzgerald White was being treated at Pathways and stabbed an employee with a knife. Two officers from the Jackson Police Department responded to the scene, where, during an exchange with White, the situation escalated and resulted in at least one of the officers shooting and killing White.</t>
  </si>
  <si>
    <t>http://www.tennessean.com/story/life/2016/11/24/pathways-employee-stabbed-suspect-shot-police/94395888/</t>
  </si>
  <si>
    <t>Kajuan Raye</t>
  </si>
  <si>
    <t>http://www.fatalencounters.org/wp-content/uploads/2013/10/Kajuan-Raye.jpg</t>
  </si>
  <si>
    <t>6500 S. Marshfield Ave</t>
  </si>
  <si>
    <t>Police were responding to a call of a battery in progress when a police sergeant saw a man matching the suspect's description. When the sergeant said he was an officer, police say that Raye ran off. During the foot chase, the sergeant says Raye pointed a weapon at him twice, and he shot and killed him in an alley.</t>
  </si>
  <si>
    <t>http://wgntv.com/2016/11/24/19-year-old-fatally-shot-by-chicago-police-in-west-englewood/</t>
  </si>
  <si>
    <t>William J. Beavers</t>
  </si>
  <si>
    <t>4280 Mallory Drive</t>
  </si>
  <si>
    <t>Police responded to a domestic dispute. Beavers greeted them with a knife, refusing to put it down. He was shot and killed.</t>
  </si>
  <si>
    <t>http://www.tampabay.com/news/publicsafety/crime/deputy-involved-shooting-at-st-petersburg-apartment/2304007</t>
  </si>
  <si>
    <t>David Leroy Thelen</t>
  </si>
  <si>
    <t>306 Beeline Road</t>
  </si>
  <si>
    <t>Ottawa County Sheriff's Office</t>
  </si>
  <si>
    <t>Police were responding to a medical call. Thelen met them at the door with a knife and was shot and killed.</t>
  </si>
  <si>
    <t>http://woodtv.com/2016/11/23/man-killed-in-holland-twp-officer-involved-shooting/</t>
  </si>
  <si>
    <t>Ivory C. Pantallion III</t>
  </si>
  <si>
    <t>http://www.fatalencounters.org/wp-content/uploads/2013/10/Ivory-C.-Pantallion-III.jpg</t>
  </si>
  <si>
    <t>I-10 &amp; N. Main Street</t>
  </si>
  <si>
    <t>A chase started when its deputies tried to carry out a traffic stop. The man refused to pull over, however, and led authorities westbound into Chambers County and then Baytown. Once in Baytown, deputies say the suspect tried to hit an officer who was trying to set up a spike strip to stop the speeding SUV. Eventually he wrecked and then allegedly exchanged gunfire with police and was killed.</t>
  </si>
  <si>
    <t>http://www.khou.com/news/crime/shots-fired-at-end-of-chase-near-baytown/354912360</t>
  </si>
  <si>
    <t>Talif Scudder</t>
  </si>
  <si>
    <t>18th Ave and Alexander St</t>
  </si>
  <si>
    <t>Talif Scudder was shot and killed by an officer who was responding to a scene at which a 16-year-old male was allegedly shot by Scudder.</t>
  </si>
  <si>
    <t>http://www.northjersey.com/story/news/crime/2016/11/22/authorities-responding-newark-shooting/94304716/</t>
  </si>
  <si>
    <t>Greta Kurian</t>
  </si>
  <si>
    <t>http://www.fatalencounters.org/wp-content/uploads/2013/10/Greta-Kurian.jpg</t>
  </si>
  <si>
    <t>http://www.latimes.com/local/lanow/la-me-ln-south-gate-cop-dead-20161122-story.html</t>
  </si>
  <si>
    <t>Mark Daniel Sly</t>
  </si>
  <si>
    <t>13550 S. Beach Blvd.</t>
  </si>
  <si>
    <t>La Mirada</t>
  </si>
  <si>
    <t>Deputies received a call about a robbery in progress at the gas station. After firing at police, Sly was shot and killed.</t>
  </si>
  <si>
    <t>http://www.pasadenastarnews.com/general-news/20161122/la-mirada-standoff-ends-after-robbery-suspect-is-shot-and-killed-by-deputies</t>
  </si>
  <si>
    <t>Sarah Palmer</t>
  </si>
  <si>
    <t>Hoquiam</t>
  </si>
  <si>
    <t>Grays Harbor</t>
  </si>
  <si>
    <t>Hoquiam Police Department</t>
  </si>
  <si>
    <t>Two women in a Hoquiam group home for "patients dealing with chronic mental health issues." While one of the women was being treated by paramedics, TK became combative, according to police. The officers struggled with her as she fought with the officers. The officers tasered her, and after they wrestled her to the floor, she was handcuffed and died.</t>
  </si>
  <si>
    <t>http://www.thedailyworld.com/news/woman-dies-after-altercation-with-hoquiam-police/</t>
  </si>
  <si>
    <t>Elijah Cobb</t>
  </si>
  <si>
    <t>1501 Research Forest Dr</t>
  </si>
  <si>
    <t>Shenandoah</t>
  </si>
  <si>
    <t>Raising Cane's locations had been robbed over the last few weeks and this location hired an off-duty Montgomery County Sheriff's deputy to act as security. When the man came in he had a gun and grabbed an employee. The deputy told him to drop his weapon and shot and killed the would-be robber.</t>
  </si>
  <si>
    <t>http://abc13.com/news/multiple-people-hurt-at-raising-canes-in-the-woodlands/1621556/</t>
  </si>
  <si>
    <t>Brockton Police Department, Massachusetts State Police Department</t>
  </si>
  <si>
    <t>St. Charles Police Department</t>
  </si>
  <si>
    <t>Michigan State Police Department, Northfield Township Police Department</t>
  </si>
  <si>
    <t>Rochester, MN Police Department</t>
  </si>
  <si>
    <t>Judy Boardman Hundley</t>
  </si>
  <si>
    <t>http://www.khou.com/news/crime/officer-involved-shooting-reported-in-brazoria-co/379304180</t>
  </si>
  <si>
    <t>Brazoria County Sheriff's Department</t>
  </si>
  <si>
    <t>2400 CR 90</t>
  </si>
  <si>
    <t>13000 Brookview Drive</t>
  </si>
  <si>
    <t>3200 Walnut Street NE</t>
  </si>
  <si>
    <t>3400 Greenglade Avenue</t>
  </si>
  <si>
    <t>84000 12th Street</t>
  </si>
  <si>
    <t>400 Vine Street</t>
  </si>
  <si>
    <t>3100 US-35</t>
  </si>
  <si>
    <t>2300 Waterloo Rd</t>
  </si>
  <si>
    <t>200 East Emil St</t>
  </si>
  <si>
    <t>500 N. Imperial Avenue</t>
  </si>
  <si>
    <t>900 La Verne Avenue</t>
  </si>
  <si>
    <t>3900 Grand Ave</t>
  </si>
  <si>
    <t>15600 Windrush Dr</t>
  </si>
  <si>
    <t>7900 Silver Birch Ave</t>
  </si>
  <si>
    <t>1700 Alta Vista Road</t>
  </si>
  <si>
    <t>2700 Norton Street</t>
  </si>
  <si>
    <t>100 East Robie St</t>
  </si>
  <si>
    <t>200 N Arbor Ridge Dr</t>
  </si>
  <si>
    <t>1500 Commerce St</t>
  </si>
  <si>
    <t>800 Bedrock Dr</t>
  </si>
  <si>
    <t>4000 Picciola Rd</t>
  </si>
  <si>
    <t>600 Lantern Ln</t>
  </si>
  <si>
    <t>1800 DeCamp Avenue</t>
  </si>
  <si>
    <t>3199 Hudson-Aurora Road</t>
  </si>
  <si>
    <t>2200 Morgan Rd</t>
  </si>
  <si>
    <t>99 South Friendswood Drive</t>
  </si>
  <si>
    <t>1200 Sheffield Drive</t>
  </si>
  <si>
    <t>1100 15th Street NE</t>
  </si>
  <si>
    <t>4500 West Washington Boulevard</t>
  </si>
  <si>
    <t>1000 Park Avenue</t>
  </si>
  <si>
    <t>300 N Street</t>
  </si>
  <si>
    <t>Police say the woman then raised her gun and pointed it in the direction of the deputies. Two officers discharged their weapons, striking the woman. The woman was reportedly unresponsive following the gunfire.</t>
  </si>
  <si>
    <t>Pearland</t>
  </si>
  <si>
    <t>Alfonso Lopez</t>
  </si>
  <si>
    <t>http://chicago.suntimes.com/news/police-involved-shooting-in-north-riverside-under-investigation/</t>
  </si>
  <si>
    <t>As officers closed in on the suspect, he grabbed an elderly man and held him at knifepoint in an attempt to use him as a human shield,” police said.</t>
  </si>
  <si>
    <t>7201 W. 24th St</t>
  </si>
  <si>
    <t>North Riverside</t>
  </si>
  <si>
    <t>North Riverside Police Department</t>
  </si>
  <si>
    <t>Jake Childers</t>
  </si>
  <si>
    <t>http://www.caller.com/story/news/crime/2016/12/27/sheriff-inmate-escaped-through-patrol-vehicle-window/95879354/</t>
  </si>
  <si>
    <t>Jake Childers, an escaped inmate, went down after being shot in an exchange of gunfire with the DPS SWAT team in Atascosa County at 9:15 p.m., officials said. He was pronounced dead at 10:47 p.m.</t>
  </si>
  <si>
    <t>David Carver</t>
  </si>
  <si>
    <t>http://www.wkyt.com/content/news/Prison-inmate-from-Kentucky-State-Reformatory-dies-408487025.html</t>
  </si>
  <si>
    <t>KSP say state troopers tried to negotiate with Carver for about two hours. As negotiations deteriorated, CERT officers took over for state troopers and resumed negotiations.
After negotiations deteriorated again, KSP say a CERT officer shot Carver because he made an aggressive move toward the officer with the edged weapon.</t>
  </si>
  <si>
    <t>Oldham</t>
  </si>
  <si>
    <t>3001 W Hwy 146</t>
  </si>
  <si>
    <t>La Grange</t>
  </si>
  <si>
    <t>http://www.newscenter1.tv/story/34149961/tribal-officer-investigated-after-fatal-shooting-in-kyle</t>
  </si>
  <si>
    <t>An Oglala Sioux Tribal public safety officer was on patrol in Kyle Tuesday evening. He reportedly had a gun pulled on him by the man to whom he was speaking. The officer drew his own gun, firing at least three rounds, resulting in the man's death.</t>
  </si>
  <si>
    <t>Oglala Sioux Tribal Police</t>
  </si>
  <si>
    <t>Christopher Blake Tucker</t>
  </si>
  <si>
    <t>1100 Weaver Farm Ln</t>
  </si>
  <si>
    <t>Spring Hill Police Department</t>
  </si>
  <si>
    <t>An officer shot and killed Tucker while responding to a domestic disturbance call at Tucker's home, authorities said.</t>
  </si>
  <si>
    <t>http://www.tennessean.com/story/news/crime/2016/12/29/tbi-investigating-officer-involved-shooting-spring-hill/95951040/</t>
  </si>
  <si>
    <t>James Rich II</t>
  </si>
  <si>
    <t>200 Edmore Rd</t>
  </si>
  <si>
    <t>Chestertown</t>
  </si>
  <si>
    <t>Queen Anne's County Sheriff's Office</t>
  </si>
  <si>
    <t>Rich's girlfriend asked her father to call police after Rich was violent toward her, authorities said. When deputies went with the woman to Rich's home so she could pick up her belongings, she and Rich began to argue before Rich retrieved a shotgun, according to police. Rich and deputies exchanged gunfire, and Rich was killed and a deputy critically injured.</t>
  </si>
  <si>
    <t>http://www.baltimoresun.com/news/maryland/crime/bs-md-chestertown-shooting-20161229-story.html</t>
  </si>
  <si>
    <t>Queen Anne</t>
  </si>
  <si>
    <t>John Sellinger</t>
  </si>
  <si>
    <t>http://wfla.com/2016/12/30/man-dies-after-pulling-free-of-taser-suffering-medical-emergency-in-pasco-co/</t>
  </si>
  <si>
    <t>When the deputy made contact, the subject allegedly refused to follow commands.  The man resisted violently, so the deputy deployed his Taser.</t>
  </si>
  <si>
    <t xml:space="preserve">Police were responding to a report of a robbery at a nearby 99 Cents Only store where the suspect was allegedly putting items into his pockets. An employee confronted the man and that's when police say the suspect threatened the employee with a knife and left the store. Officers were able to obtain a description of the suspect and located a man matching that description a few blocks south of the store. Officers tried to stun the suspect, but police say the suspect covered himself with a blanket before one officer fired at him. </t>
  </si>
  <si>
    <t>http://www.12news.com/news/local/valley/robbery-suspect-shot-killed-by-phoenix-officer/380656402</t>
  </si>
  <si>
    <t>12th Street and Wagon Wheel Drive</t>
  </si>
  <si>
    <t>Jamal Robbins</t>
  </si>
  <si>
    <t>http://www.miamiherald.com/news/local/community/miami-dade/homestead/article123920894.html</t>
  </si>
  <si>
    <t>Carlos Rosario, the spokesman, said officers pulled Rollins over because he was driving erratically. A passenger got out and fled, then Rollins jumped out and “produced a firearm,” Rosario said. His family says his hands were up and he was unarmed.</t>
  </si>
  <si>
    <t>10100 West Indigo Street</t>
  </si>
  <si>
    <t>Ricky Kevin Whidden</t>
  </si>
  <si>
    <t>http://www.wptv.com/news/region-c-palm-beach-county/loxahatchee-acreage/man-dies-in-pbso-deputy-involved-shooting-in-loxahatchee</t>
  </si>
  <si>
    <t>Loxahatchee</t>
  </si>
  <si>
    <t>13000 Compton Road</t>
  </si>
  <si>
    <t>When deputies approached the male in an attempt to take him into custody, PBSO says he jumped up and lunged at the deputies. One deputy discharged his firearm, striking the male.</t>
  </si>
  <si>
    <t>Jason Michael Robison</t>
  </si>
  <si>
    <t>http://www.philly.com/philly/news/breaking/20161230_ap_d9415431087442f0915193b8798c19c9.html</t>
  </si>
  <si>
    <t>"Robison refused commands to surrender, made threats to harm additional law enforcement personnel, and was shot and killed in the ensuing confrontation," police said.</t>
  </si>
  <si>
    <t>Huntingdon</t>
  </si>
  <si>
    <t>Juniata</t>
  </si>
  <si>
    <t>http://www.startribune.com/man-shot-killed-by-mankato-police-officer/408990475/</t>
  </si>
  <si>
    <t>Mankato Police Department</t>
  </si>
  <si>
    <t>http://wkrg.com/2016/12/31/home-intruder-shot-and-killed-in-pensacola/</t>
  </si>
  <si>
    <t>3 Talladega Trail</t>
  </si>
  <si>
    <t>Hwy. 22</t>
  </si>
  <si>
    <t>When officers arrived, they got into an altercation with the man, and one officer shot him, authorities said. They did not say what preceded the shooting or whether the man threatened officers in some way.</t>
  </si>
  <si>
    <t xml:space="preserve">Le Sueur </t>
  </si>
  <si>
    <t>Chase Tuseth</t>
  </si>
  <si>
    <t>Daniel Daily</t>
  </si>
  <si>
    <t>Dustin Selby</t>
  </si>
  <si>
    <t>Julio Bald Eagle</t>
  </si>
  <si>
    <t>Jose Sanchez</t>
  </si>
  <si>
    <t>Luis Ambrosio-Aguilar</t>
  </si>
  <si>
    <t>Chassady LeClair</t>
  </si>
  <si>
    <t>Fidel Barrios</t>
  </si>
  <si>
    <t>Andrew Depeiza</t>
  </si>
  <si>
    <t>Junef Monzon</t>
  </si>
  <si>
    <t>Christian Vargas</t>
  </si>
  <si>
    <t>http://ak-cache.legacy.net/legacy/images/cobrands/nola/photos/photo_20160831_w0013810_0_20160831.jpgx?w=130&amp;h=180&amp;option=1&amp;v=0x000000003894b582</t>
  </si>
  <si>
    <t>https://d2g8igdw686xgo.cloudfront.net/16483446_1480785579.0719_funddescription.jpg</t>
  </si>
  <si>
    <t>https://2dbdd5116ffa30a49aa8-c03f075f8191fb4e60e74b907071aee8.ssl.cf1.rackcdn.com/9446073_1456375833.9439_funddescription.png</t>
  </si>
  <si>
    <t>U.S. Border Patrol and California Highway Patrol, El Centro Police Department</t>
  </si>
  <si>
    <t>Alonzo E. Ashley Jr.</t>
  </si>
  <si>
    <t>E 113th St &amp; Corrington Ave</t>
  </si>
  <si>
    <t>Police responded to a shots-fired call. When they arrived, they found a man on the porch of a home shooting a rifle. Police say they told the man to drop the gun, but he pointed it in their direction and officers shot him.</t>
  </si>
  <si>
    <t>http://www.kshb.com/news/local-news/man-killed-in-officer-involved-shooting-after-firing-rifle-off-porch</t>
  </si>
  <si>
    <t>Andrew Ryan McLendon</t>
  </si>
  <si>
    <t>http://www.fatalencounters.org/wp-content/uploads/2013/10/Andrew-Ryan-McLendon.png</t>
  </si>
  <si>
    <t>Cape Girardeau Police Department</t>
  </si>
  <si>
    <t>Police were investigating suspicious activity at a on La Petite Court. An officer encountered Andrew McClendon holding a knife. Police said McClendon was walking towards the officer in a threatening manner and was shot and killed.</t>
  </si>
  <si>
    <t>http://www.wpsdlocal6.com/story/34518287/deadly-shooting-in-cape-under-investigation</t>
  </si>
  <si>
    <t>Angel Ramos</t>
  </si>
  <si>
    <t>http://www.fatalencounters.org/wp-content/uploads/2013/10/Angel-Ramos.png</t>
  </si>
  <si>
    <t>Ramos was apparently fighting with a boy and was on top of him with a knife when police shot and killed him.</t>
  </si>
  <si>
    <t>http://kron4.com/2017/01/23/vallejo-21-year-old-dies-in-officer-involved-shooting/</t>
  </si>
  <si>
    <t>Antonio Arturo Perez Garcia</t>
  </si>
  <si>
    <t>Alta Vista Dr &amp; Niles Pl</t>
  </si>
  <si>
    <t>Two officers were looking for a suspect wanted in connection with an attempted homicide that occurred in December. Officers saw a man driving a vehicle matching the description of the wanted suspect. When officers attempted to stop him, the driver fled and eventually crashed on the overpass on Highway 178 near Niles Street and Alta Vista. According to police, the suspect got out of his car and ran from the officers. An officer said he had pointed a gun at them and shot and killed him.</t>
  </si>
  <si>
    <t>http://bakersfieldnow.com/news/local/police-investigating-a-shooting-in-northeast-bakersfield</t>
  </si>
  <si>
    <t>Armond Jairon Brown</t>
  </si>
  <si>
    <t>Police were called to a home for "assistance to the residents concerning an individual with a history of mental illness," police said. When officers arrived, Armond Brown, 25, who lived at the home, was inside. Family said Brown was not taking his prescribed medications, had not bathed, had limited sleep and was talking about having spiritual powers. After police said they had tried multiple methods to end the standoff, Armond came out of the home and charged at police. He was armed with two knives and was shot and killed.</t>
  </si>
  <si>
    <t>http://www.wwltv.com/news/local/jefferson/mentally-ill-man-fatally-shot-after-charging-at-police/392077868</t>
  </si>
  <si>
    <t>Arties Manning III</t>
  </si>
  <si>
    <t>http://www.fatalencounters.org/wp-content/uploads/2013/10/Arties-Manning-III.png</t>
  </si>
  <si>
    <t>Police were looking for two armed robbery suspects. The suspects fled, and in pursuit, an officer saw a gun and shot and killed Manning.</t>
  </si>
  <si>
    <t>http://www.nola.com/crime/index.ssf/2017/01/new_orleans_shooting_little_wo_1.html</t>
  </si>
  <si>
    <t>Bartolo Justice Sambrano</t>
  </si>
  <si>
    <t>http://www.fatalencounters.org/wp-content/uploads/2013/10/Bartolo-Justice-Sambrano.jpg</t>
  </si>
  <si>
    <t>313 E 23rd St</t>
  </si>
  <si>
    <t>Police were patrolling the area when they noticed two men prowling around parked cars and confronted them, police said. The men ran in different directions. One of the men was running toward officers as they came around a corner, pulled a handgun and pointed it toward the officers, and he was shot and killed.</t>
  </si>
  <si>
    <t>http://www.standard.net/Police-Fire/2017/02/22/Ogden-police-shoot-kill-man-in-Junction-parking-garage.html</t>
  </si>
  <si>
    <t>Bradley Ross Nelson</t>
  </si>
  <si>
    <t>Mount Joy Rd and S Main St</t>
  </si>
  <si>
    <t>Mount Pleasant</t>
  </si>
  <si>
    <t>Mount Pleasant Police Department</t>
  </si>
  <si>
    <t>A Mt. Pleasant police officer attempted to stop a suspected DUI driver. However, the driver did not immediately stop and allegedly led the officer on a brief pursuit. Bradley Ross Nelson got out of his car and showed the officers he was carrying a weapon. Nelson was shot and killed.</t>
  </si>
  <si>
    <t>http://www.wmcactionnews5.com/story/34451720/tbi-officer-involved-shooting-reported-in-mt-pleasant</t>
  </si>
  <si>
    <t>Bruce Altenburger</t>
  </si>
  <si>
    <t>Police were called for a report of a "distraught" and potentially armed man, according to police. Arriving officers encountered the man, who was armed with a handgun, and shot and killed him. No other details were immediately released.</t>
  </si>
  <si>
    <t>http://www.delawareonline.com/story/news/crime/2017/01/23/wilmington-police-fatally-shoot-armed-man-near-trolley-square/96974292/</t>
  </si>
  <si>
    <t>Bryan Carreno</t>
  </si>
  <si>
    <t>http://www.fatalencounters.org/wp-content/uploads/2013/10/Bryan-Carreno.png</t>
  </si>
  <si>
    <t>Goleta</t>
  </si>
  <si>
    <t>According to the Santa Barbara County Sheriff's Office, deputies were called to a home in North La Cumbre Road by a family member "who reported that Carreno was inside the garage and was hallucinating, acting out and possibly under the influence of drugs." Deputies spent several hours tracking the man who was reportedly jumping fences and going in houses and at one point was on the roof of a home. Deputies found Bryan Carreno inside a residence where he was killed by deputies when he charged at them with a knife.</t>
  </si>
  <si>
    <t>http://www.keyt.com/news/man-killed-by-sheriffs-deputies-in-santa-barbara-identified/331171899</t>
  </si>
  <si>
    <t>Carlos A. Cruz</t>
  </si>
  <si>
    <t>18926 E 37th Ter S</t>
  </si>
  <si>
    <t>Police were called regarding an armed, suicidal man. When officers arrived they encountered a man outside an apartment armed with a shotgun. Officers removed other occupants of the apartment to a safe location. As the officers began to communicate with the man he pointed the shotgun in the direction of the officers and one of the officers shot and killed him.</t>
  </si>
  <si>
    <t>http://www.kshb.com/news/local-news/police-shoot-kill-armed-suicidal-man</t>
  </si>
  <si>
    <t>Carlos Keith Blackman</t>
  </si>
  <si>
    <t>Bernau Ave and Baker St</t>
  </si>
  <si>
    <t>Passenger Carlos Blackman fled a traffic stop on foot. Police said he fought with an officer and was shot and killed.</t>
  </si>
  <si>
    <t>http://www.greensboro.com/news/suspect-who-shot-greensboro-police-officer-during-traffic-stop-dies/article_243c5e7a-435b-5309-97d4-3d40da2860f4.html</t>
  </si>
  <si>
    <t>Chad Erik Roberts</t>
  </si>
  <si>
    <t>I-75, Wade Green Road</t>
  </si>
  <si>
    <t>Kennesaw</t>
  </si>
  <si>
    <t>Canton police found the driver parked outside a closed business. After speaking to the officer, the driver sped off, striking the officer as he left, police said. Police used a tire deflating device to stop the car. The man got out of his car with a gun in hand. Two Woodstock police officers shot and killed him.</t>
  </si>
  <si>
    <t>http://www.ajc.com/news/crime--law/cherokee-county-police-chase-ends-with-driver-fatally-shot-officer-wounded/ccnNLcAXEfvvkIicNUslYL/</t>
  </si>
  <si>
    <t>Charles Christopher McClure</t>
  </si>
  <si>
    <t>East Stateline Drive</t>
  </si>
  <si>
    <t>Fulton Police Department</t>
  </si>
  <si>
    <t>A man was in the street with pole, smashing in windows of passing cars. The man attacked police, and he was shot and killed.</t>
  </si>
  <si>
    <t>http://www.wpsdlocal6.com/story/34270275/officer-involved-shooting-under-investigation-in-fulton-kentucky</t>
  </si>
  <si>
    <t>Christopher Dalton Sexton</t>
  </si>
  <si>
    <t>222 Sequoyah Rd</t>
  </si>
  <si>
    <t>Soddy Daisy</t>
  </si>
  <si>
    <t>Sexton violated a protection order, prompting an attempted arrest, a chase, and finally, his death at the hands of police.</t>
  </si>
  <si>
    <t>http://www.wrcbtv.com/story/34282397/officer-involved-shooting-in-soddy-daisy</t>
  </si>
  <si>
    <t>Christopher Garza</t>
  </si>
  <si>
    <t>http://www.fatalencounters.org/wp-content/uploads/2013/10/Christopher-Garza.jpg</t>
  </si>
  <si>
    <t>Arroyo Verde Dr</t>
  </si>
  <si>
    <t>Fritch</t>
  </si>
  <si>
    <t>Hutchinson County Sheriff's Office</t>
  </si>
  <si>
    <t>Christopher Garza was the focus of a large manhunt after shooting at a county sheriff. Borger Police Captain Brandon Strope Garza, 44, exchanged fire with a county sheriff. Garza was killed during the exchange.</t>
  </si>
  <si>
    <t>http://www.newschannel10.com/story/34302630/suspect-in-large-manhunt-shot-and-killed</t>
  </si>
  <si>
    <t>Christopher Mark Thompkins</t>
  </si>
  <si>
    <t>129 Finley St</t>
  </si>
  <si>
    <t>http://www.post-gazette.com/local/city/2017/01/22/Larimer-man-dies-during-alleged-burglary-attempt/stories/201701220223</t>
  </si>
  <si>
    <t>Christopher Warner</t>
  </si>
  <si>
    <t>Carmenita Road and 183rd St</t>
  </si>
  <si>
    <t>Police officers approached a home near Carmenita Road and 183rd Street about 4:45 a.m. to serve a warrant regarding a narcotics investigation, police said. Somebody shot at them, and police returned fire, but it was at first unclear if the gunman was hit. None of the officers were struck. About 1 p.m., officers entered the home and found Christopher Warner dead with a gunshot wound to his upper torso.</t>
  </si>
  <si>
    <t>http://www.ocregister.com/articles/beach-744322-officers-suspect.html</t>
  </si>
  <si>
    <t>Cole Wooley</t>
  </si>
  <si>
    <t>Commerce City</t>
  </si>
  <si>
    <t>Commerce City Police Department</t>
  </si>
  <si>
    <t>Commerce City police responded to a home on a report of a man with a gun who had threatened a woman. When they arrived at the home, officers spotted the suspect in the doorway with a handgun, police said. The man threatened the officers and was shot and killed.</t>
  </si>
  <si>
    <t>http://www.thedenverchannel.com/news/local-news/police-man-with-gun-dead-after-being-shot-by-officers-in-commerce-city</t>
  </si>
  <si>
    <t>Curtis Jamal Deal</t>
  </si>
  <si>
    <t>South Monroe Street and Frederick Avenue</t>
  </si>
  <si>
    <t>Curtis Deal jumped out of a vehicle being tailed by police in West Baltimore and was fatally shot by an officer after allegedly holding a handgun during a foot pursuit, police said.</t>
  </si>
  <si>
    <t>http://www.baltimoresun.com/news/maryland/crime/bs-md-ci-police-shooting-20170207-story.html</t>
  </si>
  <si>
    <t>Dale Hightower</t>
  </si>
  <si>
    <t>Gilmer</t>
  </si>
  <si>
    <t>Upshur County Sheriff's Office, Texas Department of Public Safety</t>
  </si>
  <si>
    <t>Upshur County deputies and a Texas Department of Public Safety trooper responded to a check welfare call. Dale Hightower, 53, was shot when he pointed a rifle at officers.</t>
  </si>
  <si>
    <t>https://www.news-journal.com/news/2017/jan/03/officer-involved-shooting-reported-upshur-county/</t>
  </si>
  <si>
    <t>Daniel Loren Rucker</t>
  </si>
  <si>
    <t>4300 Wingren Dr</t>
  </si>
  <si>
    <t>Police were called to the Homewood Suites by Hilton after shots were fired in one of the rooms. Officers identified the room and surrounded it when more shots were fired. Police say Rucker exited the room and failed to drop his handgun after being asked to do so by officers. At least one of the officers shot and killed him.</t>
  </si>
  <si>
    <t>http://www.nbcdfw.com/news/local/Officer-Involved-Shooting-Outside-Irving-Hotel-Police-412747883.html</t>
  </si>
  <si>
    <t>Daniel Scott Giberson</t>
  </si>
  <si>
    <t>http://www.fatalencounters.org/wp-content/uploads/2013/10/Daniel-Scott-Giberson.png</t>
  </si>
  <si>
    <t>Maple Acres Road</t>
  </si>
  <si>
    <t>West Virginia State Police, Princeton Police Department</t>
  </si>
  <si>
    <t>Daniel Scott Giberson, 25, was shot and killed by officers following a pursuit with state police and Princeton police that ended with Giberson allegedly threatening the officers with a knife he'd held to his own throat.</t>
  </si>
  <si>
    <t>http://wvmetronews.com/2017/01/08/bluefield-man-dead-in-officer-involved-shooting/</t>
  </si>
  <si>
    <t>Darryl L. Fuqua</t>
  </si>
  <si>
    <t>http://www.fatalencounters.org/wp-content/uploads/2013/10/Darryl-L.-Fuqua.png</t>
  </si>
  <si>
    <t>Bridgeton Police Department officers were pursuing a man when one of the officers fired their weapon, killing him, according to police. Police allegedly recovered a gun in the area where the man was killed.</t>
  </si>
  <si>
    <t>http://www.nj.com/cumberland/index.ssf/2017/02/man_dies_in_police-involved_shooting_authorities_s.html</t>
  </si>
  <si>
    <t>David Montano</t>
  </si>
  <si>
    <t>http://www.fatalencounters.org/wp-content/uploads/2013/10/David-Montaro-960.jpg</t>
  </si>
  <si>
    <t>2111 N. Spencer</t>
  </si>
  <si>
    <t>Newton Police and Harvey County Sheriff's deputies responded to a call of a shooting where they found three people who had been killed. Witnesses led police to the suspect in the murders, who confronted officers with a shotgun. David Montano was shot and killed.</t>
  </si>
  <si>
    <t>http://www.wibw.com/content/news/Four-dead-including-suspect-in-Newton-officer-involved-shooting-414582423.html</t>
  </si>
  <si>
    <t>David Wesley Carroll</t>
  </si>
  <si>
    <t>Collinsworth Rd &amp; I-85 &amp; GA-403</t>
  </si>
  <si>
    <t>Sharpsburg</t>
  </si>
  <si>
    <t>Fayette County Sheriff's Office, Coweta County Sheriff's Office, Georgia State Patrol</t>
  </si>
  <si>
    <t>After a crash, a chase, a home invasion, and a roadblock, a man fired on police and was shot and killed.</t>
  </si>
  <si>
    <t>http://www.11alive.com/news/local/officer-involved-shooting-investigation-underway-in-fayette-co/386633926</t>
  </si>
  <si>
    <t>Davion Henderson</t>
  </si>
  <si>
    <t>Police were pursuing a stolen vehicle. When it crashed, one of the men allegedly pointed a gun at police and was shot and killed.</t>
  </si>
  <si>
    <t>http://www.stltoday.com/news/local/crime-and-courts/man-fatally-shot-by-st-louis-officer-after-pointing-gun/article_5fd638b7-df3f-5298-8587-540a6e3a3952.html</t>
  </si>
  <si>
    <t>Dexter Martin Dumarce</t>
  </si>
  <si>
    <t>5th Ave and Walnut St</t>
  </si>
  <si>
    <t>An officer stopped "a suspicious suspect." The officer notified responding backup officers the subject had pulled a knife on him and was fleeing on foot. The foot chase ended at Fifth Avenue and Walnut Street, where multiple officers used their Tasers, but they were ineffective. An officer shot and killed him.</t>
  </si>
  <si>
    <t>http://www.spokesman.com/stories/2017/jan/15/man-shot-killed-by-spokane-police-officer-on-lower/</t>
  </si>
  <si>
    <t>Dominic Hodges</t>
  </si>
  <si>
    <t>72562 Twentynine Palms Hwy</t>
  </si>
  <si>
    <t>Twentynine Palms</t>
  </si>
  <si>
    <t>Police surrounded a Motel 6 to investigate a report of a man with a gun. A 39-year-old man from Yucca Valley was killed from gunfire after deputies said he fired upon them when they knocked on the motel room's door to investigate.</t>
  </si>
  <si>
    <t>http://www.kesq.com/news/crime/police-responding-to-twentynine-palms-shooting/273971220</t>
  </si>
  <si>
    <t>Don Clark</t>
  </si>
  <si>
    <t>http://www.fatalencounters.org/wp-content/uploads/2013/10/Don-Clark.jpg</t>
  </si>
  <si>
    <t>Police knocked on the door of a home, announced themselves and got no response, they used a battering ram on the door. That was met with a shots from inside. Clark was shot and killed.</t>
  </si>
  <si>
    <t>http://www.stltoday.com/news/local/crime-and-courts/st-louis-police-serving-search-warrant-come-under-fire-fatally/article_9f1522b2-cd29-56eb-a7eb-d2e80496b538.html</t>
  </si>
  <si>
    <t>Donald Parker Jr.</t>
  </si>
  <si>
    <t>http://www.fatalencounters.org/wp-content/uploads/2013/10/donald-parker-02082017.jpg</t>
  </si>
  <si>
    <t>State Route 101 and Golden Road</t>
  </si>
  <si>
    <t>Brookville</t>
  </si>
  <si>
    <t>Brookville Police Department</t>
  </si>
  <si>
    <t>A woman called police and said her grandson, Donald Parker, was acting strange. A deputy went to the home where Parker lived with his grandmother; Brookville police arrived as backup. Indiana State Police said Parker answered the door with a weapon, then came back with two weapons. He did not drop his weapons when police instructed him to do so, and was shot and killed by the Brookville officers.</t>
  </si>
  <si>
    <t>http://www.wcpo.com/news/crime/indiana-state-police-suspect-shot-by-police-taken-to-hospital</t>
  </si>
  <si>
    <t>Donovan Paul Scheurich Sr.</t>
  </si>
  <si>
    <t>Stanton Creek Road</t>
  </si>
  <si>
    <t>Millston</t>
  </si>
  <si>
    <t>Jackson County Sheriff's Office received a call of a suicidal person who was making threats against officers in the Town of Millston. Deputies say the person fired his weapon, and multiple deputies fired their weapons and killed him.</t>
  </si>
  <si>
    <t>http://www.weau.com/content/news/One-dead-after-officer-involved-shooting-near-Black-River-Falls-411886355.html</t>
  </si>
  <si>
    <t>Douglas Michael Smith</t>
  </si>
  <si>
    <t>http://www.fatalencounters.org/wp-content/uploads/2013/10/douglas-smith-2009.jpg</t>
  </si>
  <si>
    <t>2030 SW 170th Ave.</t>
  </si>
  <si>
    <t>Police first received a call about a man pointing a handgun from the roof of a home. The man, Douglas Michael Smith, was agitated, waving the gun and pointing it into the residence and towards the street, police said. Officers reportedly tried talking to Smith, but he refused to answer and pointed his gun towards them, police said. Smith fired one round into the house before two officers shot and killed him.</t>
  </si>
  <si>
    <t>http://koin.com/2017/02/21/police-responding-to-active-situation-in-beaverton/</t>
  </si>
  <si>
    <t>Drey Krause</t>
  </si>
  <si>
    <t>Topock</t>
  </si>
  <si>
    <t>Deputies responded after a woman reported that she had been shot at by her neighbor. Upon arrival, the deputies were confronted by Drey Krause, who was armed with a shotgun, police said. Krause refused repeated commands from the deputies to drop the shotgun, and he was shot and killed.</t>
  </si>
  <si>
    <t>http://www.reviewjournal.com/crime/shootings/man-dies-after-exchanging-gunfire-deputies-northwest-arizona</t>
  </si>
  <si>
    <t>Eduardo Hernandez</t>
  </si>
  <si>
    <t>http://www.pasadenastarnews.com/general-news/20170128/officials-man-killed-in-shootout-with-alhambra-police</t>
  </si>
  <si>
    <t>Elijah Smith</t>
  </si>
  <si>
    <t>Police fatally shot a man in the basement of his home here after he chased his mother with a knife and lunged at officers trying to arrest him, police said</t>
  </si>
  <si>
    <t>http://www.stltoday.com/news/local/crime-and-courts/florissant-police-kill-man-in-confrontation-at-his-home/article_5dbd7d22-85de-5981-b305-b4fb2a506a9c.html</t>
  </si>
  <si>
    <t>Eric Anderson</t>
  </si>
  <si>
    <t>Police responded to a report of a man with a gun and shots fired. Officers arrived and contacted the man, who refused to obey their commands, police said. The man aimed a firearm at one of the officers and was shot and killed.</t>
  </si>
  <si>
    <t>http://abc7.com/news/azusa-police-officer-fatally-shoots-man-who-pointed-handgun-at-him/1704688/</t>
  </si>
  <si>
    <t>Gary M. Wigley</t>
  </si>
  <si>
    <t>GA Hwy 119</t>
  </si>
  <si>
    <t>Brooklet</t>
  </si>
  <si>
    <t>Bulloch County Sheriff's Office, Effingham County Sheriff's Office</t>
  </si>
  <si>
    <t>Bulloch County and Effingham County deputies were serving a bench warrant to a 52-year-old man at a residence near Highway 119 and Olney Station Drive. The man ran away to an abandoned home nearby, where deputies noticed he had a long gun. When the man did not lower his weapon, more than one deputy shot and killed him.</t>
  </si>
  <si>
    <t>http://www.wjcl.com/article/gbi-investigating-deputy-involved-shooting-in-bulloch-county/8633102</t>
  </si>
  <si>
    <t>Gerardo Coronado Jr.</t>
  </si>
  <si>
    <t>US-385</t>
  </si>
  <si>
    <t>Fort Stockton</t>
  </si>
  <si>
    <t>Pecos</t>
  </si>
  <si>
    <t>Pecos County Sheriff's Office, Brewster County Sheriff's Office</t>
  </si>
  <si>
    <t>A high-speed pursuit ended 10 miles south of Fort Stockton. Two Pecos county deputies and one Brewster County deputy were involved. Police said the unidentified deceased man had a weapon in his hand and pointed it at the deputies when he was shot and killed.</t>
  </si>
  <si>
    <t>http://www.cbs7.com/content/news/412052173.html</t>
  </si>
  <si>
    <t>Gerardo Martin Vasquez</t>
  </si>
  <si>
    <t>The CHP received a report of a man walking on the 10 Freeway. When officers arrived, they found the pedestrian walking along the center median with a knife in his hand. The man ran off the freeway and south toward Pico Boulevard. When police closed in, the man ran at them still holding the knife, and they shot and killed him.</t>
  </si>
  <si>
    <t>http://www.latimes.com/local/lanow/la-me-ln-santa-monica-ois-20170206-story.html</t>
  </si>
  <si>
    <t>Gino Martin Palazzolo</t>
  </si>
  <si>
    <t>4341 SW 13th St</t>
  </si>
  <si>
    <t>Deputies attempted to arrest Palazzolo for writ of bodily attachment (probably unpaid child support). He threatened deputies with a gun and was shot and killed.</t>
  </si>
  <si>
    <t>http://www.alligator.org/news/crime/article_9464b3b4-dfb8-11e6-97fd-0b12d93e81be.html</t>
  </si>
  <si>
    <t>Gregory Lamont Childress</t>
  </si>
  <si>
    <t>9100 N Rodney Parham Rd</t>
  </si>
  <si>
    <t>An officer was leaving a security detail job at Arkansas Revenue in Ashley Square when he was approached by two people, who allegedly attempted to rob the off-duty officer. Police say the officer and suspects exchanged gunfire, resulting in the death of Gregory Lamont Childress.</t>
  </si>
  <si>
    <t>http://katv.com/news/local/officer-involved-shooting-on-rodney-parham-and-reservoir-road</t>
  </si>
  <si>
    <t>Hafez Abousamra</t>
  </si>
  <si>
    <t>Villa Roma and Villam Milano</t>
  </si>
  <si>
    <t>After an attempted driving while drunk stop, a man shot at police officers, fled, tried to break into a house, and shot at police again before being shot and killed.</t>
  </si>
  <si>
    <t>http://ktla.com/2017/01/12/deputies-fatally-shoot-suspected-dui-driver-following-erratic-pursuit-in-lake-elsinore-area/</t>
  </si>
  <si>
    <t>Herbert Johnson</t>
  </si>
  <si>
    <t>Police heard gunshots and responded to the intersection of Homan Avenue and Madison Street, police said. Officers saw a 34-year-old man, who they believed was involved in the shooting, leaving the scene. Officers began chasing the man on foot. The man, who was armed with a gun, ran to a nearby alley, and officers confronted him. One of the officers shot the man multiple times, police said, killing him.</t>
  </si>
  <si>
    <t>http://www.chicagotribune.com/news/local/breaking/ct-violence-officer-involved-shooting-20170115-story.html</t>
  </si>
  <si>
    <t>Jacob Taulbee</t>
  </si>
  <si>
    <t>Englewood</t>
  </si>
  <si>
    <t>Deputies responded to a domestic disturbance at a home, according to police. The identity of the person killed is unclear. Jacob Taulbee was armed and initiated the confrontation, police said, although they didn't saw how.</t>
  </si>
  <si>
    <t>http://www.winknews.com/2017/02/26/suspect-killed-in-charlotte-county-deputy-involved-shooting/</t>
  </si>
  <si>
    <t>Jacqueline Cheyanne Johnson</t>
  </si>
  <si>
    <t>Raintree Ln</t>
  </si>
  <si>
    <t>Police were serving burglary warrants for a woman, Jacqueline Cheyanne Johnson, and a man. Officers found the woman's vehicle in Angleton and followed her back to Lake Jackson where she opened fire at officers. Police shot and killed her. The man was arrested without incident.</t>
  </si>
  <si>
    <t>http://www.khou.com/news/lake-jackson-officials-investigating-officer-involved-shooting-female-suspect-shot/414421601</t>
  </si>
  <si>
    <t>James E. Lewis</t>
  </si>
  <si>
    <t>http://www.fatalencounters.org/wp-content/uploads/2013/10/James-E.-Lewis.png</t>
  </si>
  <si>
    <t>1101 E Scott St</t>
  </si>
  <si>
    <t>Police were called to Silver Springs Park in reference to a man who was armed with a gun and was threatening to kill his wife. Police allegedly tried to detain the man using less lethal weapons, but those efforts were not successful. The man then displayed a gun, and officers opened fire, killing him.</t>
  </si>
  <si>
    <t>http://www.news-leader.com/story/news/crime/2017/01/01/police-investigate-officer-involved-shooting-north-springfield/96055626/</t>
  </si>
  <si>
    <t>James Leroy Marker</t>
  </si>
  <si>
    <t>9462 S Florida Ave</t>
  </si>
  <si>
    <t>Floral City</t>
  </si>
  <si>
    <t>James Leroy Marker was shot and killed by police in Citrus County after he allegedly shot at the Sabal Pipeline and led police on a car chase.</t>
  </si>
  <si>
    <t>http://wfla.com/2017/02/26/man-shot-dead-by-deputies-in-citrus-county-after-car-chase-crash/</t>
  </si>
  <si>
    <t>James Owens</t>
  </si>
  <si>
    <t>967 E 99th St</t>
  </si>
  <si>
    <t>http://www.nydailynews.com/new-york/brooklyn/knife-wielding-man-shot-wounded-brooklyn-article-1.2933589</t>
  </si>
  <si>
    <t>James Stephen McMullen</t>
  </si>
  <si>
    <t>Bethany</t>
  </si>
  <si>
    <t>Bethany Police Department</t>
  </si>
  <si>
    <t>Police responded to a home after the woman who lived at the home showed up to the police station, saying her son had beat her up. Two of his officers arrived to talk to the son, he opened the door and was holding a gun pointed towards his chest. Police ordered him several times to drop the gun, but the man ignored their commands and pointed the gun at his officers and was shot and killed.</t>
  </si>
  <si>
    <t>http://www.news9.com/story/34477126/one-injured-after-officer-involved-shooting-in-bethany</t>
  </si>
  <si>
    <t>Jamison Christopher Anderson</t>
  </si>
  <si>
    <t>http://www.fatalencounters.org/wp-content/uploads/2013/10/Jamison-Christopher-Anderson.png</t>
  </si>
  <si>
    <t>Onamia</t>
  </si>
  <si>
    <t>Mille Lacs</t>
  </si>
  <si>
    <t>Mille Lacs County Sheriff's Office</t>
  </si>
  <si>
    <t>Four men broke into a home with plans to carry out a robbery. Three of the men wore masks and one carried a sawed-off shotgun. There were more than a dozen people inside of the home. The intruders assaulted several people, and one intruder fired his weapon at least once. As three deputies from the Mille Lacs County Sheriff's Office arrived, two of the four intruders were leaving the home. Both were arrested. One of the deputies entered the home and located a third intruder in a bedroom with a shotgun pointed at several people. When the intruder refused to drop the shotgun, the deputy shot and killed him. The fourth intruder was arrested without incident.</t>
  </si>
  <si>
    <t>http://www.inforum.com/news/4198746-suspect-home-invasion-shot-killed-mille-lacs-deputy</t>
  </si>
  <si>
    <t>Jason Aldridge</t>
  </si>
  <si>
    <t>5560 Shady Grove Rd</t>
  </si>
  <si>
    <t>Police were called regarding a suicidal man in an RV. Deputies said the man confronted them with the knife inside the RV, and he was shot and killed.</t>
  </si>
  <si>
    <t>http://www.cbs46.com/story/34212929/officer-shoots-person-in-cumming</t>
  </si>
  <si>
    <t>Jeremy Lopez-Robledo</t>
  </si>
  <si>
    <t>http://www.fatalencounters.org/wp-content/uploads/2013/10/Jeremy-Robledo-Lopez.jpg</t>
  </si>
  <si>
    <t>Missouri Avenue and Solano Drive</t>
  </si>
  <si>
    <t>A fugitive, 29-year-old Jeremy Lopez-Robledo, led a team of police on a foot chase in the parking lot of the Solano Square shopping center and attacked officers with a knife. The attack prompted one police officer, who had been “slashed” with the knife during the mid-morning encounter, to fire his gun at Lopez-Robledo, striking him at least once, according to the Las Cruces Police Department. Lopez-Robledo had been wanted by federal authorities on a probation violation, police said.</t>
  </si>
  <si>
    <t>http://www.lcsun-news.com/story/news/2017/01/24/police-investigate-officer-involved-shooting-las-cruces/96996834/</t>
  </si>
  <si>
    <t>Jeremy R. Dowell</t>
  </si>
  <si>
    <t>A man made alleged terroristic threats then fled, brandishing a knife. He was shot and killed.</t>
  </si>
  <si>
    <t>http://www.kiro7.com/news/north-sound-news/officer-involved-shooting-in-lynnwood-closes-sr-99/489277082</t>
  </si>
  <si>
    <t>Jerome Keith Allen</t>
  </si>
  <si>
    <t>http://www.fatalencounters.org/wp-content/uploads/2013/10/Jerome-Keith-Allen.png</t>
  </si>
  <si>
    <t>Jerome Allen was shot and killed when he approached an undercover officer's car and pointed a gun in the window, according to the Jacksonville Sheriff's Office.</t>
  </si>
  <si>
    <t>http://www.news4jax.com/news/local/jacksonville/jso-investigating-police-involved-incident-in-northwest-jacksonville</t>
  </si>
  <si>
    <t>Jesse Enjaian</t>
  </si>
  <si>
    <t>http://www.fatalencounters.org/wp-content/uploads/2013/10/Jesse-Enjaian.jpg</t>
  </si>
  <si>
    <t>98th Ave. and Las Vegas Ave.</t>
  </si>
  <si>
    <t>Jesse Enjaian was apparently firing a rifle in a neighborhood and shot at police who arrived to investigate. He was shot and killed.</t>
  </si>
  <si>
    <t>http://abc7news.com/news/oakland-shooter-detained-by-cops-dies/1759833/</t>
  </si>
  <si>
    <t>Jimmie Patton</t>
  </si>
  <si>
    <t>http://www.fatalencounters.org/wp-content/uploads/2013/10/Jimmie-Patton.png</t>
  </si>
  <si>
    <t>Police received a call that a white male in a white vehicle was drunk and pointed a gun in the direction of the caller. Officers arrived on scene to investigate, and saw the described vehicle in the back alley. They approached the vehicle and that is when Jimmie Patton, 38, got out and pointed the gun at one of the officers. One officer fired multiple shots, killing Patton.</t>
  </si>
  <si>
    <t>http://nbc4i.com/2017/02/23/one-in-critical-condition-after-south-columbus-shooting-2/</t>
  </si>
  <si>
    <t>Jocques Scott Clemmons</t>
  </si>
  <si>
    <t>http://www.fatalencounters.org/wp-content/uploads/2013/10/Jocques-Scott-Clemmons.png</t>
  </si>
  <si>
    <t>701 S 6th St</t>
  </si>
  <si>
    <t>Officer Josh Lippert pulled over Jocques Scott Clemmons, 31, for running a stop sign. Police say Clemmons got out of the car and started a fight with the officer. Clemmons then ran through the parking lot while appearing to hold something in his waistband. Officer Lippert was able to catch him, but as he tried to arrest Clemmons, they reportedly had another fight. Police said Clemmons fell to the ground and dropped a fully loaded .357 magnum pistol. Lippert saw the weapon and tried to kick it away, but Clemmons reportedly grabbed the gun and picked it up, and Lippert shot and killed Clemmons.</t>
  </si>
  <si>
    <t>http://wkrn.com/2017/02/10/person-shot-while-fleeing-police-in-east-nashville/</t>
  </si>
  <si>
    <t>Joey Isgrigg</t>
  </si>
  <si>
    <t>http://www.fatalencounters.org/wp-content/uploads/2013/10/joeyisgriggweb.jpg</t>
  </si>
  <si>
    <t>London</t>
  </si>
  <si>
    <t>Laurel County Sheriff's deputies arrived at a home, and shots were fired from inside the home, hitting a deputy's cruiser numerous times. It was not immediately disclosed why they went to the house. Isgrigg was shot and killed.</t>
  </si>
  <si>
    <t>http://www.wkyt.com/content/news/KSP-Troopers-are-investigating-a-standoff-in-Laurel-County-414775403.html</t>
  </si>
  <si>
    <t>Joey J. Bridges Jr.</t>
  </si>
  <si>
    <t>1201 Dekalb St</t>
  </si>
  <si>
    <t>Shelby Police Department</t>
  </si>
  <si>
    <t>Officers were attempting to serve a warrant when Bridges fled from the home. Police say he opened fire on police during the brief chase, and he was shot and killed.</t>
  </si>
  <si>
    <t>http://www.wcnc.com/news/crime/suspect-killed-by-shelby-officer-police-say/415355405</t>
  </si>
  <si>
    <t>Jon Alspaugh</t>
  </si>
  <si>
    <t>81 River Bend Rd</t>
  </si>
  <si>
    <t>Waldoboro</t>
  </si>
  <si>
    <t>Waldoboro Police Department</t>
  </si>
  <si>
    <t>Two officers responded for reports of a domestic violence disturbance. Police said Officer John Lash was the first to arrive at the residence and was shot in the back during an armed confrontation with Jon Alspaugh, 57. Lash then shot and killed Alspaugh.</t>
  </si>
  <si>
    <t>http://www.wmtw.com/article/man-dead-following-police-involved-shooting-in-waldoboro/8624870</t>
  </si>
  <si>
    <t>Jorge Victor</t>
  </si>
  <si>
    <t>A suspect in an attempted murder was killed by Long Beach police in Carson, according to police. He'd allegedly pointed a gun.</t>
  </si>
  <si>
    <t>http://www.presstelegram.com/general-news/20170122/breaking-long-beach-police-shoot-kill-attempted-murder-suspect-in-carson</t>
  </si>
  <si>
    <t>Jose Antonio Fernandez Ventura</t>
  </si>
  <si>
    <t>http://www.fatalencounters.org/wp-content/uploads/2013/10/Jose-Antonio-Fernandez-Ventura.png</t>
  </si>
  <si>
    <t>Police shot and killed Jose Antonio Fernandez Ventura after he allegedly shot a woman in the neck during a domestic assault, police say.</t>
  </si>
  <si>
    <t>http://www.courierpostonline.com/story/news/crime/2017/01/11/camden-police-shooting-fernandez-ventura/96461236/</t>
  </si>
  <si>
    <t>Jose Efrain Rodriguez</t>
  </si>
  <si>
    <t>South Duke Street and North Street</t>
  </si>
  <si>
    <t>Armed with a handgun, Rodriguez approached a police vehicle with two officers inside of it, police said, and fired at police and was shot and killed.</t>
  </si>
  <si>
    <t>http://lancasteronline.com/news/local/teenager-killed-following-exchange-of-gunfire-with-lancaster-city-police/article_69e5fb1e-e23a-11e6-8fc0-f7e36e08d4ed.html</t>
  </si>
  <si>
    <t>Jose Gonzales Lera</t>
  </si>
  <si>
    <t>Squaw Valley Rd &amp; CA-89</t>
  </si>
  <si>
    <t>Olympic Valley</t>
  </si>
  <si>
    <t>CHP officers attempted to pull over a suspected DUI driver. Officers terminated a pursuit a few minutes later for safety reasons. Roughly an hour later, a sheriff's office deputy saw the vehicle again driving erratically on Highway 28 and attempted to pull him over. The male driver refused to stop, and a chase began. CHP officers eventually stopped the vehicle with spike strips on Highway 89. The driver got out of the car, holding his female passenger hostage at gunpoint, and walked away. Fearing for the safety and lives of the hostage and people inside the home where he was headed shot and killed him.</t>
  </si>
  <si>
    <t>http://mynews4.com/news/local/chp-police-activity-shuts-down-sr-89-from-w-river-rd-to-squaw-valley-rd</t>
  </si>
  <si>
    <t>Joseph Tamayo</t>
  </si>
  <si>
    <t>A man was killed after pulling a sawed-off shotgun on officers serving a narcotics warrant at a home, according to police.</t>
  </si>
  <si>
    <t>http://www.mysanantonio.com/news/local/article/SAPD-responding-to-officer-involved-shooting-on-10937555.php</t>
  </si>
  <si>
    <t>Joshua Martino</t>
  </si>
  <si>
    <t>http://www.fatalencounters.org/wp-content/uploads/2013/10/Joshua-Martino.png</t>
  </si>
  <si>
    <t>990 Atlantic Ave</t>
  </si>
  <si>
    <t>Police shot and killed Joshua Martino, who'd been firing shots into a lounge moments before police pursued and then confronted him, police said. Two officers shot Martino twice in the torso after he turned towards them with a .38 caliber revolver in his hand. The man never fired.</t>
  </si>
  <si>
    <t>http://www.nbcnewyork.com/news/local/NYC-Police-Involved-Shooting-Prospect-Heights-Man-Critical-Gun-Recovered-409623155.html</t>
  </si>
  <si>
    <t>Josue Gallardo</t>
  </si>
  <si>
    <t>http://www.fatalencounters.org/wp-content/uploads/2013/10/Josue-Gallardo.png</t>
  </si>
  <si>
    <t>US-101 &amp; Santa Barbara Road</t>
  </si>
  <si>
    <t>Atascadero</t>
  </si>
  <si>
    <t>San Luis Obispo</t>
  </si>
  <si>
    <t>San Luis Obispo County Sheriff's Office</t>
  </si>
  <si>
    <t>Gallardo had a warrant out for his arrest for a domestic violence incident that occurred in June 2016. When deputies pulled him over, he pointed a gun at deputies and was shot and killed.</t>
  </si>
  <si>
    <t>http://www.keyt.com/news/one-dead-in-atascadero-deputy-involved-shooting-on-highway-101/289928008</t>
  </si>
  <si>
    <t>Josue Javier Diaz</t>
  </si>
  <si>
    <t>http://www.fatalencounters.org/wp-content/uploads/2013/10/Josue-Javier-Diaz.png</t>
  </si>
  <si>
    <t>A Charlotte-Mecklenburg Police detective fatally shot Josue Javier Diaz after he left his vehicle with a handgun, apparently in an act of road rage, police said.</t>
  </si>
  <si>
    <t>http://www.charlotteobserver.com/news/local/article128920384.html</t>
  </si>
  <si>
    <t>Juan Carlos Cuadra</t>
  </si>
  <si>
    <t>Police responded to neighbors fighting on a man's front lawn, and a Harris County sheriff's deputy fatally shot Juan Carlos Cuadra when he pointed a gun at deputies, and refused commands to put down his gun, police said.</t>
  </si>
  <si>
    <t>http://www.click2houston.com/news/officer-involved-in-shooting-in-sw-harris-county</t>
  </si>
  <si>
    <t>Juan J. Salinas</t>
  </si>
  <si>
    <t>1708 70th Ave SE</t>
  </si>
  <si>
    <t>A man reportedly called 911 and said, “I want to kill cops.” Within moments, others in the neighborhood called 911 to say the man was walking around, apparently bloody and carrying some kind of flag. When officers found him, he reportedly said, “Just kill me” while wielding a knife. The officers first tried to subdue him with an electronic stun gun, but he continued toward them, and he was shot and killed.</t>
  </si>
  <si>
    <t>http://www.heraldnet.com/news/man-dies-after-lake-stevens-officer-involved-shooting/</t>
  </si>
  <si>
    <t>Kenneth Lee Bailey Jr.</t>
  </si>
  <si>
    <t>http://www.fatalencounters.org/wp-content/uploads/2013/10/Kenneth-Lee-Bailey-Jr.png</t>
  </si>
  <si>
    <t>Bailey was charged last summer with robbery with a dangerous weapon, felony conspiracy and possession of a firearm by a felon, and court records show an order for his arrest on the first two charges was issued. Bailey allegedly had violated his pretrial release conditions. He ran from police, and during a foot chase, he pulled a gun from his waistband and pointed it at the officers, who shot and killed him.</t>
  </si>
  <si>
    <t>http://www.wral.com/man-killed-in-officer-involved-shooting-in-durham/16531383/</t>
  </si>
  <si>
    <t>Kenneth Robertson</t>
  </si>
  <si>
    <t>250 N Main St</t>
  </si>
  <si>
    <t>Teresa Robertson was allegedly shot dead by Kenneth Robertson, who then turned his weapon on law enforcement and was shot and killed by an officer.</t>
  </si>
  <si>
    <t>http://www.tulsaworld.com/news/crimewatch/domestic-altercation-officer-involved-shooting-leave-one-dead-one-critically/article_1449d4e7-8e18-5886-879b-438de1152c94.html</t>
  </si>
  <si>
    <t>Keo Crockett</t>
  </si>
  <si>
    <t>306 Virginia Lee Ln</t>
  </si>
  <si>
    <t>Keo Crockett allegedly broke into a home on Virginia Lee Lane and assaulted the two occupants. Police said Crockett fired the gun during the invasion. Deputies knocked on the front door, and Crockett came out holding a gun, which he allegedly raised and pointed at the deputies when he was shot and killed.</t>
  </si>
  <si>
    <t>http://abc11.com/news/orange-county-deputies-shoot-and-kill-robbery-suspect-near-efland/1762281/</t>
  </si>
  <si>
    <t>Kerry Lee Coomer</t>
  </si>
  <si>
    <t>Officers responded for a report of a suicidal suspect. There, officers encountered Kerry Lee Coomer, 59, with a long gun. After short negotiations on the porch, he went for the rifle and was shot and killed.</t>
  </si>
  <si>
    <t>http://www.wbal.com/article/216746/2/baltimore-county-man-killed-in-officer-involved-shooting</t>
  </si>
  <si>
    <t>Kevin Darnell Washington</t>
  </si>
  <si>
    <t>http://www.fatalencounters.org/wp-content/uploads/2013/10/KevinDarnell.jpg</t>
  </si>
  <si>
    <t>465 Stateline Rd W</t>
  </si>
  <si>
    <t>Patrol Sergeant Hunter Garrett and K-9 Deputy Brandon Hutchens arrived in Southaven to help officers find the man allegedly responsible for several robberies in the area. Sgt. Garrett found the suspect in a parked car in the Kroger parking lot on Stateline Road. He opened fire on the officers, and the officers were shot. Garrett was shot in the foot and Hutchens was shot in an area of his chest that wasn't covered by his bulletproof vest. He suffered a collapsed lung and a broken rib. Washington was shot and killed.</t>
  </si>
  <si>
    <t>http://www.wmcactionnews5.com/story/34349725/2-desoto-county-deputies-shot-in-southaven</t>
  </si>
  <si>
    <t>Kevin Johnson</t>
  </si>
  <si>
    <t>http://www.fatalencounters.org/wp-content/uploads/2013/10/Kevin-Johnson.jpg</t>
  </si>
  <si>
    <t>45 Sunset Cir</t>
  </si>
  <si>
    <t>Lake Alfred</t>
  </si>
  <si>
    <t>Police were searching a meth-associated house, and found Kevin Johnson hiding behind a false wall. He fired on officers and was either shot and killed or killed by the explosion when police blew out a wall.</t>
  </si>
  <si>
    <t>http://www.abcactionnews.com/news/local-news/barricaded-man-exchanges-gunfire-with-deputies-in-lake-alfred</t>
  </si>
  <si>
    <t>Kyle Copson</t>
  </si>
  <si>
    <t>191 Ambrose Ln</t>
  </si>
  <si>
    <t>Kyle Copson was armed with a knife when he was confronted by police. It was not reported what precipitated the encounter, but he threatened officer with the knife and was shot and killed.</t>
  </si>
  <si>
    <t>http://www.bdtonline.com/news/officer-involved-shooting-reported-in-princeton/article_17f0f48c-f949-11e6-8da0-5b45da6153c7.html</t>
  </si>
  <si>
    <t>Kyle Riggs</t>
  </si>
  <si>
    <t>http://www.fatalencounters.org/wp-content/uploads/2013/10/Kyle-Riggs.png</t>
  </si>
  <si>
    <t>Bull Shoals</t>
  </si>
  <si>
    <t>http://www.arkansasonline.com/news/2017/feb/19/state-police-investigate-officer-involved-shooting/</t>
  </si>
  <si>
    <t>Luis Vargas</t>
  </si>
  <si>
    <t>1010 N Alta Avenue</t>
  </si>
  <si>
    <t>Dinuba</t>
  </si>
  <si>
    <t>Dinuba Police Department</t>
  </si>
  <si>
    <t>Dinuba Police say one of their officers interrupted an armed robbery and was shot at by two suspects. Police say one of the suspects jumped in a getaway car, while the other ran and continued to shoot at the officer. The officer ran after the suspect, identified as 20-year-old Luis Vargas, through different apartment complexes to the east. The officer ultimately shot and killed Vargas.</t>
  </si>
  <si>
    <t>http://abc30.com/news/arrest-made-after-manhunt-for-suspect-in-dinuba-officer-involved-shooting/1689347/</t>
  </si>
  <si>
    <t>Manuel Encinas</t>
  </si>
  <si>
    <t>http://www.fatalencounters.org/wp-content/uploads/2013/10/Manuel-Encinas.png</t>
  </si>
  <si>
    <t>9810 South Nogales Highway</t>
  </si>
  <si>
    <t>Police responded to the Circle K for a report of an armed robbery. Upon their arrival, a man was found, armed with a gun, standing behind an employee inside the store. The suspect exited the store with the employee, and the employee ran toward a deputy who was waiting outside. Manuel Encinas was shot and killed by deputies.</t>
  </si>
  <si>
    <t>http://www.abc15.com/news/region-central-southern-az/tucson/sheriff-deputies-shoot-kill-armed-robber-in-tucson</t>
  </si>
  <si>
    <t>Marlon Joel Rodas-Sanchez</t>
  </si>
  <si>
    <t>Salinas Police Department officers responded to a report of a suspicious person with a knife. Officers found a teenager sharpening a butcher knife on a sidewalk outside a house. The teen lived in the neighborhood. He refused to drop the butcher knife, and began banging it against a shed behind the house. Police called in the Salinas Fire Department to use a fire hose as a tactic to subdue the "irrational" boy. Three officers deployed Tasers and non-lethal rounds. The fire hose, Tasers, and non-lethal rounds were all ineffective in disarming the boy.When the boy walked inside a house, officers decided to follow him because they were concerned that the teen may make people inside hostages. Once inside the house, the boy turned toward the officers; he was still wielding his knife. One officer shot the boy six times with an AR-15 rifle, while a second officer shot the boy twice with a handgun. At least one of the gunshots killed him.</t>
  </si>
  <si>
    <t>http://www.ksbw.com/article/teen-killed-in-salinas-officer-involved-shooting/8611654</t>
  </si>
  <si>
    <t>Marquis Thomas</t>
  </si>
  <si>
    <t>Gary</t>
  </si>
  <si>
    <t>Thomas was a passenger in a car that was stopped for an undisclosed reason. He ran and police followed with a dog. There was an exchange of gunfire, the dog was wounded, and Thomas was killed.</t>
  </si>
  <si>
    <t>http://www.nwitimes.com/news/local/crime-and-courts/police-suspect-in-officer-involved-shooting-dies/article_af899574-e08e-5ecf-b7a1-35d00e64b3df.html</t>
  </si>
  <si>
    <t>Marvin Washington</t>
  </si>
  <si>
    <t>798 Garfield Ave</t>
  </si>
  <si>
    <t>Kiowa</t>
  </si>
  <si>
    <t>Kiowa Police Department</t>
  </si>
  <si>
    <t>http://www.mcalesternews.com/news/one-dead-in-kiowa-officer-involved-shooting/article_af628ae0-e717-11e6-a073-37d55a5b7721.html</t>
  </si>
  <si>
    <t>Melvin DeLong</t>
  </si>
  <si>
    <t>http://www.fatalencounters.org/wp-content/uploads/2013/10/Melvin-DeLong.png</t>
  </si>
  <si>
    <t>Belcourt</t>
  </si>
  <si>
    <t>Rolette</t>
  </si>
  <si>
    <t>http://www.wday.com/news/4201825-deputy-29-and-suspect-fatally-shot-after-shootout-nds-rolette-county-2-other-deputies</t>
  </si>
  <si>
    <t>Mi'Chance Dunlap-Gittens</t>
  </si>
  <si>
    <t>S. 216th St. and 29th Ave. S</t>
  </si>
  <si>
    <t>Police were investigating a murder. Detectives went to a Des Moines apartment to question a 16-year-old when two teenage boys walked out of the apartment and pulled out handguns. Investigators say a 17-year-old boy, who was not involved in the homicide or identity theft, fired his weapon at the detectives. Three deputies returned fire, killing the 17-year-old old.</t>
  </si>
  <si>
    <t>http://komonews.com/news/local/suspect-shot-by-deputies-in-des-moines-dies</t>
  </si>
  <si>
    <t>Michael Lee Morris</t>
  </si>
  <si>
    <t>After a stabbing, the female victim told police a few locations where they could possibly find Michael Morris. Officers began checking a few locations and were given information the suspect was threatening to commit suicide by cop. Moore exited the residence with a large fixed blade combat knife and confronted officers in the rear of the location. Two officers shot and killed him.</t>
  </si>
  <si>
    <t>http://nbc4i.com/2017/02/15/one-person-in-critical-condition-after-officer-involved-shooting-on-s-powell-avenue/</t>
  </si>
  <si>
    <t>Michael Rogers</t>
  </si>
  <si>
    <t>11th St and Hope St</t>
  </si>
  <si>
    <t>An employee at an apartment building told police a man with a knife snuck into the building and later ran out chasing a woman into a business across the street. Officers confronted the man and shot and killed him.</t>
  </si>
  <si>
    <t>http://ktla.com/2017/01/10/lapd-officials-investigate-officer-involved-shooting-in-downtown/</t>
  </si>
  <si>
    <t>Michael Sword</t>
  </si>
  <si>
    <t>http://www.fatalencounters.org/wp-content/uploads/2013/10/MichaelSword.jpg</t>
  </si>
  <si>
    <t>Orange Park</t>
  </si>
  <si>
    <t>Deputies attempted to serve a search warrant on Michael Sword, 57, who had a warrant out for his arrest. Sword pulled a gun and was shot to death by police.</t>
  </si>
  <si>
    <t>http://www.firstcoastnews.com/news/crime/suspect-shot-and-killed-in-deputy-involved-shooting-in-orange-park/396039090</t>
  </si>
  <si>
    <t>Michael T. Stoudt</t>
  </si>
  <si>
    <t>Reading Police Department</t>
  </si>
  <si>
    <t>Michael T. Stoudt, 62, was fatally shot by police after pointing a shotgun at officers who responded to reports he'd threatened a neighbor's backyard barbecue with a rifle, police said. Police shot Stoudt on his front porch.</t>
  </si>
  <si>
    <t>http://www.readingeagle.com/news/article/reading-man-fatally-shot-by-police-officer&amp;template=mobileart</t>
  </si>
  <si>
    <t>Michelle Robey</t>
  </si>
  <si>
    <t>http://www.fatalencounters.org/wp-content/uploads/2013/10/Michelle-Robey.jpg</t>
  </si>
  <si>
    <t>3944 N Western Ave</t>
  </si>
  <si>
    <t>Police responded to a 911 call that a woman was in a CVS store brandishing a weapon, according to police. Upon arrival, police were told the woman was at a nearby bus stop. Police approached the woman who brandished the knife again and was shot and killed.</t>
  </si>
  <si>
    <t>http://wgntv.com/2017/02/10/police-on-scene-of-reported-shooting-in-north-center/</t>
  </si>
  <si>
    <t>Miguel Angel Silva</t>
  </si>
  <si>
    <t>http://www.fatalencounters.org/wp-content/uploads/2013/10/Silva.jpg</t>
  </si>
  <si>
    <t>Kemp and Kell Blvd</t>
  </si>
  <si>
    <t>Police responded to a report of gunshots and a man in the area with a gun. Police say Silva later made his way into Garrison's convenience store, where two hostages were held. One hostage was able to get away. Around 11:30 p.m., Silva came out of the store with the hostage, where WFPD SWAT then shot and killed him.</t>
  </si>
  <si>
    <t>http://www.kcbd.com/story/34416836/wichita-falls-police-investigating-late-night-hostage-situation</t>
  </si>
  <si>
    <t>Mohammad Azim Doudzai</t>
  </si>
  <si>
    <t>13316 Covered Wagon Lane</t>
  </si>
  <si>
    <t>Herndon</t>
  </si>
  <si>
    <t>Fairfax County Police</t>
  </si>
  <si>
    <t>Mohammad Azim Doudzai had shot two men who were brothers. Those brothers then drove themselves to the hospital where they were treated for injuries that were not considered life-threatening. The police SWAT team surrounded the home. Police say another man who was inside eventually called 911 and said he was being held hostage by the gunman. Doudzai lit the house on fire and fired the gun inside the home, but did not hit the hostage. Witnesses say the Doudzai walked out on a rear balcony, was ordered to drop his gun, and then he went back inside. He came to the front door armed with a knife and was shot and killed by one of the officers.</t>
  </si>
  <si>
    <t>http://wjla.com/news/local/2-people-shot-in-domestic-related-shooting-in-herndon-2-alarm-fire-on-same-block</t>
  </si>
  <si>
    <t>Morgan Rankins</t>
  </si>
  <si>
    <t>Manchaca Rd and William Cannon Dr</t>
  </si>
  <si>
    <t>Morgan Rankins tried to run over three Austin police officers who were responding to a 911 call in South Austin before she crashed her vehicle, approached an officer with a knife and was shot and killed.</t>
  </si>
  <si>
    <t>http://www.statesman.com/news/local/woman-killed-reported-officer-involved-shooting-south-austin-officials-say/Gnoqlah2YhhYZd85J6QnPK/</t>
  </si>
  <si>
    <t>6400 W Manchester Ave</t>
  </si>
  <si>
    <t>A man armed with a hatchet was shot and killed by officers after a short chase ended in Westchester just north of Los Angeles International Airport on Wednesday afternoon, police said.</t>
  </si>
  <si>
    <t>http://abc7.com/news/man-with-hatchet-shot-after-police-chase-ends-in-westchester/1708815/</t>
  </si>
  <si>
    <t>1135 W MacArthur Ave</t>
  </si>
  <si>
    <t>Eau Claire Police Department</t>
  </si>
  <si>
    <t>Police responded to a call that a man was pointing a gun at people and cars passing by in the parking lot of the Scottish Inns and Suites. Within minutes, police confronted and shot and killed the man.</t>
  </si>
  <si>
    <t>http://www.weau.com/content/news/BREAKING-OFFICER-INVOLVED-SHOOTING-IN-EAU-CLAIRE-412039935.html</t>
  </si>
  <si>
    <t>Gardena officers were patrolling West Rosecrans Avenue when they noticed a disturbance in the parking lot of a business. The officers stopped to assist a security guard in quelling the disturbance between several patrons. During the encounter, one of the males fired at least one round and fled west away from the parking lot. As Gardena officers tried to apprehend the man, an officer shot and killed the man. Police did not disclose what precipitated the shooting.</t>
  </si>
  <si>
    <t>http://www.dailybreeze.com/general-news/20170217/man-fatally-wounded-during-confrontation-with-gardena-police-officer</t>
  </si>
  <si>
    <t>2150 N 470 E</t>
  </si>
  <si>
    <t>A Tooele County sheriff's deputy and a Utah Highway Patrol trooper responded to a call of someone making threats at the entrance of a Clean Harbors hazardous waste incineration facility, police said. The man, who had a gun and was inside the perimeter of the facility, approached the officers when they arrived and threatened them. He was shot and killed.</t>
  </si>
  <si>
    <t>http://www.sltrib.com/home/4987147-155/police-shoot-and-kill-a-man</t>
  </si>
  <si>
    <t>Paul Carr Palmer III</t>
  </si>
  <si>
    <t>1 Main St</t>
  </si>
  <si>
    <t>Police received multiple reports of a nude adult male in the pool area. Two hotel employees first encountered the male who began chasing them while holding a knife. An arriving officer encountered the suspect, still armed with the knife, in the southeast parking lot. The officer gave numerous commands to which the suspect did not comply. The officer used his low-lethal shotgun, which was ineffective. The man then charged toward the officer, and the officer shot and killed him.</t>
  </si>
  <si>
    <t>http://news3lv.com/news/local/suspect-shot-injured-by-metro-officer-near-jean-casino</t>
  </si>
  <si>
    <t>Randy Wayne Cole</t>
  </si>
  <si>
    <t>Deepwoods Road</t>
  </si>
  <si>
    <t>Sewanee</t>
  </si>
  <si>
    <t>Monteagle Police Department, Sewanee Police Department, Franklin County Sheriff's Office</t>
  </si>
  <si>
    <t>Randy Wayne Cole, called 911 and said he was either going to kill himself or have an officer kill him. Six officers responded to the scene, and police said they attempted to negotiate with Cole before he reportedly fired shots at the officers, prompting five of the six to shoot and kill him.</t>
  </si>
  <si>
    <t>http://wkrn.com/2017/01/05/tbi-investigating-officer-involved-shooting-in-sewanee/</t>
  </si>
  <si>
    <t>Refugio Alvarez</t>
  </si>
  <si>
    <t>N 1st St and E Clinton Ave</t>
  </si>
  <si>
    <t>Refugio Alvarez called 911 and told police there were people inside his home that he did not know. Police arrived a short time later, and when they knocked on the door, Alvarez answered the door with a gun and machete in his hands. He was shot and killed.</t>
  </si>
  <si>
    <t>http://www.yourcentralvalley.com/news/fresno-county-officer-involved-shooting-suspect-identified/647272455</t>
  </si>
  <si>
    <t>Richard Latimer</t>
  </si>
  <si>
    <t>http://www.fatalencounters.org/wp-content/uploads/2013/10/Richard-Latimer.png</t>
  </si>
  <si>
    <t>8202 E Market St</t>
  </si>
  <si>
    <t>Weathersfield Police Department</t>
  </si>
  <si>
    <t>Latimer may have been a suspect in a murder, but exactly what prompted the gunfight in a crowded parking lot has not been disclosed. Latimer was shot and killed.</t>
  </si>
  <si>
    <t>http://wkbn.com/2017/02/08/officer-shoots-person-at-giant-eagle/</t>
  </si>
  <si>
    <t>Rodney L. Hoback Jr.</t>
  </si>
  <si>
    <t>http://www.fatalencounters.org/wp-content/uploads/2013/10/Rodney-L.-Hoback-Jr.png</t>
  </si>
  <si>
    <t>2271 Guinea Mountain Rd</t>
  </si>
  <si>
    <t>Giles County Sheriff's Office</t>
  </si>
  <si>
    <t>Giles County Sheriff's Office got a call from a private security company service about a potential fire at a home on Guinea Mountain Road. Fire crews and deputies were dispatched to the home. When they got there, a firefighter and two deputies encountered Hoback armed with a large knife.Police said Hoback was outside the home at the time and refused to comply with commands of the deputies to drop the weapon. Police said Hoback began advancing on the deputies, and he was shot and killed.</t>
  </si>
  <si>
    <t>http://wset.com/news/local/man-shot-by-giles-county-deputy-dies-from-his-injuries</t>
  </si>
  <si>
    <t>Ronnie Lee Shorter</t>
  </si>
  <si>
    <t>http://www.fatalencounters.org/wp-content/uploads/2013/10/Ronnie-Lee-Shorter.png</t>
  </si>
  <si>
    <t>309 Neff St</t>
  </si>
  <si>
    <t>Officers responded to 309 Neff St. on a call of shots fired. They knocked on the door, and he walked out of his home firing a handgun, police said. The officers shot and killed him.</t>
  </si>
  <si>
    <t>http://www.clarionledger.com/story/news/local/2017/01/22/man-dead-after-shooting-greenville-police/96920870/</t>
  </si>
  <si>
    <t>Ruben Lamont Randolph</t>
  </si>
  <si>
    <t>Pomona Police Department</t>
  </si>
  <si>
    <t>Pomona officers responded to a man who'd been shooting into an apartment who was walking in the area of East Columbia Avenue and North San Antonio Avenue with a handgun, police said. Randolph then fled into an alley behind the apartment building he had been shooting into, where he exchanged gunfire with police, and was killed.</t>
  </si>
  <si>
    <t>http://ktla.com/2017/01/04/man-killed-in-pomona-officer-involved-shooting/</t>
  </si>
  <si>
    <t>Rudy Joseph Garcia</t>
  </si>
  <si>
    <t>1433 Turtle Cove Dr</t>
  </si>
  <si>
    <t>Little Elm</t>
  </si>
  <si>
    <t>Little Elm Police Department</t>
  </si>
  <si>
    <t>Officers responded to a man with a gun call. Garcia, armed with a rifle, barricaded himself into a house. Officers set up a perimeter. SWAT responded. Garcia shot Detective Jerry Walker, also a SWAT marksman and observer, as he took his position. Multiple officers shot at Garcia, striking him in the head and killing him. Detective Walker was pronounced dead at Denton Medical Center. The Texas Ranger Division investigated.</t>
  </si>
  <si>
    <t>https://oagtx.force.com/cdr/VIP_FormWizardPDF?id=a2C31000001v1RREAY</t>
  </si>
  <si>
    <t>Scott Laurance Gilpin</t>
  </si>
  <si>
    <t>10401 Anderson Mill Rd</t>
  </si>
  <si>
    <t>After several fights in a church parking lot, a man approached police with a gun and was shot and killed.</t>
  </si>
  <si>
    <t>http://www.statesman.com/news/local/man-with-rifle-killed-police-shooting-outside-northwest-austin-church/Mt0ow5WaNrRpybpEmnqa8N/</t>
  </si>
  <si>
    <t>Shawn Michael Igers</t>
  </si>
  <si>
    <t>http://www.fatalencounters.org/wp-content/uploads/2013/10/IGERSSHAWN-MICHAEL.png</t>
  </si>
  <si>
    <t>County Highway FF and Hilly Road</t>
  </si>
  <si>
    <t>Merrill</t>
  </si>
  <si>
    <t>A deputy responded to a report of a vehicle in the ditch on County Highway FF in the town of Corning. The office says soon after a deputy responded, Igers shot at the deputy. The deputy Shot and killed Shawn Igers.</t>
  </si>
  <si>
    <t>http://www.wjfw.com/storydetails/20170227215335/breaking_lincoln_county_deputy_involved_in_deadly_critical_incident</t>
  </si>
  <si>
    <t>Shelly Porter III</t>
  </si>
  <si>
    <t>1212 E Main St</t>
  </si>
  <si>
    <t>Englewood Police Department</t>
  </si>
  <si>
    <t>According to police, a Motel 6 manager called police to report Porter damaged a room at the motel. Police say he discharged a firearm at the motel. A fight broke out, and police shot and killed Porter.</t>
  </si>
  <si>
    <t>http://www.whio.com/news/local/suspect-shot-englewood-officer-died-multiple-gunshot-wounds/tzxNLkzR6txCkXFQBmykUO/</t>
  </si>
  <si>
    <t>Sinuon Pream</t>
  </si>
  <si>
    <t>7th Street and Bellflower Boulevard</t>
  </si>
  <si>
    <t>Officers responded to a call of a woman with a knife confronting several homeless people outside a Jack in the Box, police said. Upon arrival, police encountered the woman and shot and killed her.</t>
  </si>
  <si>
    <t>http://abc7.com/news/woman-reportedly-armed-with-knife-shot-by-police-in-long-beach/1704155/</t>
  </si>
  <si>
    <t>Solomon Picart</t>
  </si>
  <si>
    <t>6407 W Sunset Blvd</t>
  </si>
  <si>
    <t>A man attacked people at random with a knife. He went into a Jack-in-the -Box and attacked more people. LAPD shot and killed him.</t>
  </si>
  <si>
    <t>http://ktla.com/2017/01/31/lapd-responding-to-report-of-stabbing-at-sunset-and-cahuenga-in-hollywood/</t>
  </si>
  <si>
    <t>Spencer Herckt</t>
  </si>
  <si>
    <t>Police got a call from a woman reporting the family disturbance. The caller indicated that her estranged husband appeared intoxicated and was vandalizing her vehicle while she sat outside her residence, police said. Officers arrived and made contact with Herckt outside the home. After being tasered, Herckt hit one of the officers in the back of the head with a glass object. Both officers shot and killed Herckt.</t>
  </si>
  <si>
    <t>http://www.modbee.com/news/local/crime/article129760509.html</t>
  </si>
  <si>
    <t>Steven C. Oliger</t>
  </si>
  <si>
    <t>1103 Fallway Ct</t>
  </si>
  <si>
    <t>Police were dispatched to a home on a report of shots fired. As officers approached the house, they say saw Steven C. Oliger, 64, on the back deck, and they said he was armed with a revolver. The two officers reportedly yelled out to an officer at the front of the house that there was an armed person on the back deck, and at that time Oliger reportedly fired a shot. The officer at the front of the house approached from the east side and fired a single shot and killed Oliger.</t>
  </si>
  <si>
    <t>http://cbs4indy.com/2017/02/16/autopsy-confirms-bullet-that-killed-shelbyville-man-came-from-officer/</t>
  </si>
  <si>
    <t>Steven Valenzuela</t>
  </si>
  <si>
    <t>http://www.fatalencounters.org/wp-content/uploads/2013/10/Steven-Valenzuela.png</t>
  </si>
  <si>
    <t>345 N Virginia St</t>
  </si>
  <si>
    <t>Reno police responded to a report of a robbery. The man led them into the Eldorado Casino on a foot pursuit. During the pursuit, officers saw the suspect had a gun, and he was shot and killed the suspect.</t>
  </si>
  <si>
    <t>http://mynews4.com/news/local/heavy-police-activity-near-eldorado-casino-in-downtown-reno</t>
  </si>
  <si>
    <t>Stoney McJunkin</t>
  </si>
  <si>
    <t>http://www.fatalencounters.org/wp-content/uploads/2013/10/stoney-mcjunkin.jpg</t>
  </si>
  <si>
    <t>Watts</t>
  </si>
  <si>
    <t>http://www.tulsaworld.com/news/crimewatch/state-investigators-probe-officer-involved-fatal-shooting-in-adair-county/article_6899795c-4127-5b18-9ca8-bca58dfe0871.html</t>
  </si>
  <si>
    <t>Taylor Kendall Hodge</t>
  </si>
  <si>
    <t>24201 Duffield Rd</t>
  </si>
  <si>
    <t>A man allegedly broke into a home, killed one dog and stabbed another and refused to drop his knife when confronted by deputies. He was fatally shot during a struggle.</t>
  </si>
  <si>
    <t>http://www.wtsp.com/news/deputy-involved-shooting-reported-in-hernando/410103018</t>
  </si>
  <si>
    <t>Thomas Scott Henry</t>
  </si>
  <si>
    <t>http://www.orlandosentinel.com/news/breaking-news/os-deputy-involved-shooting-deland-lake-county-20170204-story.html</t>
  </si>
  <si>
    <t>Travis Edward Baker</t>
  </si>
  <si>
    <t>http://www.fatalencounters.org/wp-content/uploads/2013/10/Travis-Edward-Baker.png</t>
  </si>
  <si>
    <t>E 210 Rd and S 625 Rd</t>
  </si>
  <si>
    <t>Fairland</t>
  </si>
  <si>
    <t>Travis Edward Baker was suspected of several car thefts and home break-ins in the Ottawa County area when he was shot and killed by deputies after he allegedly pointed a handgun at them.</t>
  </si>
  <si>
    <t>http://www.tulsaworld.com/homepagelatest/man-killed-in-ottawa-county-deputy-involved-shooting/article_3fcdf2a8-dbbf-557e-9383-df308e24f22f.html</t>
  </si>
  <si>
    <t>Val Thomas</t>
  </si>
  <si>
    <t>1596 Hartford-New London Turnpike</t>
  </si>
  <si>
    <t>Oakdale</t>
  </si>
  <si>
    <t>Montville Police Department</t>
  </si>
  <si>
    <t>Montville Police Department responded to the Chesterfield Lodge for a report of an unwanted person on the property. When officers arrived they asked the man to leave, but the man, Val Thomas, fought. Thomas grabbed a stun gun from one of the officers during the struggle and began beating an officer on the head with it. That officer drew a firearm and shot and killed Thomas, according to police.</t>
  </si>
  <si>
    <t>http://www.nbcconnecticut.com/news/local/State-Police-Responding-to-Incident-in-Montville-412093643.html</t>
  </si>
  <si>
    <t>William D. Fisher</t>
  </si>
  <si>
    <t>Caroline</t>
  </si>
  <si>
    <t>Caroline County Sheriff's Office</t>
  </si>
  <si>
    <t>http://wric.com/2017/01/20/caroline-county-deputy-under-investigation-after-shooting-killing-man/</t>
  </si>
  <si>
    <t>William David Whetstone</t>
  </si>
  <si>
    <t>http://www.charlotteobserver.com/news/local/y6df4t/picture130575044/ALTERNATES/FREE_320/2-3-2017%20WHETSTONE,%20WILLIAM%20DAVID</t>
  </si>
  <si>
    <t>12 Street Place NW</t>
  </si>
  <si>
    <t>Police said they went to the home of William David Whetstone, 33, to serve a narcotics search warrant on him. Police entered the home and saw Whetstone and ordered him not to move, police said. Whetstone then reached between the cushions of a sofa for a handgun and pointed it at the officers. Officers shot and killed him.</t>
  </si>
  <si>
    <t>http://www.charlotteobserver.com/news/local/article130526329.html</t>
  </si>
  <si>
    <t>Yia Lee</t>
  </si>
  <si>
    <t>401 Main Street</t>
  </si>
  <si>
    <t>Panhandle</t>
  </si>
  <si>
    <t>Carson County Sheriff's Office</t>
  </si>
  <si>
    <t>Two men were in custody at the DPS office for a criminal charge of transporting drugs. One of the suspects, Yia Lee, produced a loaded handgun and fired at the two deputies. The deputies shot and killed him.</t>
  </si>
  <si>
    <t>http://www.newschannel10.com/story/34418064/officer-involved-shooting-in-panhandle-1-suspect-dead</t>
  </si>
  <si>
    <t>David English</t>
  </si>
  <si>
    <t>Officers with the Fugitive Warrants Task Force attempted to serve multiple felony warrants on David English, but when he saw the officers, he fled. He allegedly threatened officers with a knife, and three officers shot and killed him. A knife was found at the scene.</t>
  </si>
  <si>
    <t>http://www.tulsaworld.com/homepagelatest/update-man-dies-after-being-shot-by-police-in-southeast/article_26955af6-976a-58a7-a9dd-6dcab3c3e00c.html</t>
  </si>
  <si>
    <t>Kadeem Torres</t>
  </si>
  <si>
    <t>http://www.fatalencounters.org/wp-content/uploads/2013/10/Kadeem-Torres.jpg</t>
  </si>
  <si>
    <t>890 Belmont Ave</t>
  </si>
  <si>
    <t>Police said two officers and a sergeant, on patrol in the area, spotted Kadeem Torres on the street and asked to question him. He drew a revolver and fired at the officers, the officers returned fire, and Torres fled on foot with officers in pursuit. One officer followed the suspect into an alley and confronted and shot and killed him.</t>
  </si>
  <si>
    <t>http://abc7ny.com/news/suspect-dead-officer-hurt-in-police-involved-shooting-in-brooklyn/1758358/</t>
  </si>
  <si>
    <t>James Thompson</t>
  </si>
  <si>
    <t>http://wtvm.images.worldnow.com/images/13036002_G.png</t>
  </si>
  <si>
    <t>LaGrange</t>
  </si>
  <si>
    <t>Troup</t>
  </si>
  <si>
    <t>Deputies were called to a home in reference to a dispute involving a knife. When officials arrived at the scene they discovered family members outside of the home. Police said James Thompson was inside the home with a 24-year-old woman. Officers then heard shots fired inside the home and ordered them to come outside. Thompson walked out with the woman in a chokehold and a knife in his hand. He put down the knife and released the woman. The woman was shot inside the home. Officers handcuffed Thompson, who they said was “very combative” during the arrest, and sat him on the ground by the police vehicle. Officials then said at some point he stopped breathing.</t>
  </si>
  <si>
    <t>http://www.wtvm.com/story/34394591/gbi-investigating-after-lagrange-man-dies-while-in-custody</t>
  </si>
  <si>
    <t>Michael Anthony Barrera</t>
  </si>
  <si>
    <t>http://www.fatalencounters.org/wp-content/uploads/2013/10/Michael-Anthony-Barrera.png</t>
  </si>
  <si>
    <t>http://www.sacbee.com/news/local/crime/article131619224.html</t>
  </si>
  <si>
    <t>Charles Kosi Jr.</t>
  </si>
  <si>
    <t>300 Rodgers Blvd</t>
  </si>
  <si>
    <t>Honolulu Police Department, Hawaii Department of Public Safety</t>
  </si>
  <si>
    <t>Hector Arreola</t>
  </si>
  <si>
    <t>http://www.fatalencounters.org/wp-content/uploads/2013/10/Hector-Arreola.png</t>
  </si>
  <si>
    <t>Moss Drive and Lichfield Road</t>
  </si>
  <si>
    <t>Muhammad Abdul Muhaymin</t>
  </si>
  <si>
    <t>http://www.fatalencounters.org/wp-content/uploads/2013/10/Muhammad-Abdul-Muhaymin.png</t>
  </si>
  <si>
    <t>4420 N. 51st Avenue</t>
  </si>
  <si>
    <t>Phoenix police said officers were called to a community center where a man was reported to be "acting erratically," refusing to leave and had allegedly assaulted an employee. Multiple officers restrained the man as he continued to fight with officers, even after he was handcuffed. He died a short time later.</t>
  </si>
  <si>
    <t>Ambroshia Fagre</t>
  </si>
  <si>
    <t>http://www.fatalencounters.org/wp-content/uploads/2013/10/Ambroshia-Fagre.png</t>
  </si>
  <si>
    <t>Arnold Rd</t>
  </si>
  <si>
    <t>Vassalboro</t>
  </si>
  <si>
    <t>Kennebec</t>
  </si>
  <si>
    <t>After a burglary and chase, passenger Ambrosia Fagre and driver Kadhar Bailey were shot and killed by police after their car allegedly hit a Maine State Police cruiser.</t>
  </si>
  <si>
    <t>http://www.pressherald.com/2017/02/11/man-shot-dead-after-vassalboro-burglary/</t>
  </si>
  <si>
    <t>Chad Robertson</t>
  </si>
  <si>
    <t>http://www.fatalencounters.org/wp-content/uploads/2013/10/ChadRobertson.png</t>
  </si>
  <si>
    <t>S Canal St &amp; Jackson Blvd</t>
  </si>
  <si>
    <t>Amtrak Police Department</t>
  </si>
  <si>
    <t>Charged with 1st degree murder</t>
  </si>
  <si>
    <t>http://www.startribune.com/lawyer-minneapolis-man-shot-by-transit-police-in-chicago-has-died/413884623</t>
  </si>
  <si>
    <t>Chance David Baker</t>
  </si>
  <si>
    <t>http://www.fatalencounters.org/wp-content/uploads/2013/10/Chance-David-Baker.png</t>
  </si>
  <si>
    <t>296 St John St.</t>
  </si>
  <si>
    <t>Portland Police Department</t>
  </si>
  <si>
    <t>Police responded to 911 calls around 11:10 a.m. of a man walking through the parking lot, screaming and pointing a gun at cars, police said. At the scene, officers heard conflicting reports that the weapon was a shotgun, rifle or a BB gun. They found the man still brandishing the weapon in front of the Subway. He was shot on the sidewalk outside the door of the Subway. Investigators later determined that the weapon was a rifle-style pellet gun with a wooden stock and a scope.</t>
  </si>
  <si>
    <t>http://www.pressherald.com/2017/02/18/shooting-reported-at-portland-strip-mall/</t>
  </si>
  <si>
    <t>Daniel D. Rogers</t>
  </si>
  <si>
    <t>http://www.fatalencounters.org/wp-content/uploads/2013/10/Daniel.jpg</t>
  </si>
  <si>
    <t>Carpenter Street and Walnut Street</t>
  </si>
  <si>
    <t>Sangamon</t>
  </si>
  <si>
    <t>Springfield police received numerous calls about a white man in the street acting erratic and throwing objects at passing vehicles. When the officer arrived, Rogers began throwing objects at his squad car. The officer got out and spoke to Rogers, who turned around and acted as if he wanted to be handcuffed as the officer approached. After one wrist was handcuffed, Rodgers turned around and attacked the officer, who fought with Rogers before he shot and killed him. He was schizophrenic and bipolar, family members said, and police should have been aware of his mental illness because of past encounters.</t>
  </si>
  <si>
    <t>http://www.sj-r.com/news/20170123/springfield-man-shot-killed-by-police-officer-during-altercation</t>
  </si>
  <si>
    <t>Quanice Derrick Hayes</t>
  </si>
  <si>
    <t>http://www.fatalencounters.org/wp-content/uploads/2013/10/Quanice-Derrick-Hayes.jpg</t>
  </si>
  <si>
    <t>After several robberies, police caught up with Hayes. He was shot and killed and apparently had a realistic looking fake gun.</t>
  </si>
  <si>
    <t>http://koin.com/2017/02/09/portland-police-kill-armed-robbery-suspect/</t>
  </si>
  <si>
    <t>Sergio Reyes</t>
  </si>
  <si>
    <t>http://www.fatalencounters.org/wp-content/uploads/2013/10/Sergio-Reyes.png</t>
  </si>
  <si>
    <t>185 Starr St</t>
  </si>
  <si>
    <t>Sergio Reyes pointed a pellet gun at a Bushwick bodega clerk just after midnight before raising the same weapon at police just moments later, police said. Reyes, 18, was shot and killed outside the Garden Deli &amp; Grill at Irving Ave. and Starr St. He was trying to steal five bottles of Corona and a Heineken.</t>
  </si>
  <si>
    <t>http://www.nydailynews.com/new-york/brooklyn/cops-fire-shots-brooklyn-deli-wounded-article-1.2976505</t>
  </si>
  <si>
    <t>Peter Torres</t>
  </si>
  <si>
    <t>http://www.fatalencounters.org/wp-content/uploads/2013/10/Peter-Torres.jpg</t>
  </si>
  <si>
    <t>Moultrie</t>
  </si>
  <si>
    <t>Colquitt</t>
  </si>
  <si>
    <t>Colquitt County Sheriff's Office</t>
  </si>
  <si>
    <t>A deputy was called to a disturbance at a home on Blackberry Lane. Torres had allegedly assaulted people in the home and destroyed property. Deputy Joshua Alan Luke attempted to speak with the Torres in the backyard of the home. Police said Torres ran towards the deputy and was shot and killed.</t>
  </si>
  <si>
    <t>http://www.walb.com/story/34528983/man-dies-two-weeks-after-deputy-involved-shooting</t>
  </si>
  <si>
    <t>Douglas Roger Tanner Sr.</t>
  </si>
  <si>
    <t>Humber Field Road</t>
  </si>
  <si>
    <t>Lumpkin</t>
  </si>
  <si>
    <t>Stewart</t>
  </si>
  <si>
    <t>Douglas Roger Tanner Sr. died after deputies in Butts County used a Taser to subdue him, police said. Deputies were serving a narcotics-related search warrant at a home when they encountered Tanner. He was shocked during a fight with the deputies.</t>
  </si>
  <si>
    <t>http://www.11alive.com/news/man-dies-after-being-tased-by-butts-county-deputies/414106955</t>
  </si>
  <si>
    <t>Joshua George Dove</t>
  </si>
  <si>
    <t>1401 Fifth Ave. N.</t>
  </si>
  <si>
    <t>Police were dispatched to the area because they received a tip that Dove and other men were using drugs. Dove was with four other men when officers arrived. Police said they told the men to leave and all but Dove obeyed. Dove became confrontational and threw a punch at an officer, Patrick McGovern, a 21-year veteran of the department. Officers struggled with Dove for several minutes before they used a Taser twice in an effort to restrain him. He died a short time later.</t>
  </si>
  <si>
    <t>http://www.tampabay.com/news/publicsafety/police-man-dies-during-arrest-in-st-petersburg/2308363</t>
  </si>
  <si>
    <t>Police were responding to a 911 call for a person screaming. Arriving officers found the man jumping up and down on his red pickup truck while screaming. The man jumped off the truck and went to the driver's side of the patrol car, reached inside an open window, and grabbed a female officer by her neck and hair. There was a struggle, and an officer struck the man with a baton. Another officer tasered him. Finally, they got him to the ground and got him handcuffed - then noticed he was unresponsive.</t>
  </si>
  <si>
    <t>http://6abc.com/news/man-dies-after-altercation-with-police-in-north-philadelphia/1709962/</t>
  </si>
  <si>
    <t>Sabin Marcus Jones</t>
  </si>
  <si>
    <t>http://www.fatalencounters.org/wp-content/uploads/2013/10/Sabin-Marcus-Jones.png</t>
  </si>
  <si>
    <t>827 N Mecklenburg Ave</t>
  </si>
  <si>
    <t>South Hill</t>
  </si>
  <si>
    <t>A relative of Jones signed an emergency custody order for law enforcement to take him into custody and transport him to the hospital. Smith says he had not taken medicine for his mental illness for about a month. Jones refused to get out of his car at the E-Z Stop gas station, after officers tracked him down. Officers broke two car windows to pull Jones, who weighed about 145 pounds, from the car. Officers drew their guns. A relative said she yelled to the officers that Jones was sick, and not to Taser him. She says Jones was Tased three times and then appeared to have a seizure-like episode and died.</t>
  </si>
  <si>
    <t>http://www.nbc12.com/story/34345766/va-man-with-schizophrenia-dies-after-being-shot-with-taser-by-law-enforcement</t>
  </si>
  <si>
    <t>Tereance Klein</t>
  </si>
  <si>
    <t>http://www.fatalencounters.org/wp-content/uploads/2013/10/Klein.jpg</t>
  </si>
  <si>
    <t>Klein was barricaded in a basement when police tried to arrest him. He fought and was tasered and died.</t>
  </si>
  <si>
    <t>http://www.stltoday.com/news/local/crime-and-courts/combative-man-dies-in-st-louis-county-police-custody-after/article_a73047e4-ceae-5f3e-a5e1-701fbeb8c77e.html</t>
  </si>
  <si>
    <t>Alex Christopher Davis</t>
  </si>
  <si>
    <t>http://www.fatalencounters.org/wp-content/uploads/2013/10/Alex-Christopher-Davis.jpg</t>
  </si>
  <si>
    <t>Pisgah</t>
  </si>
  <si>
    <t>According to police, Alex Davis came at the deputy with a board. The deputy asked him to stop. He also twice tried to subdue the teenager with his stun gun. Davis was able to pull the electrodes off him to pursue the deputy, and Davis was shot and killed.</t>
  </si>
  <si>
    <t>http://whnt.com/2017/02/07/1-person-killed-following-deputy-involved-shooting-in-pisgah/</t>
  </si>
  <si>
    <t>Christopher Carter</t>
  </si>
  <si>
    <t>1214 Anita Dr</t>
  </si>
  <si>
    <t>Christopher Carter held a female hostage within a laundry room in building five of The Villages at Franklin Crossings after police tried to apprehend him. He was shot and killed, but it was not released immediately who fired the bullet.</t>
  </si>
  <si>
    <t>http://www.kentwired.com/latest_updates/article_99d5a8d0-f728-11e6-9b63-9f9037395213.html</t>
  </si>
  <si>
    <t>Daniel McMasters</t>
  </si>
  <si>
    <t>Pearl Street</t>
  </si>
  <si>
    <t>Grafton City Police Department</t>
  </si>
  <si>
    <t>According to the Taylor County Prosecuting Attorney, Daniel McMasters was wanted on a bench warrant when he was shot and killed by police. Few details were immediately released.</t>
  </si>
  <si>
    <t>http://www.wdtv.com/content/news/Another-possible-shooting-in-Grafton-412700043.html</t>
  </si>
  <si>
    <t>Jahlire Nicholson</t>
  </si>
  <si>
    <t>137-64 Westgate Street</t>
  </si>
  <si>
    <t>Jamaica</t>
  </si>
  <si>
    <t>Nicholson was threatening his mother with a screwdriver. After a fight with police, he was shot and killed.</t>
  </si>
  <si>
    <t>http://www.nbcnewyork.com/news/local/Cops-Shoot-Kill-Man-Who-Threatened-Mom-With-Screwdriver-in-Queens-NYPD-410718035.html</t>
  </si>
  <si>
    <t>Kris Kristl</t>
  </si>
  <si>
    <t>http://www.fatalencounters.org/wp-content/uploads/2013/10/KrisKristi.jpg</t>
  </si>
  <si>
    <t>Co Hwy H and Petrie Rd</t>
  </si>
  <si>
    <t>Geneva</t>
  </si>
  <si>
    <t>http://www.cbs58.com/story/34416043/dci-currently-investigating-officer-involved-critical-incident-in-the-town-of-geneva</t>
  </si>
  <si>
    <t>CR 7297</t>
  </si>
  <si>
    <t>Navajo Police Department</t>
  </si>
  <si>
    <t>No details except the locale were released as to why this person was shot and killed by police.</t>
  </si>
  <si>
    <t>http://www.daily-times.com/story/news/crime/2017/02/10/fbi-investigating-officer-involved-shooting/97744996/</t>
  </si>
  <si>
    <t>Nicolas Sanchez</t>
  </si>
  <si>
    <t>http://www.fatalencounters.org/wp-content/uploads/2013/10/Nicolas-Sanchez.png</t>
  </si>
  <si>
    <t>4395 S 1900 W</t>
  </si>
  <si>
    <t>Two police officers responded to reports of trespassing at an open Texaco gas station. Shortly after they arrived, Nicolas Sanchez was shot and killed, although it was not immediately released what precipitated the killing.</t>
  </si>
  <si>
    <t>http://kutv.com/news/local/one-dead-after-shooting-involving-roy-police</t>
  </si>
  <si>
    <t>Steve Salgado</t>
  </si>
  <si>
    <t>http://www.ocregister.com/articles/dead-742552-police-involved.html</t>
  </si>
  <si>
    <t>Andrew Byrd</t>
  </si>
  <si>
    <t>http://www.fatalencounters.org/wp-content/uploads/2013/10/Andrew-Byrd.jpg</t>
  </si>
  <si>
    <t>Small Ave and Acero Ave</t>
  </si>
  <si>
    <t>Police investigating a stolen vehicle reportedly found an occupied vehicle and tried to talk to the driver. The man responded by first backing his vehicle into a police car, then driving forward and hitting another parked car, then aiming his car at the officers. Police shot and killed Byrd.</t>
  </si>
  <si>
    <t>http://www.kktv.com/content/news/Police-shoot-kill-man-who-was-allegedly-threatening-officers-with-car-412821563.html</t>
  </si>
  <si>
    <t>Brandon S. Lambert</t>
  </si>
  <si>
    <t>http://www.fatalencounters.org/wp-content/uploads/2013/10/BrandonLambert.jpg</t>
  </si>
  <si>
    <t>11130 Parkside Dr.</t>
  </si>
  <si>
    <t>Knox County Sheriff's Office, U.S. Marshals Service</t>
  </si>
  <si>
    <t>Lambert was wanted on several warrants in Knox and Blount counties, including theft, evading arrest, reckless endangerment and others. When officers tried to arrest him, he drove at them with his car and was shot and killed.</t>
  </si>
  <si>
    <t>http://www.wbir.com/news/local/knox-co-officials-responding-to-shooting-at-turkey-creek/408098412</t>
  </si>
  <si>
    <t>Cameron John Johnson</t>
  </si>
  <si>
    <t>Laie</t>
  </si>
  <si>
    <t>An officer tracked down a stolen truck and ordered the driver to stop. The truck struck the officer, police said, and the officer shot and killed the driver.</t>
  </si>
  <si>
    <t>http://khon2.com/2017/01/13/suspect-in-custody-following-shooting-at-kahuku-campground/</t>
  </si>
  <si>
    <t>Dakota A. Lukecart</t>
  </si>
  <si>
    <t>http://www.fatalencounters.org/wp-content/uploads/2013/10/Dakota-A.-Lukecart.png</t>
  </si>
  <si>
    <t>McBride Street and Barreto Lane</t>
  </si>
  <si>
    <t>Officer John Syme said Independence and Sugar Creek police officers were pursuing a maroon sedan. Both men in the sedan were shot, although the specific reasons weren't disclosed. The driver of the car, Dakota A. Lukecart, 22, died. The other man suffered a serious, but non-life-threatening injury.</t>
  </si>
  <si>
    <t>http://www.kmbc.com/article/1-dead-1-wounded-in-officer-involved-shooting-in-sugar-creek/8633453</t>
  </si>
  <si>
    <t>Genevive Dawes</t>
  </si>
  <si>
    <t>http://www.fatalencounters.org/wp-content/uploads/2013/10/Genevive-Dawes.png</t>
  </si>
  <si>
    <t>Officers were responding to a report of a suspicious person from a caller who had also provided a license-plate number, which officers determined belonged to a vehicle reported stolen in Irving. They approached the vehicle and issued "loud, verbal commands" to the occupants to exit the car, but those instructions were ignored, police said. The driver reversed and struck a police vehicle, then lurched forward into a wooden lattice fence. When the fence did not give way, the driver reversed again. Two officers opened fire, killing the woman and wounding a passenger.</t>
  </si>
  <si>
    <t>http://www.dallasnews.com/news/crime/2017/01/18/2-suspects-reportedly-injured-officer-involved-shooting-old-east-dallas</t>
  </si>
  <si>
    <t>Hector Ruben Navarrete</t>
  </si>
  <si>
    <t>http://d1t3gia0in9tdj.cloudfront.net/photo/tributes/t/8/r/207x207/4123094/Hector-Navarrete-1484150163.png</t>
  </si>
  <si>
    <t>10701 Pecos St.</t>
  </si>
  <si>
    <t>http://www.denverpost.com/2017/01/07/northglenn-police-shoot-kidnapping-suspect/</t>
  </si>
  <si>
    <t>Kadhar Bailey</t>
  </si>
  <si>
    <t>http://www.fatalencounters.org/wp-content/uploads/2013/10/Kadhar-Bailey.png</t>
  </si>
  <si>
    <t>http://www.pressherald.com/2017/02/10/report-police-involved-shooting-leaves-1-dead-1-wounded-in-vassalboro/</t>
  </si>
  <si>
    <t>Kenneth "Kenny" B. Huntzinger</t>
  </si>
  <si>
    <t>General Nelson Drive</t>
  </si>
  <si>
    <t>Police were called to a home because of a reported domestic disturbance. When KSP arrived, Huntzinger was ramming his truck into an SUV parked in the driveway. When Sergeant Toby Coyle arrived, officials say Huntzinger tried to run him over, and the trooper shot and killed him.</t>
  </si>
  <si>
    <t>http://www.lex18.com/story/34527731/man-shot-by-state-trooper-has-died</t>
  </si>
  <si>
    <t>Marco A. Gomez</t>
  </si>
  <si>
    <t>Harlem Ave &amp; Jackson Blvd</t>
  </si>
  <si>
    <t>Forest Park</t>
  </si>
  <si>
    <t>Forest Park Police Department</t>
  </si>
  <si>
    <t>A vehicle was reported stolen out of Glendale Heights; it was involved in a hit-and-run in Chicago. It was spotted by Chicago police officers headed into Oak Park, police said. A Forest Park police officer saw the vehicle stop at a nearby traffic light. As the Forest Park Officer approached the vehicle on foot, the suspect vehicle began driving towards the officer, who was in front of the vehicle. Keating said the officer feared for his life and shot into the moving vehicle, killing Gomez.</t>
  </si>
  <si>
    <t>http://www.nbcchicago.com/news/local/Officer-Involved-Shooting-Reported-near-Oak-Park--412755723.html</t>
  </si>
  <si>
    <t>Mark Guirguis</t>
  </si>
  <si>
    <t>http://www.fatalencounters.org/wp-content/uploads/2013/10/Mark-Guirguis.png</t>
  </si>
  <si>
    <t>Allen police officers say they fired into a pickup truck, killing the driver, as Guirguis attempted to back over one of the officers “at a high rate of speed.”</t>
  </si>
  <si>
    <t>http://dfw.cbslocal.com/2017/01/03/one-dead-one-injured-after-officer-involved-shooting-in-allen/</t>
  </si>
  <si>
    <t>Micah R. Lambert</t>
  </si>
  <si>
    <t>1011 AL-21</t>
  </si>
  <si>
    <t>Oxford Police Department</t>
  </si>
  <si>
    <t>After fleeing a stop, Lambert allegedly tried to run over officer and was shot and killed.</t>
  </si>
  <si>
    <t>http://www.annistonstar.com/news/crime/oxford-police-dealing-with-officer-involved-shooting/article_b6b4b312-e330-11e6-85db-1f23623ac2e9.html</t>
  </si>
  <si>
    <t>Michael Russo</t>
  </si>
  <si>
    <t>http://www.fatalencounters.org/wp-content/uploads/2013/10/MichaelRusso.jpg</t>
  </si>
  <si>
    <t>777 San Manuel Blvd</t>
  </si>
  <si>
    <t>http://www.sbsun.com/general-news/20170202/1-dead-1-injured-following-deputy-involved-shooting-outside-san-manuel-casino-in-highland</t>
  </si>
  <si>
    <t>1021 Everett Dr</t>
  </si>
  <si>
    <t>Terrell</t>
  </si>
  <si>
    <t>Kaufman County Sheriff's Office</t>
  </si>
  <si>
    <t>http://inforney.com/crime/item/5268-police-shoot-kill-alleged-burglary-suspect-another-at-large</t>
  </si>
  <si>
    <t>Darrion M. Barnhill</t>
  </si>
  <si>
    <t>http://www.fatalencounters.org/wp-content/uploads/2013/10/Darrion-M.-Barnhill.png</t>
  </si>
  <si>
    <t>50 Tumbleweed Lane</t>
  </si>
  <si>
    <t>Reagan</t>
  </si>
  <si>
    <t>Two deputies responded to a report of a man beating on a door at 50 Tumbleweed Lane around 11 p.m. and found Darrion Barnhill outside the home. Deputies ordered Barnhill to surrender because he had outstanding warrants. When Barnhill was ordered to surrender, he began to assault the deputies. Reports say he was first tasered then shot and killed.</t>
  </si>
  <si>
    <t>http://www.jacksonsun.com/story/news/crime/2017/01/11/tbi-investigates-fatal-officer-involved-shooting-henderson-county/96436130/</t>
  </si>
  <si>
    <t>David Zimmerman</t>
  </si>
  <si>
    <t>1744 S Old Decker Rd</t>
  </si>
  <si>
    <t>A felony parole warrant for manslaughter had been issued for Zimmerman's arrest. Troopers spotted Zimmerman's Dodge Ram pickup truck at Chuckles, and police in unmarked vehicles pulled in behind his truck. Zimmerman ran into the front of one of the unmarked vehicles. Troopers shot and killed Zimmerman when he allegedly reached for a weapon.</t>
  </si>
  <si>
    <t>http://www.tristatehomepage.com/news/local-news/suspect-hurt-in-shootout-with-isp-in-vincennes/656138153</t>
  </si>
  <si>
    <t>Deaundre Phillips</t>
  </si>
  <si>
    <t>http://www.fatalencounters.org/wp-content/uploads/2013/10/Deaundre-Philips.png</t>
  </si>
  <si>
    <t>3493 Donald Lee Hollowell Parkway NW</t>
  </si>
  <si>
    <t>Philips was apparently sitting on police property. Officers allegedly smelled pot, and when they tried to question him, he tried to flee and was shot and killed.</t>
  </si>
  <si>
    <t>http://www.cbs46.com/story/34359129/police-investigate-shooting-in-atlanta</t>
  </si>
  <si>
    <t>Gary Police Department</t>
  </si>
  <si>
    <t>Evin Yadegar or Evin Sanna Olsen</t>
  </si>
  <si>
    <t>South Manley Road and Tornell Circle</t>
  </si>
  <si>
    <t>Olsen fled a police stop. When she was eventually stopped, she was shot and killed. The precipitating event was not disclosed.</t>
  </si>
  <si>
    <t>http://www.modbee.com/news/local/crime/article135091754.html</t>
  </si>
  <si>
    <t>Gilbert Zambronio Lovato</t>
  </si>
  <si>
    <t>http://www.fatalencounters.org/wp-content/uploads/2013/10/Gilbert-Lovato-500x333.jpg</t>
  </si>
  <si>
    <t>Comanche Rd NE &amp; Carlisle Blvd NE</t>
  </si>
  <si>
    <t>https://www.abqjournal.com/923172/albuquerque-police-shoot-kill-armed-robbery-suspect.html</t>
  </si>
  <si>
    <t>Henry James Hunter</t>
  </si>
  <si>
    <t>http://www.fatalencounters.org/wp-content/uploads/2013/10/Henry-James-Hunter.jpg</t>
  </si>
  <si>
    <t>North 1st and Prairie Village Avenue</t>
  </si>
  <si>
    <t>Anadarko Police Department</t>
  </si>
  <si>
    <t>According to Anadarko Police, officers responded to a call concerning a domestic disturbance. The details were immediately withheld about what led to the shooting, but a man in the disturbance was shot and killed.</t>
  </si>
  <si>
    <t>http://www.news9.com/story/34460423/investigation-underway-after-officer-involved-shooting-in-anadarko</t>
  </si>
  <si>
    <t>Jamake Cason Thomas</t>
  </si>
  <si>
    <t>I-95 &amp; State Rd 2455 &amp; Raynham Rd</t>
  </si>
  <si>
    <t>Jamake Cason Thomas was a murder suspect wanted in Marlboro County, SC. He was shot and killed after chase that began in South Carolina ended about seven miles into North Carolina on Interstate 95.</t>
  </si>
  <si>
    <t>http://abc11.com/news/murder-suspect-killed-in-shootout-with-troopers-on-i-95/1735795/</t>
  </si>
  <si>
    <t>Jason Fanning</t>
  </si>
  <si>
    <t>http://www.fatalencounters.org/wp-content/uploads/2013/10/Jason-Fanning.jpg</t>
  </si>
  <si>
    <t>Charles St &amp; S 20th St.</t>
  </si>
  <si>
    <t>Very little information was immediately available. Jason Fanning was shot and killed by St. Joseph police.</t>
  </si>
  <si>
    <t>http://www.newspressnow.com/news/local_news/one-person-dead-in-officer-involved-incident/article_d9444b07-b849-53f7-a8f2-24700c8775ae.html</t>
  </si>
  <si>
    <t>Jason Robert Mendez</t>
  </si>
  <si>
    <t>http://www.fatalencounters.org/wp-content/uploads/2013/10/Jason-Robert-Mendez.jpg</t>
  </si>
  <si>
    <t>412 Mauldin Rd</t>
  </si>
  <si>
    <t>Jason Robert Mendez was shot and killed when police tried to question him about stolen plates on the car he was sitting in.</t>
  </si>
  <si>
    <t>http://wspa.com/2017/02/11/suspect-dead-after-officer-involved-shooting-in-greenville-co/</t>
  </si>
  <si>
    <t>Jean R. Valescot</t>
  </si>
  <si>
    <t>http://www.fatalencounters.org/wp-content/uploads/2013/10/Jean-R.-Valescot.png</t>
  </si>
  <si>
    <t>Big Lake</t>
  </si>
  <si>
    <t>Lt. James Helgoe shot and killed Jean R. Valescot after he threatened to kill his girlfriend and their son, during a hostage situation, according to police.</t>
  </si>
  <si>
    <t>http://www.ktva.com/troopers-kill-big-lake-man-allegedly-threatening-kill-small-child-760/</t>
  </si>
  <si>
    <t>John McLaughlin</t>
  </si>
  <si>
    <t>A man was shot to death by a Springfield Township Police Department after police responded to reports of a domestic dispute, according to police.</t>
  </si>
  <si>
    <t>http://www.wlwt.com/article/police-1-injured-in-springfield-twp-officer-involved-shooting/8553603</t>
  </si>
  <si>
    <t>Johnnie J. Harris Jr.</t>
  </si>
  <si>
    <t>80th St and Wayne Ave</t>
  </si>
  <si>
    <t>Police were called to a home after reports of shots fired. A suspect, believed to be armed, refused to exit the home, initiating the standoff. The man was shot and killed by police when he left his home.</t>
  </si>
  <si>
    <t>http://www.kansascity.com/news/local/crime/article130813639.html</t>
  </si>
  <si>
    <t>Jonathan David Sper</t>
  </si>
  <si>
    <t>http://www.fatalencounters.org/wp-content/uploads/2013/10/Jonathan-David-Sper.jpg</t>
  </si>
  <si>
    <t>4011 Summit Court NE</t>
  </si>
  <si>
    <t>Deputies responded to the address after a report that two adult brothers were fighting. The deputies separated the brothers, after which there was a fight with one of the men. He was shot and killed.</t>
  </si>
  <si>
    <t>http://woodtv.com/2017/01/24/officers-responding-to-shooting-north-of-rockford/</t>
  </si>
  <si>
    <t>Jose Nieves</t>
  </si>
  <si>
    <t>http://www.fatalencounters.org/wp-content/uploads/2013/10/Jose-Nieves.png</t>
  </si>
  <si>
    <t>There was an alleged confrontation between Nieves and an off-duty Chicago police officer. The family says Nieves has had problems with the officer before, reporting it to Chicago police, but nothing was apparently done.</t>
  </si>
  <si>
    <t>http://abc7chicago.com/news/person-fatally-shot-by-off-duty-chicago-police-officer-in-hermosa/1682497/</t>
  </si>
  <si>
    <t>Joshua D. Jones</t>
  </si>
  <si>
    <t>http://www.fatalencounters.org/wp-content/uploads/2013/10/Joshua-D.-Jones.jpg</t>
  </si>
  <si>
    <t>Robbins Police Department</t>
  </si>
  <si>
    <t>An off-duty Robbins police officer shot and killed a man on the Far South Side after the man possibly tried to rob him, according to Chicago Police.</t>
  </si>
  <si>
    <t>http://chicago.suntimes.com/news/off-duty-robbins-police-officer-shoots-kills-robbery-suspect/</t>
  </si>
  <si>
    <t>Joshua Henry</t>
  </si>
  <si>
    <t>http://www.fatalencounters.org/wp-content/uploads/2013/10/joshua_henry.jpg</t>
  </si>
  <si>
    <t>Grand Prairie officers responded to a home after receiving a report from the relative of a man inside destroying the house and property, police said. While one officer was speaking with Henry, he became belligerent and walked away. A fight broke out and an officer shot and killed Henry.</t>
  </si>
  <si>
    <t>http://www.star-telegram.com/news/local/community/arlington/article133582044.html</t>
  </si>
  <si>
    <t>JR Williams</t>
  </si>
  <si>
    <t>N 35th Ave &amp; W Alice Ave</t>
  </si>
  <si>
    <t>Police stopped a vehicle for a felony warrant. The passenger fled and somehow communicated that he had a gun. He spun aggressively and was shot and killed.</t>
  </si>
  <si>
    <t>http://www.azcentral.com/story/news/local/phoenix-breaking/2017/01/09/phoenix-police-shooting-35th-avenue-dunlap/96369682/</t>
  </si>
  <si>
    <t>Justin A. Burton</t>
  </si>
  <si>
    <t>4317 N.E. 66th Ave.</t>
  </si>
  <si>
    <t>After a carjacking and chase, Burton broke into an occupied apartment, and police shot and killed him in a bedroom where he was hiding.</t>
  </si>
  <si>
    <t>http://www.columbian.com/news/2017/feb/10/officer-involved-shooting-clark-vancouver-sheriff-mall/</t>
  </si>
  <si>
    <t>Kevin Ernest Tree</t>
  </si>
  <si>
    <t>http://www.fatalencounters.org/wp-content/uploads/2013/10/Kevin-Ernest-Tree.png</t>
  </si>
  <si>
    <t>1212 S Pine Ave</t>
  </si>
  <si>
    <t>Tree may have been suicidal when he was shot and killed by Ocala police at the Holiday Inn Express.</t>
  </si>
  <si>
    <t>http://www.ocala.com/news/20170112/man-fatally-shot-in-confrontation-with-police-at-ocala-hotel</t>
  </si>
  <si>
    <t>Marquez Warren</t>
  </si>
  <si>
    <t>Mauro Garnica</t>
  </si>
  <si>
    <t>Newman</t>
  </si>
  <si>
    <t>Newman Police Department</t>
  </si>
  <si>
    <t>Mauro Garnica was shot and killed by a Newman police officer who responded to a report of a fight with weapons at a home on Bobolink Avenue.</t>
  </si>
  <si>
    <t>Medger Blake</t>
  </si>
  <si>
    <t>http://www.fatalencounters.org/wp-content/uploads/2013/10/Medger-Blake.jpg</t>
  </si>
  <si>
    <t>Chestnut Meadows Dr and Jacobs Lake Blvd</t>
  </si>
  <si>
    <t>An 11-year-old walked in on his father Medger Blake, 41, stabbing his mother Rose Blake, 38, in their home, police said. He called 9-1-1, and when police arrived, they shot and killed Medger Blake. Rose Blake also died.</t>
  </si>
  <si>
    <t>http://www.mysanantonio.com/news/article/One-woman-one-suspect-dead-in-officer-involved-10950338.php</t>
  </si>
  <si>
    <t>Misael Macias Cano</t>
  </si>
  <si>
    <t>http://www.fatalencounters.org/wp-content/uploads/2013/10/Misael-Macias-Cano.png</t>
  </si>
  <si>
    <t>Police were attempting to arrest Misael Cano, when he fled. He was shot and killed at the end of the pursuit, but details were not released.</t>
  </si>
  <si>
    <t>http://gazette.com/suspect-shot-and-killed-in-colorado-springs/article/1597375</t>
  </si>
  <si>
    <t>Rocklin</t>
  </si>
  <si>
    <t>Rocklin Police Department</t>
  </si>
  <si>
    <t>Residents called 911 shortly to report that a man was attempting to break into their home. After entering the home, the man encountered an armed resident and fled. The man was outside the home when three police officers arrived. Police said he had something that resembled a gun. He was shot and killed.</t>
  </si>
  <si>
    <t>http://www.sacbee.com/news/local/crime/article135013504.html</t>
  </si>
  <si>
    <t>Nana Adomako</t>
  </si>
  <si>
    <t>Mowry Ave and Sutter Dr</t>
  </si>
  <si>
    <t>Officers responded to a call concerning a domestic disturbance. The fight continued after police arrived, and an officer was injured before the man was shot and killed, police said.</t>
  </si>
  <si>
    <t>http://www.sfgate.com/bayarea/article/1-dead-in-Fremont-in-officer-involved-shooting-10910394.php</t>
  </si>
  <si>
    <t>Pekelo Sanchez</t>
  </si>
  <si>
    <t>http://www.fatalencounters.org/wp-content/uploads/2013/10/Pekelo-Sanchez.png</t>
  </si>
  <si>
    <t>98-250 Ualo St</t>
  </si>
  <si>
    <t>Aiea</t>
  </si>
  <si>
    <t>Sanchez was in a stolen pickup, asleep. When police attempted to talk to him, he rammed the apartments in front of the car and several vehicles before being shot and killed.</t>
  </si>
  <si>
    <t>http://www.hawaiinewsnow.com/story/34482112/police-investigating-officer-involved-shooting-across-pearlridge</t>
  </si>
  <si>
    <t>Ramon Milanez</t>
  </si>
  <si>
    <t>http://www.fatalencounters.org/wp-content/uploads/2013/10/Ramon-Milanez.png</t>
  </si>
  <si>
    <t>Kuna</t>
  </si>
  <si>
    <t>Police were looking for a man who'd shot at a Kuna officer. They trapped the man in a house, and when he tried to leave in a car, shot and killed him.</t>
  </si>
  <si>
    <t>http://www.idahostatesman.com/news/local/crime/article128371404.html</t>
  </si>
  <si>
    <t>Raynard Burton</t>
  </si>
  <si>
    <t>http://www.fatalencounters.org/wp-content/uploads/2013/10/RaynardBurton.jpg</t>
  </si>
  <si>
    <t>http://www.detroitnews.com/story/news/local/detroit-city/2017/02/14/coalition-demands-answers-fatal-police-shooting/97900586/</t>
  </si>
  <si>
    <t>Richard A. Jackson</t>
  </si>
  <si>
    <t>I-64</t>
  </si>
  <si>
    <t>English</t>
  </si>
  <si>
    <t>Jackson was wanted in connection with a stabbing in Henry County, Kentucky. The vehicle he was driving was involved in a hit-and-run in Harrison County. The pursuit began after the hit-and-run in Harrison County. During the pursuit, police said Jackson rammed a law enforcement vehicle, got out of his vehicle and charged the officer with a weapon and was shot and killed.</t>
  </si>
  <si>
    <t>http://www.wlky.com/article/isp-investigate-officer-involved-shooting-in-crawford-county/8564108</t>
  </si>
  <si>
    <t>Ronald Dean Johnson</t>
  </si>
  <si>
    <t>1010 8th Ave. SW</t>
  </si>
  <si>
    <t>Mower</t>
  </si>
  <si>
    <t>Austin officers and Mower County sheriff's deputies responded to a domestic disturbance in Austin. Police say an officer shot and injured a man during the disturbance. He was airlifted to Mayo Clinic in Rochester where he died.</t>
  </si>
  <si>
    <t>http://www.kare11.com/news/local/officer-involved-shooting-leaves-1-dead-in-austin/385475423</t>
  </si>
  <si>
    <t>Sean Marie Hake or Sean Ryan</t>
  </si>
  <si>
    <t>http://www.fatalencounters.org/wp-content/uploads/2013/10/Sean-Hake.jpg</t>
  </si>
  <si>
    <t>369 Tamplin Street</t>
  </si>
  <si>
    <t>Sharon</t>
  </si>
  <si>
    <t>Sharon Police Department</t>
  </si>
  <si>
    <t>Police responding to a domestic violence call shot and killed Sean Ryan, although what precipitated the shooting was not immediately disclosed.</t>
  </si>
  <si>
    <t>http://wkbn.com/2017/01/07/23-year-old-killed-in-officer-involved-shooting-in-sharon/</t>
  </si>
  <si>
    <t>Tavis Crane</t>
  </si>
  <si>
    <t>http://www.fatalencounters.org/wp-content/uploads/2013/10/Tavis-Crane.png</t>
  </si>
  <si>
    <t>Crane was fatally shot by police after he reportedly ran over an Arlington officer twice, police said.</t>
  </si>
  <si>
    <t>http://www.star-telegram.com/news/local/community/arlington/article130274734.html</t>
  </si>
  <si>
    <t>Timothy Lionel Williams</t>
  </si>
  <si>
    <t>Officers responded after reports of shots fired. When officers tried to question a man on foot, he fled and a foot chase followed, police said. The man was caught and there was a struggle. During the fight, shots were fired, and one officer shot and killed Timothy Lionel Williams, 47.</t>
  </si>
  <si>
    <t>http://wjla.com/news/local/police-at-least-one-officer-shot-in-northeast-dc</t>
  </si>
  <si>
    <t>Trevon Johnson</t>
  </si>
  <si>
    <t>Standish Lane and Ardmore Avenue</t>
  </si>
  <si>
    <t>Villa Park</t>
  </si>
  <si>
    <t>http://www.chicagotribune.com/news/local/breaking/ct-dupage-fatal-police-shooting-20170102-story.html</t>
  </si>
  <si>
    <t>Vincent D. Palma</t>
  </si>
  <si>
    <t>http://www.fatalencounters.org/wp-content/uploads/2013/10/Vincent-D.-Palma.png</t>
  </si>
  <si>
    <t>An unwanted man was reported at a home. Vincent Palma, who was in the driveway, charged at a deputy after failing to obey commands to stop. The deputy shocked Palma with his Taser. As the deputy radioed for assistance, police say he fired warning shots into the ground. The deputy then used his baton "with no effect" before shooting and killing Palma.</t>
  </si>
  <si>
    <t>http://www.wkyc.com/news/local/ashtabula-county/officer-involved-shooting-in-geneva-township/404679110</t>
  </si>
  <si>
    <t>830 Stanford St</t>
  </si>
  <si>
    <t>Garrard</t>
  </si>
  <si>
    <t>Garrard County Sheriff's Office</t>
  </si>
  <si>
    <t>http://www.amnews.com/2017/01/04/reported-shooting-involving-law-enforcement-officer-in-garrard-county/</t>
  </si>
  <si>
    <t>Willard Eugene Scott Jr.</t>
  </si>
  <si>
    <t>http://www.fatalencounters.org/wp-content/uploads/2013/10/Willard-Eugene-Scott-Jr..png</t>
  </si>
  <si>
    <t>U.S. 501, North Duke Street</t>
  </si>
  <si>
    <t>Trooper Jerimy Mathis attempted to stop a 1996 Nissan sedan that was driving erratically. Police said the driver, Willard Eugene Scott Jr., failed to stop. After a brief pursuit, Scott exited his vehicle and began to run on foot. During the chase, Mathis shot and killed Scott.</t>
  </si>
  <si>
    <t>http://www.wral.com/trooper-involved-in-fatal-shooting-in-durham/16524074/</t>
  </si>
  <si>
    <t>William A. Brigham</t>
  </si>
  <si>
    <t>Groveport</t>
  </si>
  <si>
    <t>Madison Township Police Department</t>
  </si>
  <si>
    <t>Madison Township Police responded to a 911 call from a residence on Toy Road. When they arrived, an officer drew his weapon and shot and killed a man. Police said that the man injured his mother inside the residence.</t>
  </si>
  <si>
    <t>http://nbc4i.com/2017/01/27/sheriffs-office-bci-investigating-officer-involved-shooting/</t>
  </si>
  <si>
    <t>William Tucker Mathis</t>
  </si>
  <si>
    <t>Elkridge</t>
  </si>
  <si>
    <t>William Tucker Mathis was shot and killed by police after officials say he attacked several police officers during a domestic violence incident. Police say Mathis was believed to be in violation of a protective order when he broke into his estranged wife's home on Woodland Forest Drive.</t>
  </si>
  <si>
    <t>http://www.wusa9.com/news/local/man-dies-after-police-involved-shooting-in-howard-county/383409128</t>
  </si>
  <si>
    <t>William Young Jr.</t>
  </si>
  <si>
    <t>http://www.fatalencounters.org/wp-content/uploads/2013/10/William-Young-Jr.png</t>
  </si>
  <si>
    <t>1234 Oleanda Avenue</t>
  </si>
  <si>
    <t>Officers were on a report of a home invasion. Police came across Young while in the house, and Young struck an officer and was shot and killed, police said.</t>
  </si>
  <si>
    <t>http://www.wlky.com/article/lmpd-investigating-shooting-near-churchill-downs/8733626</t>
  </si>
  <si>
    <t>600 La Petite Court</t>
  </si>
  <si>
    <t>1700 Sacramento St</t>
  </si>
  <si>
    <t>300 Webster St.</t>
  </si>
  <si>
    <t>10100 Curran Blvd</t>
  </si>
  <si>
    <t>1700 W 13th St</t>
  </si>
  <si>
    <t>600 Russell Way</t>
  </si>
  <si>
    <t>5800 Magnolia St</t>
  </si>
  <si>
    <t>1700 Cottonwood Road</t>
  </si>
  <si>
    <t>200 South Ave</t>
  </si>
  <si>
    <t>4500 Page Boulevard</t>
  </si>
  <si>
    <t>4000 California Ave</t>
  </si>
  <si>
    <t>4500 Park Drive</t>
  </si>
  <si>
    <t>2900 W Main St</t>
  </si>
  <si>
    <t>1400 Bay Meadows Dr</t>
  </si>
  <si>
    <t>1800 Ranch Road</t>
  </si>
  <si>
    <t>3300 Pico Blvd</t>
  </si>
  <si>
    <t>3100 West Madison Street</t>
  </si>
  <si>
    <t>6200 Marcum St</t>
  </si>
  <si>
    <t>8300 NW 36th Terrace</t>
  </si>
  <si>
    <t>17000 Ookwemin Loop</t>
  </si>
  <si>
    <t>19200 Hwy 99</t>
  </si>
  <si>
    <t>1300 W 5th St</t>
  </si>
  <si>
    <t>400 Southwood Ave</t>
  </si>
  <si>
    <t>800 Sibert Road</t>
  </si>
  <si>
    <t>2700 E 220th St</t>
  </si>
  <si>
    <t>2700 Federal St</t>
  </si>
  <si>
    <t>700 Vickers Ave</t>
  </si>
  <si>
    <t>6200 Albemarle Road</t>
  </si>
  <si>
    <t>14200 Burnham Drive</t>
  </si>
  <si>
    <t>2500 Glenbrook Drive</t>
  </si>
  <si>
    <t>10 Greenwood Ave</t>
  </si>
  <si>
    <t>600 Terrace St</t>
  </si>
  <si>
    <t>700 E 42nd Avenue</t>
  </si>
  <si>
    <t>500 Josephine Avenue</t>
  </si>
  <si>
    <t>1200 Bay Hill Blvd</t>
  </si>
  <si>
    <t>1200 Spruce St</t>
  </si>
  <si>
    <t>14100 Van Buren Court</t>
  </si>
  <si>
    <t>900 North San Antonio Avenue</t>
  </si>
  <si>
    <t>3700 Maserati Dr</t>
  </si>
  <si>
    <t>472500 East 610 Road</t>
  </si>
  <si>
    <t>32900 Firefox Ln</t>
  </si>
  <si>
    <t>13000 Long Branch Road</t>
  </si>
  <si>
    <t>4700 S. Mingo Rd</t>
  </si>
  <si>
    <t>700 Hines Road</t>
  </si>
  <si>
    <t>1300 Garfield Place</t>
  </si>
  <si>
    <t>8300 NE Hancock St</t>
  </si>
  <si>
    <t>100 Blackberry Lane</t>
  </si>
  <si>
    <t>900 Poplar Street</t>
  </si>
  <si>
    <t>2900 Gladwood Drive</t>
  </si>
  <si>
    <t>1900 CR 60</t>
  </si>
  <si>
    <t>400 S Birch St</t>
  </si>
  <si>
    <t>56000 Kamehameha Hwy</t>
  </si>
  <si>
    <t>4700 Eastside Ave</t>
  </si>
  <si>
    <t>700 South Jupiter Road</t>
  </si>
  <si>
    <t>700 Twincrest Court</t>
  </si>
  <si>
    <t>2500-North Lowell Avenue</t>
  </si>
  <si>
    <t>12300 South Wallace</t>
  </si>
  <si>
    <t>400 E Cober Dr</t>
  </si>
  <si>
    <t>2000 Buena Vista Avenue</t>
  </si>
  <si>
    <t>400 Bobolink Ave</t>
  </si>
  <si>
    <t>2900 Illinois Ave</t>
  </si>
  <si>
    <t>4900 Bradford Place</t>
  </si>
  <si>
    <t>400 Black Hawk Dr</t>
  </si>
  <si>
    <t>4200 Webb St</t>
  </si>
  <si>
    <t>1700 Spring Lake Drive</t>
  </si>
  <si>
    <t>1300 Morse St., NE</t>
  </si>
  <si>
    <t>4300 South Ridge Road East</t>
  </si>
  <si>
    <t>3600 Toy Rd</t>
  </si>
  <si>
    <t>6300 Woodland Forest Drive</t>
  </si>
  <si>
    <t>http://www.killedbypolice.net/victims/170202.jpg</t>
  </si>
  <si>
    <t>http://www.killedbypolice.net/victims/170047.jpg</t>
  </si>
  <si>
    <t>http://www.killedbypolice.net/victims/170072.jpg</t>
  </si>
  <si>
    <t>http://www.killedbypolice.net/victims/170130.jpg</t>
  </si>
  <si>
    <t>http://www.killedbypolice.net/victims/170208.jpg</t>
  </si>
  <si>
    <t>http://www.killedbypolice.net/victims/170025.jpg</t>
  </si>
  <si>
    <t>http://www.killedbypolice.net/victims/170101.jpg</t>
  </si>
  <si>
    <t>http://www.killedbypolice.net/victims/170066.jpg</t>
  </si>
  <si>
    <t>http://www.killedbypolice.net/victims/170089.jpg</t>
  </si>
  <si>
    <t>http://www.killedbypolice.net/victims/170063.jpg</t>
  </si>
  <si>
    <t>http://www.killedbypolice.net/victims/170016.jpg</t>
  </si>
  <si>
    <t>http://www.killedbypolice.net/victims/170168.jpg</t>
  </si>
  <si>
    <t>http://www.killedbypolice.net/victims/170207.jpg</t>
  </si>
  <si>
    <t>http://www.killedbypolice.net/victims/170119.jpg</t>
  </si>
  <si>
    <t>http://www.westsideconnect.com/investigators-domestic-dispute-led-to-officer-involved-shooting/article_112c32fa-f3aa-11e6-9e81-3f3673b37bf4.html</t>
  </si>
  <si>
    <t>Christopher Redding Jr.</t>
  </si>
  <si>
    <t>Christopher Redding Jr. was being picked up on a warrant for several robberies, police said. No other details were released about what led to the shooting, but Redding was shot and killed.</t>
  </si>
  <si>
    <t>http://www.wftv.com/news/breaking-news/suspect-killed-sheriffs-deputy-shot-in-florida-officials-say/498298801</t>
  </si>
  <si>
    <t>Earl Donnell Riley</t>
  </si>
  <si>
    <t>http://www.fatalencounters.org/wp-content/uploads/2013/10/Earl-Donnell-Riley.jpg</t>
  </si>
  <si>
    <t>8714 Sterlingame Dr</t>
  </si>
  <si>
    <t>Police were tipped off to a burglary in progress. Officer Ronny Cortez was searching the area with 10-year veteran Officer Jose Munoz when they were both shot multiple times by at least one man. One of the suspected burglars, Earl Donnell Riley, was killed.</t>
  </si>
  <si>
    <t>http://abc13.com/news/suspect-killed-in-shooting-that-wounded-2-officers/1777497/</t>
  </si>
  <si>
    <t>Jose Olivares</t>
  </si>
  <si>
    <t>http://www.fatalencounters.org/wp-content/uploads/2013/10/Jose-Olivares.png</t>
  </si>
  <si>
    <t>Houma Police Department</t>
  </si>
  <si>
    <t>Police were called to a domestic dispute. Jose Olivares stood off police with gun until he was shot and killed.</t>
  </si>
  <si>
    <t>http://www.houmatoday.com/news/20170301/man-killed-by-police-tuesday-night</t>
  </si>
  <si>
    <t>Epthen Lamont Johnson</t>
  </si>
  <si>
    <t>http://www.fatalencounters.org/wp-content/uploads/2013/10/Epthen-Lamont-Johnson.png</t>
  </si>
  <si>
    <t>620 Kurth Dr</t>
  </si>
  <si>
    <t>Lufkin</t>
  </si>
  <si>
    <t>Lufkin Police Department</t>
  </si>
  <si>
    <t>An officer responded to a stabbing in progress call outside of Jones Park. The officer commanded Epthen Lamont Johnson to stop the assault before shooting and killing him.</t>
  </si>
  <si>
    <t>http://www.ktre.com/story/34633212/lufkin-pd-officer-shoots-kills-armed-suspect-to-save-assault-victim</t>
  </si>
  <si>
    <t>Isidro Bazan Jr.</t>
  </si>
  <si>
    <t>http://www.fatalencounters.org/wp-content/uploads/2013/10/Isidro-Bazan-Jr.png</t>
  </si>
  <si>
    <t>Isidro Bazan Jr. was attempting to rob a house when police arrived. He attempted to drive away, then ran, then was shot and killed.</t>
  </si>
  <si>
    <t>http://www.cbs8.com/story/34646811/suspect-killed-in-deputy-involved-shooting-in-san-marcos</t>
  </si>
  <si>
    <t>John Hall</t>
  </si>
  <si>
    <t>http://www.fatalencounters.org/wp-content/uploads/2013/10/JohnHall.png</t>
  </si>
  <si>
    <t>Morning Glory Lane and Swan Avenue</t>
  </si>
  <si>
    <t>Wausau</t>
  </si>
  <si>
    <t>Marathon County Sheriff's Office</t>
  </si>
  <si>
    <t>Police responded to a report of an armed person holding hostages. Officers negotiated with the suspect for two and a half hours, according to police, before shooting and killing John Hall. Exactly what precipitated the killing was not immediately disclosed.</t>
  </si>
  <si>
    <t>http://www.wausaudailyherald.com/story/news/2017/03/02/marathon-county-deputy-involved-rib-mountain-shooting/98624886/</t>
  </si>
  <si>
    <t>Michael Cisneros</t>
  </si>
  <si>
    <t>2323 E Van Buren St</t>
  </si>
  <si>
    <t>Phoenix Police went to the Sky Harbor Inn to assist Maricopa County Adult Probation with Michael Cisneros who allegedly violated his parole. Cisneros refused to listen to the officers' commands. He was shot and later died in the hospital. Cisneros was armed with a non-lethal "replica" pistol.</t>
  </si>
  <si>
    <t>http://www.abc15.com/news/region-phoenix-metro/central-phoenix/officer-involved-shooting-reported-near-sky-harbor</t>
  </si>
  <si>
    <t>Rafael Navarro-Garcia</t>
  </si>
  <si>
    <t>Kietzke Ln and Peckham Lane</t>
  </si>
  <si>
    <t>During a traffic stop, shots were fired from the vehicle, injuring one officer, police said. Two men tried to flee on foot, and there was an exchange of gunfire. Rafael Navarro-Garcia was killed, and the other man, Erick Bernal, 17, fled.</t>
  </si>
  <si>
    <t>http://www.rgj.com/story/news/crime/2017/03/03/officer-hurt-suspect-dies-south-reno-exchange-gunfire/98683212/</t>
  </si>
  <si>
    <t>Ramon Andrade</t>
  </si>
  <si>
    <t>Main Street and Levine Street</t>
  </si>
  <si>
    <t>Ramon Andrade was shot by a Paterson police officer when he apparently threatened him or her with a knife. He was apparently schizophrenic.</t>
  </si>
  <si>
    <t>http://www.northjersey.com/story/news/passaic/paterson/2017/03/16/man-shot-paterson-police-march-2-dies-wounds/99271816/</t>
  </si>
  <si>
    <t>Michael Kocher</t>
  </si>
  <si>
    <t>http://www.fatalencounters.org/wp-content/uploads/2013/10/Michael-Kocher.jpg</t>
  </si>
  <si>
    <t>Michael Kocher took hostages and barricaded himself in a home before he was shot and killed.</t>
  </si>
  <si>
    <t>http://englewoodherald.net/stories/Suspect-shot-by-police-in-Englewood-standoff,243773</t>
  </si>
  <si>
    <t>Dave Phoenix</t>
  </si>
  <si>
    <t>17225 Jersey Ave</t>
  </si>
  <si>
    <t>Lemoore</t>
  </si>
  <si>
    <t>Avenal Police Department</t>
  </si>
  <si>
    <t>Witnesses reported an armed man threatening residents at the Santa Rosa Rancheria. They said Dave Phoenix, 25, was shot after he allegedly pointed the weapon at an officer while being pursued.</t>
  </si>
  <si>
    <t>http://abc30.com/news/suspect-in-officer-involved-shooting-near-tachi-palace-dies/1785244/</t>
  </si>
  <si>
    <t>George Lee Seeton</t>
  </si>
  <si>
    <t>SE 32nd St &amp; S Kelley Ave</t>
  </si>
  <si>
    <t>After a chase, George Lee Seeton allegedly backed up toward police and was shot and killed.</t>
  </si>
  <si>
    <t>http://www.news9.com/story/34664568/police-investigating-after-reported-officer-involved-shooting-in-se-okc</t>
  </si>
  <si>
    <t>Alejandro Valencia Mendez</t>
  </si>
  <si>
    <t>West Olympic Boulevard and South Broadway</t>
  </si>
  <si>
    <t>Police tasered, then shot and killed a man who threatened them with a steel pipe.</t>
  </si>
  <si>
    <t>http://losangeles.cbslocal.com/2017/03/04/officer-involved-shooting-occurs-in-downtown-la/</t>
  </si>
  <si>
    <t>Johnson Lane</t>
  </si>
  <si>
    <t>A man fled when police attempted to interrogate him about his suspicious presence near a closed mall. He was shot and killed.</t>
  </si>
  <si>
    <t>http://www.pe.com/articles/county-826863-sheriff-march.html</t>
  </si>
  <si>
    <t>Dean Bellamy</t>
  </si>
  <si>
    <t>18718 N. Leslie Lane</t>
  </si>
  <si>
    <t>Police were called to a domestic disturbance. After a gunfight, Bellamy was found dead, but it was not immediately known whether he was killed by police or shot himself.</t>
  </si>
  <si>
    <t>http://www.spokesman.com/stories/2017/mar/10/former-bank-executive-threatened-wife-hours-before/</t>
  </si>
  <si>
    <t>Dennis Todd Rogers</t>
  </si>
  <si>
    <t>5045 W Slauson Ave</t>
  </si>
  <si>
    <t>Ladera Heights</t>
  </si>
  <si>
    <t>http://losangeles.cbslocal.com/2017/03/08/deputy-involved-shooting-ladera-heights/</t>
  </si>
  <si>
    <t>Roy Dale Evans Jr.</t>
  </si>
  <si>
    <t>http://www.fatalencounters.org/wp-content/uploads/2013/10/Roy-Dale-Evans-Jr..jpg</t>
  </si>
  <si>
    <t>I-271 &amp; I-71</t>
  </si>
  <si>
    <t>Strongsville</t>
  </si>
  <si>
    <t>Strongsville Police Department</t>
  </si>
  <si>
    <t>Strongsville police attempted to stop a vehicle for a traffic violation. The driver failed to stop and continued to speed, police said. The pursuit ended at I-271 and I-71. A Strongsville officer fired his weapon at least one time, killing the driver, Roy Dale Evans Jr.</t>
  </si>
  <si>
    <t>http://www.newsnet5.com/traffic/traffic-news/i-71-southbound-near-i-271-is-closed-due-to-a-police-crash-that-ended-in-a-chase</t>
  </si>
  <si>
    <t>Roanoke City</t>
  </si>
  <si>
    <t>Roanoke Police Department</t>
  </si>
  <si>
    <t>Frank W. Wratny</t>
  </si>
  <si>
    <t>http://www.fatalencounters.org/wp-content/uploads/2013/10/FrankWratney.jpg</t>
  </si>
  <si>
    <t>9 Spring St</t>
  </si>
  <si>
    <t>New Castle Police Department</t>
  </si>
  <si>
    <t>Union Township police went to Frank W. Wratny's home after a woman called 911 and reported that Wratny — her uncle — had shot at her. He confronted officers with a firearm from the front door of his home and was killed after a short standoff.</t>
  </si>
  <si>
    <t>http://www.post-gazette.com/local/north/2017/03/09/Elderly-man-91-fatally-shot-by-police-in-Lawrence-County-standoff/stories/201703090153</t>
  </si>
  <si>
    <t>Iaroslav Mosiiuk</t>
  </si>
  <si>
    <t>http://www.fatalencounters.org/wp-content/uploads/2013/10/Iaroslav-Mosiiuk.png</t>
  </si>
  <si>
    <t>Police came to Justice Avenue for a suicide threat. According to police, a relative called 911 for help. Mosiiuk was standing outside of the home holding a hunting rifle. An officer perceived a threat and shot and killed him.</t>
  </si>
  <si>
    <t>http://www.wbtv.com/story/34698301/man-dead-in-officer-involved-shooting-in-north-charlotte</t>
  </si>
  <si>
    <t>A vandalism suspect who authorities say was armed with a knife and throwing rocks at a deputy was shot and killed, as he advanced on a deputy, police said.</t>
  </si>
  <si>
    <t>http://www.pe.com/articles/riverside-827068-area-sheriff.html</t>
  </si>
  <si>
    <t>Jesús Alberto Geney Montes</t>
  </si>
  <si>
    <t>http://www.fatalencounters.org/wp-content/uploads/2013/10/Jesús-Alberto-Geney-Montes.png</t>
  </si>
  <si>
    <t>Deborah Drive and Pasetta Dr</t>
  </si>
  <si>
    <t>Police responded to a call to Deborah Drive on reports of a man acting "erratically." The call came from one of the man's parents, police said. Soon after officers arrived an officer deployed his Taser, police said. Moments later, the officer shot and killed the man on railroad tracks adjacent to the end of Deborah Drive.</t>
  </si>
  <si>
    <t>http://www.nbcbayarea.com/news/local/Officer-Involved-Shooting-in-Santa-Clara-Leaves-1-Person-Injured-415828313.html</t>
  </si>
  <si>
    <t>Steven Schiltz</t>
  </si>
  <si>
    <t>18100 Goldenwest St</t>
  </si>
  <si>
    <t>A man was chasing people and threatening them with a weapon bat and a broken bottle at Huntington Beach Sports Complex. A police officer showed up, warning to man to drop the item or he would be shot. Police opened fire after the man ran into the bleachers where a woman was. People who knew Shiltz said he was homeless and struggling with drug and alcohol abuse.</t>
  </si>
  <si>
    <t>http://abc7.com/news/man-shot-killed-by-huntington-beach-police-at-sports-complex/1793857/</t>
  </si>
  <si>
    <t>Toni Jo Collins</t>
  </si>
  <si>
    <t>http://www.fatalencounters.org/wp-content/uploads/2013/10/ToniCollins.jpg</t>
  </si>
  <si>
    <t>11th Street and Broadway Ave J</t>
  </si>
  <si>
    <t>Off-duty officer Evan Fraley was leaving a nearby home with his wife and another relative when he noticed a disturbance in an alley. He saw a female with a firearm. During a confrontation, he shot and killed Toni Jo Collins.</t>
  </si>
  <si>
    <t>http://www.khou.com/news/local/woman-dies-following-officer-involved-shooting-in-galveston/421321381</t>
  </si>
  <si>
    <t>Damon Seitz</t>
  </si>
  <si>
    <t>http://www.fatalencounters.org/wp-content/uploads/2013/10/Damon-Seitz.jpg</t>
  </si>
  <si>
    <t>Police responded to a call regarding a deceased elderly woman inside a house. When officers arrived, they were confronted by Damon Seitz, armed with a gun. Police said Seitz threatened officers with his weapon and was shot and killed.</t>
  </si>
  <si>
    <t>http://www.10news.com/news/police-activity-reported-on-james-street-in-escondido-031017</t>
  </si>
  <si>
    <t>Mark Robert Carlberg</t>
  </si>
  <si>
    <t>Midlothian Police Department</t>
  </si>
  <si>
    <t>Police responded to a reported domestic disturbance. According to police, officers were confronted by an armed man upon arrival. Officers demanded the man drop his gun, but, instead, the man turned toward an officer and was shot and killed.</t>
  </si>
  <si>
    <t>http://dfw.cbslocal.com/2017/03/11/midlothian-police-investigating-officer-involved-shooting/</t>
  </si>
  <si>
    <t>Sherida Davis</t>
  </si>
  <si>
    <t>8276 N 97th St</t>
  </si>
  <si>
    <t>District 3 police officer Leon Davis killed his wife, Sherida Davis, before turning the gun on himself inside the couple's home.</t>
  </si>
  <si>
    <t>http://www.wisn.com/article/one-dead-one-injured-in-milwaukee-shooting/9121734</t>
  </si>
  <si>
    <t>Michael Anthony Perez</t>
  </si>
  <si>
    <t>http://www.fatalencounters.org/wp-content/uploads/2013/10/Michael-Anthony-Perez.jpg</t>
  </si>
  <si>
    <t>Police attempted to pull Michael Perez's minivan over for a broken taillight and a warrant associated with the license plate number, police said. After a standoff inside the minivan, he was shot and killed when he produced a knife.</t>
  </si>
  <si>
    <t>http://ktla.com/2017/03/13/orange-police-shoot-man-suspected-of-traffic-violation-after-using-fire-hoses-to-force-him-from-van/</t>
  </si>
  <si>
    <t>Manuel Gonzalez</t>
  </si>
  <si>
    <t>205 E Magnolia St</t>
  </si>
  <si>
    <t>Bellingham</t>
  </si>
  <si>
    <t>Bellingham Police Department</t>
  </si>
  <si>
    <t>A man was armed with a knife when he was shot and killed by a Bellingham Police officer near the downtown transit station. He allegedly had stabbed another man in the neck.</t>
  </si>
  <si>
    <t>http://kpug1170.com/news/007700-man-with-knife-shot-killed-by-bellingham-police/</t>
  </si>
  <si>
    <t>Luke O. Stewart</t>
  </si>
  <si>
    <t>South Lakeshore Blvd and East 215th Street</t>
  </si>
  <si>
    <t>Euclid</t>
  </si>
  <si>
    <t>Euclid Police Department</t>
  </si>
  <si>
    <t>A Euclid police officer fatally shot Luke O. Stewart during a confrontation, police said. Police were investigating a report of a suspicious vehicle parked on South Lakeshore. Police did not say what precipitated the shooting.</t>
  </si>
  <si>
    <t>http://www.cleveland.com/euclid/index.ssf/2017/03/euclid_police_officer_fatally.html#incart_m-rpt-1</t>
  </si>
  <si>
    <t>Noel Aaron Russell</t>
  </si>
  <si>
    <t>303 Soscol Avenue</t>
  </si>
  <si>
    <t>Police received multiple calls of a man with a knife acting high or crazy outside a Home Depot. When officers arrived, they found the man a short distance north of Home Depot. Two officers shot and killed them, but they did not immediately say what precipitated the killing.</t>
  </si>
  <si>
    <t>http://napavalleyregister.com/news/local/one-man-fatally-shot-by-napa-police-near-home-depot/article_3e9225b8-2136-55f6-aa98-9e5815824ed3.html</t>
  </si>
  <si>
    <t>Elena Mondragon</t>
  </si>
  <si>
    <t>http://www.fatalencounters.org/wp-content/uploads/2013/10/Elena-Mondragon.png</t>
  </si>
  <si>
    <t>25200 Carlos Bee Blvd</t>
  </si>
  <si>
    <t>http://www.eastbaytimes.com/2017/03/14/hayward-police-investigate-shooting-near-csu-east-bay/</t>
  </si>
  <si>
    <t>Alexander Meltz</t>
  </si>
  <si>
    <t>http://www.fatalencounters.org/wp-content/uploads/2013/10/Alexander-Meltz.png</t>
  </si>
  <si>
    <t>112th Avenue and Stuart Street</t>
  </si>
  <si>
    <t>Colorado State Patrol, Wheat Ridge Police Department, Lakewood Police Department</t>
  </si>
  <si>
    <t>Police were investigating some stolen vehicles. When they approached Meltz, he pulled an unidentified weapon and was shot and killed.</t>
  </si>
  <si>
    <t>http://www.denverpost.com/2017/03/14/westminster-officer-involved-shooting/</t>
  </si>
  <si>
    <t>Shawn Anthony Dumitras</t>
  </si>
  <si>
    <t>http://www.fatalencounters.org/wp-content/uploads/2013/10/Shawn-Anthony-Dumitras.jpg</t>
  </si>
  <si>
    <t>17180 Front Beach Rd</t>
  </si>
  <si>
    <t>Panama City Beach</t>
  </si>
  <si>
    <t>Panama City Beach Police Department</t>
  </si>
  <si>
    <t>Dumitras was shot and killed after a gun battle with police who were investigating a suspicious person.</t>
  </si>
  <si>
    <t>http://www.wjhg.com/content/news/416191873.html</t>
  </si>
  <si>
    <t>Rashad Daquan Opher</t>
  </si>
  <si>
    <t>http://www.fatalencounters.org/wp-content/uploads/2013/10/Rashad-Daquan-Opher.jpg</t>
  </si>
  <si>
    <t>6401 Walnut St</t>
  </si>
  <si>
    <t>Gwynn Oak</t>
  </si>
  <si>
    <t>Police were investigating a series of robberies. When they approached a car with some men in it, the men drove at police, who shot, injuring two and killing one of the people in the car.</t>
  </si>
  <si>
    <t>http://baltimore.cbslocal.com/2017/03/14/police-investigate-officer-involved-shooting-in-woodlawn-3-suspects-injured/</t>
  </si>
  <si>
    <t>Christopher Apostolos</t>
  </si>
  <si>
    <t>190 Edgewood Drive</t>
  </si>
  <si>
    <t>Toms River Police Department</t>
  </si>
  <si>
    <t>Police were attempting to talk to Apostolos, who was "believed to be in need of professional mental health intervention services," when a fight started, and he was shot and killed.</t>
  </si>
  <si>
    <t>http://www.app.com/story/news/2017/03/14/police-involved-shooting-toms-river-authorities/99171538/</t>
  </si>
  <si>
    <t>Ryan L. Rosa</t>
  </si>
  <si>
    <t>5201 20th St E</t>
  </si>
  <si>
    <t>Fife</t>
  </si>
  <si>
    <t>http://www.kiro7.com/news/local/one-dead-in-officer-involved-shooting-at-fife-motel-6-parking-lot/502598856</t>
  </si>
  <si>
    <t>Todd Munson</t>
  </si>
  <si>
    <t>http://www.fatalencounters.org/wp-content/uploads/2013/10/Todd-Munson.png</t>
  </si>
  <si>
    <t>North Valley and Dove Valley Parkway</t>
  </si>
  <si>
    <t>Todd Munson was wanted in connection with a deadly Ahwatukee shooting. After a chase and an intentional crash, he was shot and killed.</t>
  </si>
  <si>
    <t>http://www.abc15.com/news/region-phoenix-metro/north-phoenix/high-speed-chase-in-phoenix-suspect-down-after-leading-police-on-pursuit</t>
  </si>
  <si>
    <t>Cordale Quinn Handy</t>
  </si>
  <si>
    <t>http://www.fatalencounters.org/wp-content/uploads/2013/10/Cordale-Quinn-Handy.png</t>
  </si>
  <si>
    <t>East 7th and Sinnen Street</t>
  </si>
  <si>
    <t>Saint Paul</t>
  </si>
  <si>
    <t>Police responded to an apparent domestic dispute and shot and killed Cordale Handy, although what precipitated the killing was not released.</t>
  </si>
  <si>
    <t>http://www.startribune.com/authorities-investigate-officer-involved-shooting-in-st-paul/416202434/</t>
  </si>
  <si>
    <t>Daniel Donarski</t>
  </si>
  <si>
    <t>http://www.fatalencounters.org/wp-content/uploads/2013/10/Daniel-Donarski.jpg</t>
  </si>
  <si>
    <t>716 Teather Avenue</t>
  </si>
  <si>
    <t>http://www.wftv.com/news/local/shotgun-wielding-man-dead-in-volusia-county-deputy-involved-shooting-sheriff-office-says/503409399</t>
  </si>
  <si>
    <t>Brentant Michael Lahey</t>
  </si>
  <si>
    <t>290 Skyway St</t>
  </si>
  <si>
    <t>Police responded to two calls for a man who was alleged to be threatening others with a knife. While inside the residence, a single-wide mobile home, the man with a knife, Brentant M. Lahey, confronted and threatened Officer Kyle White with the knife. This resulted in Officer White shooting and killing him.</t>
  </si>
  <si>
    <t>http://www.wagmtv.com/content/news/An-officer-involved-shooting--416436843.html</t>
  </si>
  <si>
    <t>Frederick Ricardo Brown</t>
  </si>
  <si>
    <t>Martin Rd and Hoover</t>
  </si>
  <si>
    <t>Frederick Ricardo Brown was wanted on a sex charge when he was killed during a shootout with U.S. Marshals, according to police. He allegedly opened fire when confronted by officers.</t>
  </si>
  <si>
    <t>http://www.detroitnews.com/story/news/local/macomb-county/2017/03/16/us-marshal-involved-warren-shooting/99256676/</t>
  </si>
  <si>
    <t>Patrick Earl Gatson</t>
  </si>
  <si>
    <t>http://www.fatalencounters.org/wp-content/uploads/2013/10/PatrickGatson.jpg</t>
  </si>
  <si>
    <t>Police went to Gatson's apartment to serve a robbery warrant. Gatson refused to come outside. After an eight-hour standoff at the end of which police invaded the apartment, he was shot and killed.</t>
  </si>
  <si>
    <t>http://abc11.com/news/fayetteville-standoff-suspect-shot-by-police-dies/1803878/</t>
  </si>
  <si>
    <t>Rodney James Hess</t>
  </si>
  <si>
    <t>http://www.fatalencounters.org/wp-content/uploads/2013/10/Rodney-James-Hess.png</t>
  </si>
  <si>
    <t>US-412 and TN-88</t>
  </si>
  <si>
    <t>Rodney James Hess had blocked traffic on the Highway 412 East ramp by parking his car sideways. When deputies responded due to traffic being blocked, police said Hess became "erratic." Hess tried to run down responding police, and he was shot and killed.</t>
  </si>
  <si>
    <t>http://www.jacksonsun.com/story/news/crime/2017/03/16/officer-involved-shooting-alamo/99271940/</t>
  </si>
  <si>
    <t>Jermaine Claybrooks</t>
  </si>
  <si>
    <t>http://www.fatalencounters.org/wp-content/uploads/2013/10/Jermaine-Claybrooks.png</t>
  </si>
  <si>
    <t>Police were investigating drug activity. When the approached a car, Claybrooks allegedly had a visible gun and was shot and killed.</t>
  </si>
  <si>
    <t>http://www.jsonline.com/story/news/local/milwaukee/2017/03/16/suspected-drug-dealer-killed-confrontation-officers-milwaukees-north-side/99285438/</t>
  </si>
  <si>
    <t>Desmond Phillips</t>
  </si>
  <si>
    <t>http://www.fatalencounters.org/wp-content/uploads/2013/10/Desmond-Phillips.png</t>
  </si>
  <si>
    <t>Police responded to a domestic dispute when a fight broke out and Desmond Phillips was shot and killed.</t>
  </si>
  <si>
    <t>http://www.krcrtv.com/news/local/butte/chico-police-office-involved-shooting-no-fatality-in-north-campus-area/401951115</t>
  </si>
  <si>
    <t>A man was suspected of drug dealing. He died after he was tasered during a fight with three police officers in Thornton, police said.</t>
  </si>
  <si>
    <t>http://www.denverpost.com/2017/03/17/thornton-police-suspect-tased-dead/</t>
  </si>
  <si>
    <t>Nancy Lewellyn</t>
  </si>
  <si>
    <t>Deputies responded to a house in the area after Lewellyn called 911 threatening violence against others. When deputies arrived, Lewellyn came out of the house and pointed a BB gun at the deputies. She was shot and killed.</t>
  </si>
  <si>
    <t>http://www.wmcactionnews5.com/story/34939965/woman-shot-by-shelby-county-deputies-in-lakeland</t>
  </si>
  <si>
    <t>Jason Dennis Watkins</t>
  </si>
  <si>
    <t>Collard Valley Rd and Old Collard Valley Rd</t>
  </si>
  <si>
    <t>Troopers were conducting a DUI patrol on Fish Creek Road, when a vehicle attempted to flee. Troopers pursued the fleeing vehicle until it was stopped. One passenger exited the vehicle when the chase ended. As Trooper Johnathan Mason made contact with the driver, Jason Dennis Watkins, 36, accelerated the vehicle, apparently at the trooper who shot and killed him.</t>
  </si>
  <si>
    <t>http://wdef.com/2017/03/18/gbi-investigates-officer-involved-shooting-polk-county/</t>
  </si>
  <si>
    <t>5115 Old National Hwy</t>
  </si>
  <si>
    <t>Fulton police responded to the Baby Grand Piano Bar in regards to a person struck by a vehicle call. The officer encountered the suspected vehicle, and the officer along with an armed security guard shot at him. He crashed a short time later. It was not immediately certain whether he died because he was shot or because of the wreck.</t>
  </si>
  <si>
    <t>http://www.11alive.com/news/crime/two-officer-involved-shootings-early-saturday-morning-in-south-fulton-county/423583254</t>
  </si>
  <si>
    <t>Benjamin C. Barnes</t>
  </si>
  <si>
    <t>http://www.fatalencounters.org/wp-content/uploads/2013/10/Benjamin-C.-Barnes.jpg</t>
  </si>
  <si>
    <t>649 Sunset Peak Rd</t>
  </si>
  <si>
    <t>Barnes allegedly was threatening hikers and animals on hiking trails near Lower Hull's Gulch and then fatally shot a hiker's dog. He shot at police and was shot and killed.</t>
  </si>
  <si>
    <t>http://www.kivitv.com/news/boise-foothills-officer-involved-shooting</t>
  </si>
  <si>
    <t>Kevin C. Perry</t>
  </si>
  <si>
    <t>2320 E MacArthur Rd</t>
  </si>
  <si>
    <t>Police responded to a disturbance with a weapon. Perry apparently came out with a gun, shot and killed a police dog, and was shot and killed.</t>
  </si>
  <si>
    <t>http://www.kwch.com/content/news/Wichita-Police-canine-injured-in-shooting-416528903.html</t>
  </si>
  <si>
    <t>Madison Sueann Dickson</t>
  </si>
  <si>
    <t>http://www.fatalencounters.org/wp-content/uploads/2013/10/Madison-Sueann-Dickson.png</t>
  </si>
  <si>
    <t>Madison Sueann Dickson wanted for a string of gun-related crimes and was killed when an officer intentionally ran over her in south Tulsa after she exchanged gunfire with police following a car chase.</t>
  </si>
  <si>
    <t>http://www.tulsaworld.com/homepagelatest/most-wanted-suspect-dies-after-police-car-runs-her-over/article_99c70fd2-c58c-5379-bd96-e8f20cd7a8c1.html</t>
  </si>
  <si>
    <t>Brandon Wiley</t>
  </si>
  <si>
    <t>http://www.fatalencounters.org/wp-content/uploads/2013/10/Brandon-Wiley.jpg</t>
  </si>
  <si>
    <t>1962 Oneal Ln</t>
  </si>
  <si>
    <t>http://klfy.com/2017/03/21/man-accused-of-shooting-killing-ebrso-deputy-dies-in-hospital/</t>
  </si>
  <si>
    <t>Christopher Delano Rosa</t>
  </si>
  <si>
    <t>An off-duty California Highway Patrol officer shot and killed an intruder, police said.</t>
  </si>
  <si>
    <t>http://www.krcrtv.com/news/local/shasta/neighbor-recounts-deadly-shooting-involving-an-off-duty-officer/404217203</t>
  </si>
  <si>
    <t>Dillon Road and Johnson Road</t>
  </si>
  <si>
    <t>A deputy responded to the scene of an assault and located a male suspect who was beating a woman. The deputy requested additional deputies, a helicopter, and medical services. The deputy approached the suspect and noticed he was armed with a knife. The deputy ordered the suspect to drop the knife. The suspect refused and continued to assault the female. The suspect then threatened to stab the woman and was shot and killed.</t>
  </si>
  <si>
    <t>http://www.kesq.com/news/officer-involved-shooting-in-desert-hot-springs/404165473</t>
  </si>
  <si>
    <t>Alteria Woods</t>
  </si>
  <si>
    <t>http://www.fatalencounters.org/wp-content/uploads/2013/10/Alteria-Woods.jpg</t>
  </si>
  <si>
    <t>4545 35th Ave</t>
  </si>
  <si>
    <t>Pregnant Alteria Woods was shot and killed during a gun battle that resulted from a drug raid. She was inside the house, but was not the person police were after.</t>
  </si>
  <si>
    <t>http://www.wptv.com/news/region-indian-river-county/person-killed-deputy-injured-in-gifford-as-swat-team-attempts-to-serve-warrant</t>
  </si>
  <si>
    <t>Trevor Allen Brice Gingras</t>
  </si>
  <si>
    <t>http://www.fatalencounters.org/wp-content/uploads/2013/10/Trevor-Allen-Brice-Gingras.jpg</t>
  </si>
  <si>
    <t>211 Caroline St</t>
  </si>
  <si>
    <t>Cape Canaveral</t>
  </si>
  <si>
    <t>Gringras was suspected of attempting to carry out a robbery. He was shot and killed after confronting Brevard County sheriff's deputies with a gun, police said.</t>
  </si>
  <si>
    <t>http://www.floridatoday.com/story/news/2017/03/19/deputy-involved-shooting-reported-cape-canaveral/99396440/</t>
  </si>
  <si>
    <t>Mario B. Simoes</t>
  </si>
  <si>
    <t>http://www.fatalencounters.org/wp-content/uploads/2013/10/MarioBSimoes-1.jpg</t>
  </si>
  <si>
    <t>N Amelia Ave and Old Daytona Rd</t>
  </si>
  <si>
    <t>Volusia County Sheriff's Office, DeLand Police Department</t>
  </si>
  <si>
    <t>Mario Simoes apparently fired on a building and on police as he led them on a high-speed chase and crashed into an unrelated vehicle. He was shot and killed.</t>
  </si>
  <si>
    <t>http://www.news-journalonline.com/news/20170319/police-1-man-killed-in-deland-in-officer-involved-shooting</t>
  </si>
  <si>
    <t>Clifton Knickmeyer</t>
  </si>
  <si>
    <t>http://www.fatalencounters.org/wp-content/uploads/2013/10/Clifton-Knickmeyer.jpg</t>
  </si>
  <si>
    <t>Affton</t>
  </si>
  <si>
    <t>Clifton Knickmeyer was shot and killed by a St. Louis County police officer after police said Knickmeyer pointed a gun at an officer during a domestic disturbance.</t>
  </si>
  <si>
    <t>http://www.ksdk.com/news/local/officer-involved-shooting-leaves-1-man-dead/423730926</t>
  </si>
  <si>
    <t>Andrew Jared Lane</t>
  </si>
  <si>
    <t>8838 Las Tunas Dr</t>
  </si>
  <si>
    <t>Temple City</t>
  </si>
  <si>
    <t>Andrew Jared Lane entered the sheriff's station to register as a sex offender before he later opened fire in the parking lot and was shot and killed. He may have killed himself.</t>
  </si>
  <si>
    <t>http://abc7.com/news/shots-fired-at-lasd-sheriffs-station-in-temple-city/1809172/</t>
  </si>
  <si>
    <t>Clarence Duane Huderle</t>
  </si>
  <si>
    <t>15872 410th Ave Nw</t>
  </si>
  <si>
    <t>A rural mail carrier who had gone to the residence reported to the Polk County Sheriff's Office that two shots had been fired from the residence and that the rear window of the mail carrier's vehicle had been shattered. After an hours-long standoff punctuated by exchanges of gunfire, Clarence Huderle was shot and killed.</t>
  </si>
  <si>
    <t>http://www.crookstontimes.com/news/20170321/rural-tabor-man-dies-after-shooting-at-mail-carrier-exchanging-fire-with-deputy</t>
  </si>
  <si>
    <t>Robert Lee Eichen</t>
  </si>
  <si>
    <t>Redwood City</t>
  </si>
  <si>
    <t>Redwood City Police Department</t>
  </si>
  <si>
    <t>Robert Lee Eichen was killed by a self-inflicted bullet and police gunfire after threatening his estranged wife with a handgun at her workplace.</t>
  </si>
  <si>
    <t>http://www.mercurynews.com/2017/03/22/redwood-city-man-who-was-killed-after-threatening-estranged-wife-at-workplace-identified/</t>
  </si>
  <si>
    <t>Alex Dold</t>
  </si>
  <si>
    <t>http://www.fatalencounters.org/wp-content/uploads/2013/10/Alex-Dold.jpg</t>
  </si>
  <si>
    <t>Snohomish County Sheriff's Office, Monroe Police Department</t>
  </si>
  <si>
    <t>http://www.king5.com/news/local/suspect-dies-during-domestic-violence-altercation-with-police/424540340</t>
  </si>
  <si>
    <t>Keg Mill Road</t>
  </si>
  <si>
    <t>North Little Rock Police Department, Grant County Sheriff's Office, Arkansas State Police</t>
  </si>
  <si>
    <t>According to police, Eddie Davis robbed his girlfriend in Jacksonville, taking her phone and car. Police said he drove to North Little Rock where North Little Rock police were able to find him by the tracking device in the stolen car. During a high speed chase, Davis wrecked the car. The officer broke a window and put the dog inside the car with Davis. As he was being attacked by the dog, Davis stabbed it in the face, and the officer shot and killed him.</t>
  </si>
  <si>
    <t>http://www.thv11.com/news/local/nlr-police-chase-ends-in-officer-involved-shooting-suspect-dead/424989517</t>
  </si>
  <si>
    <t>Francisco Valdez</t>
  </si>
  <si>
    <t>6512 West Van Buren</t>
  </si>
  <si>
    <t>A woman called 911 because her two sons were fighting. The woman sad that her 24-year-old son was acting "aggressively and erratically," police said. By the time police arrived, only the 24-year-old son was still at the home. When police went inside, he allegedly ran into the kitchen, grabbed a knife and charged at officers when he was shot and killed.</t>
  </si>
  <si>
    <t>http://www.abc15.com/news/region-phoenix-metro/central-phoenix/phoenix-police-officer-involved-shooting-in-west-phoenix</t>
  </si>
  <si>
    <t>Charles Harris</t>
  </si>
  <si>
    <t>Booneville Home Road</t>
  </si>
  <si>
    <t>Booneville</t>
  </si>
  <si>
    <t>Owsley</t>
  </si>
  <si>
    <t>Owsley County Sheriff's Office</t>
  </si>
  <si>
    <t>Police say Harris got into a fight with his girlfriend inside an apartment with his sister and two teenage children inside. The girlfriend went into another apartment and called 911. When deputies arrived on scene, they encountered a suspect armed with a knife, who they shot and killed.</t>
  </si>
  <si>
    <t>http://www.lex18.com/story/34978955/deadly-officer-involved-shooting-in-owsley-co</t>
  </si>
  <si>
    <t>Don Johnson</t>
  </si>
  <si>
    <t>Don Johnson allegedly was arguing with his girlfriend when he shot and killed her. When police arrived on the scene, the man began started shooting at officers. He allegedly killed a police dog and injured an officer. Officers shot and killed him.</t>
  </si>
  <si>
    <t>http://www.ksla.com/story/34979123/officer-injured-two-others-killed-in-southwest-louisiana</t>
  </si>
  <si>
    <t>Police responded to reports of an person armed with a knife. Officers arrived on scene to find a man carrying a machete. The subject was uncooperative with officers and refused to drop the weapon and was shot and killed.</t>
  </si>
  <si>
    <t>http://www.king5.com/news/local/police-shoot-machete-wielding-man-in-des-moines/424872463</t>
  </si>
  <si>
    <t>Fred Barragán</t>
  </si>
  <si>
    <t>East 1st and South Soto street</t>
  </si>
  <si>
    <t>Boyle Heights</t>
  </si>
  <si>
    <t>Police were patrolling the area when they say they heard gunshots. The officers then approached a man walking on the sidewalk, and when they attempted to stop him, they shot and killed him. No details were immediately available regarding the killing.</t>
  </si>
  <si>
    <t>http://ktla.com/2017/03/25/1-killed-in-boyle-heights-officer-involved-shooting-lapd/</t>
  </si>
  <si>
    <t>Reno Joseph Owens Jr.</t>
  </si>
  <si>
    <t>http://www.fatalencounters.org/wp-content/uploads/2013/10/Reno-Joseph-Owens-Jr..jpg</t>
  </si>
  <si>
    <t>Reno Joseph Owens Jr. was threatening two children with a butcher knife during a standoff, according to police, when he was shot and killed by a police sniper. Owens was a homeless relative of the family that lived in the home.</t>
  </si>
  <si>
    <t>http://www.baltimoresun.com/news/maryland/crime/bs-md-ci-police-shooting-20170324-story.html</t>
  </si>
  <si>
    <t>Matthew Gambaro</t>
  </si>
  <si>
    <t>http://www.fatalencounters.org/wp-content/uploads/2013/10/Matthew-Gambaro.png</t>
  </si>
  <si>
    <t>I-20</t>
  </si>
  <si>
    <t>Cisco</t>
  </si>
  <si>
    <t>Eastland</t>
  </si>
  <si>
    <t>An armed individual fled the scene of a motor vehicle accident, police said. He was shot and killed, but police withheld details of the killing.</t>
  </si>
  <si>
    <t>http://www.ktxs.com/news/dps-officer-involved-shooting-reported-on-i-20-near-cisco/414524974</t>
  </si>
  <si>
    <t>Austin Macon</t>
  </si>
  <si>
    <t>http://www.fatalencounters.org/wp-content/uploads/2013/10/Austin-Macon.jpg</t>
  </si>
  <si>
    <t>I-5 &amp; Sunset Hills Dr</t>
  </si>
  <si>
    <t>Austin Macon, 18, and Teikivahimetani Shane Guilloux-Chevalier, 21, were stopped in the Cottonwood area. During the stop, Macon fired and shot a CHP officer, who has not been identified, in the right thigh. The officer returned fire and Macon was killed, Guilloux-Chevalier seriously injured, police said.</t>
  </si>
  <si>
    <t>http://www.redding.com/story/news/local/2017/03/25/chp-officer-injured-shooting--5-cottonwood/99620702/</t>
  </si>
  <si>
    <t>Justin Quincy Smith</t>
  </si>
  <si>
    <t>677 George Parks Hwy</t>
  </si>
  <si>
    <t>Troopers tried to make a traffic stop on a Subaru Legacy. The driver sped away, leading officers on a 45-minute chase that ended when troopers disabled the vehicle with spike strips. The driver attempted to flee when the police set a dog on him. He killed the dog and was shot and killed by police.</t>
  </si>
  <si>
    <t>https://www.adn.com/alaska-news/crime-courts/2017/03/26/troopers-shoot-kill-wasilla-man-who-fatally-wounded-k-9/</t>
  </si>
  <si>
    <t>Michael Hornibrook</t>
  </si>
  <si>
    <t>http://www.fatalencounters.org/wp-content/uploads/2013/10/Michael-Hornibrook.jpg</t>
  </si>
  <si>
    <t>307 President Clinton Ave</t>
  </si>
  <si>
    <t>Two people contacted police in the River Market District to report that they had a confrontation with an armed man. Police said the armed man ran away from them into an alley behind Ernie Biggs, where he then turned toward them with a gun in his hand, and was shot and killed.</t>
  </si>
  <si>
    <t>http://www.arkansasonline.com/news/2017/mar/26/police-investigate-officer-involved-shooting-downt/</t>
  </si>
  <si>
    <t>2861 McMurray Dr</t>
  </si>
  <si>
    <t>An officer was investigating a stolen vehicle when he exchanged gunfire with an unidentified suspect who was staying at the motel. The officer was shot but uninjured because his vest stopped the bullet. The unidentified man was shot and killed.</t>
  </si>
  <si>
    <t>http://www.krcrtv.com/news/breaking-news/one-dead-after-an-incident-at-motel-in-anderson/418133633</t>
  </si>
  <si>
    <t>Richard Alexander Tilley</t>
  </si>
  <si>
    <t>10022 Stedwick Road</t>
  </si>
  <si>
    <t>Montgomery Village</t>
  </si>
  <si>
    <t>http://www.wusa9.com/news/local/police-investigate-fatal-officer-involved-shooting-in-montgomery-village/426068530</t>
  </si>
  <si>
    <t>Pryor Spencer Bailey IV</t>
  </si>
  <si>
    <t>http://www.fatalencounters.org/wp-content/uploads/2013/10/pryor-spencer-bailey-iv.jpg</t>
  </si>
  <si>
    <t>U.S. 82</t>
  </si>
  <si>
    <t>Mathiston</t>
  </si>
  <si>
    <t>A Mathiston police officer attempted to stop a white Hyundai SUV driven by Pryor Spencer Bailey IV, 45, for a traffic violation. The vehicle was immobilized with stop sticks, and gunfire was exchanged. Bailey was shot and killed, police said.</t>
  </si>
  <si>
    <t>http://www.clarionledger.com/story/news/local/2017/03/27/high-speed-chase-reported-officer-down-lowndes-county/99688540/</t>
  </si>
  <si>
    <t>Steven Hopwood</t>
  </si>
  <si>
    <t>http://www.fatalencounters.org/wp-content/uploads/2013/10/Steven-Hopwood.png</t>
  </si>
  <si>
    <t>1300 S Ellington Pkwy</t>
  </si>
  <si>
    <t>Marshall County Sheriff's Office</t>
  </si>
  <si>
    <t>Steven Hopwood showed up at a salon where he had a protection order against him, which was intended to keep him away. A Marshall County Sheriff's deputy responded and exchanged gunfire with Hopwood inside the business. Additional deputies arrived and that Hopwood shot at them as well, although they did not return fire. Following these exchanges, Niland said, police entered the business and found Hopwood dead and hostages in a separate room.</t>
  </si>
  <si>
    <t>http://www.tennessean.com/story/news/crime/2017/03/27/active-shooter-reported-lewisburg-business/99689606/</t>
  </si>
  <si>
    <t>U.S. 421</t>
  </si>
  <si>
    <t>Francesville</t>
  </si>
  <si>
    <t>After a man took his daughter, there was an hour-long chase, and when he got out of the car showing weapons, he was shot and killed. The daughter was unharmed.</t>
  </si>
  <si>
    <t>http://www.jconline.com/story/news/crime/2017/03/28/suspect-down-early-morning-shooting/99721350/</t>
  </si>
  <si>
    <t>U.S. Drug Enforcement Administration, West Allis Police Department, Milwaukee Police Department</t>
  </si>
  <si>
    <t>Charged, Convicted, Sentenced to 40 years in prison</t>
  </si>
  <si>
    <t>Charged, convicted of manslaughter</t>
  </si>
  <si>
    <t>Nengmy Vang</t>
  </si>
  <si>
    <t>http://www.fatalencounters.org/wp-content/uploads/2013/10/Nengmy-Vang.png</t>
  </si>
  <si>
    <t>Ross Ave. and Aspen St.</t>
  </si>
  <si>
    <t>Vang allegedly got into a domestic incident with his wife and went to the Rothschild bank where she worked. He allegedly shot two bank employees to death and then traveled to nearby Schofield, where he shot and killed his wife's divorce attorney. He then barricaded himself in his Weston apartment. Police allege that he shot and killed an Everest Metro Police detective as the detective was setting up a perimeter. Police eventually stormed the apartment and shot and killed Vang.</t>
  </si>
  <si>
    <t>http://www.wbay.com/content/news/Wausau-shooting-suspect-dies-417859083.html</t>
  </si>
  <si>
    <t>Christopher Angelo Pizzichetta</t>
  </si>
  <si>
    <t>http://www.fatalencounters.org/wp-content/uploads/2013/10/Christopher-Angelo-Pizzichetta.png</t>
  </si>
  <si>
    <t>NJ Turnpike</t>
  </si>
  <si>
    <t>Cranbury</t>
  </si>
  <si>
    <t>http://6abc.com/news/deadly-police-involved-shooting-at-nj-turnpike-service-area-/1826497/</t>
  </si>
  <si>
    <t>Leroy Brown Jr.</t>
  </si>
  <si>
    <t>Police responded for a police welfare check. Leroy Brown allegedly fought with officers and was shot and killed</t>
  </si>
  <si>
    <t>http://www.delawareonline.com/story/news/crime/2017/03/29/police-investigate-apparent-shooting-near-new-castle/99806750/</t>
  </si>
  <si>
    <t>Troy Boyle</t>
  </si>
  <si>
    <t>http://www.fatalencounters.org/wp-content/uploads/2013/10/Troy-Boyle.png</t>
  </si>
  <si>
    <t>W Front Av and Blackhawk Dr</t>
  </si>
  <si>
    <t>Jo Daviess</t>
  </si>
  <si>
    <t>Police responded for a suspicious vehicle in a Stockton neighborhood. Police say when they arrived, one of the men in the vehicle pulled a gun. It is unclear if Troy Boyle fired before an officer shot and killed him or if it was him who pulled the gun.</t>
  </si>
  <si>
    <t>http://www.mystateline.com/news/shooting-reported-in-stockton/682497014</t>
  </si>
  <si>
    <t>Frederick Ratliff</t>
  </si>
  <si>
    <t>1040 Red Wing Way</t>
  </si>
  <si>
    <t>Lawrenceburg</t>
  </si>
  <si>
    <t>Anderson County Deputies responded to a call of a person who used his car to push an off-road vehicle out of the road. He continued on to the house. He shot several times at his neighbor's home. Nobody was in the home at the time the shots were fired. Once deputies arrived on scene, state police say the man was standing in front of his home with a gun in his hand and allegedly pointed it at deputies before he was shot and killed.</t>
  </si>
  <si>
    <t>http://www.wkyt.com/content/news/Officer-involved-shooting-in-Anderson-County-417515923.html</t>
  </si>
  <si>
    <t>Doyle Wayne Johnson</t>
  </si>
  <si>
    <t>3rd St &amp; Byars St</t>
  </si>
  <si>
    <t>Byars</t>
  </si>
  <si>
    <t>McClain</t>
  </si>
  <si>
    <t>Doyle Johnson became belligerent after a deputy pulled him over in Rosedale. Johnson then sped eight miles to a vacant home in Byars, where he allegedly pointed a handgun at the deputy and was shot and killed.</t>
  </si>
  <si>
    <t>http://www.news9.com/story/35026010/suspect-killed-following-officer-involved-shooting-in-mcclain-county</t>
  </si>
  <si>
    <t>Daniel Hendrix</t>
  </si>
  <si>
    <t>http://www.fatalencounters.org/wp-content/uploads/2013/10/Daniel-Hendrix.png</t>
  </si>
  <si>
    <t>Hendrix was celebrating his birthday off duty with two female friends, both off-duty Chattanooga Police Department officers. He allegedly became agitated, armed himself with a personal firearm, and threatened the two women, who fled the home during the exchange. Two Chattanooga police officers responded and found Hendrix, still armed, in the backyard of the home. Hendrix was shot and killed.</t>
  </si>
  <si>
    <t>http://www.tennessean.com/story/news/2017/03/29/hamilton-sheriffs-office-employee-killed-chattanooga-officer-involved-shooting/99770138/</t>
  </si>
  <si>
    <t>Dennis Wasson II</t>
  </si>
  <si>
    <t>FM1752 and FM898</t>
  </si>
  <si>
    <t>A Department of Public Safety trooper tried to stop a 2015 Nissan Maxima for a traffic violation on U.S. 82 in Fannin County. The male driver did not stop. The man continued west on U.S. 82. and avoided tire deflation tools. Police said they learned the Maxima had been reported stolen. He swerved and crashed into a trooper's patrol car. The man then allegedly drove toward a Bonham police officer. The trooper shot and killed him.</t>
  </si>
  <si>
    <t>http://www.nbcdfw.com/news/local/Chase-Ends-With-Officer-Involved-Shooting-in-Fannin-County-417599723.html</t>
  </si>
  <si>
    <t>Peter J. Doffin Jr.</t>
  </si>
  <si>
    <t>Lee Pat Milks</t>
  </si>
  <si>
    <t>Manistee</t>
  </si>
  <si>
    <t>Manistee Department of Public Safety</t>
  </si>
  <si>
    <t>An officer was doing ordinance enforcement when Milks allegedly came out of his house with a long gun and told the officer to go away. The officer gave orders to the man to drop the weapon, according to police, when Milks "stopped, chambered a round and was bringing the weapon to bear on the officer" when he was shot and killed.</t>
  </si>
  <si>
    <t>http://www.mlive.com/news/grand-rapids/index.ssf/2017/03/man_shot_by_police_in_west_mic.html</t>
  </si>
  <si>
    <t>Jimmy Briggs</t>
  </si>
  <si>
    <t>Clifford Tucker</t>
  </si>
  <si>
    <t>Francisco Benitez-Santiago</t>
  </si>
  <si>
    <t>Scott Hall</t>
  </si>
  <si>
    <t>other</t>
  </si>
  <si>
    <t>Car</t>
  </si>
  <si>
    <t>attack</t>
  </si>
  <si>
    <t>Not fleeing</t>
  </si>
  <si>
    <t>Foot</t>
  </si>
  <si>
    <t>undetermined</t>
  </si>
  <si>
    <t>unknown weapon</t>
  </si>
  <si>
    <t>baseball bat and bottle</t>
  </si>
  <si>
    <t>sharp object</t>
  </si>
  <si>
    <t>pipe</t>
  </si>
  <si>
    <t>baseball bat</t>
  </si>
  <si>
    <t>metal stick</t>
  </si>
  <si>
    <t>piece of wood</t>
  </si>
  <si>
    <t>beer bottle</t>
  </si>
  <si>
    <t>metal pipe</t>
  </si>
  <si>
    <t>hatchet</t>
  </si>
  <si>
    <t>screwdriver</t>
  </si>
  <si>
    <t>crossbow</t>
  </si>
  <si>
    <t>oar</t>
  </si>
  <si>
    <t>crowbar</t>
  </si>
  <si>
    <t>rock</t>
  </si>
  <si>
    <t>blunt object</t>
  </si>
  <si>
    <t>baton</t>
  </si>
  <si>
    <t>machete</t>
  </si>
  <si>
    <t>hammer</t>
  </si>
  <si>
    <t>metal rake</t>
  </si>
  <si>
    <t>brick</t>
  </si>
  <si>
    <t>motorcycle</t>
  </si>
  <si>
    <t>glass shard</t>
  </si>
  <si>
    <t>chain saw</t>
  </si>
  <si>
    <t>bayonet</t>
  </si>
  <si>
    <t>metal pole</t>
  </si>
  <si>
    <t>pitchfork</t>
  </si>
  <si>
    <t>spear</t>
  </si>
  <si>
    <t>shovel</t>
  </si>
  <si>
    <t>flashlight</t>
  </si>
  <si>
    <t>meat cleaver</t>
  </si>
  <si>
    <t>pick-axe</t>
  </si>
  <si>
    <t>garden tool</t>
  </si>
  <si>
    <t>hand torch</t>
  </si>
  <si>
    <t>straight edge razor</t>
  </si>
  <si>
    <t>baseball bat and fireplace poker</t>
  </si>
  <si>
    <t>box cutter</t>
  </si>
  <si>
    <t>contractor's level</t>
  </si>
  <si>
    <t>chain</t>
  </si>
  <si>
    <t>carjack</t>
  </si>
  <si>
    <t>metal hand tool</t>
  </si>
  <si>
    <t>cordless drill</t>
  </si>
  <si>
    <t>flagpole</t>
  </si>
  <si>
    <t>lawn mower blade</t>
  </si>
  <si>
    <t>metal object</t>
  </si>
  <si>
    <t>bean-bag Gun</t>
  </si>
  <si>
    <t>pole and Knife</t>
  </si>
  <si>
    <t>Scissors</t>
  </si>
  <si>
    <t>Hammer</t>
  </si>
  <si>
    <t>Pole</t>
  </si>
  <si>
    <t>Stapler</t>
  </si>
  <si>
    <t>Ax</t>
  </si>
  <si>
    <t>David Alma Giles, a 60-year-old white man, was shot on March 18, 2016, in Idaho Falls, Idaho. A Jefferson County sheriff's deputy drove Giles to a medical center. When they arrived, Giles allegedly tried to grab the deputy's shotgun, and the two struggled over the weapon.</t>
  </si>
  <si>
    <t>Biggs crashed his truck into a power pole. When police arrived at the scene, they asked Biggs to get out of the truck, but he refused to cooperate. When an officer tried to remove him, he reportedly reached for a gun, and police fired and killed him.</t>
  </si>
  <si>
    <t>William Stokes</t>
  </si>
  <si>
    <t>300 Shawnee Trail</t>
  </si>
  <si>
    <t>100 Carriage Way</t>
  </si>
  <si>
    <t>400 2nd St</t>
  </si>
  <si>
    <t>1000 N Fulton</t>
  </si>
  <si>
    <t>1700 S 324th St</t>
  </si>
  <si>
    <t>400 Josey Dr</t>
  </si>
  <si>
    <t>200 Saginaw Drive</t>
  </si>
  <si>
    <t>12000 221st Street Southeast</t>
  </si>
  <si>
    <t>8700 Zellwood Dr</t>
  </si>
  <si>
    <t>400 Country Oak Drive</t>
  </si>
  <si>
    <t>8900 South Harvard Avenue</t>
  </si>
  <si>
    <t>700 W 4th Ave</t>
  </si>
  <si>
    <t>10000 Woodland Pine Cove West</t>
  </si>
  <si>
    <t>9100 North Huron St</t>
  </si>
  <si>
    <t>100 Sycamore Court</t>
  </si>
  <si>
    <t>4900 N. 19th Place</t>
  </si>
  <si>
    <t>100 W Katella Ave</t>
  </si>
  <si>
    <t>5200 Charisma Dr</t>
  </si>
  <si>
    <t>300 James St</t>
  </si>
  <si>
    <t>1000 Justice Avenue</t>
  </si>
  <si>
    <t>158000 Wood Rd</t>
  </si>
  <si>
    <t>2800 S Bannock St</t>
  </si>
  <si>
    <t>600 Edgewater Dr</t>
  </si>
  <si>
    <t>5400 S Texas Ave</t>
  </si>
  <si>
    <t>100 Agnes St</t>
  </si>
  <si>
    <t>2700 Golfview Street</t>
  </si>
  <si>
    <t>16200 Harmony Ranch Drive</t>
  </si>
  <si>
    <t>12500 Tech Ridge Blvd</t>
  </si>
  <si>
    <t>0 N Macgillis Dr</t>
  </si>
  <si>
    <t>1700 E 83rd St</t>
  </si>
  <si>
    <t>2600 W Bates Ave</t>
  </si>
  <si>
    <t>12300 East Knights Way</t>
  </si>
  <si>
    <t>1200 Ironwood Ln</t>
  </si>
  <si>
    <t>900 Bainbridge St</t>
  </si>
  <si>
    <t>1300 E Lohman Ave</t>
  </si>
  <si>
    <t>900 Feliz Dr</t>
  </si>
  <si>
    <t>300 Timber Dr</t>
  </si>
  <si>
    <t>400 W Century Blvd</t>
  </si>
  <si>
    <t>7000 Grenola Way</t>
  </si>
  <si>
    <t>4900 Broadleaf Drive</t>
  </si>
  <si>
    <t>9900 Woodglen Vista Drive</t>
  </si>
  <si>
    <t>41400 Carriage Horse Drive</t>
  </si>
  <si>
    <t>300 4th Avenue East</t>
  </si>
  <si>
    <t>31900 Castaic Road</t>
  </si>
  <si>
    <t>100 Sulky Court</t>
  </si>
  <si>
    <t>100 Glenda Ct</t>
  </si>
  <si>
    <t>800 W Stockwell St</t>
  </si>
  <si>
    <t>7300 S Merrill Ave</t>
  </si>
  <si>
    <t>52200 Jefferson Street</t>
  </si>
  <si>
    <t>1800 N Mt Vernon Ave</t>
  </si>
  <si>
    <t>200 Circle Dr</t>
  </si>
  <si>
    <t>6100 Rural Road</t>
  </si>
  <si>
    <t>4200 Hillview Dr</t>
  </si>
  <si>
    <t>6700 Old River Road</t>
  </si>
  <si>
    <t>2700 Newton Avenue</t>
  </si>
  <si>
    <t>300 Arnold St</t>
  </si>
  <si>
    <t>12100 Central Ave</t>
  </si>
  <si>
    <t>100 Olga St</t>
  </si>
  <si>
    <t>2500 N 5th St</t>
  </si>
  <si>
    <t>2300 W 44th St</t>
  </si>
  <si>
    <t>2700 E Oklahoma Place</t>
  </si>
  <si>
    <t>2300 Winchester St</t>
  </si>
  <si>
    <t>1300 East Circle View Drive</t>
  </si>
  <si>
    <t>4700 of N Western Avenue</t>
  </si>
  <si>
    <t>5200 Lewisburg Rd</t>
  </si>
  <si>
    <t>1300 Del Paso Blvd</t>
  </si>
  <si>
    <t>10000 Lakeside Drive</t>
  </si>
  <si>
    <t>800 S Avenue C</t>
  </si>
  <si>
    <t>900 Feller Avenue</t>
  </si>
  <si>
    <t>1300 49th Street NE</t>
  </si>
  <si>
    <t>12000 TX-34</t>
  </si>
  <si>
    <t>100 North Pritchard Avenue</t>
  </si>
  <si>
    <t>200 Bird Mountain Road</t>
  </si>
  <si>
    <t>Hung Trieu</t>
  </si>
  <si>
    <t>Cameron Davis Long</t>
  </si>
  <si>
    <t>Gayneaux Paul Trahan</t>
  </si>
  <si>
    <t>James Craig Simpson</t>
  </si>
  <si>
    <t>Raceland</t>
  </si>
  <si>
    <t>Preston Paul Perez</t>
  </si>
  <si>
    <t>Milcreek</t>
  </si>
  <si>
    <t>David Shane Anderson</t>
  </si>
  <si>
    <t>Keith Bursey</t>
  </si>
  <si>
    <t>Jamil Alejandro Valladares</t>
  </si>
  <si>
    <t>William Ferguson</t>
  </si>
  <si>
    <t>Tommy Seneca</t>
  </si>
  <si>
    <t>Adrian Joseph Shaffer</t>
  </si>
  <si>
    <t>Gary Don Lafon</t>
  </si>
  <si>
    <t>John Ethan Carpentier</t>
  </si>
  <si>
    <t>Ashley Sides</t>
  </si>
  <si>
    <t>Bloomsburg</t>
  </si>
  <si>
    <t>Jonathan M. Young</t>
  </si>
  <si>
    <t>Deerfield</t>
  </si>
  <si>
    <t>Jamal Parks</t>
  </si>
  <si>
    <t>William Dwayne Darby</t>
  </si>
  <si>
    <t>Taser, Pepper spray, beaten</t>
  </si>
  <si>
    <t>Bomb</t>
  </si>
  <si>
    <t>Police said McInnis had robbed a gas station on the Lynnway and was allegedly carrying a handgun. When police caught up with him, he refused to remove his hands from his pockets and was shot and killed. Police would not say whether they found a gun after the shooting.</t>
  </si>
  <si>
    <t>State Troopers tried to call two brothers out of flood waters. Police say Nehemiah Fischer attacked them.</t>
  </si>
  <si>
    <t>Ali attacked a clerk, a customer and an officer with what appeared to be a piece of wood at the Flying K mini-mart in West Kelso before he was shot and killed, according to authorities.</t>
  </si>
  <si>
    <t xml:space="preserve">Officers were responding to a domestic violence call when they shot Kirvelay, according to authorities. He was carrying a BB gun.
</t>
  </si>
  <si>
    <t>Alleged Threat Level (Source: WaPo)</t>
  </si>
  <si>
    <t>Alleged Weapon (Source: WaPo)</t>
  </si>
  <si>
    <t>Fleeing (Source: WaPo)</t>
  </si>
  <si>
    <t>Body Camera (Source: WaPo)</t>
  </si>
  <si>
    <t>Charged, Mistrial declared, Pled Guilty for Violating Scott's Civil Rights</t>
  </si>
  <si>
    <t>Bystander Video</t>
  </si>
  <si>
    <t>Charged, Convicted</t>
  </si>
  <si>
    <t>Charged, Convicted, Sentenced to 16 years in prison</t>
  </si>
  <si>
    <t>Surveillance Video</t>
  </si>
  <si>
    <t>Charged, Mistrial declared</t>
  </si>
  <si>
    <t>Charged, Convicted of second-degree murder, Sentenced to 20 years in prison</t>
  </si>
  <si>
    <t>Charged, Convicted, Sentenced to 20 years in prison</t>
  </si>
  <si>
    <t>Charged, Convicted of second-degree murder</t>
  </si>
  <si>
    <t>Charged, Convicted of involuntary manslaugher, Sentenced to 1 year in jail, 3 years suspended</t>
  </si>
  <si>
    <t>Charged, Convicted, Sentenced to 1 year in jail, 3 years suspended</t>
  </si>
  <si>
    <t>Charged, Mistrial</t>
  </si>
  <si>
    <t>Charged, Convicted of felony murder, Sentenced to life without parole, plus 16 years</t>
  </si>
  <si>
    <t>Charged, Convicted, Sentenced to life in prison without parole, plus 16 years</t>
  </si>
  <si>
    <t>Charged, Convicted of misdemeanor reckless conduct with a firearm, Sentenced to 1 year in prison</t>
  </si>
  <si>
    <t>Charged, Convicted, Sentenced to 1 year in prison</t>
  </si>
  <si>
    <t>Charged with manslaughter, Acquitted</t>
  </si>
  <si>
    <t>Charged, Convicted of voluntary manslaughter, Sentenced to 3 months in jail</t>
  </si>
  <si>
    <t>Charged, Convicted, Sentenced to 3 months in jail</t>
  </si>
  <si>
    <t>Charged, Convicted of felony murder, Sentenced to life in prison</t>
  </si>
  <si>
    <t>Charged, Convicted, Sentenced to life in prison</t>
  </si>
  <si>
    <t>No indictment</t>
  </si>
  <si>
    <t xml:space="preserve">Charged, Convicted of misdemeanor misconduct in office, Sentenced to 3 years probation </t>
  </si>
  <si>
    <t xml:space="preserve">Charged, Convicted, Sentenced to 3 years probation </t>
  </si>
  <si>
    <t>Charged, Convicted of murder, Sentenced to 30 years in prison</t>
  </si>
  <si>
    <t xml:space="preserve">Shawn allegedly fought with Officer Kenneth Farnan and tried to get a gun out of his holster, but Farnan said he got his gun first and shot Evans six times, killing him. </t>
  </si>
  <si>
    <t>Charged, Convicted of first-degree murder, Sentenced to life in prison</t>
  </si>
  <si>
    <t>Charged, Charges Tossed</t>
  </si>
  <si>
    <t>Charged, Convicted of aggravated manslaughter and child endangerment, Sentenced to 30 years in prison</t>
  </si>
  <si>
    <t>Charged, Convicted, Sentenced to 30 years in prison</t>
  </si>
  <si>
    <t>No indictment from federal prosecutors, local prosecutors still deciding</t>
  </si>
  <si>
    <t>Bradford Louis Etheredge</t>
  </si>
  <si>
    <t>100 North 24th St</t>
  </si>
  <si>
    <t>Shortly after 1 p.m., Bradford Louis Etheredge was shot after he reportedly stabbed Cpl. Donald Johnson and Officer Brian Strong, who were attempting to stop a conflict between Etheredge and his landlord. Etheredge, who had a history of mental illness, was shot three times in the torso during the struggle at his residence. Etheredge died at an area hospital. Both officers were reported to be in good condition upon arrival at a local hospital. The officers were cleared after an internal investigation.</t>
  </si>
  <si>
    <t>http://www.nola.com/crime/baton-rouge/index.ssf/2013/04/two_baton_rouge_police_officer_1.html#incart_river_default</t>
  </si>
  <si>
    <t>A local US Marshals Task Force, including officers from the Baton Rouge Police Department, were attempting to apprehend Croom from his hotel in Baton Rouge, as he was wanted in two murders. They report that he fired at them, killed one of the marshals, and later died himself from return gunfire.</t>
  </si>
  <si>
    <t>Phosowath Sengphong</t>
  </si>
  <si>
    <t>1000 Spencer Loop</t>
  </si>
  <si>
    <t>http://www.iberianet.com/breaking_news/officer-involved-shooting-on-spencer-loop/article_e5b596ae-1724-11e7-9ae5-0320449111ea.html</t>
  </si>
  <si>
    <t>knife</t>
  </si>
  <si>
    <t>Richard Xavier Summers</t>
  </si>
  <si>
    <t>http://www.fatalencounters.org/wp-content/uploads/2013/10/richard-xavier-summers.jpg</t>
  </si>
  <si>
    <t>7369 Ulmerton Rd</t>
  </si>
  <si>
    <t>Largo</t>
  </si>
  <si>
    <t>Summers was wanted on a fraud charge, along with failing to appear. Summers was inside an Uber vehicle when the vehicle was pulled over. Summers refused to get out of the vehicle and shot at deputies from inside the car. Six deputies shot and killed him.</t>
  </si>
  <si>
    <t>http://www.baynews9.com/content/news/baynews9/news/article.html/content/news/articles/bn9/2017/4/6/pinellas_deputies_de.html</t>
  </si>
  <si>
    <t>gun</t>
  </si>
  <si>
    <t>2600 Mayview Dr</t>
  </si>
  <si>
    <t>A Houston police officer was responding to a noise complaint, and when he approached the vehicle that the complaint was made against, he asked to search the vehicle after smelling marijuana, police said. The man tried to run. During a struggle, the officer saw a gun in a holster on the man's waistband. The officer tried to secure the gun, but the man pulled the gun out of the holster, so the officer shot and killed him.</t>
  </si>
  <si>
    <t>http://www.click2houston.com/news/officer-involved-in-nw-houston-shooting</t>
  </si>
  <si>
    <t>Zelalem Eshetu Ewnetu</t>
  </si>
  <si>
    <t>http://www.fatalencounters.org/wp-content/uploads/2013/10/Zelalem-Eshetu-Ewnetu.jpg</t>
  </si>
  <si>
    <t>1517 E 91st St</t>
  </si>
  <si>
    <t>Police were responding to a burglary. They found Ewnetu in a nearby car, and he allegedly pulled a gun out of his car before he was shot and killed.</t>
  </si>
  <si>
    <t>http://ktla.com/2017/04/12/man-fatally-shot-by-deputies-responding-to-burglary-call-in-south-l-a-area/</t>
  </si>
  <si>
    <t>Olugbalah Ridley</t>
  </si>
  <si>
    <t>2400 Talonwood Rd</t>
  </si>
  <si>
    <t>West Memphis Police Department</t>
  </si>
  <si>
    <t>http://wreg.com/2017/04/15/ar-state-police-investigating-officer-involved-shooting/</t>
  </si>
  <si>
    <t>Keith Price</t>
  </si>
  <si>
    <t>http://www.fatalencounters.org/wp-content/uploads/2013/10/Keith-Price.png</t>
  </si>
  <si>
    <t>602 Philadelphia Pike</t>
  </si>
  <si>
    <t>According to New Castle County police, police were following a man as part of an investigation in Bellefonte. They tried to stop him, but he fled. The man crashed and fled on foot, with officers chasing him. There was a confrontation, at which point, Keith Price was shot and killed.</t>
  </si>
  <si>
    <t>http://6abc.com/news/suspect-killed-by-police-after-confrontation-in-wilmington/1892435/</t>
  </si>
  <si>
    <t>Damarius Butts</t>
  </si>
  <si>
    <t>900 1st Avenue</t>
  </si>
  <si>
    <t>Three Seattle police officers were shot and wounded while trying to arrest robbery suspects in downtown Seattle, police said. A male officer was shot in the face. A female officer was shot in the chest but was wearing a Kevlar vest and was treated at a hospital and released. A third officer suffered a hand wound and was treated and released. A fourth officer was struck by a bottle during the struggle with the robbers and was treated at the scene, police said. A 17-year-old girl, was arrested near the shooting scene. The two men, including the one found dead, are 19 years old.</t>
  </si>
  <si>
    <t>http://www.seattletimes.com/seattle-news/crime/2-police-officers-shot-in-downtown-seattle/</t>
  </si>
  <si>
    <t>Hakim A. McNair</t>
  </si>
  <si>
    <t>http://www.fatalencounters.org/wp-content/uploads/2013/10/Hakim-McNair.jpg</t>
  </si>
  <si>
    <t>S Orange Ave and S 20th St</t>
  </si>
  <si>
    <t>Police were investigating shootings and robberies when they began to pursue a Honda. A police vehicle and the car crashed. Police said they spotted a gun inside as they approached the vehicle. Hakim McNair was shot and killed.</t>
  </si>
  <si>
    <t>http://pix11.com/2017/04/26/newark-detectives-shoot-armed-man-during-robbery-investigation-officials-say/</t>
  </si>
  <si>
    <t>Burgon Sealy Jr.</t>
  </si>
  <si>
    <t>http://www.fatalencounters.org/wp-content/uploads/2013/10/Burgon-Sealy-Jr..jpg</t>
  </si>
  <si>
    <t>1693 Pulaski Hwy</t>
  </si>
  <si>
    <t>Bear</t>
  </si>
  <si>
    <t>Federal Bureau of Investigation, New Castle County Sheriff's Office, Wilmington Police Department, Delaware State Police</t>
  </si>
  <si>
    <t>Twenty-one hours after barricading himself inside his family's home, a man who allegedly had killed a Delaware state trooper emerged carrying a weapon when police used an armored vehicle to rip siding off the structure. Burgon Sealy Jr. was shot and killed.</t>
  </si>
  <si>
    <t>http://www.delawareonline.com/story/news/crime/2017/04/27/delaware-state-police-shooter-remains-barricaded/100966602/</t>
  </si>
  <si>
    <t>Avery Richard</t>
  </si>
  <si>
    <t>http://www.fatalencounters.org/wp-content/uploads/2013/10/AveryRichard.jpg</t>
  </si>
  <si>
    <t>Hamilton E. Holmes Drive and Martin Luther King Jr. Drive</t>
  </si>
  <si>
    <t>Avery Richard was shot and killed by an FBI agent in southwest Atlanta. Richard had been wanted by police after they say he shot a Banks County deputy at Tanger Outlets in Commerce.</t>
  </si>
  <si>
    <t>http://www.ajc.com/news/crime--law/fbi-agents-kill-tanger-outlet-suspect-after-day-crime-spree/mDPxeS8tS5rR8Xk9YZ4TmO/</t>
  </si>
  <si>
    <t>Caleb "CJ" Jackson Jr.</t>
  </si>
  <si>
    <t>http://www.fatalencounters.org/wp-content/uploads/2013/10/Caleb.jpg</t>
  </si>
  <si>
    <t>5832 Jefferson Ave</t>
  </si>
  <si>
    <t>Newport News City</t>
  </si>
  <si>
    <t>Caleb "CJ" Jackson Jr. allegedly took several people hostage, shooting one, before he was shot and killed by police as they stormed the bar.</t>
  </si>
  <si>
    <t>http://www.13newsnow.com/news/local/mycity/newport-news/officer-involved-in-shooting-in-newport-news/435151201</t>
  </si>
  <si>
    <t>James Edward Ray</t>
  </si>
  <si>
    <t>10000 Joy Rd</t>
  </si>
  <si>
    <t>A Detroit officer was shot after he and his partner responded to a domestic violence call on the city's west side. The man who opened fire was apparently not involved in the original complaint. James Edward Ray was shot and killed.</t>
  </si>
  <si>
    <t>http://www.wxyz.com/news/detroit-police-officer-shot-on-citys-west-side</t>
  </si>
  <si>
    <t>Malik Carey</t>
  </si>
  <si>
    <t>http://www.fatalencounters.org/wp-content/uploads/2013/10/Malik-Carey.jpg</t>
  </si>
  <si>
    <t>1300 Dickinson Street SE</t>
  </si>
  <si>
    <t>Grand Rapids Police Department</t>
  </si>
  <si>
    <t>Few details were immediately released, but apparently Malik Carey was shot and killed by police after he allegedly shot at them.</t>
  </si>
  <si>
    <t>http://woodtv.com/2017/05/03/grand-rapids-police-respond-to-officer-involved-shooting/</t>
  </si>
  <si>
    <t>Landon Nobles</t>
  </si>
  <si>
    <t>http://www.fatalencounters.org/wp-content/uploads/2013/10/Landon-Nobles.png</t>
  </si>
  <si>
    <t>400 E Sixth St</t>
  </si>
  <si>
    <t>Police said they heard gunshots and were able to find video of a 24-year-old man firing shots into the air. Shortly after they found the accused shooter, Landon Nobles, a chase started. As police were running after him, they said they saw he had a pistol. The man then turned and allegedly fired shots at two officers, who fired back and killed the man.</t>
  </si>
  <si>
    <t>http://www.kvue.com/news/local/one-dead-after-officer-involved-shooting-in-downtown-austin/437567270</t>
  </si>
  <si>
    <t>Terrell Kyreem Johnson</t>
  </si>
  <si>
    <t>http://www.fatalencounters.org/wp-content/uploads/2013/10/Terrell-Kyreem-Johnson.jpg</t>
  </si>
  <si>
    <t>SE 92nd Ave and Flavel St</t>
  </si>
  <si>
    <t>A caller to 911 reported that a man was threatening people at the transit station, police said. He allegedly pulled a knife and was shot and killed.</t>
  </si>
  <si>
    <t>http://www.oregonlive.com/portland/index.ssf/2017/05/one_person_dead_in_officer-inv.html</t>
  </si>
  <si>
    <t>Jaison Fitzgerald</t>
  </si>
  <si>
    <t>3800 Lynhaven Ave</t>
  </si>
  <si>
    <t>Police said they were seeking a man who was involved in an attempted shooting. They located the suspect in a car on Lynhaven Avenue. Officers attempted a traffic stop. The officer got out of the vehicle, and the man was shot and killed, although what precipitated the killing was not immediately disclosed.</t>
  </si>
  <si>
    <t>http://www.nbc12.com/story/35435450/police-investigating-officer-involved-shooting-in-south-richmond</t>
  </si>
  <si>
    <t>Jordan Edwards</t>
  </si>
  <si>
    <t>http://www.fatalencounters.org/wp-content/uploads/2013/10/JordanEdwards.jpeg</t>
  </si>
  <si>
    <t>12300 Baron Dr</t>
  </si>
  <si>
    <t>Balch Springs</t>
  </si>
  <si>
    <t>According to Balch Springs police, officers responded to a report of intoxicated teenagers on a residential street at 11 p.m. Saturday. Neighbors said a large house party was underway at the time. Police say when officers arrived on the street, they heard gunfire and then a car filled with passengers back towards them. Jordan Edwards, 15, was shot and killed inside the car. Cameras suggest the police story was not true.</t>
  </si>
  <si>
    <t>http://www.wfaa.com/news/local/15-year-old-boy-killed-in-officer-involved-shooting-in-balch-springs/435409090</t>
  </si>
  <si>
    <t>William D. Spates</t>
  </si>
  <si>
    <t>http://www.fatalencounters.org/wp-content/uploads/2013/10/William-D.-Spates.jpg</t>
  </si>
  <si>
    <t>5300 Royal Ave</t>
  </si>
  <si>
    <t>Portage Police Department</t>
  </si>
  <si>
    <t>A Portage officer stopped a vehicle prior to the shooting and “actions by the suspect during the encounter led to the officer-involved shooting,” police said. Few details were released by police in the hours after the shooting.</t>
  </si>
  <si>
    <t>http://www.nwitimes.com/news/local/crime-and-courts/update-person-dead-after-portage-officer-involved-shooting/article_c4d5fdd7-26e0-5b37-9baa-93c3d41bac75.html</t>
  </si>
  <si>
    <t>Cedric Jamal Mifflin</t>
  </si>
  <si>
    <t>http://www.fatalencounters.org/wp-content/uploads/2013/10/Cedric-Jamal-Mifflin.png</t>
  </si>
  <si>
    <t>13th Street and 11th Avenue</t>
  </si>
  <si>
    <t>A car chase became a foot chase and Mifflin was shot and killed. Exactly what precipitated the shooting was not immediately released.</t>
  </si>
  <si>
    <t>http://wrbl.com/2017/05/07/officer-involved-shooting-confirmed-in-phenix-city/</t>
  </si>
  <si>
    <t>vehicle</t>
  </si>
  <si>
    <t>Michael Alcaraz</t>
  </si>
  <si>
    <t>http://www.fatalencounters.org/wp-content/uploads/2013/10/Michael-Alcaraz.jpg</t>
  </si>
  <si>
    <t>827 Lincolnway E</t>
  </si>
  <si>
    <t>Goshen</t>
  </si>
  <si>
    <t>Goshen Police Department</t>
  </si>
  <si>
    <t>http://www.goshennews.com/news/police_news/police-on-the-scene-of-alleged-shooting-at-double-d/article_1cb122f8-1a0a-11e7-a044-bf96a250b7b7.html</t>
  </si>
  <si>
    <t>Jose Hernandez-Rossy</t>
  </si>
  <si>
    <t>http://www.fatalencounters.org/wp-content/uploads/2013/10/Jose-Hernandez-Rossy.png</t>
  </si>
  <si>
    <t>Garfield St &amp; Hartman Pl</t>
  </si>
  <si>
    <t>http://buffalonews.com/2017/05/07/buffalo-police-officer-struck-by-gunfire-after-shooting-in-black-rock/</t>
  </si>
  <si>
    <t>Isaiah Murrietta</t>
  </si>
  <si>
    <t>http://www.fatalencounters.org/wp-content/uploads/2013/10/Isaiah-Murrietta.png</t>
  </si>
  <si>
    <t>N First St &amp; E Gettysburg Ave</t>
  </si>
  <si>
    <t>http://www.yourcentralvalley.com/news/breaking-16-year-old-involved-in-officer-involved-shooting-dies/696949563</t>
  </si>
  <si>
    <t>Michael Maldonado</t>
  </si>
  <si>
    <t>http://www.fatalencounters.org/wp-content/uploads/2013/10/MichaelMaldonado.png</t>
  </si>
  <si>
    <t>9559 Airline Dr</t>
  </si>
  <si>
    <t>A stolen vehicle was reported. A constable began following the car. Officials chased the car into a parking lot off Airline Drive. The driver allegedly tried to ram into the deputies' vehicle. Four deputies inside the vehicle began firing at the stolen car, which had two people inside. The driver was killed.</t>
  </si>
  <si>
    <t>http://www.chron.com/news/houston-texas/article/Officer-involved-shooting-under-investigating-in-11049915.php</t>
  </si>
  <si>
    <t>Brandon Pequeno</t>
  </si>
  <si>
    <t>http://www.fatalencounters.org/wp-content/uploads/2013/10/brandonpequeno.png</t>
  </si>
  <si>
    <t>5200 W Northern Ave</t>
  </si>
  <si>
    <t>Chandler Police Department, Glendale Police Department, Mesa Police Department</t>
  </si>
  <si>
    <t>http://yourwestvalley.com/news/crime/glendale-police-man-dies-wounds-sustained-officer-involved-shooting/</t>
  </si>
  <si>
    <t>Jayson Negron</t>
  </si>
  <si>
    <t>http://www.fatalencounters.org/wp-content/uploads/2013/10/Jayson-Negron.png</t>
  </si>
  <si>
    <t>710 Fairfield Ave</t>
  </si>
  <si>
    <t>Police tried to stop a stolen car, but the driver kept going, allegedly leading the officers on a brief chase, traveling the wrong way on a street and hitting several other cars, police said. The car stopped, and as officers approached and tried to take the driver into custody, Jayson Negron put the car in reverse and hit one of the officers, pinning him beneath the car, police said. A second officer opened fire, hitting both the driver and a front-seat passenger. Negron was killed.</t>
  </si>
  <si>
    <t>http://www.courant.com/breaking-news/hc-bridgeport-officer-involved-shooting-0510-20170509-story.html</t>
  </si>
  <si>
    <t>Jeffrey Lynn Curry Jr.</t>
  </si>
  <si>
    <t>http://www.fatalencounters.org/wp-content/uploads/2013/10/Jeffrey-Lynn-Curry-Jr.png</t>
  </si>
  <si>
    <t>A pursuit started by Bennett County police crossed over onto the reservation where tribal police took over the chase. The man fired multiple shots at officers during the chase, police said. Jeffrey Curry was shot and killed near Kyle.</t>
  </si>
  <si>
    <t>http://www.kotatv.com/content/news/Man-shot-and-killed-by-Oglala-Sioux-tribal-police-419209844.html</t>
  </si>
  <si>
    <t>Ivan Scott Wilson-Dragswolf</t>
  </si>
  <si>
    <t>502 4th Ave NE</t>
  </si>
  <si>
    <t>Mandan</t>
  </si>
  <si>
    <t>Morton</t>
  </si>
  <si>
    <t>Mandan Police Department</t>
  </si>
  <si>
    <t>Police responded to a domestic disturbance, according to police. When they arrived, they found a 19-year-old woman and the now-deceased man arguing. Police say the man had a knife, refused to drop it and charged towards officers. The officer then shot and killed the man.</t>
  </si>
  <si>
    <t>http://www.kfyrtv.com/content/news/Mandan-Police-officer-involved-in-shooting-Friday-419512933.html</t>
  </si>
  <si>
    <t>Joseph Sin</t>
  </si>
  <si>
    <t>http://www.fatalencounters.org/wp-content/uploads/2013/10/Joseph-Sin.jpg</t>
  </si>
  <si>
    <t>730 Palora Ave.</t>
  </si>
  <si>
    <t>Officers noticed Joseph Sin, 43, leaning into the window of a car in the parking lot of an Econolodge. After officers approached the suspect to see if the car was his, he ran away, police said. After police chased Sin, a shootout ensued. One officer was shot in the leg during the shooting and was treated and released. Sin was shot and killed.</t>
  </si>
  <si>
    <t>http://www.abc10.com/news/local/wanted-marysville-man-killed-in-shootout-with-yuba-city-police/433330674</t>
  </si>
  <si>
    <t>Marcus Williams</t>
  </si>
  <si>
    <t>900 Deniro Court</t>
  </si>
  <si>
    <t>Cantonment</t>
  </si>
  <si>
    <t>http://www.northescambia.com/2017/04/suspect-shot-and-killed-by-escambia-deputy-in-cantonment</t>
  </si>
  <si>
    <t>Kenneth Francis</t>
  </si>
  <si>
    <t>900 Hunterdon St</t>
  </si>
  <si>
    <t>Kenneth Francis fired a shotgun at police and was shot and killed. Police were called because a man had a shotgun.</t>
  </si>
  <si>
    <t>http://pix11.com/2017/04/06/man-with-shotgun-wounded-during-newark-police-involved-shooting/</t>
  </si>
  <si>
    <t>William Baker</t>
  </si>
  <si>
    <t>1939 E 4th St</t>
  </si>
  <si>
    <t>Officers responded to Stater Bros Market for report of a person with a shotgun inside the location. Upon their arrival, police confronted the suspect and shot and killed him.</t>
  </si>
  <si>
    <t>http://losangeles.cbslocal.com/2017/04/10/ontario-deadly-officer-involved-shooting/</t>
  </si>
  <si>
    <t>Jose A. Trejo</t>
  </si>
  <si>
    <t>432 Sanders Road</t>
  </si>
  <si>
    <t>Hardeeville Police Department, Jasper County Sheriff's Office</t>
  </si>
  <si>
    <t>Police received a call about a domestic dispute situation involving a man shooting at a female, possibly his wife or girlfriend. Jasper County deputies and Hardeeville Police officers responded to the scene. The suspect fired at law enforcement, hitting Jasper County deputy, Justin Smith, in the shoulder, arm and possibly hand, and Hardeeville officer, Kelvin Grant, in the arm near the chest. He was shot and killed.</t>
  </si>
  <si>
    <t>http://www.wtoc.com/story/35204463/two-officers-involved-in-shooting-in-sanders-subdivision-in-hardeeville</t>
  </si>
  <si>
    <t>Wayne Noel Simard</t>
  </si>
  <si>
    <t>900 Hope St</t>
  </si>
  <si>
    <t>Police responded in reference to a report of a subject firing shots from a gun. Upon arrival they encountered an armed subject firing gunshots from within the house. The subject was firing rounds into nearby occupied structures and in the direction of police. Police attempted to negotiate, but the man confronted them with a gun, and he was shot and killed.</t>
  </si>
  <si>
    <t>http://www.prescottenews.com/index.php/news/current-news/item/29859-armed-suspect-killed-in-officer-involved-shooting</t>
  </si>
  <si>
    <t>Kendell Wilson</t>
  </si>
  <si>
    <t>6902 N State Highway 6</t>
  </si>
  <si>
    <t>Houston Police Department, Texas Department of Public Safety</t>
  </si>
  <si>
    <t>Police shot and killed a 16-year-old robbery suspect and injured two more before arresting the survivors. They are suspected in nearly a dozen robberies of convenience stores and fast food restaurants. Four suspects - 18-year-old Javalon Robinson, 17-year-old Xavier Cox and 16-year-old and 15-year-old male teenagers - are accused of breaking into a Jack-in-the-Box.</t>
  </si>
  <si>
    <t>http://www.chron.com/houston/article/Police-investigate-officer-involved-shooting-11096180.php</t>
  </si>
  <si>
    <t>Tim Holmgren</t>
  </si>
  <si>
    <t>1751 Harmony Heights Ln</t>
  </si>
  <si>
    <t>An officer with the Rapid City Police Department responded to a call from a resident requesting a welfare check, according to police. Tim Holmgren met the officer at the door with a gun. After a several hour standoff, police said he pointed the gun at officers, and Holmgren was shot and killed.</t>
  </si>
  <si>
    <t>http://rapidcityjournal.com/news/local/man-barricaded-in-apartment-shot-killed-by-authorities/article_23e9da5d-77b4-52fd-9e15-3d7e5f40aa27.html</t>
  </si>
  <si>
    <t>Luis Fernando Pacheco</t>
  </si>
  <si>
    <t>US-101 and CA-92</t>
  </si>
  <si>
    <t>Police said one person died in a shooting involving three CHP officers, who were not injured. Officers were involved in a confrontation with an armed suspect, police said. It is unclear what led up to the shooting, but the three officers were driving in separate patrol cars before they all fired their weapons. Later reports suggest it was an attempted carjacking.</t>
  </si>
  <si>
    <t>http://www.nbcbayarea.com/news/local/Shooting-Investigation-Shuts-Down-Lanes-on-Highway-101-in-San-Mateo-CHP-420790124.html</t>
  </si>
  <si>
    <t>1300 135th Dr</t>
  </si>
  <si>
    <t>A man allegedly stole a car and barricaded himself in a house and shot a police officer and injured a police dog before he was shot and killed as police stormed the house, police said.</t>
  </si>
  <si>
    <t>http://www.denverpost.com/2017/05/10/westminster-standoff-suspect-killed/</t>
  </si>
  <si>
    <t>Robin White</t>
  </si>
  <si>
    <t>3600 Wilmington Ave</t>
  </si>
  <si>
    <t>Robin White, 50, was reportedly firing a gun outside of a house. When police responded to the house, officers demanded she drop her weapon, but she continued to fire shots. After she refused to drop her gun, one officer fired several shots, killing the woman.</t>
  </si>
  <si>
    <t>http://www.kmov.com/story/35395160/woman-shot-killed-in-holly-hills-neighborhood</t>
  </si>
  <si>
    <t>640 E Front Street</t>
  </si>
  <si>
    <t>Allegedly an unidentified man made threats at a car dealership and shot at police before he was shot and killed.</t>
  </si>
  <si>
    <t>http://www.wfaa.com/news/arlington-police-shoot-man-during-standoff/438974686</t>
  </si>
  <si>
    <t>Clarence E. Coats Jr.</t>
  </si>
  <si>
    <t>611 N Garth Ave</t>
  </si>
  <si>
    <t>Columbia police and Boone County sheriff's deputies responded to reports of a man threatening people with a gun and firing shots. Clarence E. Coats Jr., 41, fired several shots at police and deputies when they arrived. He fled on foot and climbed onto a rooftop of a building where police said he fired more shots at officers. A CPD officer shot and killed him.</t>
  </si>
  <si>
    <t>http://www.abc17news.com/news/highway-patrol-confirms-fatal-officer-involved-shooting-in-columbia-suspect-identified/498416615</t>
  </si>
  <si>
    <t>W Beloit Rd &amp; S 60th St</t>
  </si>
  <si>
    <t>West Allis</t>
  </si>
  <si>
    <t>West Allis Police Department, New Berlin Police Department</t>
  </si>
  <si>
    <t>West Allis police said they pulled over a car that was involved in an armed robbery at the George Webb restaurant. During the traffic stop, a passenger in the car got out and fired at the officer, but didn't hit him. The man who fired the shot ran away, and the person still in the car drove off. Minutes later, the man who shot was found hiding in a dumpster. During an encounter with the man, officers from the West Allis and New Berlin police departments shot and killed him.</t>
  </si>
  <si>
    <t>http://www.wisn.com/article/police-on-scene-of-possible-standoff-situation-in-west-allis/9648868</t>
  </si>
  <si>
    <t>I-40 and Andy Devine Ave</t>
  </si>
  <si>
    <t>https://kdminer.com/news/2017/may/14/police-action-andy-devine-avenue-and-interstate-40/</t>
  </si>
  <si>
    <t>1125 N 3rd Ave</t>
  </si>
  <si>
    <t>According to police, a woman was wanted for a homicide that happened earlier in the day; 55-year-old Todd Landon was shot and killed near Central Avenue and Camelback Road. Police said the woman was spotted several hours after the first incident by a bystander at the Japanese Friendship Garden, who noticed she was armed and called law enforcement. A responding officer recognized that she could be the suspect sought in the earlier case and tried to negotiate with her. She refused to follow commands and was shot and killed.</t>
  </si>
  <si>
    <t>http://www.abc15.com/news/region-phoenix-metro/central-phoenix/phoenix-police-investigating-officer-involved-shooting-near-downtown</t>
  </si>
  <si>
    <t>Rural Rd and Southern Ave</t>
  </si>
  <si>
    <t>http://www.abc15.com/news/region-southeast-valley/tempe/tempe-police-officer-injured-in-shooting-near-ruralsouthern</t>
  </si>
  <si>
    <t>Jose Gonzales Rendon</t>
  </si>
  <si>
    <t>Palm Ave and Ventura St</t>
  </si>
  <si>
    <t>Santa Paula</t>
  </si>
  <si>
    <t>Santa Paula Police Department</t>
  </si>
  <si>
    <t>Police responded to a call of a man holding a knife near the corner of Palm Avenue and Ventura Street, police said. When officers approached the man, they said an argument began which ended with the man being shot and killed.</t>
  </si>
  <si>
    <t>http://abc7.com/news/1-person-killed-in-santa-paula-officer-involved-shooting-police-say/1853189/</t>
  </si>
  <si>
    <t>David Airth</t>
  </si>
  <si>
    <t>200 61st St</t>
  </si>
  <si>
    <t>Police responded to a 911 call reporting a domestic violence incident. An officer confronted a man outside on the sidewalk. Police said the officer ordered the man to drop his knife, and the man did so, but picked it up seconds later and threatened the officer, who shot and killed him.</t>
  </si>
  <si>
    <t>http://www.latimes.com/local/lanow/la-me-ln-newport-beach-suspect-shot-20170416-story.html</t>
  </si>
  <si>
    <t>Rogelio Vidal Landa</t>
  </si>
  <si>
    <t>Hudson Drive</t>
  </si>
  <si>
    <t>Officers found robbery suspects inside a Jeep SUV. Police said they tried to conduct a traffic stop on the SUV, but the suspects led them on a short chase, which ended with the suspects crashing into a tree on nearby Hudson Drive. Three people were in the SUV. The driver and one passenger tried escaping on foot after the crash, and an officer shot and killed the driver.</t>
  </si>
  <si>
    <t>http://bakersfieldnow.com/news/local/police-involved-in-south-bakersfield-shooting</t>
  </si>
  <si>
    <t>Sariah Lane</t>
  </si>
  <si>
    <t>Thomas Gezotis</t>
  </si>
  <si>
    <t>1117 East Street S</t>
  </si>
  <si>
    <t>Suffield</t>
  </si>
  <si>
    <t>Suffield Police Department</t>
  </si>
  <si>
    <t>Suffield police officers were investigating a report of a stolen car when, according to police, Gezotis pulled out a gun during a traffic stop. A Suffield officer then opened fire, killing him. He allegedly robbed a bank an hour prior.</t>
  </si>
  <si>
    <t>http://www.courant.com/breaking-news/hc-suffield-officer-involved-shooting0-0414-20170413-story.html</t>
  </si>
  <si>
    <t>Charles Bossinger</t>
  </si>
  <si>
    <t>2 Oakland Ave</t>
  </si>
  <si>
    <t>Lewistown</t>
  </si>
  <si>
    <t>Mifflin</t>
  </si>
  <si>
    <t>Lewistown Police Department</t>
  </si>
  <si>
    <t>http://www.pennlive.com/news/2017/04/man_shot_and_killed_by_police.html</t>
  </si>
  <si>
    <t>6750 Cherry Ave</t>
  </si>
  <si>
    <t>Police who were pursuing a stolen van shot and killed a man on live TV when he pointed a gun at them.</t>
  </si>
  <si>
    <t>http://www.latimes.com/local/lanow/la-me-ln-van-pursuit-officer-involved-shooting-live-tv-20170515-story.html</t>
  </si>
  <si>
    <t>Buford Shane Whitson</t>
  </si>
  <si>
    <t>University Parkway and South Roan Street</t>
  </si>
  <si>
    <t>Police responded to a domestic disturbance involving an armed suspect. After a manhunt and chase, Buford Whitson was shot and killed when he allegedly pointed his gun at police.</t>
  </si>
  <si>
    <t>http://wjhl.com/2017/05/15/suspect-shot-and-killed-after-police-pursuit-in-carter-county-and-johnson-city/</t>
  </si>
  <si>
    <t>Juan Manuel Avilla</t>
  </si>
  <si>
    <t>10326 Foster Rd</t>
  </si>
  <si>
    <t>A police chase involving a possible car thief ended with one suspect killed and another taken into custody. Police said they shot and killed the man when he drove toward them after driving into a cul-de-sac.</t>
  </si>
  <si>
    <t>http://abc7.com/news/wild-police-chase-ends-in-bellflower;-1-suspect-in-custody-1-dead/1914715/</t>
  </si>
  <si>
    <t>Andrew James Lucero</t>
  </si>
  <si>
    <t>Chaparral Drive</t>
  </si>
  <si>
    <t>A Santa Fe police officer fatally shot a man while trying to stop the man from driving a patrol vehicle, police said. The officer shot and killed the man during a struggle to remove him from the police vehicle.</t>
  </si>
  <si>
    <t>http://www.santafenewmexican.com/news/local_news/sfpd-officer-fatally-shoots-suspect-near-eldorado/article_2a1a14a4-2dc9-11e7-98fd-8337e0162115.html</t>
  </si>
  <si>
    <t>Steven Allen Price</t>
  </si>
  <si>
    <t>http://www.fatalencounters.org/wp-content/uploads/2013/10/Steven-Allen-Price.png</t>
  </si>
  <si>
    <t>5200 Shreve Ave</t>
  </si>
  <si>
    <t>A security guard called Las Vegas police to report that “a man was acting erratically and attacking him with a shovel.” Police made contact with the man and ordered him to drop his weapons, but he did not. He walked toward officers and was shot and killed.</t>
  </si>
  <si>
    <t>https://www.reviewjournal.com/crime/shootings/las-vegas-police-shoot-kill-man-armed-with-axes/</t>
  </si>
  <si>
    <t>ax</t>
  </si>
  <si>
    <t>Gene Bernhardt</t>
  </si>
  <si>
    <t>http://www.fatalencounters.org/wp-content/uploads/2013/10/Gene-Bernhardt.png</t>
  </si>
  <si>
    <t>Pāpa‘Aloa</t>
  </si>
  <si>
    <t>Big Island police said they were investigating a "disturbance call" when they came across Gene Bernhardt wielding a loaded crossbow. They said one officer shot and killed him.</t>
  </si>
  <si>
    <t>http://www.hawaiinewsnow.com/story/35286495/man-with-crossbow-killed-in-big-island-officer-involved-shooting</t>
  </si>
  <si>
    <t>Stephen Connard Ferry</t>
  </si>
  <si>
    <t>http://www.fatalencounters.org/wp-content/uploads/2013/10/Stephen-Connard-Ferry.png</t>
  </si>
  <si>
    <t>Linda Vista and Roberto Street</t>
  </si>
  <si>
    <t>Napa Police Department, Napa County Sheriff's Office</t>
  </si>
  <si>
    <t>Police said a man had been involved in a dispute with a neighbor earlier in the day. As officers were setting up a perimeter around a home, the suspect drove out of his garage and fired at officers as he drove off. A short distance away, police shot and killed the man.</t>
  </si>
  <si>
    <t>http://napavalleyregister.com/news/local/shooting-suspect-killed-in-gunfire-with-napa-police/article_5be534e3-d956-50ea-a916-c9db8a4b1ff3.html</t>
  </si>
  <si>
    <t>Glenn Watenpool</t>
  </si>
  <si>
    <t>http://www.fatalencounters.org/wp-content/uploads/2013/10/Glenn-Watenpool.png</t>
  </si>
  <si>
    <t>570 57th Ave W</t>
  </si>
  <si>
    <t>Glenn Watenpool, 68, entered the office inside the clubhouse of the Pescara Lakes mobile home park and pointed a handgun at the 54-year-old park manager. After six hours of negotiation, deputies entered, and Watenpool fired on them and was shot and killed.</t>
  </si>
  <si>
    <t>http://www.bradenton.com/news/local/crime/article143153954.html</t>
  </si>
  <si>
    <t>Jeffrey James Findlay</t>
  </si>
  <si>
    <t>http://www.fatalencounters.org/wp-content/uploads/2013/10/Jeffrey-James-Findlay.jpg</t>
  </si>
  <si>
    <t>3800 Mapledale Ave</t>
  </si>
  <si>
    <t>Police were called after a neighbor said she saw Findlay pointing something at his ex-girlfriend. Police said Findlay was in the driveway in front of the home with a gun when they arrived, and he ignored orders to drop the gun before he was shot and killed.</t>
  </si>
  <si>
    <t>http://www.cleveland19.com/story/35108934/officer-involved-shooting-suspect-critical-condition</t>
  </si>
  <si>
    <t>Charles Scott Johnston</t>
  </si>
  <si>
    <t>http://www.fatalencounters.org/wp-content/uploads/2013/10/CharlesJohnston.jpg</t>
  </si>
  <si>
    <t>3762 KS-15</t>
  </si>
  <si>
    <t>Udall</t>
  </si>
  <si>
    <t>Charles Scott Johnston, 25, was allegedly holding a woman hostage prior to running and firing at officers. He was shot and killed by police.</t>
  </si>
  <si>
    <t>http://www.kake.com/story/35139445/shots-fired-during-multi-county-chase?utm_medium=social&amp;utm_source=twitter_KAKEnews</t>
  </si>
  <si>
    <t>Charles Michael Shands</t>
  </si>
  <si>
    <t>18900 23rd Ave Ct E</t>
  </si>
  <si>
    <t>http://www.theolympian.com/news/local/crime/article144583509.html</t>
  </si>
  <si>
    <t>Marion Lee Holliday</t>
  </si>
  <si>
    <t>S Douglas Blvd &amp; E Charter Oak Rd</t>
  </si>
  <si>
    <t>http://kfor.com/2017/04/20/logan-county-officials-on-scene-of-reported-shooting-in-wooded-area/</t>
  </si>
  <si>
    <t>Peter Selis</t>
  </si>
  <si>
    <t>http://www.fatalencounters.org/wp-content/uploads/2013/10/Peter-Selis.jpg</t>
  </si>
  <si>
    <t>9080 Judicial Dr</t>
  </si>
  <si>
    <t>One woman was killed and seven people were wounded, several critically, when a man opened fire at a San Diego apartment complex swimming pool where a number of adults were attending a birthday party. Police shot and killed the man after he pointed his gun at officers, police said.</t>
  </si>
  <si>
    <t>http://www.latimes.com/local/lanow/la-me-ln-la-jolla-shooting-20170430-story.html</t>
  </si>
  <si>
    <t>Joseph William Alain</t>
  </si>
  <si>
    <t>http://www.fatalencounters.org/wp-content/uploads/2013/10/JosephAlain.jpg</t>
  </si>
  <si>
    <t>N Thompson St &amp; Hildred Ave</t>
  </si>
  <si>
    <t>http://www.khou.com/news/crime/conroe-pd-one-dead-after-shooting-inside-home/435750489</t>
  </si>
  <si>
    <t>William Deen</t>
  </si>
  <si>
    <t>111 Gelding Garth Rd</t>
  </si>
  <si>
    <t>Peachtree City</t>
  </si>
  <si>
    <t>Peachtree City Police Department</t>
  </si>
  <si>
    <t>Police went to a home where William Deen had been involved in a fight with his son, police said. Deen, 67, pulled out a shotgun and fired at Sgt. James Harris and Officer Darrell Davis. Harris shot and killed Deen.</t>
  </si>
  <si>
    <t>http://www.ajc.com/news/crime--law/update-man-dead-after-firing-police-officer-peachtree-city/5C9K420A9Aj2AG3InajhUO/</t>
  </si>
  <si>
    <t>Anthony David Soderberg</t>
  </si>
  <si>
    <t>11300 Alethea Drive</t>
  </si>
  <si>
    <t>Sunland</t>
  </si>
  <si>
    <t>Police responded to a burglary call. After a several hour standoff, police shot and killed him after he was forced out of the home by tear gas, and he allegedly had fired at officers.</t>
  </si>
  <si>
    <t>http://ktla.com/2017/05/08/sunland-home-break-in-leads-to-hourslong-standoff-police-shooting-lapd/</t>
  </si>
  <si>
    <t>Scott Bloomfield</t>
  </si>
  <si>
    <t>http://www.fatalencounters.org/wp-content/uploads/2013/10/Scott-Bloomfield.png</t>
  </si>
  <si>
    <t>92 N. Tecumseh Trail</t>
  </si>
  <si>
    <t>Tiffin</t>
  </si>
  <si>
    <t>Tiffin Police Department, Seneca County Sheriff's Office</t>
  </si>
  <si>
    <t>After an attempted kidnapping and stabbing, Scott Bloomfield was shot and killed during an exchange of gunfire with police, police said.</t>
  </si>
  <si>
    <t>http://www.13abc.com/content/news/State-Route-231-closed-in-Tiffin-as-officers-respond-to-situation-421783453.html</t>
  </si>
  <si>
    <t>Phillip Byron O'Shea</t>
  </si>
  <si>
    <t>http://www.fatalencounters.org/wp-content/uploads/2013/10/PhilipOshea.jpg</t>
  </si>
  <si>
    <t>Military Trail &amp; Marquette Dr</t>
  </si>
  <si>
    <t>Jupiter</t>
  </si>
  <si>
    <t>Phillip Byron O'Shea was wanted for armed robbery in North Carolina and Palm Beach County, was shot and killed Friday by sheriff's deputies in Jupiter, after a shootout.</t>
  </si>
  <si>
    <t>http://www.wptv.com/news/region-c-palm-beach-county/west-palm-beach/police-investigating-shooting-in-jupiter</t>
  </si>
  <si>
    <t>Gregory Kever</t>
  </si>
  <si>
    <t>2214 Peters Dr</t>
  </si>
  <si>
    <t>Police received reports that a man was acting suspiciously in a hallway of the Westwinds apartment building. When officers arrived, they found a 25-year-old man in a parking lot wielding a knife. He allegedly refused to drop the knife and was shot and killed.</t>
  </si>
  <si>
    <t>http://www.weau.com/content/news/Eau-Claire-Police-on-scene-of-death-investigation-418726703.html</t>
  </si>
  <si>
    <t>Michael Wilson-Salzl</t>
  </si>
  <si>
    <t>5 Fall Wood Drive</t>
  </si>
  <si>
    <t>An officer responded to a reported shooting at the Knollwood Crossing apartments. When Officer Steven McFall, 41, arrived on scene he was confronted by an armed male, Michael Wilson-Salzl. He was armed with a fixed blade knife. During a brief confrontation, McFall fired his weapon at Wilson-Salzl, killing him.</t>
  </si>
  <si>
    <t>http://www.cincinnati.com/story/news/2017/04/22/police-investigating-hamilton-shooting/100796584/</t>
  </si>
  <si>
    <t>Nicholas Flusche</t>
  </si>
  <si>
    <t>http://www.fatalencounters.org/wp-content/uploads/2013/10/Nicholas-Flusche.png</t>
  </si>
  <si>
    <t>900 Market St</t>
  </si>
  <si>
    <t>A San Francisco police officer shot and killed a man who was stabbing a second man, police said.</t>
  </si>
  <si>
    <t>http://www.sfgate.com/bayarea/article/Shooting-shuts-down-part-of-Market-Street-in-SF-11118712.php</t>
  </si>
  <si>
    <t>Jacy Kevin McManus</t>
  </si>
  <si>
    <t>http://www.fatalencounters.org/wp-content/uploads/2013/10/Jacy-Kevin-McManus.png</t>
  </si>
  <si>
    <t>397 Old Hwy 99</t>
  </si>
  <si>
    <t>Police said troopers from the Grants Pass Area Command responded to the Wolf Creek General Store in Josephine County for a man with a felony warrant. Troopers and the man fought, and Jacy Kevin McManus was shot and killed.</t>
  </si>
  <si>
    <t>https://kobi5.com/news/officer-involved-shooting-in-wolf-creek-suspect-killed-51545/</t>
  </si>
  <si>
    <t>John Bittle</t>
  </si>
  <si>
    <t>200 Seleta Circle</t>
  </si>
  <si>
    <t>After a short foot pursuit, John Bittle was shot and killed by a deputy. Police went to the home to arrest Bittle on unidentified arrest warrants.</t>
  </si>
  <si>
    <t>http://www.thestate.com/news/local/crime/article149497259.html</t>
  </si>
  <si>
    <t>Darren Robert Jahnke</t>
  </si>
  <si>
    <t>3250 Fanum Rd</t>
  </si>
  <si>
    <t>Ramsey County Sheriff's Office</t>
  </si>
  <si>
    <t>Ramsey County deputies were on routine patrol in Vadnais Heights when they noticed a RV and car parked on the street that appeared suspicious. Responding deputies found a man inside the RV and a woman inside the car. A deputy inside the RV shot and killed the man. There are no details yet as to why that deputy discharged his or her gun.</t>
  </si>
  <si>
    <t>http://www.kare11.com/news/local/fatal-officer-involved-shooting-in-vadnais-heights/431789288</t>
  </si>
  <si>
    <t>Mirza Tatlic</t>
  </si>
  <si>
    <t>http://www.fatalencounters.org/wp-content/uploads/2013/10/Mirza-Tatlic.png</t>
  </si>
  <si>
    <t>1000 Laura Ville Ln</t>
  </si>
  <si>
    <t>Two people were killed in a shooting on Laura Ville Lane. Police later shot and killed a suspect, Mirza Tatlic, in the double homicide.</t>
  </si>
  <si>
    <t>http://www.mercurynews.com/2017/05/03/san-jose-swat-team-called-to-willow-glen-neighborhood/</t>
  </si>
  <si>
    <t>Jonathan David Victor</t>
  </si>
  <si>
    <t>http://www.fatalencounters.org/wp-content/uploads/2013/10/Jonathan-David-Victor.jpg</t>
  </si>
  <si>
    <t>Robertsdale</t>
  </si>
  <si>
    <t>Jonathan David Victor was injured in a traffic accident on I-10 at the Florida, Alabama State line. When first responders tried to help him, he became combative. They called police. Police said he started gesturing with his hand. He had an object in his hand, and police shot and killed him.</t>
  </si>
  <si>
    <t>http://wkrg.com/2017/05/12/breaking-officer-involved-shooting-in-baldwin-county/</t>
  </si>
  <si>
    <t>Erik Pamias</t>
  </si>
  <si>
    <t>http://www.fatalencounters.org/wp-content/uploads/2013/10/Erik-Pamias.jpg</t>
  </si>
  <si>
    <t>13050 W Rancho Santa Fe Blvd</t>
  </si>
  <si>
    <t>A Phoenix police officer shot and killed Erik Pamias after he attempted to drive his car toward officers who were trying to arrest him, police said.</t>
  </si>
  <si>
    <t>http://www.azcentral.com/story/news/local/southwest-valley/2017/04/12/police-scene-officer-involved-shooting-avondale/100402584/</t>
  </si>
  <si>
    <t>Casey Edward Desper</t>
  </si>
  <si>
    <t>http://www.fatalencounters.org/wp-content/uploads/2013/10/Casey-Edward-Desper.jpg</t>
  </si>
  <si>
    <t>Reddish Knob Road</t>
  </si>
  <si>
    <t>Brandywine</t>
  </si>
  <si>
    <t>Rockingham County Sheriff's Office, West Virginia State Police, the Pendleton County Sheriff's Office, Hardy County Sheriff's Office, West Virginia Division of Natural Resources</t>
  </si>
  <si>
    <t>Deputies in Rockingham County tried to stop Casey Desper for a probation violation. Desper fled, leading to a chase that reached speeds of up to 100 mph. When officers caught up to him, he attempted to run them over, reportedly driving through a building, threatening to harm others, and ramming multiple police vehicles, until he was stopped by an officer on Reddish Knob Road, who shot and killed him.</t>
  </si>
  <si>
    <t>http://www.whsv.com/content/news/One-dead-in-officer-involved-shooting-after-chase-419764503.html</t>
  </si>
  <si>
    <t>Jason Thomas Christian</t>
  </si>
  <si>
    <t>http://www.fatalencounters.org/wp-content/uploads/2013/10/JasonChristian.jpg</t>
  </si>
  <si>
    <t>1509 Lockbourne Rd</t>
  </si>
  <si>
    <t>http://www.dispatch.com/news/20170426/man-fatally-shot-by-columbus-police-officer-during-traffic-stop</t>
  </si>
  <si>
    <t>Austin Snyder</t>
  </si>
  <si>
    <t>http://www.fatalencounters.org/wp-content/uploads/2013/10/Austin-Snyder.jpg</t>
  </si>
  <si>
    <t>10800 Kanis Rd</t>
  </si>
  <si>
    <t>Austin Snyder was located in a stolen vehicle in the parking lot of an Extended Stay America. When officers approached, police said, he rammed a vehicle being driven by a bystander and tried to ram a Little Rock police vehicle. One officer then shot and killed him.</t>
  </si>
  <si>
    <t>http://www.arkansasonline.com/news/2017/apr/05/one-dead-officer-involved-shooting-west-little-roc/</t>
  </si>
  <si>
    <t>Gavin Williams</t>
  </si>
  <si>
    <t>2700 Moncrief Road</t>
  </si>
  <si>
    <t>Lizella</t>
  </si>
  <si>
    <t>Gavin Williams was shot and killed by deputies in central Georgia after he allegedly attacked an elderly couple, killing one person, according to police.</t>
  </si>
  <si>
    <t>http://www.cbs46.com/story/35248353/man-shot-killed-by-deputies-after-fatal-incident-south-of-atlanta</t>
  </si>
  <si>
    <t>Rodney L. Henderson</t>
  </si>
  <si>
    <t>http://www.fatalencounters.org/wp-content/uploads/2013/10/Rodney-L.-Henderson.png</t>
  </si>
  <si>
    <t>1400 South Story Road</t>
  </si>
  <si>
    <t>Rodney L. Henderson was holding two knives on a woman and was shot and killed when he refused to obey orders to drop the weapons, police said. One officer shot him after a Taser was tried a couple of times, police said.</t>
  </si>
  <si>
    <t>http://www.star-telegram.com/news/local/community/northeast-tarrant/article148047779.html</t>
  </si>
  <si>
    <t>Selwyn Aubrey Hall</t>
  </si>
  <si>
    <t>http://www.fatalencounters.org/wp-content/uploads/2013/10/Selwyn-Hall.png</t>
  </si>
  <si>
    <t>300 E 19th St</t>
  </si>
  <si>
    <t>http://jacksonville.com/news/public-safety/2017-04-26/suspect-dead-following-officer-involved-shooting-domestic-disturbance</t>
  </si>
  <si>
    <t>Ray Raymond Valdez</t>
  </si>
  <si>
    <t>200 N Zarzamora St</t>
  </si>
  <si>
    <t>A Park Police officer was flagged down by a woman and told her boyfriend was assaulting her. The officer attempted to intervene when the woman's boyfriend pulled a knife on the officer. The woman attempted to wrestle the knife away from her boyfriend, but was unsuccessful, and the man charged at the officer. The officer deployed his Taser, but the taser was ineffective, prompting the officer to shoot and kill Ray Raymond Valdez.</t>
  </si>
  <si>
    <t>http://news4sanantonio.com/news/local/report-of-shooting-on-west-side</t>
  </si>
  <si>
    <t>Ronald Singletary</t>
  </si>
  <si>
    <t>1200 South 51st Street</t>
  </si>
  <si>
    <t>Ronald Singletary allegedly threatened two officers with a knife when he was shot and killed. Police initially responded to a domestic incident and gave Singletary a restraining order. He was shot and killed during a second incident that night.</t>
  </si>
  <si>
    <t>http://6abc.com/news/suspect-shot-and-killed-by-police-in-sw-philadelphia/1983558/</t>
  </si>
  <si>
    <t>Jose Antonio Hernandez</t>
  </si>
  <si>
    <t>Poplar St. and Woodland Circle</t>
  </si>
  <si>
    <t>Pendleton Police Department</t>
  </si>
  <si>
    <t>Jose Antonio Hernandez was in his underwear when he got in a patrol car and was shot and killed by a Pendleton officer.</t>
  </si>
  <si>
    <t>http://wspa.com/2017/04/03/officer-involved-shooting-in-pendleton-sled-responding/</t>
  </si>
  <si>
    <t>Jeroen Peter Koornwinder</t>
  </si>
  <si>
    <t>Wildcat Canyon Road and Ketuull Uunya Way</t>
  </si>
  <si>
    <t>Deputies responded to a call of a suspect driving recklessly. When deputies arrived, they contacted the man -- in a white truck -- and pursued him for a short period of time, when he got out of the car. He tried to drive away again and was shot and killed.</t>
  </si>
  <si>
    <t>http://www.nbcsandiego.com/news/local/Law-Enforcement-Activity-Northeast-of-Barona-Indian-Reservation-421924474.html</t>
  </si>
  <si>
    <t>Terry Percy Campbell</t>
  </si>
  <si>
    <t>http://www.fatalencounters.org/wp-content/uploads/2013/10/Terry-Campbell.png</t>
  </si>
  <si>
    <t>1700 Mindanao Drive</t>
  </si>
  <si>
    <t>Police said Terry Campbell barricaded himself inside an apartment after Campbell threatened his brother with a handgun. He fired on police before he was shot and killed, police said.</t>
  </si>
  <si>
    <t>http://www.news4jax.com/news/local/jacksonville/swat-called-to-sandalwood-area</t>
  </si>
  <si>
    <t>Christopher Wade</t>
  </si>
  <si>
    <t>500 S Cleveland Ave</t>
  </si>
  <si>
    <t>Westerville</t>
  </si>
  <si>
    <t>Westerville medics requested that Columbus police assist them with the transport of a mental health patient. According to police, officers followed the medic to the hospital. When the patient got out of the back of the vehicle, he was carrying a garbage bag. Inside the bag was a handgun. When the man saw a police officer, he took out the gun and ignored orders to drop the gun. He was shot and killed, while carrying a BB gun.</t>
  </si>
  <si>
    <t>http://nbc4i.com/2017/04/06/columbus-police-involved-in-reported-shooting-at-mt-carmel-st-anns/</t>
  </si>
  <si>
    <t>Jason Sebastian Roque</t>
  </si>
  <si>
    <t>11300 Long Winter Drive</t>
  </si>
  <si>
    <t>Police said they were called for a report of an attempted suicide involving a man waving a gun around erratically, but not necessarily pointing it at anyone. An officer shot and killed him in alleged defense of the mother.</t>
  </si>
  <si>
    <t>http://kxan.com/2017/05/02/officer-involved-shooting-happening-in-northeast-austin/</t>
  </si>
  <si>
    <t>E 18th and Fulton</t>
  </si>
  <si>
    <t>A Paterson police officer responding to a call shot and killed a man who allegedly fired at him first, according to police.</t>
  </si>
  <si>
    <t>http://www.northjersey.com/story/news/passaic/paterson/2017/04/14/man-killed-shooting-paterson-cop-sources-say/100475558/</t>
  </si>
  <si>
    <t>Robert Becker</t>
  </si>
  <si>
    <t>200 Hollow Rd</t>
  </si>
  <si>
    <t>Stewartstown</t>
  </si>
  <si>
    <t>York County 911 received a threatening call from Becker, and state troopers responded to his home. The troopers made contact with Becker, and he allegedly fired a weapon at the troopers, and the troopers shot and killed him.</t>
  </si>
  <si>
    <t>http://www.ydr.com/story/news/crime/2017/04/24/hopewell-twp-man-killed-police-involved-shooting/100834720/</t>
  </si>
  <si>
    <t>Fred Cardenas</t>
  </si>
  <si>
    <t>4900 E Lancaster Ave</t>
  </si>
  <si>
    <t>http://www.star-telegram.com/news/local/community/fort-worth/article146755109.html</t>
  </si>
  <si>
    <t>Devin Hawkins</t>
  </si>
  <si>
    <t>Jasper Hollow Rd</t>
  </si>
  <si>
    <t>Tom</t>
  </si>
  <si>
    <t>http://www.news9.com/story/35292779/osbi-investigating-fatal-officer-involved-shooting-in-mccurtain-county</t>
  </si>
  <si>
    <t>Lucille Espinosa</t>
  </si>
  <si>
    <t>20406 Blue Beech Dr</t>
  </si>
  <si>
    <t>Harris County Sheriff's Office, Houston Police Department</t>
  </si>
  <si>
    <t>Lucille Espinosa was threatening to shoot an officer and was barricaded inside a home. After hours, police were approaching the home when they saw the woman armed with a gun through a window. They were concerned she would fire, so they shot and killed her.</t>
  </si>
  <si>
    <t>http://abc13.com/news/swat-officers-fatally-shoot-armed-woman-in-katy-home/1954987/</t>
  </si>
  <si>
    <t>2229 MT-3</t>
  </si>
  <si>
    <t>Police received a call about a suicidal man who was armed with a handgun. After an hour of negotiations, the man started to come towards officers with his gun pointed at them and was not listening to commands, and he was shot and killed.</t>
  </si>
  <si>
    <t>http://www.ktvq.com/story/35419232/several-billings-officers-on-leave-after-shooting-suicidal-man</t>
  </si>
  <si>
    <t>Joseph Tourino</t>
  </si>
  <si>
    <t>1500 Mount Frazier Dr</t>
  </si>
  <si>
    <t>Joseph Tourino reportedly charged at police while holding knives. He apparently had history of mental illness and prior skirmishes with police, police said.</t>
  </si>
  <si>
    <t>http://www.mercurynews.com/2017/05/03/san-jose-police-officer-shoots-man-during-response-to-family-disturbance/</t>
  </si>
  <si>
    <t>Mikel Laney Mcintyre</t>
  </si>
  <si>
    <t>2997 Zinfandel Dr</t>
  </si>
  <si>
    <t>Rancho Cordova</t>
  </si>
  <si>
    <t>Police were called because Mcintyre was allegedly battering a woman in a parking lot. He ran, throwing rocks at an officer. He was shot and killed when he hit a police dog with a rock.</t>
  </si>
  <si>
    <t>http://www.sacbee.com/news/local/crime/article149419079.html</t>
  </si>
  <si>
    <t>Benjamin Ailstock</t>
  </si>
  <si>
    <t>http://www.fatalencounters.org/wp-content/uploads/2013/10/Benjamin-Ailstock.jpg</t>
  </si>
  <si>
    <t>1558 Hazel Ave</t>
  </si>
  <si>
    <t>Benjamin Ailstock, 38, ran at SWAT officers while holding a gun had threatened suicide and was just released from a hospital where he'd been treated for depression, police said. A Lake County Sheriff's Office SWAT Team officer shot Ailstock at the end of a six-hour standoff outside his home in Madison Township. Police said Ailstock refused to negotiate with SWAT officers before he charged out of the house and toward officers while holding a gun.</t>
  </si>
  <si>
    <t>http://www.cleveland.com/metro/index.ssf/2017/04/swat_officers_fatally_shoot_ar.html</t>
  </si>
  <si>
    <t>Keith Andrew Chesser</t>
  </si>
  <si>
    <t>S Mekusukey St and W 6th St</t>
  </si>
  <si>
    <t>Wewoka</t>
  </si>
  <si>
    <t>Seminole County Sheriff's Office, Oklahoma Highway Patrol</t>
  </si>
  <si>
    <t>Keith Andrew Chesser was killed after a hostage situation turned into a standoff. Police attempted to serve a warrant, when Chesser barricaded himself inside the home. He briefly held a disabled woman hostage. An Oklahoma Highway Patrol was attempting to get Chesser out of the house when he was shot and killed.</t>
  </si>
  <si>
    <t>http://kfor.com/2017/05/15/man-dead-after-hostage-situation-turned-into-standoff-in-wewoka/</t>
  </si>
  <si>
    <t>Jacob Peterson</t>
  </si>
  <si>
    <t>3710 Del Mar Heights Rd</t>
  </si>
  <si>
    <t>Police said they believe a boy called to report himself to officers in the third-person for a "welfare check." Police arrived to find the teenager standing in the parking lot of the high school. Police said he pulled out a handgun from his waistband and pointed it at the two officers. Fearing for their safety, they shot and killed the boy who had a BB gun.</t>
  </si>
  <si>
    <t>http://www.10news.com/news/san-diego-police-investigate-officer-involved-shooting-at-torrey-pines-high-school</t>
  </si>
  <si>
    <t>Tywon Salters</t>
  </si>
  <si>
    <t>300 Randall Rd</t>
  </si>
  <si>
    <t>North Aurora Police Department</t>
  </si>
  <si>
    <t>Tywon Salters was killed by a police after he stole a correctional officer's gun and held a Geneva hospital nurse hostage for several hours, police said. Salters, 21, had been a patient at Northwestern Medicine Delnor Hospital since May 8.</t>
  </si>
  <si>
    <t>http://www.chicagotribune.com/suburbs/aurora-beacon-news/ct-geneva-delnor-hospital-police-standoff-20170513-story.html</t>
  </si>
  <si>
    <t>http://www.fatalencounters.org/wp-content/uploads/2013/10/Kenneth-Johnson.png</t>
  </si>
  <si>
    <t>700 Pear Street</t>
  </si>
  <si>
    <t>Kenneth Johnson was killed when police shocked him with a Taser during a confrontation after a domestic assault, police said.</t>
  </si>
  <si>
    <t>http://www.readingeagle.com/news/article/man-dies-after-reading-police-use-taser-on-him</t>
  </si>
  <si>
    <t>Roderick Ronall Taylor</t>
  </si>
  <si>
    <t>4451 W Fuqua St.</t>
  </si>
  <si>
    <t>Roderick Ronall Taylor, 42, was pronounced dead three days after he was tasered by Houston police officers during a confrontation at a pharmacy. Taylor was shocked with a Taser after reportedly fighting with two police officers and grabbing for one officer's duty belt, according to police.</t>
  </si>
  <si>
    <t>http://www.chron.com/news/houston-texas/houston/article/Houstan-man-dies-after-police-Taser-11087687.php</t>
  </si>
  <si>
    <t>Daezion Turner</t>
  </si>
  <si>
    <t>3207 E Central Texas Expy</t>
  </si>
  <si>
    <t>Police went to a Home Depot following a call reporting shots fired. When they got there, they exchanged gunfire with a man, killing him. Details were mostly withheld by police.</t>
  </si>
  <si>
    <t>http://kxan.com/2017/04/24/suspect-dead-after-exchanging-gunfire-with-officers-at-killeen-marketplace/</t>
  </si>
  <si>
    <t>Samir Nicholson</t>
  </si>
  <si>
    <t>200 South Clinton Street</t>
  </si>
  <si>
    <t>An off-duty Jersey City police officer shot and killed Samir Nicholson in East Orange, police said. The prosecutor's office did not immediately release more information about the circumstances leading up to the killing, which was under investigation by the agency's Professional Standards Bureau. The off-duty Jersey City police officer, Titus Johnson, has been involved in at least two other fatal shootings since 1999.</t>
  </si>
  <si>
    <t>http://www.nj.com/essex/index.ssf/2017/04/person_killed_by_off-duty_jersey_city_cop_in_east.html</t>
  </si>
  <si>
    <t>Tizaya Jordan-Robinson</t>
  </si>
  <si>
    <t>125 Union St</t>
  </si>
  <si>
    <t>Tizaya Jordan-Robinson shot and injured an officer who was serving him a warrant at Motel 6 in Braintree. He was shot and killed.</t>
  </si>
  <si>
    <t>http://whdh.com/news/suspect-identified-in-shooting-of-braintree-police-officer/</t>
  </si>
  <si>
    <t>Adrian Gonzalez</t>
  </si>
  <si>
    <t>12712 Woodforest Blvd</t>
  </si>
  <si>
    <t>http://www.khou.com/news/local/2-off-duty-deputies-involved-in-deadly-shooting-in-ne-harris-county-1/439104111</t>
  </si>
  <si>
    <t>James Burton Sr.</t>
  </si>
  <si>
    <t>100 4th St SE</t>
  </si>
  <si>
    <t>Pulaski Police Department, Pulaski County Sheriff's Office</t>
  </si>
  <si>
    <t>Police responded to a domestic complaint. After a short standoff, James Burton came out and shot at police before he was shot and killed.</t>
  </si>
  <si>
    <t>http://www.wdbj7.com/content/news/Police-standoff-in-Pulaski-county-422249653.html</t>
  </si>
  <si>
    <t>800 South State Street</t>
  </si>
  <si>
    <t>http://www.indystar.com/story/news/2017/05/13/indianapolis-man-dies-after-being-tased-greenfield-police/321113001/</t>
  </si>
  <si>
    <t>Henrico</t>
  </si>
  <si>
    <t>Henrico Police Department</t>
  </si>
  <si>
    <t>Jonathan Andrew Salcido</t>
  </si>
  <si>
    <t>7900 Ocean View Avenue</t>
  </si>
  <si>
    <t>http://www.whittierdailynews.com/general-news/20170504/man-dies-after-being-restrained-by-police-in-whittier</t>
  </si>
  <si>
    <t>Tashii S. Brown</t>
  </si>
  <si>
    <t>3355 Las Vegas Blvd. South</t>
  </si>
  <si>
    <t>http://news3lv.com/news/local/suspect-dies-after-being-tazed-choked-while-in-metro-custody</t>
  </si>
  <si>
    <t>Amanda Bennett</t>
  </si>
  <si>
    <t>http://www.fatalencounters.org/wp-content/uploads/2013/10/Bennet.jpg</t>
  </si>
  <si>
    <t>1005 Aspen Woods Ln</t>
  </si>
  <si>
    <t>Cambria Township Police Department, Cambria County Sheriff's Office</t>
  </si>
  <si>
    <t>http://wjactv.com/news/local/2-who-died-in-richland-township-murder-suicide-identified</t>
  </si>
  <si>
    <t>Michael Zennie Dial II</t>
  </si>
  <si>
    <t>http://www.fatalencounters.org/wp-content/uploads/2013/10/michaeldial3.jpg</t>
  </si>
  <si>
    <t>Hwy 111</t>
  </si>
  <si>
    <t>White County Sheriff's Office, Sparta Police Department</t>
  </si>
  <si>
    <t>During a 17-mile chase, Dial allegedly rammed several police vehicles. Three officers were injured and taken to local hospitals with non-life threatening injuries. Police fired into the moving vehicle, killing Dial and causing a crash.</t>
  </si>
  <si>
    <t>http://wkrn.com/2017/04/17/wife-says-husband-killed-in-officer-involved-shooting-was-shot-in-head/</t>
  </si>
  <si>
    <t>Stacy Sturdivant</t>
  </si>
  <si>
    <t>http://www.fatalencounters.org/wp-content/uploads/2013/10/Stacy.jpg</t>
  </si>
  <si>
    <t>2600 Lightfoot Rd</t>
  </si>
  <si>
    <t>Angelina County Sheriff's Office, Texas Department of Public Safety, Nacogdoches Police Department, Nacogdoches County Sheriff's Office</t>
  </si>
  <si>
    <t>Stacy Sturdivant, 46, was killed during a six-hour standoff with police. It was not immediately clear whether Sturdivant was killed by a self-inflicted gunshot or by police.</t>
  </si>
  <si>
    <t>http://www.ksla.com/story/35234096/angelina-county-sheriff-releases-name-of-man-killed-in-early-morning-swat-standoff</t>
  </si>
  <si>
    <t>Nicholas A. Provenza</t>
  </si>
  <si>
    <t>http://www.fatalencounters.org/wp-content/uploads/2013/10/Nicholas-A.-Provenza.png</t>
  </si>
  <si>
    <t>E Tarpon Ave &amp; S Safford Ave</t>
  </si>
  <si>
    <t>Tarpon Springs</t>
  </si>
  <si>
    <t>Tarpon Springs Police Department</t>
  </si>
  <si>
    <t>Police say a patrol officer was working off-duty at a car show when visitors alerted him to a suspicious man riding his bike. When the officer approached and questioned the man, he gave him a fake name, police said. When the officer asked him again for his name, he provided another last name, which police said the officer gave over the radio before communication went silent. The dispatcher then heard the officer state “shots fired,” three times. Then the officer told dispatchers the suspect came at him with a knife.</t>
  </si>
  <si>
    <t>http://wfla.com/2017/05/06/police-man-dead-after-officer-involved-shooting-in-tarpon-springs/</t>
  </si>
  <si>
    <t>Branch Wroth</t>
  </si>
  <si>
    <t>http://www.fatalencounters.org/wp-content/uploads/2013/10/Branch-Wroth.jpg</t>
  </si>
  <si>
    <t>6298 Redwood Dr.</t>
  </si>
  <si>
    <t>Rohnert Park</t>
  </si>
  <si>
    <t>Rohnert Park Police Department</t>
  </si>
  <si>
    <t>http://kron4.com/2017/05/12/man-tased-by-police-dies-after-altercation-at-rohnert-park-budget-inn-hotel/</t>
  </si>
  <si>
    <t>Robert Lee Clark Jr.</t>
  </si>
  <si>
    <t>http://www.fatalencounters.org/wp-content/uploads/2013/10/Robert-Lee-Clark-Jr.jpeg</t>
  </si>
  <si>
    <t>101A N Main St</t>
  </si>
  <si>
    <t>Deputy James Vansant rammed Robert Lee Clark Jr.'s motorcycle. He lost control after colliding with the sheriff's SUV and hit another car. He died at the scene.</t>
  </si>
  <si>
    <t>http://www.postandcourier.com/news/berkeley-county-deputy-placed-on-leave-after-video-shows-cruiser/article_09f5aa00-25bb-11e7-824f-5f21562bf846.html</t>
  </si>
  <si>
    <t>Douglas A. Wiggington</t>
  </si>
  <si>
    <t>Maxwell Holt</t>
  </si>
  <si>
    <t>David Jay Juarez</t>
  </si>
  <si>
    <t>Jonie Block</t>
  </si>
  <si>
    <t>Omar Emilio Benitez</t>
  </si>
  <si>
    <t>Chad Dionne</t>
  </si>
  <si>
    <t>267 Old Alfred Rd</t>
  </si>
  <si>
    <t>Arundel</t>
  </si>
  <si>
    <t>Deputies Steven Thistlewood and Heath Mains responded to a domestic disturbance. Chad Dionne, 37, was killed during "an armed confrontation."</t>
  </si>
  <si>
    <t>http://bangordailynews.com/2017/05/29/news/york/arundel-man-dies-after-exchanging-gunfire-with-deputies/</t>
  </si>
  <si>
    <t>321 Nut Tree Rd</t>
  </si>
  <si>
    <t>Police said they spotted a stolen car and called for backup before attempting to stop the vehicle. When officers turned on their lights and sirens, the car fled. The officers used a successful pit maneuver to disable the car. The man got out of the car and was shot and killed. The details as to what precipitated the killing were not immediately released.</t>
  </si>
  <si>
    <t>http://kron4.com/2017/05/29/man-killed-in-officer-involved-shooting-in-vacaville/</t>
  </si>
  <si>
    <t>Shaquian Tyrone Johnson</t>
  </si>
  <si>
    <t>http://www.fatalencounters.org/wp-content/uploads/2013/10/Shaquian-Tyrone-Johnson.jpg</t>
  </si>
  <si>
    <t>Cary</t>
  </si>
  <si>
    <t>Cary Police Department</t>
  </si>
  <si>
    <t>Officers responded to a home burglary call. The man fled as police arrived and after a short chase, Shaquian Tyrone Johnson was shot and killed. It was not immediately reported if Johnson was armed.</t>
  </si>
  <si>
    <t>http://www.wral.com/after-burglary-call-man-killed-in-officer-involved-shooting-in-cary/16728709/</t>
  </si>
  <si>
    <t>Donald Sneed III</t>
  </si>
  <si>
    <t>http://www.fatalencounters.org/wp-content/uploads/2013/10/Donald-Sneed-III.jpg</t>
  </si>
  <si>
    <t>10300 E US 350</t>
  </si>
  <si>
    <t>Raytown</t>
  </si>
  <si>
    <t>A Walmart loss-prevention employee tried to stop a suspected shoplifter, Donald Sneed III, near the front doors of the store when he grabbed the stun gun from the female officer who was working security at the store. The deputy shot and killed the man.</t>
  </si>
  <si>
    <t>http://www.kansascity.com/news/local/article153204509.html</t>
  </si>
  <si>
    <t>148 E St John St</t>
  </si>
  <si>
    <t>Police responded to a domestic disturbance at the Donner Lofts. Occupants refused to give police entry and lit a fire inside the apartment. When police broke down the door, one man surrendered but the other attacked police with an ax. He was tasered then shot and killed.</t>
  </si>
  <si>
    <t>http://www.mercurynews.com/2017/05/28/downtown-officer-involves-shooting-leaves-one-dead/</t>
  </si>
  <si>
    <t>According to police, two people were standing on the sidewalk of 2nd Street and Ocean Drive when a white BMW tried to parallel park along the curb. The driver began to hit the victim's car while he was backing into the spot. When the car couldn't fit into the spot, he tried to push the victim's car back. When the victims saw this, they confronted the driver. One of the victims saw the driver pass a gun to Jeffery Alexander, 19. Police said Alexander began to shoot and hit both victims. One victim was shot in the leg; he was later released from the hospital. However, the other victim, Ladarian Tyrell Phillips, 30, was shot in the back and later died. The BMW then took off and police began to chase them. The BMW and two police cruisers crashed on 5th Street and Alton Road. Two officers fired their guns at the people inside the BMW. One person was shot and killed.</t>
  </si>
  <si>
    <t>http://www.nbcmiami.com/news/local/Miami-Beach-Police-Investigating-Officer-Involved-Shooting-425028794.html</t>
  </si>
  <si>
    <t>Ron Harlan Lewallen</t>
  </si>
  <si>
    <t>http://www.fatalencounters.org/wp-content/uploads/2013/10/Ron-Harlan-Lewallen.jpg</t>
  </si>
  <si>
    <t>Alberta Street and Depot Street</t>
  </si>
  <si>
    <t>Oneida</t>
  </si>
  <si>
    <t>Ron Harlan Lewallen allegedly drove at police after a traffic stop and was shot and killed.</t>
  </si>
  <si>
    <t>http://wkrn.com/2017/05/27/1-killed-in-east-tennessee-officer-involved-shooting/</t>
  </si>
  <si>
    <t>Dennis Ward</t>
  </si>
  <si>
    <t>273 Lincolnville Avenue</t>
  </si>
  <si>
    <t>Belfast</t>
  </si>
  <si>
    <t>Waldo</t>
  </si>
  <si>
    <t>Belfast Police Department</t>
  </si>
  <si>
    <t>Dennis Ward confronted police when they arrived at a domestic disturbance with a pistol in his hand and fired shots into the ground, according to police. He ignored orders from police to drop the gun. Ward approached Officer Benjamin Kolko, and Sgt. Matthew Cook fired his Taser at Ward as Kolko fired two shots at Ward. The shots missed, but Ward was immobilized long enough for police to arrest him. He died shortly after.</t>
  </si>
  <si>
    <t>http://wgme.com/news/local/belfast-man-dies-after-confrontation-with-police</t>
  </si>
  <si>
    <t>Eduardo Valencia</t>
  </si>
  <si>
    <t>3087 Emery Cir</t>
  </si>
  <si>
    <t>Austell</t>
  </si>
  <si>
    <t>Shots were fired outside a Sweet 16 party attempting to break up a fight. An officer working security across the street at a gas station was off duty, but in full uniform, when he responded to the fight and encountered the armed man, Eduardo Valencia, whom he shot and killed.</t>
  </si>
  <si>
    <t>http://www.wsbtv.com/news/local/cobb-county/fight-at-sweet-16-birthday-party-sparks-officer-involved-shooting/527142936</t>
  </si>
  <si>
    <t>http://www.fatalencounters.org/wp-content/uploads/2013/10/Darius-Smith.png</t>
  </si>
  <si>
    <t>E Colorado Blvd &amp; N 1st Ave</t>
  </si>
  <si>
    <t>Arcadia</t>
  </si>
  <si>
    <t>U.S. Customs and Border Protection</t>
  </si>
  <si>
    <t>Darius Smith was shot and killed by an off-duty U.S. Customs and Border Protection agent who was allegedly attacked by the armed teen and two accomplices, police said.</t>
  </si>
  <si>
    <t>http://abc7.com/news/teen-suspect-dies-after-being-shot-by-customs-agent-in-arcadia/2043849/</t>
  </si>
  <si>
    <t>Hector Gamboa</t>
  </si>
  <si>
    <t>http://www.fatalencounters.org/wp-content/uploads/2013/10/HectorGamboa.jpg</t>
  </si>
  <si>
    <t>San Rafael</t>
  </si>
  <si>
    <t>http://krqe.com/2017/05/26/state-police-investigating-officer-involved-shooting-in-san-rafael/</t>
  </si>
  <si>
    <t>Jamie J. Robinson</t>
  </si>
  <si>
    <t>Gravois Ave &amp; Hampton Ave</t>
  </si>
  <si>
    <t>Jamie J. Robinson barricaded himself in a house armed with a shotgun and fired a shot at police. After a 30-minute standoff, Robinson fired at police and was shot and killed.</t>
  </si>
  <si>
    <t>http://www.kmov.com/story/35530337/standoff-near-south-city-county-line-closes-several-streets</t>
  </si>
  <si>
    <t>Joseph Zimmerman</t>
  </si>
  <si>
    <t>5401 South Park Avenue</t>
  </si>
  <si>
    <t>Police shot and killed Joseph Zimmerman at South Lawn Mortuary cemetery. Zimmerman allegedly pointed a firearm at police officers when they responded to reports of a suicidal man at the cemetery.</t>
  </si>
  <si>
    <t>http://www.tucsonnewsnow.com/story/35530465/officer-involved-shooting-near-park-and-drexel</t>
  </si>
  <si>
    <t>Adam Trammell</t>
  </si>
  <si>
    <t>http://www.fatalencounters.org/wp-content/uploads/2013/10/Adam-Trammell.png</t>
  </si>
  <si>
    <t>South 54th Street and West Greenfield Avenue</t>
  </si>
  <si>
    <t>West Milwaukee</t>
  </si>
  <si>
    <t>West Milwaukee Police Department</t>
  </si>
  <si>
    <t>http://www.wisn.com/article/man-confirmed-dead-after-large-police-response-in-west-milwaukee/9932238</t>
  </si>
  <si>
    <t>Shawn Buck</t>
  </si>
  <si>
    <t>http://www.fatalencounters.org/wp-content/uploads/2013/10/ShawnBuck.jpg</t>
  </si>
  <si>
    <t>Richardson Highway and Mitchell Expwy</t>
  </si>
  <si>
    <t>Fairbanks Police Department, Alaska State Trooper</t>
  </si>
  <si>
    <t>Alaska State Troopers in Fairbanks said they spotted a person with known warrants and attempted a traffic stop. The man, Shawn Buck, took off. That's when officers with the Fairbanks Police Department responded to assist. The man's vehicle stopped at the Mitchell Expressway on-ramp. Buck allegedly threatened officers and was shot and killed.</t>
  </si>
  <si>
    <t>http://www.ktuu.com/content/news/Man-dies-after-shooting-in-Fairbanks-involving-law-enforcement-424487033.html</t>
  </si>
  <si>
    <t>Hayden J. Stutz</t>
  </si>
  <si>
    <t>http://www.fatalencounters.org/wp-content/uploads/2013/10/HaydenStutz.jpg</t>
  </si>
  <si>
    <t>1315 12th St. NW</t>
  </si>
  <si>
    <t>Canton Police Department</t>
  </si>
  <si>
    <t>Hayden J. Stutz was having an asthma attack and apparently assaulting a woman. He'd told police he had a gun, and he was shot and killed when he reached for something, although he did not have a gun.</t>
  </si>
  <si>
    <t>http://www.cantonrep.com/news/20170524/update-victim-idd-in-canton-police-involved-shooting</t>
  </si>
  <si>
    <t>John Eno</t>
  </si>
  <si>
    <t>South San Francisco Police Department</t>
  </si>
  <si>
    <t>A resident called police reporting a disturbance involving a gun. Responding officers encountered a man who was standing in the middle of the street with a shotgun, and disobeyed repeated orders to drop his weapon, according to police. The man was shot and killed.</t>
  </si>
  <si>
    <t>http://www.nbcbayarea.com/news/local/One-Dead-After-Officer-Involved-Shooting-in-South-San-Francisco-424055604.html</t>
  </si>
  <si>
    <t>Deputies tried to pull over a white sedan, which didn't initially stop. Deputies could see three people inside the vehicle, according to police. After one of the deputies opened the car's rear passenger door, a passenger fired at the deputy, who returned fire. The man then fired on the second deputy, who also returned fire. It was unclear what prompted the gunman to open fire. He fired at least three rounds before he was shot and killed.</t>
  </si>
  <si>
    <t>http://ktla.com/2017/05/25/man-killed-in-compton-deputy-involved-shooting-2-deputies-wounded/</t>
  </si>
  <si>
    <t>Aaron M. Thompson</t>
  </si>
  <si>
    <t>Rose Garden Trailer Park</t>
  </si>
  <si>
    <t>Mountain Home</t>
  </si>
  <si>
    <t>Police responded to a call about a man with a gun at Rose Garden Trailer Park. Upon arrival, a deputy and an officer found a man matching the description given to dispatchers. The man stabbed the deputy twice and went after the officer. At that point, the deputy shot and killed him.</t>
  </si>
  <si>
    <t>http://www.idahostatesman.com/news/local/article152085382.html</t>
  </si>
  <si>
    <t>Albert Gagnier</t>
  </si>
  <si>
    <t>Albert Gagnier, 74, was shot and killed by Knox County deputies after allegedly pointing his gun at neighbors and eventually firing at officers. One neighbor said Gagnier was a veteran of the Marines who suffered a brain tumor and battled post traumatic stress disorder. Deputies arrived after receiving multiple 911 calls that a man was firing shots at people along Hay Meadow Trail. One caller reported the man was armed with a pistol and a long gun. When deputies arrived, Gagnier raised a pistol and pointed it toward Knox County deputies while walking towards them, and he was shot and killed.</t>
  </si>
  <si>
    <t>http://www.local8now.com/content/news/KCSO-responding-to-an-incident-at-Woodhaven-subdivision-423945073.html</t>
  </si>
  <si>
    <t>Jorge Alberto Fuentes</t>
  </si>
  <si>
    <t>http://www.fatalencounters.org/wp-content/uploads/2013/10/Jorge-Alberto-Fuentes.jpg</t>
  </si>
  <si>
    <t>W Northern Ave &amp; N 43rd Ave</t>
  </si>
  <si>
    <t>Police were investigating a robbery. After a chase, Jorge Fuentes allegedly threatened police with a shotgun before being shot and killed.</t>
  </si>
  <si>
    <t>http://www.abc15.com/news/region-phoenix-metro/west-phoenix/police-investigating-officer-involved-shooting-in-west-valley</t>
  </si>
  <si>
    <t>Michael Anthony Bonini</t>
  </si>
  <si>
    <t>http://www.fatalencounters.org/wp-content/uploads/2013/10/michael-anthony-bonini.jpg</t>
  </si>
  <si>
    <t>Pahrump</t>
  </si>
  <si>
    <t>Nye</t>
  </si>
  <si>
    <t>Nye County Sheriff's Office</t>
  </si>
  <si>
    <t>According to the Nye County Sheriff's Office, detectives and deputies executed a search warrant around 2 a.m. in Pahrump. During the encounter, shots were fired, and the subject of the warrant, Michael Anthony Bonini, was killed. Eric Anderson, 29, and Aaron Williamson, 34, were placed on paid administrative leave.</t>
  </si>
  <si>
    <t>http://news3lv.com/news/local/nye-county-investigating-fatal-officer-involved-shooting-overnight-in-pahrump</t>
  </si>
  <si>
    <t>Kelly Pastrana</t>
  </si>
  <si>
    <t>http://www.fatalencounters.org/wp-content/uploads/2013/10/Kelly-Pastrana.jpg</t>
  </si>
  <si>
    <t>74 Warren Ave</t>
  </si>
  <si>
    <t>Police responded to reports of a man who was threatening to shoot his wife. At some point after officers arrived, the man opened fire at officers, and several police departments from the surrounding area were called to assist at the scene. Dozens of officers surrounded the home, and a short time after shots were fired the home somehow caught fire with the man still barricaded inside. Just after 11 p.m., state police said a negotiator was attempting to contact the barricaded man and that the rear of the home was in flames. After the fire was extinguished, police said the body of the suspect had been located inside the home, and he was dead from a gunshot wound, although it wasn't immediately certain who fired the bullet.</t>
  </si>
  <si>
    <t>http://www.fox25boston.com/news/barricaded-suspect-dead-after-firing-shots-at-officers-during-chelsea-standoff/525511708</t>
  </si>
  <si>
    <t>Maurice Ifill</t>
  </si>
  <si>
    <t>An off-duty trooper fatally shot her boyfriend after a domestic incident that left her hospitalized.</t>
  </si>
  <si>
    <t>http://6abc.com/news/man-dead-in-domestic-incident-involving-off-duty-del-trooper/2021960/</t>
  </si>
  <si>
    <t>Carlos Garcia Petrovich</t>
  </si>
  <si>
    <t>http://www.fatalencounters.org/wp-content/uploads/2013/10/Carlos-Garcia-Petrovich.jpg</t>
  </si>
  <si>
    <t>3051 FL-60</t>
  </si>
  <si>
    <t>Osceola County Sheriff's Office</t>
  </si>
  <si>
    <t>Deputy John Stubbs, a two-year veteran of the agency, stopped a driver, Carlos Garcia Petrovich, for driving erratically, but he was not cooperative and fled, police said. Since it was a traffic infraction, Stubbs couldn't chase after Petrovich. He spotted Petrovich stopped at a Pilot gas station, approached him and tried to arrest him but he ran. Stubbs chased on foot to the other side of the gas station and called for backup but Petrovich became violent, and the two ended up fighting. Stubbs shot and killed Petrovich.</t>
  </si>
  <si>
    <t>http://www.orlandosentinel.com/news/breaking-news/os-osceola-deputy-shoots-suspect-who-fled-20170521-story.html</t>
  </si>
  <si>
    <t>DeRicco Devante Holden</t>
  </si>
  <si>
    <t>http://www.fatalencounters.org/wp-content/uploads/2013/10/DeRicco-Holden.jpg</t>
  </si>
  <si>
    <t>Desoto St and Armour St</t>
  </si>
  <si>
    <t>Sabine</t>
  </si>
  <si>
    <t>Converse Police Department</t>
  </si>
  <si>
    <t>Converse Police Chief Keith Manshack was investigating a disturbance in the Sabine Parish village when he got into a fight with DeRicco Devante Holden, 24. During the fight, Holden got into to Manshack's police vehicle and was shot and killed.</t>
  </si>
  <si>
    <t>http://www.ksla.com/story/35481659/police-chief-kills-man-during-altercation-in-sabine-parish</t>
  </si>
  <si>
    <t>Jimmie Montel Sanders</t>
  </si>
  <si>
    <t>535 W. College Ave</t>
  </si>
  <si>
    <t>Appleton</t>
  </si>
  <si>
    <t>Outagamie</t>
  </si>
  <si>
    <t>Appleton Police Department</t>
  </si>
  <si>
    <t>http://www.wbay.com/content/news/One-person-dead-following-officer-involved-shooting-423432414.html</t>
  </si>
  <si>
    <t>Joseph Hodgin</t>
  </si>
  <si>
    <t>19th Street and Green Street</t>
  </si>
  <si>
    <t>Joseph M. Hodgin, 43, an armed robbery suspect, was fatally shot by officers after he rammed two police cruisers with a pickup truck during a police chase.</t>
  </si>
  <si>
    <t>http://www.mcall.com/news/local/police/mc-allentown-police-chase-gunfire-20170521-story.html</t>
  </si>
  <si>
    <t>Anthony Paul "Tony" Ardo</t>
  </si>
  <si>
    <t>1382 Good Rd</t>
  </si>
  <si>
    <t>State police shot and killed Anthony Paul Ardo, 47. He had threatened to blow himself up and had a firework around his neck, police said.</t>
  </si>
  <si>
    <t>http://www.mcall.com/news/local/police/mc-lower-mount-bethel-20170520-story.html</t>
  </si>
  <si>
    <t>Mark Roshawn Adkins</t>
  </si>
  <si>
    <t>Lemon Grove</t>
  </si>
  <si>
    <t>Several residents on Lemon Grove Way called 911 to report a man jumping fences into the backyards and trying to get into townhomes. They also said the man, 5 feet 10 inches to 6 feet tall and 200 pounds, was acting as if he was under the influence of drugs, police said. Two deputies came across the man in a patio shared by residents of the complex. They ordered him several times to get on the ground, but he refused. Both deputies fired their Tasers at the man, shocking him. He kept trying to stand. One or both deputies shocked him again. The deputies wrestled with the man until they got him handcuffed and did not use any other weapons, such as batons, on him. He died at the scene.</t>
  </si>
  <si>
    <t>http://www.sandiegouniontribune.com/news/public-safety/sd-me-custody-death-20170520-story.html</t>
  </si>
  <si>
    <t>Shannon Edward Estill</t>
  </si>
  <si>
    <t>A resident of a home called police to report a family disturbance, according to police. When police arrived, the home's garage door was opening and an armed man was inside. The man allegedly charged towards officers while holding a firearm. One of the officers shot and killed him.</t>
  </si>
  <si>
    <t>http://abc7news.com/news/pleasanton-police-shoot-kill-armed-suspect/2017793/</t>
  </si>
  <si>
    <t>Jayden Young</t>
  </si>
  <si>
    <t>63rd Ave and Bethany Home Rd</t>
  </si>
  <si>
    <t>Police saw a fight taking place between four people in a neighborhood near 63rd Avenue and Bethany Home Road. Shots were fired between one of the combatants and the officer, police said. The man who fired shots fled in a silver vehicle, but was found deceased in the backyard of a home with multiple gunshot injuries. Police weren't immediately able to determine if the injuries came from the initial exchange of gunfire.</t>
  </si>
  <si>
    <t>http://www.abc15.com/news/region-west-valley/glendale/glendale-police-investigating-shooting-near-63rd-avenue-and-bethany-home</t>
  </si>
  <si>
    <t>Roger Bubar</t>
  </si>
  <si>
    <t>http://www.fatalencounters.org/wp-content/uploads/2013/10/Roger-Bubar.jpg</t>
  </si>
  <si>
    <t>1003 Oakland Road</t>
  </si>
  <si>
    <t>Belgrade</t>
  </si>
  <si>
    <t>Kennebec County Sheriff's Office</t>
  </si>
  <si>
    <t>Police responded to a chaotic domestic disturbance. There was apparently an exchange of gunfire, and Roger Bubar was killed.</t>
  </si>
  <si>
    <t>http://www.centralmaine.com/2017/05/20/police-1-man-killed-another-person-injured-in-officer-involved-shooting-in-belgrade/</t>
  </si>
  <si>
    <t>2528 S Glebe Rd</t>
  </si>
  <si>
    <t>Arlington County Police Department</t>
  </si>
  <si>
    <t>Police tried to stop 28-year-old Daniel George Boak on a misdemeanor charge for failing a drug test, but he refused to stop. The officers continued to follow Boak, but they did not initiate a pursuit, police said. Boak got off at the Glebe Road exit, but he ran into heavy traffic. When the officers approached his pickup truck on foot, he put the vehicle in drive and struck one of the officers. Officers then shot and killed Boak and freed the trapped officer.</t>
  </si>
  <si>
    <t>http://www.nbcwashington.com/news/local/One-Shot-Officer-Injured-in-Arlington-422840974.html</t>
  </si>
  <si>
    <t>Deonte Marces Giles</t>
  </si>
  <si>
    <t>Cusseta Road and 25th Avenue</t>
  </si>
  <si>
    <t>http://wrbl.com/2017/05/18/police-officer-suspect-hit-by-vehicles-at-cusseta-road-and-25th-avenue-suspect-killed/</t>
  </si>
  <si>
    <t>Rashad S. Wells Jr.</t>
  </si>
  <si>
    <t>132 W 69th St</t>
  </si>
  <si>
    <t>Police said two men walked into Marquita's Hair Salon with the intention of trying to rob the business and the people inside. A female off-duty Cook County sheriff's deputy was inside at the time and pulled out a gun and shot one of the men, Rashad S. Wells Jr., who died outside on the sidewalk about 50 feet away from the front door of the salon. The other man escaped.</t>
  </si>
  <si>
    <t>http://wgntv.com/2017/05/17/police-off-duty-sheriffs-deputy-fatally-shoots-armed-robber/</t>
  </si>
  <si>
    <t>Edwin Fuentes</t>
  </si>
  <si>
    <t>http://www.fatalencounters.org/wp-content/uploads/2013/10/EdwinFuentes.png</t>
  </si>
  <si>
    <t>16282 E Main St</t>
  </si>
  <si>
    <t>Police responded to a call of a suicidal man in an alley near an apartment complex. When police arrived, Fuentes was in his vehicle, which was moving. Officers pulled in front of him and commanded him to stop. He then displayed a handgun and did not obey orders to put it down. A nearly two-hour standoff ensued. While in his vehicle, Fuentes fired multiple rounds from his gun. It was unclear whether he fired at the officers. At least one officer shot and killed Fuentes.</t>
  </si>
  <si>
    <t>http://www.latimes.com/local/lanow/la-me-tustin-police-fatal-shooting-20170517-story.html</t>
  </si>
  <si>
    <t>Isabelle Duval</t>
  </si>
  <si>
    <t>http://www.fatalencounters.org/wp-content/uploads/2013/10/Isabelle-Duval.jpg</t>
  </si>
  <si>
    <t>100 Joliet St</t>
  </si>
  <si>
    <t>Isabelle Duval crashed a sedan outside the Bald Eagle Recreation Center. Police were called about the crash first, then reports came that the woman was possibly carrying a handgun. Witnesses said she was shot and killed when she refused to put down a gun after the officers yelled at her to drop the weapon.</t>
  </si>
  <si>
    <t>http://wjla.com/news/local/police-woman-appearing-to-have-a-gun-shot-in-police-involved-shooting-in-dc</t>
  </si>
  <si>
    <t>Marshall Barrus</t>
  </si>
  <si>
    <t>http://www.fatalencounters.org/wp-content/uploads/2013/10/Marshall-Barrus.jpg</t>
  </si>
  <si>
    <t>I-90 &amp; Bonita Station Rd</t>
  </si>
  <si>
    <t>Broadwater County Sheriff's Office, Gallatin County Sheriff's Office, Montana Highway Patrol</t>
  </si>
  <si>
    <t>http://www.ktvq.com/story/35455462/suspect-in-deputy-slaying-dies-from-injuries</t>
  </si>
  <si>
    <t>Tristan Long</t>
  </si>
  <si>
    <t>After a crash, Tristan Long fought with an officer, stabbing him. He was shot and killed by another officer.</t>
  </si>
  <si>
    <t>Emmanuel Omar Ibarra</t>
  </si>
  <si>
    <t>Del Mar</t>
  </si>
  <si>
    <t>Emmanuel Omar Ibarra allegedly stabbed another man in the face at a restaurant. When police caught up with him a few blocks away, he did not drop the knife and was shot and killed.</t>
  </si>
  <si>
    <t>http://www.cbs8.com/story/35435395/deputy-involved-shooting-reported-in-solana-beach</t>
  </si>
  <si>
    <t>Charged, Convicted of voluntary manslaughter, Sentenced to 6 years</t>
  </si>
  <si>
    <t>Charged, Convicted of murder, Sentenced to 50 years</t>
  </si>
  <si>
    <t>Charged, convicted of manslaughter, Sentenced to five years probation.</t>
  </si>
  <si>
    <t>Jay Donald Stankovitch</t>
  </si>
  <si>
    <t>4740 NW 10th St.</t>
  </si>
  <si>
    <t>Gilchrist</t>
  </si>
  <si>
    <t>Alachua sheriff's SWAT and hostage negotiation teams were called to a property near Bell to assist in a standoff with Jay Donald Stankovitch. Stankovitch's father reported that his son was disturbed and suicidal and armed with a .38-caliber revolver he had stolen. Stankovitch fired the handgun inside the house. After deputies deployed tear gas canisters, he fired out a bathroom window. Then after midnight he came outside pointed the gun at Alachua SWAT members and threw a gas canister. Deputy Kenneth Holt fired two rounds. Both bullets struck Stankovitch in the upper left arm. One passed through into his chest, killing him.</t>
  </si>
  <si>
    <t>http://www.tampabay.com/projects/2017/investigations/florida-police-shootings/database/1043/</t>
  </si>
  <si>
    <t>Diana Crockett Conner</t>
  </si>
  <si>
    <t>131 Twin Lakes Grove Drive</t>
  </si>
  <si>
    <t>Interlachen</t>
  </si>
  <si>
    <t>Sixty-one-year-old Diana Crockett Conner, who had lost her husband a year before and her mother three years earlier, called 911 to report prowlers on her property. On the phone with a dispatcher, she said she didn't believe the men who showed up at her house were Putnam County Sheriff's deputies. Neighbors told the Florida Times-Union that Conner was paranoid lately saying odd things and complaining that her phone was bugged. In the early morning hours, police say she barged outside firing a rifle at deputies. Deputy Thomas Burger shot her four times with his pistol, killing her.</t>
  </si>
  <si>
    <t>http://www.tampabay.com/projects/2017/investigations/florida-police-shootings/database/48/</t>
  </si>
  <si>
    <t>Samuel Freeman</t>
  </si>
  <si>
    <t>3100 W 28th Ave.</t>
  </si>
  <si>
    <t>Pine Bluff Police Department</t>
  </si>
  <si>
    <t>Freeman, a 23-year-old black man, had just robbed a dollar store at gunpoint when Pine Bluff police officer William Ablondi confronted him. Freeman, according to Ablondi, refused to drop his gun, prompting Freeman to shoot him once with a shotgun.</t>
  </si>
  <si>
    <t>http://www.pbcommercial.com/article/20140204/NEWS/302049872</t>
  </si>
  <si>
    <t>Logan County Sheriff's Office</t>
  </si>
  <si>
    <t>Marcial Martinez-Ramirez</t>
  </si>
  <si>
    <t>At about 9 p.m., police were summoned to a dispute at a home where an officer confronted Marcial Martinez-Ramirez. As Martinez-Ramirez was being walked to a patrol car for an interview, he lunged at an officer with a knife. Another officer, Daniel Bernatt, fired killing him. Martinez-Ramirez rented a room at the home and worked in the fields picking okra.</t>
  </si>
  <si>
    <t>http://www.tampabay.com/projects/2017/investigations/florida-police-shootings/database/968/</t>
  </si>
  <si>
    <t>Christopher Todd Jones</t>
  </si>
  <si>
    <t>10960 Beach Blvd</t>
  </si>
  <si>
    <t>http://www.news4jax.com/news/local/3-officers-shoot-kill-man-in-suicide-by-cop</t>
  </si>
  <si>
    <t>5522 Athens Boonesboro Rd</t>
  </si>
  <si>
    <t>Scott County Sheriff's Office</t>
  </si>
  <si>
    <t>Ronald Michael Davis, 31, shot Ciji D. Barnes, 29, multiple times at a Fayette County BP gas station. Davis then led police on a chase into Scott County, where deputies used devices to deflate his tires. State police said Davis got out of the car near Exit 129 and pointed a handgun at the deputies, and Deputy Grayson Mark Isaacs shot and killed him with a rifle.</t>
  </si>
  <si>
    <t>http://www.kentucky.com/news/local/crime/article44428908.html</t>
  </si>
  <si>
    <t>Charles Porter II</t>
  </si>
  <si>
    <t>https://usgunviolence.files.wordpress.com/2013/09/charles-eugene-porter-ii.jpg?w=625</t>
  </si>
  <si>
    <t>111 Old Field Circle</t>
  </si>
  <si>
    <t>Williamston</t>
  </si>
  <si>
    <t>29697</t>
  </si>
  <si>
    <t>https://docs.google.com/document/d/1fkduqEJcScHfb4-cNvDSiXYEsTCBh8cD2_Qpo3FoBGo/edit?usp=sharing</t>
  </si>
  <si>
    <t>Francis De La Cruz</t>
  </si>
  <si>
    <t>Joseph Godinez</t>
  </si>
  <si>
    <t>Jordan Frazier</t>
  </si>
  <si>
    <t>South Acadian Thruway and Broussard Street</t>
  </si>
  <si>
    <t>Police stopped a car for unknown reasons and say they shot Jordan after he allegedly got out of the car with a gun.</t>
  </si>
  <si>
    <t>http://www.theadvocate.com/baton_rouge/news/crime_police/article_39d03f9a-5114-11e7-b79a-037e9f8fa223.html</t>
  </si>
  <si>
    <t>Johnny Platas</t>
  </si>
  <si>
    <t>2300 Azalea St</t>
  </si>
  <si>
    <t>Police were called to a domestic disturbance. When officers arrived they discovered a woman covered in blood who had run to a neighbor's house after being stabbed. They found the victim's husband on the roof of a home holding a large knife. He began stabbing himself as officers tried to talk him down. An officer climbed to the roof on a ladder and fired a Taser at the man. The man tried to attack the officer, and multiple officers shot and killed him.</t>
  </si>
  <si>
    <t>http://www.yourcentralvalley.com/news/man-dead-after-officer-involved-shooting/739382015</t>
  </si>
  <si>
    <t>John W. Bays</t>
  </si>
  <si>
    <t>7293 State Hwy 225</t>
  </si>
  <si>
    <t>Barbourville</t>
  </si>
  <si>
    <t>http://www.kentucky.com/news/state/article155701339.html</t>
  </si>
  <si>
    <t>Eleuterio Amaya-Torres</t>
  </si>
  <si>
    <t>6400 Preston Rd</t>
  </si>
  <si>
    <t>Apparently a man and a woman crashed into a car at a gas station. The woman ran and the man got out with a gun and shot at her. An off-duty officer was at the gas station and shot and killed him.</t>
  </si>
  <si>
    <t>http://www.wfaa.com/news/local/collin-county/plano-policewoman-shoots-kills-man-at-gas-station/448136711</t>
  </si>
  <si>
    <t>Emmett Hall</t>
  </si>
  <si>
    <t>1500 Oldham Lane</t>
  </si>
  <si>
    <t>Taylor County Sheriff's deputies attempted to serve a warrant to Emmett Hall. According to police, when deputies arrived at the home, Hall threatened and charged at the deputies with a knife. One deputy then shot and killed him.</t>
  </si>
  <si>
    <t>http://www.bigcountryhomepage.com/news/main-news/texas-rangers-release-statement-on-officer-involved-shooting-in-abilene/739191775</t>
  </si>
  <si>
    <t>Theodore Brendecke</t>
  </si>
  <si>
    <t>12700 SW 82nd Ave</t>
  </si>
  <si>
    <t>Theodore Brendecke, 82, was shot and killed by Miami-Dade police after he barricaded himself in a bedroom with a gun and told his wife he wanted a shootout with police, police said.</t>
  </si>
  <si>
    <t>http://www.miamiherald.com/news/local/crime/article155472114.html</t>
  </si>
  <si>
    <t>Robin Blaylock</t>
  </si>
  <si>
    <t>108 Walnut St</t>
  </si>
  <si>
    <t>North English</t>
  </si>
  <si>
    <t>Iowa</t>
  </si>
  <si>
    <t>Iowa County Sheriff's Office</t>
  </si>
  <si>
    <t>Deputies responded to a domestic disturbance and shot and killed Robin Blaylock, who was allegedly armed. Few details were immediately released.</t>
  </si>
  <si>
    <t>http://www.kcrg.com/content/news/Authorities-on-the-scene-of-possible-shooting-in-north-Englisgh-427734113.html</t>
  </si>
  <si>
    <t>D St SE and 21st St SE</t>
  </si>
  <si>
    <t>Police were dispatched to investigate the report of an armed man in an occupied home. The man fled. An officer saw him at 21st Street Southeast and D Street Southeast, where he tried to force his way into an occupied vehicle. Police say the officer shot and killed him.</t>
  </si>
  <si>
    <t>http://komonews.com/news/local/person-killed-on-officer-involved-shooting-in-aurbun</t>
  </si>
  <si>
    <t>Antonio Juarez</t>
  </si>
  <si>
    <t>Ogden Avenue and Joliet Road</t>
  </si>
  <si>
    <t>Lyons</t>
  </si>
  <si>
    <t>Police were searching for a murder suspect. After a vehicle chase, Juarez allegedly fired on police and was shot and killed.</t>
  </si>
  <si>
    <t>http://abc7chicago.com/news/state-police-investigating-officer-involved-shooting-in-lyons/2078484/</t>
  </si>
  <si>
    <t>Joshua Anthony Barre</t>
  </si>
  <si>
    <t>http://www.fatalencounters.org/wp-content/uploads/2013/10/Joshua-Anthony-Barre.png</t>
  </si>
  <si>
    <t>4449 ML King Jr Blvd</t>
  </si>
  <si>
    <t>http://www.tulsaworld.com/news/crimewatch/update-man-carrying-knives-shot-dead-as-deputies-tulsa-police/article_aff3fcde-393b-5e87-a429-1b6ddeeec66d.html</t>
  </si>
  <si>
    <t>Michele Anne-Marie Rice</t>
  </si>
  <si>
    <t>http://www.fatalencounters.org/wp-content/uploads/2013/10/Michele-Anne-Marie-Rice.png</t>
  </si>
  <si>
    <t>3000 Studebaker Road</t>
  </si>
  <si>
    <t>Police were dispatched on a call of a person with a gun and shots fired. When officers arrived, they encountered the armed woman and her boyfriend, an off-duty CHP officer. Police said the woman fired a gun at the CHP officer, and he dialed 911. Police tried to get the woman to put down the gun, but she did not comply. Instead, she pointed the gun at one of the officers and was shot and killed.</t>
  </si>
  <si>
    <t>http://abc7.com/news/armed-female-suspect-killed-in-lb-officer-involved-shooting/2071391/</t>
  </si>
  <si>
    <t>Oscar Junior</t>
  </si>
  <si>
    <t>http://www.fatalencounters.org/wp-content/uploads/2013/10/Oscar-Junior.jpg</t>
  </si>
  <si>
    <t>400 W Haloid Street</t>
  </si>
  <si>
    <t>Ridgecrest Police Department</t>
  </si>
  <si>
    <t>Ridgecrest police said they got a 911 call after the man allegedly brandished a gun. Officers responded and spotted the man. During a pursuit, the man climbed onto the roof of a house, and officers surrounded the area. Seven officers shot and killed the man when he allegedly pointed his gun at them.</t>
  </si>
  <si>
    <t>http://bakersfieldnow.com/news/local/man-on-roof-with-gun-is-shot-killed-by-7-officers-in-ridgecrest</t>
  </si>
  <si>
    <t>Stephen Rich</t>
  </si>
  <si>
    <t>700 N Namaqua Road</t>
  </si>
  <si>
    <t>After an attempted traffic stop, Rich shot at police and was shot and killed.</t>
  </si>
  <si>
    <t>http://www.coloradoan.com/story/news/2017/06/09/1-dead-loveland-police-involved-shooting/383405001/</t>
  </si>
  <si>
    <t>Paul Eugene Mashburn Jr.</t>
  </si>
  <si>
    <t>http://www.fatalencounters.org/wp-content/uploads/2013/10/Paul-E-Mashburn.jpg</t>
  </si>
  <si>
    <t>Roland</t>
  </si>
  <si>
    <t>Sequoyah</t>
  </si>
  <si>
    <t>Cherokee Nation Marshal Service</t>
  </si>
  <si>
    <t>http://5newsonline.com/2017/06/09/man-shot-killed-in-sequoyah-county-standoff/</t>
  </si>
  <si>
    <t>David Thomas Jones</t>
  </si>
  <si>
    <t>http://www.fatalencounters.org/wp-content/uploads/2013/10/David-Thomas-Jones.png</t>
  </si>
  <si>
    <t>4200 Whitaker Ave</t>
  </si>
  <si>
    <t>An officer saw David Jones erratically riding a dirt bike. He shook him down and allegedly found a gun when he claimed Jones tried to pull. The officer shot and killed him. Video disputed the officer's story, showing Jones trying to run away without a gun.</t>
  </si>
  <si>
    <t>http://philadelphia.cbslocal.com/2017/06/08/police-involved-shooting-philly/</t>
  </si>
  <si>
    <t>Miguel Diaz Garcia</t>
  </si>
  <si>
    <t>http://www.fatalencounters.org/wp-content/uploads/2013/10/MiguelGarci.jpg</t>
  </si>
  <si>
    <t>951 Falcon Blvd</t>
  </si>
  <si>
    <t>San Benito</t>
  </si>
  <si>
    <t>Miguel Diaz Garcia escaped from police when they were transporting him to receive medical attention. He killed someone when stealing their car, and after a chase, he was shot and killed.</t>
  </si>
  <si>
    <t>http://www.brownsvilleherald.com/news/local/article_8c423916-4c7a-11e7-a022-87a61d650af2.html</t>
  </si>
  <si>
    <t>Salvadro Alfredo Pablo Lopez</t>
  </si>
  <si>
    <t>300 W Dakota Ave</t>
  </si>
  <si>
    <t>Police responded to shots fired. After a 70-minute standoff, Lopez was shot and killed as he fired on police.</t>
  </si>
  <si>
    <t>http://www.fresnobee.com/news/local/crime/article154785919.html</t>
  </si>
  <si>
    <t>Blaine Robert Erb</t>
  </si>
  <si>
    <t>Belclare Avenue and Dundalk Avenue</t>
  </si>
  <si>
    <t>Dundalk</t>
  </si>
  <si>
    <t>http://www.baltimoresun.com/news/maryland/crime/bs-md-co-dundalk-shooting-20170607-story.html</t>
  </si>
  <si>
    <t>Mark Ellis</t>
  </si>
  <si>
    <t>http://www.fatalencounters.org/wp-content/uploads/2013/10/Mark-Ellis.jpg</t>
  </si>
  <si>
    <t>488 Johnson Mill Road</t>
  </si>
  <si>
    <t>Orrington</t>
  </si>
  <si>
    <t>Maine State Police</t>
  </si>
  <si>
    <t>Mark Ellis allegedly threatened police on the phone. When they arrived, after a 12-hour standoff, he was shot and killed.</t>
  </si>
  <si>
    <t>http://wgme.com/news/local/orrington-standoff-ends-with-1-man-dead</t>
  </si>
  <si>
    <t>Isaiah Hammett</t>
  </si>
  <si>
    <t>http://www.fatalencounters.org/wp-content/uploads/2013/10/Isaiah-Hammett.png</t>
  </si>
  <si>
    <t>5400 S Kingshighway Blvd</t>
  </si>
  <si>
    <t>Police were executing a search warrant for illegal narcotics and drugs. After gaining entry, multiple gunshots were reportedly fired at officers, and Isaiah Hammett was shot and killed.</t>
  </si>
  <si>
    <t>http://www.kmov.com/story/35611447/suspect-shot-while-exchanging-gunfire-with-officers-police-say</t>
  </si>
  <si>
    <t>Donald Marcus Smith</t>
  </si>
  <si>
    <t>http://www.fatalencounters.org/wp-content/uploads/2013/10/Donald-Marcus-Smith.png</t>
  </si>
  <si>
    <t>4509 Kane Circle</t>
  </si>
  <si>
    <t>Sawmills</t>
  </si>
  <si>
    <t>Deputies were called to a home by Donald Smith after he threatened to kill himself. Friends said the Smith had been depressed after witnessing his son's death last year in an accident in a garage in which a car fell off a lift and landed on him, and in recent days, he had been diagnosed with cancer. One deputy fired his weapon. Police withheld details of what happened immediately before the shooting.</t>
  </si>
  <si>
    <t>http://www.wsoctv.com/news/local/caldwell-co-authorities-investigating-deadly-officer-involved-shooting/531177132</t>
  </si>
  <si>
    <t>Eric Rivera</t>
  </si>
  <si>
    <t>Wilmington Blvd and Pacific Coast Hwy</t>
  </si>
  <si>
    <t>Police responded to a report of a man with a handgun, according to police. When officers arrived, they saw a lone man. Believing this may be the suspect from the radio call, they directed their attention toward him; at that time, he was shot and killed. A toy gun was found at the scene, police said.</t>
  </si>
  <si>
    <t>http://www.latimes.com/local/lanow/la-me-ln-wilmington-police-shooting-20170607-story.html</t>
  </si>
  <si>
    <t>David W. Hamilton</t>
  </si>
  <si>
    <t>NE 182nd Avenue and NE 73rd Street</t>
  </si>
  <si>
    <t>After the robbery of a Vancouver credit union, David Hamilton changed cars in a nearby car lot, but police saw the change. They disabled the car, and Hamilton was shot and killed during a gun battle.</t>
  </si>
  <si>
    <t>http://www.columbian.com/news/2017/jun/06/report-of-bank-robbery-pursuit-shots-fired/</t>
  </si>
  <si>
    <t>Adrian Maurice Hardeman</t>
  </si>
  <si>
    <t>US-90 ALT and Co Rd 364</t>
  </si>
  <si>
    <t>Shiner</t>
  </si>
  <si>
    <t>Lavaca</t>
  </si>
  <si>
    <t>Adrian Maurice Hardeman allegedly shot a woman in her apartment and fled with their 1-year-old child. The police search ended in a neighboring county when the man crashed and was shot dead by Texas Department of Public Safety troopers.</t>
  </si>
  <si>
    <t>http://www.mysanantonio.com/news/local/crime/article/Police-responding-to-scene-of-reported-shooting-11196840.php</t>
  </si>
  <si>
    <t>Charles Edgar "Eddie" Mullins</t>
  </si>
  <si>
    <t>http://www.fatalencounters.org/wp-content/uploads/2013/10/Charles-Edgar-Mullins.jpg</t>
  </si>
  <si>
    <t>US-150 and Plaza Drive</t>
  </si>
  <si>
    <t>Bardstown</t>
  </si>
  <si>
    <t>Kentucky State Police said a man who took them on a two-hour high-speed chase through three counties, all while firing at officers, was shot and killed when he got out of his car and fled into the woods, still firing his weapons. Four troopers fired back, shooting and killing him.</t>
  </si>
  <si>
    <t>http://www.whas11.com/news/crime/shots-fired-during-early-morning-police-chase/445848015</t>
  </si>
  <si>
    <t>John Spaulding</t>
  </si>
  <si>
    <t>http://www.fatalencounters.org/wp-content/uploads/2013/10/John-Spaulding.jpg</t>
  </si>
  <si>
    <t>NW 41st Street and 70th Ave</t>
  </si>
  <si>
    <t>John Spaulding was wanted for murder when he was shot dead by police. Details were not immediately released as to what precipitated the killing.</t>
  </si>
  <si>
    <t>http://miami.cbslocal.com/2017/06/05/police-involved-shooting-outside-miami-correctional-facility/</t>
  </si>
  <si>
    <t>Quentin Case</t>
  </si>
  <si>
    <t>http://www.fatalencounters.org/wp-content/uploads/2013/10/QuentinCase.jpg</t>
  </si>
  <si>
    <t>Kimbrel Road and Glen Saint Mary Road</t>
  </si>
  <si>
    <t>http://www.theledger.com/news/20170605/polk-deputy-kills-man-in-lake-wales-shootout</t>
  </si>
  <si>
    <t>Zachary N. Bearheels</t>
  </si>
  <si>
    <t>http://www.fatalencounters.org/wp-content/uploads/2013/10/Zachary-N.-Bearheels.jpg</t>
  </si>
  <si>
    <t>6003 Center St.</t>
  </si>
  <si>
    <t>Zachary N. Bearheels died after Omaha police shocked him with a stun gun. He suffered from mental illness and had been wandering, lost, in Omaha for a day after being kicked off an interstate bus. Omaha police said Bearheels was acting erratically as police attempted to take him into custody. His mother said she called Omaha police after her son didn't get off the bus in Oklahoma City.</t>
  </si>
  <si>
    <t>http://www.omaha.com/news/crime/man-who-was-hit-with-taser-by-omaha-police-early/article_288c7d14-49d7-11e7-9ed4-83fc5e66d19e.html</t>
  </si>
  <si>
    <t>Houston County Sheriff's Office</t>
  </si>
  <si>
    <t>Jeremy Austin Lindsey</t>
  </si>
  <si>
    <t>5000 Bea Rd</t>
  </si>
  <si>
    <t>Callahan</t>
  </si>
  <si>
    <t>Deputies went to Bea Road after multiple reports of shots fired and screaming coming from a home there, police said. Deputies arrived and a man pointed a gun at one of them, Deputy James Ballard, who shot and killed him.</t>
  </si>
  <si>
    <t>http://jacksonville.com/news/public-safety/2017-06-05/nassau-county-reports-second-fatal-deputy-involved-shooting-three-days</t>
  </si>
  <si>
    <t>Bruce Dawley</t>
  </si>
  <si>
    <t>2516 Gladiola Drive</t>
  </si>
  <si>
    <t>Campo</t>
  </si>
  <si>
    <t>http://www.sandiegouniontribune.com/news/public-safety/sd-me-deputy-fatalshot-20170605-story.html</t>
  </si>
  <si>
    <t>2313 Gratiot Ave</t>
  </si>
  <si>
    <t>An off-duty Detroit police officer was buying liquor when a man tried to rob him. Each shot, the man was killed, and the deputy wounded. Someone came along shortly after and stole both their guns.</t>
  </si>
  <si>
    <t>http://www.freep.com/story/news/local/michigan/detroit/2017/06/05/detroit-police-officer-injured-fatal-shoot-out/369739001/</t>
  </si>
  <si>
    <t>Donald Lee Cramer</t>
  </si>
  <si>
    <t>North 107th Ave and Thomas Rd</t>
  </si>
  <si>
    <t>Avondale police were called out to a "disorderly person with a gun" at a home. When officers arrived at the home, they removed people who were inside the residence. The suspect, Donald Lee Cramer, stayed on the back patio as officers tried negotiating with him to surrender. An Avondale officer shot and killed him, "in fear for his life" after the man pointed his gun at officers, police said.</t>
  </si>
  <si>
    <t>http://www.abc15.com/news/region-west-valley/avondale/avondale-police-shoot-and-kill-disorderly-person-with-a-gun</t>
  </si>
  <si>
    <t>Charles Darnell Baker Jr.</t>
  </si>
  <si>
    <t>US-431</t>
  </si>
  <si>
    <t>Abbeville</t>
  </si>
  <si>
    <t>Henry County Sheriff's Office</t>
  </si>
  <si>
    <t>A deputy stopped a car for speeding. The deputy smelled alcohol and marijuana coming from the car. The deputy tried to make an arrest, two men began fighting with the deputy. Maddox said Baker reached for a gun, and was shot and killed. The driver of the car surrendered.</t>
  </si>
  <si>
    <t>http://www.wtvy.com/content/news/BREAKING-Officer-involved-shooting-in-Henry-County-426035854.html</t>
  </si>
  <si>
    <t>Edward Everett Courtenay</t>
  </si>
  <si>
    <t>O'Neil Scott Rd</t>
  </si>
  <si>
    <t>After a hit-and-run crash and chase, Edward Courtenay was shot and killed as he rammed an occupied car.</t>
  </si>
  <si>
    <t>http://www.actionnewsjax.com/news/local/crash-leads-to-fatal-deputy-involved-shooting-in-nassau-county/529186580</t>
  </si>
  <si>
    <t>Marc Brandon Davis</t>
  </si>
  <si>
    <t>Leeville Road and MS-42</t>
  </si>
  <si>
    <t>Petal</t>
  </si>
  <si>
    <t>Petal Police Department</t>
  </si>
  <si>
    <t>Police responded to a traffic accident at Leeville Road and Mississippi 42 in Petal, at which point the officer fired shots during an apparent altercation among the people involved in the accident, according to police.</t>
  </si>
  <si>
    <t>http://www.hattiesburgamerican.com/story/news/crime/2017/06/02/man-dies-after-being-shot-police-petal/365606001/</t>
  </si>
  <si>
    <t>Naway Willy</t>
  </si>
  <si>
    <t>E 21st St &amp; S Garnett Rd</t>
  </si>
  <si>
    <t>Police were investigating a murder. When they attempted to interrogate Marc Davis, he fled. As they chased him, he produced a gun and was shot and killed.</t>
  </si>
  <si>
    <t>http://www.tulsaworld.com/news/crimewatch/officer-fires-at-shooting-suspect-who-pulls-gun-on-officer/article_fa9d352b-726d-5aeb-a434-441e14512c66.html</t>
  </si>
  <si>
    <t>Raul Gallegos</t>
  </si>
  <si>
    <t>Bosque Circle NW and Alameda Boulevard NW</t>
  </si>
  <si>
    <t>https://www.abqjournal.com/1012327/apd-man-dies-after-police-use-less-lethal-force-during-arrest.html</t>
  </si>
  <si>
    <t>Corsean Lewis</t>
  </si>
  <si>
    <t>5800 S Wabash Ave</t>
  </si>
  <si>
    <t>Chicago police officers shot and killed a teenage boy, Corsean Lewis, 17, who allegedly fired a round at officers' unmarked squad car, police said.</t>
  </si>
  <si>
    <t>http://www.chicagotribune.com/news/local/breaking/ct-washington-park-police-shooting-20170603-story.html</t>
  </si>
  <si>
    <t>Antonio Geraldo Rodriguez</t>
  </si>
  <si>
    <t>http://www.fatalencounters.org/wp-content/uploads/2013/10/Antonio-Geraldo-Rodriguez.jpg</t>
  </si>
  <si>
    <t>5301 McPherson Rd</t>
  </si>
  <si>
    <t>Police had been searching for 55-year-old Antonio Geraldo Rodriguez, who was suspected in the fatal shooting of his 50-year-old girlfriend, Reyna Gonzalez Zamora, at her apartment. Three officers spotted a vehicle matching the description of one driven by Rodriguez outside a convenience store. As the officers approached, Rodriguez opened fire. Three officers were wounded; Rodriguez was killed.</t>
  </si>
  <si>
    <t>http://www.khou.com/news/local/texas/murder-suspect-dead-3-police-officers-wounded-in-laredo-shootout/445335467</t>
  </si>
  <si>
    <t>Francisco Suarez-Madonado</t>
  </si>
  <si>
    <t>http://www.fatalencounters.org/wp-content/uploads/2013/10/Francisco-Suarez-Madonado.png</t>
  </si>
  <si>
    <t>1700 Eddingham Ct</t>
  </si>
  <si>
    <t>https://www.reviewjournal.com/crime/homicides/police-kill-man-after-he-shoots-at-officers-in-east-las-vegas/</t>
  </si>
  <si>
    <t>James Daniel Hill</t>
  </si>
  <si>
    <t>http://www.fatalencounters.org/wp-content/uploads/2013/10/James-Daniel-Hill.jpg</t>
  </si>
  <si>
    <t>S Yosemite St &amp; E Dry Creek Rd</t>
  </si>
  <si>
    <t>Centennial</t>
  </si>
  <si>
    <t>Deputies responded to a report of a car theft and that it was an armed carjacking. A deputy attempted to stop the stolen car, but the driver sped away, police said. Another deputy spotted the suspect vehicle and immobilized it by hitting the vehicle in its rear quarter-panel. At that time, five suspects got out of the car and ran. The deputy chased one of the suspects, who police said was armed with a gun. The deputy shot and killed the boy, James Daniel Hill, 17.</t>
  </si>
  <si>
    <t>http://www.thedenverchannel.com/news/local-news/sheriffs-deputies-investigating-officer-involved-shooting-in-centennial</t>
  </si>
  <si>
    <t>James Gleason</t>
  </si>
  <si>
    <t>http://www.fatalencounters.org/wp-content/uploads/2013/10/James-Gleason.png</t>
  </si>
  <si>
    <t>13401 Main St</t>
  </si>
  <si>
    <t>California Highway Patrol, Fontana Police Department</t>
  </si>
  <si>
    <t>Two officers in the San Bernardino County Auto Theft Task Force were investigating an incident in a Walmart parking lot when they saw a possible vehicle theft taking place. The officers, from the California Highway Patrol and Fontana Police Department, confronted the people involved, and shot and killed James Gleason.</t>
  </si>
  <si>
    <t>http://www.sbsun.com/general-news/20170531/1-dead-1-wounded-in-police-shooting-outside-hesperia-walmart</t>
  </si>
  <si>
    <t>Larry Warren Kipps</t>
  </si>
  <si>
    <t>68 Leonard Dr</t>
  </si>
  <si>
    <t>Gerrardstown</t>
  </si>
  <si>
    <t>Larry Warren Kipps was shot by police when he shot toward them when they came to check on a suicidal man.</t>
  </si>
  <si>
    <t>http://www.heraldmailmedia.com/news/tri_state/berkeley-county-man-dies-in-police-involved-shooting/article_6788942e-4556-11e7-a076-ebb624abc665.html</t>
  </si>
  <si>
    <t>Terry Williams</t>
  </si>
  <si>
    <t>http://www.jsonline.com/story/news/crime/2017/06/13/man-shot-deputy-milwaukee-lakefront-dies/394616001/</t>
  </si>
  <si>
    <t>Charged with manslaughter, acquitted</t>
  </si>
  <si>
    <t>Charged with reckless homicide</t>
  </si>
  <si>
    <t>Brown was suspected of shoplifting from a Best Buy. Police responded and found him hiding in the parking lot. Subject attempted to open car doors in lot. Tried to steal a car from a couple with children in back seat. Officers shot and killed him. He was reportedly unarmed.</t>
  </si>
  <si>
    <t>railroad spike</t>
  </si>
  <si>
    <t>Hutchinson was shot by officers responding to a domestic disturbance. He had binoculars in his hand. No other details have been released by authorities.</t>
  </si>
  <si>
    <t>binoculars</t>
  </si>
  <si>
    <t>http://www.katc.com/story/30881663/1-dead-following-last-weeks-officer-involved-shooting</t>
  </si>
  <si>
    <t>Police said they shot and killed the man after he hit the windshield of a patrol car and ignored commands from police. He was carrying a toy broomstick.</t>
  </si>
  <si>
    <t>toy broomstick</t>
  </si>
  <si>
    <t>Police said Blue grabbed at what appeared to be a semiautomatic pistol in his lap after police pulled over the car in which he was riding. The item turned out to be a BB gun.</t>
  </si>
  <si>
    <t>Charleena Lyles</t>
  </si>
  <si>
    <t>Charleena called police to report a burglary. When polcie arrived, they allege Charleena approached them with a knife. They shot her in front of her children. She was pregnant.</t>
  </si>
  <si>
    <t>http://komonews.com/news/local/detectives-investigate-officer-involved-shooting-in-ne-seattle</t>
  </si>
  <si>
    <t>Physical Restraint</t>
  </si>
  <si>
    <t>Charged with 2nd degreee murder</t>
  </si>
  <si>
    <t>Charged with murder, aquitted</t>
  </si>
  <si>
    <t>Charged, Convicted, Sentenced to Life in Prison</t>
  </si>
  <si>
    <t>Charged with murder and involuntary manslaughter, Convicted, Sentenced to Life in Prison</t>
  </si>
  <si>
    <t>Charged with 1st degree murder, armed criminal action and two counts of child endangerment, Acquitted</t>
  </si>
  <si>
    <t>Charged with manslaughter, Charges Dismissed in Federal Court</t>
  </si>
  <si>
    <t>Charged with homicide and felony firearm charges, Acquitted</t>
  </si>
  <si>
    <t>Charged with criminally negligent homicide, Acquitted</t>
  </si>
  <si>
    <t>Charged, Convicted of second-degree manslaughter and one count of official misconduct, Sentenced to five years probation.</t>
  </si>
  <si>
    <t>Charged, Convicted, Sentenced to 2.5 years in prison</t>
  </si>
  <si>
    <t>Charged, Convicted of manslaughter, Sentenced to 2.5 years in prison</t>
  </si>
  <si>
    <t>Charged, Convicted of 2nd degree manslaughter, Sentenced to 4 years</t>
  </si>
  <si>
    <t>Charged with manslaughter, Charges Tossed under Stand Your Ground law</t>
  </si>
  <si>
    <t>Charged, Mistrial, Plead Guilty to Civil Rights Charges</t>
  </si>
  <si>
    <t>African-American Alone</t>
  </si>
  <si>
    <t>% African-American</t>
  </si>
  <si>
    <t>% Victims Black</t>
  </si>
  <si>
    <t># Black people killed</t>
  </si>
  <si>
    <t># People Killed</t>
  </si>
  <si>
    <t>Rate (Black People)</t>
  </si>
  <si>
    <t>Rate (All People)</t>
  </si>
  <si>
    <t>Arkansas</t>
  </si>
  <si>
    <t>Connecticut</t>
  </si>
  <si>
    <t>Idaho</t>
  </si>
  <si>
    <t>Maine</t>
  </si>
  <si>
    <t>Montana</t>
  </si>
  <si>
    <t>New Hampshire</t>
  </si>
  <si>
    <t>North Dakota</t>
  </si>
  <si>
    <t>Rhode Island</t>
  </si>
  <si>
    <t>South Carolina</t>
  </si>
  <si>
    <t>South Dakota</t>
  </si>
  <si>
    <t>Vermont</t>
  </si>
  <si>
    <t>West Virginia</t>
  </si>
  <si>
    <t>fireworks</t>
  </si>
  <si>
    <t>An officer responded to a robbery at a Sears store. The suspected robber, who had a screwdriver, fled, and the officer chased him for more than a mile to Bosque Circle. He shocked him with a Taser, and he died.</t>
  </si>
  <si>
    <t>taser</t>
  </si>
  <si>
    <t>http://www.ledger-enquirer.com/news/local/crime/article135762128.html</t>
  </si>
  <si>
    <t>http://ak-cache.legacy.net//legacy/images/cobrands/DignityMemorial/photos/7c2ca709-09a1-4dad-b7b6-b345fd9123b3.jpg</t>
  </si>
  <si>
    <t>https://d1t3gia0in9tdj.cloudfront.net/photo/tributes/t/8/r/207x207/4214996/Sherida-Davis-1490098706.png</t>
  </si>
  <si>
    <t>Noel was having a psychological breakdown and his mother requested an order of protection. Police said that when they arrived, Noel resisted arrest and could not be subdued after two Taser deployments. Noel's aunt said he was then shot in the chest. Two witnesses have maintained that Noel was unarmed, while police have not said he was armed.</t>
  </si>
  <si>
    <t>Two Jacksonville police officers fatally shot Stallworth at a Westside apartment complex after police said he stuck a gun in an officer's chest. D'Angelo was alleged to have threaten the officers with a gun, causing officers to fight him. During the scuffle, D'Angelo dropped his gun on the patio and began to run away. When D'Angelo, unarmed at that point, reached the bottom of the stairs officers fired shots at him. D'Angelo's DNA was not found on the gun recovered on the patio and an independent autopsy determined he was shot in the back.</t>
  </si>
  <si>
    <t>http://jacksonville.com/news/crime/2015-05-18/story/independent-autopsy-conflicts-official-jacksonville-sheriffs-office#</t>
  </si>
  <si>
    <t>Metro train operator noticed a man inside one of the tunnels and alerted Transit Police. Gross allegedly walked toward the female officer with two large sticks, and she opened fire and killed him.</t>
  </si>
  <si>
    <t>Hall's mother placed a 911 call to report that her schizophrenic son had awoken in a violent rage. Multiple officers responded at about 5am, were confronted with Hall holding a broomstick. Well aware of his mental illness, they promptly shot him to death. The family has since filed a $10M wrongful death suit.</t>
  </si>
  <si>
    <t>N Lincoln Memorial Dr &amp; E Water Tower Rd</t>
  </si>
  <si>
    <t>Milwaukee County Sheriff's Office</t>
  </si>
  <si>
    <t>Terry Williams and Paula McEwen, 23, were shot following a pursuit after Williams failed to obey a traffic sign. A third person in the vehicle was not shot.</t>
  </si>
  <si>
    <t>http://www.denverpost.com/2017/07/05/man-killed-fourth-of-july-officer-involved-shootout-montezuma-county/</t>
  </si>
  <si>
    <t>Montezuma County Sheriff's Office deputies shot Tyrone Peabody when they responded to a domestic violence call. Peabody fired several shots in their direction.</t>
  </si>
  <si>
    <t>Montezuma County Sheriff's Office</t>
  </si>
  <si>
    <t>Montezuma</t>
  </si>
  <si>
    <t>Pleasant View</t>
  </si>
  <si>
    <t>Co Rd EE</t>
  </si>
  <si>
    <t>https://www.local10.com/news/local/miami/man-dies-during-struggle-with-miami-police-officers-in-east-little-havana</t>
  </si>
  <si>
    <t>Police officers responded to a laundromat because a man had threatened a woman, and they found the man was acting aggressively. He died during a struggle as police tried to restrain him for arrest.</t>
  </si>
  <si>
    <t>698 West Flagler St.</t>
  </si>
  <si>
    <t>http://www.ktvu.com/news/ktvu-local-news/265718285-story</t>
  </si>
  <si>
    <t>A man accused of fatally shooting an East Bay gas station worker, Mohammed Ataie, 57, died several hours after being shot by a responding police officer.</t>
  </si>
  <si>
    <t>Hillcrest Ave and E 18th St</t>
  </si>
  <si>
    <t>http://www.al.com/news/birmingham/index.ssf/2017/06/combative_suspect_dies_1_day_a.html</t>
  </si>
  <si>
    <t>Northport police officers responded to a traffic wreck with injuries. While en route, they were told that one of the drivers had walked off from the scene. Police encountered the driver, Crawford, about a mile away from the accident scene. After a struggle, Crawford was shot and killed by a Tuscaloosa County Sheriff's Office deputy.</t>
  </si>
  <si>
    <t>Robert Cardinal Road</t>
  </si>
  <si>
    <t>Joshua Terrell Crawford</t>
  </si>
  <si>
    <t>http://www.news4jax.com/news/georgia/2-hospitalized-after-officer-involved-shooting-in-brunswick</t>
  </si>
  <si>
    <t>David Leon Bell was killed after being shot by an off-duty Brunswick police officer who said he saw the man attacking a woman outside an apartment complex, according to police.</t>
  </si>
  <si>
    <t>Brunswick Police Department</t>
  </si>
  <si>
    <t>Glynn</t>
  </si>
  <si>
    <t>http://www.fatalencounters.org/wp-content/uploads/2013/10/DavidLeonBell.jpg</t>
  </si>
  <si>
    <t>David Leon Bell</t>
  </si>
  <si>
    <t>A family member called police to Greenbriar Drive about a male family member. When police arrived Christopher Reyes was combative toward officers, according to police. He was placed into police custody and died.</t>
  </si>
  <si>
    <t>Edinburg Police Department</t>
  </si>
  <si>
    <t>Greenbriar Drive</t>
  </si>
  <si>
    <t>http://www.fatalencounters.org/wp-content/uploads/2013/10/ChristopherReyes.jpg</t>
  </si>
  <si>
    <t>Christopher Reyes</t>
  </si>
  <si>
    <t>http://www.wisn.com/article/waukesha-police-shoot-kill-armed-man/10041037</t>
  </si>
  <si>
    <t>Police received a call from a woman reporting that an armed man, who had been drinking, was threatening to harm himself. Police said they tried for nearly 90 minutes to end the standoff, but two officers shot and killed him when the man pointed a gun at them.</t>
  </si>
  <si>
    <t>Waukesha Police Department</t>
  </si>
  <si>
    <t>Waukesha</t>
  </si>
  <si>
    <t>2000 Sunkist Ave</t>
  </si>
  <si>
    <t>pen</t>
  </si>
  <si>
    <t>http://www.seattlepi.com/local/crime/article/Sheriff-s-Office-Deputy-fatally-shot-11219678.php</t>
  </si>
  <si>
    <t>13600 3rd Ave S</t>
  </si>
  <si>
    <t>Tommy Le</t>
  </si>
  <si>
    <t>http://wtkr.com/2017/07/03/norfolk-police-officer-shot-suspect-killed-in-ocean-view-shooting/</t>
  </si>
  <si>
    <t>Officers responded to a call about a man with a gun. They tried to make contact with him at an apartment, but weren't successful. Police created a perimeter and then the man shot a officer in the bulletproof vest, police said. Other officers shot and killed the man.</t>
  </si>
  <si>
    <t>http://news3lv.com/news/local/domestic-dispute-turned-barricade-becomes-fatal-officer-involved-shooting</t>
  </si>
  <si>
    <t>After a shooting and a standoff with a hostage, a man was shot and killed by police.</t>
  </si>
  <si>
    <t>1900 Bookbinder Road</t>
  </si>
  <si>
    <t>http://www.denverpost.com/2017/07/05/federal-heights-police-shooting/</t>
  </si>
  <si>
    <t>A Federal Heights police officer shot and killed a fugitive parolee — who officers believed was armed — when he refused orders to surrender and attempted to flee.</t>
  </si>
  <si>
    <t>1800 W 85th Ave</t>
  </si>
  <si>
    <t>http://www.denverpost.com/2017/06/30/officer-involved-shooting-denver-police/</t>
  </si>
  <si>
    <t>Police shot and killed Stephanie Lopez and injured a second woman following a Littleton carjacking and high-speed chase that traversed Littleton, Englewood and Denver.</t>
  </si>
  <si>
    <t>Littleton Police Department, Englewood Police Department</t>
  </si>
  <si>
    <t>W Louisiana Ave and S Bannock St</t>
  </si>
  <si>
    <t>http://www.fatalencounters.org/wp-content/uploads/2013/10/Stephanie-Lopez.jpg</t>
  </si>
  <si>
    <t>Stephanie Lopez</t>
  </si>
  <si>
    <t>http://abc7.com/news/fatal-officer-involved-shooting-reported-in-westlake-district/2161807/</t>
  </si>
  <si>
    <t>After shooting a suicidal man with beanbags, police shot and killed him when he refused to put down his gun.</t>
  </si>
  <si>
    <t>W 3rd St &amp; Witmer St</t>
  </si>
  <si>
    <t>http://www.latimes.com/local/lanow/la-me-montebello-police-shooting-20170617-story.html</t>
  </si>
  <si>
    <t>Montebello police fatally shot a woman after she drove her car toward an officer and her boyfriend, whom she had been fighting with earlier in the day, police said.</t>
  </si>
  <si>
    <t>7709 Telegraph Rd</t>
  </si>
  <si>
    <t>Tiffany Lynn Potter</t>
  </si>
  <si>
    <t>http://abc30.com/news/authorities-investigating-deadly-officer-involved-shooting-in-madera/2110112/</t>
  </si>
  <si>
    <t>Madera Police said Sergio Valdovinos broke into a car and swung a stick at officers several times before an officer shot and killed him.</t>
  </si>
  <si>
    <t>Madera Police Department</t>
  </si>
  <si>
    <t>800 Wessmith Way</t>
  </si>
  <si>
    <t>http://www.fatalencounters.org/wp-content/uploads/2013/10/Sergio-Valdovinos.png</t>
  </si>
  <si>
    <t>Sergio Valdovinos</t>
  </si>
  <si>
    <t>http://losangeles.cbslocal.com/2017/06/24/hollywood-man-fatally-wounded-in-officer-involved-shooting-identified/</t>
  </si>
  <si>
    <t>Officers responded to a call about a dispute between two roommates, one of whom may have been armed, police said. Santino Trevino reportedly started firing a weapon. It was unclear if he shot at passersby or officers, but police returned with a barrage of gunfire, killing him.</t>
  </si>
  <si>
    <t>7245 Hillside Ave</t>
  </si>
  <si>
    <t>http://www.fatalencounters.org/wp-content/uploads/2013/10/Santino-Trevino.jpg</t>
  </si>
  <si>
    <t>Santino Trevino</t>
  </si>
  <si>
    <t>http://www.tennessean.com/story/news/2017/06/28/shooting-reported-vanderbilt-100-oaks-campus-nashville/436537001/</t>
  </si>
  <si>
    <t>Rodney L. Cole was shot and killed after attacking an officer with a screwdriver at a medical office in Nashville, police said.</t>
  </si>
  <si>
    <t>Robertson County Sheriff's Office</t>
  </si>
  <si>
    <t>719 Thompson Ln</t>
  </si>
  <si>
    <t>Rodney L. Cole</t>
  </si>
  <si>
    <t>http://www.msnewsnow.com/story/35682977/one-dead-deputy-wounded-in-officer-involved-shooting-in-yalobusha-co</t>
  </si>
  <si>
    <t>Two Yalobusha County deputies stopped two people on a stolen flat bed truck. Allegedly, Robert Berube fired on police, and Berube and passenger Jamie Dougan were both killed.</t>
  </si>
  <si>
    <t>Yalobusha County Sheriff's Office</t>
  </si>
  <si>
    <t>Water Valley</t>
  </si>
  <si>
    <t>Co Rd 100</t>
  </si>
  <si>
    <t>http://www.fatalencounters.org/wp-content/uploads/2013/10/robert-berube-3233c.jpg</t>
  </si>
  <si>
    <t>Robert J. Berube</t>
  </si>
  <si>
    <t>http://www.kwch.com/content/news/Officer-involved-in-shooting-in-Marion-County-429785383.html</t>
  </si>
  <si>
    <t>Few details were released. Robb Stewart had a gun and police shot and killed him.</t>
  </si>
  <si>
    <t>400 E Maria St</t>
  </si>
  <si>
    <t>Robb Stewart</t>
  </si>
  <si>
    <t>http://krqe.com/2017/06/26/state-police-investigate-fatal-officer-involved-shooting-near-pecos/</t>
  </si>
  <si>
    <t>Rowe</t>
  </si>
  <si>
    <t>Frontage Rd 2116 &amp; Lazy T Ranch Rd</t>
  </si>
  <si>
    <t>Rip S. Huntington</t>
  </si>
  <si>
    <t>http://www.chicagotribune.com/news/local/breaking/ct-police-shooting-lawndale-chicago-20170702-story.html</t>
  </si>
  <si>
    <t>Officers responding to a call of shots fired in the Lawndale neighborhood ended up in an "armed confrontation" with Quintec Locke in a gangway and shot him to death, according to police.</t>
  </si>
  <si>
    <t>http://www.fatalencounters.org/wp-content/uploads/2013/10/Quintec-Locke.png</t>
  </si>
  <si>
    <t>Quintec Locke</t>
  </si>
  <si>
    <t>https://lasvegassun.com/news/2017/jun/20/metro-police-shots-kills-suspect-on-domestic-viole/</t>
  </si>
  <si>
    <t>Police responded to a domestic disturbance. When they searched the house, they found Pedro Ramirez hiding in a closet with a knife. After tasering him, he allegedly lunged at them and was shot and killed.</t>
  </si>
  <si>
    <t>1100 South Cimarron Road</t>
  </si>
  <si>
    <t>Pedro Ramirez</t>
  </si>
  <si>
    <t>http://www.12news.com/news/local/valley/suspect-dead-officers-ok-after-glendale-officer-involved-shooting/453632288</t>
  </si>
  <si>
    <t>A woman called police and said she was being held against her will at an apartment complex. When officers arrived, they found a group of individuals in and around a vehicle outside the apartment where the call came from. Officers questioned the people and were patting them down when one man became agitated, started backing away from officers and reaching for his waistband. The man pulled out a silver handgun and was shot and killed.</t>
  </si>
  <si>
    <t>W Glendale Ave &amp; N 81st Dr</t>
  </si>
  <si>
    <t>Patrick Sanchez</t>
  </si>
  <si>
    <t>http://www.abc15.com/news/region-phoenix-metro/north-phoenix/police-working-officer-involved-shooting-in-north-phoenix-residences-being-evacuated</t>
  </si>
  <si>
    <t>Police were called to a home after receiving reports of a domestic disturbance involving a man who was breaking things inside the house. When officers arrived, Nicholas Johnston was standing in the front yard holding a rifle. He allegedly pointed the gun at a helicopter and fired a shot into the air. When Johnston spotted the officers walking toward him he pointed the rifle at them, and he was shot and killed.</t>
  </si>
  <si>
    <t>Cave Creek</t>
  </si>
  <si>
    <t>Cave Creek Rd and Tatum Blvd</t>
  </si>
  <si>
    <t>http://www.fatalencounters.org/wp-content/uploads/2013/10/NicholasJohnston.jpg</t>
  </si>
  <si>
    <t>Nicholas Johnston</t>
  </si>
  <si>
    <t>http://kron4.com/2017/06/17/antioch-man-killed-in-officer-involved-shooting/</t>
  </si>
  <si>
    <t>A patrol officer stopped a vehicle to talk with a man and a woman. Police said the man was Nathan Banks. The officer noticed that Banks had a gun and ordered him to stay in the vehicle, but Banks allegedly left the vehicle with the gun and ran. The officer chased Banks on foot and caught him near the porch of a home, where Banks was shot and killed.</t>
  </si>
  <si>
    <t>2300 Manzanita Way</t>
  </si>
  <si>
    <t>http://www.fatalencounters.org/wp-content/uploads/2013/10/Nathan-Banks.png</t>
  </si>
  <si>
    <t>Nathan Banks</t>
  </si>
  <si>
    <t>http://krqe.com/2017/07/04/1-killed-after-deputy-involved-shooting-in-southwest-albuquerque/</t>
  </si>
  <si>
    <t>Deputies were investigating suspicious activity at a car wash. Deputies ran the plate on the car Miguel Gonzalez was driving, and it came back as stolen. Gonzalez left the area, and deputies followed to pull him over. When deputies stopped Gonzalez, he ran off on foot into a neighborhood. He allegedly pulled a gun and was shot and killed.</t>
  </si>
  <si>
    <t>Miguel Gonzales</t>
  </si>
  <si>
    <t>http://wreg.com/2017/06/14/tbi-investigating-officer-involved-shooting-in-somerville/</t>
  </si>
  <si>
    <t>Two Somerville police officers responded to a 911 call that said Michael Morris had a knife and was intoxicated and suicidal. When the officers arrived, Morris took out the knife and threatened them. According to police, the officers tried to subdue him using nonlethal force, but shot and killed him.</t>
  </si>
  <si>
    <t>Somerville Police Department</t>
  </si>
  <si>
    <t>Somerville</t>
  </si>
  <si>
    <t>500 Woodbridge Rd</t>
  </si>
  <si>
    <t>http://www.fatalencounters.org/wp-content/uploads/2013/10/Michael-Hiram-Morris.jpg</t>
  </si>
  <si>
    <t>Michael Hiram Morris</t>
  </si>
  <si>
    <t>http://bangordailynews.com/2017/06/16/news/aroostook/maine-man-shot-at-officers-during-chase-in-mass-and-n-h-police-say/</t>
  </si>
  <si>
    <t>Michael Brown was wanted by Presque Isle police in connection with an alleged sexual assault. He was shot and killed during a car chase and gun battle, police said.</t>
  </si>
  <si>
    <t>Massachusetts State Police</t>
  </si>
  <si>
    <t>Bear Hill Rd and Amesbury Rd</t>
  </si>
  <si>
    <t>http://www.fatalencounters.org/wp-content/uploads/2013/10/Michael-Brown.jpg</t>
  </si>
  <si>
    <t>https://www.adn.com/alaska-news/crime-courts/2017/06/19/armed-man-who-confronted-fairbanks-officers-shot-dead-police-say/</t>
  </si>
  <si>
    <t>A caller told police a man wearing a mask was behind a Denny's restaurant with a long gun, police said. When they caught up with him, he advanced toward them with the gun and was shot and killed.</t>
  </si>
  <si>
    <t>1920 Lathrop St.</t>
  </si>
  <si>
    <t>Matthew Colton Stover</t>
  </si>
  <si>
    <t>http://losangeles.cbslocal.com/2017/06/29/officer-involved-shooting-burbank/</t>
  </si>
  <si>
    <t>Two South Pasadena officers were serving an arrest warrant when Marco Cardoza was shot and killed. It was not immediately reported what precisely precipitated the killing.</t>
  </si>
  <si>
    <t>South Pasadena Police Department</t>
  </si>
  <si>
    <t>1404 Broadway</t>
  </si>
  <si>
    <t>Marco Cardoza</t>
  </si>
  <si>
    <t>http://www.postandcourier.com/news/updated-man-shot-by-north-charleston-police-sunday-night-has/article_4d7e1f06-5a5d-11e7-a14e-cbbada610957.html</t>
  </si>
  <si>
    <t>Lawrence Heyward was shot and killed by police after an armed robbery of a convenience store and a chase.</t>
  </si>
  <si>
    <t>Vistavia Road</t>
  </si>
  <si>
    <t>http://www.fatalencounters.org/wp-content/uploads/2013/10/Lawrence-Heyward-Jr.png</t>
  </si>
  <si>
    <t>Lawrence Heyward Jr.</t>
  </si>
  <si>
    <t>http://rapidcityjournal.com/news/local/crime-and-courts/suspect-shot-killed-by-rapid-city-police-after-firing-at/article_07548c08-c39d-5aeb-be9c-ccc37de599d7.html</t>
  </si>
  <si>
    <t>Police responded to a report of an "active shooter situation." Police said there were shots fired from a residence before police arrived. Once police arrived, several more shots were fired. As police worked to evacuate homes in the area, Joseph Hogan came out of the the house and fired at an officer, who shot and killed him.</t>
  </si>
  <si>
    <t>310 Viking Dr</t>
  </si>
  <si>
    <t>Joseph Paul Hogan</t>
  </si>
  <si>
    <t>http://www.wftv.com/news/local/officials-identify-deputy-who-fatally-shot-man-who-grabbed-taser-at-deltona-gas-station/544925309?ecmp=wftv_social_twitter_sfp</t>
  </si>
  <si>
    <t>Deputies were called to a RaceTrac after Jose Guillermo Flores Colon was in the business' bathroom for nearly 90 minutes, police said. Deputy A. Chavez found Colon in the bathroom along with drug paraphernalia on the sink. Chavez tried to calm down Colon so he could be handcuffed, but Colon grabbed Deputy Shawn Adkins' Taser, and Adkins shot and killed him.</t>
  </si>
  <si>
    <t>2001 Saxon Blvd</t>
  </si>
  <si>
    <t>http://www.fatalencounters.org/wp-content/uploads/2013/10/Jose-Guillermo-Flores-Colon.png</t>
  </si>
  <si>
    <t>Jose Guillermo Flores Colon</t>
  </si>
  <si>
    <t>http://www.indystar.com/story/news/crime/2017/07/03/fishers-police-investigating-fatal-officer-involved-shooting/448402001/</t>
  </si>
  <si>
    <t>Police were called for a welfare check on a distressed person, police said. Officers found John Donadio sitting in a parked vehicle. As officers approached the vehicle, he allegedly threatened officers with a gun. The officers shot at him. As officers began shooting, police said he turned the gun on himself. It wasn't immediately certain who owned the fatal shot.</t>
  </si>
  <si>
    <t>Fishers Police Department</t>
  </si>
  <si>
    <t>Fishers</t>
  </si>
  <si>
    <t>John Donadio</t>
  </si>
  <si>
    <t>http://www.11alive.com/news/gbi-called-in-to-investigate-cobb-county-shooting/453182303</t>
  </si>
  <si>
    <t>Marietta-Cobb-Smyrna Narcotics Division was attempting to execute a search warrant at the Liberty Pointe Apartments when Joel Gatu Muturi attempted to strike a deputy with a vehicle. He was shot and killed.</t>
  </si>
  <si>
    <t>Cobb County Sheriff's Office</t>
  </si>
  <si>
    <t>700 Franklin Gateway SE</t>
  </si>
  <si>
    <t>Joel Gatu Muturi</t>
  </si>
  <si>
    <t>http://www.tulsaworld.com/homepagelatest/tulsa-police-officer-fires-weapon-during-altercation-in-east-tulsa/article_b72aa9d0-7273-55d6-8bfb-0eca35d7cc05.html</t>
  </si>
  <si>
    <t>E 4th Pl and S Garnett Rd</t>
  </si>
  <si>
    <t>Jimmie Bevenue</t>
  </si>
  <si>
    <t>http://www.azcentral.com/story/news/local/phoenix/2017/06/24/phoenix-police-involved-shooting/425907001/</t>
  </si>
  <si>
    <t>Police stopped a black Chevy Camaro for an invalid license plate, but the driver sped off. Police later noticed the car parked with its lights off at 21st and Adams streets. When they approached, the driver sped off, then lost control of his vehicle and hit a fence, a tree, and an officer's vehicle. When two officers on foot approached the car, it accelerated toward them and one officer fired his weapon, killing Jesus Deltoro.</t>
  </si>
  <si>
    <t>21st St and Adams St</t>
  </si>
  <si>
    <t>Jesus Ramon Deltoro</t>
  </si>
  <si>
    <t>http://denver.cbslocal.com/2017/07/02/colorado-state-university-officer-shooting/</t>
  </si>
  <si>
    <t>Colorado State University Police officers responded to a report of a threatening man. Fort Collins Police Services officers arrived to assist. When officers contacted the man, police said they found him armed with a knife and shot and killed him.</t>
  </si>
  <si>
    <t>S Whitcomb St and W Prospect Rd</t>
  </si>
  <si>
    <t>Jeremy Holmes</t>
  </si>
  <si>
    <t>http://amarillo.com/news/local-news/2017-06-27/update-police-release-name-man-killed-officer-involved-shooting</t>
  </si>
  <si>
    <t>Officers went to some apartments to investigate a domestic violence incident involving a man trespassing there. Police shot and killed Jason Magana Herrera after he resisted arrest and pointed a handgun at officers, according to police.</t>
  </si>
  <si>
    <t>601 S Nelson St</t>
  </si>
  <si>
    <t>http://www.fatalencounters.org/wp-content/uploads/2013/10/HERRERA-JASON-MAGANA.jpg</t>
  </si>
  <si>
    <t>Jason Magana Herrera</t>
  </si>
  <si>
    <t>http://www.fatalencounters.org/wp-content/uploads/2013/10/Jamie-Dougan.jpg</t>
  </si>
  <si>
    <t>Jamie Dougan</t>
  </si>
  <si>
    <t>http://www.cbsnews.com/news/james-t-hodgkinson-identified-as-suspect-in-alexandria-shooting/</t>
  </si>
  <si>
    <t>James T. Hodgkinson shot and wounded U.S. Rep. Steve Scalise at a baseball field in Alexandria, Virginia. Hodgkinson shot Scalise and four others, including two Capitol Police officers, before being shot and killed.</t>
  </si>
  <si>
    <t>United States Capitol Police</t>
  </si>
  <si>
    <t>1799 Leslie Ave</t>
  </si>
  <si>
    <t>http://www.fatalencounters.org/wp-content/uploads/2013/10/James-T.-Hodgkinson.png</t>
  </si>
  <si>
    <t>James T. Hodgkinson</t>
  </si>
  <si>
    <t>http://www.wlwt.com/article/officer-involved-shooting-reported-in-butler-county/10199029</t>
  </si>
  <si>
    <t>Deputies were called for reports of an active shooter on railroad tracks. Police said Jacob Faulkner was firing shots at a moving train. When the deputies arrived, he fled. When deputies caught up with him, he was shot and killed.</t>
  </si>
  <si>
    <t>4100 Hamilton Trenton Road</t>
  </si>
  <si>
    <t>Jacob Faulkner</t>
  </si>
  <si>
    <t>http://www.oregonlive.com/hillsboro/index.ssf/2017/07/police_investigating_reported.html</t>
  </si>
  <si>
    <t>Holden Austin Gorka allegedly tried to hijack a helicopter with a gun. He hopped back over the fence at the sight of an officer and was fatally shot after a chase into a nearby field.</t>
  </si>
  <si>
    <t>3355 NE Cornell Rd</t>
  </si>
  <si>
    <t>Holden Austin Gorka</t>
  </si>
  <si>
    <t>http://ktla.com/2017/06/16/1-killed-in-rialto-officer-involved-shooting-police/</t>
  </si>
  <si>
    <t>Rialto Police officials were investigating a domestic violence incident, police said. Four officers approached the house, and Hector Cisneros Soria allegedly answered the door while holding a .40 caliber semi-automatic handgun. Officers told Soria to step out and he allegedly refused, instead raising his gun toward police, and he was shot and killed.</t>
  </si>
  <si>
    <t>2800 W Birch St</t>
  </si>
  <si>
    <t>http://www.fatalencounters.org/wp-content/uploads/2013/10/HectorSoria.jpg</t>
  </si>
  <si>
    <t>Hector Cisneros Soria</t>
  </si>
  <si>
    <t>https://www.auburn-reporter.com/news/auburn-man-shot-killed-after-vehicle-pursuit/</t>
  </si>
  <si>
    <t>After fleeing a traffic stop, Giovonn Joseph-McDade allegedly drove at an officer and was shot and killed.</t>
  </si>
  <si>
    <t>99th Ave S and S 244th St S</t>
  </si>
  <si>
    <t>Giovonn Joseph-McDade</t>
  </si>
  <si>
    <t>http://www.bnd.com/news/local/article159588114.html</t>
  </si>
  <si>
    <t>Donald Martin fired at police several times and made suicidal comments before a police tactical unit officer shot and killed him, police said.</t>
  </si>
  <si>
    <t>623 S 20th St</t>
  </si>
  <si>
    <t>Donald Martin</t>
  </si>
  <si>
    <t>http://www.news9.com/story/35745457/officer-involved-shooting-reported-in-sw-okc</t>
  </si>
  <si>
    <t>Passersby called police and said Deveonte Johnson was carrying a gun and was pointing it at vehicles. Two officers arrived and saw an armed man. One officer shot and killed him after he refused to lower his gun, police said.</t>
  </si>
  <si>
    <t>SW 15th St &amp; S Robinson Ave</t>
  </si>
  <si>
    <t>Deveonte Johnson</t>
  </si>
  <si>
    <t>http://abc7.com/news/car-theft-suspect-shot-dead-by-police-after-chase-in-south-gate/2122782/</t>
  </si>
  <si>
    <t>David Pacas led police on a short chase before crashing into multiple cars, where he fled on foot before being fatally shot by police. He allegedly had a pellet gun.</t>
  </si>
  <si>
    <t>California Ave and Santa Ana St</t>
  </si>
  <si>
    <t>David Pacas</t>
  </si>
  <si>
    <t>http://www.tennessean.com/story/news/local/williamson/2017/06/20/peytonsville-road-bridge-closed-over-interstate-65-police-activity/412513001/</t>
  </si>
  <si>
    <t>Police said David Creson pulled a gun on two Williamson County Sheriff's Office deputies following a stolen car chase.</t>
  </si>
  <si>
    <t>Williamson County Sheriff's Office</t>
  </si>
  <si>
    <t>Peytonsville Rd &amp; I-65</t>
  </si>
  <si>
    <t>David Bryan Creson</t>
  </si>
  <si>
    <t>http://www.tulsaworld.com/homepagelatest/state-investigators-probe-officer-involved-shooting-in-mccurtain-county/article_c64618ce-3e67-5ea4-9f7d-d878459b1e2a.html</t>
  </si>
  <si>
    <t>Daniel Francisco Valenzuela forced his way into a residence in Millerton, according to police. Police were dispatched to the residence on reports of a domestic altercation. When confronted by officers, Valenzuela allegedly ignored commands to drop the knife and threatened officers with the knife and came toward them. A McCurtain County deputy and a Valliant police officer shot and killed Valenzuela.</t>
  </si>
  <si>
    <t>McCurtain County Sheriff's Office, Valliant Police Department</t>
  </si>
  <si>
    <t>Millerton</t>
  </si>
  <si>
    <t>300 Chicasaw St</t>
  </si>
  <si>
    <t>Daniel Francisco Valenzuela</t>
  </si>
  <si>
    <t>http://www.kxly.com/news/local-news/spokane-police-involved-in-south-hill-shooting/573014127</t>
  </si>
  <si>
    <t>Police and the Spokane Valley Sheriff's Office responded to a domestic violence incident. A Spokane police officer was the first to arrive. Within a minute of arrival, officers heard gunfire. Two officers shot and killed Daniel Craven. A firearm allegedly was found near him.</t>
  </si>
  <si>
    <t>Daniel Craven</t>
  </si>
  <si>
    <t>http://www.whio.com/news/breaking-news/cincinnati-man-suspect-hamilton-homicide-shot-and-killed-trooper-vandalia/PhXay1FI9rxD3gtm71b0CN/</t>
  </si>
  <si>
    <t>Dana D. Dubose was a suspect in a murder. He allegedly rammed a trooper's car and then got out covered in blood and wielding a knife and was shot and killed.</t>
  </si>
  <si>
    <t>Vandalia</t>
  </si>
  <si>
    <t>530 East National Road</t>
  </si>
  <si>
    <t>http://www.fatalencounters.org/wp-content/uploads/2013/10/dana-dubose-mug.jpg</t>
  </si>
  <si>
    <t>Dana D. Dubose</t>
  </si>
  <si>
    <t>http://kutv.com/news/local/legacy-parkway-closed-in-all-directions-use-alternate-route</t>
  </si>
  <si>
    <t>Centerville police said there was a stolen-car chase that ended in Cody Ray McCray being shot and killed.</t>
  </si>
  <si>
    <t>Legacy Parkway and W Glover Lane</t>
  </si>
  <si>
    <t>http://www.fatalencounters.org/wp-content/uploads/2013/10/Cody-Ray-McCray.jpg</t>
  </si>
  <si>
    <t>Cody Ray McCray</t>
  </si>
  <si>
    <t>http://www.al.com/news/index.ssf/2017/06/sbi_investigating_fatal_office.html</t>
  </si>
  <si>
    <t>Christopher Michael Murray was driving a stolen vehicle and tried to ram into officers' cars on Highway 45 South. Police said deputies got the truck to the side of the road, then an officer opened fire, killing Murray.</t>
  </si>
  <si>
    <t>Deer Park</t>
  </si>
  <si>
    <t>US 45</t>
  </si>
  <si>
    <t>Christopher Michael Murray</t>
  </si>
  <si>
    <t>http://www.13wmaz.com/news/local/gbi-investigating-officer-involved-shooting-in-bonaire/453969732</t>
  </si>
  <si>
    <t>Responding to a domestic disturbance, a deputy shot and killed Christopher Cashell during a fight.</t>
  </si>
  <si>
    <t>Bonaire</t>
  </si>
  <si>
    <t>416 Green Island Rd</t>
  </si>
  <si>
    <t>Christopher Harry Cashell</t>
  </si>
  <si>
    <t>http://www.9news.com/news/local/deputies-in-larimer-county-shoot-suspect-during-foot-chase/453505078</t>
  </si>
  <si>
    <t>Deputies shot and killed Chet Knuppel during a foot chase after the pursuit of a stolen vehicle out of Fort Collins.</t>
  </si>
  <si>
    <t>Hwy 392 and County Rd 9</t>
  </si>
  <si>
    <t>Chet Knuppel</t>
  </si>
  <si>
    <t>http://www.stltoday.com/news/local/crime-and-courts/st-louis-police-officer-fatally-shoots-would-be-robber-at/article_cb867fb1-196a-515c-9262-c10a54f4bf30.html</t>
  </si>
  <si>
    <t>Chazz Brown attempted to rob a gas station and was fatally shot by an off-duty officer, police said.</t>
  </si>
  <si>
    <t>1815 Arsenal St</t>
  </si>
  <si>
    <t>http://www.fatalencounters.org/wp-content/uploads/2013/10/Chazz-Brown.jpg</t>
  </si>
  <si>
    <t>Chazz Brown</t>
  </si>
  <si>
    <t>http://kval.com/news/local/police-presence-in-florence</t>
  </si>
  <si>
    <t>Following a carjacking and a chase, a Lane County Sheriff's deputy shot and killed a man.</t>
  </si>
  <si>
    <t>4658 Florence-Eugene Hwy</t>
  </si>
  <si>
    <t>Cameron Ollman</t>
  </si>
  <si>
    <t>http://www.9news.com/news/crime/man-shot-killed-by-police-had-lengthy-criminal-history/454111891</t>
  </si>
  <si>
    <t>Brett Rodriguez was shot and killed by Westminster police after running into a car and showing a weapon. Officers were in the area looking for another man with several warrants when they discovered Rodriguez and tried to make contact.</t>
  </si>
  <si>
    <t>3791 W 68th Ave</t>
  </si>
  <si>
    <t>http://www.fatalencounters.org/wp-content/uploads/2013/10/BrettRodriguez.jpg</t>
  </si>
  <si>
    <t>Brett Rodriguez</t>
  </si>
  <si>
    <t>http://www.nevadadailymail.com/story/2422652.html</t>
  </si>
  <si>
    <t>Vernon</t>
  </si>
  <si>
    <t>SSR K and Route E</t>
  </si>
  <si>
    <t>Brandon D. Lukenbill</t>
  </si>
  <si>
    <t>http://www.necn.com/news/new-england/Police-Involved-Shooting-Under-Investigation-in-NH-428226253.html</t>
  </si>
  <si>
    <t>Barry Jones allegedly pointed a gun at someone, trying to get them to drive him to get drugs and/or alcohol. He stole a vehicle and was shot and killed in front of a liquor store.</t>
  </si>
  <si>
    <t>New Hampshire Department of Safety</t>
  </si>
  <si>
    <t>http://www.fatalencounters.org/wp-content/uploads/2013/10/Barry-Jones.png</t>
  </si>
  <si>
    <t>Barry Jones</t>
  </si>
  <si>
    <t>http://www.theadvocate.com/acadiana/news/article_a5814ed6-507f-11e7-82cf-ff00eebb24df.html</t>
  </si>
  <si>
    <t>Deputies were serving a warrant at a residence on Duchamp Road when they encountered a man with a gun, Avery D. Metrejean, and shot and killed him, according to police.</t>
  </si>
  <si>
    <t>Broussard</t>
  </si>
  <si>
    <t>Duchamp Rd</t>
  </si>
  <si>
    <t>http://www.fatalencounters.org/wp-content/uploads/2013/10/Avery-D.-Metrejean.png</t>
  </si>
  <si>
    <t>Avery D. Metrejean</t>
  </si>
  <si>
    <t>http://www.ksdk.com/news/crime/breaking-overnight-jerseyville-il-officer-shot-by-robbery-suspect/448231600</t>
  </si>
  <si>
    <t>Police got a call about a burglary at DJ's Bar and Grill. When officers arrived, they saw a man, Austin M. Durham, race out of the business. Two Jerseyville officers and one Jersey County deputy ran after the suspect for several blocks. Then, between two houses, police said Durham turned and fired, hitting Officer Nathan Miller twice. Miller shot and killed Durham.</t>
  </si>
  <si>
    <t>Jerseyville Police Department</t>
  </si>
  <si>
    <t>Jersey</t>
  </si>
  <si>
    <t>Jerseyville</t>
  </si>
  <si>
    <t>117 W Prairie St</t>
  </si>
  <si>
    <t>http://www.fatalencounters.org/wp-content/uploads/2013/10/AustinDurham.jpg</t>
  </si>
  <si>
    <t>Austin M. Durham</t>
  </si>
  <si>
    <t>http://www.latimes.com/local/lanow/la-me-ln-palmdale-deputy-shooting-20170622-story.html</t>
  </si>
  <si>
    <t>38500 10th St E</t>
  </si>
  <si>
    <t>http://www.fatalencounters.org/wp-content/uploads/2013/10/ArmandoGarcia.png</t>
  </si>
  <si>
    <t>Armando Garcia-Muro</t>
  </si>
  <si>
    <t>http://www.nbcdfw.com/news/local/Dallas-Police-Investigating-Officer-Involved-Shooting-429520973.html</t>
  </si>
  <si>
    <t>Police said they were called to an active shooter call. Officers approached the home, where the front door was standing open. Officers could hear a loud disturbance inside the home between a man and a woman. They could also hear an infant crying. The officers commanded the man to come to the door. When he did, officers say he was holding a handgun, and he was shot and killed.</t>
  </si>
  <si>
    <t>10700 Eastham Dr</t>
  </si>
  <si>
    <t>Alton Folmar</t>
  </si>
  <si>
    <t>http://www.nydailynews.com/new-york/nyc-crime/police-officer-shot-bronx-suspect-custody-article-1.3301718</t>
  </si>
  <si>
    <t>183rd Street and Morris Avenue</t>
  </si>
  <si>
    <t>http://www.fatalencounters.org/wp-content/uploads/2013/10/AlexanderBonds.jpg</t>
  </si>
  <si>
    <t>Alexander Bonds</t>
  </si>
  <si>
    <t>http://www.theindychannel.com/news/crime/police-shoot-kill-person-on-indianapolis-west-side</t>
  </si>
  <si>
    <t>Police said Aaron Bailey fled from a traffic stop and led police on a brief chase that lasted about a minute and ended when the car crashed into a tree. Officers Michal Dinnsen and Carlton Howard fired multiple rounds at the vehicle, killing Bailey.</t>
  </si>
  <si>
    <t>W 23rd St &amp; Aqueduct St</t>
  </si>
  <si>
    <t>http://www.fatalencounters.org/wp-content/uploads/2013/10/Aaron-Bailey2.jpg</t>
  </si>
  <si>
    <t>Aaron Bailey</t>
  </si>
  <si>
    <t>Lincoln AL Police Department</t>
  </si>
  <si>
    <t>Lincoln CA Police Department</t>
  </si>
  <si>
    <t>Lincoln IL Police Department</t>
  </si>
  <si>
    <t>Aurora WA Police Department</t>
  </si>
  <si>
    <t>Aurora MO Police Department</t>
  </si>
  <si>
    <t>Dallas OR Police Department</t>
  </si>
  <si>
    <t>Big Cities Average</t>
  </si>
  <si>
    <t>Nationwide Average</t>
  </si>
  <si>
    <t>Black Male Population (2015 ACS) (Source: https://factfinder.census.gov/faces/tableservices/jsf/pages/productview.xhtml?pid=ACS_15_5YR_B01001B&amp;prodType=table)</t>
  </si>
  <si>
    <t>Jeffrey Andrew Jacobs</t>
  </si>
  <si>
    <t>Prichard Avenue</t>
  </si>
  <si>
    <t>Morganton</t>
  </si>
  <si>
    <t>Burke County Sheriff's Office</t>
  </si>
  <si>
    <t>A 9-1-1 caller said a man was beating a woman in the road. The caller said the man had a revolver and a knife. When the deputy arrived, Jeffrey Jacobs was outside the mobile home holding the gun. Police said the deputy ordered Jacobs to drop the weapon several times before Jacobs allegedly pointed the gun at the deputy and was shot and killed. A later report said Jacobs had a pellet gun.</t>
  </si>
  <si>
    <t>http://www.wsoctv.com/news/local/sbi-investigates-deadly-officer-involved-shooting-in-burke-county/596248662</t>
  </si>
  <si>
    <t>Nathaniel Richmond</t>
  </si>
  <si>
    <t>301 Market Street</t>
  </si>
  <si>
    <t>Steubenville</t>
  </si>
  <si>
    <t>Adult Probation Department Jefferson County Courthouse</t>
  </si>
  <si>
    <t>Jefferson County Common Pleas Judge Joseph Bruzzese was wounded in an ambush-style attack outside the Jefferson County Courthouse on his way into his office. Nathaniel Richmond was shot and killed by a probation officer who happened upon the exchange of gunfire between him and the judge.</t>
  </si>
  <si>
    <t>http://www.heraldstaronline.com/news/local-news/2017/08/update-3-judge-bruzzese-in-upmc-after-shooting-today-investigation-update-coming-this-afternoon/</t>
  </si>
  <si>
    <t>Pueblo County Sheriff's Office</t>
  </si>
  <si>
    <t>http://www.koaa.com/story/36185520/officer-involved-shooting-reported-in-colorado-city</t>
  </si>
  <si>
    <t>Co Rd J and Co Rd AB</t>
  </si>
  <si>
    <t>Kewaunee County Sheriff's Office</t>
  </si>
  <si>
    <t>Police received a call at 7:55 p.m. to respond to a "call for service." The sheriff did not specify what service was needed, but apparently a deputy shot and killed a man. Very little information was immediately released. The decedent's name was withheld even after the family was notified. (Not to editorialize, but this sort of secrecy and information delay frequently surrounds a death that involves important people in the community.)</t>
  </si>
  <si>
    <t>http://fox11online.com/news/local/lakeshore/crews-block-off-road-in-kewaunee-county</t>
  </si>
  <si>
    <t>Gillette St &amp; Vince St</t>
  </si>
  <si>
    <t>Pardeeville</t>
  </si>
  <si>
    <t>Police responded to a domestic dispute and shot and killed an allegedly armed man.</t>
  </si>
  <si>
    <t>http://www.channel3000.com/news/wppa-responds-to-officer-involved-shooting-in-pardeeville/607607085</t>
  </si>
  <si>
    <t>Jonathan Bolger</t>
  </si>
  <si>
    <t>Searcy 99 Hwy &amp; Buffalo River Trail</t>
  </si>
  <si>
    <t>Yellville</t>
  </si>
  <si>
    <t>U.S. National Park Service</t>
  </si>
  <si>
    <t>Jonathan Bolger was shot and killed in the Lower Buffalo Ranger District of the Buffalo National River. Rangers were on foot patrol when they encountered Jonathan Bolger with a handgun. Bolger refused commands to drop the weapon, and park rangers shot and killed him.</t>
  </si>
  <si>
    <t>http://www.arkansasonline.com/news/2017/aug/20/man-killed-shooting-involving-least-one-arkansas-o/</t>
  </si>
  <si>
    <t>Keshawn Wilson</t>
  </si>
  <si>
    <t>Brick police responded to a loud domestic disturbance at a home, police said. When police arrived, Keshawn Wilson was outside the house with a handgun and was shot and killed. Police released no details as to what prompted the shooting, although apparently two women were injured.</t>
  </si>
  <si>
    <t>http://www.app.com/story/news/2017/08/20/one-dead-police-involved-shooting-brick-domestic-dispute/584226001/</t>
  </si>
  <si>
    <t>A man was shot by a California Highway Patrol officer after a search through orchards and fields near Highway 41 and Avenue 12, police said. Police said the encounter began earlier in the day when three men carjacked a white sedan, one of them brandishing a gun.</t>
  </si>
  <si>
    <t>http://www.fresnobee.com/news/local/crime/article168308377.html</t>
  </si>
  <si>
    <t>Thomas Justin Walton</t>
  </si>
  <si>
    <t>40 State Farm Parkway</t>
  </si>
  <si>
    <t>An officer was patrolling the parking lot of the Extended Stay Hotel on State Farm Parkway around 1 a.m. when he encountered Thomas Walton. The officer and Walton fought, and Walton was able to get the officer's stun gun and used it against him. The officer shot and killed Walton.</t>
  </si>
  <si>
    <t>http://abc3340.com/news/local/officer-injured-suspect-dead-after-officer-involved-shooting-in-homewood</t>
  </si>
  <si>
    <t>Leroy Frank</t>
  </si>
  <si>
    <t>Greenbrook Drive</t>
  </si>
  <si>
    <t>Leroy Frank was shot and killed by police after lunging at cops responding to a domestic violence call with a knife, police said. Frank had allegedly stabbed his estranged wife multiple times in the home.</t>
  </si>
  <si>
    <t>http://www.nbcnewyork.com/news/local/Police-Involved-Shooting-Bloomfield-New-Jersey-Suspect-Officers-Investigation-440992423.html</t>
  </si>
  <si>
    <t>Clarence Belsar III</t>
  </si>
  <si>
    <t>http://www.fatalencounters.org/wp-content/uploads/2013/10/Clarence-Belsar-III.jpg</t>
  </si>
  <si>
    <t>58 W Church St</t>
  </si>
  <si>
    <t>Fairchance</t>
  </si>
  <si>
    <t>http://www.post-gazette.com/local/region/2017/08/18/State-trooper-shot-Fairchance-Fayette-County-Uniontown/stories/201708180193</t>
  </si>
  <si>
    <t>Derrick Rashard Brabham</t>
  </si>
  <si>
    <t>http://www.fatalencounters.org/wp-content/uploads/2013/10/Derrick-Rashard-Brabham.jpg</t>
  </si>
  <si>
    <t>5176 Seaboard Avenue</t>
  </si>
  <si>
    <t>Police received a call about 10:50 p.m. about an individual making threats to harm himself and others in a residence. Besides Derrick Brabham, a boy and three women were in the home when police arrived. Officers Michael Fox and Kevin Jarrell entered the after hearing a gunshot inside, police said. They were wounded, and Brabham, who had a rifle, was shot and killed.</t>
  </si>
  <si>
    <t>http://jacksonville.com/news/public-safety/2017-08-18/jacksonville-sheriff-identifies-officers-shot-suspect-killed-friday</t>
  </si>
  <si>
    <t>Christopher Michael Diaz</t>
  </si>
  <si>
    <t>http://www.fatalencounters.org/wp-content/uploads/2013/10/Christopher-Michael-Diaz.jpg</t>
  </si>
  <si>
    <t>Christopher Michael Diaz was wanted in connection with the shooting death of his estranged wife. He was shot by Montebello police around 2:40 p.m. following a car chase and foot pursuit, according to police.</t>
  </si>
  <si>
    <t>http://ktla.com/2017/08/18/man-accused-of-fatally-shooting-his-estranged-wife-killed-in-police-shooting-in-montebello/</t>
  </si>
  <si>
    <t>Edgar Ramirez Carreto</t>
  </si>
  <si>
    <t>2601 E Roosevelt St</t>
  </si>
  <si>
    <t>Edgar Ramirez Carreto walked into the Maricopa Medical Center, waving knives at staff and threatening them, police said. When police arrived, they saw him attempting to break into a nearby apartment. Officers tried to calm him, but he refused to put his knives down and started walking toward them. Officers first shot stun-bag rounds. One officer shot and killed Carreto.</t>
  </si>
  <si>
    <t>http://www.azcentral.com/story/news/local/phoenix-breaking/2017/08/17/phoenix-police-shooting-injure-suspect/576002001/</t>
  </si>
  <si>
    <t>Peter Daniel Grima</t>
  </si>
  <si>
    <t>Carter Road</t>
  </si>
  <si>
    <t>Luverne</t>
  </si>
  <si>
    <t>Crenshaw</t>
  </si>
  <si>
    <t>Crenshaw County Sheriff's Office</t>
  </si>
  <si>
    <t>Peter Grishma was shot and killed after a chase by deputies, but few other details were immediately released.</t>
  </si>
  <si>
    <t>http://www.wsfa.com/story/36165469/dead-suspect-idd-in-south-al-officer-involved-shooting</t>
  </si>
  <si>
    <t>Imperial Hwy and Slater St</t>
  </si>
  <si>
    <t>Deputies were patrolling the area when they noticed a suspicious vehicle, facing the wrong way on the street. A person was sitting in the driver's seat, and a man was standing outside of the vehicle. When the deputies approached, the man standing outside the vehicle ran, armed with a handgun, police said. The deputies chased after the man and shot and killed him, although what precipitated the killing was not reported.</t>
  </si>
  <si>
    <t>http://abc7.com/man-dies-after-deputy-involved-shooting-in-nickerson-gardens/2316325/</t>
  </si>
  <si>
    <t>James Terry Midkiff</t>
  </si>
  <si>
    <t>Livermore</t>
  </si>
  <si>
    <t>Livermore Police Department</t>
  </si>
  <si>
    <t>Police responded to reports of a man acting erratically and confronting people. Seeing police, though, the man, who refused to obey commands, withdrew into a mobile home and armed himself. Nearly two hours later, the man set a fire inside the house and emerged clutching a shotgun, police said. He was shot and killed by police.</t>
  </si>
  <si>
    <t>http://www.nbcbayarea.com/news/local/Livermore-Police-Shoot-Kill-Allegedly-Armed-Man-Who-Set-Mobile-Home-Ablaze-440886053.html</t>
  </si>
  <si>
    <t>Herbert Gilbert</t>
  </si>
  <si>
    <t>http://www.fatalencounters.org/wp-content/uploads/2013/10/Herbert-Gilbert.png</t>
  </si>
  <si>
    <t>419 Magnolia St.</t>
  </si>
  <si>
    <t>Thomasville</t>
  </si>
  <si>
    <t>Thomas County Sheriff's Office</t>
  </si>
  <si>
    <t>Police confirmed that a narcotics agent was attempting to serve a warrant at a residence when Gilbert was shot and killed, but little other information was released.</t>
  </si>
  <si>
    <t>http://www.timesenterprise.com/authorities-investigating-after-drug-squad-agent-shoots-suspect/article_40e33c80-81fa-11e7-9b38-573fc21d6f13.html</t>
  </si>
  <si>
    <t>Robert Bracewell</t>
  </si>
  <si>
    <t>http://www.fatalencounters.org/wp-content/uploads/2013/10/RobertBracewell.jpg</t>
  </si>
  <si>
    <t>San Juan Avenue and Lane Avenue South</t>
  </si>
  <si>
    <t>Robert Bracewell kidnapped a teenage girl at gunpoint and was fatally shot by two police officers after a chase. OnStar disabled the car, and he allegedly got out with a gun and was shot and killed.</t>
  </si>
  <si>
    <t>https://www.news4jax.com/news/local/jacksonville/sources-jso-officer-shoots-carjacking-suspect-on-westside</t>
  </si>
  <si>
    <t>Steven James Young</t>
  </si>
  <si>
    <t>http://www.fatalencounters.org/wp-content/uploads/2013/10/Steven-James-Young.jpg</t>
  </si>
  <si>
    <t>An employee from Walmart called police about a shoplifter at 11:30 p.m., police said. One officer responded to the shoplifting call. The officer identified the alleged shoplifter and chased him on foot. A second officer joined the pursuit, and the officers caught up with the suspect, and one of the officers shot and killed Steven Young, although what precipitated the killing was not disclosed immediately.</t>
  </si>
  <si>
    <t>http://www.denverpost.com/2017/08/15/colorado-springs-shoplifter-shooting/</t>
  </si>
  <si>
    <t>Christopher Collins</t>
  </si>
  <si>
    <t>Christopher Collins, a suspected carjacker, was shot and killed during a traffic stop. He allegedly pulled a gun on a deputy.</t>
  </si>
  <si>
    <t>http://www.wsbtv.com/news/local/suspect-shot-during-traffic-stop-in-clarkesville/590311249</t>
  </si>
  <si>
    <t>Roger Burzinski</t>
  </si>
  <si>
    <t>Eighth Street and Johnson Street</t>
  </si>
  <si>
    <t>La Crosse</t>
  </si>
  <si>
    <t>La Crosse Police Department</t>
  </si>
  <si>
    <t>A man allegedly carjacked a vehicle with a child in it, fled, crashed and was shot and killed by police when he refused to obey orders.</t>
  </si>
  <si>
    <t>http://lacrossetribune.com/news/local/crime-and-courts/la-crosse-police-officers-shoot-man-officers-say-stole-suv/article_25d240ca-decb-57a3-8a36-b79be10b2c9a.html</t>
  </si>
  <si>
    <t>Carmen William Rongione</t>
  </si>
  <si>
    <t>http://www.fatalencounters.org/wp-content/uploads/2013/10/carmen-beau-rongione.jpg</t>
  </si>
  <si>
    <t>Cosby</t>
  </si>
  <si>
    <t>Cocke</t>
  </si>
  <si>
    <t>Cocke County Sheriff's Office</t>
  </si>
  <si>
    <t>Carmen Beau Rongione allegedly threatened Lt. Chris Gregg and his dog with a machete before being shot and killed. Rongione was wanted on active warrants for criminal trespassing and failure to appear in court.</t>
  </si>
  <si>
    <t>http://www.knoxnews.com/story/news/crime/2017/08/13/tbi-responds-officer-involved-shooting-cocke-county/563756001/</t>
  </si>
  <si>
    <t>Hussein D. Hassan</t>
  </si>
  <si>
    <t>W 10th Ave &amp; S Olympia St</t>
  </si>
  <si>
    <t>Witnesses told police they saw a man walking north on Olympia street with a sword at 6:38 Sunday night. The caller told police the man was trying to hide the sword with a newspaper. Officer Joshua Kuhn and Officer Jason Kiel responded around 6:40 p.m. They arrived simultaneously, and one got out, and he went to talk to Hussein Hassan, who allegedly rushed that officer and struck him in the head, and both officers shot and killed him.</t>
  </si>
  <si>
    <t>http://www.nbcrightnow.com/story/36128512/one-dead-after-officer-involved-shooting-in-kennewick</t>
  </si>
  <si>
    <t>sword</t>
  </si>
  <si>
    <t>Patrick Harmon</t>
  </si>
  <si>
    <t>1002 S. State St.</t>
  </si>
  <si>
    <t>Police said they stopped Patrick Harmon for questioning, and he threatened them with a weapon before he was shot and killed.</t>
  </si>
  <si>
    <t>http://gephardtdaily.com/local/man-killed-in-officer-involved-shooting-in-downtown-salt-lake-city/</t>
  </si>
  <si>
    <t>Relvy Rodriguez-Palenzuela</t>
  </si>
  <si>
    <t>6425 Miami Lakeway N</t>
  </si>
  <si>
    <t>Miami Lakes</t>
  </si>
  <si>
    <t>Miami police officer Rafael Horta fatally shot Relvy Rodriguez-Palenzuela who had stabbed Yurine Rodriguez-Perez, 27, according to police. Police said Horta was on his way home from work when he came upon Rodriguez-Palenzuela attacking Rodriguez-Perez.</t>
  </si>
  <si>
    <t>http://www.miamiherald.com/news/local/crime/article166972892.html</t>
  </si>
  <si>
    <t>Eduardo Navarrete</t>
  </si>
  <si>
    <t>Puyallup</t>
  </si>
  <si>
    <t>http://www.seattletimes.com/seattle-news/pierce-county-deputies-fatally-shoot-man-they-say-lunged-at-them-with-knife/</t>
  </si>
  <si>
    <t>Deputies were dispatched to serve a state warrant, in a joint operation with the Bureau of Alcohol, Tobacco, Firearms and Explosives, police said. They expected to find weapons and drugs in the apartment. Deputies arrived in an armored vehicle and announced their presence as they entered the apartment through the front door and windows. As deputies stepped into the residence, one of its occupants, a man, started firing at them with a long gun assault rifle. He was shot and killed.</t>
  </si>
  <si>
    <t>http://www.chron.com/neighborhood/pasadena/news/article/Harris-County-deputies-on-scene-of-11750103.php</t>
  </si>
  <si>
    <t>Tyrease Carlyle</t>
  </si>
  <si>
    <t>http://www.fatalencounters.org/wp-content/uploads/2013/10/TyreaseCarlyle.jpg</t>
  </si>
  <si>
    <t>Police say they received a call from Tyrease Carlyle's mother who reported that her son was trying to steal her car. When police arrived, Carlyle fought with them, and allegedly tried to take two officers' guns before he was shot and killed. His sister, Monica Carlyle, said her brother had mental issues and wondered why police could not have handled the matter another way.</t>
  </si>
  <si>
    <t>http://6abc.com/man-killed-in-police-involved-shooting-in-north-philadelphia/2298172/</t>
  </si>
  <si>
    <t>Eric Paul Bogart</t>
  </si>
  <si>
    <t>Pacific Palisades</t>
  </si>
  <si>
    <t>http://www.dailynews.com/general-news/20170812/west-hollywood-man-found-dead-after-pacific-palisades-standoff-identified</t>
  </si>
  <si>
    <t>Mark P. Coffey</t>
  </si>
  <si>
    <t>http://www.fatalencounters.org/wp-content/uploads/2013/10/markCoffey.jpg</t>
  </si>
  <si>
    <t>3325 Sheffield Ave</t>
  </si>
  <si>
    <t>Dyer</t>
  </si>
  <si>
    <t>Crete Police Department</t>
  </si>
  <si>
    <t>The driver of a stolen car, Mark P. Coffey, was shot and killed after a chase that also left a pedestrian in Sauk Village hospitalized in critical condition.</t>
  </si>
  <si>
    <t>http://wgntv.com/2017/08/10/fatal-police-involved-shooting-in-dyer-after-chase-in-illinois/</t>
  </si>
  <si>
    <t>Eugene Nelson</t>
  </si>
  <si>
    <t>http://www.fatalencounters.org/wp-content/uploads/2013/10/Eugene-Nelson.jpg</t>
  </si>
  <si>
    <t>Officers responded after receiving reports that someone was violating a no-contact order related to a domestic violence case. Police say the suspect violated the order three times in the past couple of days. When officers tried to make contact, the 20-year-old man jumped into a stolen car, police said. He allegedly dragged an officer with the car, and two officers shot and killed him.</t>
  </si>
  <si>
    <t>http://www.king5.com/news/crime/kent-officer-involved-shooting-at-strip-mall/463015160</t>
  </si>
  <si>
    <t>Peter James Robbins</t>
  </si>
  <si>
    <t>http://www.fatalencounters.org/wp-content/uploads/2013/10/PeterRobbins.jpg</t>
  </si>
  <si>
    <t>1723 McFarland Rd</t>
  </si>
  <si>
    <t>Junction City</t>
  </si>
  <si>
    <t>Geary</t>
  </si>
  <si>
    <t>Officers responded to the Walmart parking lot. When they arrived, they found a man armed with two handguns on the sidewalk north of the parking lot. For most of the encounter, he had a gun to his temple and a gun pointed at the officers, police said. The subject was ordered to drop his weapons. He did not, and he was shot and killed.</t>
  </si>
  <si>
    <t>http://ksnt.com/2017/08/08/1-man-dead-after-officer-involved-shooting-in-junction-city/</t>
  </si>
  <si>
    <t>Darreon J. Neal</t>
  </si>
  <si>
    <t>http://www.fatalencounters.org/wp-content/uploads/2013/10/Darreon-J.-Neal.jpg</t>
  </si>
  <si>
    <t>I-94 &amp; Bishop Ford Fwy &amp; E 130th St</t>
  </si>
  <si>
    <t>Dolton police chased a stolen vehicle onto the Bishop Ford. When it crashed, two men fled on foot, and Darreon Neal was shot and killed.</t>
  </si>
  <si>
    <t>http://wgntv.com/2017/08/08/police-activity-blocks-lanes-on-bishop-ford/</t>
  </si>
  <si>
    <t>Winston Espino Sanchez</t>
  </si>
  <si>
    <t>1601 Union Turnpike</t>
  </si>
  <si>
    <t>North Bergen</t>
  </si>
  <si>
    <t>North Bergen Police Department</t>
  </si>
  <si>
    <t>Police responded to a 911 call reporting a fight on Union Turnpike at about 3:20 a.m., police said. When police arrived, they found two women—a 31-year-old from North Bergen and a 34-year-old from Guttenberg—with stab wounds. A third person, a 33-year-old man from Union City, was also stabbed. Winston Espino Sanchez was armed with an unspecified weapon when police used pepper spray in an attempt to stop him. The spray didn't work, and two officers then shot and killed Sanchez.</t>
  </si>
  <si>
    <t>http://www.northjersey.com/story/news/crime/2017/08/07/police-fatally-shoot-man-allegedly-involved-north-bergen-stabbing/544256001/</t>
  </si>
  <si>
    <t>Jose M. Ortiz</t>
  </si>
  <si>
    <t>http://www.fatalencounters.org/wp-content/uploads/2013/10/Jose-M.-Ortiz.png</t>
  </si>
  <si>
    <t>Police responded to a report of domestic violence. Jose Ortiz was armed with a knife and holding his 42-year-old girlfriend against her will. Ortiz was shot and killed.</t>
  </si>
  <si>
    <t>http://www.kake.com/story/36077448/man-dies-in-officer-involved-shooting-in-north-wichita</t>
  </si>
  <si>
    <t>Christopher K. Sales</t>
  </si>
  <si>
    <t>http://www.kshb.com/news/region-missouri/independence/suspect-hit-in-officer-involved-shooting-in-independence</t>
  </si>
  <si>
    <t>Kyle Andrew Lankford</t>
  </si>
  <si>
    <t>http://www.fatalencounters.org/wp-content/uploads/2013/10/Lankford.jpg</t>
  </si>
  <si>
    <t>Buckner Ridge Road and Bear Creek Road</t>
  </si>
  <si>
    <t>Bon Aqua</t>
  </si>
  <si>
    <t>Hickman</t>
  </si>
  <si>
    <t>Dickson Police Department</t>
  </si>
  <si>
    <t>Kyle Andrew Lankford was shot after a stolen-vehicle pursuit ended with Lankford pulling a knife and the officer shooting him, police said.</t>
  </si>
  <si>
    <t>http://www.tennessean.com/story/news/local/dickson/2017/08/06/dickson-officer-involved-shooting-hickman-county/543650001/</t>
  </si>
  <si>
    <t>Danatae Franklin</t>
  </si>
  <si>
    <t>Pablo Garcia Garcia</t>
  </si>
  <si>
    <t>2490 W Steele Ln</t>
  </si>
  <si>
    <t>http://www.pressdemocrat.com/news/7277681-181/man-shot-and-killed-by?artslide=0</t>
  </si>
  <si>
    <t>Timmy Wilson</t>
  </si>
  <si>
    <t>123 Main Street</t>
  </si>
  <si>
    <t>New Straitsville</t>
  </si>
  <si>
    <t>New Straitsville Police Department</t>
  </si>
  <si>
    <t>http://nbc4i.com/2017/08/05/person-dead-officer-injured-in-perry-county-shooting/</t>
  </si>
  <si>
    <t>Thomas Williams</t>
  </si>
  <si>
    <t>1450 W Sunrise Blvd</t>
  </si>
  <si>
    <t>Officers were called for reports of an unidentified person acting strangely in the middle of traffic just outside Carter Park. Police said Thomas Williams was putting themself and others in danger, and tried to place the individual in custody under the Baker Act. During the struggle, officers used pepper spray. Williams was transported to Broward General Medical Center where he was pronounced dead, police said.</t>
  </si>
  <si>
    <t>http://www.sun-sentinel.com/local/broward/fort-lauderdale/fl-sb-fort-lauderdale-death-investigation-20170805-story.html</t>
  </si>
  <si>
    <t>Aaron Payne</t>
  </si>
  <si>
    <t>1451 Turkey Ridge Rd</t>
  </si>
  <si>
    <t>A call for a possible suicidal individual ended with an officer shooting the suspect after the person brandished a weapon at police, police said.</t>
  </si>
  <si>
    <t>http://www.wmbfnews.com/story/36061921/man-shot-killed-by-police-in-incident-near-surfside-beach</t>
  </si>
  <si>
    <t>James Lacy</t>
  </si>
  <si>
    <t>Deputies shot and killed James Lacy who was allegedly armed with a fake gun, while they were serving an eviction notice, police said.</t>
  </si>
  <si>
    <t>http://www.nbcsandiego.com/news/local/Deputy-Involved-Shooting-San-Diego-Second-Avenue--438544133.html</t>
  </si>
  <si>
    <t>Melissa Wiseman</t>
  </si>
  <si>
    <t>Marine City</t>
  </si>
  <si>
    <t>Marine City Police Department</t>
  </si>
  <si>
    <t>http://www.thetimesherald.com/story/news/2017/08/06/sheriff-department-investigating-officer-involved-shooting/543499001/</t>
  </si>
  <si>
    <t>Joseph Miller</t>
  </si>
  <si>
    <t>PA-6 and PA-59</t>
  </si>
  <si>
    <t>Warren City Police Department</t>
  </si>
  <si>
    <t>A Warren city police officer conducted a traffic stop in the Dairy Delite parking lot at about 7:30 p.m. After pulling over, the man got out of his vehicle with a gun, and he was shot and killed, police said.</t>
  </si>
  <si>
    <t>http://www.goerie.com/news/20170804/state-police-probe-warren-officer-involved-shooting</t>
  </si>
  <si>
    <t>Jeremy Douglas Gabrial</t>
  </si>
  <si>
    <t>Fred Haguewood Rd</t>
  </si>
  <si>
    <t>Deputies were called to a home by a family, who were concerned about their well-being as well as that of a family member. When deputies arrived on the scene, the man came out of the house with a weapon, and he was shot and killed.</t>
  </si>
  <si>
    <t>http://www.clarionledger.com/story/news/2017/08/04/officials-lauderdale-county-deputy-involved-friday-shooting/540999001/</t>
  </si>
  <si>
    <t>Cory Stephens</t>
  </si>
  <si>
    <t>http://www.fatalencounters.org/wp-content/uploads/2013/10/CoryStephens.jpg</t>
  </si>
  <si>
    <t>Calle De La Plata and Echaniz Court</t>
  </si>
  <si>
    <t>Spanish Springs</t>
  </si>
  <si>
    <t>A deputy responded to a suspicious vehicle in a ditch when Cory Stephens and the deputy allegedly fought before the deputy shot and killed him.</t>
  </si>
  <si>
    <t>http://mynews4.com/news/local/suspect-dead-after-officer-involved-shooting-involving-washoe-county-sheriffs-deputy</t>
  </si>
  <si>
    <t>Garrell Byrd</t>
  </si>
  <si>
    <t>http://www.fatalencounters.org/wp-content/uploads/2013/10/Garrell-Byrd.jpg</t>
  </si>
  <si>
    <t>W 2nd St &amp; Moore Ave</t>
  </si>
  <si>
    <t>Kress</t>
  </si>
  <si>
    <t>Swisher</t>
  </si>
  <si>
    <t>Little information was released. An off-duty Swisher County Sheriff's Office deputy shot and killed Garrell Byrd.</t>
  </si>
  <si>
    <t>http://www.newswest9.com/story/36066838/texas-rangers-investigating-officer-involved-shooting-neighbors-shocked</t>
  </si>
  <si>
    <t>LAPD officers were called to a home where a female resident told an officer a man was inside, destroying property. Police said the man was armed, but it wasn't clear why officers shot and killed him.</t>
  </si>
  <si>
    <t>http://www.nbclosangeles.com/news/local/Man-Shot-and-Killed-LAPD-Pacific-Officer-Venice-438693073.html</t>
  </si>
  <si>
    <t>Keith Burkholder</t>
  </si>
  <si>
    <t>218 W. Michigan Ave.</t>
  </si>
  <si>
    <t>Lima</t>
  </si>
  <si>
    <t>Police were apparently searching Keith Burkholder's home when he was shot and killed. Little information was immediately released.</t>
  </si>
  <si>
    <t>https://limaohio.com/news/253996/allen-county-swat-officer-shoots-kills-man-during-search-warrant</t>
  </si>
  <si>
    <t>Preston Thornton</t>
  </si>
  <si>
    <t>http://www.fatalencounters.org/wp-content/uploads/2013/10/PrestonThornton.jpg</t>
  </si>
  <si>
    <t>1218 Banks Street</t>
  </si>
  <si>
    <t>Coushatta</t>
  </si>
  <si>
    <t>Red River</t>
  </si>
  <si>
    <t>Red River Parish Sheriff's Office</t>
  </si>
  <si>
    <t>Preston Thornton had called a veterans crisis hotline to request a transport. Deputies went to his home in response to a welfare concern, police said. There was an exchange of shots, and Thornton was killed.</t>
  </si>
  <si>
    <t>http://www.ksla.com/story/36031367/red-river-parish-sheriffs-deputy-injured-in-morning-shooting</t>
  </si>
  <si>
    <t>Jeffery Barboa</t>
  </si>
  <si>
    <t>http://www.fatalencounters.org/wp-content/uploads/2013/10/Jeffery-Barboa.jpg</t>
  </si>
  <si>
    <t>Police said Vallejo police officers were chasing a vehicle driven by an armed robbery suspect. The chase ended on the Richmond Parkway where Vallejo police officer opened fire on the suspect, killing him.</t>
  </si>
  <si>
    <t>http://sanfrancisco.cbslocal.com/2017/08/02/police-chase-fatal-shooting-suspect-richmond/</t>
  </si>
  <si>
    <t>Quintas Harris</t>
  </si>
  <si>
    <t>http://www.fatalencounters.org/wp-content/uploads/2013/10/Quintas-Harris.jpg</t>
  </si>
  <si>
    <t>1167 Maple Walk Circle</t>
  </si>
  <si>
    <t>Dekalb County Police Department</t>
  </si>
  <si>
    <t>A mentally ill man, Quintas Harris, allegedly fired at police when he was shot and killed. Police had been at the apartment earlier in the day.</t>
  </si>
  <si>
    <t>http://www.wsbtv.com/news/local/dekalb-county/police-officer-suspect-both-shot-during-incident-in-dekalb-county/580039870</t>
  </si>
  <si>
    <t>Philip Rhoades</t>
  </si>
  <si>
    <t>http://www.fatalencounters.org/wp-content/uploads/2013/10/PhilipRhodes.jpg</t>
  </si>
  <si>
    <t>Parrish Run Rd</t>
  </si>
  <si>
    <t>Worthington</t>
  </si>
  <si>
    <t>The Marion County Sheriff's Department was involved in a vehicle chase with a stolen Jeep Wrangler, police said. The chase ended when the driver of the Jeep, Philip Rhoades, was shot and killed by deputies.</t>
  </si>
  <si>
    <t>http://www.wvalways.com/story/36045963/new-info-police-investigate-shooting-involving-marion-county-sheriffs-deputy</t>
  </si>
  <si>
    <t>Kemonte Cobbs</t>
  </si>
  <si>
    <t>W 19th Ave and Hanley St</t>
  </si>
  <si>
    <t>Five people attempted to rob a Verizon store in Munster, Indiana. With police chasing them, the vehicle ran off the road, and Kemonte Cobbs fired at police, who shot and killed them.</t>
  </si>
  <si>
    <t>http://abc7chicago.com/15-year-old-boy-dies-day-after-being-shot-by-gary-police/2278534/</t>
  </si>
  <si>
    <t>DeLand</t>
  </si>
  <si>
    <t>Franklin Oden</t>
  </si>
  <si>
    <t>Police said 39-year-old Franklin Oden was a passenger in a car that was stopped for expired plates when he jumped out and took off running. Police chased after him and shot and killed him when he fired two rounds at an officer with a handgun.</t>
  </si>
  <si>
    <t>http://abc30.com/visalia-police-investigating-officer-involved-shooting-suspect-dies/2267141/</t>
  </si>
  <si>
    <t>Mikle Eugene Dixon</t>
  </si>
  <si>
    <t>157 Edwards Drive</t>
  </si>
  <si>
    <t>After an 11-hour standoff Mikle Eugene Dixon was fatally shot after threatening a hostage with a knife.</t>
  </si>
  <si>
    <t>http://mtairynews.com/news/53027/apparent-stand-off-unfolding-on-red-brush-road</t>
  </si>
  <si>
    <t>Mark Anthony Sanchez</t>
  </si>
  <si>
    <t>http://www.fatalencounters.org/wp-content/uploads/2013/10/Mark-Anthony-Sanchez.png</t>
  </si>
  <si>
    <t>9019 Marysville Rd</t>
  </si>
  <si>
    <t>Oregon House</t>
  </si>
  <si>
    <t>Mark Anthony Sanchez was involved in some sort of fight. Police found him at a home where he allegedly fired on them and was shot and killed.</t>
  </si>
  <si>
    <t>http://www.sacbee.com/news/local/crime/article164753172.html</t>
  </si>
  <si>
    <t>Miguel Salas</t>
  </si>
  <si>
    <t>Police apparently linked a stolen cellphone to a car Miguel Salas was driving. When they pulled him over, he argued and then pulled a gun, shooting at the officers when he was shot and killed.</t>
  </si>
  <si>
    <t>http://news3lv.com/news/local/shootout-suspect-died-from-bullet-fired-by-police-not-suicide</t>
  </si>
  <si>
    <t>Kerry Demars Bradley</t>
  </si>
  <si>
    <t>http://www.fatalencounters.org/wp-content/uploads/2013/10/Bradley-1.jpg</t>
  </si>
  <si>
    <t>North 23rd Street and Olive Avenue</t>
  </si>
  <si>
    <t>Police were trying to serve a search warrant to Kerry Bradly, who allegedly ran down an officer and was shot and killed, police said.</t>
  </si>
  <si>
    <t>http://www.wacotrib.com/news/police/waco-police-officer-suspect-hospitalized-after-suspect-runs-over-officer/article_c34a308f-bb93-5269-a179-8e7f54aeb9dd.html</t>
  </si>
  <si>
    <t>Christopher E. Clapp</t>
  </si>
  <si>
    <t>6223 Baltimore National Pike</t>
  </si>
  <si>
    <t>Dwayne Jeune</t>
  </si>
  <si>
    <t>https://thenypost.files.wordpress.com/2017/07/police_shooting-2.jpg?quality=90&amp;strip=all&amp;w=450</t>
  </si>
  <si>
    <t>1370 New York Ave</t>
  </si>
  <si>
    <t>Dwayne Jeune, who had a history of mental illness, was shot three or four times by police officers within seconds of their arrival after he allegedly charged at them with a 10-inch bread knife during a domestic disturbance. Officer Miguel Gonzalez opened fire after another cop tried to subdue Jeune with a Taser, “which proved to be ineffective,” police said. The same officer who killed Jeune also shot and wounded Davonte Pressley in October 2016.</t>
  </si>
  <si>
    <t>http://nypost.com/2017/07/31/nypd-cops-shoot-man-in-brooklyn/</t>
  </si>
  <si>
    <t>Robert Savelli</t>
  </si>
  <si>
    <t>http://www.fatalencounters.org/wp-content/uploads/2013/10/Robert-Savelli.png</t>
  </si>
  <si>
    <t>Vassar Dr and Phoenix Ave</t>
  </si>
  <si>
    <t>Robert Savelli was shot and killed during a traffic stop because he somehow threatened an officer, police said, releasing little information.</t>
  </si>
  <si>
    <t>http://www.kob.com/albuquerque-news/albuquerque-police-apd-officer-involved-shooting/4559828/</t>
  </si>
  <si>
    <t>Norberto Neiblas Reyes</t>
  </si>
  <si>
    <t>http://www.latimes.com/local/lanow/la-me-ln-los-banos-police-shooting-20170801-story.html</t>
  </si>
  <si>
    <t>Isaiah Tucker</t>
  </si>
  <si>
    <t>http://www.fatalencounters.org/wp-content/uploads/2013/10/tucker-433.jpg</t>
  </si>
  <si>
    <t>Oshkosh</t>
  </si>
  <si>
    <t>Oshkosh Police Department</t>
  </si>
  <si>
    <t>Police responded to a call from a resident who said a man was trying to take items from their home, along with their car. When police arrived on scene, they saw a vehicle crashed through the door of a garage and was stuck in the yard. Chief Smith says one officer tried to remove Isaiah Tucker when he accelerated toward the other officer, who opened fire, killing him.</t>
  </si>
  <si>
    <t>http://www.nbc26.com/news/dci-investigating-an-officer-involved-shooting-in-oshkosh</t>
  </si>
  <si>
    <t>Dennis W. Robinson</t>
  </si>
  <si>
    <t>Hardtrigger Rd</t>
  </si>
  <si>
    <t>Melba</t>
  </si>
  <si>
    <t>http://www.idahostatesman.com/news/local/article164353802.html</t>
  </si>
  <si>
    <t>W Parkridge Ave and 1st St</t>
  </si>
  <si>
    <t>A man was shot and killed by a Corona police officer in a shootout following a high-speed chase. At least two people were in the car during the chase, which began as officers responded to an assault with a deadly weapon call around 2:30 a.m. in Corona. The driver of a white sedan led officers to Norco before crashing, which is when the shootout began, and one of the people in the sedan was killed.</t>
  </si>
  <si>
    <t>http://www.nbclosangeles.com/news/local/Corona-Police-Fatal-Shooting-437344763.html</t>
  </si>
  <si>
    <t>Brian Skinner</t>
  </si>
  <si>
    <t>http://www.fatalencounters.org/wp-content/uploads/2013/10/Brian-Skinner.png</t>
  </si>
  <si>
    <t>10 Pashley Rd</t>
  </si>
  <si>
    <t>Glenville Police Department</t>
  </si>
  <si>
    <t>Brian Skinner charged at police who had come to his home regarding a domestic disturbance. He was armed with a gun.</t>
  </si>
  <si>
    <t>http://www.newyorkupstate.com/capital-region/2017/07/glenville_police_officer_shot_after_responding_to_domestic_dispute.html</t>
  </si>
  <si>
    <t>Rodney E. Jacobs</t>
  </si>
  <si>
    <t>44th St and Chestnut Ave</t>
  </si>
  <si>
    <t>Police were called on a report of a domestic disturbance, which was upgraded to a shots-fired call. A woman was involved in a fight with her boyfriend. The woman was able to escape. Negotiators were brought in to talk with the man. The man was shot and killed by officers after he raised the gun at them, police said.</t>
  </si>
  <si>
    <t>http://www.kmbc.com/article/police-investigate-officer-involved-shooting-near-44th-chestnut/10375933</t>
  </si>
  <si>
    <t>852 Las Garzas Rd SW</t>
  </si>
  <si>
    <t>A man attempted to break into homes, and eventually stole a car with people in it. The driver pinned a deputy to a light pole with the car and another shot and killed him.</t>
  </si>
  <si>
    <t>http://www.koat.com/article/deputy-involved-in-shooting-with-carjacking-suspect/10375696</t>
  </si>
  <si>
    <t>Sergio Velasco-Martinez</t>
  </si>
  <si>
    <t>Avenal</t>
  </si>
  <si>
    <t>Two officers were responding to a child custody complaint at Sergio Velasco-Martinez's apartment. He had his 1-and-a-half-year-old child sitting on the couch in the same room when he began to argue with police. Martinez was shot and killed during a fight, police said.</t>
  </si>
  <si>
    <t>http://abc30.com/news/suspect-killed-and-2-officers-injured-in-officer-involved-shooting-in-avenal/2253614/</t>
  </si>
  <si>
    <t>Matthew L. Folden</t>
  </si>
  <si>
    <t>http://www.fatalencounters.org/wp-content/uploads/2013/10/Matthew-L.-Folden.png</t>
  </si>
  <si>
    <t>1128 N Miller St</t>
  </si>
  <si>
    <t>Police responded to the scene after receiving a 911 call about a man screaming and brandishing a knife. The person who called police was apparently being approached by the man with the knife. One Wenatchee police officer shot and killed Matthew L. Folden.</t>
  </si>
  <si>
    <t>http://komonews.com/news/local/police-shoot-kill-screaming-man-with-knife-in-wenatchee</t>
  </si>
  <si>
    <t>Alejandro Alvarado</t>
  </si>
  <si>
    <t>Alameda Ave &amp; S 4th St</t>
  </si>
  <si>
    <t>Chowchilla</t>
  </si>
  <si>
    <t>Chowchilla Police Department, California Highway Patrol</t>
  </si>
  <si>
    <t>Chowchilla Police responded to a disturbance call around 11 p.m. When authorities arrived, they found Alejandro Alvarado had started a fire in the street's gutter. Alvarado also was armed with two knives and a cylindrical item, which he claimed was a bomb. Police and the Chowchilla Fire Department tried to subdue him by spraying him with a fire engine hose and by tasering him. Alvarado then allegedly charged at the officers, which resulted in one CHP officer and a Chowchilla Police officer to shoot and kill him.</t>
  </si>
  <si>
    <t>http://www.fresnobee.com/news/local/crime/article164132172.html</t>
  </si>
  <si>
    <t>Jerauld Phillip Hammond</t>
  </si>
  <si>
    <t>1738 Whitley Ave</t>
  </si>
  <si>
    <t>Police were called a report of an assault with a deadly weapon. Officers made contact with Jerauld Phillip Hammond and shot and killed him. Few details were immediately released.</t>
  </si>
  <si>
    <t>http://ktla.com/2017/07/27/barricaded-suspect-in-standoff-with-lapd-officers-at-motel-6-in-hollywood/</t>
  </si>
  <si>
    <t>Deltra Henderson</t>
  </si>
  <si>
    <t>670 Par Rd 244</t>
  </si>
  <si>
    <t>Louisiana Department of Corrections</t>
  </si>
  <si>
    <t>Deltra Henderson was missing from the David Wade Correctional Center in Claiborne Parish. He Had stolen a car and crashed it not far from the prison complex. Officers found Henderson hiding in a trailer on prison property and surrounded the building. Henderson opened fire, and officers returned fire, killing him. At some point in the escape, Henderson allegedly kidnapped and killed a woman.</t>
  </si>
  <si>
    <t>http://www.theadvocate.com/baton_rouge/news/crime_police/article_b66babf4-7386-11e7-ac75-fb824416e1e4.html</t>
  </si>
  <si>
    <t>Michael Fitzgerald</t>
  </si>
  <si>
    <t>http://www.fatalencounters.org/wp-content/uploads/2013/10/Michael-Fitzgerald.jpg</t>
  </si>
  <si>
    <t>12814 Mirado Ave</t>
  </si>
  <si>
    <t>Grand Terrace</t>
  </si>
  <si>
    <t>Michael Fitzgerald reportedly fired an assault rifle in his Grand Terrace neighborhood and was shot and killed by police during a standoff.</t>
  </si>
  <si>
    <t>http://www.sbsun.com/general-news/20170727/barricaded-suspect-shot-by-deputies-in-grand-terrace-neighbors-evacuated</t>
  </si>
  <si>
    <t>Andrew Collins</t>
  </si>
  <si>
    <t>3435 W Deer Valley Rd</t>
  </si>
  <si>
    <t>Phoenix police officers were in the area of 35th Avenue and Deer Valley Road when they observed Andrew Collins on a bicycle. Police attempted to get the man to stop. As they approached him, he turned and began firing a weapon at the officers and was shot and killed.</t>
  </si>
  <si>
    <t>http://www.azfamily.com/story/35972281/35-year-old-suspect-dead-after-phoenix-officer-involved-shooting</t>
  </si>
  <si>
    <t>Giovani Casiano</t>
  </si>
  <si>
    <t>Two officers were attempting to arrest three men on suspicion of burglary. Two men fought, a third got out and fired on officers, one of whom was wounded. Giovani Casiano was killed.</t>
  </si>
  <si>
    <t>https://www.ksat.com/news/sapd-officer-shot-suspect-dead-in-west-side-shootout</t>
  </si>
  <si>
    <t>Susan Teel</t>
  </si>
  <si>
    <t>http://www.fatalencounters.org/wp-content/uploads/2013/10/Teel.jpg</t>
  </si>
  <si>
    <t>http://www.tcpalm.com/story/news/crime/indian-river-county/2017/07/27/officials-scene-incident-south-vero-beach/515105001/</t>
  </si>
  <si>
    <t>Kesharn K. Burney</t>
  </si>
  <si>
    <t>North Dixie Drive and Frederick Pike</t>
  </si>
  <si>
    <t>http://wdtn.com/2017/07/26/reports-police-involved-in-shooting-wednesday-morning/</t>
  </si>
  <si>
    <t>Alexander J. Schoessel</t>
  </si>
  <si>
    <t>http://www.fatalencounters.org/wp-content/uploads/2013/10/Alexander-J.-Schoessel.jpg</t>
  </si>
  <si>
    <t>218 E Main St</t>
  </si>
  <si>
    <t>Police had been receiving reports that the armed man—who was wearing a kilt, combat-style boots and no shirt—had been wandering in other parts of downtown and Shockoe Slip. When officers encountered the man, they ordered him to drop his weapons. Police used a Taser, but when that was not effective, two officers shot and killed him.</t>
  </si>
  <si>
    <t>http://www.richmond.com/news/local/crime/police-suspect-wielding-knife-ax-killed-after-confrontation-with-officers/article_50245fb9-761d-5423-9abc-bad546c8ef13.html</t>
  </si>
  <si>
    <t>Michael Joseph Harris</t>
  </si>
  <si>
    <t>Old Middleburg Road N. and Buttercup Street</t>
  </si>
  <si>
    <t>An officer spotted Michael Harris in a vehicle that was wanted in connection to two local bank robberies. Harris exited the original vehicle and got into a small silver car being driven by a woman and took off. As police pursued the Harris, he began leaning out of the back windows, shooting at the officers. Officer Jeremy Mason was struck in the chin by a bullet that came in through his windshield but continued to pursue Harris. The chase ended at Old Middleburg Road N. and Buttercup Street when Harris' car blew through a stop sign and another car, unrelated to the incident, crashed into it. Harris got out of his car and was instructed to drop his weapon, he did not and shot at the officers, who shot and killed him.</t>
  </si>
  <si>
    <t>http://www.firstcoastnews.com/news/crime/jso-officer-suspect-shot-after-chase-on-the-westside/459455290</t>
  </si>
  <si>
    <t>Moises Balladares</t>
  </si>
  <si>
    <t>http://www.fatalencounters.org/wp-content/uploads/2013/10/moises.jpg</t>
  </si>
  <si>
    <t>W Indian School Rd &amp; N 111th Ave</t>
  </si>
  <si>
    <t>Police responded to a call of suicide just after 8 p.m. According to Avondale police, officers contacted Moises Balladares, who was threatening suicide. At some point during the negotiations, police said Balladares produced a weapon, and officers shot and killed him.</t>
  </si>
  <si>
    <t>http://www.azfamily.com/story/35975843/dps-investigating-after-deadly-officer-involved-shooting-in-avondale</t>
  </si>
  <si>
    <t>Aries Clark</t>
  </si>
  <si>
    <t>http://www.fatalencounters.org/wp-content/uploads/2013/10/Aries-Clark.png</t>
  </si>
  <si>
    <t>104 Cypress Avenue</t>
  </si>
  <si>
    <t>Aries Clark was fatally shot at an emergency shelter for youth in Marion. Police released no details about what led to the fatal shooting or why officers were called to the shelter in the first place.</t>
  </si>
  <si>
    <t>http://katv.com/news/local/officer-involved-shooting-in-marion-injures-teenager</t>
  </si>
  <si>
    <t>Jerrod Kershaw</t>
  </si>
  <si>
    <t>http://www.fatalencounters.org/wp-content/uploads/2013/10/Jerrod-Kershaw.png</t>
  </si>
  <si>
    <t>I-55 and I-270</t>
  </si>
  <si>
    <t>http://www.stltoday.com/news/local/crime-and-courts/police-standoff-on-interstate-over-traffic-still-being-rerouted/article_3b788508-5351-5992-b1b9-66de82ca00e7.html</t>
  </si>
  <si>
    <t>Michael Caponigro</t>
  </si>
  <si>
    <t>A man was shot after he fired at police officers through a window of the residence during a standoff. Police had responded to reports of a hostile man with a weapon.</t>
  </si>
  <si>
    <t>http://www.wqow.com/story/35948705/2017/07/Saturday/heavy-police-presence-on-woodford-ct-in-eau-claire</t>
  </si>
  <si>
    <t>Ismael Lopez Rodriquez</t>
  </si>
  <si>
    <t>http://www.fatalencounters.org/wp-content/uploads/2013/10/Ismael-Lopez-Rodriquez.png</t>
  </si>
  <si>
    <t>Claudia Linares and her husband, Ismael Lopez, were asleep in their bed when they heard their dogs barking and saw police cars outside. Linares said her husband opened the door and that's when police opened fire. She said she heard three shots before running outside to find her husband face down on the ground. She said her husband did not have a gun. Police tell a different version of the story, but admit they may have been at the wrong house.</t>
  </si>
  <si>
    <t>http://www.wmcactionnews5.com/story/35955401/mbi-investigates-officer-involved-shooting-in-southaven</t>
  </si>
  <si>
    <t>Tyler Scott Rushing</t>
  </si>
  <si>
    <t>601 Main St</t>
  </si>
  <si>
    <t>Officers shot and killed a man after an alleged break-in when he allegedly slashed at them with a knife, wounding two..</t>
  </si>
  <si>
    <t>http://www.chicoer.com/general-news/20170724/chico-police-officer-fatally-shoots-man-in-downtown-burglary-investigation</t>
  </si>
  <si>
    <t>Walter H. Lynde</t>
  </si>
  <si>
    <t>http://www.fatalencounters.org/wp-content/uploads/2013/10/walter-lynde.jpg</t>
  </si>
  <si>
    <t>160 Northwest Rd</t>
  </si>
  <si>
    <t>Spencer Police Department</t>
  </si>
  <si>
    <t>Officers attempted to stop a vehicle involved in an earlier domestic dispute. The vehicle gave way to a short pursuit before pulling into a driveway along Northwest Road. Walter H. Lynde allegedly exited the vehicle and pointed a possible firearm at police officers, who shot and killed him.</t>
  </si>
  <si>
    <t>http://www.nbcboston.com/news/local/One-Shot-in-Spencer-Massachusetts-436201133.html</t>
  </si>
  <si>
    <t>Keith Wade</t>
  </si>
  <si>
    <t>http://www.fatalencounters.org/wp-content/uploads/2013/10/Keith-Wade.jpg</t>
  </si>
  <si>
    <t>A man was wearing body armor, a mask and brandishing a handgun was fatally shot by Arlington police after confronting an officer in a residential neighborhood. He was killed following a short pursuit. It was not clear if the suspect fired his weapon before being fatally shot by the police.</t>
  </si>
  <si>
    <t>http://www.star-telegram.com/news/local/community/arlington/article161616958.html</t>
  </si>
  <si>
    <t>Yahir Brito Lucero</t>
  </si>
  <si>
    <t>http://www.fatalencounters.org/wp-content/uploads/2013/10/Yahir-Brito-Lucero.png</t>
  </si>
  <si>
    <t>Yahir Brito Lucero was fatally shot by Santa Ana police responding to a family dispute, police said. Officers received initial reports that someone had been assaulted by a family member. Brito allegedly threatened police with a knife.</t>
  </si>
  <si>
    <t>http://www.ocregister.com/2017/07/21/man-shot-killed-by-santa-ana-police-during-family-dispute/</t>
  </si>
  <si>
    <t>Vicente Velasquez</t>
  </si>
  <si>
    <t>http://www.fatalencounters.org/wp-content/uploads/2013/10/Vicente-Velasquez.jpg</t>
  </si>
  <si>
    <t>1300 Aldea St.</t>
  </si>
  <si>
    <t>Police responded to a shots-fired complaint. When they arrived, allegedly Vicente Velasquez engaged them in a gunfight and was shot and killed.</t>
  </si>
  <si>
    <t>http://valleycentral.com/news/local/42-year-old-man-killed-in-gunfire-exchange-with-mission-police</t>
  </si>
  <si>
    <t>Martin Louis Avena</t>
  </si>
  <si>
    <t>Chino Valley</t>
  </si>
  <si>
    <t>https://www.dcourier.com/news/2017/jul/26/man-shot-police-during-traffic-stop-dies-phoenix-a/</t>
  </si>
  <si>
    <t>Joshua D. Daniels</t>
  </si>
  <si>
    <t>12009 MO-86</t>
  </si>
  <si>
    <t>Neosho</t>
  </si>
  <si>
    <t>Neosho Police Department</t>
  </si>
  <si>
    <t>http://www.kspr.com/content/news/435579933.html</t>
  </si>
  <si>
    <t>Isaiah Perkins</t>
  </si>
  <si>
    <t>http://www.fatalencounters.org/wp-content/uploads/2013/10/Isaiah-Perkins.jpg</t>
  </si>
  <si>
    <t>A St. Louis police officer shot and killed Isaiah Perkins when he allegedly jumped from a stolen vehicle that crashed after fleeing police, police said. He struggled with two officers and then pointed a gun at them before one of the officers shot and killed him.</t>
  </si>
  <si>
    <t>http://www.stltoday.com/news/local/crime-and-courts/suspect-fatally-shot-by-st-louis-police/article_951c9279-d31f-55c7-8b72-759f99e1d3db.html</t>
  </si>
  <si>
    <t>Daniel Cash</t>
  </si>
  <si>
    <t>1991 Crossroads Church Road</t>
  </si>
  <si>
    <t>Haralson</t>
  </si>
  <si>
    <t>Detective Mike Hill with the Paulding County Sheriff's Office Hill stepped outside his home and confronted Daniel Cash, according to police. Allegedly Cash was belligerent in some way, and Hill shot and killed him.</t>
  </si>
  <si>
    <t>http://www.cbs46.com/story/35943824/gbi-detective-shoots-kills-man-on-his-property</t>
  </si>
  <si>
    <t>Sacramento County Sheriff's Department, Fulton-El Camino Recreation and Parks District</t>
  </si>
  <si>
    <t>http://www.sacbee.com/news/local/crime/article162574918.html</t>
  </si>
  <si>
    <t>Anthony Benavidez</t>
  </si>
  <si>
    <t>http://www.fatalencounters.org/wp-content/uploads/2013/10/Anthony-Benavidez.png</t>
  </si>
  <si>
    <t>2218 Miguel Chavez Rd</t>
  </si>
  <si>
    <t>Anthony Benavidez was being evicted from an apartment when he was shot and killed after Santa Fe police, responding to reports alleging that he had stabbed someone and barricaded himself inside the apartment, entered the unit, police said.</t>
  </si>
  <si>
    <t>http://www.santafenewmexican.com/news/local_news/stabbing-suspect-killed-in-officer-involved-shooting/article_91129d50-6caa-11e7-9509-8f022341c725.html</t>
  </si>
  <si>
    <t>Farhad Jabbari</t>
  </si>
  <si>
    <t>http://www.fatalencounters.org/wp-content/uploads/2013/10/Farhad-Jabbari.png</t>
  </si>
  <si>
    <t>W Michigan and Leo St</t>
  </si>
  <si>
    <t>Saginaw Township Police Department</t>
  </si>
  <si>
    <t>Farhad Jabbari was able to move his cuffed arms from behind his back to the front of his body as he was sitting in the back of a Saginaw Township police cruiser, police said. When two officers apparently tried to recuff him, something happened. Jabbari was killed and an officer shot, but who shot the police officer, or why Jabbari was killed, weren't immediately released.</t>
  </si>
  <si>
    <t>http://www.mlive.com/news/saginaw/index.ssf/2017/07/man_killed_in_traffic_stop_alt.html</t>
  </si>
  <si>
    <t>Daniel Thomas Reid</t>
  </si>
  <si>
    <t>http://www.fatalencounters.org/wp-content/uploads/2013/10/Daniel-Thomas-Reid.jpg</t>
  </si>
  <si>
    <t>6384 Clay-Palmerdale Road</t>
  </si>
  <si>
    <t>According to police, an elderly woman and her son who live together in a mobile home called their landlord to report that the landlord's son, Daniel Thomas Reid, was harassing them and threatening them with a gun. After speaking with the tenants, deputies went to the man's property to speak with him about the situation, and he was allegedly combative. Police tasered him twice, then shot and killed him after being tasered didn't immobilize him.</t>
  </si>
  <si>
    <t>http://abc3340.com/news/local/one-person-dead-following-jefferson-county-deputy-involved-shooting</t>
  </si>
  <si>
    <t>Robert "Bob" Earl Vaughan</t>
  </si>
  <si>
    <t>http://www.fatalencounters.org/wp-content/uploads/2013/10/Vaughan.jpg</t>
  </si>
  <si>
    <t>Neighbors called police to report that Vaughn was shooting at a street light and in random directions. Vaughan reportedly told a neighbor who tried to speak with him that he wanted police to come and kill him, police said. They shot and killed him during a standoff. Police were acquainted with Vaughan because he'd threatened suicide before.</t>
  </si>
  <si>
    <t>http://registerguard.com/rg/news/local/35777958-75/story.csp#.WW46GQXy7sQ.twitter</t>
  </si>
  <si>
    <t>Mark Allen Smith</t>
  </si>
  <si>
    <t>640 N Main St</t>
  </si>
  <si>
    <t>A Sonic employee called police to report a suspicious vehicle parked behind the restaurant at about 12:45 a.m. Two officers, one from Eagar and one from Springerville, responded to the call. The officers approached the vehicle and saw an armed man and a woman in the car. When Mark Smith stepped out of the vehicle, he had a gun and was shot and killed.</t>
  </si>
  <si>
    <t>http://www.wmicentral.com/news/apache_county/man-with-gun-shot-by-police-in-eagar/article_f4e84df7-a63a-5f93-a3a3-0056aa4d3ac7.html</t>
  </si>
  <si>
    <t>India Nelson</t>
  </si>
  <si>
    <t>1901 Admiral Taussig Blvd</t>
  </si>
  <si>
    <t>Norfolk Police arrived near Admiral Taussig Blvd. and Hammond Avenue for a motor vehicle accident around 7 p.m. When police arrived, India Nelson pulled out a gun and shot her husband. Officers shot and killed her.</t>
  </si>
  <si>
    <t>http://www.13newsnow.com/news/police-investigate-shooting-outside-of-naval-station-norfolk/457458135</t>
  </si>
  <si>
    <t>Ernesto S. Sedillo</t>
  </si>
  <si>
    <t>Arizona Avenue and Delta Drive</t>
  </si>
  <si>
    <t>Police responded to a call about suspicious activity. An officer found Ernesto S. Sedillo and shot at him when Sedillo allegedly pointed a gun. Later, police found Sedillo dead in the car.</t>
  </si>
  <si>
    <t>http://www.lcsun-news.com/story/news/crime/2017/07/17/man-dead-after-swat-standoff-police-las-cruces/486440001/</t>
  </si>
  <si>
    <t>Eric Wesley Clark</t>
  </si>
  <si>
    <t>Sperryville Pike and Griffinsburg Road</t>
  </si>
  <si>
    <t>http://www.fredericksburg.com/news/crime_courts/culpeper-deputies-shoot-driver-who-presented-deadly-threat/article_5a555c8e-6bbb-11e7-987b-279185929a69.html</t>
  </si>
  <si>
    <t>Jose Cazares</t>
  </si>
  <si>
    <t>http://www.fatalencounters.org/wp-content/uploads/2013/10/Jose-Cazares.jpg</t>
  </si>
  <si>
    <t>Police shot and killed Jose Cazares during a brief standoff that began after the man allegedly threatened to kill a 15-year-old girl, police said.</t>
  </si>
  <si>
    <t>http://www.mysanantonio.com/news/local/crime/article/Police-respond-to-shooting-on-West-Side-11293425.php</t>
  </si>
  <si>
    <t>Amanda Jensen</t>
  </si>
  <si>
    <t>http://www.fatalencounters.org/wp-content/uploads/2013/10/AmandaJensen.jpg</t>
  </si>
  <si>
    <t>121 7th St</t>
  </si>
  <si>
    <t>Seal Beach</t>
  </si>
  <si>
    <t>Los Alamitos Police Department</t>
  </si>
  <si>
    <t>The bodies of Capt. Rick Moore and Westminster City Clerk Amanda Jensen were found in Moore's apartment after police responded to a 911 call.</t>
  </si>
  <si>
    <t>http://www.presstelegram.com/general-news/20170717/2-bodies-found-in-seal-beach-apartment-are-that-of-a-los-alamitos-police-captain-and-westminsters-city-clerk</t>
  </si>
  <si>
    <t>12640 Memorial Way</t>
  </si>
  <si>
    <t>Police were called to a family disturbance and shot and killed a man who had a gun.</t>
  </si>
  <si>
    <t>http://www.pe.com/2017/07/15/moreno-valley-deputies-shoot-man-at-apartment-complex-grandma-says/</t>
  </si>
  <si>
    <t>Police were called to a fight between brothers. One cooperated, and one fled. After a chase in a car he stole at gunpoint, the man was shot and killed.</t>
  </si>
  <si>
    <t>https://www.dallasnews.com/news/crime/2017/07/15/suspect-killed-officer-involved-shooting-west-arlington</t>
  </si>
  <si>
    <t>Justine Maia Damond aka Justine Maia Ruszczyk</t>
  </si>
  <si>
    <t>http://www.fatalencounters.org/wp-content/uploads/2013/10/Justine.jpg</t>
  </si>
  <si>
    <t>5024 Washburn Avenue S</t>
  </si>
  <si>
    <t>http://www.startribune.com/woman-killed-in-officer-involved-shooting-in-south-minneapolis/434782213/#11</t>
  </si>
  <si>
    <t>Gerber Dieguez</t>
  </si>
  <si>
    <t>Haddon Ave and Carl St</t>
  </si>
  <si>
    <t>http://www.nbclosangeles.com/news/local/Pacoima-officer-shooting-434651253.html</t>
  </si>
  <si>
    <t>Luis Fransisco Vasquez</t>
  </si>
  <si>
    <t>http://www.fatalencounters.org/wp-content/uploads/2013/10/Luis-Fransisco-Vasquez.jpg</t>
  </si>
  <si>
    <t>22 AZ 77</t>
  </si>
  <si>
    <t>Globe</t>
  </si>
  <si>
    <t>U.S. Forest Service, San Carlos Apache Tribal Police Department</t>
  </si>
  <si>
    <t>Luis Fransisco Vasquez was shot after he fired at officers conducting a search in the area early in the morning. Officers were looking for the person who allegedly shot at a U.S. Forest Service employee in Forest Lakes earlier this month. Investigators believe Vasquez is that same person.</t>
  </si>
  <si>
    <t>http://www.azfamily.com/story/35893876/suspected-arsonist-who-shot-at-forest-service-worker-shot-killed-near-globe</t>
  </si>
  <si>
    <t>Chancy or Chancey Chamblee</t>
  </si>
  <si>
    <t>Brenda Doucette called 911 just before midnight to report her brother had a gun and was breaking into the home through a window. When deputies arrived, they made contact with Doucette's brother, Chancy Chamblee, who was still inside the home. He was shot and killed by a deputy. It was not immediately reported whether Chamblee was armed. Deputies found Doucette inside of the home with obvious signs of trauma. She died at the scene.</t>
  </si>
  <si>
    <t>http://www.kvoa.com/story/35884444/deputy-involved-shooting-leaves-one-man-dead-near-three-points</t>
  </si>
  <si>
    <t>Stephen Steele</t>
  </si>
  <si>
    <t>38339 Higginson Rd</t>
  </si>
  <si>
    <t>Deputies were called at 7:47 p.m. to a home in reference to a domestic disturbance. The caller said Stephen Steele was becoming violent with his girlfriend. Upon the deputies' arrival, Steele fled to a camper behind the house. Deputies said Steele was threatening to commit suicide with a knife. He cut his wrists and made slashing motions at his throat. Deputies said they tried to de-escalate the situation, but as they were trying to determine a plan of action, Steele charged at deputies with the knife, and one shot and killed him.</t>
  </si>
  <si>
    <t>http://www.wtsp.com/news/crime/pasco-deputies-say-they-shot-man-coming-at-them/456564152</t>
  </si>
  <si>
    <t>Pedro Rubio</t>
  </si>
  <si>
    <t>Dysart and McDowell Rd</t>
  </si>
  <si>
    <t>Pedro Rubio allegedly threatened a deputy with a knife after a rear-end wreck at a Goodyear shopping center. He was shot and killed.</t>
  </si>
  <si>
    <t>http://www.azfamily.com/story/35879923/suspect-wounded-in-deputy-involved-shooting-in-goodyear</t>
  </si>
  <si>
    <t>Dorsey Glenn Taulbee Jr.</t>
  </si>
  <si>
    <t>http://www.fatalencounters.org/wp-content/uploads/2013/10/Dorsey-Glenn-Taulbee-Jr.png</t>
  </si>
  <si>
    <t>Police officers trying to serve a warrant when Dorsey Taulbee fired a gun at them, police said. Officers shot and killed the man.</t>
  </si>
  <si>
    <t>http://newsok.com/article/5556016</t>
  </si>
  <si>
    <t>Kenneth Alan Eustace</t>
  </si>
  <si>
    <t>http://www.fatalencounters.org/wp-content/uploads/2013/10/Kenneth-Alan-Eustace.jpg</t>
  </si>
  <si>
    <t>Grover Beach</t>
  </si>
  <si>
    <t>Grover Beach Police Department</t>
  </si>
  <si>
    <t>Officers were dispatched to the Grover Beach home around 10:30 p.m. for reports of a man causing a disturbance. When they arrived, two officers approached the man who was holding an object. Police tasered the combative man and then shot and killed him.</t>
  </si>
  <si>
    <t>http://www.keyt.com/news/man-killed-in-grover-beach-officer-involved-shooting/586636266</t>
  </si>
  <si>
    <t>James Gerald Davis</t>
  </si>
  <si>
    <t>http://www.fatalencounters.org/wp-content/uploads/2013/10/James-Gerald-Davis.png</t>
  </si>
  <si>
    <t>1580 White Sands Dr</t>
  </si>
  <si>
    <t>Lake View</t>
  </si>
  <si>
    <t>James Gerald Davis was shot and killed by a Dillon County Sheriff's deputy, but little other information was released.</t>
  </si>
  <si>
    <t>http://wbtw.com/2017/07/12/sled-investigat-deadly-officer-involved-shooting-in-dillon-county/</t>
  </si>
  <si>
    <t>Randy Engstrom</t>
  </si>
  <si>
    <t>650 W Linmar Ln</t>
  </si>
  <si>
    <t>Johnson Creek</t>
  </si>
  <si>
    <t>Waukesha County Sheriff's Department, Delafield Police Department</t>
  </si>
  <si>
    <t>After a carjacking, a police chase and a gunbattle, Randy Engstrom was killed. Apparently, he had no clothes on.</t>
  </si>
  <si>
    <t>http://www.wisn.com/article/deputies-respond-to-reports-of-armed-naked-man-at-johnson-creek-outlet-mall/10290690</t>
  </si>
  <si>
    <t>Caleb Edward Blaylock</t>
  </si>
  <si>
    <t>4111 N Rancho Dr</t>
  </si>
  <si>
    <t>Allegedly, Blaylock attacked some men outside a pawnshop with a knife. When police arrived, he allegedly lunged at an officer and was shot and killed.</t>
  </si>
  <si>
    <t>https://lasvegassun.com/news/2017/jul/11/metro-police-shoot-wound-man-in-north-valley/</t>
  </si>
  <si>
    <t>Steve Scott</t>
  </si>
  <si>
    <t>Rice Rd</t>
  </si>
  <si>
    <t>Butler County Sheriff's Department</t>
  </si>
  <si>
    <t>Deputies arrived at a home on Rice Road to investigate a domestic disturbance. Scott reportedly showed up at the home, parked behind a cruiser and started cursing and being belligerent while still in his vehicle. Chief Deputy Wesley Popp tried to calm Scott down. Scott then allegedly pulled out a handgun. Popp shot and killed him.</t>
  </si>
  <si>
    <t>http://www.kfvs12.com/story/35862459/1-dead-in-officer-involved-shooting-in-butler-co-mo</t>
  </si>
  <si>
    <t>Golden Valley</t>
  </si>
  <si>
    <t>A man was wanted for questioning in connection with a drug search warrant conducted earlier that day. The man fled in a vehicle while the detectives pursued. The man stopped the vehicle in a field and fled on foot. Police found the man walking west on Earl Road with a handgun. As police approached, the man ran a short distance before stopping and allegedly shooting at the officers. A gun battle ensued, and the man was fatally shot.</t>
  </si>
  <si>
    <t>http://www.ktnv.com/news/crime/man-shot-killed-by-mohave-county-sheriffs-detectives</t>
  </si>
  <si>
    <t>Antonio Garcia Jr.</t>
  </si>
  <si>
    <t>1708 Rose Street</t>
  </si>
  <si>
    <t>http://www.kshb.com/news/crime/officer-involved-shooting-reported-in-leavenworth</t>
  </si>
  <si>
    <t>Gary Michael Haynes</t>
  </si>
  <si>
    <t>4845 S Laburnum Ave</t>
  </si>
  <si>
    <t>A customer was going through a Walgreens drive-thru to get prescriptions, and he or she saw someone jump the counter. The customer then called the police. The call came in for an armed robbery. Haynes fired a shot as police went inside the store. Haynes was later found dead of an apparent self-inflicted gunshot, police said.</t>
  </si>
  <si>
    <t>http://www.nbc12.com/story/35861349/police-suspect-takes-his-own-life-during-standoff-at-henrico-walgreens</t>
  </si>
  <si>
    <t>Gregory Shawn Thrower</t>
  </si>
  <si>
    <t>Goose Creek Road and 460th St</t>
  </si>
  <si>
    <t>Chisago</t>
  </si>
  <si>
    <t>Chisago County Sheriff's Office, Minnesota State Patrol</t>
  </si>
  <si>
    <t>Deputies shot and killed a carjacking suspect who had his 7-year-old daughter in the vehicle. The vehicle was disabled and in a remote field.</t>
  </si>
  <si>
    <t>http://kstp.com/news/suspect-dead-child-safe-north-branch-carjacking/4538090/</t>
  </si>
  <si>
    <t>Cody Ethan Mitchell</t>
  </si>
  <si>
    <t>http://www.fatalencounters.org/wp-content/uploads/2013/10/Cody-Mitchell.jpg</t>
  </si>
  <si>
    <t>13992 Penn Shop Road</t>
  </si>
  <si>
    <t>Police observed a burglary in progress and contacted the Frederick County Sheriff's Office. The Howard County police officers were instructed to conduct a traffic stop on the suspect's vehicle. During the traffic stop, the suspect vehicle rammed a Howard County police vehicle and drove toward officers who were out of their vehicles. Two officers fired, striking and killing the man. The woman driver was arrested.</t>
  </si>
  <si>
    <t>http://www.carrollcountytimes.com/news/mountairy/ph-cc-mount-airy-shooting-071017-20170710-story.html</t>
  </si>
  <si>
    <t>Ryan Allen Probst</t>
  </si>
  <si>
    <t>http://www.fatalencounters.org/wp-content/uploads/2013/10/RyanAllenProbst.jpg</t>
  </si>
  <si>
    <t>11599 Lela Ave NW</t>
  </si>
  <si>
    <t>Uniontown Police Department</t>
  </si>
  <si>
    <t>Police received a 911 call about a domestic disturbance at a residence. Ryan Allen Probst confronted two officers as soon as they arrived, and he fired several shots, and he was shot and killed.</t>
  </si>
  <si>
    <t>http://www.ohio.com/news/local/update-uniontown-police-officer-shot-repeatedly-while-responding-to-call-suspect-killed-1.779355</t>
  </si>
  <si>
    <t>Robert D. Yeiser</t>
  </si>
  <si>
    <t>5834 Ward Ave NE</t>
  </si>
  <si>
    <t>Bainbridge Island</t>
  </si>
  <si>
    <t>Bainbridge Island Police Department</t>
  </si>
  <si>
    <t>Robert Yeiser was allegedly on a sailboat in Eagle Habor. He was shooting at shoreline homes and officers who arrived, police said. Police tried to get him to surrender, using flash bangs and smoking devices. He emerged naked on the deck of his sailboat and aimed his rifle at officers and was shot to death.</t>
  </si>
  <si>
    <t>http://komonews.com/news/local/man-shot-to-death-on-bainbridge-sailboat-identified</t>
  </si>
  <si>
    <t>Brayant Alvarez</t>
  </si>
  <si>
    <t>Police arrived after a woman went to the Grand Central District police station and reported her son was holding his girlfriend and her child against their will. He was shot to death by Chicago police after running from police, jumping off a roof and firing at least two shots at officers, police said.</t>
  </si>
  <si>
    <t>http://www.chicagotribune.com/news/local/breaking/ct-police-involved-shooting-0710-20170709-story.html</t>
  </si>
  <si>
    <t>Edward Earl Taylor</t>
  </si>
  <si>
    <t>Police were called for a female being raped at gunpoint. Police said the 40-year-old victim sent a text to a cousin stating that she was being held at gunpoint by an acquaintance, and he attempted to rape her. When officers arrived, the victim ran out of the house and, as the officers entered, they were fired at by the male suspect, whom they shot and killed.</t>
  </si>
  <si>
    <t>http://www.cleveland19.com/story/35842182/akron-standoff-ends-with-a-man-dead?utm_content=buffera139f&amp;utm_medium=social&amp;utm_source=facebook.com&amp;utm_campaign=buffer</t>
  </si>
  <si>
    <t>405 Punkin Ct</t>
  </si>
  <si>
    <t>Two Maryland state troopers were off-duty and working security at a 24-hr. restaurant. One trooper shot and killed a man who may have been in a gunbattle moments before who allegedly pointed a gun at him. Michael T. Ward Jr. and Jaquan M. Griffin were killed. The trooper allegedly killed Ward. Moments later, Griffin staggered into the restaurant from the parking lot and collapsed on the floor and two friends took him in their car to Peninsula Regional Medical Center.</t>
  </si>
  <si>
    <t>http://www.wmdt.com/news/maryland/trooper-involved-in-fatal-shooting-in-wicomico-county/583039714</t>
  </si>
  <si>
    <t>Michael T. Ward</t>
  </si>
  <si>
    <t>Michael Anthony Rude</t>
  </si>
  <si>
    <t>http://www.fatalencounters.org/wp-content/uploads/2013/10/Michael-Anthony-Rude.jpg</t>
  </si>
  <si>
    <t>I-5 and Carpenter Road</t>
  </si>
  <si>
    <t>Michael Anthony Rude, a reservist with the Washington National Guard, was shot alongside Interstate 5 in Lacey, about a half-hour after police said he called 911 to say he had a knife and wanted to attack any police officer who pulled him over.</t>
  </si>
  <si>
    <t>http://www.seattletimes.com/seattle-news/man-killed-by-troopers-on-i-5-identified-as-guard-reservist/</t>
  </si>
  <si>
    <t>902 Lime St</t>
  </si>
  <si>
    <t>Crescent City</t>
  </si>
  <si>
    <t>http://jacksonville.com/news/metro/public-safety/2017-07-08/putnam-officers-shoot-kill-man-reportedly-armed-knife</t>
  </si>
  <si>
    <t>Tina Renee Medlin</t>
  </si>
  <si>
    <t>http://www.fatalencounters.org/wp-content/uploads/2013/10/Tina-Renee-Medlin.jpg</t>
  </si>
  <si>
    <t>I-40 and Godwin Lake Rd</t>
  </si>
  <si>
    <t>North Carolina State Highway Patrol, Johnston County Sheriff's Office</t>
  </si>
  <si>
    <t>http://www.newsobserver.com/news/local/counties/johnston-county/article160803469.html</t>
  </si>
  <si>
    <t>Kareem Ali Nadir Jones</t>
  </si>
  <si>
    <t>http://www.fatalencounters.org/wp-content/uploads/2013/10/Kareem-Ali-Nadir-Jones.png</t>
  </si>
  <si>
    <t>Franklinton</t>
  </si>
  <si>
    <t>http://www.dispatch.com/news/20170710/man-dies-after-officer-involved-shooting</t>
  </si>
  <si>
    <t>Gabriel Sage Barnes</t>
  </si>
  <si>
    <t>http://www.fatalencounters.org/wp-content/uploads/2013/10/GabrielSageBarnes.jpg</t>
  </si>
  <si>
    <t>Bob Wallace Avenue and Governors House Dr SW</t>
  </si>
  <si>
    <t>Priceville Police Department</t>
  </si>
  <si>
    <t>After a 34-mile stolen-car pursuit and a crash, the driver was shot and killed.</t>
  </si>
  <si>
    <t>http://whnt.com/2017/07/07/heavy-police-presence-at-governors-drive-and-i-565/</t>
  </si>
  <si>
    <t>Brian Easley</t>
  </si>
  <si>
    <t>http://www.fatalencounters.org/wp-content/uploads/2013/10/Brian-Easley.jpg</t>
  </si>
  <si>
    <t>2675 Windy Hill Road</t>
  </si>
  <si>
    <t>Brian Easley robbed a bank, took hostages and held police off for three hours before he was shot and killed by police.</t>
  </si>
  <si>
    <t>http://www.wsbtv.com/news/local/cobb-county/police-on-scene-of-bank-robbery-in-cobb-county/552567856</t>
  </si>
  <si>
    <t>Deepstep Road</t>
  </si>
  <si>
    <t>Deepstep</t>
  </si>
  <si>
    <t>Deputies were sent to a suspicious person call. Deputies found Euria Lee Martin walking on Deepstep Road.A fight began between Martin and the deputies, and Martin was tasered. Shortly after the shock, Martin appeared to be in respiratory distress and died.</t>
  </si>
  <si>
    <t>http://www.13wmaz.com/news/local/gbi-investigating-in-custody-death-of-milledgeville-man/455233793</t>
  </si>
  <si>
    <t>Clarksdale</t>
  </si>
  <si>
    <t>Coahoma</t>
  </si>
  <si>
    <t>Clarksdale Police Department</t>
  </si>
  <si>
    <t>DeJuan Guillory</t>
  </si>
  <si>
    <t>http://www.fatalencounters.org/wp-content/uploads/2013/10/DeJuan-Guillory.png</t>
  </si>
  <si>
    <t>Chad Ln</t>
  </si>
  <si>
    <t>Mamou</t>
  </si>
  <si>
    <t>Evangeline Parish Sheriff's Office</t>
  </si>
  <si>
    <t>http://klfy.com/2017/07/06/update-state-police-identify-person-killed-in-deputy-involved-shooting-in-mamou/</t>
  </si>
  <si>
    <t>Jesus Cervantes</t>
  </si>
  <si>
    <t>http://www.fatalencounters.org/wp-content/uploads/2013/10/Jesus-Cervantes.jpg</t>
  </si>
  <si>
    <t>1908 E Alsobrook Rd</t>
  </si>
  <si>
    <t>After a chase and the use of tire-pop sticks, Jesus Cervantes crashed and was shot and killed by police when he reached for an object.</t>
  </si>
  <si>
    <t>http://www.abcactionnews.com/news/region-hillsborough/police-investigate-an-officer-involved-shooting-in-plant-city</t>
  </si>
  <si>
    <t>http://www.fatalencounters.org/wp-content/uploads/2013/10/tiffany-potter.jpg</t>
  </si>
  <si>
    <t>1623 E 14th St</t>
  </si>
  <si>
    <t>Tiffany Lynn Potter fled a police stop, parked in a random driveway, ran while allegedly shooting a gun. She was shot and killed.</t>
  </si>
  <si>
    <t>http://www.desmoinesregister.com/story/news/crime-and-courts/2017/07/05/woman-injured-officer-involved-shooting-des-moines-east-side/450846001/</t>
  </si>
  <si>
    <t>James William Huskey</t>
  </si>
  <si>
    <t>http://www.fatalencounters.org/wp-content/uploads/2013/10/James-William-Huskey.png</t>
  </si>
  <si>
    <t>1006 S Robert Kerr Blvd</t>
  </si>
  <si>
    <t>Sallisaw</t>
  </si>
  <si>
    <t>Police started searching for Jamie Huskey, after he allegedly pistol whipped his sister and fired a shot into the wall of her home, police said. Deputies found him at a McDonald's and had a gunfight near the restaurant's bathrooms, police said. Huskey was killed.</t>
  </si>
  <si>
    <t>http://5newsonline.com/2017/07/05/fort-smith-police-searching-for-possibly-armed-and-dangerous-suspect/</t>
  </si>
  <si>
    <t>Carroll Tuttle Jr.</t>
  </si>
  <si>
    <t>https://bangordailynews.com/2017/07/05/news/mid-maine/three-killed-one-injured-in-madison-shootings/</t>
  </si>
  <si>
    <t>Jonathon Coronel</t>
  </si>
  <si>
    <t>http://www.fatalencounters.org/wp-content/uploads/2013/10/JonathanCoronel.png</t>
  </si>
  <si>
    <t>Deputies chased Jonathon Coronel with a warrant for a probation violation. According to witnesses, they caught up with him and shot him as he lay face-down on the ground. He was not armed.</t>
  </si>
  <si>
    <t>http://www.nbcsandiego.com/news/local/witness-to-Deputy-Involved-Shooting-says-suspect-was-surrendering-432814693.html</t>
  </si>
  <si>
    <t>Edwin J. "Beanie" Esker</t>
  </si>
  <si>
    <t>http://www.fatalencounters.org/wp-content/uploads/2013/10/Edwin-J.-Beanie-Esker.png</t>
  </si>
  <si>
    <t>Deputy was called to a home after receiving a report of a domestic disturbance. Shortly after arriving at the home, the deputy called for assistance. The deputy shot and killed Edwin J. Esker, but police have not said what prompted the deputy to kill Esker.</t>
  </si>
  <si>
    <t>http://www.kmov.com/story/35824040/suspect-dead-following-officer-involved-shooting-in-monroe-county</t>
  </si>
  <si>
    <t>Douglas West</t>
  </si>
  <si>
    <t>West Richland</t>
  </si>
  <si>
    <t>Deputy John Clary shot and killed Douglas West when he greeted officers responding to a domestic disturbance with a gun.</t>
  </si>
  <si>
    <t>http://www.tri-cityherald.com/news/local/crime/article159675924.html</t>
  </si>
  <si>
    <t>Tyrone Orvy Peabody</t>
  </si>
  <si>
    <t>Zepp Crouchet</t>
  </si>
  <si>
    <t>http://www.fatalencounters.org/wp-content/uploads/2013/10/Zepp.jpg</t>
  </si>
  <si>
    <t>Tyson Chad Williams</t>
  </si>
  <si>
    <t>2000 Thurmont Rd</t>
  </si>
  <si>
    <t>3800 Shady Valley Drive</t>
  </si>
  <si>
    <t>3800 Shady Valley Dr</t>
  </si>
  <si>
    <t>600 North 5th Avenue</t>
  </si>
  <si>
    <t>3700 Hazelwood Dr</t>
  </si>
  <si>
    <t>7400 Desert Morning SW</t>
  </si>
  <si>
    <t>100 Meridian Drive</t>
  </si>
  <si>
    <t>2100 N Street</t>
  </si>
  <si>
    <t>1200 S Garth St</t>
  </si>
  <si>
    <t>200 Firetree Lane</t>
  </si>
  <si>
    <t>5000 West Wolfram Street</t>
  </si>
  <si>
    <t>2200 S Kostner</t>
  </si>
  <si>
    <t>600 Middle Creek Road</t>
  </si>
  <si>
    <t>3200 E Bijou Ave</t>
  </si>
  <si>
    <t>10 Schultz Avenue</t>
  </si>
  <si>
    <t>3200 Champions Drive</t>
  </si>
  <si>
    <t>4500 Woodford Court</t>
  </si>
  <si>
    <t>12000 Colbarn Dr</t>
  </si>
  <si>
    <t>1000 Brighton Ave</t>
  </si>
  <si>
    <t>300 Rosewood Dr</t>
  </si>
  <si>
    <t>900 Ashland Boulevard</t>
  </si>
  <si>
    <t>1800 Blue Ridge Blvd</t>
  </si>
  <si>
    <t>600 Carriage Lake Way</t>
  </si>
  <si>
    <t>23600 104th Avenue SE</t>
  </si>
  <si>
    <t>2200 Hay Meadow Trail</t>
  </si>
  <si>
    <t>4100 W Tompkins Ave</t>
  </si>
  <si>
    <t>1300 Via Deste</t>
  </si>
  <si>
    <t>900 N Santa Fe Ave</t>
  </si>
  <si>
    <t>1600 Alta Mura Rd</t>
  </si>
  <si>
    <t>800 Venice Blvd</t>
  </si>
  <si>
    <t>2100 Gilbert Gonzalez Jr Drive</t>
  </si>
  <si>
    <t>1700 South Parker Street</t>
  </si>
  <si>
    <t>600 Alton Road</t>
  </si>
  <si>
    <t>5000 Highway 68</t>
  </si>
  <si>
    <t>1522 Mill St</t>
  </si>
  <si>
    <t>2900 W Via Corona</t>
  </si>
  <si>
    <t>9600 14th Bay Street</t>
  </si>
  <si>
    <t>100 N Leslie St</t>
  </si>
  <si>
    <t>2900 SW 23rd St</t>
  </si>
  <si>
    <t>300 Knapp St</t>
  </si>
  <si>
    <t>3100 Darien St</t>
  </si>
  <si>
    <t>7400 189th Street Court East</t>
  </si>
  <si>
    <t>8800 S Alice Vail Ln</t>
  </si>
  <si>
    <t>3200 Burgundy Drive</t>
  </si>
  <si>
    <t>2900 Applewood Drive</t>
  </si>
  <si>
    <t>11000 Fair Oaks Blvd</t>
  </si>
  <si>
    <t>6100 Ingram Road</t>
  </si>
  <si>
    <t>1800 Plaza del Sol</t>
  </si>
  <si>
    <t>8100 Lemon Grove Way</t>
  </si>
  <si>
    <t>3200 Camino Del Mar</t>
  </si>
  <si>
    <t>2000 Second Ave</t>
  </si>
  <si>
    <t>200 Knoll Road</t>
  </si>
  <si>
    <t>2400 S Olive St</t>
  </si>
  <si>
    <t>300 Russell Rd</t>
  </si>
  <si>
    <t>3700 Cork Place</t>
  </si>
  <si>
    <t>5800 Surrey Ln</t>
  </si>
  <si>
    <t>5900 S Mount Vernon Rd</t>
  </si>
  <si>
    <t>2300 6th Street</t>
  </si>
  <si>
    <t>6100 Laura Avenue</t>
  </si>
  <si>
    <t>3400 Richmond Pkwy</t>
  </si>
  <si>
    <t>1200 N Gowdy St</t>
  </si>
  <si>
    <t>1300 N Wellington Pl</t>
  </si>
  <si>
    <t>400 Palomino Road</t>
  </si>
  <si>
    <t>Black-White Dissimilarity Index (2010)</t>
  </si>
  <si>
    <t>Charged with negligent homicide, Acquitted</t>
  </si>
  <si>
    <t>Kellen J. Kyle</t>
  </si>
  <si>
    <t>http://www.fatalencounters.org/wp-content/uploads/2013/10/Kellen-Kelly-Kyle.jpg</t>
  </si>
  <si>
    <t>US-77&amp; OK-32 &amp; Memorial Dr</t>
  </si>
  <si>
    <t>Love</t>
  </si>
  <si>
    <t>Police said they got a call that a naked, intoxicated man was filming and swearing in front of kids at Marietta Landing on Lake Murray. Kyle was wearing shorts when he was encountered by law enforcement. Kyle took off down Scenic 77 in a maroon SUV. Police popped the tires, and the standoff ended when Kyle got out of the vehicle armed with a shotgun and was shot and killed.</t>
  </si>
  <si>
    <t>http://www.kxii.com/content/news/Suspect-killed-by-officers-in-Love-County-shooting-441328723.html</t>
  </si>
  <si>
    <t>Dennis Flowers</t>
  </si>
  <si>
    <t>Tyler D. Whitmire</t>
  </si>
  <si>
    <t>Thomas Selje</t>
  </si>
  <si>
    <t>Konstantin Morozov</t>
  </si>
  <si>
    <t>http://www.fatalencounters.org/wp-content/uploads/2013/10/Konstantin-Morozov.jpg</t>
  </si>
  <si>
    <t>Tarzana</t>
  </si>
  <si>
    <t>http://www.ocregister.com/2017/08/22/man-shot-killed-by-police-in-encino-believed-to-be-suspect-in-murder-child-abduction/</t>
  </si>
  <si>
    <t>Mark Aaron Jensen</t>
  </si>
  <si>
    <t>http://www.fatalencounters.org/wp-content/uploads/2013/10/Mark-Aaron-Jensen.jpg</t>
  </si>
  <si>
    <t>http://www.abc10.com/news/local/armed-man-killed-in-butte-county-officer-involved-shooting/466769163</t>
  </si>
  <si>
    <t>Robert Earl Adams</t>
  </si>
  <si>
    <t>Robert Earl Adams was shot and killed by county sheriff's deputies after allegedly robbing a CoastHills Credit Union in Orcutt. Adams was allegedly armed with four-and-a-half-inch steak knife. He allegedly refused to follow orders and would not drop the knife, police said. Adams advanced toward the sheriff's deputy and was killed.</t>
  </si>
  <si>
    <t>http://santamariatimes.com/news/local/crime-and-courts/orcutt-bank-robbery-suspect-shot-by-sheriff-s-deputies-dies/article_c5febe56-23cc-5469-a666-5d5e77b38fdd.html</t>
  </si>
  <si>
    <t>Kenny "Kiwi" Herring</t>
  </si>
  <si>
    <t>http://www.fatalencounters.org/wp-content/uploads/2013/10/K.-Kiwi-Herring.png</t>
  </si>
  <si>
    <t>Saint Louis</t>
  </si>
  <si>
    <t>Police said an officer shot and killed a transgender woman named Kenneth “Kiwi” Herring, who had stabbed an officer inside an apartment. A relative, Crevonda Nance, said police killed Herring shortly after responding to the latest dispute in an ongoing feud between Herring and neighbors.</t>
  </si>
  <si>
    <t>http://www.stltoday.com/news/local/crime-and-courts/man-shot-to-death-by-st-louis-officer-in-hamilton/article_eda69e0b-6779-544f-963e-43cf41dd5972.html</t>
  </si>
  <si>
    <t>Henry Rivera Sr.</t>
  </si>
  <si>
    <t>Unser Blvd NW &amp; Irving Blvd NW</t>
  </si>
  <si>
    <t>Rio Rancho Police Department</t>
  </si>
  <si>
    <t>Police were called to the Walmart Supercenter for a shooting. The officers tracked Henry Rivera to a house in Albuquerque. Shortly thereafter, the suspect fled the residence, threatening officers, and a short vehicle pursuit began, during which the man rammed a Rio Rancho Police Department vehicle, and threatened officers with a firearm when he was shot and killed.</t>
  </si>
  <si>
    <t>http://www.rrobserver.com/news/article_66b640a6-8790-11e7-b07a-67ed9fc091ed.html</t>
  </si>
  <si>
    <t>Armando Vigil</t>
  </si>
  <si>
    <t>1198 Sheridan Blvd</t>
  </si>
  <si>
    <t>Regional Transportation District Transit Police</t>
  </si>
  <si>
    <t>Armando Vigil was killed at the Sheridan Boulevard rail stop after he pointed a gun at two RTD police who found him lying on a lawn and were checking on his welfare.</t>
  </si>
  <si>
    <t>http://www.denverpost.com/2017/08/25/rtd-light-rail-shooting-suicide-by-cop/</t>
  </si>
  <si>
    <t>Ciara Howard</t>
  </si>
  <si>
    <t>http://www.fatalencounters.org/wp-content/uploads/2013/10/Ciara-Howard.jpg</t>
  </si>
  <si>
    <t>Park St and Keeler St</t>
  </si>
  <si>
    <t>Olathe Police Department, Johnson County Sheriff's Office</t>
  </si>
  <si>
    <t>Police shot and killed Ciara Howard while serving a search warrant.</t>
  </si>
  <si>
    <t>http://www.kshb.com/news/local-news/one-person-shot-in-olathe-after-police-standoff</t>
  </si>
  <si>
    <t>Isaias Raziel Ochoa</t>
  </si>
  <si>
    <t>Rebecca Way</t>
  </si>
  <si>
    <t>Isaias Raziel Ochoa was shot and killed after a chaotic chase. The initial contact happened when a La Mesa police officer saw some odd activity in a gray Ford sedan stopped at a green light at Fletcher Parkway and Baltimore Drive.</t>
  </si>
  <si>
    <t>http://www.sandiegouniontribune.com/news/public-safety/sd-me-lemon-grove-ois-20170824-story.html</t>
  </si>
  <si>
    <t>Colton Puckett</t>
  </si>
  <si>
    <t>http://www.fatalencounters.org/wp-content/uploads/2013/10/Puckett.jpg</t>
  </si>
  <si>
    <t>Waterford Township</t>
  </si>
  <si>
    <t>Waterford Police Department</t>
  </si>
  <si>
    <t>Waterford Police received a 911 call of a domestic dispute. The female caller reported she had left the residence after being assaulted by her husband. Officers responded to the home and were able to establish contact by phone with the husband, Colton Puckett. During those conversations, he threatened to kill officers, burn down his house, and kill himself. Sporadic phone contact continued. Shortly after the last phone contact, the subject exited the house with a shotgun. He walked through the side tree line and charged an officer at which time he was shot and killed. Puckett was a veteran who reportedly suffered from PTSD.</t>
  </si>
  <si>
    <t>https://www.clickondetroit.com/news/man-shot-killed-by-police-after-standoff-in-waterford-township</t>
  </si>
  <si>
    <t>Scott Mayfield</t>
  </si>
  <si>
    <t>Main St &amp; Lincoln Ave</t>
  </si>
  <si>
    <t>Essex County Sheriff's Office</t>
  </si>
  <si>
    <t>Police shot and killed a suspected bank robber. At around 5:28 p.m., there was a report of a robbery at the PNC Bank branch in Orange, New Jersey. Police caught up with someone and shot and killed him because he allegedly had a gun.</t>
  </si>
  <si>
    <t>http://abc7ny.com/police-fatally-shoot-bank-robbery-suspect-in-orange/2339091/</t>
  </si>
  <si>
    <t>Daniel Edward Blyler</t>
  </si>
  <si>
    <t>http://www.fatalencounters.org/wp-content/uploads/2013/10/Daniel-Edward-Blyler.jpg</t>
  </si>
  <si>
    <t>1355 N Edgewood Ave</t>
  </si>
  <si>
    <t>The manager of Vic's Sandwich Shop called 911 just after noon to say a man was very intoxicated, and his staff was concerned that the man was going to get in his truck and drive away, endangering motorists, police said. While police were on their way, the manager called back to say the man had a gun and was sitting in his truck in the parking lot. Officer Lemmuel K. Johnson parked next door and walked up to the truck, and as soon as he began to talk to Blyler, he reached for his waistband, where Johnson saw a pistol. Johnson fired 13 shots, killing Blyler.</t>
  </si>
  <si>
    <t>https://www.news4jax.com/news/officer-shoots-suspect-in-northwest-jacksonville</t>
  </si>
  <si>
    <t>Kristen Ambury</t>
  </si>
  <si>
    <t>http://www.fatalencounters.org/wp-content/uploads/2013/10/Kristen-Ambury.jpg</t>
  </si>
  <si>
    <t>11025 NW 40th St</t>
  </si>
  <si>
    <t>http://www.sun-sentinel.com/local/broward/sunrise/fl-sb-sunrise-police-shooting-20170826-story.html</t>
  </si>
  <si>
    <t>Charles David Robinson</t>
  </si>
  <si>
    <t>Dogwood Rd &amp; W Peachtree Ave &amp; Woodville Rd</t>
  </si>
  <si>
    <t>Woodville</t>
  </si>
  <si>
    <t>A deputy stopped a vehicle driven by Charles David Robinson, who stopped and then fled on foot. The deputy pursued Robinson on foot. A fight broke out between the deputy and Robinson, and the deputy shot and killed Robinson. The reason for the stop was not immediately reported.</t>
  </si>
  <si>
    <t>http://www.ajc.com/news/crime--law/georgia-deputy-shoots-kills-man-who-ran-from-traffic-stop/o7S5gwL8UAlLFKA1DH9NHJ/</t>
  </si>
  <si>
    <t>Devin Howell</t>
  </si>
  <si>
    <t>Roswell Rd &amp; South Marietta Pkwy SE</t>
  </si>
  <si>
    <t>Around 3 a.m., when the driver of a white Dodge Caravan sped past a Cobb County Police officer in a marked patrol car, police said. The officer attempted a traffic stop, but the driver of the Dodge Caravan crashed, hitting another car. Officers tried to arrest the driver of the Caravan, but said he became combative. During the confrontation, one officer shocked him with his Taser, killing him.</t>
  </si>
  <si>
    <t>http://www.11alive.com/news/local/driver-crashes-after-attempted-traffic-stop-dies-after-being-tased-by-cobb-police/467336562</t>
  </si>
  <si>
    <t>Michael Malik Kawon Lee</t>
  </si>
  <si>
    <t>1 Harbor Oaks Dr</t>
  </si>
  <si>
    <t>According to police, Michael Malik Kawon Lee was fatally shot by a police officer after a disturbance turned into a gunfight on the parking lot of Harbor Oaks Restaurant.</t>
  </si>
  <si>
    <t>http://www.pbcommercial.com/news/20170826/1-dead-cop-injured-in-harbor-oaks-shootout</t>
  </si>
  <si>
    <t>Demond Grimes</t>
  </si>
  <si>
    <t>Rossini Drive and Gratiot Avenue</t>
  </si>
  <si>
    <t>Michigan State Police</t>
  </si>
  <si>
    <t>http://www.fox2detroit.com/news/local-news/276406214-story</t>
  </si>
  <si>
    <t>Ulises Erives</t>
  </si>
  <si>
    <t>http://www.fatalencounters.org/wp-content/uploads/2013/10/Ulesis.jpg</t>
  </si>
  <si>
    <t>Co Rd 207 and Co Rd GG</t>
  </si>
  <si>
    <t>Guymon</t>
  </si>
  <si>
    <t>Ulises Erives was shot and killed after a vehicle chase went miles. The chase ended when police popped his tires, and he was shot and killed when he got out of the car and allegedly walked aggressively toward officers.</t>
  </si>
  <si>
    <t>http://guymondailyherald.com/content/ohp-releases-statement-officer-involved-shooting-texas-county</t>
  </si>
  <si>
    <t>Dwayne Martin</t>
  </si>
  <si>
    <t>518 Bethel Ridge Rd</t>
  </si>
  <si>
    <t>Dwayne Martin brandished a knife in an aggressive manner toward Trooper Jason Brown, who shot and killed him. It was not immediately reported why the two initially interacted.</t>
  </si>
  <si>
    <t>http://www.lex18.com/story/36229345/one-fatality-in-officer-involved-shooting</t>
  </si>
  <si>
    <t>William Wilson</t>
  </si>
  <si>
    <t>E Main Street and Largo Street</t>
  </si>
  <si>
    <t>San Juan County Sheriff's Office, New Mexico State Police</t>
  </si>
  <si>
    <t>Police said that a San Juan County deputy, with help from an NMSP officer, stopped a truck that had three people in it after connecting the vehicle with an earlier theft of a trailer. The officer and deputy were arresting the passengers when one of them, William Wilson, shot at the NMSP officer. The officer and the deputy shot and killed Wilson.</t>
  </si>
  <si>
    <t>http://www.kob.com/new-mexico-news/developing-nmsp-officer-shot-in-farmington/4587898/</t>
  </si>
  <si>
    <t>Jason Hoops</t>
  </si>
  <si>
    <t>http://www.fatalencounters.org/wp-content/uploads/2013/10/Jason-Hoops.jpg</t>
  </si>
  <si>
    <t>E Bataan Dr &amp; Craig Dr</t>
  </si>
  <si>
    <t>Kettering</t>
  </si>
  <si>
    <t>Kettering Police Department</t>
  </si>
  <si>
    <t>A police officer shot a driver who got out of a minivan pointing a gun at the officer. Witnesses said Jason Hoops pointed his gun at the Kettering officer, who ordered him to drop the handgun. When he did not, the officer shot and killed him.</t>
  </si>
  <si>
    <t>http://www.daytondailynews.com/news/crime--law/police-shooting-kettering-officer-man-killed-identified/i4jc49lBGycVffEKMTgSXO/?ecmp=daytondaily_social_twitter_2014_sfp</t>
  </si>
  <si>
    <t>Kostatinos Sfaelos</t>
  </si>
  <si>
    <t>47 Outlook Road</t>
  </si>
  <si>
    <t>New Milford</t>
  </si>
  <si>
    <t>New Milford Police Department</t>
  </si>
  <si>
    <t>Police were called to a disturbance at a home on Outlook Road, where a man was seen running out of a home with a shotgun. Police said the man ran into the woods. Police set up a perimeter and tried to get him to come out of the woods. The man eventually walked out and began approaching officers with the shotgun. He ignored orders to drop his weapon and was shot and killed.</t>
  </si>
  <si>
    <t>http://www.wfsb.com/story/36235978/man-killed-in-officer-involved-shooting-in-new-milford</t>
  </si>
  <si>
    <t>Anthony Antonio Ford</t>
  </si>
  <si>
    <t>15th Ave and NW 66th St</t>
  </si>
  <si>
    <t>Police pulled a red Nissan over for an undisclosed traffic infraction, then discovered the two men inside the car were wanted by police for earlier crimes. One man ran, an officer gave chase, and police set up a perimeter. During some type of altercation, Detective Argemis Colome said Sgt. Eduardo Pares shot and killed Anthony Antonio Ford, police said. He was unarmed.</t>
  </si>
  <si>
    <t>http://www.miamiherald.com/news/local/crime/article170373827.html</t>
  </si>
  <si>
    <t>William Matthew Holmes</t>
  </si>
  <si>
    <t>I 135 and Arrowhead Road</t>
  </si>
  <si>
    <t>Moundridge</t>
  </si>
  <si>
    <t>McPherson County Sheriff's Office</t>
  </si>
  <si>
    <t>http://www.kansas.com/news/local/crime/article169913982.html</t>
  </si>
  <si>
    <t>Larry Moore Miller</t>
  </si>
  <si>
    <t>55 Cross Street</t>
  </si>
  <si>
    <t>Judy Shipman Miller, 71, was shot to death by her ex-husband, and the gun-wielding ex-husband, Larry Moore Miller, was then shot and killed by police after threatening to kill officers, police said.</t>
  </si>
  <si>
    <t>http://www.al.com/news/birmingham/index.ssf/2017/08/man_killed_ex-wife_then_shot_t.html</t>
  </si>
  <si>
    <t>Aaron Brandon</t>
  </si>
  <si>
    <t>Birchwood Dr</t>
  </si>
  <si>
    <t>Hazel Crest</t>
  </si>
  <si>
    <t>An off-duty Chicago police officer fatally shot a 17-year-old Aaron Brandon who allegedly was robbing him at gunpoint, police said.</t>
  </si>
  <si>
    <t>http://chicago.suntimes.com/news/police-off-duty-cpd-officer-fatally-shoots-robber-in-hazel-crest/</t>
  </si>
  <si>
    <t>Ricky Ard</t>
  </si>
  <si>
    <t>101 NW Martin Luther King Blvd</t>
  </si>
  <si>
    <t>Evansville Police Department, Federal Protective Service</t>
  </si>
  <si>
    <t>A bat-wielding man was fatally shot by officers outside a federal courthouse. Police said an Evansville police officer and a federal courthouse security officer shot and killed Ricky Ard.</t>
  </si>
  <si>
    <t>http://wishtv.com/2017/08/29/officials-investigating-officer-involved-shooting-in-evansville/</t>
  </si>
  <si>
    <t>Joshua Mark Cloud</t>
  </si>
  <si>
    <t>http://www.fatalencounters.org/wp-content/uploads/2013/10/Joshua-Mark-Cloud.jpg</t>
  </si>
  <si>
    <t>1 Tiger Dr</t>
  </si>
  <si>
    <t>Simsboro</t>
  </si>
  <si>
    <t>Lincoln Parish Sheriff's Office</t>
  </si>
  <si>
    <t>A sheriff's deputy shot and killed Joshua Cloud who had allegedly just shot him after a short chase, police said. The deputy's bullet-proof vest stopped the bullet. A traffic stop precipitated the encounter.</t>
  </si>
  <si>
    <t>https://www.ktbs.com/news/deadly-officer-involved-shooting-in-lincoln-parish/article_66f7b1ac-8ce6-11e7-9734-b39da7982681.html</t>
  </si>
  <si>
    <t>Brandy Caldwell</t>
  </si>
  <si>
    <t>http://www.fatalencounters.org/wp-content/uploads/2013/10/Brandy-Caldwell.jpg</t>
  </si>
  <si>
    <t>6325 Rufe Snow Dr</t>
  </si>
  <si>
    <t>An officer responding to a call reporting a person with a weapon walking down a street near a middle school shot and killed the armed woman, Brandy Caldwell, police said. No word on what precipitated the shooting, as Texas is an open-carry state for handguns.</t>
  </si>
  <si>
    <t>http://www.star-telegram.com/news/local/community/northeast-tarrant/article170160702.html</t>
  </si>
  <si>
    <t>Isaac Lopez Cervantes</t>
  </si>
  <si>
    <t>Milpitas</t>
  </si>
  <si>
    <t>Officers Matthew Johnson and Joshua Deutinger were dispatched to Pacheco Road on a disturbance call that included a man with a gun. The Bakersfield Police Department said the officers made contact with Isaac Cervantes, and Cervantes was killed during an exchange of gunfire.</t>
  </si>
  <si>
    <t>http://bakersfieldnow.com/news/local/two-bpd-officers-shot-suspect-dead-in-shootout</t>
  </si>
  <si>
    <t>Thomas Daniel Littlecloud</t>
  </si>
  <si>
    <t>http://www.fatalencounters.org/wp-content/uploads/2013/10/Littlecloud.png</t>
  </si>
  <si>
    <t>3405 El Camino Ave</t>
  </si>
  <si>
    <t>Deputies were doing an investigation involving a stolen car in the parking lot of a Ramada Inn. Two women got in the car and led police on a chase that ended in Elk Grove. As the women led police on a chase, Thomas Daniel Littlecloud was escaping a hotel room when he started firing a rifle at officers. Two CHP officers were injured in the shootout, and one sheriff's deputy, 52-year-old Robert French, was killed. Littlecloud died of gunshot wounds a few days later.</t>
  </si>
  <si>
    <t>http://www.abc10.com/news/local/suspect-who-fatally-shot-sacramento-sheriffs-deputy-dies/470347274</t>
  </si>
  <si>
    <t>Debi Lynn Thorkelson</t>
  </si>
  <si>
    <t>http://www.fatalencounters.org/wp-content/uploads/2013/10/DebiLynnThorkelson.jpg</t>
  </si>
  <si>
    <t>431 Lazy Way</t>
  </si>
  <si>
    <t>Fort Myers Beach</t>
  </si>
  <si>
    <t>http://naplesherald.com/2017/08/31/officer-involved-shooting-fort-myers-beach/</t>
  </si>
  <si>
    <t>Daniel Gillis</t>
  </si>
  <si>
    <t>43 Taylor St</t>
  </si>
  <si>
    <t>Pittsfield</t>
  </si>
  <si>
    <t>Berkshire</t>
  </si>
  <si>
    <t>Pittsfield Police Department</t>
  </si>
  <si>
    <t>Police were called for a domestic incident. Daniel Gillis was distraught and intoxicated after having been fired from his job earlier in the day. When police arrived at the home, Gillis reportedly confronted officers at the front door, refused to let them in, and armed himself with a knife. His girlfriend took the knife and brought it outside to throw it away. When police asked to enter the home, Gillis barricaded himself inside and armed himself with a second knife. Police said Gillis then went out the back of the home and confronted officers in the side yard. Gillis ran at officers and was shot and killed by Officer Christopher Colello.</t>
  </si>
  <si>
    <t>http://news10.com/2017/09/01/reported-officer-involved-shooting-takes-place-in-pittsfield/</t>
  </si>
  <si>
    <t>Michael Battles</t>
  </si>
  <si>
    <t>1703 Finel Hollow Rd</t>
  </si>
  <si>
    <t>Poultney</t>
  </si>
  <si>
    <t>Rutland</t>
  </si>
  <si>
    <t>Vermont State Police</t>
  </si>
  <si>
    <t>Police were called to a home for a report of a domestic incident. The alleged victim told police her fiance, Michael Battles, 32, physically assaulted her and threatened to kill her. A state police officer responded to assist a Rutland Court Sheriff's deputy. Police said Battles refused to leave the home. Battles showed what they believed was a gun, and a standoff began. Police said he had a silver revolver and pointed it at them. Troopers then shot and killed him.</t>
  </si>
  <si>
    <t>http://www.mynbc5.com/article/troopers-fatally-shoot-suspect-in-poultney/12160825</t>
  </si>
  <si>
    <t>Roger B. Helgerson Jr.</t>
  </si>
  <si>
    <t>14404 Millville Hollow Road</t>
  </si>
  <si>
    <t>Mount Hope</t>
  </si>
  <si>
    <t>Two deputies made contact with Helgerson Jr. at a residence in the Millville Township. The deputies attempted to arrest him on outstanding warrants. Helgerson Jr. tried to run away. Deputies caught up with him and found that he was carrying a weapon. Police said he tried to fight with the deputies and was shot and killed.</t>
  </si>
  <si>
    <t>http://www.channel3000.com/news/crime/one-dead-in-officer-involved-incident-in-grant-county/615475854</t>
  </si>
  <si>
    <t>1400 Playa St</t>
  </si>
  <si>
    <t>Beaumont police responded to a report of domestic violence, police said. Responding officers learned that the man inside the residence had a weapon. When officers arrived, they came across a man with a gun. The man raised the gun, and police shot and killed him.</t>
  </si>
  <si>
    <t>http://www.pe.com/2017/09/02/beaumont-police-shoot-kill-domestic-violence-suspect/</t>
  </si>
  <si>
    <t>William Porubsky</t>
  </si>
  <si>
    <t>175 E Market St</t>
  </si>
  <si>
    <t>Stow Police Department</t>
  </si>
  <si>
    <t>William Porubsky was shot and killed by a Stow police officer who had picked him up in Stow and was taking him to Haven of Rest homeless shelter. Stow police said, “Following the arrival in the parking lot of Haven of Rest, the officer requested backup from the Akron Police Department, as the subject had become aggressive. Before they arrived, the officer reported shots had been fired," and William Porubsky was killed.</t>
  </si>
  <si>
    <t>https://www.ohio.com/akron/breaking-news/man-being-taken-to-akron-homeless-shelter-dies-in-officer-involved-shooting</t>
  </si>
  <si>
    <t>Jarvis Hayes</t>
  </si>
  <si>
    <t>2105 S Ocean Blvd</t>
  </si>
  <si>
    <t>http://www.wmbfnews.com/story/36294574/update-victim-in-myrtle-beach-police-officer-involved-shooting-has-died</t>
  </si>
  <si>
    <t>Henry Stephen Rakoz Jr.</t>
  </si>
  <si>
    <t>Ocean Beach Hwy and 32nd Ave</t>
  </si>
  <si>
    <t>Police were called because of an assault with a weapon. As officers responded, they learned a suspect was walking in the street armed with a shotgun. Originally it came out as a domestic violence type disturbance or assault, police said. Officers were also told the suspect had fled the house and was armed. Officers made contact with the man, later identified as Henry Stephen Rakoz Jr., and during that interaction police shot and killed him.</t>
  </si>
  <si>
    <t>http://koin.com/2017/09/04/longview-police-investigate-officer-involved-shooting/</t>
  </si>
  <si>
    <t>Antwon "Blind Mack" Springer</t>
  </si>
  <si>
    <t>http://www.fatalencounters.org/wp-content/uploads/2013/10/Antwon-Springer.png</t>
  </si>
  <si>
    <t>According to police, officers were sent around 10 p.m. on a report of a large fight in the street with armed participants. When they arrived, the officers saw a man armed with a handgun outside the home. Police said the man fired the gun before officers approached him, and they shot and killed him.</t>
  </si>
  <si>
    <t>http://www.jsonline.com/story/news/2017/09/04/milwaukee-police-officers-fatally-shoot-suspect-during-confrontation/630550001/</t>
  </si>
  <si>
    <t>James Fuller</t>
  </si>
  <si>
    <t>James Fuller was shot and killed by officers as they were responding to a domestic call for what appeared to be between a husband and wife. According to police, Fuller, who was shot and killed, had a felony warrant for methamphetamine charges out of Texas. Columbus police were executing a search warrant at a and while they were attempting to arrest Fuller, and a fight ensued between him and police. Fuller was tasered and went to the floor, but continued to fight with officers. Fuller then picked up a chair, hitting an officer. At that point, Fuller went to a box and reached for what appeared to be a handgun, an officer shot and killed Fuller.</t>
  </si>
  <si>
    <t>http://www.wtvm.com/story/36286963/gbi-investigates-fatal-columbus-officer-involved-shooting-suspect-idd</t>
  </si>
  <si>
    <t>http://www.chicagotribune.com/news/local/breaking/ct-man-dies-while-detained-by-police-20170905-story.html</t>
  </si>
  <si>
    <t>Shane Marsh</t>
  </si>
  <si>
    <t>http://www.fatalencounters.org/wp-content/uploads/2013/10/Shane-Marsh.png</t>
  </si>
  <si>
    <t>Police said they responded to a 911 call of a woman who allegedly was being assaulted by Shane Marsh and was screaming for help. When Officer Jonathon Curtis arrived at the scene he was encountered by Marsh, who was armed with a knife. Curtis fired one round from his firearm and killed Marsh.</t>
  </si>
  <si>
    <t>http://www.wtol.com/story/36287645/person-shot-in-west-toledo</t>
  </si>
  <si>
    <t>John Timmons</t>
  </si>
  <si>
    <t>1363 Napier Rd</t>
  </si>
  <si>
    <t>A woman called 911 from the Thousand Trails campground on Napier Road in Hohenwald around 10:30 p.m. to report she was scared after having an argument with her male traveling companion, John Timmons, who was reportedly armed. Two deputies responded to the campground and ordered the man to drop the weapon, but he refused, so a deputy shot and killed him.</t>
  </si>
  <si>
    <t>http://wkrn.com/2017/09/05/man-killed-in-officer-involved-shooting-in-lewis-county/</t>
  </si>
  <si>
    <t>A police officer on a burglary detail shot and killed a man who authorities said lunged at him with a knife inside a Kendale Lakes apartment complex. Police said the officer fired his Taser at the man during the chase, but the electronic device did not deter the man from turning towards the officer and threatening him with the knife.</t>
  </si>
  <si>
    <t>http://www.miamiherald.com/news/local/community/miami-dade/kendall/article171314187.html</t>
  </si>
  <si>
    <t>15915 Kuykendahl Rd</t>
  </si>
  <si>
    <t>Harris County Sheriff's Office, U.S. Marshals Service</t>
  </si>
  <si>
    <t>Police say U.S. Marshals were threatened by a pickup when they were investigating a road rage incident. There was a second chase that ended at an apartment house, the pickup again drove toward police, and a woman in the car was shot and killed.</t>
  </si>
  <si>
    <t>http://abc13.com/1-killed-4-in-custody-after-deputy-involved-shooting/2377497/</t>
  </si>
  <si>
    <t>Timothy Darrell Elam</t>
  </si>
  <si>
    <t>300 S Spring Street</t>
  </si>
  <si>
    <t>http://www.latimes.com/local/lanow/la-me-ln-ronald-reagan-building-20170906-story.html</t>
  </si>
  <si>
    <t>Rueben Galindo</t>
  </si>
  <si>
    <t>http://www.fatalencounters.org/wp-content/uploads/2013/10/ReubenGallindo.jpg</t>
  </si>
  <si>
    <t>1841 Prospect Dr</t>
  </si>
  <si>
    <t>Police said Rueben Galindo was fatally shot after calling the police to say he had a gun. Galindo was not speaking English when he called the emergency line, police said. According to police, when Officers Courtney Suggs and David Guerra arrived they found an armed man, Galindo, outside an apartment complex. Galindo refused to drop the weapon, and the officers shot and killed him.</t>
  </si>
  <si>
    <t>http://www.wbtv.com/story/36307021/alleged-suspect-killed-in-officer-involved-shooting-in-northeast-charlotte</t>
  </si>
  <si>
    <t>Miguel Richards</t>
  </si>
  <si>
    <t>3700 Pratt Ave</t>
  </si>
  <si>
    <t>Officers were called to a Pratt Avenue home by a landlord who was concerned that he hadn't seen his tenant in a while. When the landlord opened the door to the tenant's apartment, officers found the tenant with a knife in one hand, and his other hand behind his back, police said. Miguel Richards would not drop the knife and began to approach the officers. One officer shocked him with a stun gun, and two other officers shot and killed him.</t>
  </si>
  <si>
    <t>http://www.nbcnewyork.com/news/local/Police-Involved-Shooting-Bronx-NYPD-442944273.html</t>
  </si>
  <si>
    <t>Eric Arnold</t>
  </si>
  <si>
    <t>Eric Arnold was shot and killed after he shot two police officers in south Sacramento, police said. The officers sustained non-life threatening injuries. Arnold was wanted in connection with the killing of a mother and daughter, Erica Wallace, 45, and Kiara LaSalle, 17, in Meadowview.</t>
  </si>
  <si>
    <t>http://www.sacbee.com/news/local/crime/article171993292.html</t>
  </si>
  <si>
    <t>Michael Culhane</t>
  </si>
  <si>
    <t>Monett</t>
  </si>
  <si>
    <t>Monett Police Department</t>
  </si>
  <si>
    <t>Police officers responded to an overdose call and an officer shot and killed Michael Culhane, police said. Little information was immediately released, and it was not stated whether Culhane was subject of the overdose call.</t>
  </si>
  <si>
    <t>http://www.ozarksfirst.com/news/man-dies-in-monett-in-officer-involved-shooting/807379951</t>
  </si>
  <si>
    <t>Billy Joe Elmore</t>
  </si>
  <si>
    <t>Police responded to reports of a wanted man refusing to come out of a home. Officers heard what sounded like a muffled gunshot, and a chemical was sent into the crawl space under the home. Billy Joe Elmore came out of the home, allegedly pointing a gun at the officers. Officers shot and killed him.</t>
  </si>
  <si>
    <t>http://www.newschannel10.com/story/36325843/suspect-dead-k-9-injured-after-swat-standoff</t>
  </si>
  <si>
    <t>Ervin Eugene Sweat Jr.</t>
  </si>
  <si>
    <t>http://www.fatalencounters.org/wp-content/uploads/2013/10/Ervinsweat.jpg</t>
  </si>
  <si>
    <t>H St &amp; 9th St</t>
  </si>
  <si>
    <t>Arcata</t>
  </si>
  <si>
    <t>Arcata Police Department, Humboldt State University Police Department</t>
  </si>
  <si>
    <t>Ervin Sweat had reportedly been involved in a fight, and he had allegedly been displaying a handgun in the plaza. When two police officers arrived to investigate, he got out of a car and shot the handgun at the officers, wounding one Humboldt State University Police officer, police said. The officers then shot and killed him.</t>
  </si>
  <si>
    <t>http://www.times-standard.com/general-news/20170909/police-shoot-man-at-arcata-plaza-witnesses-say</t>
  </si>
  <si>
    <t>Erick Perez</t>
  </si>
  <si>
    <t>http://www.fatalencounters.org/wp-content/uploads/2013/10/Erick-Perez.jpg</t>
  </si>
  <si>
    <t>N 113th Ave &amp; W Tennessee Ave</t>
  </si>
  <si>
    <t>Youngtown</t>
  </si>
  <si>
    <t>El Mirage Police Department</t>
  </si>
  <si>
    <t>Police responded to a report of shots fired in the area of North 113th and West Tennessee avenues. El Mirage police responded to the scene as well and a confrontation reportedly occurred resulting in Erick Perez being shot and killed.</t>
  </si>
  <si>
    <t>http://www.abc15.com/news/region-west-valley/peoria/one-dead-after-officer-involved-shooting-in-youngtown</t>
  </si>
  <si>
    <t>Juan Flores</t>
  </si>
  <si>
    <t>http://www.fatalencounters.org/wp-content/uploads/2013/10/JuanFlores.jpg</t>
  </si>
  <si>
    <t>Police saw a car driving erratically and pulled over the driver, Juan Flores, according to police. When the officers got out of their squad car to investigate, Flores pinned one of them with his car. An officer shot and killed Flores.</t>
  </si>
  <si>
    <t>http://chicago.suntimes.com/news/person-shot-by-chicago-police-officer-hit-by-car-on-northwest-side/</t>
  </si>
  <si>
    <t>10030 Gilead Rd</t>
  </si>
  <si>
    <t>Huntersville</t>
  </si>
  <si>
    <t>Huntersville Police Department</t>
  </si>
  <si>
    <t>Officers were called at 11:40 p.m. about a man who had fired several shots at the Huntersville hospital. They found him inside and shot and killed him, police said.</t>
  </si>
  <si>
    <t>http://www.charlotteobserver.com/news/local/article172531106.html</t>
  </si>
  <si>
    <t>Spencer James Hight</t>
  </si>
  <si>
    <t>http://www.fatalencounters.org/wp-content/uploads/2013/10/Spencer-James-Hight.jpg</t>
  </si>
  <si>
    <t>1712 West Spring Creek Parkway</t>
  </si>
  <si>
    <t>Spencer Wright shot and killed seven people at a NFL watch party, when an officer went into the shooting situation and shot and killed him.</t>
  </si>
  <si>
    <t>http://www.nbcdfw.com/news/local/8-People-Killed-Inside-a-Plano-Home-Suspect-Killed-by-Police-443635723.html</t>
  </si>
  <si>
    <t>Frankie Santos</t>
  </si>
  <si>
    <t>Officers responded to 911 calls about a man acting erratically and possibly armed with a handgun. When police arrived, they found Frankie Santos with a gun and acting strangely, police said. Officers ordered him to drop his weapon, but he didn't comply. He then fired at the officers, who shot and killed him.</t>
  </si>
  <si>
    <t>http://komonews.com/news/local/man-shot-dead-by-tacoma-police-after-he-opens-fire-at-officers</t>
  </si>
  <si>
    <t>Vincent Edward "Junior" Hernandez Jr.</t>
  </si>
  <si>
    <t>West Valinda</t>
  </si>
  <si>
    <t>Junior Hernandez lived with his grandmother, but he was being evicted. Deputies were called just before 5 p.m. for a call about a family disturbance. Family members had called police and said Hernandez may have been under the influence of drugs. Hernandez locked himself in the back bedroom of the home and then climbed out of the window. He fired two rounds from an airsoft gun at the deputies. Fearing for their lives and safety, the deputies shot and killed him.</t>
  </si>
  <si>
    <t>http://abc7.com/suspect-killed-in-deputy-involved-shooting-in-west-valinda/2406141/</t>
  </si>
  <si>
    <t>Thomas Jordan Addison</t>
  </si>
  <si>
    <t>Great Falls Police Department</t>
  </si>
  <si>
    <t>Officers responded to a report of a burglary in progress, police said. Shortly after officers arrived, police shot and killed Thomas Addison. He had allegedly brandished a weapon toward the officers, but police did not say what that weapon was.</t>
  </si>
  <si>
    <t>http://www.krtv.com/story/36342884/officer-involved-shooting-in-great-falls</t>
  </si>
  <si>
    <t>Brian Patrick Allen</t>
  </si>
  <si>
    <t>http://www.fatalencounters.org/wp-content/uploads/2013/10/BrianPatrickAllen.jpg</t>
  </si>
  <si>
    <t>Brian Patrick Allen allegedly fled a police traffic stop and led police on a slow-speed chase. Details have been withheld, but Brian Allen was shot and killed.</t>
  </si>
  <si>
    <t>http://www.timesfreepress.com/news/local/story/2017/sep/13/county-investigates-sixth-officer-involved-sh/448737/</t>
  </si>
  <si>
    <t>Rodolfo Ballardo</t>
  </si>
  <si>
    <t>http://www.fatalencounters.org/wp-content/uploads/2013/10/Rodolfo-Ballardo.jpg</t>
  </si>
  <si>
    <t>I-10 &amp; US-95 &amp; I-10BL</t>
  </si>
  <si>
    <t>Quartzsite</t>
  </si>
  <si>
    <t>Rodolfo Ballardo and Marcos Ruiz-Zazueta, 43, were stopped for a suspended license plate. During the traffic stop, the driver was asked to exit the vehicle. While the trooper was speaking to the driver, the passenger fired a shot at the trooper, and the trooper fired back. Both Ballardo and Ruiz-Zazueta fled in the vehicle, prompting a pursuit. Ballardo then exited the vehicle and fled on foot until he hijacked a big rig from a sleeping truck driver. DPS pursued the big rig, and in an exchange of gunfire between Ballardo and troopers, he was shot and killed.</t>
  </si>
  <si>
    <t>http://www.abc15.com/news/state/man-fires-at-arizona-state-trooper-during-traffic-stop-then-leads-officers-on-chase</t>
  </si>
  <si>
    <t>Gary Joe McCourt Jr.</t>
  </si>
  <si>
    <t>Upper Sleith Rd</t>
  </si>
  <si>
    <t>Frametown</t>
  </si>
  <si>
    <t>Braxton</t>
  </si>
  <si>
    <t>Police responded to a possible hostage call, with a man barricaded. He was alone in the house when police went in, and he allegedly lunged at them with a knife.</t>
  </si>
  <si>
    <t>http://www.wsaz.com/content/news/WVSP-Person-dead-after-officer-involved-shooting-in-Braxton-County-444446453.html</t>
  </si>
  <si>
    <t>Jacob Dominguez</t>
  </si>
  <si>
    <t>Penitencia Creek and N White</t>
  </si>
  <si>
    <t>At 7:04 p.m., officers tried to pull over a vehicle that contained a person who had a felony warrant for robbery, police said. As officers were trying to make the traffic stop, they shot and killed the unarmed Jacob Dominguez.</t>
  </si>
  <si>
    <t>http://sanfrancisco.cbslocal.com/2017/09/18/san-jose-police-officer-involved-shooting-unarmed/</t>
  </si>
  <si>
    <t>600 N Federal Hwy</t>
  </si>
  <si>
    <t>Police were called to North Federal Highway and Sheridan Street around 8:30 a.m., after a 911 call reported a man driving recklessly, police said. Officers attempted to stop the vehicle, which fled south. After crossing the city limits, the driver attempted to hit officers with his car before continuing to drive away. Officers confronted the driver around NE 6th Street and shot and killed the man.</t>
  </si>
  <si>
    <t>http://www.miamiherald.com/news/local/community/broward/article173495421.html</t>
  </si>
  <si>
    <t>Ruben Chavira Urbina</t>
  </si>
  <si>
    <t>http://www.fatalencounters.org/wp-content/uploads/2013/10/Rubin-Urbina-1505652151.png</t>
  </si>
  <si>
    <t>Haymarket</t>
  </si>
  <si>
    <t>Prince William</t>
  </si>
  <si>
    <t>Prince William County Police Department</t>
  </si>
  <si>
    <t>Officers were called for a report of a possible hostage situation. As they responded, police learned that the 15-year-old boy possibly “had a bomb strapped to his chest and was holding a family member hostage,” police said. Officers arrived to find the boy in front of the house. As they approached, Ruben Urbina brandished a crowbar and approached the officers. He was shot and killed.</t>
  </si>
  <si>
    <t>http://www.fauquier.com/prince_william_times/news/updated-teenager-dead-after-police-involved-shooting-in-haymarket/article_8707f1f6-9a32-11e7-b530-bbb63eb1df09.html</t>
  </si>
  <si>
    <t>Scout Schultz</t>
  </si>
  <si>
    <t>http://www.fatalencounters.org/wp-content/uploads/2013/10/ScoutSchulz.jpg</t>
  </si>
  <si>
    <t>549 Eighth Street NW</t>
  </si>
  <si>
    <t>Georgia Tech Police Department</t>
  </si>
  <si>
    <t>Police responded to a 911 call at an apartment building about a person with a knife and a gun at 11:17 p.m. When officers arrived, they made contact with Scout Schultz, who officers said was armed with a knife. Officers said they made multiple attempts to get Schultz to drop the knife, and Schultz was shot and killed.</t>
  </si>
  <si>
    <t>http://www.11alive.com/news/crime/officer-involved-shooting-on-georgia-tech-campus/475654274</t>
  </si>
  <si>
    <t>I-5 and North Mission Road</t>
  </si>
  <si>
    <t>Police shot and killed a man with a knife who was apparently wandering on Interstate 5.</t>
  </si>
  <si>
    <t>http://losangeles.cbslocal.com/2017/09/17/boyle-heights-fatal-shooting/</t>
  </si>
  <si>
    <t>Monkey Hill Rd</t>
  </si>
  <si>
    <t>Oak Harbor</t>
  </si>
  <si>
    <t>Island</t>
  </si>
  <si>
    <t>Island County Sheriff's Office</t>
  </si>
  <si>
    <t>Police responded to a call regarding a suicidal man. During negotiations, a friend tried to tackle the man, who shot him and was shot and killed by police.</t>
  </si>
  <si>
    <t>http://q13fox.com/2017/09/18/island-county-deputy-shoots-man-after-standoff-struggle/</t>
  </si>
  <si>
    <t>WV 270 &amp; Water Street</t>
  </si>
  <si>
    <t>West Milford</t>
  </si>
  <si>
    <t>Four people were being sought after an armed carjacking in the Columbus, Ohio, area. After a chase, which included gunfire from the pursued vehicle, a man got out of the vehicle and fired on police before he was shot and killed.</t>
  </si>
  <si>
    <t>https://www.theet.com/news/free/suspect-shot-after-firing-at-police-dies-other-suspects-in/article_1efa4521-c84a-5efc-9f37-c12667e40e4b.html</t>
  </si>
  <si>
    <t>Jesse VanSipe</t>
  </si>
  <si>
    <t>http://www.fatalencounters.org/wp-content/uploads/2013/10/31-year-old-Jesse-VanSipe-.jpg</t>
  </si>
  <si>
    <t>Helen Drive</t>
  </si>
  <si>
    <t>A deputy responded to a call regarding a suspicious person outside a residence. Apparently, Jesse VanSipe's car had broken down, and some people had pulled his car into their yard and allowed him to stay in it. It was not reported what had changed. When the deputy says a fight started, and VanSipe allegedly grabbed one of the deputies weapons, and the deputy shot him with the other one.</t>
  </si>
  <si>
    <t>http://www.wmcactionnews5.com/story/36392591/1-person-dead-in-officer-involved-shooting-in-calhoun-co</t>
  </si>
  <si>
    <t>Joseph Charles Cook</t>
  </si>
  <si>
    <t>Eric Alvarez</t>
  </si>
  <si>
    <t>Nicholas K. Perkins</t>
  </si>
  <si>
    <t>Brian Ziro</t>
  </si>
  <si>
    <t>chair</t>
  </si>
  <si>
    <t>2800 Ramsey Road</t>
  </si>
  <si>
    <t>6800 Hartzell Hill</t>
  </si>
  <si>
    <t>5500 Lindley Avenue</t>
  </si>
  <si>
    <t>2000 Sunhill Dr</t>
  </si>
  <si>
    <t>200 Spring Valley Ln</t>
  </si>
  <si>
    <t>4400 N. 39th St.</t>
  </si>
  <si>
    <t>5600 South Lawrence Street</t>
  </si>
  <si>
    <t>800 N Forest St</t>
  </si>
  <si>
    <t>3300 27th Ave</t>
  </si>
  <si>
    <t>7300 Valley Ln</t>
  </si>
  <si>
    <t>5200 Ridge Ave</t>
  </si>
  <si>
    <t>5300 S Bradley Rd</t>
  </si>
  <si>
    <t>1700 Berkshire Place</t>
  </si>
  <si>
    <t>6500 Kendale Lakes Dr</t>
  </si>
  <si>
    <t>1200 Stichman Avenue</t>
  </si>
  <si>
    <t>400 North Central Avenue</t>
  </si>
  <si>
    <t>3100 9th Ave N</t>
  </si>
  <si>
    <t>2100 N Laramie Ave</t>
  </si>
  <si>
    <t>1600 South Pulaski Road</t>
  </si>
  <si>
    <t>1900 Durham-Dayton Highway</t>
  </si>
  <si>
    <t>Date of Incident (month/day/year)</t>
  </si>
  <si>
    <t>Street Address of Incident</t>
  </si>
  <si>
    <t>Zipcode</t>
  </si>
  <si>
    <t>County</t>
  </si>
  <si>
    <t>WaPo ID (If included in WaPo database)</t>
  </si>
  <si>
    <t>http://www.killedbypolice.net/victims/170911.jpg</t>
  </si>
  <si>
    <t>County Line Road</t>
  </si>
  <si>
    <t>http://www.wctv.tv/content/news/Fatal-shooting-in-Thomas-County-449590443.html</t>
  </si>
  <si>
    <t>John Loaiza</t>
  </si>
  <si>
    <t>300 East Dunklin Street</t>
  </si>
  <si>
    <t>Cole</t>
  </si>
  <si>
    <t>Two officers shot and killed John Loaiza, who was involved in a domestic violence dispute. Police said Loaiza broke out several windows and told officers to shoot him before charging at them with a pipe.</t>
  </si>
  <si>
    <t>http://www.kansascity.com/news/state/missouri/article176724436.html</t>
  </si>
  <si>
    <t>Marquinton T. Brooks</t>
  </si>
  <si>
    <t>Louisiana 3033 and Guyton Road</t>
  </si>
  <si>
    <t>Deputies attempted to stop a van. The driver tried to drive off, and when the deputy on the passenger side went to assist, the passenger, William F. Underwood, 35, left the van and ran. Deputies attempted to use a stun gun on the driver, Marquinton T. Brooks, without results. Brooks allegedly pulled a gun from his waistband, and one of the deputies shot and killed him.</t>
  </si>
  <si>
    <t>http://www.thenewsstar.com/story/news/2017/10/02/troopers-investigate-shooting-involving-ouachita-deputy/725860001/</t>
  </si>
  <si>
    <t>Micah McComas</t>
  </si>
  <si>
    <t>http://www.fatalencounters.org/wp-content/uploads/2013/10/Micah-McComas-cropped.jpg</t>
  </si>
  <si>
    <t>1907 Seward Hwy</t>
  </si>
  <si>
    <t>Seward</t>
  </si>
  <si>
    <t>Seward Police Department</t>
  </si>
  <si>
    <t>http://sewardcitynews.com/2017/10/officer-involved-shooting-safeway-parking-lot-seward/</t>
  </si>
  <si>
    <t>1809 N. College Ave.</t>
  </si>
  <si>
    <t>Fort Collins Police Services received a call at 4:50 a.m. from a caller who said he heard a loud noise and then saw a hole appear in the ceiling above him at Americas Best Value Inn, police said. Fort Collins police officers responded, and when they tried to make contact with a man, he opened the door holding a firearm and was shot and killed.</t>
  </si>
  <si>
    <t>http://www.coloradoan.com/story/news/2017/10/01/1-dead-after-police-shooting-north-fort-collins/721050001/</t>
  </si>
  <si>
    <t>Lester Machado</t>
  </si>
  <si>
    <t>http://www.fatalencounters.org/wp-content/uploads/2013/10/Lester-Machado.jpg</t>
  </si>
  <si>
    <t>3505 NW 79th Ave.</t>
  </si>
  <si>
    <t>Police responded to a shots-fired complaint. During a chase, Lester Machado was shot and killed. Few details were immediately released.</t>
  </si>
  <si>
    <t>https://www.local10.com/news/crime/police-investigation-in-hialeah</t>
  </si>
  <si>
    <t>Marquis "Bubba" Jones</t>
  </si>
  <si>
    <t>http://www.fatalencounters.org/wp-content/uploads/2013/10/MarquisJones.jpg</t>
  </si>
  <si>
    <t>600 Maple Street</t>
  </si>
  <si>
    <t>Marquis Jones was fatally shot by police when he allegedly attempted to flee a traffic stop on foot.</t>
  </si>
  <si>
    <t>http://www.thehawkeye.com/news/20171001/burlington-man-fatally-shot-by-police-on-south-hill</t>
  </si>
  <si>
    <t>Kevin Anthony Battaglia</t>
  </si>
  <si>
    <t>http://www.fatalencounters.org/wp-content/uploads/2013/10/kevin-battaglia.jpg</t>
  </si>
  <si>
    <t>96 Acadiana Drive</t>
  </si>
  <si>
    <t>Parkton</t>
  </si>
  <si>
    <t>Police received a call for a well-being check and a weapon violation on Acadiana Drive at 2:05 p.m. and arrived to find a man who was armed and wearing a bulletproof vest. Kevin Anthony Battaglia refused assistance and made threats to deputies before firing shots at a deputy who was called to the scene to provide backup. Battaglia barricaded himself inside his home and continued to shoot at law enforcement officers, who shot and killed him.</t>
  </si>
  <si>
    <t>http://www.wral.com/gunman-dead-after-shots-fired-at-robeson-county-deputy/16988369/</t>
  </si>
  <si>
    <t>Anthony E. Gallo</t>
  </si>
  <si>
    <t>http://www.fatalencounters.org/wp-content/uploads/2013/10/Anthony-E.-Gallo.jpg</t>
  </si>
  <si>
    <t>20 Mark Ave.</t>
  </si>
  <si>
    <t>http://www.post-gazette.com/local/washington/2017/10/02/State-troopers-shoot-kill-Washington-County-man-pennsylvania/stories/201710020110</t>
  </si>
  <si>
    <t>Tyrell Dewayne Pinkston</t>
  </si>
  <si>
    <t>http://www.fatalencounters.org/wp-content/uploads/2013/10/Tyrell-Dewayne-Pinkston.jpg</t>
  </si>
  <si>
    <t>3701 St. Johns Ave.</t>
  </si>
  <si>
    <t>Palatka Police Department</t>
  </si>
  <si>
    <t>http://jacksonville.com/news/public-safety/2017-10-01/suspect-killed-palatka-police-shooting</t>
  </si>
  <si>
    <t>Quentin Starke</t>
  </si>
  <si>
    <t>http://www.fatalencounters.org/wp-content/uploads/2013/10/QuentinStarke.jpg</t>
  </si>
  <si>
    <t>3465 Jonesville Rd</t>
  </si>
  <si>
    <t>Bartholomew</t>
  </si>
  <si>
    <t>Police said an officer attempted to pull over a car that refused to stop. That chase ended with gunshots being exchanged and an officer being wounded with a bullet or shrapnel. Quentin Starke took off running. Police spent the next several hours trying to track him down. Just after noon, an Indiana State trooper searching where Starke was last seen found him hiding in a wooded area. The two exchanged gunfire, and Starke was shot and killed.</t>
  </si>
  <si>
    <t>http://www.theindychannel.com/news/local-news/bartholomew-county/columbus-police-officer-shot-after-pursuit-manhunt-underway-for-suspect</t>
  </si>
  <si>
    <t>40s</t>
  </si>
  <si>
    <t>4100 Foothill Boulevard</t>
  </si>
  <si>
    <t>Police were called to the scene of a multiple-vehicle collision near San Antonio Park, at 2:21 p.m. A man who was identified as being involved in the crash was trying to leave the area, police said. The man while police were attempting to arrest him. Police used a Taser on the man, arrested him and requested paramedics. He died.</t>
  </si>
  <si>
    <t>http://www.sfgate.com/crime/article/Man-dies-after-Oakland-use-stun-gun-to-detain-him-12240565.php</t>
  </si>
  <si>
    <t>Dominique Tyrell White</t>
  </si>
  <si>
    <t>http://www.fatalencounters.org/wp-content/uploads/2013/10/DomWhiteFBcropped.jpg</t>
  </si>
  <si>
    <t>SE 3rd St &amp; SE Lawrence St</t>
  </si>
  <si>
    <t>Police said a citizen called to report shots being fired during a disturbance in Ripley Park. Police said the caller reported the disturbance involved two people, both of whom were still in the park. Arriving officers found a man with a handgun. The man tried to flee, allegedly reached for the pocket that contained the gun and was shot and killed.</t>
  </si>
  <si>
    <t>http://cjonline.com/news/local/crime-courts/2017-09-28/30-year-old-man-killed-after-two-topeka-police-officers</t>
  </si>
  <si>
    <t>Stephen Gayle</t>
  </si>
  <si>
    <t>1800 East Avenue K</t>
  </si>
  <si>
    <t>http://www.kcentv.com/news/local/man-dies-after-detainment-struggle-with-temple-police/479503226</t>
  </si>
  <si>
    <t>Michael Bruce Peterson</t>
  </si>
  <si>
    <t>http://www.fatalencounters.org/wp-content/uploads/2013/10/Michael-Bruce-Peterson.jpg</t>
  </si>
  <si>
    <t>300 South 500 East</t>
  </si>
  <si>
    <t>Michael Bruce Peterson took an officer's baton and was beating him with it when two other officers shot and killed him.</t>
  </si>
  <si>
    <t>http://www.sltrib.com/news/2017/09/28/shots-fired-in-downtown-salt-lake-city/</t>
  </si>
  <si>
    <t>Demilo Trayvon Hodge</t>
  </si>
  <si>
    <t>http://www.fatalencounters.org/wp-content/uploads/2013/10/Demilo-Trayvon-Hodge.png</t>
  </si>
  <si>
    <t>I-80 &amp; University Avenue</t>
  </si>
  <si>
    <t>Fairfield Police Department, Richmond Police Department</t>
  </si>
  <si>
    <t>Demilo Hodge was shot to death on Interstate 80 in Emeryville after stepping out of his SUV and allegedly firing upon officers who had popped his tires with a spike strip, police said.</t>
  </si>
  <si>
    <t>http://www.sfgate.com/news/article/Section-of-I-80-shut-down-for-police-activity-in-12232655.php</t>
  </si>
  <si>
    <t>Anthony Wallace</t>
  </si>
  <si>
    <t>http://www.fatalencounters.org/wp-content/uploads/2013/10/Anthony-Wallace.jpg</t>
  </si>
  <si>
    <t>400 Trillium Boulevard</t>
  </si>
  <si>
    <t>Hernando County Sheriff's Office, U.S. Marshals Service</t>
  </si>
  <si>
    <t>Hernando County deputies and U.S. Marshals found a wanted man and tried to pull him over. There was a short chase and a gun battle broke out, and Anthony Wallace was shot and killed.</t>
  </si>
  <si>
    <t>http://wfla.com/2017/09/27/suspect-killed-in-officer-involved-shooting-in-spring-hill/</t>
  </si>
  <si>
    <t>Guy Lynn Scott Jr.</t>
  </si>
  <si>
    <t>26 Collier Lane</t>
  </si>
  <si>
    <t>Griffin</t>
  </si>
  <si>
    <t>Spalding</t>
  </si>
  <si>
    <t>Two deputies were dispatched to a home for a welfare check. While the deputies were approaching the backside of the house, Guy Lynn Scott Jr. stepped out with a handgun and pointed it at the deputy who shot and killed him.</t>
  </si>
  <si>
    <t>http://www.11alive.com/news/crime/officer-involved-shooting-reported-in-spalding-county-gbi-called-in/479224354</t>
  </si>
  <si>
    <t>Craig Albert Johnson</t>
  </si>
  <si>
    <t>http://www.fatalencounters.org/wp-content/uploads/2013/10/CraigJohnson.jpg</t>
  </si>
  <si>
    <t>600 Private Drive</t>
  </si>
  <si>
    <t>Coolin</t>
  </si>
  <si>
    <t>Police said Craig Albert Johnson was shot and killed when deputies attempted to serve an arrest warrant on him. The agency said Johnson, 50, was armed and exhibited hostile behavior, prompting deputies to open fire.</t>
  </si>
  <si>
    <t>http://www.bonnercountydailybee.com/front_page_slider/20170928/coolin_man_shot_by_officers_idd</t>
  </si>
  <si>
    <t>Roger Craig Nielsen</t>
  </si>
  <si>
    <t>http://www.fatalencounters.org/wp-content/uploads/2013/10/RogerNelson.jpg</t>
  </si>
  <si>
    <t>100 Corliss Lane</t>
  </si>
  <si>
    <t>Police were called to an apartment complex where a woman reported a man had held her and a child hostage at rifle-point and threatened to kill her and her child, police said. He apparently went to a different apartment and was shot and killed when he came out with a rifle and allegedly pointed it at police.</t>
  </si>
  <si>
    <t>http://kval.com/news/local/eugene-police-1-dead-in-officer-involved-shooting-tuesday-morning</t>
  </si>
  <si>
    <t>Jeffory Hughes</t>
  </si>
  <si>
    <t>http://www.fatalencounters.org/wp-content/uploads/2013/10/Jeffory-Hughes.jpg</t>
  </si>
  <si>
    <t>7100 Hill Hughes Road</t>
  </si>
  <si>
    <t>Fairview Police Department</t>
  </si>
  <si>
    <t>http://wreg.com/2017/09/26/tbi-investigating-williamson-county-officer-involved-shooting/</t>
  </si>
  <si>
    <t>Cody O'Bryan</t>
  </si>
  <si>
    <t>1800 W Charleston Blvd</t>
  </si>
  <si>
    <t>https://www.reviewjournal.com/crime/shootings/man-wanting-to-blast-it-out-with-police-is-killed-by-officer/</t>
  </si>
  <si>
    <t>Anthony Robinson</t>
  </si>
  <si>
    <t>http://www.fatalencounters.org/wp-content/uploads/2013/10/AnthonyRobinson.jpg</t>
  </si>
  <si>
    <t>200-202 25th Street West</t>
  </si>
  <si>
    <t>Palmetto Police Department</t>
  </si>
  <si>
    <t>http://www.bradenton.com/news/local/crime/article175220636.html</t>
  </si>
  <si>
    <t>Jarred Burke</t>
  </si>
  <si>
    <t>http://www.fatalencounters.org/wp-content/uploads/2013/10/JarredBurk.jpg</t>
  </si>
  <si>
    <t>1700 Columbus St</t>
  </si>
  <si>
    <t>New Castle police received a report of a man breaking into cars. Officers found Jarred Burke. Police said Burke refused to stop and attempted to flee from police on a bicycle. Burke was bitten by a police K-9 behind a church. New Castle police said as their officers ran up to call off the dog, Burke pulled a handgun and fired a shot at close range into the chest of one of the officers, who shot and killed him.</t>
  </si>
  <si>
    <t>http://www.theindychannel.com/news/local-news/crime/officer-shot-suspect-killed-during-police-chase-in-new-castle</t>
  </si>
  <si>
    <t>Damian Murray</t>
  </si>
  <si>
    <t>Salmon Street and Pacific Avenue</t>
  </si>
  <si>
    <t>Officers received calls around 11:35 p.m. about a domestic violence situation in an apartment, police said. Officers heard yelling coming from the apartment and heard at least one gunshot. Negotiators were called in and talked with the man for more than three hours. After negotiations stopped at 2:50 a.m., officers heard another gunshot. Police broke into the apartment and shot and killed the man. A woman and some children were taken out of the apartment.</t>
  </si>
  <si>
    <t>http://www.nbcbayarea.com/news/local/Man-Dead-Standoff-Officer-Involved-Shooting-San-Francisco-447391833.html</t>
  </si>
  <si>
    <t>Bryan Wright</t>
  </si>
  <si>
    <t>http://www.fatalencounters.org/wp-content/uploads/2013/10/BryanWright.jpg</t>
  </si>
  <si>
    <t>6428 Hwy 49 N</t>
  </si>
  <si>
    <t>Bryan Wright was allegedly shooting randomly outside a bar and driving. He was shot and killed by police.</t>
  </si>
  <si>
    <t>http://www.wdam.com/story/36435123/man-dead-after-opening-fire-outside-hub-city-nightclub</t>
  </si>
  <si>
    <t>Walter Perez</t>
  </si>
  <si>
    <t>230 Doughty Boulevard</t>
  </si>
  <si>
    <t>Inwood</t>
  </si>
  <si>
    <t>Nassau County Police Department</t>
  </si>
  <si>
    <t>Police were called to Walter Perez's home for a disturbance around 2:20 a.m. Police say that when two officers arrived, they were told by another resident of the home that Perez was in the basement acting violently. When officers went downstairs, they say Perez was naked, apparently drunk, and was covered in his own blood and waste. He was tasered and died.</t>
  </si>
  <si>
    <t>http://longisland.news12.com/story/36435737/police-inwood-man-who-was-acting-erratically-died-after-arrest</t>
  </si>
  <si>
    <t>E 88th Ave and Brighton Rd</t>
  </si>
  <si>
    <t>A person was shot and killed by a deputy. No details were released.</t>
  </si>
  <si>
    <t>http://www.thedenverchannel.com/news/local-news/adams-county-deputy-involved-in-shooting-near-mile-high-flea-market</t>
  </si>
  <si>
    <t>Dillan Tabares</t>
  </si>
  <si>
    <t>http://www.fatalencounters.org/wp-content/uploads/2013/10/Dillan-Tabares.jpg</t>
  </si>
  <si>
    <t>6012 Edinger Ave</t>
  </si>
  <si>
    <t>An officer contacted a man outside a 7-Eleven, and they got into a fight. The officer shot and killed Dillan Tabares.</t>
  </si>
  <si>
    <t>http://ktla.com/2017/09/22/video-shows-huntington-beach-police-officer-shooting-man-outside-7-eleven/</t>
  </si>
  <si>
    <t>Scott Farnsworth</t>
  </si>
  <si>
    <t>http://www.fatalencounters.org/wp-content/uploads/2013/10/ScottFarnsworth.jpg</t>
  </si>
  <si>
    <t>1141 S Crismon Rd</t>
  </si>
  <si>
    <t>Scott Farnsworth was seen acting erratically and waving a gun near Broadway and Crismon roads. Police found Farnsworth near a 7-Eleven. Officers reportedly ordered him to drop the gun. The suspect allegedly raised the gun toward officers and was shot and killed.</t>
  </si>
  <si>
    <t>http://www.abc15.com/news/region-southeast-valley/mesa/mesa-police-officer-involved-shooting-near-southern_crismon</t>
  </si>
  <si>
    <t>3410 Marron Rd</t>
  </si>
  <si>
    <t>Oceanside Beach Police Department</t>
  </si>
  <si>
    <t>Officers were dispatched about 12:15 a.m. in response to a report of a man armed with a knife, police said. When officers arrived, they found a man with a knife. He didn't follow orders and less-lethal weapons were used on him, then dogs were sicced on him, which made him drop the knife. He then allegedly pulled something from his waistband and was shot and killed.</t>
  </si>
  <si>
    <t>https://timesofsandiego.com/crime/2017/09/22/oceanside-police-shoot-kill-knife-wielding-man-outside-shopping-center/</t>
  </si>
  <si>
    <t>Scott Michael Chamberlain</t>
  </si>
  <si>
    <t>http://www.fatalencounters.org/wp-content/uploads/2013/10/Scott-Michael-Chamberlain.jpg</t>
  </si>
  <si>
    <t>S Broad Street and W Martin Luther King Jr. Boulevard</t>
  </si>
  <si>
    <t>http://www.tbreporter.com/crime/hernando-bank-robbery-suspect-dead-deputy-iinvolved-shooting/</t>
  </si>
  <si>
    <t>Austin Clayton Dunsmore</t>
  </si>
  <si>
    <t>http://www.fatalencounters.org/wp-content/uploads/2013/10/austin_dunsmore-1506114464-3073.jpg</t>
  </si>
  <si>
    <t>8134 S Kipling Pkwy</t>
  </si>
  <si>
    <t>Littleton</t>
  </si>
  <si>
    <t>http://www.denverpost.com/2017/09/21/jefferson-county-deputy-shooting/</t>
  </si>
  <si>
    <t>Mack Brinkley</t>
  </si>
  <si>
    <t>1376 N3950 Rd</t>
  </si>
  <si>
    <t>Atoka</t>
  </si>
  <si>
    <t>Mack Brinkley held his estranged wife hostage after fatally shooting another man she was with. After leading troopers on a chase, police said, Brinkley was shot and killed in Atoka County while holding a loaded gun to his wife's head.</t>
  </si>
  <si>
    <t>http://www.kxii.com/content/news/Shooting-prompts-school-lockdown-in-Choctaw-Co-446522813.html</t>
  </si>
  <si>
    <t>Matthew Wells</t>
  </si>
  <si>
    <t>2000 78th St Ct E</t>
  </si>
  <si>
    <t>Police were called by Matthew Wells' mother, who told officers her son was holding a butcher knife to his neck inside her home and was cutting his wrists, police said. When officers arrived, they ordered Wells to come out of the room. When he opened the bedroom door, he was armed with a knife. Police said he charged down the hallway at officers, and he was shot and killed.</t>
  </si>
  <si>
    <t>http://www.kiro7.com/news/local/man-armed-with-knife-shot-and-killed-by-pierce-county-deputy/612943021</t>
  </si>
  <si>
    <t>Jose Felix Reyes</t>
  </si>
  <si>
    <t>http://www.fatalencounters.org/wp-content/uploads/2013/10/Jose-Felix-Reyes.jpg</t>
  </si>
  <si>
    <t>300 Lake Meadows Dr</t>
  </si>
  <si>
    <t>Rockwall</t>
  </si>
  <si>
    <t>Rockwall Police Department</t>
  </si>
  <si>
    <t>Police were in the area of the Bent Creek condominiums looking for a known suspect accused of aggravated assault toward a family member. When officers spotted Jose Reyes, police said he began ramming his SUV into police vehicles. One officer fired less-lethal beanbags at the man, and a second officer shot and killed him.</t>
  </si>
  <si>
    <t>http://www.nbcdfw.com/news/local/Rockwall-Investigating-Officer-Involved-Shooting-Thursday-446522383.html</t>
  </si>
  <si>
    <t>6500 Green Meadow Road</t>
  </si>
  <si>
    <t>Officers responded for a "shots fired" call. They found one victim with a gunshot wound to the hand. Police said they then found the suspect, Haraesheo Rice, still armed. Officers told Rice to drop the gun, but he instead pointed it at officers and waved it in the air and was shot and killed.</t>
  </si>
  <si>
    <t>http://whnt.com/2017/09/20/large-police-presence-on-creighton-ave-in-huntsville/</t>
  </si>
  <si>
    <t>Edward "Eddie" Russell Jr.</t>
  </si>
  <si>
    <t>http://www.fatalencounters.org/wp-content/uploads/2013/10/Edward-Russell-Jr.jpg</t>
  </si>
  <si>
    <t>2800 W Sheffield Dr</t>
  </si>
  <si>
    <t>Peoria Police Department</t>
  </si>
  <si>
    <t>http://www.pjstar.com/news/20170920/peoria-police-fatally-shoot-bank-robbery-suspect</t>
  </si>
  <si>
    <t>David Scott</t>
  </si>
  <si>
    <t>728 Monterey Ave.</t>
  </si>
  <si>
    <t>David Scott was involved in a dispute with his neighbor and attacked a responding police officer, stabbing the officer several times in the head, face and arm before the officer shot and killed him.</t>
  </si>
  <si>
    <t>http://www.cbs8.com/story/36407858/chula-vista-officer-shoots-attacker-who-charged-with-knife-suspect-dies</t>
  </si>
  <si>
    <t>423 Powerhouse Rd</t>
  </si>
  <si>
    <t>Around 9:10 p.m., a 911 caller said he was armed with an AK-47 and would shoot any officers who attempted to come into his home. A neighbor also called to say that the man was outside with a rifle. According to the sheriff's office, neighbors reported that they heard a gunshot and thought the bullet may have hit their home. State police, Grayson County Sheriff's Office, and the Independence Police Department responded. When they arrived, Jimmie Smith came out of the front door with a rifle. He would not drop the rifle and then pointed it in the direction of the officers, who shot and killed him.</t>
  </si>
  <si>
    <t>https://www.wsls.com/news/virginia/southwest-virginia/officer-involved-shooting-in-grayson-county</t>
  </si>
  <si>
    <t>Glenview Dr and Farrington Drive</t>
  </si>
  <si>
    <t>La Porte</t>
  </si>
  <si>
    <t>La Porte Police Department</t>
  </si>
  <si>
    <t>Police responded to reports of a man walking up and down the street with a rifle around 5:30 p.m. As police were speaking with the man's wife, he confronted officers with a rifle. Police said they asked him to drop the gun, but he pointed it at the officers. Officers then shot and killed him.</t>
  </si>
  <si>
    <t>http://www.khou.com/news/local/la-porte-pd-officer-shoots-kills-suspect/477174846</t>
  </si>
  <si>
    <t>Magdiel Sanchez</t>
  </si>
  <si>
    <t>http://www.fatalencounters.org/wp-content/uploads/2013/10/Magdiel-Sanchez.png</t>
  </si>
  <si>
    <t>SE 57th St and S Shields Blvd</t>
  </si>
  <si>
    <t>Oklahoma City police officers shot and killed Magdiel Sanchez in front of his home as he approached them holding a metal pipe because he failed to follow orders. He was deaf. Neighbors were yelling at the officers that he was deaf, but officers didn't hear them.</t>
  </si>
  <si>
    <t>http://www.tulsaworld.com/news/usworld/ap/witnesses-yell-he-can-t-hear-you-as-cops-shoot/article_24794fcd-e2c5-594e-8d0d-3778e4566a49.html</t>
  </si>
  <si>
    <t>Joshua Adam Stubbs</t>
  </si>
  <si>
    <t>http://www.fatalencounters.org/wp-content/uploads/2013/10/Joshua-Adam-Stubbs.png</t>
  </si>
  <si>
    <t>318 W Roosevelt Blvd</t>
  </si>
  <si>
    <t>A deputy saw a white Pontiac traveling near Five Points in Monroe with no taillights. When the deputy attempted to stop the vehicle, the driver, Joshua Adam Stubbs, fled. Stubbs refused to drop his gun and was shot and killed at a store.</t>
  </si>
  <si>
    <t>http://www.wcnc.com/news/crime/armed-man-shot-killed-after-standoff-with-union-co-deputies/477214746</t>
  </si>
  <si>
    <t>Randall S. Ross</t>
  </si>
  <si>
    <t>http://www.fatalencounters.org/wp-content/uploads/2013/10/Randall-Scott-Ross.jpg</t>
  </si>
  <si>
    <t>Walnut Tree Road and Porter Road</t>
  </si>
  <si>
    <t>Bernice</t>
  </si>
  <si>
    <t>http://www.myarklamiss.com/news/local-news/suspect-dead-in-officer-involved-shooting/814996009</t>
  </si>
  <si>
    <t>gun and knife</t>
  </si>
  <si>
    <t>gun and hatchet</t>
  </si>
  <si>
    <t>guns and explosives</t>
  </si>
  <si>
    <t>gun and machete</t>
  </si>
  <si>
    <t>nail gun</t>
  </si>
  <si>
    <t>tire iron</t>
  </si>
  <si>
    <t>toy</t>
  </si>
  <si>
    <t>golf club</t>
  </si>
  <si>
    <t>George Randall Newman</t>
  </si>
  <si>
    <t>Jomekia Turner</t>
  </si>
  <si>
    <t>chainsaw</t>
  </si>
  <si>
    <t>Maeystown</t>
  </si>
  <si>
    <t>Joshua Lanflisi</t>
  </si>
  <si>
    <t>7700 Harlan Avenue</t>
  </si>
  <si>
    <t>Joshua Lanflisi called 911 just after 6:30 a.m., drawing officers to the home on Harlan. He did not say why he was calling, and he did not answer calls back from dispatchers. When officers arrived, Lanflisi initially refused to answer the door, then stepped onto the porch holding a handgun in one hand and a sword in the other. He ignored commands to drop the weapons, and an officer shot and killed him.</t>
  </si>
  <si>
    <t>http://www.stltoday.com/news/local/crime-and-courts/man-shot-oct-by-police-officer-in-south-st-louis/article_4a242c8c-002d-5426-b6e3-46988278ae50.html</t>
  </si>
  <si>
    <t>gun and sword</t>
  </si>
  <si>
    <t>Chad W. Cochell</t>
  </si>
  <si>
    <t>http://www.fatalencounters.org/wp-content/uploads/2013/10/Chad-W.-Cochell.jpg</t>
  </si>
  <si>
    <t>2301 W Wellesley Ave</t>
  </si>
  <si>
    <t>Following a carjacking, in which a person was shot twice, police found the stolen car in a Walmart parking lot. They watched the car and saw several people get in and out of the car while waiting for backup. The vehicle started to move, and police blocking the car in. The passenger in the vehicle got out of car, but the driver didn't get out. Two officers fired on the man, killing him. The events that precipitated the shooting were not reported.</t>
  </si>
  <si>
    <t>http://www.khq.com/story/36524527/spokane-police-shoot-kill-man-outside-shadle-walmart</t>
  </si>
  <si>
    <t>Michael Ferrell</t>
  </si>
  <si>
    <t>http://www.fatalencounters.org/wp-content/uploads/2013/10/Michael-Ferrell.jpg</t>
  </si>
  <si>
    <t>500 N Standage</t>
  </si>
  <si>
    <t>Police responded to a domestic disturbance. Michael Ferrell was in the backyard with a gun under his belt. He ignored orders to drop it and was shot and killed. Police said a beanbag was shot at him first.</t>
  </si>
  <si>
    <t>http://www.azfamily.com/story/36521943/mesa-pd-family-fight-ended-in-officer-involved-shooting</t>
  </si>
  <si>
    <t>Sandra Guardiola aka Sandy Guardiola</t>
  </si>
  <si>
    <t>20 North Shore Blvd</t>
  </si>
  <si>
    <t>Canandaigua</t>
  </si>
  <si>
    <t>Canandaigua Police Department</t>
  </si>
  <si>
    <t>Off-duty parole officer Sandy Guardiola was killed in a police-involved shooting in a Canandaigua apartment complex. Few details were immediately released. A Canandaigua police officer was dispatched to the complex for a wellness check.</t>
  </si>
  <si>
    <t>http://www.democratandchronicle.com/story/news/2017/10/04/canandaigua-fire-department-reported-shooting-pinnacle-north/733458001/</t>
  </si>
  <si>
    <t>Brandon Lee Bohanan</t>
  </si>
  <si>
    <t>http://www.fatalencounters.org/wp-content/uploads/2013/10/Brandon-Lee-Bohanan.png</t>
  </si>
  <si>
    <t>288 Township Drive</t>
  </si>
  <si>
    <t>Hiram</t>
  </si>
  <si>
    <t>Deputies went to a house to serve an arrest warrant for Brandon Lee Bohanan. Family members let deputies in and told them Bohanan was in the basement. Deputies said Bohanan was barricaded in a room and when they gave him orders, he did not comply. Police said there was a confrontation, and a deputy shot and killed Bohanan.</t>
  </si>
  <si>
    <t>http://www.wsbtv.com/news/local/paulding-county/1-killed-in-officer-involved-shooting-in-paulding-county/620171519</t>
  </si>
  <si>
    <t>Cristino Umana-Garcia</t>
  </si>
  <si>
    <t>http://www.fatalencounters.org/wp-content/uploads/2013/10/Cristino-Umana-Garcia.png</t>
  </si>
  <si>
    <t>Finney</t>
  </si>
  <si>
    <t>Finney County Sheriff's Office, Garden City Police Department</t>
  </si>
  <si>
    <t>The Finney County Sheriff's Office received a call just before 11:30 a.m., reporting a man was behaving erratically, and his vehicle had become stuck on an unmaintained road approximately 15 miles southwest of Garden City. A deputy arrived in the area a little before noon and found the man holding a knife to his own throat. He retreated to his vehicle and locked the doors. Police tried to talk to him, but he emerged from his vehicle and charged toward the officers, who shot and killed Cristino Umana-Garcia.</t>
  </si>
  <si>
    <t>http://www.kwch.com/content/news/Man-dies-after-officer-involved-shooting-in-Finney-County-449641683.html</t>
  </si>
  <si>
    <t>German Ornelas</t>
  </si>
  <si>
    <t>http://www.fatalencounters.org/wp-content/uploads/2013/10/German-Ornelas.jpg</t>
  </si>
  <si>
    <t>55 West St. Charles Street</t>
  </si>
  <si>
    <t>Brownsville police were trying to serve a warrant when German Ornelas came at them brandishing a knife. Although the officers ordered Ornelas to put the knife down, he didn't, and he was shot and killed.</t>
  </si>
  <si>
    <t>http://www.brownsvilleherald.com/news/article_308ac166-a9f8-11e7-88d8-df43fba26dea.html</t>
  </si>
  <si>
    <t>Johnny Roy Stokes Jr.</t>
  </si>
  <si>
    <t>http://www.fatalencounters.org/wp-content/uploads/2013/10/Johnny-Roy-Stokes-Jr.png</t>
  </si>
  <si>
    <t>1000 Melissa Cir SW</t>
  </si>
  <si>
    <t>Leeds</t>
  </si>
  <si>
    <t>Leeds Police Department</t>
  </si>
  <si>
    <t>http://www.al.com/news/birmingham/index.ssf/2017/10/leeds_police_officer_involved.html</t>
  </si>
  <si>
    <t>Phumee Lee</t>
  </si>
  <si>
    <t>http://www.fatalencounters.org/wp-content/uploads/2013/10/Phumee-Lee.jpg</t>
  </si>
  <si>
    <t>464 Earl St</t>
  </si>
  <si>
    <t>A woman called 911 after fleeing a house and said that Phumee Lee had shot twice at her inside the home, police said. She also told police that the man had been drinking and using drugs. As Lee fled the house, police pursued him and a confrontation occurred during which Lee was shot and killed.</t>
  </si>
  <si>
    <t>http://www.startribune.com/officer-involved-shooting-reported-in-st-paul/449677803/#1</t>
  </si>
  <si>
    <t>Dale Sisson</t>
  </si>
  <si>
    <t>McIntyre St and W 44th Ave</t>
  </si>
  <si>
    <t>Golden</t>
  </si>
  <si>
    <t>After receiving several reports about a person in a pickup driving erratically on I-70, troopers caught up with the truck near Highway 58. The driver complied with being pulled over—until he pulled out a gun and started shooting at troopers, police said. The truck sped off and got onto Highway 58, but soon after lost control of his truck near the Coors factory. Troopers had followed him, and he shot at troopers again, and troopers shot and killed him.</t>
  </si>
  <si>
    <t>http://www.thedenverchannel.com/news/crime/pickup-truck-driver-dies-after-officer-involved-shooting-with-colorado-state-patrol</t>
  </si>
  <si>
    <t>Ernesto Padron</t>
  </si>
  <si>
    <t>http://www.fatalencounters.org/wp-content/uploads/2013/10/Ernesto-Padron.jpg</t>
  </si>
  <si>
    <t>1949 NW 27th Ave</t>
  </si>
  <si>
    <t>An armed man, Ernesto Padron, led police on a two-hour chase involving two carjackings before jumping in the water of the Miami River and refusing to disarm, police said. He was shot and killed. Police were attempting to serve a warrant for a bank robbery.</t>
  </si>
  <si>
    <t>http://www.miamiherald.com/news/local/crime/article177383851.html</t>
  </si>
  <si>
    <t>Garrett Hoose</t>
  </si>
  <si>
    <t>http://www.fatalencounters.org/wp-content/uploads/2013/10/Garrett-Hoose.jpg</t>
  </si>
  <si>
    <t>200 Constitution St</t>
  </si>
  <si>
    <t>Perryopolis</t>
  </si>
  <si>
    <t>Perryopolis Police Department</t>
  </si>
  <si>
    <t>Perryopolis police officers responded to a welfare call after Garrett Hoose was sending alarming text messages to family members, saying he was going to harm himself. Police said when they arrived, Hoose had a gun, but after attempts to get him to drop the weapon failed, they shot and killed him.</t>
  </si>
  <si>
    <t>http://www.wtae.com/article/psp-officers-open-fire-killing-man-who-refused-to-drop-weapon-in-fayette-county/12800366</t>
  </si>
  <si>
    <t>751 Encanto Pkwy</t>
  </si>
  <si>
    <t>Duarte</t>
  </si>
  <si>
    <t>An unidentified man who was wanted on suspicion of attempted murder was shot and killed by a Pasadena police officer, while a woman in the vehicle with the suspect and a police officer were both wounded, police said.</t>
  </si>
  <si>
    <t>http://ktla.com/2017/10/06/1-injured-after-deputy-involved-shooting-in-duarte/</t>
  </si>
  <si>
    <t>Robert Callejas</t>
  </si>
  <si>
    <t>4100 E Michigan St</t>
  </si>
  <si>
    <t>Police received a call from the Roberto Callejas family at 10:45 a.m. to check on the well-being of Callejas, police said. The family told police Callejas knew there was a warrant for his arrest and was waiting for police with explosives. Callejas had a warrant for his arrest for a failure to appear in an armed trespassing case. Police said when they arrived, Callejas had a knife to his throat and refused to drop it. Police tasered him. Callejas fell down, got back up with what officers thought was a laser connected to a firearm, and officers shot him. Callejas got back up and threatened officers with a knife, and Callejas was shot a second time, killing him.</t>
  </si>
  <si>
    <t>http://www.wftv.com/news/local/orlando-police-investigate-deadly-officer-involved-shooting/620669777</t>
  </si>
  <si>
    <t>Steven P. Myers</t>
  </si>
  <si>
    <t>200 W Main St</t>
  </si>
  <si>
    <t>Barber County Sheriff's Office</t>
  </si>
  <si>
    <t>Barber County Sheriff's Office received a call around 6:30 p.m. about a man threatening people with a gun outside a bar. The man left before deputies arrived. Deputies searched several locations and found him in a shed. When the man came out of the shed, he did not comply with orders from the deputies. One deputy shot him with a beanbag round, killing him.</t>
  </si>
  <si>
    <t>http://www.kwch.com/content/news/One-person-dead-in-Sun-City-shooting-449897833.html</t>
  </si>
  <si>
    <t>James Hartsfield</t>
  </si>
  <si>
    <t>1591 N University Ave</t>
  </si>
  <si>
    <t>James Hartsfield was allegedly driving for a ride service with a container of alcohol. When police tried to stop him, he fought and drove off with off-duty officer Officer Brittany Gunn in the car. She shot and killed him.</t>
  </si>
  <si>
    <t>http://katv.com/news/local/names-of-officers-involved-in-weekend-shooting-released</t>
  </si>
  <si>
    <t>Sabrina Ann Garcia</t>
  </si>
  <si>
    <t>W Baseline Rd &amp; S Ext Rd</t>
  </si>
  <si>
    <t>Officers responded to a report of a woman threatening suicide. Police said officers were attempting to make contact with the woman when she ran from her apartment. Officers followed Sabrina Garcia, and reportedly saw she was holding a handgun. Garcia did not comply with orders to drop the gun. Officers then fired beanbag rounds to disarm her but the rounds were not effective. Police said Garcia turned toward the officers holding the gun, and they shot and killed her.</t>
  </si>
  <si>
    <t>http://www.abc15.com/news/region-southeast-valley/mesa/authorities-investigating-officer-involved-shooting-in-mesa-saturday-night</t>
  </si>
  <si>
    <t>Samuel David Lanham</t>
  </si>
  <si>
    <t>1000 Washington St E</t>
  </si>
  <si>
    <t>https://www.wvgazettemail.com/news/cops_and_courts/man-wanted-for-murder-in-clay-county-shot-killed-after/article_17cdc23a-5d52-5ca1-8dd2-2e80eadf06ce.html</t>
  </si>
  <si>
    <t>Scott Anello</t>
  </si>
  <si>
    <t>1227 Tamm Ave.</t>
  </si>
  <si>
    <t>St. Louis City</t>
  </si>
  <si>
    <t>Police said Scott Anello forced his way into a Dogtown bar and grill and threatened employees with a butcher knife. He was shocked with a Taser by an officer and died.</t>
  </si>
  <si>
    <t>http://www.stltoday.com/news/local/crime-and-courts/knife-wielding-man-tased-by-police-at-dogtown-bar-dies/article_7d984f1e-85ad-5850-aae2-9fa9ac7bbe9f.html</t>
  </si>
  <si>
    <t>Cariann Denise Hithon</t>
  </si>
  <si>
    <t>http://www.fatalencounters.org/wp-content/uploads/2013/10/Cariann-Denise-Hithon.png</t>
  </si>
  <si>
    <t>12th St and Collins Ave</t>
  </si>
  <si>
    <t>About 6:15 p.m., a woman driving a black BMW westbound on 12th Street hit a Mercedes with two men inside after running a red light. An officer who was nearby on foot tried to get her to stop, but she accelerated and hit him, throwing him off his feet, police said. Another officer then opened fire, killing Cariann Hithon. The car continued out of control and struck a parked white SUV.</t>
  </si>
  <si>
    <t>http://www.miamiherald.com/news/local/community/miami-dade/miami-beach/article177776686.html</t>
  </si>
  <si>
    <t>Corey Antonio Boykin Jr.</t>
  </si>
  <si>
    <t>http://www.fatalencounters.org/wp-content/uploads/2013/10/Corey-Antonio-Boykin-Jr..jpg</t>
  </si>
  <si>
    <t>3215 Fern Valley Road</t>
  </si>
  <si>
    <t>Louisville Metro Police responded to a call of an assault in progress and shots fired, police said. As officers investigated the building, two officers made contact with an armed man, and they shot and killed Corey Boykin.</t>
  </si>
  <si>
    <t>http://www.courier-journal.com/story/news/crime/2017/10/08/officer-involved-shooting-okolona/745138001/</t>
  </si>
  <si>
    <t>Glenn Southwood Jr.</t>
  </si>
  <si>
    <t>http://www.fatalencounters.org/wp-content/uploads/2013/10/Glenn-Southwood-Jr.jpg</t>
  </si>
  <si>
    <t>Church Ln and Rhoton Ln</t>
  </si>
  <si>
    <t>Pinetop-Lakeside Police Department</t>
  </si>
  <si>
    <t>Police said Glenn Southwood's mother called the Pinetop-Lakeside Police Department's non-emergency hotline at 10:12 p.m. to report that her son was intoxicated and had threatened to shoot his wife. The woman said her daughter-in-law might have locked herself in a bathroom. Officers went to a home and spoke with Southwood. He allegedly produced a firearm and started shooting at police, wounding an officer. Police fired back at Southwood, and he ducked into the house and barricaded himself inside. He was found dead when police went into the home.</t>
  </si>
  <si>
    <t>http://www.azcentral.com/story/news/local/arizona/2017/10/09/pinetop-lakeside-police-kill-man-shootout-officer-k-9-injured/747702001/</t>
  </si>
  <si>
    <t>100 Harding Avenue</t>
  </si>
  <si>
    <t>About 11 a.m., a caller reported hearing someone screaming in an apartment, police said. When police arrived, the man in the apartment refused to allow officers inside, so they forced their way in. During the entry, officers used pepper spray. Authorities said the man was armed with a knife when three police officers shot and killed him.</t>
  </si>
  <si>
    <t>http://www.latimes.com/local/lanow/la-me-ln-san-fernando-police-shooting-20171008-story.html</t>
  </si>
  <si>
    <t>Regina Twist</t>
  </si>
  <si>
    <t>http://www.fatalencounters.org/wp-content/uploads/2013/10/Regina-Twist.png</t>
  </si>
  <si>
    <t>29 Oliger Drive</t>
  </si>
  <si>
    <t>Conway</t>
  </si>
  <si>
    <t>Around 4 a.m., deputies responded to a disturbance call outside a residence. As deputies approached the home, they encountered Regina Twist, and a fight began. Deputies used a chemical agent and tasered her. Twist subsequently was handcuffed and died.</t>
  </si>
  <si>
    <t>http://www.arklatexhomepage.com/news/local-news/woman-dies-after-being-tased-by-deputies/830534913</t>
  </si>
  <si>
    <t>Robert Avendano</t>
  </si>
  <si>
    <t>22177 Golden View Drive</t>
  </si>
  <si>
    <t>Police executed a search warrant around 10 p.m. Robert Avendano ran from the house to a building a short distance away. He barricaded himself in a small room in the building. A battering ram was used with pepper spray to force the Avendano to leave the room. He came out with a machete. Deputies ordered him to drop the machete, but he continued swinging the machete at them. Deputies shot and killed him.</t>
  </si>
  <si>
    <t>http://www.wcyb.com/news/virginia/washington-county-va/suspectkilled-in-washington-county-va-officer-involved-shooting/634584999</t>
  </si>
  <si>
    <t>Daniel James</t>
  </si>
  <si>
    <t>12888 188th Ave SW</t>
  </si>
  <si>
    <t>Deputies responded to a call about a person who appeared to be suicidal. When they arrived, they found Daniel James was in his car. Deputies said he stepped out with a gun and ignored commands to drop it. When he began to raise it, he was shot and killed.</t>
  </si>
  <si>
    <t>http://www.king5.com/news/local/man-wounded-in-deputy-involved-shooting-in-thurston-county/482421092</t>
  </si>
  <si>
    <t>Brandon Wade Rucker</t>
  </si>
  <si>
    <t>http://www.fatalencounters.org/wp-content/uploads/2013/10/Brandon-Wade-Rucker.jpg</t>
  </si>
  <si>
    <t>7901 N Cortaro Rd</t>
  </si>
  <si>
    <t>Marana police received a call about a domestic dispute at 10 p.m. at The Springs apartment complex. Police said they encountered a man, Brandon Wade Rucker, involved in the disturbance when they arrived. Rucker allegedly had a gun, there was an undisclosed confrontation, and he was shot and killed.</t>
  </si>
  <si>
    <t>http://www.tucsonnewsnow.com/story/36579263/deadly-officer-involved-shooting-in-marana</t>
  </si>
  <si>
    <t>20500 CO-12</t>
  </si>
  <si>
    <t>Las Animas County Sheriff's Office</t>
  </si>
  <si>
    <t>Neighbors called 9-1-1 about a fire in the backyard of a home in Valdez just before 9 p.m. Deputies contacted a man outside the home who was acting suspiciously, police said. The man tried to run from deputies, then attacked as a deputy tried to subdue him, and the man was shot and killed.</t>
  </si>
  <si>
    <t>http://www.koaa.com/story/36581348/man-dies-in-officer-involved-shooting-in-las-animas-county</t>
  </si>
  <si>
    <t>Vincent J. Dronet</t>
  </si>
  <si>
    <t>Popp's Ferry Road and Camp Wilkes Road</t>
  </si>
  <si>
    <t>Police got a shoplifting call from the Home Depot. The man fled the store at about 8 a.m., police said. Vincent Dronet was driving a maroon Dodge Ram pickup, and officers tried to pull him over for a traffic stop, but he fled. He was stopped, and there was an altercation, and officers attempted to use a stun gun on him. He escaped and shots were fired. The truck came to rest when it crashed into a forklift.</t>
  </si>
  <si>
    <t>http://www.sunherald.com/news/local/crime/article178222541.html</t>
  </si>
  <si>
    <t>John Robert Payne</t>
  </si>
  <si>
    <t>http://www.fatalencounters.org/wp-content/uploads/2013/10/John-Robert-Payne.jpg</t>
  </si>
  <si>
    <t>345 State Farm Pkwy</t>
  </si>
  <si>
    <t>Two officers on patrol spotted two vehicles in a parking lot, one of which had the trunk open. There were three people—two men and a woman—near the vehicles. While police were trying to identify one of the people, he took off running, and officers chased him on foot. Both officers allegedly deployed their Taser stun guns, but they had no discernable effect. While running, Payne allegedly fired at officers, and both officers shot and killed him.</t>
  </si>
  <si>
    <t>http://www.al.com/news/birmingham/index.ssf/2017/10/suspect_killed_officer_wounded.html</t>
  </si>
  <si>
    <t>Sean D. Brady</t>
  </si>
  <si>
    <t>http://www.fatalencounters.org/wp-content/uploads/2013/10/Sean-D.-Brady.jpg</t>
  </si>
  <si>
    <t>2601 E Huntington Dr</t>
  </si>
  <si>
    <t>Officers were called to a Walmart store at 10 p.m. for reports of an armed man in the parking lot. When officers arrived, they called to the man who was sitting in a truck before he fired his weapon at them. Police shot and killed Sean D. Brady.</t>
  </si>
  <si>
    <t>http://www.abc15.com/news/region-northern-az/flagstaff/flagstaff-police-involved-in-deadly-shooting-outside-of-walmart-store</t>
  </si>
  <si>
    <t>J.C. Hawkins Jr.</t>
  </si>
  <si>
    <t>http://www.fatalencounters.org/wp-content/uploads/2013/10/J.C.-Hawkins-Jr.jpg</t>
  </si>
  <si>
    <t>300 Riverside Ave</t>
  </si>
  <si>
    <t>Charlottesville</t>
  </si>
  <si>
    <t>Charlottesville City</t>
  </si>
  <si>
    <t>Charlottesville Police Department</t>
  </si>
  <si>
    <t>Charlottesville police officers responded to reports of a sexual assault and robbery. Officers located a victim, a 72-year-old female, who had sustained non-life threatening injuries. The victim was able to provide a description of the suspect. Police then located the suspect on the Rivanna Trail, and he fled on foot at about 1:19 p.m. Police said J.C. Hawkins pointed his gun at the three officers, who shot and killed him.</t>
  </si>
  <si>
    <t>http://www.nbc29.com/story/36591949/charlottesville-police-suspect-dies-in-officer-involved-shooting-near-rivanna-trail</t>
  </si>
  <si>
    <t>4000 Fiesta Way</t>
  </si>
  <si>
    <t>Deputies shot and killed a person suspected of breaking into an Olivehurst home and establishing a barricade in an attic, police said.</t>
  </si>
  <si>
    <t>http://www.sacbee.com/news/local/crime/article178718981.html</t>
  </si>
  <si>
    <t>553 Grand Ave</t>
  </si>
  <si>
    <t>A store employee called police to report a man staggering and possibly under the influence of drugs. Sheriff's deputies responded to the situation with the assistance of a Psychiatric Emergency Response Team (PERT) clinician. After being shot with a stun gun, the man was put in hand and leg restraints; yet continued to struggle with deputies. Deputies believed the man was suffering from a drug overdose so they gave him Naloxone. He died a short time later.</t>
  </si>
  <si>
    <t>http://www.10news.com/news/man-tased-outside-san-marcos-hobby-lobby-dies-say-deputies</t>
  </si>
  <si>
    <t>2900 Sepulveda Blvd</t>
  </si>
  <si>
    <t>Torrance police tried to stop a suspected DUI driver along Pacific Coast Highway and Hawthorne Boulevard, police said. Police attempted a PIT maneuver on the driver, but eventually opened fire, killing him.</t>
  </si>
  <si>
    <t>http://ktla.com/2017/10/14/suspected-dui-driver-fatally-shot-by-police-in-torrance-after-pursuit/</t>
  </si>
  <si>
    <t>Paul Eric Dolen</t>
  </si>
  <si>
    <t>http://www.fatalencounters.org/wp-content/uploads/2013/10/Paul-Eric-Dolen.jpg</t>
  </si>
  <si>
    <t>6155 E Highway 92</t>
  </si>
  <si>
    <t>Wayne County Sheriff's Office</t>
  </si>
  <si>
    <t>Paul Dolen shot and killed his wife, 55-year-old Sandra Dolen, at their home, police said. Paul then went down the road and shot and killed his cousin, 62-year-old Russell Dolen. Deputies met Paul in the family barn across the road, where Paul had two hand-guns and a rifle. Paul shot at the deputies, and deputies shot and killed him.</t>
  </si>
  <si>
    <t>http://www.lex18.com/story/36598545/neighbors-remain-shocked-after-3-killed-in-wayne-county</t>
  </si>
  <si>
    <t>Eric Garrison</t>
  </si>
  <si>
    <t>6001 Harford Rd</t>
  </si>
  <si>
    <t>Officer Kevin Amy drove up to a store at around 2:45 a.m. to find a robbery in progress, police said. The alleged robber, Eric Garrison, was armed with a sawed-off shotgun. He left the store and engaged with the officer but did not fire any shots. His gun was not loaded.</t>
  </si>
  <si>
    <t>http://www.wbal.com/article/270271/2/police-involved-shooting-in-ne-baltimore</t>
  </si>
  <si>
    <t>James Michael Chappell</t>
  </si>
  <si>
    <t>100 Putman St</t>
  </si>
  <si>
    <t>Deputies responded to Putman Street at about 4:45 p.m. in response to an alarm on an building. James Michael Chappell came out from a detached building behind a house, and when deputies challenged him, he ran back inside the building. Chappell allegedly yelled that he had a hostage and came out with a woman and armed with a firearm. At least one deputy shot and killed Chappell.</t>
  </si>
  <si>
    <t>http://www.wyff4.com/article/deputy-involved-in-shooting-coroner-called-dispatchers-say/13030931</t>
  </si>
  <si>
    <t>Luis David Flores</t>
  </si>
  <si>
    <t>http://www.fatalencounters.org/wp-content/uploads/2013/10/Luis-David-Flores.jpg</t>
  </si>
  <si>
    <t>11000 West Massingale Road</t>
  </si>
  <si>
    <t>Deputies responded to a domestic violence-related barricade situation. Deputies arrived at 7 a.m. and learned there was possibly a weapon involved. At 2:30 p.m., the man emerged from the home holding guns and was shot and killed.</t>
  </si>
  <si>
    <t>http://www.kgun9.com/news/local-news/deputies-work-domestic-violence-barricade-in-picture-rocks</t>
  </si>
  <si>
    <t>1101 Kingwood Dr</t>
  </si>
  <si>
    <t>Kingwood</t>
  </si>
  <si>
    <t>Montgomery County Precinct 4 Constable's Office</t>
  </si>
  <si>
    <t>A Montgomery County Precinct 4 Constable's deputy was chasing a motorcycle after its plate allegedly came back "invalid." The motorcycle sped away around 1:30 p.m. Another Precinct 4 Constable's deputy spotted the motorcycle and tried to pull it over. The motorcyclist again sped off, but the deputy was able to keep up with him. He crashed in front of a gas station, then attempted to carjack a BMW sport utility vehicle. The driver of the SUV struggled with the motorcyclist, and the deputy fired his stun gun. When the stun gun did not incapacitate the man, the deputy began to fight with the motorcyclist, who pulled a gun out of his backpack. The deputy shot and killed him, according to police.</t>
  </si>
  <si>
    <t>http://www.chron.com/neighborhood/east-montgomery/news/article/Breaking-Officer-involved-shooting-reported-in-12282055.php</t>
  </si>
  <si>
    <t>35th Street and Prospect</t>
  </si>
  <si>
    <t>As the officers neared, the man dropped a handgun on the ground, Snapp said. When the man picked it up and pointed it at the officers, both officers shot at the man, fatally injuring him.</t>
  </si>
  <si>
    <t>http://www.kansascity.com/news/local/crime/article165747592.html</t>
  </si>
  <si>
    <t>Lake Cook station</t>
  </si>
  <si>
    <t>Orland Park Police Department</t>
  </si>
  <si>
    <t>Parks remained on the outbound train, which McCarthy said prompted investigators to move in. Parks apparently spotted the officers, most of whom, McCarthy said, were in plain clothes with badges around their necks. That prompted Parks to run to the upper level of the rail car, and as one officer attempted to take him into custody, he broke free, pulled out a handgun and fired multiple shots at several officers on the train, officials said.</t>
  </si>
  <si>
    <t>http://www.chicagotribune.com/news/local/breaking/ct-police-shooting-on-commuter-train-metra-met-20170109-story.html</t>
  </si>
  <si>
    <t>La Mesa Police Department, San Diego Police Department, San Diego County Sheriff's Department</t>
  </si>
  <si>
    <t>http://roachfuneralhome.com/wp-content/uploads/bfi_thumb/uploads/wpfuneralpress-cache/Gary-Joe-McCourt-photo-nepxmcg39ujic4qp7zdto6fz7q9jyg99yx29370mzg.jpg</t>
  </si>
  <si>
    <t>http://www.miamiherald.com/news/local/community/broward/gfrob2/picture166105602/alternates/LANDSCAPE_1140/Thomas%20Williams</t>
  </si>
  <si>
    <t>http://www.duaneharveyfuneraldirectors.com/fh_live/15400/15461/images/obituaries/4389696_fbs.jpg</t>
  </si>
  <si>
    <t>Samuel Alamillo</t>
  </si>
  <si>
    <t>Isaiah Obet</t>
  </si>
  <si>
    <t>https://scontent-lga3-1.xx.fbcdn.net/v/t1.0-9/18221582_1486090758097420_358013513844951824_n.jpg?oh=c1d86e67d452399bcb91d2ebfdbcf473&amp;oe=5A67DB03</t>
  </si>
  <si>
    <t>http://ak-cache.legacy.net/legacy/images/Cobrands/SantaFeNewMexican/Photos/0000197061-01-1_20170505.jpg</t>
  </si>
  <si>
    <t>http://ak-cache.legacy.net//legacy/images/cobrands/StarLedger/photos/slb17NicholsonS.jpg_20170519.jpg</t>
  </si>
  <si>
    <t>http://content.kens5.com/photo/2017/04/21/rayvaldez_1492816841136_9282736_ver1.0.JPG</t>
  </si>
  <si>
    <t>Edward Manning III</t>
  </si>
  <si>
    <t>Cleveland Division of Police</t>
  </si>
  <si>
    <t>An officer was investigating an alleged stolen vehicle, according to police. The officer tried to stop Garcia from leaving, and the two struggled over the door of the vehicle. Garcia tried to drive away, and the officer fired about five shots, relatives said, hitting Garcia in the head and chest.</t>
  </si>
  <si>
    <t>Officers were called to an apartment complex for a report of a "suspicious male" in the building. Reports indicated the man, 22, was naked, speaking incoherently and flooding an apartment, police said. A stun gun was used on the man because he was uncooperative. He died after being shocked.</t>
  </si>
  <si>
    <t>Police on patrol saw a green Pontiac Bonneville traveling at a high rate of speed and attempted to initiate a traffic stop, police said. Raynard Burton drove off, struck a nearby utility pole, and led one of the officers chasing him on foot behind a vacant house a quarter-mile away. Police shot Burton alleging he "lunged" towards them.</t>
  </si>
  <si>
    <t>http://hadleyfuneralhome.com/tribute-images/2362/Ultra/ChristopherSales.jpg</t>
  </si>
  <si>
    <t>http://media.gunmemorial.org/photo/52680.jpg</t>
  </si>
  <si>
    <t>http://ak-cache.legacy.net/legacy/images/cobrands/zanesvilletimesrecorder/photos/mnj115486-1_20170808.jpgx?w=130&amp;h=180&amp;option=1&amp;v=0x000000004d4a06b3</t>
  </si>
  <si>
    <t>http://75.103.99.183/obit_images/memorial/77786_memorial.jpg</t>
  </si>
  <si>
    <t>https://s3.amazonaws.com/ogden_images/www.timesobserver.com/images/2017/08/11231420/obit-miller.jpg</t>
  </si>
  <si>
    <t>http://ak-cache.legacy.net//legacy/images/cobrands/limaohio/photos/117935227_web_Obit-Burkholder_20170809.jpg</t>
  </si>
  <si>
    <t>http://ak-cache.legacy.net//legacy/images/cobrands/northjersey/photos/BER020942-1_20170816.jpg</t>
  </si>
  <si>
    <t>http://media.gunmemorial.org/photo/40580.jpg</t>
  </si>
  <si>
    <t>http://kirkfuneralhome.com/sitemaker/memsol_data/1258/1959785/1959785_profile_pic.jpg?1508214002</t>
  </si>
  <si>
    <t>Charles Bossinger was shot and killed by two Lewistown police officers during an incident in the borough Wednesday evening, according to police. Bossinger allegedly exited the residence, walked away, struck a police vehicle, walked toward his residence and then encountered two police officers, according to Torquota. Bossinger was about 20 feet away from two police officers when one of the officers lost his footing and fell. The gunman allegedly ignored commands to drop the weapon and instead pointed a firearm at the downed police officer at 6 p.m., which is when the pair of police officers shot him.</t>
  </si>
  <si>
    <t>http://ak-cache.legacy.net/legacy/Images/Cobrands/DignityMemorial/Photos/92f33389-6537-4906-a433-a684ae7fc68b.jpg</t>
  </si>
  <si>
    <t>https://westernnews.media.clients.ellingtoncms.com/img/photos/2017/05/01/Wayne-Simard-Rebecca._t715.jpg?529764a1de2bdd0f74a9fb4f856b01a9d617b3e9</t>
  </si>
  <si>
    <t>http://ak-cache.legacy.net/legacy/images/cobrands/orangecounty/photos/10940331-1.eps_20170430.jpgx?w=130&amp;h=180&amp;option=1&amp;v=0x000000004d3a7175</t>
  </si>
  <si>
    <t>https://www.rlsmedia.com/sites/default/files/styles/hd/public/field/image/article/img_2607.jpg?itok=s27hWlxe</t>
  </si>
  <si>
    <t>Willie Ivey III</t>
  </si>
  <si>
    <t>Alejandro Gutierrez</t>
  </si>
  <si>
    <t>http://ak-cache.legacy.net/legacy/images/Cobrands/Spokesman/Photos/4e969a6236184d98803fda498a93_0_d13b724dc9a9ff1f56ab5539b14a_033141.jpg</t>
  </si>
  <si>
    <t>http://media.gunmemorial.org/photo/31029.jpg</t>
  </si>
  <si>
    <t>http://www.renakerklockgether.com/fh_live/12200/12260/images/obituaries/4131152_fbs.jpg</t>
  </si>
  <si>
    <t>http://media.graytvinc.com/images/690*388/Matthew+Zank+and+Officer+Kristopher+O+Neill.jpg</t>
  </si>
  <si>
    <t>Taser, Baton</t>
  </si>
  <si>
    <t>air conditioner and glass bottle</t>
  </si>
  <si>
    <t>Stephen Gayle died after police after police arrested him, jamming a knee in his back and punching him in the face while he was on the ground.. Witnesses claimed to that the officers brutally beat the man. Police said he appeared to be on some kind of drug.</t>
  </si>
  <si>
    <t>Ezekiel Juan Duran</t>
  </si>
  <si>
    <t>http://www.fatalencounters.org/wp-content/uploads/2013/10/EzekielJuanDuran.jpg</t>
  </si>
  <si>
    <t>A neighbor called police to report gunshots coming from a second-story apartment. When officers arrived, they also heard gunshots and went to the apartment. A short time later, officers opened fire at the man just outside the second-story apartment, killing him. Details surrounding the killing were not immediately released.</t>
  </si>
  <si>
    <t>http://www.mercedsunstar.com/news/article179348586.html</t>
  </si>
  <si>
    <t>DeAndre Bethea</t>
  </si>
  <si>
    <t>http://www.fatalencounters.org/wp-content/uploads/2013/10/DeAndre-Bethea.jpg</t>
  </si>
  <si>
    <t>715 Kecoughtan Rd</t>
  </si>
  <si>
    <t>Newport News Police Department, Williamsburg Police Department</t>
  </si>
  <si>
    <t>Police from Newport News and Williamsburg saw a pickup truck that had been reported stolen in Chesapeake. The officers followed the truck to a 7-Eleven. When the officers to talk with the people inside the pick-up, the driver drove toward both officers and hit their unmarked car, police said. The officers opened fire on the truck, and three people were hit by the bullets. DeAndre Bethea was killed.</t>
  </si>
  <si>
    <t>http://wric.com/2017/10/18/officer-involved-shooting-investigation-underway-at-hampton-convenience-store/</t>
  </si>
  <si>
    <t>Daniel Spear</t>
  </si>
  <si>
    <t>7811 E. Tanque Verde Road</t>
  </si>
  <si>
    <t>A shooting suspect suspect ran into the Auto Wash Express car wash at 7811 E. Tanque Verde Road. He was found hiding inside, where gunfire between police and the suspect was exchanged. The suspect was killed.</t>
  </si>
  <si>
    <t>http://www.kgun9.com/news/local-news/police-are-in-pursuit-of-a-suspect-after-an-incident-near-pantano-and-wrightstown-</t>
  </si>
  <si>
    <t>Steven Wayne Truex</t>
  </si>
  <si>
    <t>http://www.fatalencounters.org/wp-content/uploads/2013/10/StephenTruex.jpg</t>
  </si>
  <si>
    <t>Police went to a home where domestic violence was alleged to try to talk to Steven Truex. He was allegedly combative and armed when officers tried to contact him. The officers asked him to put down his unspecified weapon, but he didn't, police said. Edwards said officers unsuccessfully used their Tasers, and Truex was shot and killed.</t>
  </si>
  <si>
    <t>http://www.al.com/news/index.ssf/2017/10/birmingham_police_on_scene_of.html</t>
  </si>
  <si>
    <t>Mitchell Fox</t>
  </si>
  <si>
    <t>http://www.fatalencounters.org/wp-content/uploads/2013/10/Mitchell-Fox.png</t>
  </si>
  <si>
    <t>2168 Druid Rd</t>
  </si>
  <si>
    <t>Mitchell Fox was shot and killed when he allegedly pointed a gun at police who were investigating a suicidal threat, police said.</t>
  </si>
  <si>
    <t>http://www.abcactionnews.com/news/region-north-pinellas/clearwater/man-shot-and-killed-by-clearwater-police-after-refusing-to-drop-his-gun</t>
  </si>
  <si>
    <t>Matthew Alan Whitley</t>
  </si>
  <si>
    <t>http://www.fatalencounters.org/wp-content/uploads/2013/10/Matthew-Alan-Whitley.jpg</t>
  </si>
  <si>
    <t>Kings Mountain</t>
  </si>
  <si>
    <t>York County Sheriff's Office, Clover Police Department</t>
  </si>
  <si>
    <t>Matthew Whitley led police on a wild police chase that crossed state lines and three counties and ended with the suspect being fatally shot by officers following an exchange of gunfire, police said.</t>
  </si>
  <si>
    <t>http://www.wsoctv.com/news/local/shots-fired-at-officers-during-police-chase-across-state-lines-troopers-say/626928167</t>
  </si>
  <si>
    <t>Alexander Ochoa</t>
  </si>
  <si>
    <t>Armando Frank</t>
  </si>
  <si>
    <t>http://www.fatalencounters.org/wp-content/uploads/2013/10/ArmandoFrank_Horizontal.jpg</t>
  </si>
  <si>
    <t>7162 LA-1</t>
  </si>
  <si>
    <t>Mansura</t>
  </si>
  <si>
    <t>Avoyelles Parish Sheriff's Office</t>
  </si>
  <si>
    <t>Deputies spotted Armando Frank, who was wanted on several warrants, sitting on a tractor outside a Walmart. When they attempted to arrest him, Frank resisted and was tasered by the deputies. He continued to resist and was tasered again, killing him.</t>
  </si>
  <si>
    <t>http://www.kalb.com/content/news/APSO-Suspect-dies-after-struggle-with-deputies-451918333.html</t>
  </si>
  <si>
    <t>unarmed</t>
  </si>
  <si>
    <t>Jamarco McShann</t>
  </si>
  <si>
    <t>http://www.fatalencounters.org/wp-content/uploads/2013/10/jamarco-mcshann-2.jpg</t>
  </si>
  <si>
    <t>3680 Pinnacle Park Dr</t>
  </si>
  <si>
    <t>Moraine</t>
  </si>
  <si>
    <t>Moraine Police Department</t>
  </si>
  <si>
    <t>Police were investigating a report of a suspicious person in a vehicle at an apartment complex. Jamarco McShann allegedly pointed a gun at them, and the officers shot and killed him, police said.</t>
  </si>
  <si>
    <t>https://www.daytondailynews.com/news/local/signal-dropped-officers-report-shots-fired-moraine/ox4L5r7nOvFLpVXdLxQVdI/</t>
  </si>
  <si>
    <t>Phillip Joel Trammell</t>
  </si>
  <si>
    <t>http://www.fatalencounters.org/wp-content/uploads/2013/10/Phillip-Joel-Trammell.jpg</t>
  </si>
  <si>
    <t>907 Pine Street</t>
  </si>
  <si>
    <t>Muldrow</t>
  </si>
  <si>
    <t>Sequoyah County Sheriff's Office</t>
  </si>
  <si>
    <t>A deputy and a police officer went to a residence at about 4:25 p.m. to serve an arrest warrant. Phillip Trammell was wanted for forgery, child support and being out of compliance with sex offender registry. The officers found Trammell hiding under a pile of clothes, police said. Trammell reportedly lunged at the officers, and after a scuffle, he was shot and killed.</t>
  </si>
  <si>
    <t>http://5newsonline.com/2017/10/20/sequoyah-county-deputy-taken-to-hospital-with-stab-wounds/</t>
  </si>
  <si>
    <t>Dewboy Lister</t>
  </si>
  <si>
    <t>http://www.fatalencounters.org/wp-content/uploads/2013/10/Dewboy-Lister.jpg</t>
  </si>
  <si>
    <t>http://www.kristv.com/story/36644366/ccpd-releases-details-on-officer-involved-shooting</t>
  </si>
  <si>
    <t>Jorge Cabrera</t>
  </si>
  <si>
    <t>Jorge Cabrera called police shortly before 8 p.m., saying that he stabbed and possibly killed his wife, police said. When five officers arrived at an apartment complex, they approached Cabrera and told him to put down his knife. The man, standing outside the residence and armed with a long kitchen knife, refused to put down the weapon and instead charged at officers, who shot and killed him.</t>
  </si>
  <si>
    <t>http://www.chron.com/houston/article/Officer-involved-shooting-in-NW-Houston-12295202.php</t>
  </si>
  <si>
    <t>Victor Gonzalez Gonzalez</t>
  </si>
  <si>
    <t>Cloverdale</t>
  </si>
  <si>
    <t>Cloverdale Police Department</t>
  </si>
  <si>
    <t>A resident on Garden Circle Way reported seeing a prowler at 1:46 a.m., police said. When officers arrived, they found the suspect in the backyard of a home holding an unidentified weapon, police said. The person advanced at the officers wielding the weapon, and they shot and killed Victor Gonzalez Gonzalez.</t>
  </si>
  <si>
    <t>http://www.pressdemocrat.com/news/local/7549301-181/cloverdale-officers-kill-suspected-prowler</t>
  </si>
  <si>
    <t>Jason Daniel Marble</t>
  </si>
  <si>
    <t>http://www.fatalencounters.org/wp-content/uploads/2013/10/jason-marble.jpg</t>
  </si>
  <si>
    <t>408 Indiana Ave</t>
  </si>
  <si>
    <t>Girard Police Department</t>
  </si>
  <si>
    <t>Two Girard police officers were called to a home just after 10 p.m. for a domestic complaint. When the officers arrived, as they were standing by the front door, Jason Marble shot and killed Officer Justin Leo, 31. The other officer shot and killed Marble, police said.</t>
  </si>
  <si>
    <t>http://wkbn.com/2017/10/21/departments-on-scene-of-possible-police-involved-shooting-in-girard/</t>
  </si>
  <si>
    <t>Nicholas Adam Pimentel</t>
  </si>
  <si>
    <t>http://www.fatalencounters.org/wp-content/uploads/2013/10/Nicholas-Pimentel.jpg</t>
  </si>
  <si>
    <t>Imperial Avenue and Ustick Road</t>
  </si>
  <si>
    <t>Nicholas Pimentel was fleeing Ceres police when he was shot and killed, police said. The reason for the chase or what precipitated the killing was not immediately reported.</t>
  </si>
  <si>
    <t>http://www.kcra.com/article/man-killed-in-officer-involved-shooting-in-modesto/13066545</t>
  </si>
  <si>
    <t>Samantha Nicole Hennard</t>
  </si>
  <si>
    <t>2112 S. 10th St.</t>
  </si>
  <si>
    <t>St. Joseph police responded to a disturbance call outside Neighborhood Tavern around 6 p.m. to find several people fleeing the scene, police said. The officers chased after them until Samantha Hennard pulled out a gun and shot at the officers. Officers shot and killed her.</t>
  </si>
  <si>
    <t>http://www.newspressnow.com/news/local_news/update-woman-killed-after-shooting-at-police/article_90c7513d-8980-5440-80f3-4a12442e110a.html</t>
  </si>
  <si>
    <t>Johnny Bonta</t>
  </si>
  <si>
    <t>http://www.fatalencounters.org/wp-content/uploads/2013/10/Johnny-Bonta.jpg</t>
  </si>
  <si>
    <t>1800 Sullivan Ln</t>
  </si>
  <si>
    <t>Police responded to a report of a domestic disturbance. Johnny Bonta of Sparks died after three officers opened fire on him after he came out of the apartment armed with a shotgun and wouldn't drop the weapon.</t>
  </si>
  <si>
    <t>http://www.ktvn.com/story/36653411/officer-involved-shooting-in-sparks</t>
  </si>
  <si>
    <t>Dexter David Anthony Baxter</t>
  </si>
  <si>
    <t>Crandon</t>
  </si>
  <si>
    <t>Crandon Police Department</t>
  </si>
  <si>
    <t>An officer and Dexter David Anthony Baxter got into a fight at a traffic stop, police said. The officer shot at and killed Baxter.</t>
  </si>
  <si>
    <t>http://www.wjfw.com/storydetails/20171023141408/update__officer_shoots_kills_man_after_traffic_stop_physical_struggle_in_crandon</t>
  </si>
  <si>
    <t>Matthew David Palaita</t>
  </si>
  <si>
    <t>Pleasant Avenue and Turner Road</t>
  </si>
  <si>
    <t>About 8:20 a.m., a Lodi police officer stopped a vehicle, police said. A man sitting in the backseat of the vehicle allegedly began showing "suspicious behavior." Police said they shot the man after he got out of the vehicle and pointed a gun at an officer.</t>
  </si>
  <si>
    <t>http://www.recordnet.com/news/20171023/35-year-old-man-shot-killed-by-police-in-lodi</t>
  </si>
  <si>
    <t>Ashleigh Bertucci</t>
  </si>
  <si>
    <t>Police were initially called because Ashleigh Bertucci was suicidal. After ascertaining she was OK, they left, but were called back. They found her in a vehicle and Bertucci was shot and killed, although was precipitated the killing was not immediately disclosed.</t>
  </si>
  <si>
    <t>http://www.wdrb.com/story/36664711/ksp-investigating-shelbyville-officer-who-shot-and-killed-woman</t>
  </si>
  <si>
    <t>Darius Miller Jr.</t>
  </si>
  <si>
    <t>An off-duty Baltimore police officer was awakened by an armed burglar inside his city home, wrestled a gun from the man and fatally shot him with it, according to police.</t>
  </si>
  <si>
    <t>http://www.baltimoresun.com/news/maryland/crime/bs-md-ci-off-duty-shooting-20171023-story.html</t>
  </si>
  <si>
    <t>Highway 24</t>
  </si>
  <si>
    <t>Fort Yates</t>
  </si>
  <si>
    <t>Sioux</t>
  </si>
  <si>
    <t>Bureau of Indian Affairs</t>
  </si>
  <si>
    <t>Police said before 8 p.m., officers responded to a report of shots fired at a Fort Yates gas station. Officers spotted the suspect vehicle travelling west on Highway 24 and pulled it over. During the stop, one of the suspects exited the vehicle and walked toward officers with his hands in his pockets. He ignored officers commands to show his hands and was shot and killed.</t>
  </si>
  <si>
    <t>http://www.kfyrtv.com/content/news/Man-killed-in-officer-involved-shooting-on-Standing-Rock-Reservation-453136573.html</t>
  </si>
  <si>
    <t>David Campos</t>
  </si>
  <si>
    <t>5512 Bellaire Blvd</t>
  </si>
  <si>
    <t>Bellaire</t>
  </si>
  <si>
    <t>Around 6:30 a.m. police say a man robbed a Southside Place CVS then rode a bus to a McDonald's. He waited for customers to leave the restaurant, then allegedly assaulted the manager.As he left the McDonald's, still with the screwdriver and a pair of scissors, one Bellaire officer and two HPD homicide officers caught up to him. Police said the man stood in the middle of Bellaire Boulevard, refusing to drop the screwdriver or scissors. The man was hit by one taser. Police say it had no effect on him and he continued to threaten the officers. At that point, the Houston officer shot and killed him.</t>
  </si>
  <si>
    <t>http://abc13.com/suspect-wounded--in-officer-involved-shooting/2561444/</t>
  </si>
  <si>
    <t>Brandon Uzialko</t>
  </si>
  <si>
    <t>http://www.fatalencounters.org/wp-content/uploads/2013/10/Brandon-Uzialko.jpg</t>
  </si>
  <si>
    <t>13 Prospect St</t>
  </si>
  <si>
    <t>Norwich Police Department, Connecticut State Police</t>
  </si>
  <si>
    <t>Brandon Uzialko was a suspect in an attempted murder and home in Norwich. Police said Uzialko entered a home with knives and possibly a handgun, and stabbed a man inside several times. The victim suffered life-threatening injuries. During the search for him, Uzialko and Norwich police officers exchanged gunfire, then Uzialko escaped, police said. Uzialko and was located several hours later in the area of 13 Prospect St. and he was pronounced dead.</t>
  </si>
  <si>
    <t>http://www.necn.com/news/new-england/Police-Searching-for-Armed-Suspect-in-Norwich-452886763.html</t>
  </si>
  <si>
    <t>Sean Bohinski</t>
  </si>
  <si>
    <t>http://www.fatalencounters.org/wp-content/uploads/2013/10/Sean-Bohinski.jpg</t>
  </si>
  <si>
    <t>200 Canal St</t>
  </si>
  <si>
    <t>Nanticoke</t>
  </si>
  <si>
    <t>Pennsylvania Fish and Boat Commission</t>
  </si>
  <si>
    <t>A Pennsylvania Fish and Boat Commission officer fatally shot a Nanticoke man in a wooded area along the Susquehanna River after Sean Bohinski allegedly assaulted and tried to drown him, police said.</t>
  </si>
  <si>
    <t>http://citizensvoice.com/news/fish-and-boat-officer-fatally-shoots-alleged-assailant-1.2259187</t>
  </si>
  <si>
    <t>Antonio Levison</t>
  </si>
  <si>
    <t>http://www.fatalencounters.org/wp-content/uploads/2013/10/Antonio-Levison.jpg</t>
  </si>
  <si>
    <t>Police were called for a report of shots fired. Officers encountered two "suspicious men" who they tried to stop, police said. One of the men showed a handgun. Both of the men ran away, and a gun fell from one of the men who fell down as police gave chase. Officers continued to chase the second man and gave commands for him to stop and put his hands up before they ran in the backyard of a home. The man allegedly showed a gun and the officer shot and killed him.</t>
  </si>
  <si>
    <t>http://www.cleveland.com/metro/index.ssf/2017/10/cleveland_police_officer_kills.html</t>
  </si>
  <si>
    <t>Timothy Earl Jackson</t>
  </si>
  <si>
    <t>http://www.fatalencounters.org/wp-content/uploads/2013/10/Timothy-Earl-Jackson.png</t>
  </si>
  <si>
    <t>2940 Freemont Ter S</t>
  </si>
  <si>
    <t>A St. Petersburg patrol officer spotted a stolen pickup truck at the Choice Food Store. When the officer tried to make a traffic stop, the pickup truck turned into an alley. Two patrol cruisers turned in behind the truck. The driver, Timothy Earl Jackson allegedly shot at one of the police cruisers while the officer was still inside. The bullets hit the front of the car and the hood. Police officers shot and killed Jackson.</t>
  </si>
  <si>
    <t>http://wfla.com/2017/10/25/armed-carjacking-suspect-dies-after-shootout-with-st-pete-police/</t>
  </si>
  <si>
    <t>James M. Davis</t>
  </si>
  <si>
    <t>http://www.fatalencounters.org/wp-content/uploads/2013/10/James-M.-Davis.jpg</t>
  </si>
  <si>
    <t>65 Lattabrook Rd</t>
  </si>
  <si>
    <t>Horseheads</t>
  </si>
  <si>
    <t>Chemung</t>
  </si>
  <si>
    <t>Elmira Police Department, Chemung County Sheriff's Office, New York State Police</t>
  </si>
  <si>
    <t>James M. Davis was a suspect in an armed Elmira home invasion. He was shot and killed by officers after allegedly shooting at law enforcement during a low-speed pursuit.</t>
  </si>
  <si>
    <t>http://www.stargazette.com/story/news/public-safety/2017/10/26/police-chase-suspect-gunshots-fired-horseheads/802712001/</t>
  </si>
  <si>
    <t>Sanders Surber</t>
  </si>
  <si>
    <t>CR 48 and CR 13</t>
  </si>
  <si>
    <t>Fairhope</t>
  </si>
  <si>
    <t>Fairhope Police Department</t>
  </si>
  <si>
    <t>Police received reports of suspicious activity at the Fairhope Walmart parking lot around 4:30 p.m. Before police arrived, a vehicle was stolen. The stolen car was spotted, and a chase began. The vehicle wrecked, and one person was taken into custody at that time, while the second ran into a wooded area and later stole another vehicle and another chase took place. Sanders Surber was shot and killed, but details as to what precipitated the killing weren't immediately released.</t>
  </si>
  <si>
    <t>http://local15tv.com/news/local/baldwin-co-sheriffs-deputies-involved-in-shooting-investigation</t>
  </si>
  <si>
    <t>Charles L. Wallace</t>
  </si>
  <si>
    <t>E 3rd St and Parade St</t>
  </si>
  <si>
    <t>Two Erie police officers on patrol spotted a stolen minivan parked along East Third Street and were approaching it when the van accelerated at the officers, police said. The van came “very close” to the officers when they fired at it with their guns, killing Charles Wallace, 46, who was driving it, he said.</t>
  </si>
  <si>
    <t>http://www.goerie.com/news/20171027/news-conference-set-in-officer-involved-shooting-in-erie</t>
  </si>
  <si>
    <t>Jerry Richardson</t>
  </si>
  <si>
    <t>SW Charleston Street and SW Dr Martin L King Jr Dr</t>
  </si>
  <si>
    <t>Indiantown</t>
  </si>
  <si>
    <t>Martin County Sheriff's Office</t>
  </si>
  <si>
    <t>About 11:30 p.m., a deputy approached a man who was carrying a machete. A fight happened and Jerry Richardson was shot and killed. Details weren't immediately released.</t>
  </si>
  <si>
    <t>http://www.wptv.com/news/region-martin-county/indiantown/1-dead-after-martin-co-deputy-involved-shooting-in-indiantown</t>
  </si>
  <si>
    <t>Baltazar Escaloma-Baez</t>
  </si>
  <si>
    <t>http://www.fatalencounters.org/wp-content/uploads/2013/10/Baltazar-Escaloma-Baez.jpg</t>
  </si>
  <si>
    <t>OR-18 and OR-22</t>
  </si>
  <si>
    <t>Grand Ronde</t>
  </si>
  <si>
    <t>Baltazar Escaloma-Baez shot and killed following an armed carjacking, robbery and police chase. Details weren't immediately released as to what precipitated the killing.</t>
  </si>
  <si>
    <t>https://www.thenewsguard.com/news/shooting-police-shooting--year-old-killed/article_1bf6acd4-bbe5-11e7-8737-ab058898a5e7.html</t>
  </si>
  <si>
    <t>Danny Sanchez</t>
  </si>
  <si>
    <t>http://www.fatalencounters.org/wp-content/uploads/2013/10/Danny-Sanchez.png</t>
  </si>
  <si>
    <t>Greeley police shot and killed Danny Sanchez whom they said rammed a police vehicle and pointed a gun at officers. Sanchez was wanted on felony warrants.</t>
  </si>
  <si>
    <t>http://www.greeleytribune.com/news/crime/greeley-police-shoot-kill-man-wanted-on-warrants-during-attempted-arrest/</t>
  </si>
  <si>
    <t>gun and car</t>
  </si>
  <si>
    <t>Lucas De Ford</t>
  </si>
  <si>
    <t>Black River Falls</t>
  </si>
  <si>
    <t>Lucas De Ford was shot following a car chase. Just before 1 a.m., a deputy responded to a reported disorderly conduct matter that involved a restraining order injunction between two people. The deputy saw the vehicle moving and chased it.</t>
  </si>
  <si>
    <t>http://www.weau.com/content/news/Deputy-shoots-kills-man-near-Black-River-Falls-453852213.html</t>
  </si>
  <si>
    <t>Eric Higgs</t>
  </si>
  <si>
    <t>http://www.fatalencounters.org/wp-content/uploads/2013/10/eric-higgs.jpg</t>
  </si>
  <si>
    <t>I-55 &amp; MS-310</t>
  </si>
  <si>
    <t>Senatobia</t>
  </si>
  <si>
    <t>Tate</t>
  </si>
  <si>
    <t>Hernando Police Department</t>
  </si>
  <si>
    <t>Eric Higgs was wanted for the murder of his wife. He was being chased by police when he crashed his car into a semi on I-55 outside of Senatobia. Police shot and killed him when he moved inside the car.</t>
  </si>
  <si>
    <t>http://www.localmemphis.com/news/local-news/officer-involved-standoff-shut-down-i-55-near-senatobia-in-como-mississippi/846965072</t>
  </si>
  <si>
    <t>Mark Bidon</t>
  </si>
  <si>
    <t>13101 E Broncos Pkwy</t>
  </si>
  <si>
    <t>http://denver.cbslocal.com/2017/10/30/arapahoe-county-shooting-2/</t>
  </si>
  <si>
    <t>Dante Holden</t>
  </si>
  <si>
    <t>195 South 6th Street</t>
  </si>
  <si>
    <t>An off-duty Jersey City police officer fatally shot Dante Holden, 19, and Tymyr Wilson, 21, when they allegedly tried to rob him.</t>
  </si>
  <si>
    <t>http://abc7ny.com/2-fatally-shot-by-off-duty-officer-during-robbery-attempt-in-newark/2582986/</t>
  </si>
  <si>
    <t>Tymyr Wilson</t>
  </si>
  <si>
    <t>31458 Pacific Hwy S</t>
  </si>
  <si>
    <t>Someone called 9-1-1 and said that a man was threatening two other men with a gun at the Pink Elephant car wash. Police said the two victims did not know the man threatening them. When Federal Way police arrived, they found a man threatening the two other men, but the man pointed his gun at the officers, who shot and killed him.</t>
  </si>
  <si>
    <t>http://komonews.com/news/local/one-man-killed-in-officer-involved-shooting-in-federal-way</t>
  </si>
  <si>
    <t>Jesus Birelas-Contreras</t>
  </si>
  <si>
    <t>East Weddell Drive and Fair Oaks Avenue</t>
  </si>
  <si>
    <t>Jesus Birelas-Contreras shot and killed by police Tuesday stabbed his girlfriend and fatally wounded a police dog named Jax before he threw a butcher knife at officers, according to the Sunnyvale Department of Public Safety.</t>
  </si>
  <si>
    <t>http://www.mercurynews.com/2017/11/01/sunnyvale-jax-the-police-dog-killed-by-slain-stabbing-suspect/</t>
  </si>
  <si>
    <t>Luvelle Kennon</t>
  </si>
  <si>
    <t>6201 Shaker Drive</t>
  </si>
  <si>
    <t>Luvelle held a 70-year-old first-grade teacher hostage at his daughter's Southern California school during what his family said was an emotional crisis.</t>
  </si>
  <si>
    <t>http://abcnews.go.com/US/wireStory/motives-probed-man-killed-holding-teacher-hostage-50854456</t>
  </si>
  <si>
    <t>bat</t>
  </si>
  <si>
    <t>bottle</t>
  </si>
  <si>
    <t>scissors</t>
  </si>
  <si>
    <t>stick</t>
  </si>
  <si>
    <t>knife, toy</t>
  </si>
  <si>
    <t>Off-duty U.S. Border Patrol agent Juan Hernandez, 44, was sitting in his vehicle on Camelia Street with his unnamed girlfriend when the woman's ex-boyfriend, identified as  21-year-old Jesse Garcia drove up, police said. Garcia approached the driver's side of the agent's car and allegedly pointed a pistol at Hernandez. The two men reportedly struggled with the gun and Hernandez was shot in the leg. Garcia fled and was discovered a short time later at his family home. When deputies and police approached Garcia opened fire. He said officers returned fire. Garcia was struck in the leg, arm and torso. During the gunbattle Garcia's mother, 57-year-old Maria Isabel Garcia, came out of her house and was shot in the back and killed.</t>
  </si>
  <si>
    <t>Police said Bradley was shot and killed after firing on sheriff's deputies and refusing to surrender during a standoff at a home. The Harford County Sheriff's Office said that deputies responded after reports of a suicidal person. Deputies had attempted to communicate with the man in person and by phone, but after some negotiations, he came out of the home. Though three guns, including an assault rifle were found inside the house following the shooting, Davis said Bradley was unarmed, but had his hands in his pocket when he was shot. Police shot and killed him.</t>
  </si>
  <si>
    <t>http://fox13now.com/2016/04/28/upd-k-9-officer-killed-after-swat-standoff-in-millcreek/</t>
  </si>
  <si>
    <t>Unified Police said the K-9 went in first to search for the suspect and was shot. Police then returned fire.</t>
  </si>
  <si>
    <t>4300 South, 700 East</t>
  </si>
  <si>
    <t>http://www.wbrz.com/news/man-injured-during-officer-involved-shooting-in-plaquemine-dies/</t>
  </si>
  <si>
    <t>13442 Bellaire Blvd</t>
  </si>
  <si>
    <t>77083</t>
  </si>
  <si>
    <t>Harris County Attorney's Office</t>
  </si>
  <si>
    <t>County investigator Anthony Yet broke up a fight at a restaurant at the request of its owner. He pushed the two men involved in the fight out of the restaurant and did not let them back in. One disputant, Trieu, began shooting into the restaurant. Yet fatally shot him as he tried to re-enter the restaurant.</t>
  </si>
  <si>
    <t>http://www.click2houston.com/news/hcso-county-investigator-opens-fire-on-gunman-at-restaurant/31046648</t>
  </si>
  <si>
    <t>Slauson Ave and Brynhurst Ave</t>
  </si>
  <si>
    <t>90043</t>
  </si>
  <si>
    <t>Gang officers stopped a car. A man armed with a gun got out of the car, LAPD Chief Charlie Beck said. A scuffle ensued, Beck said, and at some point, police opened fire, killing Bursey.</t>
  </si>
  <si>
    <t>http://homicide.latimes.com/post/keith-myron-bursey-jr/</t>
  </si>
  <si>
    <t>http://www.fatalencounters.org/wp-content/uploads/2013/10/James-Craig-Simpson.jpg</t>
  </si>
  <si>
    <t>89143</t>
  </si>
  <si>
    <t>Police said Simpson shot and killed Branden Hughes, 31, and Felicia Wimberly-Hughes, 46, before Metro officers arrived in the neighborhood. Metro K-9 Officer Nicky was killed in an exchange of gunfire with Simpson and the officers.</t>
  </si>
  <si>
    <t>http://news3lv.com/news/local/suspect-in-fatal-shootings-that-involved-k-9-nicky-dies-from-wounds</t>
  </si>
  <si>
    <t>9800 Fast Elk Street</t>
  </si>
  <si>
    <t>9525 Grovedale Cir</t>
  </si>
  <si>
    <t>33578</t>
  </si>
  <si>
    <t>Deputies Austin O'Neill and Joshua Berrios responded to an apartment the couple shared after the 24-year-old woman reported that Valladares pulled her hair and ripped her robe during an argument, police said. While they were interviewing her, the woman's mother told the deputies she saw Valladares in the parking lot. Valladares became verbally aggressive as the deputies approached him. He then pulled out a Smith &amp; Wesson .40-claiber handgun from his pocket and raised it up. O'Neill and Berrios drew their guns and shot Valladares. He died on July 24.</t>
  </si>
  <si>
    <t>http://www.tampabay.com/news/publicsafety/crime/riverview-man-shot-in-gunfight-with-hillsborough-deputies-dies-in-hospital/2286666</t>
  </si>
  <si>
    <t>http://www.dailyitem.com/news/man-allegedly-charges-at-police-officers-with-an-ax-and/article_d08d158a-aa65-11e6-a83a-bf9f68f9a7a6.html</t>
  </si>
  <si>
    <t>Police said Young attempted to barricade himself inside his residence. When the officers entered the home, he attacked and Grassley shot him twice, state police said.</t>
  </si>
  <si>
    <t>Scott Township Police Department</t>
  </si>
  <si>
    <t>2700 Lackawanna Ave</t>
  </si>
  <si>
    <t>http://www.fatalencounters.org/wp-content/uploads/2013/10/Ferguson.jpg</t>
  </si>
  <si>
    <t>85326</t>
  </si>
  <si>
    <t>Police received a call from someone out of state asking them to check on the residents of a home in Buckeye, according to police. The caller said a man at the home had shot a woman. Multiple law-enforcement agencies responded. When they arrived, someone shot at them, according to Buckeye police, and officers returned fire. Police reported a man dead at the scene, but officials would not confirm whether he had been hit by police or whether the gunshot wounds were self-inflicted.</t>
  </si>
  <si>
    <t>http://www.azcentral.com/story/news/local/phoenix-breaking/2016/06/25/buckeye-police-respond-reported-shooting/86393894/</t>
  </si>
  <si>
    <t>799 Arlington Rd</t>
  </si>
  <si>
    <t>45309</t>
  </si>
  <si>
    <t>http://www.daytondailynews.com/news/crime--law/victim-brookville-shooting-had-multiple-misdemeanor-charges/UwJaxRWgvg9RP6dKWnGAMO/</t>
  </si>
  <si>
    <t>http://www.fatalencounters.org/wp-content/uploads/2013/10/Gary-Don-Lafon.jpg</t>
  </si>
  <si>
    <t>134 CR 3955</t>
  </si>
  <si>
    <t>Hawkins</t>
  </si>
  <si>
    <t>75765</t>
  </si>
  <si>
    <t>Wood County Sheriff's Office</t>
  </si>
  <si>
    <t>Wood County Deputies responded to a call regarding a suicidal man. The man was identified as 56 year-old, Gary Don Lafon. Deputies arrived on scene and made several attempts to make contact with Lafon by phone and the vehicles loud speaker. Deputies made entry to the residence by the front door. Upon entry Lafon pointed a firearm at the deputies and was shot and killed.</t>
  </si>
  <si>
    <t>http://www.cbs19.tv/news/local/deputy-involved-shooting-one-dead/322096233</t>
  </si>
  <si>
    <t>http://extras.mnginteractive.com/live/media/site21/2016/0918/20160918_093454_20160912_032101_unnamed_200.png</t>
  </si>
  <si>
    <t xml:space="preserve"> U.S. 287 and Oxford Road </t>
  </si>
  <si>
    <t>Boulder County dispatchers received multiple reports of a shirtless man with some type of weapon tucked into his waistband standing on the side of U.S. 287, who appeared to be trying to fight with passing traffic, police said. When Deputy Javes arrived, Shaffer opened fire. Javes shot Shaffer, and he died on Sept. 18.</t>
  </si>
  <si>
    <t>http://www.dailycamera.com/boulder-county-news/ci_30375073/adrian-joseph-shaffer-dies-us-287-gunfight</t>
  </si>
  <si>
    <t>http://ak-cache.legacy.net/legacy/images/Cobrands/houmatoday/Photos/f3861fa5-2770-4b7b-95cc-ba2129098b58.jpg</t>
  </si>
  <si>
    <t>Louisiana Hwy 308 and Brocato Lane</t>
  </si>
  <si>
    <t>70394</t>
  </si>
  <si>
    <t>Stopped for reckless driving on April 3, Perez was shot, although what caused the shooting was not disclosed by police. He died on April 29, 2016.</t>
  </si>
  <si>
    <t>http://www.houmatoday.com/news/20160405/state-police-trooper-shoots-driver-during-confrontation-in-raceland</t>
  </si>
  <si>
    <t>http://www.fatalencounters.org/wp-content/uploads/2013/10/Carpentier.jpg</t>
  </si>
  <si>
    <t>20838 N 19th Ave</t>
  </si>
  <si>
    <t>Police were attempting a drug bust when Carpentier presented a gun and tried to ram his vehicle free. He was shot and killed.</t>
  </si>
  <si>
    <t>http://www.azfamily.com/story/33324528/man-dies-after-being-shot-by-phoenix-police-officer</t>
  </si>
  <si>
    <t>Texas 7 and Trinity River Bridge</t>
  </si>
  <si>
    <t>75833</t>
  </si>
  <si>
    <t>Texas Department of Public Safety, Leon County Sheriff's Office</t>
  </si>
  <si>
    <t>According to police, a burglary was reported to the Leon County Sheriff's Office in Centerville. When the responding deputy saw a suspicious pickup and tried to make contact, the pickup's driver, Long, took off. A highway patrol trooper put down stop sticks at the Trinity River Bridge. All four of the pickup's tires were deflated, and Long got out of the truck and went under the bridge, where a stolen pickup was apparently waiting for him. Long reportedly put the truck in reverse and rammed the trooper's patrol car with the trooper inside. Preliminary investigation shows two law enforcement officers fired at Long, who died at the scene.</t>
  </si>
  <si>
    <t>https://drive.google.com/file/d/0B-l9Ys3cd80fMFFTUjBuUk9Yekk/view?usp=sharing</t>
  </si>
  <si>
    <t>2604 Kensington Ave</t>
  </si>
  <si>
    <t>Lopez was shocked with a Taser and physically restrained on the ground outside a rail station by an officer who had escorted him outside and was awaiting backup. Police said Lopez had started a fight with the officer after the officer intervened in a 'heated verbal argument' Lopez began to have with another person.</t>
  </si>
  <si>
    <t>http://www.nbcphiladelphia.com/news/local/Suspect-Dies-After-Attacking-SEPTA-Officer-in-Kensington-Police-337040801.html</t>
  </si>
  <si>
    <t>170 Petalbrook Lane</t>
  </si>
  <si>
    <t>Overton</t>
  </si>
  <si>
    <t>Overton County Sheriff's Office</t>
  </si>
  <si>
    <t>A resident called police about an abandoned vehicle with bullet holes in it on his property. Two deputies went to the property to investigate the vehicle, and a man reportedly walked toward them from a nearby treeline. Police said there was a confrontation, officers said the man got out a handgun, and they shot and killed him.</t>
  </si>
  <si>
    <t>http://www.newschannel5.com/news/tbi-responds-to-officer-involved-shooting-in-overton-county</t>
  </si>
  <si>
    <t>Vincent Jewan Hall</t>
  </si>
  <si>
    <t>Green Oaks Blvd and Kelly Elliott Rd</t>
  </si>
  <si>
    <t>An Arlington police officer was shot and wounded, and a Vincent Jewan Hall was killed in a shootout that began as officers prepared to serve a narcotics search warrant at a home.</t>
  </si>
  <si>
    <t>http://www.nbcdfw.com/news/local/Arlington-Police-Officer-Involved-Shooting-454349093.html</t>
  </si>
  <si>
    <t>Heather Denean Bubrig</t>
  </si>
  <si>
    <t>http://www.fatalencounters.org/wp-content/uploads/2013/10/Heather-Denean-Bubrig.jpg</t>
  </si>
  <si>
    <t>Doña Ana County Sheriff's Deputies say they got two different 911 calls from residents reporting a blonde woman wearing blue jeans and a top on their property. Several officers, including sheriff's deputies, a reserve deputy and an officer from the Mesilla Marshal's office approached the shed the woman was in. Police said she came out of the shed with an ax and came toward the reserve deputy who then shot and killed her.</t>
  </si>
  <si>
    <t>http://www.elpasoproud.com/news/local/las-cruces-news/daso-woman-armed-with-axe-shot-killed-by-reserve-deputy/849210111</t>
  </si>
  <si>
    <t>Jamee Almarez</t>
  </si>
  <si>
    <t>http://www.fatalencounters.org/wp-content/uploads/2013/10/Jamee-Almarez.jpg</t>
  </si>
  <si>
    <t>High Street</t>
  </si>
  <si>
    <t>Police were investigating a murder when Jamee Almarez showed up, allegedly shot an officer without wounding him, and was shot and killed.</t>
  </si>
  <si>
    <t>http://abc3340.com/news/local/suspect-dead-officer-shot-in-shooting-during-homicide-investigation</t>
  </si>
  <si>
    <t>Christopher Jacobs</t>
  </si>
  <si>
    <t>http://www.fatalencounters.org/wp-content/uploads/2013/10/Christopher-Jacobs.jpg</t>
  </si>
  <si>
    <t>Hemppatch Branch Road</t>
  </si>
  <si>
    <t>Pippa Passes</t>
  </si>
  <si>
    <t>Knott County Sheriff's Office, Kentucky State Police</t>
  </si>
  <si>
    <t>A KSP trooper and a Knott County Sheriff's deputy went to serve Christopher Jacobs with a warrant and found him under his home. Police said he ran for his vehicle. The officers struggled with Jacobs to try and get him out of the vehicle. Both officers shocked him with stun guns. Jacobs accelerated, dragging the deputy. The vehicle struck the deputy's cruiser. Jacobs then put the vehicle in reverse and was moving toward the trooper at which time, the trooper shot and killed him.</t>
  </si>
  <si>
    <t>http://www.lex18.com/story/36741834/ksp-officer-involved-shooting-in-pippa-passes</t>
  </si>
  <si>
    <t>Wallace Jory</t>
  </si>
  <si>
    <t>http://www.fatalencounters.org/wp-content/uploads/2013/10/Wallace-Jory.jpg</t>
  </si>
  <si>
    <t>North Highlands</t>
  </si>
  <si>
    <t>A resident called police just before 10 a.m. and reported that Wallace Jory was "acting erratically and seemed despondent," police said. When deputies arrived, the man had a knife, went to a garage, then reappeared with a pitchfork and began to advance. The deputy ordered Jory to drop the pitchfork and shot and killed him when he failed to follow orders.</t>
  </si>
  <si>
    <t>http://www.latimes.com/local/lanow/la-me-ln-sacramento-ois-pitchfork-20171102-story.html</t>
  </si>
  <si>
    <t>Jerry Roach</t>
  </si>
  <si>
    <t>http://www.fatalencounters.org/wp-content/uploads/2013/10/Jerry-Roach.jpg</t>
  </si>
  <si>
    <t>726 W Crescent Dr</t>
  </si>
  <si>
    <t>Lakeland police officers were dispatched after residents called about Jerry Roach, who they said yelled racial slurs at neighbors, fired his gun into the air once and pointed it at them from his front yard. Police surrounded his home and evacuated neighbors. They tried to get Roach, who was inside, to come outside, but he refused. Roach told officers on the phone that he was going to come outside and that police would have to kill him. He said he would bring his shotgun, police said. Roach stepped out of his home with his shotgun at about 10:50 p.m and walked toward officers, who ordered him to drop it. After he refused, six officers shot and killed Roach.</t>
  </si>
  <si>
    <t>http://www.tampabay.com/news/publicsafety/crime/Police-Lakeland-man-71-refused-orders-dies-after-police-confrontation_162282650</t>
  </si>
  <si>
    <t>Colgate St and Wellington St</t>
  </si>
  <si>
    <t>Inkster</t>
  </si>
  <si>
    <t>Inkster Police Department</t>
  </si>
  <si>
    <t>Police were investigating a murder when the man who was suspected of the murder was seen walking down the street. He allegedly shot at an officer and was shot and killed.</t>
  </si>
  <si>
    <t>https://www.clickondetroit.com/news/michigan-state-police-respond-to-scene-of-officer-involved-shooting-in-inkster</t>
  </si>
  <si>
    <t>Robert A. Powell</t>
  </si>
  <si>
    <t>4801 S Clyde Morris Blvd</t>
  </si>
  <si>
    <t>Officers Sgt. Warren Carmen, Wayne Jean, and Jacob Bissonnette were approached by Robert Powell, who was driving a vehicle near the City Center around 9 p.m. Officers were talking to Powell when he quickly drove off and hit an officer with the side of the vehicle, police said. The officers chased Powell until they ended up in a back parking lot at the Coral Bay Villas, where he got out of the car and fired shots toward them, and they shot and killed him.</t>
  </si>
  <si>
    <t>https://www.clickorlando.com/news/florida/volusia-county/officer-involved-shooting-reported-in-port-orange</t>
  </si>
  <si>
    <t>Jorge Hidalgo</t>
  </si>
  <si>
    <t>3820 Mountain Ave</t>
  </si>
  <si>
    <t>According to police, police found Jorge Hidalgo holding a machete while standing next to his wife in a home. Police alleged that Hidalgo ignored officers' commands and turned against them, raising the machete and was shot and killed.</t>
  </si>
  <si>
    <t>http://www.elpasoproud.com/news/man-dies-after-being-shot-by-police/851222488</t>
  </si>
  <si>
    <t>Marvin Stair</t>
  </si>
  <si>
    <t>Neeley Street</t>
  </si>
  <si>
    <t>Batesville</t>
  </si>
  <si>
    <t>Batesville Police Department</t>
  </si>
  <si>
    <t>Batesville police officer Michael Dickinson responded to a home around 7:40 p.m. to follow up on a domestic incident. Dickinson made contact with Marvin Stair. Stair allegedly shot and injured Dickinson. Additional officers arrived at the home, and Stair stood at the front door and pointed a rifle at them. Police shot and killed him.</t>
  </si>
  <si>
    <t>http://www.kait8.com/story/36761863/officer-shot-in-batesville-asp-investigates</t>
  </si>
  <si>
    <t>Christopher Edward Loftis</t>
  </si>
  <si>
    <t>http://www.fatalencounters.org/wp-content/uploads/2013/10/Christopher-Edward-Loftis.jpg</t>
  </si>
  <si>
    <t>Boiling Springs Rd</t>
  </si>
  <si>
    <t>Ohatchee</t>
  </si>
  <si>
    <t>A deputy came upon a vehicle with a switched tag. The deputy attempted to conduct a traffic stop, but the driver continued driving, and would not pull over. Eventually the deputy was able to maneuver his patrol vehicle in front of the driver and slow the vehicle down. When the deputy got out of his patrol vehicle, the driver of the vehicle drove towards the deputy, swerving, while pointing his weapon at him. The deputy shot and killed him.</t>
  </si>
  <si>
    <t>http://abc3340.com/news/local/police-ohatchee-law-enforcement-agency-officer-involved-in-shooting</t>
  </si>
  <si>
    <t>Nyung Kyee</t>
  </si>
  <si>
    <t>Taylor St and Cline Rd</t>
  </si>
  <si>
    <t>Clarksville</t>
  </si>
  <si>
    <t>Clarksville Police Department</t>
  </si>
  <si>
    <t>A Clarksville Police Department officer pulled over a vehicle, and the driver allegedly stepped out and brandished a weapon. The officer shot and killed Nyung Kyee.</t>
  </si>
  <si>
    <t>http://www.arkansasonline.com/news/2017/nov/04/arkansas-state-police-investigating-officer-involv/?f=news-arkansas</t>
  </si>
  <si>
    <t>120 22nd St S</t>
  </si>
  <si>
    <t>Officers responded to the area near Premier Lounge around 1 a.m. for reports of a disturbance in progress involving a large crowd. Raymond Davis was shot and killed, although details were not released immediately as to why police killed him.</t>
  </si>
  <si>
    <t>http://www.clarionledger.com/story/news/local/2017/11/04/one-dead-officer-involved-shooting/832137001/</t>
  </si>
  <si>
    <t>Michael Wayne Marin</t>
  </si>
  <si>
    <t>http://www.fatalencounters.org/wp-content/uploads/2013/10/Michael-Wayne-Marin.jpg</t>
  </si>
  <si>
    <t>10841 Twenty Mile Rd</t>
  </si>
  <si>
    <t>Parker Police Department</t>
  </si>
  <si>
    <t>Michael Wayne Marin reportedly started knocking on several apartment doors before people in the complex called police as they did not recognize him. It's unclear why Marin was knocking on doors. When police arrived, Marin and police started firing at each other. Marin was shot and killed.</t>
  </si>
  <si>
    <t>http://www.thedenverchannel.com/news/local-news/parker-officer-involved-shooting-wounds-1</t>
  </si>
  <si>
    <t>Frank Joey Half Jr.</t>
  </si>
  <si>
    <t>http://www.fatalencounters.org/wp-content/uploads/2013/10/Frank-Joey-Half-Jr.jpg</t>
  </si>
  <si>
    <t>2618 King Ave W</t>
  </si>
  <si>
    <t>Frank Half drove an SUV through the front entrance of the Big Bear Sports Center. He held police off for nine hours before he was found dead of a gunshot wound, although it wasn't immediately obvious who shot him.</t>
  </si>
  <si>
    <t>http://www.ktvq.com/story/36764454/suspect-killed-after-standoff-with-police-at-billings-sporting-goods-store</t>
  </si>
  <si>
    <t>Mason Johnson II</t>
  </si>
  <si>
    <t>Kinnikinnick Ridge Road and Rocky Hill Road</t>
  </si>
  <si>
    <t>Owen</t>
  </si>
  <si>
    <t>Mason Johnson II was shot and killed after a 30-hour standoff during which he allegedly held two women and two children hostage.</t>
  </si>
  <si>
    <t>https://www.wthr.com/article/update-suspect-identified-in-owen-county-standoff</t>
  </si>
  <si>
    <t>Augustus Crawford</t>
  </si>
  <si>
    <t>http://www.fatalencounters.org/wp-content/uploads/2013/10/Augustus-Crawford.jpg</t>
  </si>
  <si>
    <t>According to police, officers stopped a vehicle around 10:45 p.m. Augustus Crawford, who was in the vehicle, got out and ran. Officer Warren Martin shot and killed him.</t>
  </si>
  <si>
    <t>http://www.kerngoldenempire.com/news/top-stories/officer-involved-shooting-in-south-bakersfield/851435943</t>
  </si>
  <si>
    <t>Humberto Edwards</t>
  </si>
  <si>
    <t>W Cactus Rd &amp; N 28th Dr</t>
  </si>
  <si>
    <t>Humberto Edwards was fatally shot by an off-duty officer after he allegedly stabbed a city bus driver and a passenger.</t>
  </si>
  <si>
    <t>http://www.azcentral.com/story/news/local/phoenix-breaking/2017/11/04/off-duty-officer-shoots-stabbing-suspect-phoenix/833172001/</t>
  </si>
  <si>
    <t>Eddie Patterson</t>
  </si>
  <si>
    <t>http://www.fatalencounters.org/wp-content/uploads/2013/10/Eddie-Patterson.png</t>
  </si>
  <si>
    <t>E State St and Dawn Ave</t>
  </si>
  <si>
    <t>Rockford Police Officer Jaimie Cox, 30, was killed in a crash after he fatally shot Eddie Patterson, whose vehicle he was trying to pull over during a traffic stop.</t>
  </si>
  <si>
    <t>https://chicago.suntimes.com/news/rockford-officer-killed-another-hurt-in-crash-possible-shooting/</t>
  </si>
  <si>
    <t>Marlysa Sanchez</t>
  </si>
  <si>
    <t>http://www.fatalencounters.org/wp-content/uploads/2013/10/Marlysa-Sanchez.jpg</t>
  </si>
  <si>
    <t>Timberline Dr</t>
  </si>
  <si>
    <t>Ruidoso police were dispatched to a residence on Timberline Drive about a burglary in progress. The responding officer was outside his police vehicle when he was struck by two suspects who were driving two separate vehicles. The first vehicle, a Ford Mustang, driven by Johnathon Brownell, 28, drove into and struck the officer. The officer fired, striking Brownell. The second vehicle, a Ford pickup, driven by Marlysa Sanchez drove into the officer, striking him a second time and knocking him to the ground. The officer shot and killed Sanchez.</t>
  </si>
  <si>
    <t>http://www.ruidosonews.com/story/news/local/community/2017/11/06/state-police-investigating-fatal-officer-involved-shooting/836658001/</t>
  </si>
  <si>
    <t>Meridian Police Department</t>
  </si>
  <si>
    <t>A couple was riding with an unidentified man, and the driver got into an argument with the male passenger and forced him out of the car at gunpoint. The man then called police to report that his girlfriend was still in the car. An officer spotted the vehicle and attempted to get the suspect to get out of the vehicle. He told him he knew he had the gun and to place his hands on the dash. The suspect came out of the vehicle firing at the officer and was shot and killed.</t>
  </si>
  <si>
    <t>http://www.clarionledger.com/story/news/local/2017/11/05/officer-shot-kidnapping-suspect-killed-meridian-overnight/833640001/</t>
  </si>
  <si>
    <t>Pamela Webber</t>
  </si>
  <si>
    <t>2917 Triangle Pl</t>
  </si>
  <si>
    <t>Lynchburg Police Department</t>
  </si>
  <si>
    <t>Around 10:35 p.m., officers responded to a call for a suicidal person at a home. The caller said a woman was armed with a knife and had already harmed herself. The caller also said there was another person inside the home in danger. Over the course of several hours, police attempted to resolve the incident while the woman was barricaded in a room. At approximately 2 a.m., the woman came out of the room wielding a knife and advanced on the officers. Officers repeatedly told her to drop the knife but she refused. Officers reportedly first used less-than-lethal force options, including a Taser, before they shot and killed her.</t>
  </si>
  <si>
    <t>https://www.wsls.com/news/virginia/lynchburg/update-woman-killed-in-officer-involved-shooting-in-lynchburg</t>
  </si>
  <si>
    <t>DuPage</t>
  </si>
  <si>
    <t>Affton Police Department</t>
  </si>
  <si>
    <t>Van Zandt</t>
  </si>
  <si>
    <t>St. Mary</t>
  </si>
  <si>
    <t>Sierra</t>
  </si>
  <si>
    <t>70538</t>
  </si>
  <si>
    <t>St. Mary Parish Sheriff's Office</t>
  </si>
  <si>
    <t>Deputies responded to a 911 call of a possible shooting. Police said a man was found with injuries at the home, and after he was transported to a hospital, a gunman opened fire on deputies, and barricaded himself in the home for three hours. Trahan's role has not been disclosed.</t>
  </si>
  <si>
    <t xml:space="preserve">Police said Seneca was injured after deputies responded to a shots fired call at a home on LA 77 between Indian Village Bridge and the Gross Tete Bridge. A standoff situation ensued with officers speaking to Seneca on the phone and persuaded him to come out of his home. When Seneca came out of his home, deputies said he had a gun in the waistband of his pants and pulled it out and fired at police. He was shot and died days later on Aug. 15. </t>
  </si>
  <si>
    <t>Bayou Jacob Rd</t>
  </si>
  <si>
    <t>18895 Dumesnil Road</t>
  </si>
  <si>
    <t>39813</t>
  </si>
  <si>
    <t>Touchstone ignored verbal commands from the deputy and was shocked with a Taser, police said. When Touchstone continued to approached the deputy and began hitting him, the deputy opened fired, according to authorities. Police had responded to the area because Touchstone was allegedly causing a disturbance at a store</t>
  </si>
  <si>
    <t>Perdigone called police to ask for help, authorities said. Officers responded and found him in the middle of a street, police said. Officers used a Taser while trying to move Perdigone out of the road, and he became unresponsive, according to authorities.</t>
  </si>
  <si>
    <t>Deputies responded to a home following a report of a domestic disturbance, according to authorities. Police used Tasers and pepper spray while trying to subdue Shick, who died shortly after, officials said.</t>
  </si>
  <si>
    <t>66546</t>
  </si>
  <si>
    <t>Elephant Butte Dam</t>
  </si>
  <si>
    <t>87901</t>
  </si>
  <si>
    <t>Deputies responded to the east side of Elephant Butte Dam where they found Lopes armed with a gun, police said. Lopes ignored deputies' commands to drop the gun and was shot after he pointed his gun at them, according to authorities.</t>
  </si>
  <si>
    <t>97302</t>
  </si>
  <si>
    <t>78410</t>
  </si>
  <si>
    <t>1522 S 77 Sunshine Strip</t>
  </si>
  <si>
    <t>Ortiz was acting irrationally on the road, narrowly avoiding cars. When police caught up with him, he was in Shipley Do-Nuts shop. He was placed in the back of a patrol car and transported to the Harlingen Police Department. When they attempted to remove him, he was unresponsive. Ortiz was later pronounced dead at the hospital.</t>
  </si>
  <si>
    <t>91913</t>
  </si>
  <si>
    <t>77009</t>
  </si>
  <si>
    <t>77040</t>
  </si>
  <si>
    <t>34113</t>
  </si>
  <si>
    <t>Dave Street and Kennard Road</t>
  </si>
  <si>
    <t>03104</t>
  </si>
  <si>
    <t>Lawrence, a new grandmother, was driving on a suspended license and fled from a traffic stop with a state trooper. After a high-speed chase on an interstate and on surface streets, several troopers attempted to box Lawrence's vehicle in. She rammed the cruisers and one trooper felt in danger of his life. He fired 11 shots, four of which fatally struck the victim.</t>
  </si>
  <si>
    <t>56303</t>
  </si>
  <si>
    <t>Police arrived at a home after a female caller told police that Francis had held a knife as he threatened and chased her and another female roommate. Officers found Francis armed with a large knife in the front yard, police said. Police said the officers "gave numerous commands" for him to drop the knife, but he did not. Police said Francis raised the knife and charged at the officers, and they shot and killed him.</t>
  </si>
  <si>
    <t>Phoenix police responded to reports of a man making threats to the occupants of a home. The man was known to the occupants of the house and was reported to be on "some type of drug or drugs," Lewis said. Prior to police arriving at the scene, the subject fled to a residence in Scottsdale, where Phoenix and Scottsdale police made contact with him. During the arrest, a struggle ensued and an officer fired a taser. The subject was then taken to a nearby hospital where he later died. It is uncertain if the tasering was the cause of the man's death and the incident is still under investigation.</t>
  </si>
  <si>
    <t>Leiataua had stabbed cousin. When the police responded, armed with a knife, he barricaded himself in bedroom with his 3-year-old daughter. A sheriff sniper shot him through a window.</t>
  </si>
  <si>
    <t>Nichols was stopped for traffic warrants. He fought with the officer who shot and killed him.</t>
  </si>
  <si>
    <t>Sherman's mother called because she believed he was having a reaction to drugs. He fought with deputies and was tasered and died.</t>
  </si>
  <si>
    <t>Police responded to reports of a disturbance in which the reporting party told officers a male neighbor, who may have a weapon, was banging on the residence. An officer then contacted the man, who police said did not comply with orders. He was shot and killed.</t>
  </si>
  <si>
    <t>Davis was reportedly strangling a woman, Hazel Hinds, during a heated domestic argument. Officer Bobby Harrelson, Davis's nephew and Hinds' son was off duty and opened fire with his service weapon, authorities said. This is not the officer's first shooting, and a baby and dog were injured during the shootout.</t>
  </si>
  <si>
    <t>Suspect had been pursued by bounty hunters. At the corner of the incident, SDPD 19-year veteran Sgt. Scott Holslag chased Smith on foot into "a shed next to apartment buildings" on direction of a police helicopter. When he saw Smith reaching into his pockets, the officer fired. No weapon was found on Smith, and it was the second time Holslag killed a suspect.</t>
  </si>
  <si>
    <t>Deputies responded to a domestic incident in which Kozlowski shot his mother. when deputies got to the house, Kozlowski shot at deputies, who fired back and hit him at least a couple times. Deputies were not hurt. Jarek went back in the house and left through the back. Deputies called for backup and sent a reverse 911 to the neighborhood, and found him nearby, leading him to surrender. He died in the hospital a few days later.</t>
  </si>
  <si>
    <t>89460</t>
  </si>
  <si>
    <t>Kalin Jackson</t>
  </si>
  <si>
    <t>http://6abc.com/suspect-shot-by-cops-outside-king-of-prussia-mall-idd/2588307/</t>
  </si>
  <si>
    <t>Gulph Road and Mall Boulevard.</t>
  </si>
  <si>
    <t>When police located the defendant and commanded him to stop, he began ramming his vehicle into police vehicles, civilian vehicles and aimed his vehicle at officers. The officers fired their weapons at the suspect, striking him and stopping the threat to lives.</t>
  </si>
  <si>
    <t>No known charges</t>
  </si>
  <si>
    <t>http://6abc.com/no-charges-after-suspect-fatally-shot-outside-kop-mall/2673916/</t>
  </si>
  <si>
    <t>Dana Dean Carrothers</t>
  </si>
  <si>
    <t>100th Street and Council Avenue</t>
  </si>
  <si>
    <t>Lindsay</t>
  </si>
  <si>
    <t>Lindsay Police Department</t>
  </si>
  <si>
    <t>Dana Dean Carrothers had been reported as missing by Norman police and was reportedly suicidal. Two Lindsay police officers found him inside a parked van. The officers were responding to a report of a man who was acting erratic with a gun when they found him sitting inside a van with a container of gasoline. The officers ordered the man out of the van, and he got out with a lighter in his hand. The man disobeyed the officers' commands to get away from the van, he turned to get back inside the van. The officer fired a Taser, igniting the gasoline, killing Carrothers.</t>
  </si>
  <si>
    <t>http://newsok.com/article/5571292</t>
  </si>
  <si>
    <t>Police said a man wanted on probation violations when he led Barstow Police Department officers on a chase before crashing into the yard of a nearby home. Police said the man was armed with a firearm and was walking toward officers when he was shot and killed.</t>
  </si>
  <si>
    <t>http://www.vvdailypress.com/news/20171107/suspect-killed-in-officer-involved-shooting-following-pursuit-in-barstow</t>
  </si>
  <si>
    <t>Talathia Brooks</t>
  </si>
  <si>
    <t>http://www.fatalencounters.org/wp-content/uploads/2013/10/Talathia-Brooks.jpg</t>
  </si>
  <si>
    <t>2520 Robin Hood Place</t>
  </si>
  <si>
    <t>Officers responded to a 911 call about a woman making suicidal threats around 12:22 p.m., police said. Pierce said the officers spoke to a woman at the front door, but the woman left and came back with a handgun. Police said she threatened them, and they shot and killed her. Four officers were on the scene, and three were involved with shooting the woman.</t>
  </si>
  <si>
    <t>http://www.mdjonline.com/news/year-old-east-cobb-woman-killed-by-police/article_81652200-c412-11e7-832c-eb56d72b6353.html</t>
  </si>
  <si>
    <t>Jarrett Blakely Varnado</t>
  </si>
  <si>
    <t>Police were attempting to arrest a double murder suspect, Jarrett Varnardo. When they invaded a home, they found him in a bedroom, sicced a dog on him, and then shot and killed him when he pointed a gun at them.</t>
  </si>
  <si>
    <t>http://www.lasvegasnow.com/news/metro-officers-shoot-kill-man-following-standoff/852787779</t>
  </si>
  <si>
    <t>James Jacob Bailey</t>
  </si>
  <si>
    <t>About 10:45 a.m., Officers Sterrett and Hutcherson went to Mitchell Street after learning John Bailey was driving a motorcycle recklessly and not wearing a helmet, police said. Bailey ran as officers approached. The officers chased him behind a house on Mitchell Street and were shot and wounded in an exchange of gunfire. Responding officers got Sterrett and Hutcherson out of the way and set up a perimeter. After a search, Bailey was found dead behind the house.</t>
  </si>
  <si>
    <t>http://www.ajc.com/news/crime--law/metro-atlanta-police-officers-recovering-after-shooting/DxJp92T1HKPRS2uJirWNVK/</t>
  </si>
  <si>
    <t>Roger Raymond York Jr.</t>
  </si>
  <si>
    <t>Three officers with the Clinton Police Department went to a home after getting a tip that a man with outstanding warrants was there. When they got there, officers confirmed Roger York was at the home and tried to take him into custody. He tried to escape by by climbing out a window. At some point during the encounter, York shot at officers, who shot and killed him.</t>
  </si>
  <si>
    <t>http://newschannel9.com/news/local/tbi-special-agents-investigating-officer-involved-shooting-in-clinton</t>
  </si>
  <si>
    <t>Victor Bray</t>
  </si>
  <si>
    <t>2622 Fairfield Dr NE</t>
  </si>
  <si>
    <t>Roanoke City Police Department</t>
  </si>
  <si>
    <t>Roanoke police responded to a 911 call for a domestic situation at a home. When the officer arrived, he encountered a woman and an armed man arguing on the front porch of the home. Police said as the woman began walking away, the man shot at the woman. The officer shot and killed Victor Bray.</t>
  </si>
  <si>
    <t>http://wset.com/news/local/breaking-roanoke-police-on-scene-in-roanoke</t>
  </si>
  <si>
    <t>Jason Ike Pero</t>
  </si>
  <si>
    <t>http://www.fatalencounters.org/wp-content/uploads/2013/10/Jason-Ike-Pero.png</t>
  </si>
  <si>
    <t>73475 Reservation Highway 9</t>
  </si>
  <si>
    <t>Police were called shortly after 11:30 a.m. for a report of a man walking around carrying a knife. According to police, shots were fired by a deputy shortly before noon, and Jason Pero was killed. Police withheld details as to why the boy was killed.</t>
  </si>
  <si>
    <t>http://www.kbjr6.com/story/36797076/wisconsin-dci-investigating-situation-on-bad-river-reservation</t>
  </si>
  <si>
    <t>Paul Jones III</t>
  </si>
  <si>
    <t>http://www.fatalencounters.org/wp-content/uploads/2013/10/paul-jones-iii-25.png</t>
  </si>
  <si>
    <t>866 Jake Alexander Blvd W</t>
  </si>
  <si>
    <t>Salisbury police were notified at 5:04 p.m. that an armed robbery was in progress at a bank. During the robbery, a customer was shot inside the bank, police said. Officers spotted the suspect vehicle, a black Acura, and gave chase. The car hit a vehicle, and a man who was in the suspect vehicle either pointed a gun or shot at police, and several officers shot and killed Paul Jones.</t>
  </si>
  <si>
    <t>http://www.salisburypost.com/2017/11/09/suspect-shot-dead-after-bank-robbery/</t>
  </si>
  <si>
    <t>Joseph J. Santos</t>
  </si>
  <si>
    <t>http://www.fatalencounters.org/wp-content/uploads/2013/10/Joseph-J.-Santos.png</t>
  </si>
  <si>
    <t>Memorial Blvd and I-95</t>
  </si>
  <si>
    <t>Rhode Island State Police, Providence Police Department</t>
  </si>
  <si>
    <t>Police shot and killed a man and wounded a woman after the truck they were in allegedly rammed cars on Route 95. Police had been seeking Donald Morgan, 35, who stole a Rhode Island State Police cruiser.</t>
  </si>
  <si>
    <t>http://www.providencejournal.com/news/20171109/man-killed-by-police-in-providence-did-not-steal-state-police-cruiser</t>
  </si>
  <si>
    <t>Charles Edwin "P.J." Nickels aka Charles Nichols</t>
  </si>
  <si>
    <t>Road 836</t>
  </si>
  <si>
    <t>Burnside</t>
  </si>
  <si>
    <t>Charles Nichols was suspected of setting his house on fire. He was shot and killed by police after he pointed a gun at first responders, police said. Sheriff Tommy Waddell said the man pointed a gun at deputies when they tried to arrest him.</t>
  </si>
  <si>
    <t>http://www.wapt.com/article/man-suspected-of-setting-fire-killed-in-officer-involved-shooting/13511379</t>
  </si>
  <si>
    <t>Kiser Sturgell</t>
  </si>
  <si>
    <t>http://www.fatalencounters.org/wp-content/uploads/2013/10/Kiser-Sturgell.jpg</t>
  </si>
  <si>
    <t>KY-693 and KY-207</t>
  </si>
  <si>
    <t>Flatwoods</t>
  </si>
  <si>
    <t>Greenup</t>
  </si>
  <si>
    <t>Flatwoods Police Departments, Bellefonte Police Department, Russell Police Department</t>
  </si>
  <si>
    <t>Ohio police notified Greenup County 911 that Kiser Sturgell, 27, of Jackson, Ohio, and Ashley Jenkins, 23, of Lucasville, Ohio, could be headed that way in a stolen maroon Buick automobile. That car had been stolen in Ohio. The Ross County Sheriff's Office said he fled after U.S. Marshals attempted to serve a warrant on him. The pursuit continued over multiple roadways before coming to an end. Police perceived an alleged but unspecified threat and shot into the vehicle, killing Sturgell and Jenkins.</t>
  </si>
  <si>
    <t>http://www.wsaz.com/content/news/Large-police-presence-at-Flatwoods-Ky-incident-456544353.html</t>
  </si>
  <si>
    <t>Ashley Jenkins</t>
  </si>
  <si>
    <t>http://www.fatalencounters.org/wp-content/uploads/2013/10/AshleyJenkins.jpg</t>
  </si>
  <si>
    <t>Terry A. Dubois Jr.</t>
  </si>
  <si>
    <t>http://www.fatalencounters.org/wp-content/uploads/2013/10/Terry-A.-Dubois-Jr..jpg</t>
  </si>
  <si>
    <t>214 Fandall St</t>
  </si>
  <si>
    <t>Terrebonne Parish deputies responded to a domestic dispute on Fandall Street. When they arrived, deputies said they found out the suspect was armed and had barricaded himself inside the home. He was shot and killed, and little information was immediately released.</t>
  </si>
  <si>
    <t>http://www.wwltv.com/news/local/lafourche-terrebonne/man-shot-killed-during-standoff-in-terrebonne-parish-state-police-say/491066293</t>
  </si>
  <si>
    <t>Thomas Aikens</t>
  </si>
  <si>
    <t>67 W Culver St</t>
  </si>
  <si>
    <t>Police received a call at around 1:15 p.m. saying there was a male and female yelling near her home, police said. When they arrived, they found a man sitting with his back against a garage and his arms wrapped around a woman with a knife to her neck. He told officers he was sitting on a bomb. When he charged at one of the officers with the knife, one officer shot and killed him.</t>
  </si>
  <si>
    <t>http://www.azcentral.com/story/news/local/phoenix-breaking/2017/11/10/dead-phoenix-police-officer-involved-shooting/853502001/</t>
  </si>
  <si>
    <t>Ronald L. Klitzka</t>
  </si>
  <si>
    <t>http://www.fatalencounters.org/wp-content/uploads/2013/10/Ronald-L.-Klitzka.png</t>
  </si>
  <si>
    <t>Crystal</t>
  </si>
  <si>
    <t>Crystal Police Department, New Hope Police Department, Robbinsdale Police Department</t>
  </si>
  <si>
    <t>Crystal officers, backed up by officers from New Hope and Robbinsdale, responded to a 911 call about a suicidal man at 5:06 p.m. They tried to make contact with the man. When they did, he shot at police and was shot and killed, police said.</t>
  </si>
  <si>
    <t>http://www.startribune.com/man-fatally-shot-by-police-officers-in-crystal/456770083/</t>
  </si>
  <si>
    <t>John Bazemore III</t>
  </si>
  <si>
    <t>John Bazemore III was shot and killed as he walked away from a bank robbery.</t>
  </si>
  <si>
    <t>http://www.denverpost.com/2017/11/10/officer-involved-shooting-downtown-denver/</t>
  </si>
  <si>
    <t>Highway 22 and Tucker Lane</t>
  </si>
  <si>
    <t>Edwards</t>
  </si>
  <si>
    <t>Edwards Police Department</t>
  </si>
  <si>
    <t>An Edwards Police Department officer shot and killed a man in an alleged crime spree that began in Hinds County continued into Madison County and ended back in Hinds. He allegedly drove at the officer with his truck.</t>
  </si>
  <si>
    <t>http://www.clarionledger.com/story/news/local/2017/11/10/authorities-scene-officer-involved-shooting-edwards/852505001/</t>
  </si>
  <si>
    <t>Matthew Joseph Scudero</t>
  </si>
  <si>
    <t>http://www.fatalencounters.org/wp-content/uploads/2013/10/Matthew-Joseph-Scudero.jpg</t>
  </si>
  <si>
    <t>10200 2nd NW</t>
  </si>
  <si>
    <t>Police were called to a domestic disturbance between a father and son. After a standoff and exchanges of gunfire, the man was killed.</t>
  </si>
  <si>
    <t>https://www.abqjournal.com/1090870/deputies-investigating-in-north-valley-trailer-park.html</t>
  </si>
  <si>
    <t>Shane Allen Jensen</t>
  </si>
  <si>
    <t>http://www.fatalencounters.org/wp-content/uploads/2013/10/Shane-Allen-Jensen.png</t>
  </si>
  <si>
    <t>205 4th St S</t>
  </si>
  <si>
    <t>Dakota City</t>
  </si>
  <si>
    <t>http://www.desmoinesregister.com/story/news/2017/11/11/dakota-city-department-natural-resources-officer-shoots-armed-ma/855737001/</t>
  </si>
  <si>
    <t>Phillip Pitts</t>
  </si>
  <si>
    <t>780 East Pyle Avenue</t>
  </si>
  <si>
    <t>Police said a man was attacking a woman during a domestic disturbance. Officer David Nesheiwat shot and killed Phillip Pitts, and shot and wounded the woman. Police said the man was pointing a gun at the woman.</t>
  </si>
  <si>
    <t>http://news3lv.com/news/local/police-release-several-views-of-deadly-confrontation-with-assault-suspect</t>
  </si>
  <si>
    <t>Eddy Longoria</t>
  </si>
  <si>
    <t>Pearl River</t>
  </si>
  <si>
    <t>St. Tammany Parish Sheriff's Office deputies responding to a report of a man holding a woman hostage at gunpoint shot and killed Eddy Longoria outside a home when he came out with a gun and pointed it at them.</t>
  </si>
  <si>
    <t>http://www.nola.com/crime/index.ssf/2017/11/st_tammany_deputies_kill_suspe.html#incart_2box_nola_river_orleans_news</t>
  </si>
  <si>
    <t>Larry Ruiz-Barreto</t>
  </si>
  <si>
    <t>http://www.fatalencounters.org/wp-content/uploads/2013/10/Larry-Ruiz-Barreto.jpg</t>
  </si>
  <si>
    <t>Airport Rd &amp; Riggenbach Rd</t>
  </si>
  <si>
    <t>Police responded just after 11:30 p.m. to a report of possible gunshots near the intersection of Riggenbach and Airport roads. Upon arrival, a number of vehicles left the area, and police attempted to pull one of them over. It was during that encounter that an officer opened fire into the car and killed the driver, Larry Ruiz-Barreto. The details of what precipitated the killing, if anything, were withheld.</t>
  </si>
  <si>
    <t>http://wpri.com/2017/11/13/one-person-in-custody-following-early-morning-hospital-disturbance/</t>
  </si>
  <si>
    <t>Cornell Lockhart</t>
  </si>
  <si>
    <t>1974 Hughes Ave</t>
  </si>
  <si>
    <t>Police responded to a report of an assault inside a halfway house around 7:30 p.m. When officer arrived, they encountered Cornell Lockhart who had stabbed two female security guards. Police said he was still holding the knife, a four-inch steak knife, when both officers shot and killed him.</t>
  </si>
  <si>
    <t>http://abc7ny.com/officer-shoots-man-armed-with-knife-in-the-bronx/2643747/</t>
  </si>
  <si>
    <t>Calvin Toney</t>
  </si>
  <si>
    <t>http://www.fatalencounters.org/wp-content/uploads/2013/10/Calvin-Toney.png</t>
  </si>
  <si>
    <t>5665 McClelland Dr</t>
  </si>
  <si>
    <t>A Baton Rouge Police officer fatally shot Calvin Toney during a struggle at The Palms Apartments on McClelland Drive, police said. Police said the officer was accompanying a state Department of Children and Family Services caseworker when a fight began between Toney and the officer.</t>
  </si>
  <si>
    <t>http://www.theadvocate.com/baton_rouge/news/crime_police/article_fd60d696-c8d7-11e7-b40c-fbeb7a620b4a.html</t>
  </si>
  <si>
    <t>Kerry Dean Hughes</t>
  </si>
  <si>
    <t>http://www.denverpost.com/2017/11/10/off-duty-police-officer-shoots-intruder/</t>
  </si>
  <si>
    <t>Kevin Janson Neal</t>
  </si>
  <si>
    <t>http://www.fatalencounters.org/wp-content/uploads/2013/10/Kevin-Janson-Neal.png</t>
  </si>
  <si>
    <t>17357 Stagecoach Rd</t>
  </si>
  <si>
    <t>Rancho Tehama</t>
  </si>
  <si>
    <t>Tehama County Sheriff's Office</t>
  </si>
  <si>
    <t>Kevin Janson Neal killed four people and wounded at least ten others, including children, during a shooting rampage before being fatally shot by police.</t>
  </si>
  <si>
    <t>http://sanfrancisco.cbslocal.com/2017/11/14/rancho-tehama-northern-california-fatal-shooting/</t>
  </si>
  <si>
    <t>Adam Brogdon</t>
  </si>
  <si>
    <t>http://www.fatalencounters.org/wp-content/uploads/2013/10/Adam-Brogdon.jpg</t>
  </si>
  <si>
    <t>70th Ave and Indian School Rd</t>
  </si>
  <si>
    <t>Police located several allegedly stolen vehicles in an apartment complex when one of the vehicles left. Adam Brogdon was wearing a mask and gloves and left the lot, but then returned with the vehicle. Police confronted him, but he ran from officers. Police said he ran into a uniformed police officer who shot and killed him.</t>
  </si>
  <si>
    <t>http://www.abc15.com/news/region-phoenix-metro/west-phoenix/police-involved-in-shooting-in-west-phoenix</t>
  </si>
  <si>
    <t>Keian Jones</t>
  </si>
  <si>
    <t>Police were called at 3:45 p.m. on a report of a disturbance. When officers arrived, they were confronted by a man wielding a knife who then allegedly charged at them, police said. He was shot and killed.</t>
  </si>
  <si>
    <t>http://www.recordnet.com/news/20171114/stockton-police-shoot-kill-knife-wielding-man</t>
  </si>
  <si>
    <t>Dustin Robert Pigeon</t>
  </si>
  <si>
    <t>http://www.fatalencounters.org/wp-content/uploads/2013/10/Dustin-Robert-Pigeon.jpg</t>
  </si>
  <si>
    <t>About 2:40 a.m., Dustin Robert Pigeon called 911 and told a dispatcher he was going to kill himself. Responding police found Pigeon holding a bottle of lighter fluid in his left hand and a lighter in his right hand. As officers approached, he began pouring the lighter fluid on himself and tried to light the lighter as officers ordered him to the ground. Pigeon reportedly ignored the commands and officer Troy Nitzky fired a single round from his bean bag shotgun. Sgt. Keith Sweeney then shot and killed Pigeon.</t>
  </si>
  <si>
    <t>http://newsok.com/suicidal-male-shot-and-killed-by-police-officer-wednesday-in-south-oklahoma-city/article/5572241</t>
  </si>
  <si>
    <t>lighter fluid</t>
  </si>
  <si>
    <t>Thomas Barclay</t>
  </si>
  <si>
    <t>http://www.fatalencounters.org/wp-content/uploads/2013/10/Thomas-Barclay.png</t>
  </si>
  <si>
    <t>7701 Debarr Rd</t>
  </si>
  <si>
    <t>Police said they were attempting to serve a felony warrant at around 11:20 p.m., when Thomas Barclay attempted to drive away. Police said officers pinned the man's car with police vehicles, preventing him from fleeing. He allegedly drew a gun and started shooting at officers and was shot and killed.</t>
  </si>
  <si>
    <t>http://www.ktuu.com/content/news/1-dead-in-officer-involved-shooting--457946493.html</t>
  </si>
  <si>
    <t>Oscar Anaya</t>
  </si>
  <si>
    <t>Sherman Way and Kester Ave</t>
  </si>
  <si>
    <t>http://losangeles.cbslocal.com/2017/11/15/van-nuys-officer-involved-shooting/</t>
  </si>
  <si>
    <t>Mayes St and Lampton Ave</t>
  </si>
  <si>
    <t>A person with a knife allegedly approached an officer and was shot and killed. Details were withheld by police.</t>
  </si>
  <si>
    <t>http://www.clarionledger.com/story/news/local/2017/11/15/jackson-police-officer-involved-shooting-mayes-street/868750001/</t>
  </si>
  <si>
    <t>Phillip Vancise</t>
  </si>
  <si>
    <t>900 Oak Street</t>
  </si>
  <si>
    <t>Elmira</t>
  </si>
  <si>
    <t>Elmira Police Department</t>
  </si>
  <si>
    <t>Phillip Vancise was shot and killed in his residence shortly after 2 a.m. during a standoff that lasted more than 11 hours.</t>
  </si>
  <si>
    <t>http://www.stargazette.com/story/news/2017/11/16/subject-elmira-police-standoff-dead/870362001/</t>
  </si>
  <si>
    <t>Coors Blvd NW &amp; Glenrio Rd NW, Albuquerque, NM</t>
  </si>
  <si>
    <t>Deputies knocked an allegedly stolen vehicle off the road and shot and killed two people who were inside. Their names weren't immediately released.</t>
  </si>
  <si>
    <t>https://www.abqjournal.com/1094256/bcso-deputies-involved-in-shooting-on-coors-near-hanover.html</t>
  </si>
  <si>
    <t>Shady Bell Jr.</t>
  </si>
  <si>
    <t>108 Basic Dr</t>
  </si>
  <si>
    <t>Shady Bell Jr. was shot and killed after West Monroe Police officers responded to an unspecified disturbance near businesses on Basic Drive around 6:15 p.m. Police said gunfire was exchanged between Bell and police.</t>
  </si>
  <si>
    <t>http://www.thenewsstar.com/story/news/crime/2017/11/17/wm-police-scene-officer-involved-shooting/876603001/</t>
  </si>
  <si>
    <t>Lawrence Hawkins</t>
  </si>
  <si>
    <t>First Avenue and Hanes Street</t>
  </si>
  <si>
    <t>Prichard</t>
  </si>
  <si>
    <t>Prichard Police Department</t>
  </si>
  <si>
    <t>Officer Johnathan Murphy shot and killed Lawrence Hawkins after following him from a stop sign violation without turning on his lights, according to a witness. Hawkins was unarmed.</t>
  </si>
  <si>
    <t>Preston David Bell</t>
  </si>
  <si>
    <t>http://www.fatalencounters.org/wp-content/uploads/2013/10/Preston-David-Bell.png</t>
  </si>
  <si>
    <t>After an attempted police traffic stop, Preston Bell allegedly led police on a chase and was shot and killed at the end. Police said he rammed two police cruisers and a civilian's minivan and then disregarded numerous officer commands to get out of his truck, a flatbed Ford F-350.</t>
  </si>
  <si>
    <t>http://billingsgazette.com/news/crime/police-shoot--year-old-billings-man-to-death-after/article_c52fe073-504e-50bc-8c22-309a6cef62fb.html</t>
  </si>
  <si>
    <t>Brian Calvert</t>
  </si>
  <si>
    <t>http://www.fatalencounters.org/wp-content/uploads/2013/10/Brian-Calvert.png</t>
  </si>
  <si>
    <t>Woodburn</t>
  </si>
  <si>
    <t>Brian Calvert was driving a pickup truck and fled after Officer Tim Summer stopped it at 2:51 a.m. Police said Calvert tried to run over a deputy during the pursuit and pointed something at officers before being shot and killed.</t>
  </si>
  <si>
    <t>http://www.kentucky.com/news/local/crime/article185446533.html</t>
  </si>
  <si>
    <t>Geronimo Vicente Santos aka Carlos Aguirrez-Justo</t>
  </si>
  <si>
    <t>N A St &amp; E Airport Ave</t>
  </si>
  <si>
    <t>Geronimo Vicente Santos was suspected of killing Timothy Ross Culley, 28, in the Santa Ynez riverbed when he was shot and killed by Lompoc police officers after they arrived at the scene, and Santos allegedly fired a gun at them.</t>
  </si>
  <si>
    <t>http://lompocrecord.com/news/local/identities-released-in-lompoc-homicide-officer-involved-shooting/article_b383a982-cb7a-5a09-b6ed-eee83b503d01.html</t>
  </si>
  <si>
    <t>Jacob Paul McCarty</t>
  </si>
  <si>
    <t>http://www.fatalencounters.org/wp-content/uploads/2013/10/JacobMcCarty.jpg</t>
  </si>
  <si>
    <t>408 Cedar Lane Rd</t>
  </si>
  <si>
    <t>Jacob Paul McCarty was allegedly fleeing from a drunken driving stop. When his vehicle was knocked off the road by police, he allegedly threatened police with a gun and was shot and killed.</t>
  </si>
  <si>
    <t>http://www.greenvilleonline.com/story/news/local/2017/11/19/least-one-greenville-county-sheriffs-deputy-involved-shooting/879559001/</t>
  </si>
  <si>
    <t>Chester Randolph Ward</t>
  </si>
  <si>
    <t>Deputies attempted to arrest Chester Randolph Ward in his home for making terroristic threats made against police, the public and his family. Police said Ward pulled a gun and fired at the officers who shot and killed him.</t>
  </si>
  <si>
    <t>http://baycitytribune.com/community/article_24db8e94-ccb3-11e7-bd83-d38af6b04fa9.html</t>
  </si>
  <si>
    <t>Michael Wesley Goodale</t>
  </si>
  <si>
    <t>http://www.fatalencounters.org/wp-content/uploads/2013/10/Michaellevy.jpg</t>
  </si>
  <si>
    <t>7450 NW 110th St</t>
  </si>
  <si>
    <t>Chiefland</t>
  </si>
  <si>
    <t>Levy</t>
  </si>
  <si>
    <t>Levy County Sheriff's Office</t>
  </si>
  <si>
    <t>Three Levy County Sheriff's deputies responded to a domestic situation about 8:40 p.m. and were confronted by a man with an undisclosed weapon. The deputies tried to subdue the man with "less lethal weapons" before they shot and killed Michael Goodale.</t>
  </si>
  <si>
    <t>http://mycbs4.com/news/local/levy-county-sheriffs-office-deputies-shot-killed-armed-man-in-chiefland</t>
  </si>
  <si>
    <t>Hedgesville</t>
  </si>
  <si>
    <t>A man was shot and killed when police attempted to arrest him. Details were withheld as to what precipitated the killing.</t>
  </si>
  <si>
    <t>https://www.heraldmailmedia.com/news/tri_state/west_virginia/fugitive-task-force-involved-in-fatal-shooting-near-hedgesville-w/article_da7069b4-cb19-11e7-b413-cba0b987da91.html</t>
  </si>
  <si>
    <t>Seth Hardwick</t>
  </si>
  <si>
    <t>http://www.fatalencounters.org/wp-content/uploads/2013/10/SethHardwick.jpg</t>
  </si>
  <si>
    <t>610 Albert St</t>
  </si>
  <si>
    <t>Patrolman Seth Johnson responded for a burglary call. When Johnson entered the residence, he allegedly was shot at by Seth Hardwick. Hardwick struck Johnson once in the torso. The bullet struck Johnson's vest, and he was not seriously injured as a result. Johnson shot and killed Hardwick. Another man, identified as Chrishawn Perkins, was shot and wounded inside the residence by a responding member of the Charleston Police Department.</t>
  </si>
  <si>
    <t>http://www.tristateupdate.com/story/36867102/update-names-identified-in-violent-home-invasion-in-kanawha-county</t>
  </si>
  <si>
    <t>Matthew Donald Tobin</t>
  </si>
  <si>
    <t>Davenport Police Officers Justin King and Brenda Waline shot and killed Matthew Tobin during an exchange of gunfire at an alleged burglary in progress.</t>
  </si>
  <si>
    <t>http://qctimes.com/news/local/crime-and-courts/suspect-died-in-officer-involved-shooting-early-sunday/article_8ecdaab8-0160-505f-b517-114f05c968e8.html</t>
  </si>
  <si>
    <t>Acadiana</t>
  </si>
  <si>
    <t>King of Prussi</t>
  </si>
  <si>
    <t>Martin Jim</t>
  </si>
  <si>
    <t>Isaac Padilla</t>
  </si>
  <si>
    <t>Bijan C. Ghaisar</t>
  </si>
  <si>
    <t>Fort Hunt</t>
  </si>
  <si>
    <t>US Park Police</t>
  </si>
  <si>
    <t>A witness told The Post last week that she saw two officers approach the Jeep and open fire at close range near Fort Hunt Road and Alexandria Avenue. Authorities have not said why the officers fired.</t>
  </si>
  <si>
    <t>https://www.washingtonpost.com/news/true-crime/wp/2017/11/28/man-shot-by-u-s-park-police-dies-was-unarmed-family-says/</t>
  </si>
  <si>
    <t>Seth William Johnson</t>
  </si>
  <si>
    <t>Deputies went to follow-up on a call involving a stolen car case from earlier that day. Deputies arrived and were met by Seth William Johnson who was allegedly armed, and deputies shot and killed him.</t>
  </si>
  <si>
    <t>http://www.wlox.com/story/36893000/new-details-on-officer-involved-shooting-in-harrison-co</t>
  </si>
  <si>
    <t>Jackie Germaine Ragland</t>
  </si>
  <si>
    <t>1859 Martin St S</t>
  </si>
  <si>
    <t>Pell City</t>
  </si>
  <si>
    <t>Pell City Police Department</t>
  </si>
  <si>
    <t>An officer responded to a Texaco on reports of a robbery around 3:18 a.m. An officer arrived to find an armed suspect in progress of robbing the store. Despite commands from the officer, Jackie Germaine Raglan allegedly ran toward the officer with a gun and was shot and killed.</t>
  </si>
  <si>
    <t>http://abc3340.com/news/local/1-dead-in-pell-city-officer-involved-shooting</t>
  </si>
  <si>
    <t>Nikolas Wanner</t>
  </si>
  <si>
    <t>Falcon</t>
  </si>
  <si>
    <t>Laclede</t>
  </si>
  <si>
    <t>Deputies and the Missouri Highway Patrol were dispatched at 4:39 p.m. in reference to an intoxicated male in possession of a firearm threatening to commit suicide. Deputies arrived and attempted to negotiate with Nikolas Wanner, who was inside the home. At approximately 7 p.m., Wanner came out the back door of the home armed with two rifles and a handgun. Wanner pointed the rifle at the deputy, who fired one round from a 12 gauge shotgun killing Wanner.</t>
  </si>
  <si>
    <t>http://www.ky3.com/content/news/Man-died-after-officer-involved-shooting--459675453.html</t>
  </si>
  <si>
    <t>Rehyen Bost-McMurray</t>
  </si>
  <si>
    <t>College Ave and Conde St</t>
  </si>
  <si>
    <t>Two officers were patrolling in a car when a car with four people inside spun out and hit a curb in front of them. The four people inside the car got out, and officers got out of their squad cars. Police said one person from inside the car pointed a gun at the officers. Officers shot and killed Rehyen Bost-McMurray and wounded a 14-year-old.</t>
  </si>
  <si>
    <t>http://www.kmov.com/story/36914691/police-2-suspects-wounded-in-officer-involved-shooting-in-north-city</t>
  </si>
  <si>
    <t>Steve Steenhard</t>
  </si>
  <si>
    <t>http://www.fatalencounters.org/wp-content/uploads/2013/10/Steve-Steenhard.jpg</t>
  </si>
  <si>
    <t>S Avenue A &amp; W County 14th St</t>
  </si>
  <si>
    <t>Two officers responded to a home for a report of domestic violence just before 9:30 p.m. As officers arrived, they came into contact with Steve Steenhard who was reportedly armed. He was shot and killed, although the details of what precipitated the killing were withheld.</t>
  </si>
  <si>
    <t>http://www.abc15.com/news/region-central-southern-az/yuma/yuma-police-investigating-officer-involved-shooting-suspect-hurt</t>
  </si>
  <si>
    <t>Emilio John Cruz Hernandez</t>
  </si>
  <si>
    <t>http://www.fatalencounters.org/wp-content/uploads/2013/10/Emilio-John-Cruz-Hernandez.jpg</t>
  </si>
  <si>
    <t>An officer with KFPD attempted to take a murder suspect into custody. Emilio John Cruz Hernandez was shot and killed, although the details of what precipitated the killing were withheld.</t>
  </si>
  <si>
    <t>http://www.kdrv.com/content/news/Officer-Involved-Shooting-in-Klamath-Falls-459896943.html</t>
  </si>
  <si>
    <t>Rocky Miles West</t>
  </si>
  <si>
    <t>http://www.fatalencounters.org/wp-content/uploads/2013/10/Rocky-Miles-West.jpg</t>
  </si>
  <si>
    <t>Ranch Rd 12 and Spoke Hollow Road</t>
  </si>
  <si>
    <t>Wimberley</t>
  </si>
  <si>
    <t>https://www.wimberleyview.com/articles/2017/11/24/wimberley-man-dead-after-officer-involved-shooting</t>
  </si>
  <si>
    <t>An off-duty Wayne County sheriff's deputy shot and killed an armed man when he broke into her home in southwest Detroit, Detroit police said.</t>
  </si>
  <si>
    <t>http://www.detroitnews.com/story/news/local/detroit-city/2017/11/26/off-duty-wayne-county-deputy-shoots-kills-armed-intruder/895599001/</t>
  </si>
  <si>
    <t>Nelson Rodarte</t>
  </si>
  <si>
    <t>Santa Barbara Rd</t>
  </si>
  <si>
    <t>Penasco</t>
  </si>
  <si>
    <t>New Mexico State Police, Taos County Sheriff's Office</t>
  </si>
  <si>
    <t>http://krqe.com/2017/11/25/state-police-investigate-officer-involved-shooting-in-penasco-new-mexico/</t>
  </si>
  <si>
    <t>Ronald O. Hunt</t>
  </si>
  <si>
    <t>9350 Marshall Dr</t>
  </si>
  <si>
    <t>Lenexa</t>
  </si>
  <si>
    <t>Police got a call about 11 a.m. about a man who was brandishing a firearm at a Walmart. When officers arrived, they found that the man had been killed by an off-duty police officer, who was shopping there.</t>
  </si>
  <si>
    <t>http://www.kctv5.com/story/36926489/lenexa-police-working-shooting-at-costco</t>
  </si>
  <si>
    <t>An off-duty officer moonlighting as a security at a Giant store shot and killed a man accused of shoplifting. Video shows Clapp attempting to drive away from the scene and the officer standing next to his car and then reaching into his car before he shot and killed him.</t>
  </si>
  <si>
    <t>http://www.baltimoresun.com/news/maryland/crime/bs-md-co-police-shooting-ruled-justified-20170814-story.html</t>
  </si>
  <si>
    <t>Gunshot, Police Dog</t>
  </si>
  <si>
    <t>Lorenzo Antoine Cruz</t>
  </si>
  <si>
    <t>https://alamedasun.com/news/duty-sheriff%E2%80%99s-deputy-fatally-shoots-burglar</t>
  </si>
  <si>
    <t>Gunshot, Taser, Beanbag Shotgun</t>
  </si>
  <si>
    <t>Police alleged Jose Hernandez-Rossy fired on an officer during a traffic stop., but they never recovered a weapon and Jose was later determined to be unarmed.</t>
  </si>
  <si>
    <t>Isaiah Murrietta was suspected of being involved in a shooting that caused a deadly car crash. He was shot and killed the following day as he tried to escape arrest, police said. Police shot him after he "looked back toward the officer, made eye contact with him while reaching into his waistband." He did not have a gun.</t>
  </si>
  <si>
    <t>Kenneth Lewis</t>
  </si>
  <si>
    <t>Jashod Carter</t>
  </si>
  <si>
    <t>Matthew Zank</t>
  </si>
  <si>
    <t>Gunshot, Unspecified Less Lethal Weapon</t>
  </si>
  <si>
    <t>Gunshot, Pepper Spray</t>
  </si>
  <si>
    <t>A Seward Police officer pulled over a vehicle driven by Micah McComas. Police shot McComas after they had handcuffed him and put him in the back seat. They allege somehow he managed to get in the front seat of the car and attempt to drive away.</t>
  </si>
  <si>
    <t>Eddie Sanders</t>
  </si>
  <si>
    <t>Michael David Lopez</t>
  </si>
  <si>
    <t>http://www.walb.com/story/36888057/prichard-police-officer-identified-in-deadly-officer-involved-shooting</t>
  </si>
  <si>
    <t>Ian Thomas Little</t>
  </si>
  <si>
    <t>http://www.fatalencounters.org/wp-content/uploads/2013/10/Ian-Thomas-Little.jpg</t>
  </si>
  <si>
    <t>Spencer Road and US-23</t>
  </si>
  <si>
    <t>Michigan State Police, Livingston County Sheriff's Office</t>
  </si>
  <si>
    <t>Police responded to Little's residence for a welfare check after receiving a report that Little might harm himself. When police made contact with Little, he displayed what appeared to be a black handgun and pointed it toward the door. Little didn't heed the officers' commands to drop the gun and pointed it at his head, before lowering it and waving the gun toward officers several times. He was shot and killed.</t>
  </si>
  <si>
    <t>http://www.freep.com/story/news/local/2017/05/26/prosecutor-clears-officers-involved-brighton-twp-shooting/350499001/</t>
  </si>
  <si>
    <t>David Eric Ufferman</t>
  </si>
  <si>
    <t>http://www.fatalencounters.org/wp-content/uploads/2013/10/David-Eric-Ufferman.png</t>
  </si>
  <si>
    <t>I-95 &amp; Atlantic Avenue</t>
  </si>
  <si>
    <t>A Florida Highway Patrol trooper was dispatched to a man walking on Interstate 95 near Atlantic Avenue in Delray Beach. Upon his arrival, a fight happened, and the trooper shocked David Eric Ufferman with his stun gun, which was ineffective, and shot and killed him.</t>
  </si>
  <si>
    <t>http://www.sun-sentinel.com/local/palm-beach/delray-beach/fl-pn-fhp-fatal-shoot-20170328-story.html</t>
  </si>
  <si>
    <t>Edward Paul Parinella</t>
  </si>
  <si>
    <t>According to police, an officer was investigating a stolen vehicle at the Motel 6 on McMurray Drive when he exchanged gunfire with an alleged suspect, Edward Paul Parinella, who was staying at the motel.</t>
  </si>
  <si>
    <t>Bradley Joseph Szakacs</t>
  </si>
  <si>
    <t>http://www.fatalencounters.org/wp-content/uploads/2013/10/Bradley-Joseph-Szacaks.jpg</t>
  </si>
  <si>
    <t>N Ironwood Dr &amp; W Superstition Blvd</t>
  </si>
  <si>
    <t>Apache Junction Police Department</t>
  </si>
  <si>
    <t>Bradley Joseph Szakacs reportedly opened the door with his gun and was shot and killed. Police were responding to a domestic violence call.</t>
  </si>
  <si>
    <t>http://www.abc15.com/news/region-southeast-valley/apache-junction/suspect-identified-in-deadly-apache-junction-police-shooting</t>
  </si>
  <si>
    <t>Jonathon "Jay" Daniel Simmons</t>
  </si>
  <si>
    <t>59680 CA-299</t>
  </si>
  <si>
    <t>Douglas City</t>
  </si>
  <si>
    <t>Police received a call that a man was forcing a woman into a car at gunpoint at a trailer park. Deputies responded and confronted a male and female at the park. Ordered to show his hands, Jonathon “Jay” Daniel Simmons ran to a car. Deputies were ordering the man to show his hands and get away from the vehicle, but Simmons was attempting to get a gun from the car, and he was shot and killed.</t>
  </si>
  <si>
    <t>http://www.krcrtv.com/news/local/trinity/officer-involved-shooting-unfolding-in-trinity-county/337964664</t>
  </si>
  <si>
    <t>https://youtu.be/NYSr9w5Eqno</t>
  </si>
  <si>
    <t>https://ebwiki.org/articles?utf8=%E2%9C%93&amp;state_id=&amp;query=Danatae+Franklin&amp;commit=Search</t>
  </si>
  <si>
    <t>http://gunmemorial.org/2017/08/04/james-h-lacy</t>
  </si>
  <si>
    <t>https://ebwiki.org/articles/deltra-henderson</t>
  </si>
  <si>
    <t>http://gunmemorial.org/2017/03/22/don-johnson</t>
  </si>
  <si>
    <t>http://gunmemorial.org/2017/02/23/timothy-lionel-williams</t>
  </si>
  <si>
    <t>http://www.kiro7.com/news/local/neighbor-testifies-during-inquest-into-teens-fatal-shooting-by-deputies/622651843</t>
  </si>
  <si>
    <t>https://chicago.suntimes.com/news/person-shot-by-chicago-police-in-belmont-cragin/</t>
  </si>
  <si>
    <t>Unkown</t>
  </si>
  <si>
    <t>http://bismarcktribune.com/news/local/mandan-officer-involved-shooting-raises-questions/article_14a7d321-7cf5-5506-a5d3-bb65148ec9d7.html</t>
  </si>
  <si>
    <t>Todd Hurlburt</t>
  </si>
  <si>
    <t>Nolan Cornett</t>
  </si>
  <si>
    <t>Vaughn Shaw</t>
  </si>
  <si>
    <t>Silas Andrew Smith</t>
  </si>
  <si>
    <t>Cardell Vance III</t>
  </si>
  <si>
    <t>Juan Manriquez</t>
  </si>
  <si>
    <t>Ryan Lowell</t>
  </si>
  <si>
    <t>Joseph Jaster</t>
  </si>
  <si>
    <t>Donald Gibbs</t>
  </si>
  <si>
    <t>Barry Michael Zumwalt</t>
  </si>
  <si>
    <t>During the pursuit, the Pontiac turned onto Humber Field Road and crashed before the armed driver stepped from the vehicle and fired on the trooper. The trooper returned gunfire, striking the driver.</t>
  </si>
  <si>
    <t>Gunshot, Taser, Baton</t>
  </si>
  <si>
    <t>Paul Landis Gorden</t>
  </si>
  <si>
    <t>Jeffrey Todd Sprowl</t>
  </si>
  <si>
    <t>http://www.killedbypolice.net/victims/171077.jpg</t>
  </si>
  <si>
    <t>Juan Luis Castro</t>
  </si>
  <si>
    <t>http://www.fatalencounters.org/wp-content/uploads/2013/10/Juan-Luis-Castro.jpg</t>
  </si>
  <si>
    <t>9th Ave and Jersey Ave</t>
  </si>
  <si>
    <t>Hanford Police Department, Kings County Sheriff's Office</t>
  </si>
  <si>
    <t>Police responded to shots fired at a home at about 2:30 p.m. They found a woman dead from gunshot wounds. Family members identified her as Danielle Dever and said she was in a relationship with the man who allegedly murdered her, Johnny Castro. Hanford Police Officers spotted Castro and tried to pull him over, and he led them on a chase. He was shot and killed in an exchange of gunfire.</t>
  </si>
  <si>
    <t>http://abc30.com/two-people-are-dead-in-kings-county-a-k-9-officer-shot-and-recovering-in-fresno-veterinary-hospital-after-an-officer-involved-shooting-/2699806/</t>
  </si>
  <si>
    <t>William Freddy Carter Jr.</t>
  </si>
  <si>
    <t>Three officers responded to a domestic dispute between a man and a woman. When they arrived, they were met by an armed man. Police said there was an exchange of gunfire, and an officer was struck. One officer shot and killed the man.</t>
  </si>
  <si>
    <t>http://whnt.com/2017/11/26/one-person-sent-to-hospital-after-officer-involved-shooting-in-huntsville/</t>
  </si>
  <si>
    <t>Christian Chavez</t>
  </si>
  <si>
    <t>South Gate Police Department, Huntington Park Police Department</t>
  </si>
  <si>
    <t>Gunshot, Bean Bag Gun</t>
  </si>
  <si>
    <t>Christian Chavez was wanted for assault. After an armed standoff in a vehicle, he fired on police and was shot and killed.</t>
  </si>
  <si>
    <t>http://abc7.com/assault-with-deadly-weapon-suspect-dies-in-tense-south-gate-standoff/2705532/</t>
  </si>
  <si>
    <t>Jacob L. Baumgart</t>
  </si>
  <si>
    <t>4211 Beulah Rd</t>
  </si>
  <si>
    <t>Off-duty Richmond police officer Robert Misegades was apparently attempting to sell an electronic gaming system when the intended purchaser attempted to steal it at gunpoint. Misegades was wounded, and the teenager, Jacob Mancini, was killed.</t>
  </si>
  <si>
    <t>http://www.richmond.com/news/local/crime/off-duty-richmond-police-officer-wounded-teenager-killed-in-early/article_935f2ecb-3b76-503f-b210-4909070626eb.html</t>
  </si>
  <si>
    <t>Christopher "CJ" Escobedo</t>
  </si>
  <si>
    <t>Beffa Rd. and Naches-Tieton Rd.</t>
  </si>
  <si>
    <t>Tieton</t>
  </si>
  <si>
    <t>After allegedly robbing a mini-mart at gunpoint and leading police on a car chase, Christopher Escobedo began shooting at officers during the pursuit and eventually lost control of the car. Two Yakima Police officers shot and killed him.</t>
  </si>
  <si>
    <t>http://www.khq.com/story/36939682/yakima-armed-robbery-suspect-killed-in-officer-involved-shooting</t>
  </si>
  <si>
    <t>James C. Danforth</t>
  </si>
  <si>
    <t>2934 E Rowan Ave</t>
  </si>
  <si>
    <t>Around 6 p.m. police received a call of a domestic violence situation with a weapon. While taking the report, the 9-1-1 dispatcher could hear shots being fired in the background of the call. When officers arrived, James Danforth was gone. He returned to the home and shot at the officers, who shot and killed him.</t>
  </si>
  <si>
    <t>http://www.khq.com/story/36948116/man-killed-after-shooting-at-police-responding-to-domestic-violence-call-in-hillyard</t>
  </si>
  <si>
    <t>Lucas William Stone</t>
  </si>
  <si>
    <t>255 N Sierra St</t>
  </si>
  <si>
    <t>Reno Police Department, Washoe County Sheriff's Office</t>
  </si>
  <si>
    <t>Lucas William Stone allegedly fired shots off a high-rise balcony and had a hostage when police shot and killed him.</t>
  </si>
  <si>
    <t>http://www.kolotv.com/content/news/Active-Shooter-Call-at-the-Montage--460661813.html</t>
  </si>
  <si>
    <t>Quinton Shane Lee</t>
  </si>
  <si>
    <t>http://www.killedbypolice.net/victims/171098.jpg</t>
  </si>
  <si>
    <t>913 East 3rd Street</t>
  </si>
  <si>
    <t>Cameron Police Department</t>
  </si>
  <si>
    <t>Officers were called around 11:30 a.m. to check on a man threatening to kill himself. Police said Clinton Shane Lee opened fire when officers arrived, and he was shot and killed.</t>
  </si>
  <si>
    <t>http://www.kq2.com/content/news/461100373.html</t>
  </si>
  <si>
    <t>Jeffrey Scott Cantrell</t>
  </si>
  <si>
    <t>Jasper County Sheriff's Office</t>
  </si>
  <si>
    <t>http://www.wsbtv.com/news/local/gbi-called-to-investigate-jasper-county-officer-involved-shooting/658419373</t>
  </si>
  <si>
    <t>Aquoness Cathery</t>
  </si>
  <si>
    <t>http://www.fatalencounters.org/wp-content/uploads/2013/10/Aquoness-Cathery.jpg</t>
  </si>
  <si>
    <t>Police responded to a call of shots fired around 2:15 p.m. and encountered Aquoness Cathery holding a handgun, according to police. Police shot and killed him, although details regarding what precipitated the killing were withheld.</t>
  </si>
  <si>
    <t>http://www.chicagotribune.com/news/local/breaking/ct-police-involved-shooting-king-drive-20171129-story.html</t>
  </si>
  <si>
    <t>Juan Andres Barillas</t>
  </si>
  <si>
    <t>North Hollywood</t>
  </si>
  <si>
    <t>Undercover Los Angeles Police Department officers were investigating a series of robberies when they spotted Juan Barillas, who attempted to flee in a vehicle. He got out of the car after a short chase, at which point officers shot and killed him, police said. Details like what prompted officers to start shooting and whether the suspect was carrying a weapon were withheld.</t>
  </si>
  <si>
    <t>http://ktla.com/2017/11/30/robbery-suspect-shot-after-police-pursuit-ends-in-north-hollywood-lapd/</t>
  </si>
  <si>
    <t>Rufus Cedric Baker</t>
  </si>
  <si>
    <t>http://www.killedbypolice.net/victims/171101.jpg</t>
  </si>
  <si>
    <t>250 Highlands Square Dr</t>
  </si>
  <si>
    <t>Police were conducting an undercover drug investigation at the Walmart Super Center at around 11 p.m. when Brandon McGaha tried to arrest Rufus Baker, who was allegedly attempting to sell drugs. Baker tried to escape. McGaha alleged that Baker was inside Baker's car and appeared to be reaching for a weapon in his waistband when McGaha shot and killed him.</t>
  </si>
  <si>
    <t>http://wlos.com/news/local/few-details-released-after-officer-involved-shooting-in-hendersonville</t>
  </si>
  <si>
    <t>Daniel Navarro</t>
  </si>
  <si>
    <t>735 North Glendora Ave</t>
  </si>
  <si>
    <t>Covina Police Department</t>
  </si>
  <si>
    <t>Police shot and killed Daniel Navarro as he allegedly held his 7-month-old daughter hostage with a knife inside a car at a Covina park for six hours, police said.</t>
  </si>
  <si>
    <t>http://www.sgvtribune.com/2017/11/26/man-in-standoff-with-police-at-covina-park/</t>
  </si>
  <si>
    <t>Trent Fondren</t>
  </si>
  <si>
    <t>A man called 9-1-1 saying his brother was intoxicated and threatening his mother with a knife inside of a home. When police arrived, Trent Fondren approached them with a knife, and Deputy Gary Pence shot and killed him.</t>
  </si>
  <si>
    <t>http://www.wcnc.com/news/crime/authorities-investigating-officer-involved-shooting-in-york/496006675</t>
  </si>
  <si>
    <t>Mario Guevara</t>
  </si>
  <si>
    <t>http://www.fatalencounters.org/wp-content/uploads/2013/10/Mario-Guevara.jpg</t>
  </si>
  <si>
    <t>San Bernardino Ave and Christobal Ln</t>
  </si>
  <si>
    <t>A family called 9-1-1 for help with Mario Guevara who was mentally ill and off his medication. He allegedly approached officers with a knife and was shot and killed.</t>
  </si>
  <si>
    <t>http://abc7.com/man-dies-in-colton-officer-involved-shooting/2728654/</t>
  </si>
  <si>
    <t>Mario Sanabria</t>
  </si>
  <si>
    <t>230 Brook Avenue</t>
  </si>
  <si>
    <t>Police were executing a search warrant at an apartment. Two officers went to a rear bedroom where they were confronted by Mario Sanabria, who was brandishing a machete-type sword. He was ordered to drop the weapon and allegedly refused to comply. Police said he continued to approach an officer, and the officer fired one shot, killing him.</t>
  </si>
  <si>
    <t>http://abc7ny.com/nypd-man-armed-with-machete-fatally-shot-by-police/2740023/</t>
  </si>
  <si>
    <t>Gregory Ham</t>
  </si>
  <si>
    <t>http://www.fatalencounters.org/wp-content/uploads/2013/10/gregory-ham.jpg</t>
  </si>
  <si>
    <t>La Marque</t>
  </si>
  <si>
    <t>La Marque Police Department</t>
  </si>
  <si>
    <t>A La Marque K9 officer shot and killed a man who was reportedly threatening him and his dog with a sword. Police had been called because Greg Ham allegedly broke into a neighbor's home and threatened her with the sword. Ham allegedly cut the officer and the dog with the sword.</t>
  </si>
  <si>
    <t>http://www.khou.com/news/crime/la-marque-police-suspect-shot-killed-in-officer-involved-shooting/496626649</t>
  </si>
  <si>
    <t>Johnny D. Carter</t>
  </si>
  <si>
    <t>Bassett</t>
  </si>
  <si>
    <t>http://wset.com/news/local/police-officer-involved-shooting-leaves-man-dead-in-henry-co</t>
  </si>
  <si>
    <t>David Facen</t>
  </si>
  <si>
    <t>3200 NW 79th St</t>
  </si>
  <si>
    <t>David Facen was suspected of shoplifting at a Walmart when he got into a gun battle with an off duty officer who was moonlighting in uniform at the Walmart. Facen was killed, the officer was wounded.</t>
  </si>
  <si>
    <t>http://www.sun-sentinel.com/news/fl-reg-miami-dade-officer-shot-20171206-story.html</t>
  </si>
  <si>
    <t>Robert Page</t>
  </si>
  <si>
    <t>11293 NW 11th Ct</t>
  </si>
  <si>
    <t>Coral Springs</t>
  </si>
  <si>
    <t>Coral Springs Police Department</t>
  </si>
  <si>
    <t>Police responded to the home of Robert Page after receiving notification that he was threatening suicide and had weapons in the home, police said. Coral Springs Police negotiators tried to get Page to leave the home, but when he did he was armed with a shotgun and refused officers' commands to drop it. He was shot and killed.</t>
  </si>
  <si>
    <t>https://www.nbcmiami.com/news/local/Suicidal-Man-Dead-After-Standoff-With-Coral-Springs-SWAT-462378763.html</t>
  </si>
  <si>
    <t>Scott Addison</t>
  </si>
  <si>
    <t>http://www.fatalencounters.org/wp-content/uploads/2013/10/ScottAddisonphoto.jpg</t>
  </si>
  <si>
    <t>Dell Range Blvd and Ridge Rd</t>
  </si>
  <si>
    <t>Arnold Police Department</t>
  </si>
  <si>
    <t>Cheyenne Police said at approximately 2 p.m. they spotted a truck driven by a suspect known to deputies to have a felony arrest warrant from Albany County for probation violation and sex assault. Deputies stopped Scott Addison's vehicle. Shortly before 3 p.m., Addison allegedly got out of the vehicle with a rifle. He fired his rifle and three officers from the Cheyenne Police Department and a Laramie County Sheriff's Deputy shot and killed him.</t>
  </si>
  <si>
    <t>http://kgab.com/armed-motorist-reported-at-dell-range-and-ridge-road/</t>
  </si>
  <si>
    <t>Jesse Cole Shuping</t>
  </si>
  <si>
    <t>http://www.fatalencounters.org/wp-content/uploads/2013/10/JesseColeShuping.jpg</t>
  </si>
  <si>
    <t>Schacht Rd and WI-64</t>
  </si>
  <si>
    <t>Marinette County Sheriff's Office, Marinette Police Department</t>
  </si>
  <si>
    <t>Police received a 911 call shortly after midnight from employees at the Budget Inn motel in Marinette about a man with a gun. Police said Shuping was attempting to collect a debt he believed someone staying at the motel. Three hours later, police used Shuping's cell phone to track him to a house in Peshtigo. Officers arrived to find him getting into a car, and he tried to flee. His car ended up in a ditch, and he allegedly got out of the car with a gun and was shot and killed.</t>
  </si>
  <si>
    <t>http://www.wbay.com/content/news/Highway-64-in-Marinette-County-closed-462514143.html</t>
  </si>
  <si>
    <t>John Souder</t>
  </si>
  <si>
    <t>http://www.fatalencounters.org/wp-content/uploads/2013/10/John-Souder.jpg</t>
  </si>
  <si>
    <t>904 S Main St</t>
  </si>
  <si>
    <t>Old Forge</t>
  </si>
  <si>
    <t>John Souder allegedly robbed the M&amp;T Bank at the Midway Shopping Center earlier in the afternoon. Souder led police on a pursuit through Pittston and Duryea before ending up in Old Forge. Police said he got out of his car with a gun and was shot.</t>
  </si>
  <si>
    <t>http://wnep.com/2017/12/07/police-pursuit-ends-in-lackawanna-county-suspect-taken-in-ambulance/</t>
  </si>
  <si>
    <t>Vernchoy Saechao</t>
  </si>
  <si>
    <t>http://www.fatalencounters.org/wp-content/uploads/2013/10/Vernchoy-Saechao.jpg</t>
  </si>
  <si>
    <t>2604 Wilson Ave</t>
  </si>
  <si>
    <t>Police said they encountered Vernchoy Saechao while investigating a domestic disturbance call reported just after 2 a.m. Saechao, police said, fired a handgun at an officer before the officer shot and killed him.</t>
  </si>
  <si>
    <t>http://www.redding.com/story/news/local/2017/12/08/officer-involved-shooting-reported/934273001/</t>
  </si>
  <si>
    <t>James Newman</t>
  </si>
  <si>
    <t>Rose Bud</t>
  </si>
  <si>
    <t>A deputy shot and killed James Newman when he allegedly pointed a rifle at him. The deputy was investigating a shots-fired complaint.</t>
  </si>
  <si>
    <t>http://www.thv11.com/news/crime/officer-uses-deadly-force-responding-to-white-county-911-call/498433064</t>
  </si>
  <si>
    <t>Juliun Pitcher</t>
  </si>
  <si>
    <t>Fieldstone Ct and Kenton Rd</t>
  </si>
  <si>
    <t>Around 3:11 a.m., a trooper stopped a vehicle on Fieldstone Court near Kenton Road in Dover, according to police. As the trooper approached the vehicle, police said a front-seat passenger displayed a weapon with an exchange of gunfire ensuing. Juliun Pitcher was shot and killed.</t>
  </si>
  <si>
    <t>http://www.delawareonline.com/story/news/crime/2017/12/09/trooper-involved-shooting-kills-16-year-old-dover/937157001/</t>
  </si>
  <si>
    <t>Ira Crawford</t>
  </si>
  <si>
    <t>http://www.fatalencounters.org/wp-content/uploads/2013/10/Ira-Crawford.jpg</t>
  </si>
  <si>
    <t>I-10 and Dauphin Island Parkway</t>
  </si>
  <si>
    <t>Police responded to a traffic accident. When they arrived, they heard a woman calling for help. Ira Crawford was allegedly stabbing her when he was shot and killed.</t>
  </si>
  <si>
    <t>http://wkrg.com/2017/12/11/breaking-mobile-police-holds-press-conference-on-officer-involved-shooting/</t>
  </si>
  <si>
    <t>Kyle Anthony Mihecoby</t>
  </si>
  <si>
    <t>http://www.fatalencounters.org/wp-content/uploads/2013/10/Kyle-Anthony-Mihecoby.jpg</t>
  </si>
  <si>
    <t>SE 59th Street and Mackleman Drive</t>
  </si>
  <si>
    <t>Kyle Anthony Mihecoby allegedly punched an officer and grabbed her stun gun and attempted to use it on her when he was shot and killed.</t>
  </si>
  <si>
    <t>http://www.koco.com/article/officer-involved-in-shooting-in-southeast-oklahoma-city/14401949</t>
  </si>
  <si>
    <t>Kyle Zahacefski</t>
  </si>
  <si>
    <t>http://www.fatalencounters.org/wp-content/uploads/2013/10/Kyle-Zahacefski.jpg</t>
  </si>
  <si>
    <t>Kyle Zahacefski was allegedly trying to break into houses. When police caught up with him, he broke into a home and then allegedly threatened pursuing officers with a knife when he was shot and killed.</t>
  </si>
  <si>
    <t>http://www.cbs8.com/story/37034746/man-killed-in-officer-involved-shooting-in-point-loma</t>
  </si>
  <si>
    <t>Frank Lopez</t>
  </si>
  <si>
    <t>Police were told a man was riding in a vehicle looking into parked vehicles. He reportedly abandoned his vehicle in a yard, and when deputies caught up with him, he fought them. He allegedly knifed two deputies before he was shot and killed.</t>
  </si>
  <si>
    <t>http://abc7.com/suspect-dies-after-deputy-involved-shooting-in-artesia/2767422/</t>
  </si>
  <si>
    <t>Kyle Gray</t>
  </si>
  <si>
    <t>http://www.killedbypolice.net/victims/171128.jpg</t>
  </si>
  <si>
    <t>Lake Shore Dr NE</t>
  </si>
  <si>
    <t>After an alleged shoplifting incident and robbery and firing a shot near an apartment manager, police chased a man who fired on them during the chase. After stopping, he allegedly fired on officers and was shot and killed.</t>
  </si>
  <si>
    <t>http://www.kiro7.com/news/local/breaking-robbery-suspect-killed-in-officer-involved-shooting/662727642</t>
  </si>
  <si>
    <t>Chance Rickie Thompson</t>
  </si>
  <si>
    <t>2100 Long St</t>
  </si>
  <si>
    <t>West Linn</t>
  </si>
  <si>
    <t>Clackamus</t>
  </si>
  <si>
    <t>West Linn Police Department</t>
  </si>
  <si>
    <t>Officers were dispatched on a report of a suicidal man armed with a handgun. Shortly after police arrived, Officer Brad Moyle shot and killed Thompson. Though an officer fired the shot, the Oregon State Medical Examiner's Office ruled the death a suicide.</t>
  </si>
  <si>
    <t>http://koin.com/2017/04/22/armed-suicidal-man-shot-by-west-linn-police-dies/</t>
  </si>
  <si>
    <t>Marcia Metzger Aiken</t>
  </si>
  <si>
    <t>Paddleford Drive and Goshen Road</t>
  </si>
  <si>
    <t>Rincon</t>
  </si>
  <si>
    <t>Police said Marcia Metzger Aiken was threatening suicide and was reportedly in possession of a firearm. Deputies attempted to make contact with Aiken and shot and killed her. Few details were immediately released.</t>
  </si>
  <si>
    <t>http://wsav.com/2017/12/12/rincon-officer-involved-shooting/</t>
  </si>
  <si>
    <t>Robert Allen Morrison</t>
  </si>
  <si>
    <t>744 N Lee Hwy</t>
  </si>
  <si>
    <t>Rockbridge</t>
  </si>
  <si>
    <t>Rockbridge County Sheriff's Office</t>
  </si>
  <si>
    <t>Police were called to a bank robbery in progress. Three Rockbridge County deputies were the first to arrive at the shopping center, and they challenged a man they found behind the building next door. Police alleged the man pointed a handgun at the deputies, and the deputies shot and killed Robert Morrison.</t>
  </si>
  <si>
    <t>http://www.wdbj7.com/content/news/Police-Investigating-armed-robbery-in-Lexington--464414033.html</t>
  </si>
  <si>
    <t>Zoe Dowdell</t>
  </si>
  <si>
    <t>http://www.fatalencounters.org/wp-content/uploads/2013/10/Zoe-Dowdell.png</t>
  </si>
  <si>
    <t>Chapman Ct and Newington Ave</t>
  </si>
  <si>
    <t>Police tried to stop a vehicle in New Britain. Police said the people inside the vehicle were suspected of being involved in a series of violent carjackings in New Britain and in surrounding towns over the past two weeks. A police chase ended with gunfire. Three people inside the car shot by police; one died. No officers were injured, but that they were taken to the hospital as a precaution.</t>
  </si>
  <si>
    <t>http://wtnh.com/2017/12/14/state-police-investigating-officer-involved-shooting-in-new-britain/</t>
  </si>
  <si>
    <t>Eric Campbell</t>
  </si>
  <si>
    <t>Mclean Ave and Aqueduct Ave</t>
  </si>
  <si>
    <t>Federal Bureau of Investigation, Yonkers Police Department</t>
  </si>
  <si>
    <t>An FBI agent and a Yonkers detective were conducting an investigation into a bank robbery when they tried to pull a man over for questioning, police said. The two apparently saw Eric Campbell with a weapon and shot and killed him.</t>
  </si>
  <si>
    <t>https://www.nbcnewyork.com/news/local/Man-Shot-Killed-FBI-Agent-Officer-Yonkers-464472163.html</t>
  </si>
  <si>
    <t>Willie Floyd McCord</t>
  </si>
  <si>
    <t>http://www.killedbypolice.net/victims/171140.jpg</t>
  </si>
  <si>
    <t>251 Lebo Blvd</t>
  </si>
  <si>
    <t>Bremerton</t>
  </si>
  <si>
    <t>Bremerton Police Department</t>
  </si>
  <si>
    <t>Willie Floyd McCord allegedly fired on two officers and was shot and killed.</t>
  </si>
  <si>
    <t>https://www.seattletimes.com/seattle-news/crime/2-police-officers-shot-suspect-killed-in-bremerton/</t>
  </si>
  <si>
    <t>Todd A. Stone</t>
  </si>
  <si>
    <t>http://www.fatalencounters.org/wp-content/uploads/2013/10/Todd-A.-Stone.png</t>
  </si>
  <si>
    <t>23000 Avon Rd</t>
  </si>
  <si>
    <t>Oak Park</t>
  </si>
  <si>
    <t>Oak Park Police Department</t>
  </si>
  <si>
    <t>http://www.detroitnews.com/story/news/local/oakland-county/2017/12/18/oak-park-threat/108736780/</t>
  </si>
  <si>
    <t>Tommy J. Heath</t>
  </si>
  <si>
    <t>http://www.fatalencounters.org/wp-content/uploads/2013/10/Tommy-Heath.jpg</t>
  </si>
  <si>
    <t>100 Reynolds St</t>
  </si>
  <si>
    <t>Mulberry</t>
  </si>
  <si>
    <t>Mulberry Police Department</t>
  </si>
  <si>
    <t>A Mulberry officer followed up a theft complaint at a gas station. The officer went to the home of the person of interest. When the officer made contact with the suspect, that person pulled a weapon, didn't comply with the officer's orders, and was shot and killed.</t>
  </si>
  <si>
    <t>http://5newsonline.com/2017/12/19/deputies-respond-to-officer-involved-shooting-in-mulberry/</t>
  </si>
  <si>
    <t>Shaquille Rogers</t>
  </si>
  <si>
    <t>http://www.fatalencounters.org/wp-content/uploads/2013/10/Shaquille-Rogers.jpg</t>
  </si>
  <si>
    <t>5500 Rice St</t>
  </si>
  <si>
    <t>The Colony</t>
  </si>
  <si>
    <t>The Colony Police Department</t>
  </si>
  <si>
    <t>Police responded about 6 p.m. to a burglary call. When officers arrived, they found Shaquille Rogers in the home, police said. Rogers pulled out a knife, police said, and the officers feared for their lives and shot and killed Rogers.</t>
  </si>
  <si>
    <t>https://www.dallasnews.com/news/crime/2017/12/19/1-dead-police-shooting-colony</t>
  </si>
  <si>
    <t>11010 NE 124th Ln</t>
  </si>
  <si>
    <t>Police said neighbors called 911 after hearing a woman screaming and someone firing shots in a parking lot. When officers arrived they said the man with a rifle greeted them outside. Police got into some sort of confrontation with the man, and an officer shot and killed him.</t>
  </si>
  <si>
    <t>http://komonews.com/news/local/police-man-wielding-assault-rifle-shot-and-killed-by-officer-in-kirkland</t>
  </si>
  <si>
    <t>Charles McBride</t>
  </si>
  <si>
    <t>2000 Salmonberry Place</t>
  </si>
  <si>
    <t>Officer Daniel Otte shot and killed Charles McBride, who had allegedly fired at officers from his garage, police said. McBride allegedly had threatened a neighbor and fired shots from his own handgun before he was killed.</t>
  </si>
  <si>
    <t>http://www.ktuu.com/content/news/One-man-dead-in-officer-involved-shooting-465647173.html</t>
  </si>
  <si>
    <t>3100 Roselle Ave</t>
  </si>
  <si>
    <t>Deputies began a pursuit of a vehicle in Vista for unknown reasons sometime before 3:10 p.m., police said. The man driving a dark blue or black sedan had a female passenger inside while leading deputies at speeds of about 50 miles per hour. The sedan struck another car, and the driver attempted to bail out of the vehicle. One deputy shot and killed the man. It was not clear if the driver was armed at the time, and the details leading up to the killing were withheld by police.</t>
  </si>
  <si>
    <t>https://www.nbcsandiego.com/news/local/SDSO-Deputies-Involved-in-Shooting-in-Residential-Area-of-Oceanside-465537783.html</t>
  </si>
  <si>
    <t>Jose Angel Aguero</t>
  </si>
  <si>
    <t>http://www.fatalencounters.org/wp-content/uploads/2013/10/Jose-Angel-Aguero.png</t>
  </si>
  <si>
    <t>2 Rivers Pkwy and W 37th St</t>
  </si>
  <si>
    <t>Greeley police responded to a call of someone stealing a car. Police tracked the car down and fatally shot Jose Angel Aguero Jr. as he ran from them, police said.</t>
  </si>
  <si>
    <t>http://www.9news.com/news/crime/deputies-shoot-kill-suspect-near-greeley/501455532</t>
  </si>
  <si>
    <t>Ahmed Aminamin El-Mofty</t>
  </si>
  <si>
    <t>http://www.fatalencounters.org/wp-content/uploads/2013/10/Ahmed-Aminamin-El-Mofty.jpg</t>
  </si>
  <si>
    <t>Mulberry St &amp; S 17th St</t>
  </si>
  <si>
    <t>Pennsylvania State Capitol Police</t>
  </si>
  <si>
    <t>Ahmed Aminamin El-Mofty was shot and killed during an alleged driving gun battle with police, police said.</t>
  </si>
  <si>
    <t>http://www.pennlive.com/news/2017/12/shooting_harrisburg_capitol_fr.html</t>
  </si>
  <si>
    <t>Jeffrey John Golnick</t>
  </si>
  <si>
    <t>http://www.fatalencounters.org/wp-content/uploads/2013/10/jeffrey-john-golnick-mug.jpg</t>
  </si>
  <si>
    <t>100 Michigan Ave</t>
  </si>
  <si>
    <t>St. Louis County Sheriff's Office, Gilbert Police Department</t>
  </si>
  <si>
    <t>About 1:15 p.m., a deputy and a Gilbert police officer were attempting to locate a person who was wanted on a warrant. They found a vehicle believed to be connected with that person, and an individual exited the vehicle and fled on foot. The officers pursued. Jeffrey Golnick was shot and killed, although details as to what precipitated the killing were withheld by police.</t>
  </si>
  <si>
    <t>https://www.duluthnewstribune.com/news/crime-and-courts/4378238-one-person-dead-deputy-wounded-gilbert-shooting</t>
  </si>
  <si>
    <t>Lawrence McClellon</t>
  </si>
  <si>
    <t>1540 Homer Dr</t>
  </si>
  <si>
    <t>Pocatello</t>
  </si>
  <si>
    <t>Bannock County Sheriff's Office</t>
  </si>
  <si>
    <t>At 7:40 p.m., Pocatello police were called to Homer Drive. Police called for additional support to deal with a man inside the residence with a gun. Bannock County Sheriff's Office deputies responded. At some time during the incident, a Bannock County deputy shot and killed Lawrence McClellon, although details as to what led to the killing were withheld by police.</t>
  </si>
  <si>
    <t>http://www.localnews8.com/news/crime-tracker/bannock-county-sheriffs-office-investigates-standoff-shooting/676703844</t>
  </si>
  <si>
    <t>Jesse Daniel Murillo</t>
  </si>
  <si>
    <t>8100 De Soto Ave</t>
  </si>
  <si>
    <t>Canoga Park</t>
  </si>
  <si>
    <t>Police responded to a family fight. When police arrived, a man said he'd been beaten. Jesse Murillo came out with a machete and ran. Later, police found him and shot and killed him when they found him in an alley.</t>
  </si>
  <si>
    <t>http://abc7.com/suspect-armed-with-machete-killed-in-canoga-park-police-shooting/2818297/</t>
  </si>
  <si>
    <t>Encino Dr</t>
  </si>
  <si>
    <t>Weslaco</t>
  </si>
  <si>
    <t>Progreso Police Department</t>
  </si>
  <si>
    <t>A Progreso police officer fatally shot a machete-wielding man who allegedly attacked him, police said.</t>
  </si>
  <si>
    <t>http://valleycentral.com/news/local/one-dead-after-officer-involved-shooting-in-progreso</t>
  </si>
  <si>
    <t>Jacob Craig</t>
  </si>
  <si>
    <t>1100 S Wheeling Ave</t>
  </si>
  <si>
    <t>A neighbor called police to say Jacob Craig pointed a gun at him, police said. When the officer arrived in the neighborhood, he was confronted by the naked man, who either ran out of a home or appeared from between two homes, carrying a gun. Craig was ordered to put the gun down, and when he didn't, he was shot and killed.</t>
  </si>
  <si>
    <t>http://www.tulsaworld.com/news/local/update-man-fatally-shot-by-police-after-pointing-gun-at/article_871e0caf-9b45-5e15-b369-e0ac61be229e.html</t>
  </si>
  <si>
    <t>300 W. Pierce Street</t>
  </si>
  <si>
    <t>Yakima Police Department, Benton County Sheriff's Office</t>
  </si>
  <si>
    <t>Police got a call of an intoxicated man claiming he shot people around 7 p.m. When officers arrived, they contacted the man who put a gun to his head and threatened himself. The man started firing shots at officers from inside. Over the next five hours, police tried negotiating with the suspect as he continued to fire shots at officers. Two other people were in the home. Around 12:30 a.m., the man allegedly fired at officers, and he was shot and killed.</t>
  </si>
  <si>
    <t>http://fox41yakima.com/wsp-investigating-fatal-officer-involved-shooting/</t>
  </si>
  <si>
    <t>W Sinto Ave &amp; N Madison St</t>
  </si>
  <si>
    <t>Around 5:45 a.m., a man robbed a grocery store—assaulting a store employee in the process—and fled. As he fled, he fired one round from his gun in the parking lot. Police found the man's vehicle, but he fled on foot. While he was running, an officer shot and killed him.</t>
  </si>
  <si>
    <t>https://www.kxly.com/news/spokane-police-shoot-and-kill-suspected-armed-robber/677776715</t>
  </si>
  <si>
    <t>20 Pendleton Way</t>
  </si>
  <si>
    <t>Police responded around 7:30 p.m. to reports of a man at the Cascade Apartments threatening residents with a gun, police said. When officers arrived, they found a 31-year-old man barricaded in his apartment. The man was blind and had a history of assault behavior. Officers negotiated with the man and heard him talking as if someone else was inside the apartment. When they broke into the apartment, he was shot and killed within minutes.</t>
  </si>
  <si>
    <t>https://www.yakimaherald.com/news/crime_and_courts/blind-man-killed-after-confrontation-with-yakima-pd/article_004cfacc-ea54-11e7-9465-130f28e3aef2.html</t>
  </si>
  <si>
    <t>650 S State St</t>
  </si>
  <si>
    <t>Ukiah</t>
  </si>
  <si>
    <t>http://www.sfgate.com/crime/article/Sonoma-County-detective-fatally-shoots-burglary-12450910.php</t>
  </si>
  <si>
    <t>Charlie Joseph Murillo</t>
  </si>
  <si>
    <t>http://www.fatalencounters.org/wp-content/uploads/2013/10/Charlie-Joseph-Murillo.jpg</t>
  </si>
  <si>
    <t>E Yale St and N 16th St</t>
  </si>
  <si>
    <t>Gunshot, Beanbag Gun</t>
  </si>
  <si>
    <t>Around 4 p.m., officers responded to reports of a man with a knife. When the first officer arrived, Charlie Murillo reportedly began to beat on the officer's vehicle with a knife. When the second officer arrived, he ordered Murillo to drop the knife and shot him with a bean bag. When beating him with the bean bag gun also failed to disable him, he was shot and killed.</t>
  </si>
  <si>
    <t>https://www.abc15.com/news/region-phoenix-metro/central-phoenix/phoenix-police-officer-involved-in-shooting-near-16th-street_thomas-road</t>
  </si>
  <si>
    <t>Cody Eyre</t>
  </si>
  <si>
    <t>Steese Hwy and Johansen Expy</t>
  </si>
  <si>
    <t>Alaska State Troopers, Fairbanks Police Department</t>
  </si>
  <si>
    <t>Troopers were called at 6:21 p.m. to respond to a distraught man with a gun walking down the road. Troopers and Fairbanks police responded and found the man. At 7:34, the man brandished his gun, and Troopers and FPD shot and killed him.</t>
  </si>
  <si>
    <t>http://www.ktuu.com/content/news/466394523.html</t>
  </si>
  <si>
    <t>3800 East Pine Lodge Road</t>
  </si>
  <si>
    <t>Police were attempting to serve a search warrant and an arrest warrant. According to police, the man barricaded himself inside a building and started shooting at police during a standoff. Police shot and killed him.</t>
  </si>
  <si>
    <t>http://www.koat.com/article/one-person-dead-after-officer-involved-shooting/14501045</t>
  </si>
  <si>
    <t>Salvador Byassee</t>
  </si>
  <si>
    <t>300 State Line Road</t>
  </si>
  <si>
    <t>South Fulton</t>
  </si>
  <si>
    <t>Weakley</t>
  </si>
  <si>
    <t>Hickman County Sheriff's Office</t>
  </si>
  <si>
    <t>http://www.jacksonsun.com/story/news/crime/2017/12/26/kentucky-man-killed-officer-involved-shooting-weakley-co/982560001/</t>
  </si>
  <si>
    <t>Pendleton Pike and N Post Road</t>
  </si>
  <si>
    <t>After an armed robbery at a Lawrence hobby shop, the alleged robber allegedly stole a car and led police on a chase. He crashed the stolen car and carjacked another vehicle while two people were still inside. The police pursuit continued to Pendleton Pike and Post Road, where he crashed. He then got out of the car and fired at officers, who shot and killed him. The two people inside the second car were not physically harmed.</t>
  </si>
  <si>
    <t>http://www.wibc.com/news/local-news/carjacking-suspect-shot-killed-lawrence-police</t>
  </si>
  <si>
    <t>http://gunmemorial.org/2017/05/08/mikel-laney-mcintyre</t>
  </si>
  <si>
    <t>http://homicide.latimes.com/post/dennis-todd-rogers/</t>
  </si>
  <si>
    <t>electric razor on cord</t>
  </si>
  <si>
    <t>Spencer Crumbley</t>
  </si>
  <si>
    <t>http://www.killedbypolice.net/victims/171141.jpg</t>
  </si>
  <si>
    <t>Simmons Cemetery Rd</t>
  </si>
  <si>
    <t>Valley Head</t>
  </si>
  <si>
    <t>Troopers responded to a residence after receiving a report that Spencer Crumbley was threatening to kill family members with a gun. Crumbley allegedly started toward the residence with a shovel. Police said Crumbley attempted to strike troopers with the shovel, before throwing the shovel and making a move toward what troopers feared was another weapon. One of the troopers shot and killed Crumbley.</t>
  </si>
  <si>
    <t>http://www.wdtv.com/content/news/State-Police-investigating-after-officer-involved-shooting-in-Randolph-County--464932853.html</t>
  </si>
  <si>
    <t>http://www.fatalencounters.org/wp-content/uploads/2013/10/Robert-Edwards.png</t>
  </si>
  <si>
    <t>10505 Del Barton Avenue</t>
  </si>
  <si>
    <t>Miamisburg</t>
  </si>
  <si>
    <t>Miami Township Police Department</t>
  </si>
  <si>
    <t>Police received a call just after midnight about an intoxicated person. When officers arrived, one of the officers approached the front door of a trailer the Oakwood Trailer Complex. Around 12:30 a.m., officers told the person inside the trailer to drop his firearm before shooting and killing Robert Edwards.</t>
  </si>
  <si>
    <t>http://wdtn.com/2017/12/20/man-killed-in-officer-involved-shooting-2/</t>
  </si>
  <si>
    <t>Amanda Lenee Jones</t>
  </si>
  <si>
    <t>http://www.fatalencounters.org/wp-content/uploads/2013/10/Amanda-Lenee-Jones.png</t>
  </si>
  <si>
    <t>100 Peach Lane</t>
  </si>
  <si>
    <t>Schertz</t>
  </si>
  <si>
    <t>Amanda Lenee Jones, 30, was on the run from police. Police shot and killed her on a home's porch after she had broken into the home. She did not have a gun. While shooting at Jones, police also shot and killed Kameron Prescott, 6.</t>
  </si>
  <si>
    <t>http://www.mysanantonio.com/news/local/crime/article/Schertz-junior-high-school-on-lockout-during-12448095.php</t>
  </si>
  <si>
    <t>http://www.kansascity.com/news/local/crime/article164014312.html</t>
  </si>
  <si>
    <t>Euree Lee Martin</t>
  </si>
  <si>
    <t>Sgt. Rodney Vawter and Officer Dillon Silver responded to a call about an intoxicated man lying in the grass. Authorities say they found Douglas Wiggington, 48, who put up a fight when contacted by police. They shot him with a Taser during the scuffle, killing him.</t>
  </si>
  <si>
    <t>Keys Ferry Road</t>
  </si>
  <si>
    <t>Butts County Sheriff's Office</t>
  </si>
  <si>
    <t>Kristian Martinez</t>
  </si>
  <si>
    <t>Delbert McNeil</t>
  </si>
  <si>
    <t>http://www.fatalencounters.org/wp-content/uploads/2013/10/Delbert-McNeil.png</t>
  </si>
  <si>
    <t>Hamlin</t>
  </si>
  <si>
    <t>Jones</t>
  </si>
  <si>
    <t>Hamlin Police Department</t>
  </si>
  <si>
    <t>Police responded about 1:10 a.m. to reports of a man, possibly under the influence of drugs or alcohol, throwing items in front of a business. According to Hamlin police, Delbert McNeil assaulted officers, and he was tasered and died a short time later.</t>
  </si>
  <si>
    <t>http://www.ktxs.com/news/man-dies-in-hamlin-police-custody-texas-rangers-investigating/667313330</t>
  </si>
  <si>
    <t>Jonathan Maldonado</t>
  </si>
  <si>
    <t>http://www.fatalencounters.org/wp-content/uploads/2013/10/Jonathan-Maldonado.png</t>
  </si>
  <si>
    <t>299 N. Central Ave.</t>
  </si>
  <si>
    <t>Hartsdale</t>
  </si>
  <si>
    <t>Greenburgh Police Department</t>
  </si>
  <si>
    <t>Jonathan Maldonado was suspected of shoplifting and was killed when police used a Taser on him while he allegedly fought with store employees and security. He allegedly ate some packets of an unknown substance before he was shocked.</t>
  </si>
  <si>
    <t>http://newyork.cbslocal.com/2017/11/30/shoplifting-suspect-dies-greenburgh/</t>
  </si>
  <si>
    <t>Keita O'Neil</t>
  </si>
  <si>
    <t>Griffith St and Fitzgerald Ave</t>
  </si>
  <si>
    <t>A San Francisco police officer shot and killed Keita O'Neil who had allegedly injured a state lottery worker, stole her minivan and led police on a chase, police said.</t>
  </si>
  <si>
    <t>http://www.sfgate.com/news/article/SFPD-investigating-officer-involved-shooting-in-12398743.php</t>
  </si>
  <si>
    <t>Jean Pedro Pierre</t>
  </si>
  <si>
    <t>http://www.fatalencounters.org/wp-content/uploads/2013/10/Jean-Pedro-Pierre.jpg</t>
  </si>
  <si>
    <t>3610 NW 21st St</t>
  </si>
  <si>
    <t>Lauderdale Lakes</t>
  </si>
  <si>
    <t>A deputy responded to an address regarding a domestic dispute and killed Jean Pierre. Police withheld details regarding the killing.</t>
  </si>
  <si>
    <t>https://www.nbcmiami.com/news/local/Suspect-Injured-in-Deputy-Involved-Shooting-in-Lauderdale-Lakes-462384163.html</t>
  </si>
  <si>
    <t>Emanuel Miera</t>
  </si>
  <si>
    <t>I-25 and Eagle Ridge Blvd.</t>
  </si>
  <si>
    <t>Emanuel Miera was allegedly acting erratically on foot on a highway. He fought with police, who tasered him. He died a short time later.</t>
  </si>
  <si>
    <t>http://www.krdo.com/news/pueblo/man-dies-in-hospital-after-being-tased-by-pueblo-police/670962657</t>
  </si>
  <si>
    <t>Nicholas Grant Lovett</t>
  </si>
  <si>
    <t>Unknown Race</t>
  </si>
  <si>
    <t>Boron</t>
  </si>
  <si>
    <t>http://www.kerngoldenempire.com/news/kcso-investigating-in-custody-death-in-boron/880992506</t>
  </si>
  <si>
    <t>Kameron Prescott</t>
  </si>
  <si>
    <t>http://www.fatalencounters.org/wp-content/uploads/2013/10/Kameron-Prescott.png</t>
  </si>
  <si>
    <t>http://www.tehamaso.org/inmates/ICUP0196.jpg</t>
  </si>
  <si>
    <t>George Gipp</t>
  </si>
  <si>
    <t>Indian Rte 19 and AZ-86</t>
  </si>
  <si>
    <t>Sells</t>
  </si>
  <si>
    <t>A U.S. Customs and Border Protection agent shot and killed a man who was allegedly threatening. Police withheld most information regarding the killing.</t>
  </si>
  <si>
    <t>http://www.tucsonnewsnow.com/story/36956870/multiple-agencies-investigate-fatal-agent-involved-shooting-west-of-tucson</t>
  </si>
  <si>
    <t>Kyler Grabbingbear</t>
  </si>
  <si>
    <t>http://www.fatalencounters.org/wp-content/uploads/2013/10/Kyler-Grabbingbear.jpg</t>
  </si>
  <si>
    <t>http://www.9news.com/news/crime/deputy-fatally-shoots-suspect-after-foot-chase-fight/497580039</t>
  </si>
  <si>
    <t>Stacy Micheletti</t>
  </si>
  <si>
    <t>10th Avenue North and 52nd Street</t>
  </si>
  <si>
    <t>Police were searching for a person in relation to an earlier incident, police said. When they found a man, he allegedly threatened them with some sort of weapon when he was shot and killed.</t>
  </si>
  <si>
    <t>http://www.greatfallstribune.com/story/news/2017/12/11/officers-involved-great-falls-shooting/941121001/?hootPostID=636b28a8afc33e157d04a9682ffaa2dd</t>
  </si>
  <si>
    <t>640 Reese Road</t>
  </si>
  <si>
    <t>Marion County Sheriff's Department and the Hamilton Police Department responded to a house after the county dispatch received a request from a person for officers to perform a welfare check on a person possibly in distress at the house. Police shot and killed someone, although few details were immediately released.</t>
  </si>
  <si>
    <t>http://www.wtva.com/content/news/Officer-fatally-shoots-person-in-Marion-County-AL-463923343.html</t>
  </si>
  <si>
    <t>Johnathan David Crawford Melton</t>
  </si>
  <si>
    <t>8593 Hiwassee St</t>
  </si>
  <si>
    <t>Bradley County Sheriff's Office</t>
  </si>
  <si>
    <t>Deputies responded to a call of a stabbing at a home. The caller said a man had been stabbed and another man ran away from the scene. Deputy Corey Loftis and Charleston Police Department officer Jimmy Woody encountered the man on at the back of a church. Police said the suspect had weapons in both hands and was ignoring instruction from deputies. Officers reportedly attempted to use a stun gun to subdue the man, but were unsuccessful. Deputy Loftis shot and killed him.</t>
  </si>
  <si>
    <t>http://newschannel9.com/news/local/tbi-called-to-investigate-officer-involved-shooting-in-charleston-early-sunday</t>
  </si>
  <si>
    <t>Unknown weapon</t>
  </si>
  <si>
    <t>Jesse J. Champney</t>
  </si>
  <si>
    <t>Switch Rd and US-4</t>
  </si>
  <si>
    <t>Canaan</t>
  </si>
  <si>
    <t>Police shot and killed Jesse J. Champney. Police withheld all details regarding the killing.</t>
  </si>
  <si>
    <t>http://www.wcax.com/content/news/Officer-involved-shooting-in-NH-466184083.html</t>
  </si>
  <si>
    <t>Demond Grimes was riding his four-wheeler down the street when a trooper approached, trying to pull the teen over. Grimes crashed after MSP trooper Mark Bessner, who was trying to get him off the road, reached out the passenger window of his patrol car and shocked the teen with a Taser</t>
  </si>
  <si>
    <t>Matthew Michael McTague</t>
  </si>
  <si>
    <t>After a chase in a stolen vehicle, Christopher K. Sales crashed into a fence, tried to steal a police car, and was shot and killed. The incident started when officers attempted to pull over a blue and grey Ford F-150 on a traffic violation.</t>
  </si>
  <si>
    <t>Raymond Cruz</t>
  </si>
  <si>
    <t>Samantha Aguilar</t>
  </si>
  <si>
    <t>Daniel George Boak</t>
  </si>
  <si>
    <t>Robert Claude Smith</t>
  </si>
  <si>
    <t>Boody Hwy and Wilcox Rd</t>
  </si>
  <si>
    <t>Eaton Rapids</t>
  </si>
  <si>
    <t>Deputies with the Eaton County Sheriff's Office were serving a search warrant and a felony arrest warrant on behalf of the Michigan Department of Natural Resources. After a short police chase and an exchange of gunfire, Robert Claude Smith was shot and killed.</t>
  </si>
  <si>
    <t>http://www.lansingstatejournal.com/story/news/2017/11/28/man-shot-and-killed-eaton-county-deputy-after-chase/902371001/</t>
  </si>
  <si>
    <t>Frederick Douglas Wilburn Jr.</t>
  </si>
  <si>
    <t>http://www.fatalencounters.org/wp-content/uploads/2013/10/Frederick-Douglas-Wilburn-Jr..jpg</t>
  </si>
  <si>
    <t>5251 E Speedway Blvd</t>
  </si>
  <si>
    <t>Police tried to pull Frederick Wilburn over, but he kept driving, eventually traveling toward the back of a business. Wilburn allegedly turned the car around, facing pursuing police and stopped. The officers got out of their vehicle, and Wilburn allegedly stepped on the gas and drove toward the officers. Wilburn was shot and killed.</t>
  </si>
  <si>
    <t>http://www.tucsonnewsnow.com/story/37022262/authorities-respond-to-officer-involved-shooting-on-east-side</t>
  </si>
  <si>
    <t>Northglenn police spotted an allegedly stolen vehicle and after establishing contact, the driver of the car accelerated toward the officers. Officers shot and killed one person in the car and wounded the other.</t>
  </si>
  <si>
    <t>http://denver.cbslocal.com/2017/12/13/officer-involved-shooting-northglenn/</t>
  </si>
  <si>
    <t>Clifford Keller</t>
  </si>
  <si>
    <t>http://www.fatalencounters.org/wp-content/uploads/2013/10/CliffordKeller.jpg</t>
  </si>
  <si>
    <t>Police were called to the home in an attempt to arrest Clifford Keller on several outstanding warrants. Police said Keller was out of jail on a furlough and failed to report back to jail when ordered. He was shot and killed when he allegedly threatened a police dog.</t>
  </si>
  <si>
    <t>http://wkrn.com/2017/12/15/tbi-investigates-officer-involved-shooting-near-mcminnville/</t>
  </si>
  <si>
    <t>Adam Radcliffe</t>
  </si>
  <si>
    <t>http://www.killedbypolice.net/victims/171138.jpg</t>
  </si>
  <si>
    <t>Farrand Dr and Kirkwood Hwy</t>
  </si>
  <si>
    <t>A Delaware State Police trooper fatally shot Adam Radcliffe after pulling him over the driver in Milltown and being dragged by his vehicle, police said.</t>
  </si>
  <si>
    <t>http://www.delawareonline.com/story/news/crime/2017/12/15/road-closed-milltown-police-conduct-investigation/957146001/</t>
  </si>
  <si>
    <t>Frankie Larry Anchondo</t>
  </si>
  <si>
    <t>http://www.fatalencounters.org/wp-content/uploads/2013/10/Frankie-Larry-Anchondo.jpg</t>
  </si>
  <si>
    <t>1099 Riverstone Road</t>
  </si>
  <si>
    <t>A Farmington officer saw a black pickup truck pass him at approximately 6 p.m., police said. A woman was hanging out the passenger side window screaming for help. The officer followed, and the woman either fell or jumped out of the truck. When the driver got out of the vehicle, the officer shot and killed him. Exactly what precipitated the killing was withheld by police.</t>
  </si>
  <si>
    <t>http://www.daily-times.com/story/news/local/2017/12/20/officer-involved-shooting-north-bloomfield-highway/972062001/</t>
  </si>
  <si>
    <t>Newton police officers tried to stop a vehicle that was reported to have been involved in a car burglary. The driver led officers on a high-speed chase north on Interstate 135, police said. The driver stopped in the median after he ran over spike sticks. The people inside refused to leave the vehicle for several minutes, and then when the driver got out, he took an "aggressive stance" and kicked a K-9 dog that officers used to attack him. Police claim they shot him after he "reached for the officer's weapon."</t>
  </si>
  <si>
    <t>Jarrad Hill</t>
  </si>
  <si>
    <t>Officers responded to a home “regarding a male adult suffering from a mental illness who was refusing to go to a mental hospital,” police said. The man had run away from the home by the time police arrived. A family member followed the man about a mile to the 7900 of Ocean View Avenue. As officers approached, the man tried to jump over a fence leading to a water reservoir. Officers used control holds to restrain and handcuff the man, killing him.</t>
  </si>
  <si>
    <t>Officers investigating a West Side robbery just after 8:10 p.m. detained a 25-year-old man in the 1600 of South Pulaski Road, police said. At some point, the man became unresponsive. The man was taken in critical condition to Mount Sinai Hospital and pronounced dead at 9:11 p.m.</t>
  </si>
  <si>
    <t>Police responded to a domestic violence call around 2 a.m., police said. When officers arrived, they started chasing the man, who led a pursuit for 10 minutes around the neighborhood. The man got out of the vehicle and ran a away at Hadden Avenue before officers shot and killed him.</t>
  </si>
  <si>
    <t xml:space="preserve">Daniel Alexander Wheelock
</t>
  </si>
  <si>
    <t>https://www.gannett-cdn.com/-mm-/6ab1384f3b919b54fbff2fb42c108b4c397f3475/c=14-0-540-701&amp;r=537&amp;c=0-0-534-712/local/-/media/2017/08/25/Springfield/Springfield/636392623647555635-Jonathan.jpg</t>
  </si>
  <si>
    <t>air pistol</t>
  </si>
  <si>
    <t>Police found Melissa Wiseman in her vehicle in the 1700 of South Parker Street.The woman confronted officers with the gun, and she was shot and killed.</t>
  </si>
  <si>
    <t>William Brewster</t>
  </si>
  <si>
    <t>A man robbed two people in a shopping center parking lot, then hopped onto a No. 10 MTA bus. Police stopped the bus a away, police said. The man opened fire, shooting and killing Blaine Robert Erb.</t>
  </si>
  <si>
    <t>NO</t>
  </si>
  <si>
    <t>Christopher Pizzichetta was allegedly "shooting up" heroin when troopers came on him. He attempted to flee in his pickup truck as the troopers tried to him in, striking two of their vehicles and speeding directly toward a trooper on foot when he was shot and killed.</t>
  </si>
  <si>
    <t>Paul Parinella</t>
  </si>
  <si>
    <t>David Stroughter</t>
  </si>
  <si>
    <t>The shooting happened on Wednesday evening when TCSO received a call of a man walking down the road with a gun.
TCSO says deputies fired beanbags at the Turner but he wouldn't stop, and eventually pointed a gun at deputies before being shot himself.</t>
  </si>
  <si>
    <t>Officers responded to a call about a dog shot at 6:45 pm. While officers were talking to witnesses for that incident, they heard gunshots in the area. The officers went towards the gunshots and encountered an armed man in the 1000 of Melissa Circle. After officers instructed Johnny Roy Stokes Jr. to put down his weapon, police said he started shooting at the officers. An officer fired two rounds at Stokes, killing him.</t>
  </si>
  <si>
    <t>Joshua Clayton Johnson</t>
  </si>
  <si>
    <t>3000 Winton Way</t>
  </si>
  <si>
    <t>400 Dalton Dr</t>
  </si>
  <si>
    <t>500 Branch St</t>
  </si>
  <si>
    <t>2800 Minton St</t>
  </si>
  <si>
    <t>Dewboy Lister was stopped in a vehicle by police and allegedly fled on foot. A short chase led them to the 2800 of Minton, where Lister allegedly started fighting with the officer and was shot and killed.</t>
  </si>
  <si>
    <t>5800 North Houston Rosslyn Rd</t>
  </si>
  <si>
    <t>100 Garden Circle Way</t>
  </si>
  <si>
    <t>300 N Wildwood Ave</t>
  </si>
  <si>
    <t>3000 Mary Crest Drive</t>
  </si>
  <si>
    <t>4400 Furley Ave.</t>
  </si>
  <si>
    <t>700 E 93rd St</t>
  </si>
  <si>
    <t>2600 1st St</t>
  </si>
  <si>
    <t>Robert James Lightfeather</t>
  </si>
  <si>
    <t>5500 La Pradera Road</t>
  </si>
  <si>
    <t>5300 President Ave</t>
  </si>
  <si>
    <t>1800 Planz Rd</t>
  </si>
  <si>
    <t>3600 Poplar Springs Drive</t>
  </si>
  <si>
    <t>800 Fredericks St</t>
  </si>
  <si>
    <t>7200 Newcrest Cir</t>
  </si>
  <si>
    <t>4700 Mitchell St</t>
  </si>
  <si>
    <t>1000 East Dr</t>
  </si>
  <si>
    <t>5000 of Angeline Avenue N</t>
  </si>
  <si>
    <t>1500 Welton St</t>
  </si>
  <si>
    <t>37200 Holifield Lane</t>
  </si>
  <si>
    <t>6200 South Spotswood Street</t>
  </si>
  <si>
    <t>8700 Deer Creek Cir</t>
  </si>
  <si>
    <t>1400 SW 20th</t>
  </si>
  <si>
    <t>400 Bunting St</t>
  </si>
  <si>
    <t>13000 Nashville Rd</t>
  </si>
  <si>
    <t>1700 F.M. 2611</t>
  </si>
  <si>
    <t>400 East 12th Street</t>
  </si>
  <si>
    <t>18000 Lake Vista Dr</t>
  </si>
  <si>
    <t>32000 Delta Rd</t>
  </si>
  <si>
    <t>2100 Darrow Ave</t>
  </si>
  <si>
    <t>1400 Beatrice Street</t>
  </si>
  <si>
    <t>100 Savoy Circle NE</t>
  </si>
  <si>
    <t>2700 Illinois Ave</t>
  </si>
  <si>
    <t>600 Grandview Road</t>
  </si>
  <si>
    <t>6100 South King Drive</t>
  </si>
  <si>
    <t>12000 Vose Street</t>
  </si>
  <si>
    <t>700 East Old Limestone Road</t>
  </si>
  <si>
    <t>800 Retama Street</t>
  </si>
  <si>
    <t>3300 Philpott Dr</t>
  </si>
  <si>
    <t>8700 Galen Ct</t>
  </si>
  <si>
    <t>400 Sidon Rd</t>
  </si>
  <si>
    <t>1300 Trieste Drive</t>
  </si>
  <si>
    <t>22900 Droxford Street</t>
  </si>
  <si>
    <t>24200 Juniper Avenue</t>
  </si>
  <si>
    <t>10400 Franklin Way</t>
  </si>
  <si>
    <t>Marion County Sheriff's Department, Hamilton Police Department</t>
  </si>
  <si>
    <t>1300 Chestnut Ridge Rd</t>
  </si>
  <si>
    <t>http://www.vnews.com/getattachment/c366bd04-304c-43f8-8752-4afb8d94e14f/Jesse-Champney-obit-010218-ph1</t>
  </si>
  <si>
    <t>Evelio Gomez</t>
  </si>
  <si>
    <t>http://valleycentral.com/news/local/officer-involved-shooting-victim-identified</t>
  </si>
  <si>
    <t>Adrian Escobar</t>
  </si>
  <si>
    <t>James Alan Berrones</t>
  </si>
  <si>
    <t>Jesse Scarsbrook</t>
  </si>
  <si>
    <t>Nathaniel Fritz Macalevy</t>
  </si>
  <si>
    <t>http://www.fatalencounters.org/wp-content/uploads/2013/10/Nathaniel-Fritz-Macalevy.png</t>
  </si>
  <si>
    <t>13200 SE 312th Dr</t>
  </si>
  <si>
    <t>Boring</t>
  </si>
  <si>
    <t>Deputies were searching for Macalevy in a restraining order violation call around 11:30 p.m. Macalevy was reportedly armed and wearing a bullet-resistant helmet and vest. Around 4:30 a.m., police found Macalevy while he was driving his work van. He led deputies on a chase, which eventually ended near Highway 212 and SE Church Road at his home. He shot at police and was shot and killed.</t>
  </si>
  <si>
    <t>http://katu.com/news/local/suspect-in-boring-officer-involved-shooting-identified-nathaniel-fritz-macalevy</t>
  </si>
  <si>
    <t>Spruce St and Stockham St</t>
  </si>
  <si>
    <t>Police responded to a domestic violence incident. They found the man they were looking for, and he allegedly went for a gun and was shot and killed.</t>
  </si>
  <si>
    <t>http://www.visaliatimesdelta.com/story/news/2017/12/26/developing-story-officer-involved-shooting-tulare/983473001/</t>
  </si>
  <si>
    <t>Robo Raikoglo</t>
  </si>
  <si>
    <t>http://www.fatalencounters.org/wp-content/uploads/2013/10/Robo-Raikoglo.png</t>
  </si>
  <si>
    <t>13400 Cielo Azul Way</t>
  </si>
  <si>
    <t>Officers received a report of domestic violence at a home. They found a woman who claimed her boyfriend had been drinking and tried to shoot her during a fight. Raikoglo had driven off but returned minutes later as officers interviewed the woman. Police said the man leaned out of his driver-side window and pointed his gun at the officers. They shot and killed him.</t>
  </si>
  <si>
    <t>http://www.desertsun.com/story/news/crime_courts/2017/12/27/desert-hot-springs-police-officer-fatally-shoots-man-after-domestic-violence-call/984174001/</t>
  </si>
  <si>
    <t>Dennis Plowden</t>
  </si>
  <si>
    <t>http://www.fatalencounters.org/wp-content/uploads/2013/10/Dennis-Plowden.png</t>
  </si>
  <si>
    <t>Nedro St and Opal St</t>
  </si>
  <si>
    <t>Dennis Plowden allegedly hit plainclothes officers with his car while trying to flee a traffic stop. He was shot and killed by one of the officers. He was unarmed and turned out not to be the subject of a homicide investigation that initially prompted officers to pull him over, police said.</t>
  </si>
  <si>
    <t>https://www.nbcphiladelphia.com/news/local/Plainclothes-Police-Officer-Shoots-Unarmed-Man-to-Death-Philadelphia-466983653.html</t>
  </si>
  <si>
    <t>Kenneth J. Perna-Rutsky</t>
  </si>
  <si>
    <t>http://www.fatalencounters.org/wp-content/uploads/2013/10/KennethPerna-Rutsky.jpg</t>
  </si>
  <si>
    <t>Rivers Bend Blvd and Sunset Blvd</t>
  </si>
  <si>
    <t>Chesterfield County Police Department</t>
  </si>
  <si>
    <t>Officers had responded about 10:34 a.m. for a report of a man who had barricaded himself in a house. After an exchange of gunfire, police found Kenneth J. Perna-Rutsky dead in the house, although it was not immediately certain who shot him.</t>
  </si>
  <si>
    <t>http://www.richmond.com/news/local/chesterfield/update-chesterfield-police-id-dead-gunman-who-had-exchanged-fire/article_ba1e7368-8ca0-565e-83c5-bea313729783.html</t>
  </si>
  <si>
    <t>Andrew "Andy" Thomas Finch</t>
  </si>
  <si>
    <t>1033 W McCormick St</t>
  </si>
  <si>
    <t>Wichita police responded to a prank "swatting" call and shot and killed unarmed Andy Finch.</t>
  </si>
  <si>
    <t>http://www.wibw.com/content/news/Family-identifies-man-killed-by-police-in-possible-swatting-prank-467131803.html</t>
  </si>
  <si>
    <t>Christopher Baird</t>
  </si>
  <si>
    <t>4627 US-280</t>
  </si>
  <si>
    <t>Birmingham police were called to the Days Inn at 6:25 p.m. after several motel guests reported a suspicious person in the parking lot with a gun, police said. Officers arrived on the scene and shot and killed Christopher Baird.</t>
  </si>
  <si>
    <t>http://www.al.com/news/birmingham/index.ssf/2017/12/birmingham_officer_involved_in.html</t>
  </si>
  <si>
    <t>Corey Bailey</t>
  </si>
  <si>
    <t>http://www.fatalencounters.org/wp-content/uploads/2013/10/CoreyBailey.jpg</t>
  </si>
  <si>
    <t>W Wolf Ave &amp; S 6th St</t>
  </si>
  <si>
    <t>Police responded to a bank robbery at First Source Bank on Bristol Street. Officers saw the suspects in their car driving off. That led to a chase through multiple areas of Elkhart ending near the intersection of 6th and Wolf.After a chase, the suspects ditched the Chevy and ran. Marshall Love, 29, of Elkhart and 28-year-old Devores James of South Bend were taken into custody. Police say they found Corey Bailey on Wolf Street pointing a handgun at a driver trying to steal their car, and he was shot and killed.</t>
  </si>
  <si>
    <t>http://wsbt.com/news/local/breaking-suspect-fatally-shot-by-officer-following-elkhart-bank-robbery</t>
  </si>
  <si>
    <t>Isaiah Christian Green</t>
  </si>
  <si>
    <t>http://www.fatalencounters.org/wp-content/uploads/2013/10/Isaiah-Christian-Green.jpg</t>
  </si>
  <si>
    <t>3800 Kings Ln</t>
  </si>
  <si>
    <t>Northern York County Regional Police were dispatched to a home around 1:48 a.m. for an undisclosed reason, police said. When police arrived, an officer was approached by a man, who was in the garage with an AR-15 rifle. Isaiah Christian Green was shot and killed.</t>
  </si>
  <si>
    <t>http://www.ydr.com/story/news/crime/2017/12/28/officer-involved-shooting-dover-township-cops-say/986676001/</t>
  </si>
  <si>
    <t>9800 Bowman Ave</t>
  </si>
  <si>
    <t>https://www.whittierdailynews.com/2017/12/28/man-killed-in-officer-involved-shooting-in-south-gate/</t>
  </si>
  <si>
    <t>Brooke Amelia Camacho</t>
  </si>
  <si>
    <t>http://www.fatalencounters.org/wp-content/uploads/2013/10/BrookeAmeliaCamacho.jpg</t>
  </si>
  <si>
    <t>2800 Valley View Ln</t>
  </si>
  <si>
    <t>Brooke Camacho was a passenger in the car that was suspected in a bank robbery. The car was stopped, and while the officer talked to the driver, Camacho allegedly pulled a gun and fired on the officer about 11:30 p.m., police said. She was shot and killed and the officer was wounded.</t>
  </si>
  <si>
    <t>https://www.dallasnews.com/news/crime/2017/12/27/woman-killed-farmers-branch-officer-wounded-traffic-stop-shooting</t>
  </si>
  <si>
    <t>Jarvis Lykes</t>
  </si>
  <si>
    <t>https://cdn.officer.com/files/base/cygnus/ofcr/image/2018/01/640w/suspect.5a4b7e111991c.jpg</t>
  </si>
  <si>
    <t>2799 Lumpkin Ct</t>
  </si>
  <si>
    <t>Jarvis Lykes was fleeing from a DUI checkpoint when he was killed by a Georgia State Patrol trooper at the dead end of Lumpkin Court, police said. While a gun was alleged to have been found in the vehicle, it was not reported that Lykes was near it when he was shot and killed.</t>
  </si>
  <si>
    <t>http://www.ledger-enquirer.com/news/local/crime/article192283674.html</t>
  </si>
  <si>
    <t>Marco Antonio Carlos</t>
  </si>
  <si>
    <t>1900 Broadway</t>
  </si>
  <si>
    <t>A woman on her way to an ATM at a Wells Fargo Bank noticed a man pacing with a gun. She stayed in her car and called 9-1-1. Police repeatedly asked him to drop his gun. The man allegedly refused to comply and fired a gun pointed at police. Officers shot and killed him.</t>
  </si>
  <si>
    <t>http://abc7news.com/redwood-city-police-investigating-deadly-officer-involved-shooting/2842453/</t>
  </si>
  <si>
    <t>Oscar Sandoval</t>
  </si>
  <si>
    <t>6900 Oakdale Avenue</t>
  </si>
  <si>
    <t>Winnetka</t>
  </si>
  <si>
    <t>Police responded to reports of a family disturbance around 7:30 p.m. and shot and killed somebody. Few details were immediately released.</t>
  </si>
  <si>
    <t>http://abc7.com/suspect-wounded-in-winnetka-officer-involved-shooting/2843382/</t>
  </si>
  <si>
    <t>Matthew Riehl</t>
  </si>
  <si>
    <t>http://www.fatalencounters.org/wp-content/uploads/2013/10/MatthewRiehl.png</t>
  </si>
  <si>
    <t>3404 E County Line Rd</t>
  </si>
  <si>
    <t>Matthew Riehl killed a Douglas County deputy and wounded four law enforcement officers. Riehl allegedly ambushed officers after they responded to a domestic disturbance call at an apartment complex, police said.</t>
  </si>
  <si>
    <t>https://www.denverpost.com/2017/12/31/officers-down-and-swat-on-scene-in-douglas-county/</t>
  </si>
  <si>
    <t>Ernie Macias</t>
  </si>
  <si>
    <t>2100 Norwalk St</t>
  </si>
  <si>
    <t>Two officers responded to a suspicious vehicle parked in an alleyway. As officers approached the vehicle on foot, the driver allegedly began accelerating toward one of the officers. Police said the officer feared for his life and shot and killed the driver.</t>
  </si>
  <si>
    <t>https://www.turnto23.com/news/local-news/suspect-killed-in-officer-involved-shooting-in-delano</t>
  </si>
  <si>
    <t>Heath Wayne Hodges</t>
  </si>
  <si>
    <t>https://www.gannett-cdn.com/-mm-/b7b89e03fb833d4b0f3e59948a4a5c006db40311/c=0-244-1970-1725&amp;r=x404&amp;c=534x401/local/-/media/2018/01/02/TXGroup/Wichita/636505078121697276-Heath-Hodges.jpg</t>
  </si>
  <si>
    <t>Crowell and Seymour</t>
  </si>
  <si>
    <t>Crowell</t>
  </si>
  <si>
    <t>Foard</t>
  </si>
  <si>
    <t>Foard County Sheriff's Office</t>
  </si>
  <si>
    <t>No details have been released about this case.</t>
  </si>
  <si>
    <t>http://www.timesrecordnews.com/story/news/local/2017/12/31/iowa-park-man-killed-officer-involved-shooting/993679001/</t>
  </si>
  <si>
    <t>Joel Pflum</t>
  </si>
  <si>
    <t>Echo Path</t>
  </si>
  <si>
    <t>Pflum allegedly forced his way into a home. When police arrived, there was a confrontation and when the suspect pointed his gun toward the officer, he was fatally shot by the officer, Georgetown Police Chief Mike Bosse said.</t>
  </si>
  <si>
    <t>http://www.wkyt.com/content/news/Coroner-identifies-armed-intruder-shot-killed-by-Georgetown-police-477428183.html</t>
  </si>
  <si>
    <t>Michael Holliman</t>
  </si>
  <si>
    <t>http://www.fatalencounters.org/wp-content/uploads/2018/03/Michael-Holliman.jpg</t>
  </si>
  <si>
    <t>456 Co Rd 72</t>
  </si>
  <si>
    <t>Norfork</t>
  </si>
  <si>
    <t>Baxter</t>
  </si>
  <si>
    <t>A deputy was dispatched to the Lone Rock Store shortly after 6 p.m. to take a theft report. After arriving at the store, the deputy was told that a tractor that matched the description of one reported stolen earlier in the day, in the same general area, was passing by the store and going west on Baxter CR 72. The deputy pursued the tractor a short distance and it stopped at 6:49 p.m. Two minutes later, at approximately 6:51 p.m., the deputy shot and killed Troy Jackson, who'd allegedly threatened him with a crossbow.</t>
  </si>
  <si>
    <t>https://www.baxterbulletin.com/story/news/local/2018/03/20/bcso-deputy-shoots-kills-suspect/440727002/</t>
  </si>
  <si>
    <t>Rueben Ruffin Jr.</t>
  </si>
  <si>
    <t>http://www.fatalencounters.org/wp-content/uploads/2018/03/RuebenRuffin.png</t>
  </si>
  <si>
    <t>Sutherland Rd and Hill Bridge Rd</t>
  </si>
  <si>
    <t>Around 4:30 p.m., a Kentucky State Police trooper and a Daviess County deputy responded to a report of a person doing doughnuts in a field. Police said when they arrived they found an abandoned black Jeep Cherokee. Police were told the driver ran into a nearby house that wasn't his. KSP says they searched the house and the man ran back to the Jeep and drove off. The man crashed and got out and started running. A trooper caught up with him. Police said the man pulled out a gun and refused to drop it as the trooper demanded, and he was shot and killed.</t>
  </si>
  <si>
    <t>http://www.tristatehomepage.com/news/local-news/ksp-involved-in-deadly-shooting/1059467232</t>
  </si>
  <si>
    <t>Jermaine Massey</t>
  </si>
  <si>
    <t>http://www.fatalencounters.org/wp-content/uploads/2018/03/Jermaine-Massey.jpg</t>
  </si>
  <si>
    <t>234 3rd Avenue</t>
  </si>
  <si>
    <t>Deputies said Jermaine Massey charged at them with a knife after they responded to Massey's home for a reported disturbance. Massey was killed. Four Greenville County deputies were placed on leave.</t>
  </si>
  <si>
    <t>https://www.greenvilleonline.com/story/news/crime/2018/03/19/officer-involved-shooting-reported-near-poe-mill/440226002/</t>
  </si>
  <si>
    <t>Manuel Borrego</t>
  </si>
  <si>
    <t>900 Durfee Ave</t>
  </si>
  <si>
    <t>Deputies received a call about the possible burglary. When they arrived, they saw a man with a backpack outside a vacant home, police said. The man fled when deputies tried to approach him. After a short pursuit, one deputy shot and killed the man, who allegedly turned around with kitchen-type knives in each of his hands.</t>
  </si>
  <si>
    <t>https://www.sgvtribune.com/2018/03/18/deputies-shoot-kill-man-in-south-el-monte/</t>
  </si>
  <si>
    <t>Stephon Clark</t>
  </si>
  <si>
    <t>http://www.fatalencounters.org/wp-content/uploads/2018/03/Stephen-Clark.png</t>
  </si>
  <si>
    <t>7500 29th St</t>
  </si>
  <si>
    <t>Police killed Stephon Clark in his own backyard while they were investigating broken windows. He allegedly pointed his cell phone at them, which police initially reported as a tool bar.</t>
  </si>
  <si>
    <t>http://www.sacbee.com/news/local/crime/article205818424.html</t>
  </si>
  <si>
    <t>1500 Dewberry Blvd</t>
  </si>
  <si>
    <t>A person was shot and killed when he allegedly drove his car toward officers after a traffic stop.</t>
  </si>
  <si>
    <t>http://www.wfaa.com/article/news/lancaster-police-traffic-stop-leads-to-officer-involved-shooting/287-529722504</t>
  </si>
  <si>
    <t>16300 Nyemii Pass Rd</t>
  </si>
  <si>
    <t>Valley Center</t>
  </si>
  <si>
    <t>Police responded to a call reporting a disturbance. When officers arrived, a man they believed was a suspect took off. It was not clear what he was suspected of. As the chase approached the Valley View Casino &amp; Hotel. When the man pulled into the entrance to the casino and stopped near the valet area, the man was shot and killed. Exactly what precipitated the killing was withheld by police.</t>
  </si>
  <si>
    <t>https://www.nbcsandiego.com/news/local/Officer-Involved-Shooting-Near-Valley-View-Casino--477191733.html</t>
  </si>
  <si>
    <t>Bobby Lovin</t>
  </si>
  <si>
    <t>http://www.fatalencounters.org/wp-content/uploads/2018/03/Bobby-Lovin.jpg</t>
  </si>
  <si>
    <t>Yancey</t>
  </si>
  <si>
    <t>A deputy shot and killed a man during an incident in which a 911 caller said her husband broke into her house with an ax. Police withheld most details, but alleged that there was an active domestic violence restraining order against the man.</t>
  </si>
  <si>
    <t>http://wlos.com/news/local/sbi-investigating-deputy-involved-shooting-in-yancey-county</t>
  </si>
  <si>
    <t>James A. Vaughn</t>
  </si>
  <si>
    <t>950 Big Sky Dr</t>
  </si>
  <si>
    <t>Police shot and killed James Vaughn, who had been barricaded for hours inside a gated apartment complex. He was the ex-boyfriend of a woman who recently went missing in Middle Tennessee and a suspect in her disappearance, police said.</t>
  </si>
  <si>
    <t>https://www.knoxnews.com/story/news/local/clarksville/2018/03/16/clarksville-pd-tactical-unit-responding-barricaded-suspect/433384002/</t>
  </si>
  <si>
    <t>William Langfitt</t>
  </si>
  <si>
    <t>252nd St E and Mountain Highway E</t>
  </si>
  <si>
    <t>A Pierce County deputy shot and killed William Langfitt after he reportedly tried to get into the deputy's patrol car. Earlier 911 callers said the man was having a breakdown, was armed with a knife and was trying to get into people's vehicles, police said.</t>
  </si>
  <si>
    <t>http://komonews.com/news/local/pierce-county-deputy-shoots-kills-man-near-graham</t>
  </si>
  <si>
    <t>Mark Clinton Harrell Jr.</t>
  </si>
  <si>
    <t>Hwy 11E and Boones Creek Rd</t>
  </si>
  <si>
    <t>Jonesborough</t>
  </si>
  <si>
    <t>Police received a complaint concerning possible drug activity at a hotel. Upon arrival, officers encountered a man in the parking lot. He allegedly displayed a large knife and threatened to harm himself before leading officers on a foot pursuit. Officers continued to give the man orders to drop the knife, but he refused to comply, and he was shot and killed when he allegedly threatened an officer.</t>
  </si>
  <si>
    <t>https://www.knoxnews.com/story/news/2018/03/16/tbi-investigates-officer-involved-shooting-jonesborough-one-two-state-friday/433894002/</t>
  </si>
  <si>
    <t>1700 Seven Pines Dr</t>
  </si>
  <si>
    <t>Deputies went to a home around 5:30 a.m. after a caller reported hearing a gunshot and arguing coming from next door. When the deputy arrived at the scene, a man answered the door and got into a fight with the deputy, police said. A neighbor heard the altercation and came over to help the deputy. During the fight, the deputy shot and killed the man.</t>
  </si>
  <si>
    <t>http://www.khou.com/article/news/crime/1-dead-another-injured-in-deputy-involved-shooting-in-klein-area/285-529116891</t>
  </si>
  <si>
    <t>Cameron Hall</t>
  </si>
  <si>
    <t>1500 E Elegante Dr</t>
  </si>
  <si>
    <t>Officers were dispatched to a home around 10 p.m. Cameron Hall allegedly confronted and assaulted an officer. The officer tried to defend himself by using a Taser on Hall, but it was ineffective. Police said Hall struck the officer, and the officer shot and killed Hall.</t>
  </si>
  <si>
    <t>https://www.abc15.com/news/region-central-southern-az/casa-grande/casa-grande-police-involved-in-shooting</t>
  </si>
  <si>
    <t>Shermichael Ezeff</t>
  </si>
  <si>
    <t>http://www.fatalencounters.org/wp-content/uploads/2018/03/Shermichael-Ezeff.png</t>
  </si>
  <si>
    <t>650 N Ardenwood Drive</t>
  </si>
  <si>
    <t>An East Baton Rouge Parish sheriff's deputy serving papers at an apartment building shot and killed a man during a struggle, police said. It happened around 4 p.m. when the man and the deputy fought. Police withheld any reason for the fight. Witnesses disputed the police narrative.</t>
  </si>
  <si>
    <t>http://www.theadvocate.com/baton_rouge/news/crime_police/article_be25f36c-27cd-11e8-a06c-07c66266f7bc.html</t>
  </si>
  <si>
    <t>Parmelee</t>
  </si>
  <si>
    <t>A man with a weapon confronted an officer in Parmelee just before midnight, and the officer shot and killed him when he "failed to respond to commands," police said.</t>
  </si>
  <si>
    <t>http://rapidcityjournal.com/news/local/man-killed-in-officer-involved-shooting-on-rosebud-reservation/article_4026a795-1ed1-5ee0-9031-4c5bf4ce9a4b.html</t>
  </si>
  <si>
    <t>Ryan Chapman</t>
  </si>
  <si>
    <t>Springtime Ct NE and Chemawa Road</t>
  </si>
  <si>
    <t>Keizer</t>
  </si>
  <si>
    <t>Ryan Chapman fled a Pizza Hut around 6 p.m. after he allegedly robbed it, and Keizer police followed until he crashed into another car. Chapman then ran off down NE Springtime Court, where there was a confrontation with Keizer police officer Tyler Wampler, who shot and killed Chapman.</t>
  </si>
  <si>
    <t>http://www.koin.com/news/local/marion-county/police-investigating-incident-in-keizer/1046008046</t>
  </si>
  <si>
    <t>Bryan Keith Liles</t>
  </si>
  <si>
    <t>http://www.fatalencounters.org/wp-content/uploads/2018/03/Bryan-Keith-Liles.jpg</t>
  </si>
  <si>
    <t>180 E 8960 S</t>
  </si>
  <si>
    <t>Sandy</t>
  </si>
  <si>
    <t>At about 5 p.m., agents from the Bureau of Alcohol, Tobacco, Firearms and Explosives tracked a man to a vehicle across the street from the Historic Sandy station, police said. Agents had a warrant for his arrest when they shot and killed him. He didn't say what prompted the killing.</t>
  </si>
  <si>
    <t>https://www.sltrib.com/news/2018/03/14/shooting-reported-near-sandy-trax-station/</t>
  </si>
  <si>
    <t>Michael Ward</t>
  </si>
  <si>
    <t>http://www.fatalencounters.org/wp-content/uploads/2018/03/michael-ward.jpg</t>
  </si>
  <si>
    <t>Bayview Ave and E Shore Rd</t>
  </si>
  <si>
    <t>Great Neck</t>
  </si>
  <si>
    <t>http://brooklyn.news12.com/story/37704529/police-officer-fatally-shot-bat-wielding-suspect-in-great-neck</t>
  </si>
  <si>
    <t>Jontell Reedom</t>
  </si>
  <si>
    <t>http://www.fatalencounters.org/wp-content/uploads/2018/03/Jontell-Reedom.png</t>
  </si>
  <si>
    <t>600 N Cherry St</t>
  </si>
  <si>
    <t>Officers were responding to a reported assault of a bus driver. When they spotted a man matching the description of the suspected, they attempted to talk to him, and he allegedly tried to fight them. Police said officers tried to use their Tasers, which they said were ineffective, and they shot and killed the man.</t>
  </si>
  <si>
    <t>http://abc30.com/tulare-police-shoot-kill-suspect-after-confrontation-chase/3207780/</t>
  </si>
  <si>
    <t>Jaden Marsh</t>
  </si>
  <si>
    <t>http://www.fatalencounters.org/wp-content/uploads/2018/03/jadenmarsh.jpg</t>
  </si>
  <si>
    <t>2019 E Ashman St</t>
  </si>
  <si>
    <t>Police responded around 1:40 a.m. to a report of two people breaking into a vehicle. When they got there, two 16-year-olds fled. During a chase one of the boys shot at the officer, and the officer shot and killed him. The other boy was arrested.</t>
  </si>
  <si>
    <t>http://www.wilx.com/content/news/Vehicle-break-in-suspect-fatally-shot-by-mid-Michigan-police-476572663.html</t>
  </si>
  <si>
    <t>Brisco Tim Woodel</t>
  </si>
  <si>
    <t>http://www.fatalencounters.org/wp-content/uploads/2018/03/Brisco-Tim-Woodel.jpg</t>
  </si>
  <si>
    <t>1257 Sink Farm Road</t>
  </si>
  <si>
    <t>Brisco Tim Woodel allegedly assaulted a woman, and he was shot and killed when he allegedly pointed a shotgun at police during a subsequent standoff, police said.</t>
  </si>
  <si>
    <t>http://www.wxii12.com/article/deadly-officer-involved-shooting-in-davidson-county/19417026</t>
  </si>
  <si>
    <t>Corky Lee Oliver</t>
  </si>
  <si>
    <t>http://www.fatalencounters.org/wp-content/uploads/2018/03/Corky-Lee-Oliver.jpg</t>
  </si>
  <si>
    <t>1703 S. Nevada Ave.</t>
  </si>
  <si>
    <t>A Colorado Springs police SWAT team rushed to the TravelStar Inn &amp; Suites after a suspect claimed he barricaded himself inside with a hostage, and hours later someone was taken away by ambulance after an explosive boom was heard from the motel. Corky Lee Oliver was killed.</t>
  </si>
  <si>
    <t>http://gazette.com/hours-long-standoff-with-colorado-springs-police-ends-with-ambulance-ride/article/1622546</t>
  </si>
  <si>
    <t>Decynthia S. Clements</t>
  </si>
  <si>
    <t>http://www.fatalencounters.org/wp-content/uploads/2018/03/Decynthia-S.-Clements.png</t>
  </si>
  <si>
    <t>I-90 and IL-25</t>
  </si>
  <si>
    <t>Elgin</t>
  </si>
  <si>
    <t>Decynthia Clements was pulled over by an Elgin police officer on I-90, about 12:35 a.m. but refused to exit her SUV. She allegedly displayed a knife as officers attempted to persuade her to leave the vehicle. When they saw the interior of the SUV was on fire, they tried to pull her from the vehicle. She was shot and killed by Lt. Christian Jensen.</t>
  </si>
  <si>
    <t>http://www.chicagotribune.com/suburbs/elgin-courier-news/news/ct-met-interstate-90-police-shooting-20180312-story.html</t>
  </si>
  <si>
    <t>Justin Lee Dietrich</t>
  </si>
  <si>
    <t>http://www.fatalencounters.org/wp-content/uploads/2018/03/Justin-Lee-Dietrich.jpg</t>
  </si>
  <si>
    <t>1000 11th St W</t>
  </si>
  <si>
    <t>West Fargo</t>
  </si>
  <si>
    <t>Justin Lee Dietrich was shot and killed by police after he fled a traffic stop, crashed into another vehicle and then allegedly got out of his car with an unspecified weapon, police said.</t>
  </si>
  <si>
    <t>http://www.kvrr.com/2018/03/12/chase-suspect-killed-during-gunfire-exchange/</t>
  </si>
  <si>
    <t>Juan Garcia Alvarez</t>
  </si>
  <si>
    <t>http://www.fatalencounters.org/wp-content/uploads/2018/03/Juan-Garcia-Alvarez.jpg</t>
  </si>
  <si>
    <t>2201 W. County Road 137</t>
  </si>
  <si>
    <t>Juan Garcia Alvarez allegedly fatally stabbed his wife, Dolores Marquez Alvarez, 46, and later was killed when he pulled a gun on police, police said.</t>
  </si>
  <si>
    <t>https://www.mrt.com/news/crime/article/MCSO-Two-dead-after-apparent-stabbing-12747556.php</t>
  </si>
  <si>
    <t>Joshua Pawlik</t>
  </si>
  <si>
    <t>4000 Market St</t>
  </si>
  <si>
    <t>According to the Oakland Police Department, four officers were responding to a report of a man with a weapon. He was shot and killed, although details of what precipitated the killing were withheld by police.</t>
  </si>
  <si>
    <t>http://www.kron4.com/news/bay-area/report-officers-respond-to-shooting-in-oakland/1030346287</t>
  </si>
  <si>
    <t>Kenneth Scott Townley</t>
  </si>
  <si>
    <t>http://www.fatalencounters.org/wp-content/uploads/2018/03/Kenneth-Townley.jpg</t>
  </si>
  <si>
    <t>Tyson St and Watts St</t>
  </si>
  <si>
    <t>Kenneth Scott Townley was shot and killed by officers after police say he robbed a Dollar General store. Police said Townley was armed during the robbery. He was shot around 2:45 p.m., 20 minutes following the alleged armed robbery. A total of five officers were involved in the shooting including two Blackman Township officers, two Jackson city police officers, and one Jackson County Sheriff deputy. A few houses were hit by bullets during the gunfight, but no injuries were reported.</t>
  </si>
  <si>
    <t>http://www.wilx.com/content/news/Officer-involved-shooting-reported-in-Jackson-476497763.html</t>
  </si>
  <si>
    <t>Andy Lucero</t>
  </si>
  <si>
    <t>http://www.fatalencounters.org/wp-content/uploads/2018/03/Andy-Lucero.jpg</t>
  </si>
  <si>
    <t>US-60 and Co Rd 1-30</t>
  </si>
  <si>
    <t>Fort Sumner</t>
  </si>
  <si>
    <t>DeBaca</t>
  </si>
  <si>
    <t>http://www.kob.com/new-mexico-news/shooting-suspect-andy-lucero-shot-killed-by-police/4822517/</t>
  </si>
  <si>
    <t>Orion Godbout</t>
  </si>
  <si>
    <t>7462 Cypress Ave</t>
  </si>
  <si>
    <t>Fontana police responded to reports of a possible shooting shortly before 1:30 p.m. and found one person suffering from a gunshot wound, police said. As officers searched the neighborhood, they allegedly exchanged gunfire with a man, killing Orion Godbout, police said.</t>
  </si>
  <si>
    <t>https://www.pe.com/2018/03/10/1-dead-after-officer-involved-shooting-in-fontana/</t>
  </si>
  <si>
    <t>Daniel Stacey Reynolds</t>
  </si>
  <si>
    <t>2086 SE 54th Ave</t>
  </si>
  <si>
    <t>Around 11:20 p.m., police went to a home regarding a domestic disturbance, police said. As officers went toward the residence, they saw a man with a gun, and there was an exchange of gunfire, killing Daniel Reynolds.</t>
  </si>
  <si>
    <t>http://www.koin.com/news/local/washington-county/hillsboro-police-shoot-kill-man-at-home/1029021490</t>
  </si>
  <si>
    <t>David Gardea</t>
  </si>
  <si>
    <t>5900 W Mulberry Dr</t>
  </si>
  <si>
    <t>Police were called around 1:15 p.m. after hearing allegations of a domestic violence incident between David Gardea and a woman. Gardea allegedly pointed a gun at officers when they arrived. He was killed in an exchange of gunfire.</t>
  </si>
  <si>
    <t>https://www.abc15.com/news/region-phoenix-metro/west-phoenix/authorities-investigating-officer-involved-shooting-in-west-phoenix</t>
  </si>
  <si>
    <t>Alkeeta Allena Walker</t>
  </si>
  <si>
    <t>442 Riverside Dr</t>
  </si>
  <si>
    <t>Alkeeta Walker was shot and killed when she charged at officers while she brandished knives.</t>
  </si>
  <si>
    <t>http://www.tampabay.com/news/publicsafety/Tarpon-Springs-officer-fatally-shoots-woman-armed-with-knives-w-video-_166224913</t>
  </si>
  <si>
    <t>Jerry Steffens</t>
  </si>
  <si>
    <t>http://www.fatalencounters.org/wp-content/uploads/2018/03/JerrySteffans.jpg</t>
  </si>
  <si>
    <t>S York St and E High St</t>
  </si>
  <si>
    <t>Pottstown</t>
  </si>
  <si>
    <t>At 11:25 p.m., Pottstown police responded to a wellness check for a suicidal man, police said. Police had been told that the man had posted photos online of himself holding a gun to his head and threatening to harm himself. When police arrived, officers encountered the armed man in the parking lot and confronted him. At that time, he was shot and killed. He apparently had a BB gun.</t>
  </si>
  <si>
    <t>http://www.timesherald.com/general-news/20180309/update-da-investigates-officer-involved-fatal-shooting-in-pottstown</t>
  </si>
  <si>
    <t>Dwight T. Heckman</t>
  </si>
  <si>
    <t>Pilot Station</t>
  </si>
  <si>
    <t>Wade Hampton</t>
  </si>
  <si>
    <t>Dwight Heckman allegedly assaulted a woman, strangled her and then dragged her out into the street, firing several shots from a handgun before he fled on a snowmachine, police said. The woman was reported safe with her family. When troopers found Heckman the following day, there was a gunfight, and Heckman was killed.</t>
  </si>
  <si>
    <t>https://www.adn.com/alaska-news/crime-courts/2018/03/09/daylong-pilot-station-standoff-ends-with-man-dead/</t>
  </si>
  <si>
    <t>Jamil Omar Harvey</t>
  </si>
  <si>
    <t>7100 Tangible Ct</t>
  </si>
  <si>
    <t>Spotsylvania</t>
  </si>
  <si>
    <t>A teenager who was a suspect in multiple crimes in Spotsylvania County was shot and killed when he allegedly pulled a gun and fired at a deputy, police said. The teenager was wanted in connection to shootings on March 4 and March 5.</t>
  </si>
  <si>
    <t>http://www.nbc12.com/story/37688260/teen-killed-in-deputy-involved-shooting-in-spotsylvania</t>
  </si>
  <si>
    <t>2100 Reverchon Dr</t>
  </si>
  <si>
    <t>Officers were dispatched to a home about 5 p.m. for a welfare check after someone called 9-1-1 and hung up. When the two officers arrived, a man partially opened the door, and one officer asked if he could come inside. The man opened the door and the officer took a step or two inside, at which point a second man, identified as 38-year-old Hieu Tran, charged at him with a knife. The officers backed away, but Tran continued to charge at the officers, who shot and killed him.</t>
  </si>
  <si>
    <t>http://www.star-telegram.com/news/local/community/arlington/article204225524.html</t>
  </si>
  <si>
    <t>9900 Willowbrook Rd</t>
  </si>
  <si>
    <t>About 5:30 p.m., officers were looking for a wanted parolee. Officers fired after encountering the person, police said. The man was wanted in connection to a 2017 assault with a deadly weapon. Details regarding what precipitated the killing were withheld by police.</t>
  </si>
  <si>
    <t>http://losangeles.cbslocal.com/2018/03/08/suspect-killed-in-jurupa-valley-officer-involved-shooting/</t>
  </si>
  <si>
    <t>Donald McFarlane</t>
  </si>
  <si>
    <t>http://www.fatalencounters.org/wp-content/uploads/2018/03/Donald-McFarlane.jpg</t>
  </si>
  <si>
    <t>333 W Ocean Blvd</t>
  </si>
  <si>
    <t>A woman had called police and said that her husband was armed with guns in front of the Federal Building. After a standoff on a busy street, he was shot and killed.</t>
  </si>
  <si>
    <t>https://www.nbclosangeles.com/news/local/Long-Beach-SWAT-Team-Negotiator-Surround-Man-With-Gun-476187543.html</t>
  </si>
  <si>
    <t>Victor Ancira</t>
  </si>
  <si>
    <t>http://www.fatalencounters.org/wp-content/uploads/2018/03/victor-ancira.jpg</t>
  </si>
  <si>
    <t>4800 Tanney St</t>
  </si>
  <si>
    <t>Officers received a call at 4:18 a.m. in which the caller claimed he had killed his father and brother, police said. After about 10 minutes of negotiating with the man and issuing commands to disarm, officers approached the man and used less-lethal rounds of impact munitions as the man approached the house, but he blocked them with a chair in his hand. Officers also used a stun gun. When Victor Ancira allegedly raised his pickax against the approaching officers, he was shot and killed.</t>
  </si>
  <si>
    <t>https://www.statesman.com/news/local/police-responding-shooting-involving-officer-east-austin/G5WcKOAyjWFPvq1M39qlFJ/</t>
  </si>
  <si>
    <t>James Earl Waters</t>
  </si>
  <si>
    <t>http://www.fatalencounters.org/wp-content/uploads/2018/03/JamesWaters.jpg</t>
  </si>
  <si>
    <t>306 W Grandriver St</t>
  </si>
  <si>
    <t>Officer Christopher Morton, 30, was killed and two other officers were injured in a shootout with James Waters, who was shot and killed. Police allegedly responded to a domestic disturbance, but Waters was facing charges for unlawful possession of a firearm and possession of a controlled substance, police said. Later, police admitted there was a mix-up, and the 911 call for the disturbance had actually come from Windsor, Missouri, about 20 miles away.</t>
  </si>
  <si>
    <t>http://amp.kansascity.com/news/local/crime/article203859059.html?__twitter_impression=true</t>
  </si>
  <si>
    <t>Jesus Adolfo Delgado-Duarte</t>
  </si>
  <si>
    <t>Capp Street and 21st Street</t>
  </si>
  <si>
    <t>https://www.sfgate.com/bayarea/article/SF-police-shoot-kill-armed-robbery-suspect-12734742.php</t>
  </si>
  <si>
    <t>Steven Peters</t>
  </si>
  <si>
    <t>900 East Eighth Street</t>
  </si>
  <si>
    <t>Police responded to a violation of a protection order. When they found Steven Peters, he allegedly ran and pulled a gun and was shot and killed.</t>
  </si>
  <si>
    <t>https://www.chieftain.com/news/pueblo/dead-in-officer-involved-shooting-on-pueblo-s-east-side/article_a7da9152-bce5-585a-8c3f-8acb6d76064a.html</t>
  </si>
  <si>
    <t>Michael "Mikey" R. Reynolds</t>
  </si>
  <si>
    <t>http://www.fatalencounters.org/wp-content/uploads/2018/03/mikey-reynolds.jpg</t>
  </si>
  <si>
    <t>2123 Fourth Avenue</t>
  </si>
  <si>
    <t>Police responded to a shooting, and after a standoff and chase, shot and killed Michael Reynolds.</t>
  </si>
  <si>
    <t>http://www.tribstar.com/news/timeline-homicide-standoff-and-suspect-shot-by-police/article_9a446f2e-218c-11e8-a6b8-273afecd4910.html</t>
  </si>
  <si>
    <t>Louis Troy Risinger</t>
  </si>
  <si>
    <t>http://www.fatalencounters.org/wp-content/uploads/2018/03/LouisRisinger.jpg</t>
  </si>
  <si>
    <t>Co Rd 2798</t>
  </si>
  <si>
    <t>Deputies were called to a reported hostage situation around 10:05 p.m. Police said Louis Troy Risinger, came out of the home displaying a firearm and was shot and killed after he allegedly refused to comply with commands to drop the weapon.</t>
  </si>
  <si>
    <t>http://www.arklatexhomepage.com/news/local-news/east-texas-man-dies-in-deputy-involved-shooting/1021190038</t>
  </si>
  <si>
    <t>Andrew Rossi</t>
  </si>
  <si>
    <t>http://www.fatalencounters.org/wp-content/uploads/2018/03/Andrew-Rossi.png</t>
  </si>
  <si>
    <t>1600 Bloomfield Blvd.</t>
  </si>
  <si>
    <t>Andrew Rossi was a suspect in a Feb. 25 shooting that left a 47-year-old man dead. He was wanted by the Ignacio, Colorado, Police Department for a warrant on a felony count of aggravated battery with a deadly weapon. He was shot and killed during a standoff at a Farmington motel when he allegedly charged at police with a knife.</t>
  </si>
  <si>
    <t>http://www.daily-times.com/story/news/2018/03/06/farmington-swat-officer-kills-armed-suspect-after-standoff-motel-6/398546002/</t>
  </si>
  <si>
    <t>Michael Kline</t>
  </si>
  <si>
    <t>http://www.fatalencounters.org/wp-content/uploads/2018/03/MichaelKline.jpg</t>
  </si>
  <si>
    <t>1601 IN-114</t>
  </si>
  <si>
    <t>North Manchester</t>
  </si>
  <si>
    <t>Wabash</t>
  </si>
  <si>
    <t>Police pulled over Michael Kline for unspecified reasons before shooting and killing him for other unspecified reasons.</t>
  </si>
  <si>
    <t>http://wane.com/2018/03/06/north-manchester-officer-involved-in-fatal-shooting/</t>
  </si>
  <si>
    <t>7900 E 48th St</t>
  </si>
  <si>
    <t>A man was shooting people when neighbors called police. When police arrived, there was a gun battle, and the man was killed. Two women were killed prior to the arrival of police.</t>
  </si>
  <si>
    <t>http://www.kansascity.com/news/local/crime/article203495494.html</t>
  </si>
  <si>
    <t>William Simon</t>
  </si>
  <si>
    <t>914 Remsen Ave</t>
  </si>
  <si>
    <t>An off-duty officer was fueling up at a gas station when two armed men demanded money from the booth clerk. The officer identified himself as police as the men fled. Police said they turned around with their weapons drawn, prompting the officer to open fire, killing William Simon. His alleged accomplice escaped.</t>
  </si>
  <si>
    <t>http://brooklyn.news12.com/story/37655376/off-duty-officer-fatally-shoots-robbery-suspect-in-canarsie</t>
  </si>
  <si>
    <t>Stephen Dalton</t>
  </si>
  <si>
    <t>13047 State Hwy 825</t>
  </si>
  <si>
    <t>Oil Springs</t>
  </si>
  <si>
    <t>Deputies were called to a home on Route 845, to check out someone in a front yard acting suspiciously. Police said a man was walking around, holding a Bible, and looking up at the sky. After a shootout and standoff, police found Stephen Dalton dead in the house.</t>
  </si>
  <si>
    <t>http://www.wymt.com/content/news/Police-surround-home-after-gunshots-heard-inside-475940063.html</t>
  </si>
  <si>
    <t>Robert Lewis Yates Jr.</t>
  </si>
  <si>
    <t>http://www.fatalencounters.org/wp-content/uploads/2018/03/Robert-Lewis-Yates-Jr.jpg</t>
  </si>
  <si>
    <t>Keller Rd &amp; US-98</t>
  </si>
  <si>
    <t>Robert Lewis Yates Jr. allegedly shot at deputies, prompting a standoff and a gun battle during which Yates was shot and killed.</t>
  </si>
  <si>
    <t>http://weartv.com/news/local/baldwin-county-sheriffs-deputies-investigating-shootout</t>
  </si>
  <si>
    <t>Brandon Kuhlman</t>
  </si>
  <si>
    <t>http://www.fatalencounters.org/wp-content/uploads/2018/03/BrandonKuhlman.jpg</t>
  </si>
  <si>
    <t>950 Ridley Village Rd</t>
  </si>
  <si>
    <t>Officers were called to a residence in Ridley Village at 3:10 a.m. They spoke with the reporting party and while speaking with the reporting party, a person stepped out and began firing at officers. Officers Michael Hutter and Eric Clark were hit, and Brandon Kuhlman was shot and killed.</t>
  </si>
  <si>
    <t>http://www.khq.com/story/37646989/sandpoint-police-identify-officers-suspect-involved-in-shooting</t>
  </si>
  <si>
    <t>Ryan L. Smith</t>
  </si>
  <si>
    <t>http://www.fatalencounters.org/wp-content/uploads/2018/03/Ryan-L.-Smith.jpg</t>
  </si>
  <si>
    <t>Presidential Ln &amp; Old Government Rd</t>
  </si>
  <si>
    <t>http://www.theledger.com/news/20180305/polk-sheriff-grady-judd-deputies-shoot-kill-knife-wielding-man-in-south-lakeland</t>
  </si>
  <si>
    <t>David Willoughby</t>
  </si>
  <si>
    <t>West Lakeview Drive and Bar J Road</t>
  </si>
  <si>
    <t>About 11 p.m., police received a call about a suspicious person with a gun in someone's backyard. Deputies found David Willoughby hiding in a wooded area. He pointed the pellet gun at them, and the deputies ordered Willoughby to drop it, police said. He allegedly didn't and was shot and killed.</t>
  </si>
  <si>
    <t>http://www.wsbtv.com/news/local/gbi-investigates-deputy-involved-shooting-in-carroll-county/711635069</t>
  </si>
  <si>
    <t>866 Jenkintown Rd</t>
  </si>
  <si>
    <t>Elkins Park</t>
  </si>
  <si>
    <t>Police were dispatched to a home shortly after 2 p.m. on for reports of a "domestic situation that involved a stabbing." When responding officers, they broke into the house. Police said they found a man, who lived at the home, in the basement. He was shot and killed.</t>
  </si>
  <si>
    <t>http://philadelphia.cbslocal.com/2018/03/04/officer-involved-shooting-montco/</t>
  </si>
  <si>
    <t>Marvin Ray McMillian</t>
  </si>
  <si>
    <t>1000 Cleveland Avenue</t>
  </si>
  <si>
    <t>At 10 p.m., police were trying to arrest a suspect wanted for a shooting that happened in January. According to police, Marvin Ray McMillian barricaded himself inside a home and refused to come out. Police tried for four hours to end the stand-off. After McMillian fired at officers, they shot and killed him.</t>
  </si>
  <si>
    <t>http://www.wlox.com/story/37637948/suspect-killed-by-gulfport-officer-after-stand-off-with-police</t>
  </si>
  <si>
    <t>Michael Murice McEntee</t>
  </si>
  <si>
    <t>1034 Nw 475th Road</t>
  </si>
  <si>
    <t>Centerview</t>
  </si>
  <si>
    <t>At about 3 p.m., officers were dispatched to a residence on reports of a shooting, police said. When officers arrived, they were fired upon. The officers retreated and took fire again from the man, who had taken a new position in the residence. Michael McEntee was shot and killed.</t>
  </si>
  <si>
    <t>http://www.kansascity.com/news/local/article203371824.html</t>
  </si>
  <si>
    <t>Amanda Alvarez</t>
  </si>
  <si>
    <t>4700 W Camino Tierra</t>
  </si>
  <si>
    <t>Amanda Alvarez allegedly sprayed deputies with bear spray and was shot and killed.</t>
  </si>
  <si>
    <t>http://www.tucsonnewsnow.com/story/37640340/breaking-no-deputies-hurt-in-shooting-southwest-of-tucson</t>
  </si>
  <si>
    <t>Erik Christopher Dunham</t>
  </si>
  <si>
    <t>http://www.fatalencounters.org/wp-content/uploads/2018/03/Erik-Christopher-Dunham.jpg</t>
  </si>
  <si>
    <t>9990 N 90th St</t>
  </si>
  <si>
    <t>An ICE agent shot and killed Erik Dunham in a fast-food parking lot. He was being sought after he failed to appear for sentencing for a recent human-trafficking conviction.</t>
  </si>
  <si>
    <t>https://www.azcentral.com/story/news/local/scottsdale-breaking/2018/03/02/man-killed-shooting-federal-agents-scottsdale-shea-boulevard-90th-street/389277002/</t>
  </si>
  <si>
    <t>Stephen Hudak</t>
  </si>
  <si>
    <t>http://www.fatalencounters.org/wp-content/uploads/2018/03/stephen-dalton.jpg</t>
  </si>
  <si>
    <t>4336 West Olive Avenue</t>
  </si>
  <si>
    <t>Multiple agencies were attempting to take a man with multiple felony warrants into custody at that location. Stephen Hudak was shot and killed an exchange of gunfire.</t>
  </si>
  <si>
    <t>https://www.abc15.com/news/region-phoenix-metro/west-phoenix/officials-investigating-officer-involved-shooting-near-43rd-avenue_hatcher</t>
  </si>
  <si>
    <t>Christopher Race</t>
  </si>
  <si>
    <t>8865 E Baseline</t>
  </si>
  <si>
    <t>Christopher Race was the suspect in the murder of a woman at a nail salon, police said. He was shot and killed when police tried to arrest him. He allegedly charged at police with a knife.</t>
  </si>
  <si>
    <t>http://www.12news.com/article/news/local/arizona/dna-match-police-confirm-mesa-nail-salon-stabbing-suspect-was-killed-in-police-shooting/75-524926269</t>
  </si>
  <si>
    <t>1700 E Dyer Rd</t>
  </si>
  <si>
    <t>A man was wanted for violating conditions of his probation. Police caught up with him at a 7-Eleven parking lot and shot and killed him. Few details were immediately released.</t>
  </si>
  <si>
    <t>https://www.nbclosangeles.com/news/local/Man-Killed-in-7-Eleven-Parking-Lot-After-Garden-Grove-Police-Open-Fire-475732823.html</t>
  </si>
  <si>
    <t>Jose Gomez Burgos</t>
  </si>
  <si>
    <t>Edgely Rd And Runway Rd</t>
  </si>
  <si>
    <t>Levittown</t>
  </si>
  <si>
    <t>Jose Gomez Burgos, a stabbing suspect out of New York, confronted police with an unspecified weapon after officers found him sitting in a car. He was shot and killed.</t>
  </si>
  <si>
    <t>http://www.buckscountycouriertimes.com/news/20180305/officials-id-man-killed-in-confrontation-with-bristol-township-police</t>
  </si>
  <si>
    <t>500 N Cedar St.</t>
  </si>
  <si>
    <t>Around 11:30 outside the Red River County Sheriff's Office, which is attached to the jail, a man pulled up and was waiting on an officer when he was shot and killed. Police withheld most details.</t>
  </si>
  <si>
    <t>http://www.arklatexhomepage.com/news/local-news/shooting-in-red-river-county/1004358893</t>
  </si>
  <si>
    <t>Timothy Smothers Jr.</t>
  </si>
  <si>
    <t>13301 GA-133</t>
  </si>
  <si>
    <t>Quitman</t>
  </si>
  <si>
    <t>Brooks</t>
  </si>
  <si>
    <t>Brooks County deputies went to a trailer home to serve a warrant for probation violation. During the attempted arrest, they said the man barricaded himself inside the house. He was shot and killed, although what precipitated the killing was withheld by police.</t>
  </si>
  <si>
    <t>http://www.wtxl.com/news/father-says-law-enforcement-shot-killed-his-son/article_224a1092-1e8e-11e8-b137-f376606fb5e5.html</t>
  </si>
  <si>
    <t>Timothy M. Gray</t>
  </si>
  <si>
    <t>I-64 and S Airport Dr</t>
  </si>
  <si>
    <t>Sandston</t>
  </si>
  <si>
    <t>Officers from multiple jurisdictions were chasing a "violent suspect." The chase ended, according to police, when Timothy Gray got out of his vehicle armed with a weapon, and police shot and killed him.</t>
  </si>
  <si>
    <t>http://wavy.com/2018/03/01/suspect-shot-killed-by-police-after-chase-on-i-64-in-henrico-county/</t>
  </si>
  <si>
    <t>Qawi A. Muhammad</t>
  </si>
  <si>
    <t>W South St and Hughey Ave</t>
  </si>
  <si>
    <t>Qawi A. Muhammad allegedly went into a restaurant with a gun where someone who had a protection order against him. Police caught up with him and shot and killed him.</t>
  </si>
  <si>
    <t>http://www.orlandosentinel.com/news/breaking-news/os-officer-involved-shooting-downtown-orlando20180228-story.html</t>
  </si>
  <si>
    <t>Marlon Smith</t>
  </si>
  <si>
    <t>http://www.fatalencounters.org/wp-content/uploads/2018/03/marlon-smith.png</t>
  </si>
  <si>
    <t>2100 Hulse Boulevard</t>
  </si>
  <si>
    <t>Marlon Smith allegedly killed Nancy Churchwell. He exchanged gunfire with police when they caught up with him. He was shot and killed.</t>
  </si>
  <si>
    <t>https://www.nbcdfw.com/news/local/Police-Responding-to-Shooting-in-Downtown-Dallas-475296993.html</t>
  </si>
  <si>
    <t>Curtis Bradley Ware</t>
  </si>
  <si>
    <t>E Hattie Ave &amp; N Government Way</t>
  </si>
  <si>
    <t>An officer and an officer-in-training approached a man, who allegedly was wanted on a felony warrant. When the officers attempted to detain the man, he produced a gun and fired at the officers. At least one officer was struck by gunfire. Officers shot and killed him.</t>
  </si>
  <si>
    <t>http://www.spokesman.com/stories/2018/feb/27/coeur-dalene-police-officer-shot-monday-night/#/0</t>
  </si>
  <si>
    <t>Dustin James Case</t>
  </si>
  <si>
    <t>First Street and Saluda Street</t>
  </si>
  <si>
    <t>Police responded to a report of a stolen vehicle in the Richburg area around 10:30 p.m. A short while later, police saw the vehicle and initiated a chase that ended in a crash. Two officers, one Chester County deputy and a Chester Police officer, began approaching the vehicle after the crash when Dustin James Case turned and displayed what appeared to be a firearm. Both officers fired their service weapon, killing Case.</t>
  </si>
  <si>
    <t>http://www.wcnc.com/article/news/crime/one-killed-in-officer-involved-shooting-in-chester/275-523983840</t>
  </si>
  <si>
    <t>William Watson Jr.</t>
  </si>
  <si>
    <t>10331 Durness Dr</t>
  </si>
  <si>
    <t>An eight-member U.S. Marshals task force went to arrest William Watson Jr. around 9:30 a.m. As officers approached the house, Watson, wearing body armor, shot at officers. A 44-year-old officer from the St. Louis County Police Department returned fire and hit the suspect. Eventually a search of the property led to the discovery of Watson's body inside a carport.</t>
  </si>
  <si>
    <t>http://www.kmov.com/story/37593103/officer-alert-talking-after-being-shot-in-glasgow-village-barricaded-suspect-in-standoff-with-police</t>
  </si>
  <si>
    <t>Joshua Kinnard</t>
  </si>
  <si>
    <t>N Recker Rd &amp; E Guadalupe Rd</t>
  </si>
  <si>
    <t>Police responded around 8 p.m. after receiving reports of a man who did not feel well and was acting erratically. Police reportedly spent 20 minutes working to de-escalate the situation with Joshua Kinnard, but he refused assistance. As officers went to the front of the home to speak with another resident, Kinnard retrieved a weapon and began threatening police who shot and killed him.</t>
  </si>
  <si>
    <t>https://www.abc15.com/news/region-southeast-valley/gilbert/gilbert-pd-investigation-underway-after-officers-shoot-suspect</t>
  </si>
  <si>
    <t>Ethan M. Straub</t>
  </si>
  <si>
    <t>8th Street &amp; Pine Street</t>
  </si>
  <si>
    <t>Wamego</t>
  </si>
  <si>
    <t>Officers responded to a report of an armed carjacking around 5:30 p.m. Officers from several agencies later found the man in the area of 8th &amp; Pine Street, where Ethan Straub and five officers exchanged gunfire, killing Straub.</t>
  </si>
  <si>
    <t>http://ksnt.com/2018/02/26/1-dead-after-officer-involved-shooting-in-wamego/</t>
  </si>
  <si>
    <t>Aaron Clifford Fike</t>
  </si>
  <si>
    <t>http://www.fatalencounters.org/wp-content/uploads/2018/03/Aaron-Fike.jpg</t>
  </si>
  <si>
    <t>7025 Lydell Road</t>
  </si>
  <si>
    <t>Tiro</t>
  </si>
  <si>
    <t>http://nbc4i.com/2018/02/27/man-killed-during-officer-involved-shooting-in-crawford-county/</t>
  </si>
  <si>
    <t>Orbel Nazarians</t>
  </si>
  <si>
    <t>9100 Kester Ave</t>
  </si>
  <si>
    <t>Panorama City</t>
  </si>
  <si>
    <t>Orbel Nazarians was shot dead by a Los Angeles Police Department officer following a call about someone believed to be mentally ill and initially thought to have a gun—though he was later found to be armed with some sort of edged weapon, police said.</t>
  </si>
  <si>
    <t>http://ktla.com/2018/02/26/man-fatally-shot-by-officer-after-lapd-receives-call-about-allegedly-armed-possibly-mentally-ill-man-in-panorama-city/</t>
  </si>
  <si>
    <t>Stephen Wayne "Bubba" DeLoach Jr.</t>
  </si>
  <si>
    <t>http://www.fatalencounters.org/wp-content/uploads/2018/03/Stephen-DeLoach-Jr.jpg</t>
  </si>
  <si>
    <t>I-95 &amp; Golden Isles Parkway</t>
  </si>
  <si>
    <t>Stephen Wayne DeLoach was a passenger in a vehicle that crashed during a pursuit with police. He died five days later allegedly from the injuries sustained when police initiated a PIT maneuver to disable the car.</t>
  </si>
  <si>
    <t>https://thebrunswicknews.com/news/local_news/passenger-in-vehicle-pursuit-with-troopers-dies/article_c08212a8-f64f-5453-befc-7ffc2a6ed90f.html</t>
  </si>
  <si>
    <t>2105 West Century Blvd.</t>
  </si>
  <si>
    <t>A call came in about 7:30 a.m. for a burglary alarm, police said. Upon their arrival, officers were confronted by one armed suspect who they shot and killed, although what precipitated the killing was not immediately reported.</t>
  </si>
  <si>
    <t>https://mynewsla.com/crime/2018/02/25/police-shoot-kill-westmont-burglary-suspect/</t>
  </si>
  <si>
    <t>Haydon Taylor</t>
  </si>
  <si>
    <t>http://www.fatalencounters.org/wp-content/uploads/2018/03/taylorhaydon.jpg</t>
  </si>
  <si>
    <t>13511 Highland Park Blvd</t>
  </si>
  <si>
    <t>Police were called to the Courtyard By Marriott shortly after 11 p.m. to investigate a reported transient walking the halls of the hotel. An officer found the man on the third floor and shot him when he allegedly refused orders to drop a knife and charged toward the officer.</t>
  </si>
  <si>
    <t>http://kfor.com/2018/02/26/officer-fatally-shoots-man-with-knife-at-n-w-oklahoma-city-hotel/</t>
  </si>
  <si>
    <t>Douglas Oneyear</t>
  </si>
  <si>
    <t>Trojan Dr &amp; E 15th St</t>
  </si>
  <si>
    <t>At 11:36 p.m., police responded to a call from a Loaf ‘N Jug, where the clerk said a man had come into the store wielding a sword and had threatened her and physically assaulted her, police said. About three minutes after the call, police officers confronted a man with a sword and shot and killed him, although what precipitated the killing was withheld by police.</t>
  </si>
  <si>
    <t>http://trib.com/news/state-and-regional/man-wielding-sword-dies-in-casper-police-officer-shooting/article_5b973baa-093c-59f1-be77-66dda320a4f3.html</t>
  </si>
  <si>
    <t>Steven Juarez</t>
  </si>
  <si>
    <t>http://www.fatalencounters.org/wp-content/uploads/2018/03/StevenJuarez1.jpg</t>
  </si>
  <si>
    <t>7400 Chestnut Street</t>
  </si>
  <si>
    <t>Steven Juarez died after police used less-lethal methods to restrain him during a fight. Methods included electrocuting him with a Taser and use of a chokehold. Police were attempting to arrest him for possibly trespassing in a neighbor's yard.</t>
  </si>
  <si>
    <t>http://gilroydispatch.com/2018/02/27/gilroy-man-dies-police-custody/</t>
  </si>
  <si>
    <t>Douglas Kemp</t>
  </si>
  <si>
    <t>Hicks Dr and Covert Ave</t>
  </si>
  <si>
    <t>Officers noticed a driver allegedly acting suspiciously and conducted a traffic stop for speeding. The driver, Douglas Kemp, stopped on Hicks. During the stop, officers asked Kemp to get out of the car. Kemp allegedly produced a handgun and didn't comply with officers' orders, and he was shot and killed.</t>
  </si>
  <si>
    <t>http://www.tristatehomepage.com/news/local-news/evansville-police-involved-in-deadly-shooting/989106016</t>
  </si>
  <si>
    <t>Mario Dantoni Bass</t>
  </si>
  <si>
    <t>http://www.fatalencounters.org/wp-content/uploads/2018/03/Mario-Bass.png</t>
  </si>
  <si>
    <t>16925 Old Stage Rd</t>
  </si>
  <si>
    <t>Dumfries</t>
  </si>
  <si>
    <t>Police were attempting to serve Bass with several Prince William arrest warrants after a learning that he was staying at the hotel. Bass reportedly fled out of a window as police tried to enter the room. As he tried to evade officers behind the motel, Bass allegedly confronted a member of the task force, leading to a fight. During that confrontation, the officer shot and killed him.</t>
  </si>
  <si>
    <t>http://www.insidenova.com/headlines/police-shoot-suspect-at-prince-william-motel/article_997be920-18bb-11e8-8ac3-cf74617fb9c3.html</t>
  </si>
  <si>
    <t>Jacob Uptain</t>
  </si>
  <si>
    <t>99th Ave and Broadway Rd</t>
  </si>
  <si>
    <t>Police responded to a home for a trespassing report at an unoccupied house. Police said a neighbor called 911 after seeing a man jump a back wall and go inside a home that was vacated the day before. The first officers to arrive found the man in front of the home. He allegedly shot at officers and was shot and killed, police said.</t>
  </si>
  <si>
    <t>https://www.abc15.com/news/region-phoenix-metro/south-phoenix/police-release-name-of-man-killed-in-shooting-involving-officers-in-south-phoenix</t>
  </si>
  <si>
    <t>Joshua D. Babb</t>
  </si>
  <si>
    <t>400 Hickory Hills Rd</t>
  </si>
  <si>
    <t>Church Hill</t>
  </si>
  <si>
    <t>Deputies responded to a call about a domestic violence situation possibly involving gunfire around 7 p.m., police said. When deputies arrived, they saw a man through the front door "with what appeared to be a gun in his waistband." He came out onto the front porch and refused to follow the deputies' commands. Deputies allegedly used a Taser to try to incapacitate the man. He allegedly threatened officers with the gun and was shot and killed.</t>
  </si>
  <si>
    <t>http://www.wbir.com/article/news/crime/hawkins-co-man-killed-in-deputy-involved-shooting/51-522304927</t>
  </si>
  <si>
    <t>Ian Frederick Sagucio</t>
  </si>
  <si>
    <t>http://www.fatalencounters.org/wp-content/uploads/2018/03/IanSagucio.jpg</t>
  </si>
  <si>
    <t>244 Fayette Street</t>
  </si>
  <si>
    <t>Police were attempting to arrest Frederick Sagucio for breaking into a school. He fought with officers, injuring four, and was killed.</t>
  </si>
  <si>
    <t>http://triblive.com/local/westmoreland/13340479-74/suspect-in-greensburg-salem-middle-school-break-in-died-as-officers-attempted-to</t>
  </si>
  <si>
    <t>Edward Hallinan</t>
  </si>
  <si>
    <t>N 35th Ave &amp; Thomas Rd</t>
  </si>
  <si>
    <t>Officers responded to a domestic violence call from Edward Hallinan's wife. She told police her husband had a rifle and was shooting. When officers arrived, Hallinan drove by the officers and stopped in the street. Officers then heard a gunshot from within Hallinan's truck. The officers told him to drop his weapon and show them his hands. Hallinan then allegedly fired a second round from within the truck and was shot and killed.</t>
  </si>
  <si>
    <t>http://www.azfamily.com/story/37561165/no-officers-hurt-in-officer-involved-shooting-in-west-phoenix</t>
  </si>
  <si>
    <t>Glenn Tyndell</t>
  </si>
  <si>
    <t>Indian Head Highway and Old Fort Road</t>
  </si>
  <si>
    <t>Fort Washington</t>
  </si>
  <si>
    <t>Glenn Tyndell shot and killed Corporal Mujahid Ramzziddin during a domestic violence investigation. He was shot and killed a short time later.</t>
  </si>
  <si>
    <t>http://www.wfaa.com/news/incident-reported-in-brandywine-police-say/521649112</t>
  </si>
  <si>
    <t>Lee Edward Bonner</t>
  </si>
  <si>
    <t>1300 Deer Park Street</t>
  </si>
  <si>
    <t>Narcotics officers were investigating possible drug activity when they came in contact with two men who immediately ran. Officers chased both suspects on foot to a nearby abandoned house. One man escaped while the other man produced a handgun and fired at the officers, who shot and killed Lee Edward Bonner.</t>
  </si>
  <si>
    <t>https://www.clarionledger.com/story/news/local/2018/02/26/man-shot-police-officers-dies/373361002/</t>
  </si>
  <si>
    <t>Lonnie Smith Jr.</t>
  </si>
  <si>
    <t>Hill Street and Jordon Street</t>
  </si>
  <si>
    <t>Police responded to a report of a man shot. When the officers arrived, they found the victim with a serious gunshot wound. He was taken to a local hospital. A single, armed man fled the scene. Officers encountered him nearby. One officer suffered a non-life threatening gunshot wound, and Lonnie Smith was killed.</t>
  </si>
  <si>
    <t>http://www.wsfa.com/story/37559348/3-shot-including-mpd-officer-shooting-suspect-dead</t>
  </si>
  <si>
    <t>Michael Andrew Schieffer</t>
  </si>
  <si>
    <t>2100 56th Ave SE</t>
  </si>
  <si>
    <t>Woodworth</t>
  </si>
  <si>
    <t>Stutsman</t>
  </si>
  <si>
    <t>After a car- and foot-chase, Michael Schieffer was shot and killed when he fired on police. He was allegedly driving on a suspended license.</t>
  </si>
  <si>
    <t>https://www.inforum.com/news/crime-and-courts/4407117-suspect-shot-and-killed-after-pursuit-ended-north-medina</t>
  </si>
  <si>
    <t>Darion Baker</t>
  </si>
  <si>
    <t>119 Texas St</t>
  </si>
  <si>
    <t>Stratford</t>
  </si>
  <si>
    <t>A Stratford police officer identified a stolen vehicle traveling east on US-54. The officer pulled over the vehicle at a convenience store. During the process of arresting the vehicle's occupants, both of the officers fired their weapons, killing the driver. Details regarding what precipitated the killing were withheld by police.</t>
  </si>
  <si>
    <t>http://www.newschannel10.com/story/37562469/stratford-community-reacts-to-fatal-officer-involved-shooting</t>
  </si>
  <si>
    <t>Thomas Vincent Alvarez</t>
  </si>
  <si>
    <t>4900 Edge Creek Dr</t>
  </si>
  <si>
    <t>After a chase, a carjacking and a standoff, Thomas Alvarez was shot and killed when he allegedly pointed his gun at police.</t>
  </si>
  <si>
    <t>http://www.statesman.com/news/local/swat-standoff-ongoing-southeast-austin/JfS1CwmyS6k1g1ABbl8tlO/</t>
  </si>
  <si>
    <t>Jason Seavers</t>
  </si>
  <si>
    <t>26th Ave NE &amp; NE 55th St</t>
  </si>
  <si>
    <t>Police responded around 4:20 a.m. for the report of someone breaking into vehicles. When officers arrived, the suspect fled from inside the vehicle, and police gave chase. During the pursuit, the suspect allegedly fired a shot at officers. Someone nearby called about a man breaking into a home and stealing a vehicle at gunpoint. A man was in the stolen vehicle when he crashed. He was shot and killed.</t>
  </si>
  <si>
    <t>http://www.king5.com/article/news/local/seattle/suspect-dead-after-seattle-officer-involved-shooting/281-520546144</t>
  </si>
  <si>
    <t>Lawrence Shaw</t>
  </si>
  <si>
    <t>2000 Spencer Rd</t>
  </si>
  <si>
    <t>Two officers were sitting in a patrol car working on a crash report. A man unrelated to the crash approached the back of the patrol unit and began yelling at the officers. When the officers got out of the car, they saw the man allegedly produce a knife. He began to walk away. The officers ordered him to stop, but he ignored them and disappeared into a nearby wooded area. The man came from the woods holding the knife while being aggressive toward the officers, according to police. One of the officers shocked him with a stun gun. He then got back up and again allegedly threatened the officers with the knife. When he advanced on the officers, one of them shot and killed him.</t>
  </si>
  <si>
    <t>http://www.star-telegram.com/latest-news/article201011109.html</t>
  </si>
  <si>
    <t>Jason Stevens</t>
  </si>
  <si>
    <t>North Lakeland Drive</t>
  </si>
  <si>
    <t>A Meridian police officer tried to make a traffic stop, and the driver took off. He lost control of his car just outside city limits on North Lakeland Drive and went into a ditch. Multiple passengers bailed out of the car and ran away while the officer tried to arrest the driver. A Mississippi Wildlife, Fisheries and Parks officer came by and tried to help the officer. There was a struggle to take the man into custody, while the subject tried to get into the Wildlife and Fisheries truck. The man was arrested and put in the back of an MPD vehicle. He died a short time later.</t>
  </si>
  <si>
    <t>http://www.wtok.com/content/news/Man-dies-after-leading-MPD-on-chase-474524703.html</t>
  </si>
  <si>
    <t>Ernest Manuel Montelongo</t>
  </si>
  <si>
    <t>http://www.fatalencounters.org/wp-content/uploads/2018/03/Ernestmontelongo.png</t>
  </si>
  <si>
    <t>Graytown Road and Interstate 10</t>
  </si>
  <si>
    <t>Ernest Manuel Montelongo allegedly opened fire on a DPS trooper around 3:20 p.m. after leading him on a pursuit out of Guadalupe County, police said. The trooper shot and killed Montelongo.</t>
  </si>
  <si>
    <t>https://www.mysanantonio.com/news/local/crime/article/Suspect-in-shoot-out-with-DPS-trooper-dies-12625202.php?ipid=brkbar</t>
  </si>
  <si>
    <t>Abel L. Martinez</t>
  </si>
  <si>
    <t>6900 E Camelback Rd</t>
  </si>
  <si>
    <t>Just before 5 p.m., an off-duty Scottsdale officer responded to a report by a loss prevention officer of a suspicious person inside one of the stores. The person had been shoplifting due to "erratic behavior," according to police. The officer caught up with the suspect on the third floor of a parking garage. Police said Abel Martinez turned toward the officer and started to raise a gun. At that time, the officer shot and killed Martinez.</t>
  </si>
  <si>
    <t>https://www.abc15.com/news/region-northeast-valley/scottsdale/scottsdale-police-officer-involved-shooting-at-fashion-square-mall</t>
  </si>
  <si>
    <t>E 5th St and S 273rd E Ave</t>
  </si>
  <si>
    <t>Rogers</t>
  </si>
  <si>
    <t>Police received the call of a shots fired just before 5 p.m. When they arrived, they found a man who refused to come out of a travel trailer. He allegedly began shooting out of the home at about 5:30 p.m. and was shot and killed by Deputies Lt. Kyle Johnson and James Burk.</t>
  </si>
  <si>
    <t>http://ktul.com/news/local/deputies-respond-to-man-barricading-himself-in-wagoner-county-home</t>
  </si>
  <si>
    <t>602 Pilgrim St</t>
  </si>
  <si>
    <t>Deputies responded to the Coco Loco nightclub after a report came in at 2:35 a.m. of multiple altercations inside and outside the establishment, police said. When officers arrived on the scene, they discovered a man shooting a gun in the club parking lot as patrons were leaving the building. The man was then fatally shot by deputies.</t>
  </si>
  <si>
    <t>https://www.heraldmailmedia.com/news/local/two-berkeley-county-deputies-on-leave-after-fatal-shooting/article_d9017f46-13f3-11e8-8e3a-4342faca0d74.html</t>
  </si>
  <si>
    <t>Trey Ta'Quan Pringle Sr.</t>
  </si>
  <si>
    <t>94 Detour Road</t>
  </si>
  <si>
    <t>Seabrook</t>
  </si>
  <si>
    <t>http://www.thestate.com/latest-news/article201569029.html</t>
  </si>
  <si>
    <t>Nathaniel Montoya</t>
  </si>
  <si>
    <t>http://www.fatalencounters.org/wp-content/uploads/2018/02/Nathaniel-Montoya.jpg</t>
  </si>
  <si>
    <t>1401 E Lohman Ave</t>
  </si>
  <si>
    <t>http://www.lcsun-news.com/story/news/crime/2018/02/17/suspect-friday-murder-shot-and-killed-police/349081002/</t>
  </si>
  <si>
    <t>Ryan A. Batchelder</t>
  </si>
  <si>
    <t>2480 N Florida Ave</t>
  </si>
  <si>
    <t>https://www.abcactionnews.com/news/region-citrus-hernando/deputies-shoot-and-kill-man-that-made-threatens-to-shoot-person-in-game-store</t>
  </si>
  <si>
    <t>Tim Berger</t>
  </si>
  <si>
    <t>2001 S Banana River Blvd</t>
  </si>
  <si>
    <t>Cocoa Beach</t>
  </si>
  <si>
    <t>Police were called to the Royal Colonial Condos around 10:30 p.m. when a woman reported that her husband, Tim Berger, was intoxicated and fired a gun inside their home. Several officers responded to the home and were allegedly threatened when they tried to make contact with Berger, and officers James Scheiner and Taylor Payne shot and killed him.</t>
  </si>
  <si>
    <t>https://www.clickorlando.com/news/man-believed-to-armed-fatally-shot-by-cocoa-beach-officers-chief-says</t>
  </si>
  <si>
    <t>Odrey Paul Reed</t>
  </si>
  <si>
    <t>http://www.fatalencounters.org/wp-content/uploads/2018/02/Odrey-Paul-Reed.jpg</t>
  </si>
  <si>
    <t>First Creek Rd</t>
  </si>
  <si>
    <t>Odrey Reed was shot and killed by U.S. Marshals who said they were trying to arrest him because he had escaped from a halfway house.</t>
  </si>
  <si>
    <t>http://www.wsaz.com/content/news/Officer-involved-shooting-reported-in-Kanawha-County-474322563.html</t>
  </si>
  <si>
    <t>Arthur Joseph Gonzales</t>
  </si>
  <si>
    <t>E Broadway Rd &amp; S Gilbert Rd</t>
  </si>
  <si>
    <t>Officers responded to reports of a person with a gun. Officers found Arthur Joseph Gonzales waving a handgun and rifle as he made "incoherent statements" at a home. After a SWAT team arrived to help secure the area, a shooting took place in front of the house. He said the man ran inside, then was seen in back of the house with a gun, and a second shooting then took place. Police took the man into custody with a gunshot wound to the arm. Gonzales died days later.</t>
  </si>
  <si>
    <t>https://www.azcentral.com/story/news/local/mesa/2018/02/18/man-shot-mesa-police-has-died-department-says/349389002/</t>
  </si>
  <si>
    <t>Wesley Taylor</t>
  </si>
  <si>
    <t>538 Skenes Ave</t>
  </si>
  <si>
    <t>Vance</t>
  </si>
  <si>
    <t>At 9:15 p.m., an officer was serving a narcotics search warrant on Skenes Avenue. Wesley Taylor exchanged gunfire with the officer. The officer was wounded, and Taylor was killed.</t>
  </si>
  <si>
    <t>http://abc11.com/henderson-police-officer-shot-highway-patrol-says/3092043/</t>
  </si>
  <si>
    <t>Indian Rte 5068</t>
  </si>
  <si>
    <t>Montezuma Creek</t>
  </si>
  <si>
    <t>A deputy pulled over a light-colored passenger car east of Sand Canyon for broken brake lights and no visible registration. The vehicle had three occupants. About 1 p.m., the deputy approached the vehicle, and the driver made a U-turn and fled west. While in pursuit, the deputy allegedly was fired upon by someone in the vehicle. The pursuit continued for more than 10 miles and ended just over the Utah border after the vehicle lost a tire and was driving on its rim. The driver parked the car broadside in the lane, and the driver came out with his hands up, then the car rolled into the ditch, sparking a brush fire. Another occupant of the vehicle shot at the deputy, who shot and killed him.</t>
  </si>
  <si>
    <t>https://durangoherald.com/articles/209022-one-suspect-dies-after-shootout-with-montezuma-county-deputies</t>
  </si>
  <si>
    <t>Preston Ray Holloway</t>
  </si>
  <si>
    <t>S Dean Ave &amp; W Lucy Webb Rd</t>
  </si>
  <si>
    <t>Raymore</t>
  </si>
  <si>
    <t>At about 11:31 p.m., the Belton Police Department attempted to pull over a red Ford Explorer, driven by Preston Ray Holloway, for suspicious activity and driving without a license plate. Instead, Holloway opened the door and began firing at officers before driving south. Two Missouri State Highway Patrol troopers were working a traffic stop and were able to stop the vehicle using stop sticks. Holloway, got out of his vehicle and pointed a gun at his own head. He then walked down the interstate pointing the gun at passing vehicles and at one point firing a shot. The man then forced another driver out of a white GMC Terrain and began driving north into Raymore, Missouri. Police stopped him in a subdivision. Holloway began walking away from officers and pointed the gun at his own head before turning it towards the officers, who shot and killed him at about 11:50 p.m.</t>
  </si>
  <si>
    <t>http://www.kctv5.com/story/37511873/texas-man-dies-as-wild-chase-leads-to-officer-involved-shooting-in-cass-county</t>
  </si>
  <si>
    <t>Travis D. Tucker</t>
  </si>
  <si>
    <t>500 County Rd 400 N</t>
  </si>
  <si>
    <t>Urbana</t>
  </si>
  <si>
    <t>Deputies responded to a burglary call shortly before 4:30 p.m. When the deputies arrived, they found Travis Tucker in a pickup truck in a field. Police said he was armed with a shotgun, and he was shot and killed for undisclosed reasons.</t>
  </si>
  <si>
    <t>http://abc57.com/news/a-kokomo-man-is-dead-after-a-police-involved-shooting</t>
  </si>
  <si>
    <t>3000 N Tarrant Pkwy</t>
  </si>
  <si>
    <t>Officers were dispatched to investigate an alleged domestic dispute at a business. When they arrived, they saw the man leaving the area, so they followed. The man stopped near the shopping center, and then began walking toward the officers, who ordered him to stop. The man then displayed a weapon, and the officers shot and killed him.</t>
  </si>
  <si>
    <t>https://www.nbcdfw.com/news/local/Fort-Worth-Police-Officer-Involved-Shooting-474097023.html</t>
  </si>
  <si>
    <t>Donald Fulton</t>
  </si>
  <si>
    <t>5651 Renn Street</t>
  </si>
  <si>
    <t>Police responded to a domestic violence call. Donald Fulton allegedly forced his family out of his home at gunpoint before retreating back inside. He threatened to kill himself. After police surrounded the house, hostage negotiators convinced Fulton to drop his weapon. Police entered the home at which point Fulton rearmed himself and shot at the officers who shot and killed him.</t>
  </si>
  <si>
    <t>http://www.al.com/news/mobile/index.ssf/2018/02/swat_kills_mobile_man_after_st.html</t>
  </si>
  <si>
    <t>Jimmy Terry</t>
  </si>
  <si>
    <t>901 W Lincoln Hwy</t>
  </si>
  <si>
    <t>Merrillville</t>
  </si>
  <si>
    <t>Merrillville police were called out at 11:38 a.m. to Art Hill Ford Lincoln, after receiving a 911 call that a man was armed with a knife and "chasing an employee" inside the dealership, police said. As officers arrived, they received information from 911 dispatch that Jimmy Terry had entered a dark-colored Jeep, believed to be his own, in an attempt to leave the dealership. Terry was stopped, shot and killed, police said, although what precipitated the killing was withheld.</t>
  </si>
  <si>
    <t>http://www.nwitimes.com/news/local/crime-and-courts/update-merrillville-car-dealership-suspect-dead-after-officer-involved-shooting/article_50836290-7611-57cf-90db-fe94f80d64b6.html#1</t>
  </si>
  <si>
    <t>East 2120 Road and US-271</t>
  </si>
  <si>
    <t>An employee of the Choctaw Travel Plaza contacted security officers about a person causing a disturbance. When police approached, the person produced a gun and threatened the officer. He was ordered to drop the gun, and he pointed it at officers who shot and killed him.</t>
  </si>
  <si>
    <t>http://kfor.com/2018/02/13/armed-person-shot-to-death-at-southern-oklahoma-travel-plaza/</t>
  </si>
  <si>
    <t>Dawn Elika Center</t>
  </si>
  <si>
    <t>US 101 MM 49</t>
  </si>
  <si>
    <t>After an alleged robbery and high-speed chase, Dawn Center was shot and killed when she allegedly presented a gun at the end of the chase.</t>
  </si>
  <si>
    <t>https://lostcoastoutpost.com/2018/feb/13/woman-killed-officer-involved-shooting-sheriffs-of/</t>
  </si>
  <si>
    <t>Peter Le</t>
  </si>
  <si>
    <t>2200 S Clermont St</t>
  </si>
  <si>
    <t>Peter Le, 52, allegedly killed his own father, Quyen Le, 86, before he was shot and killed by police. A 911 caller told dispatch around 10:30 p.m. that one of his brothers was harassing their father at their home. When police arrived, the front door was open, and an officer saw Peter Le standing with a knife and gun in his hands inside the home, police said. The officer ordered the younger Le to drop the weapon, but he continued to threaten to harm his father for several minutes, and refused to drop either weapon. Peter Le then fatally shot his father, and the officer shot and killed Le.</t>
  </si>
  <si>
    <t>http://www.9news.com/article/news/officer-involved-shooting-in-se-denver-no-officers-injured/73-518582921</t>
  </si>
  <si>
    <t>Ronell Foster</t>
  </si>
  <si>
    <t>http://www.fatalencounters.org/wp-content/uploads/2018/02/Ronell-Foster.jpg</t>
  </si>
  <si>
    <t>400 Carolina St</t>
  </si>
  <si>
    <t>Around 7:40 p.m., an officer tried to stop Ronell Foster. Police said he took off running, and the officer chased after him. The two allegedly fought, and the officer shot and killed Foster.</t>
  </si>
  <si>
    <t>http://kron4.com/2018/02/14/1-shot-killed-during-struggle-with-vallejo-police-officer/</t>
  </si>
  <si>
    <t>Nampa</t>
  </si>
  <si>
    <t>Raymond Bishop</t>
  </si>
  <si>
    <t>Southwest 138th Avenue and Southwest 270th Street</t>
  </si>
  <si>
    <t>Raymond Bishop was apparently distraught because his service dog and himself were being kicked out of their living space. Police said he pointed a gun at them.</t>
  </si>
  <si>
    <t>https://www.local10.com/news/florida/miami-dade/police-involved-shooting-2-12-18</t>
  </si>
  <si>
    <t>13831 SW 270th St</t>
  </si>
  <si>
    <t>A U.S. Customs and Border Protection agent woke up around 1 a.m. to the sound of a sliding-glass door breaking and found Robert Young entering her home. She fired several shots, killing Young.</t>
  </si>
  <si>
    <t>https://www.local10.com/news/florida/miami-dade/police-burglar-shot-killed-by-us-customs-and-border-protection-agent</t>
  </si>
  <si>
    <t>Mark Daniels</t>
  </si>
  <si>
    <t>http://www.fatalencounters.org/wp-content/uploads/2018/02/mark-daniels.jpg</t>
  </si>
  <si>
    <t>Brushton Ave and Bennett St</t>
  </si>
  <si>
    <t>At 1:19 a.m. two Pittsburgh police officers were on patrol when they encountered a man acting suspiciously. Both police agencies said the man fired a gun at the officers, and that one officer returned fire, hitting the man, who fled. Mark Daniels was chased and found before being transported to a hospital where he died.</t>
  </si>
  <si>
    <t>http://www.wtae.com/article/suspect-shot-killed-by-police-after-chase-in-homewood-south/17011066</t>
  </si>
  <si>
    <t>Benjamin Gregware</t>
  </si>
  <si>
    <t>http://www.fatalencounters.org/wp-content/uploads/2018/02/Benjamin-Gregware.png</t>
  </si>
  <si>
    <t>I-89</t>
  </si>
  <si>
    <t>A Vermont State Police trooper and a Richmond police officer shot and killed Benjamin Gregware, police said. The shooting occurred at about 3:51 p.m. during a traffic stop on the side of the southbound lanes near mile marker 69. The man was the sole occupant of the car that was stopped.Police said Gregware was armed with a handgun at the time of the killing.</t>
  </si>
  <si>
    <t>http://www.burlingtonfreepress.com/story/news/local/2018/02/11/vermont-state-police-police-involved-shooting-closes-one-lane-89/327747002/</t>
  </si>
  <si>
    <t>Michael Weber</t>
  </si>
  <si>
    <t>2840 Airway Ave</t>
  </si>
  <si>
    <t>Kingman Police Department was called to the Zuni Village RV Park around 8:15 p.m., and the officer spoke with the person who reported a possible domestic violence incident. The officer then attempted to talk to the people in the RV where the alleged domestic violence happened. The man confronted the officer, and they fought, at which point, the officer shot and killed the man.</t>
  </si>
  <si>
    <t>https://kdminer.com/news/2018/feb/12/man-killed-kingman-police-saturday-night/</t>
  </si>
  <si>
    <t>Sidney T. Richardson IV</t>
  </si>
  <si>
    <t>http://www.fatalencounters.org/wp-content/uploads/2018/02/Sidney-T.-Richardson.jpg</t>
  </si>
  <si>
    <t>1800 Marvy Ave</t>
  </si>
  <si>
    <t>Police responded to a call about a man threatening his 17-year-old female cousin with a machete. Upon arrival, officers found Sidney Richardson. The officers ordered Richardson to drop his machete. When he refused, an officer shocked him with a Taser, but Richardson still didn't drop the knife. In fear for their safety, one of the officers shot and killed Richardson.</t>
  </si>
  <si>
    <t>http://wfla.com/2018/02/10/police-investigate-officer-involved-shooting-in-tampa/</t>
  </si>
  <si>
    <t>Aaron M. Parker</t>
  </si>
  <si>
    <t>http://www.fatalencounters.org/wp-content/uploads/2018/02/Aaron-parker.jpg</t>
  </si>
  <si>
    <t>1060 W Tennessee St</t>
  </si>
  <si>
    <t>About 10:40 p.m. on Feb. 10, Parker was reportedly naked and "acting erratically" outside of Burger King. He was bleeding, sweating profusely and lying in the median of the street. Traffic was shut down in an attempt to limit his interaction with passing vehicles. Officers attempted to subdue him and he began to punch violently, according to police, and hit an officer. Sgt. David Northway used his Taser and handcuffed him. He stopped breathing and died later.</t>
  </si>
  <si>
    <t>http://www.tallahassee.com/story/news/2018/02/17/city-hall-got-heads-up-tasing-which-man-would-later-die/347884002/</t>
  </si>
  <si>
    <t>Troy Michael Jacques</t>
  </si>
  <si>
    <t>E Smoky Hill Rd and S Mobile Way</t>
  </si>
  <si>
    <t>Around 11:30 p.m., officers conducted a traffic stop. Shortly after that traffic stop, an Aurora Police officer fired several shots killing Troy Jacques. Few details were immediately released.</t>
  </si>
  <si>
    <t>http://www.9news.com/article/news/man-shot-by-aurora-police-during-traffic-stop/73-517298682</t>
  </si>
  <si>
    <t>Steven Tyler Reed</t>
  </si>
  <si>
    <t>100 Letchworth Avenue</t>
  </si>
  <si>
    <t>Police said that officers were dispatched around 9:30 p.m. on the report of a domestic violence complaint. When officers arrived, they were told Steven Tyler Reed fled to Letchworth Avenue. Reed and the officers became involved in a confrontation, and Officer Nathan A. Schwind shot and killed Reed.</t>
  </si>
  <si>
    <t>http://nbc4i.com/2018/02/10/one-dead-after-police-involved-shooting-in-hilltop/</t>
  </si>
  <si>
    <t>Tierre Guthrie</t>
  </si>
  <si>
    <t>http://www.fatalencounters.org/wp-content/uploads/2018/02/Tierre-Guthrie.jpg</t>
  </si>
  <si>
    <t>1260 St. Francis Court</t>
  </si>
  <si>
    <t>Locust Grove</t>
  </si>
  <si>
    <t>Deputies responded to arrest Tierre Guthrie for failing to make a court appearance, but police said he wouldn't cooperate. There was a fight and one of the officers shot and killed Guthrie. Deputies Michael Corley and Ralph Sidwell “Sid” Callaway were injured, and Locust Grove Police Officer Chase Maddox, 26, was killed.</t>
  </si>
  <si>
    <t>http://www.wsbtv.com/news/local/shooting-investigation-underway-in-locust-grove/697113627</t>
  </si>
  <si>
    <t>John Hamilton</t>
  </si>
  <si>
    <t>700 W Coconino Ave</t>
  </si>
  <si>
    <t>At 9 p.m., police said they were contacted by a woman who reported that she was confronted by an armed man. Responding officers located the man. He allegedly pointed the firearm at a victim and officers and was shot and killed.</t>
  </si>
  <si>
    <t>https://www.abc15.com/news/region-northern-az/flagstaff/police-man-dies-after-officer-involved-shooting-in-flagstaff</t>
  </si>
  <si>
    <t>Ricardo Enrique Colon</t>
  </si>
  <si>
    <t>http://www.fatalencounters.org/wp-content/uploads/2018/02/Richardo-Colon.jpg</t>
  </si>
  <si>
    <t>5100 Honey Lane</t>
  </si>
  <si>
    <t>Grant-Valkaria</t>
  </si>
  <si>
    <t>Brevard County Sheriff's deputies shot and killed a suicidal man at about 4 p.m. A family member said Ricardo Enrique Colon, 35, was cutting his arms. Deputies Kelly Dobson and Jose Santos responded to the 911 call and tried to stop him with a less-lethal measure before shooting and killing him.</t>
  </si>
  <si>
    <t>http://www.wftv.com/news/local/sheriff-man-shot-by-deputies-in-grant-valkaria-dies/696661410</t>
  </si>
  <si>
    <t>David Darden</t>
  </si>
  <si>
    <t>245 Doane Street SW</t>
  </si>
  <si>
    <t>Atlanta police found a stolen vehicle just after 2 p.m. Officers requested the help of Georgia State Patrol and a chase occurred. While attempting to evade the trooper, the driver ran into an APD patrol vehicle, police said. The trooper shot and killed David Darden.</t>
  </si>
  <si>
    <t>http://www.wsbtv.com/news/local/atlanta/police-investigating-shooting-in-southwest-atlanta-1/697203857</t>
  </si>
  <si>
    <t>Lloyd Harris Jr.</t>
  </si>
  <si>
    <t>http://www.fatalencounters.org/wp-content/uploads/2018/02/Lloyd-Harris-Jr.jpg</t>
  </si>
  <si>
    <t>4649 Golf Course Rd</t>
  </si>
  <si>
    <t>Lloyd Harris was allegedly a murder suspect and fugitive when he was shot and killed. A BB gun allegedly fell out of his belt after he was killed.</t>
  </si>
  <si>
    <t>https://www.eastbaytimes.com/2018/02/08/individual-shot-near-76-gas-station-in-southeast-antioch/</t>
  </si>
  <si>
    <t>Paul Mono</t>
  </si>
  <si>
    <t>600 Avenida Sevilla</t>
  </si>
  <si>
    <t>Laguna Woods</t>
  </si>
  <si>
    <t>Paul Mono was apparently having his home remodeled and grew angry at a contractor, who called police. Mono was shot and killed when he displayed a gun.</t>
  </si>
  <si>
    <t>http://ktla.com/2018/02/07/65-year-old-man-dies-after-being-shot-by-deputies-in-laguna-woods-retirement-community-ocsd/</t>
  </si>
  <si>
    <t>Hugo Steven Selva</t>
  </si>
  <si>
    <t>http://www.fatalencounters.org/wp-content/uploads/2018/02/Hugo-Steven-Selva.png</t>
  </si>
  <si>
    <t>I-95 and Lantana Ave</t>
  </si>
  <si>
    <t>Lantana</t>
  </si>
  <si>
    <t>A man blamed for two other shootings in the previous 24 hours fatally shot a woman outside a Lake Worth grocery store, then raced the wrong way down northbound Interstate 95 and got into three head-on crashes with a total of at least six other motorists. Minutes later, a Palm Beach County sheriff's deputy shot and killed him on the interstate near Lantana Road.</t>
  </si>
  <si>
    <t>http://www.palmbeachpost.com/news/breaking-news/breaking-pbso-deputy-shot-person-lantana-lanes-closed/d2K8F5BxGK0yC1wwBbjbzM/</t>
  </si>
  <si>
    <t>Alex Duran</t>
  </si>
  <si>
    <t>http://www.fatalencounters.org/wp-content/uploads/2018/02/alex-duran.jpg</t>
  </si>
  <si>
    <t>1800 S Alcott St</t>
  </si>
  <si>
    <t>Officers responded to a burglary in progress at a home shortly before 6 p.m. Officers were inside the home when Alex Duran “produced a knife” and was shot and killed by officers. No officers were injured.</t>
  </si>
  <si>
    <t>https://www.denverpost.com/2018/02/06/denver-shooting-south-alcott-street/</t>
  </si>
  <si>
    <t>James Benny Hobbs</t>
  </si>
  <si>
    <t>http://www.fatalencounters.org/wp-content/uploads/2018/02/James-Benny-Hobbs.jpg</t>
  </si>
  <si>
    <t>2535 FL 16</t>
  </si>
  <si>
    <t>James Hobbs was a fugitive when he was shot and killed at a St. Augustine hotel. The U.S. Marshals Office and the FBI were tracking him since he fled from New Hampshire to Florida following a warrant for his arrest on charges of aggravated sexual assault on a child. He was unarmed, but allegedly made sudden movements.</t>
  </si>
  <si>
    <t>http://www.firstcoastnews.com/article/news/crime/suspect-shot-dead-by-law-enforcement-near-st-augustine-outlet-mall/77-515401074</t>
  </si>
  <si>
    <t>5000 E 3rd St</t>
  </si>
  <si>
    <t>A man was shot and killed by deputies after he got into a Los Angeles County Sheriff's Department patrol vehicle and drove toward a deputy. Few details were immediately released.</t>
  </si>
  <si>
    <t>http://ktla.com/2018/02/06/man-fatally-shot-by-deputies-in-east-l-a/</t>
  </si>
  <si>
    <t>Manuel Zetina</t>
  </si>
  <si>
    <t>4225 Galley Rd</t>
  </si>
  <si>
    <t>El Paso County Sheriff's Deputy Micah Flick, 34, was killed and three other police were wounded while trying to arrest a car theft suspect in east Colorado Springs, police said. The male gunman was also killed, and a bystander was wounded in the shooting.</t>
  </si>
  <si>
    <t>https://www.denverpost.com/2018/02/05/colorado-springs-police-shooting-report/</t>
  </si>
  <si>
    <t>Jason Richard Sienze</t>
  </si>
  <si>
    <t>Burpee Dr and Lakeview Dr</t>
  </si>
  <si>
    <t>Nice</t>
  </si>
  <si>
    <t>Deputies responded at 11:40 a.m. on a report of a suspicious man. At 11:55 a.m., the sheriff's office received a report of a man brandishing a firearm, police said. A deputy contacted the armed man, and the man was shot and killed. Early reports said the man had been involved in several crimes and had pointed a gun at police.</t>
  </si>
  <si>
    <t>http://www.lakeconews.com/index.php/news/54383-deputy-shoots-kills-armed-man</t>
  </si>
  <si>
    <t>Ernie Lizana Jr.</t>
  </si>
  <si>
    <t>http://www.fatalencounters.org/wp-content/uploads/2018/02/Lizana-Ernie-218x150.jpg</t>
  </si>
  <si>
    <t>2800 23rd Avenue</t>
  </si>
  <si>
    <t>Harrison County Sheriff's deputies and the Coastal Narcotics Enforcement Team had a tip Ernie Lizana was near the 2800 block of 23rd Avenue. When they went there before 1 a.m., Lizana ran and started shooting. He was shot and killed. Lizana was wanted on an aggravated assault charge because officers believed he shot a woman in the throat.</t>
  </si>
  <si>
    <t>http://www.wlox.com/story/37427902/lizana-gunned-down-after-reportedly-shooting-at-deputies</t>
  </si>
  <si>
    <t>Anthony Jacob Weber</t>
  </si>
  <si>
    <t>1200 W 107th St</t>
  </si>
  <si>
    <t>Deputies were called because a boy was reported pointing a handgun at a motorist. Arriving deputies said the boy had a handgun tucked into his waistband before he ran, prompting the deputies to chase him. According to police, when the boy turned toward the deputies, they shot and killed Anthony Weber.</t>
  </si>
  <si>
    <t>http://losangeles.cbslocal.com/2018/02/05/deputies-shoot-boy-16-angry-mob/</t>
  </si>
  <si>
    <t>40000 176th Street East</t>
  </si>
  <si>
    <t>Lake Los Angeles</t>
  </si>
  <si>
    <t>Police were looking for a man suspected of criminal activity. He fought with officers and was shocked with a Taser, killing him.</t>
  </si>
  <si>
    <t>http://www.latimes.com/local/lanow/la-me-lake-los-angeles-death-20180204-story.html</t>
  </si>
  <si>
    <t>Alan Greenough</t>
  </si>
  <si>
    <t>1462 Main St</t>
  </si>
  <si>
    <t>A man was suspected of domestic violence, police said. After several visits to the home, never catching the suspect, an officer shot and killed him, although details as to what precipitated the killing were withheld.</t>
  </si>
  <si>
    <t>http://boston.cbslocal.com/2018/02/03/male-suspect-shot-killed-by-police-in-reading/</t>
  </si>
  <si>
    <t>FM 2405</t>
  </si>
  <si>
    <t>Winters</t>
  </si>
  <si>
    <t>Runnels</t>
  </si>
  <si>
    <t>The sheriff's office got a 911 call at 9:20 a.m. about a man who had fired a shot inside a home, while family members were inside. He was believed to be in mental distress, police said. About 1:15 p.m., the man walked out onto the patio, shouldered his rifle and aimed it at deputies and was shot and killed.</t>
  </si>
  <si>
    <t>http://ktxs.com/news/big-country/man-shot-killed-by-runnels-county-deputies</t>
  </si>
  <si>
    <t>Charlie Shoupe</t>
  </si>
  <si>
    <t>http://www.fatalencounters.org/wp-content/uploads/2018/02/Charlie-Shoupe.png</t>
  </si>
  <si>
    <t>3200 Timberbrook Dr</t>
  </si>
  <si>
    <t>Police said Officer Daniel Flynn shot Charlie Shoupe after Shoupe charged at Flynn with a knife. Police were called because Shoupe was suicidal.</t>
  </si>
  <si>
    <t>http://www.charlotteobserver.com/news/local/article198073594.html</t>
  </si>
  <si>
    <t>1018 Cleveland Ave SW</t>
  </si>
  <si>
    <t>A man entered an O'Reilly Auto Parts store and asked for a car alternator. When the clerk returned with the item, the man pointed a gun at the clerk and stole the alternator. Police said the man crossed the street and tried to steal a taxi, but the taxi driver sped away. An Atlanta police officer witnessed the attempted carjacking and confronted the man. He allegedly shot at Atlanta police officers and was shot and killed. No officers were injured. The man's gun was a BB gun.</t>
  </si>
  <si>
    <t>http://www.wsbtv.com/news/local/police-investigating-officer-involved-shooting-in-southwest-atlanta/693337305</t>
  </si>
  <si>
    <t>Daniel O. El</t>
  </si>
  <si>
    <t>http://www.fatalencounters.org/wp-content/uploads/2018/02/Daniel-O.-El.png</t>
  </si>
  <si>
    <t>2700 SW Jefferson Ave</t>
  </si>
  <si>
    <t>A police traffic stop and foot chase ended with a gunfight that left an officer shot and a Peoria Heights man, Daniel O. El, dead, police said. Two police officers in two squad cars tried to stop El's car at about 2:30 a.m. after he had made a stop sign violation and was discovered with an expired license plate registration. He allegedly fled, crashed, and fled on foot. El was killed during an exchange of gunfire.</t>
  </si>
  <si>
    <t>http://www.pjstar.com/news/20180201/south-peoria-shootout-leaves-cop-shot-another-person-dead</t>
  </si>
  <si>
    <t>Anthony Joe Williams</t>
  </si>
  <si>
    <t>5475 West Loop South</t>
  </si>
  <si>
    <t>After an alleged robbery and assault, Anthony Williams was shot and killed by police when he allegedly pointed a revolver at them.</t>
  </si>
  <si>
    <t>http://www.chron.com/houston/article/Police-investigate-officer-involved-shooting-in-12543125.php</t>
  </si>
  <si>
    <t>Alexander W. Simpson</t>
  </si>
  <si>
    <t>http://www.fatalencounters.org/wp-content/uploads/2018/02/Alexander-Simpson.jpg</t>
  </si>
  <si>
    <t>Carey Ave and Bonnie Lane</t>
  </si>
  <si>
    <t>Detectives pulled over a white pickup truck and were met with gunfire from the vehicle, which had four occupants. One detective was struck in the head and face and another, Det. Bradley Woolridge, shot and killed 32-year-old Alexander W. Simpson and wounded Billy Ray Riggs, who died a few days later.</t>
  </si>
  <si>
    <t>https://www.courier-journal.com/story/news/crime/2018/02/01/metrosafe-reports-officer-has-been-shot-buechel-neighborhood/1087454001/</t>
  </si>
  <si>
    <t>Taylor Schnortz</t>
  </si>
  <si>
    <t>http://www.fatalencounters.org/wp-content/uploads/2018/02/Taylor-Schnortz.png</t>
  </si>
  <si>
    <t>2600 Casper Dr</t>
  </si>
  <si>
    <t>East Helena</t>
  </si>
  <si>
    <t>Deputies responded to a home just before midnight after being asked to check on Taylor Schnortz who was cutting himself, police said. The caller reported a man at the residence was bleeding from self-inflicted injuries and was suicidal. Deputies spoke with the armed man for about an hour before he was shot and killed.</t>
  </si>
  <si>
    <t>http://helenair.com/news/crime/suspect-dead-in-officer-involved-shooting-near-east-helena/article_f88cb418-c01a-5213-836a-a3fbfb86198b.html</t>
  </si>
  <si>
    <t>William Young</t>
  </si>
  <si>
    <t>http://www.fatalencounters.org/wp-content/uploads/2018/02/William-Young.jpg</t>
  </si>
  <si>
    <t>15001 Barton Dr</t>
  </si>
  <si>
    <t>Officer Brandon McDonald went to the door of a home to investigate a "trouble unknown" call. The officer was shot at when a man, later identified as William Young, answered the door. The officer shot and killed Young, police said.</t>
  </si>
  <si>
    <t>http://www.newson6.com/story/37401494/officer-involved-shooting-reported-in-se-okc</t>
  </si>
  <si>
    <t>Detectives pulled over a white pickup truck and were met with gunfire from the vehicle, which had four occupants. One detective was struck in the head and face and another, Det. Bradley Woolridge, shot and killed Alexander W. Simpson and wounded Billy Ray Riggs, who died a few days later.</t>
  </si>
  <si>
    <t>https://www.courier-journal.com/story/news/crime/2018/02/05/second-man-dies-beuchel-shooting-lmpd-detective/303943002/</t>
  </si>
  <si>
    <t>Brett Dontae Bush</t>
  </si>
  <si>
    <t>547 Warwoman Rd</t>
  </si>
  <si>
    <t>Rabun</t>
  </si>
  <si>
    <t>After a chase and crash, Brett Bush allegedly attacked an officer with a knife and was shot and killed.</t>
  </si>
  <si>
    <t>http://www.cbs46.com/story/37405599/gbi-investigating-fatal-officer-involved-shooting-in-rabun-county</t>
  </si>
  <si>
    <t>James M. Burks</t>
  </si>
  <si>
    <t>13000 OH-124</t>
  </si>
  <si>
    <t>Piketon</t>
  </si>
  <si>
    <t>After a domestic violence accusation, a traffic stop and a foot chase, James Burks was shot and killed when he allegedly fought with police.</t>
  </si>
  <si>
    <t>http://www.dispatch.com/news/20180201/person-fatally-shot-by-deputy-in-pike-county</t>
  </si>
  <si>
    <t>Albert Morton Jr.</t>
  </si>
  <si>
    <t>http://www.fatalencounters.org/wp-content/uploads/2018/02/Albert-Morton-Jr..jpg</t>
  </si>
  <si>
    <t>100 Hall Manor Pl</t>
  </si>
  <si>
    <t>Albert E. Morton Jr. was pulled over around 12:45 a.m. but took off, allegedly striking the police officer who stopped him. The officer was not injured. Around 1:30 a.m., police spotted Morton's car, followed it, and allegedly saw the occupants toss out drugs and paraphernalia. When the car was stopped in the Hall Manor housing area, Morton was shot and killed as he accelerated toward a uniformed officer, police said.</t>
  </si>
  <si>
    <t>http://abc27.com/2018/02/01/police-incident-in-harrisburg/</t>
  </si>
  <si>
    <t>Gilberto Salas</t>
  </si>
  <si>
    <t>http://www.fatalencounters.org/wp-content/uploads/2018/02/Gilberto-Salas.png</t>
  </si>
  <si>
    <t>600 2nd Ave S</t>
  </si>
  <si>
    <t>St. James</t>
  </si>
  <si>
    <t>Watonwan</t>
  </si>
  <si>
    <t>Nicollet County sheriff's deputies spotted a vehicle in Lafayette that had been reported stolen in New Ulm. A pursuit began involving six law enforcement agencies. Eventually the male driver was identified, and the pursuit terminated. A half-hour later, the vehicle was spotted in St. James. Officers followed the vehicle until the Gilberto Salas got stuck in a snowbank. He then fled into a Casey's General Store, where he hid alone in an office. Officers from the St. James Police Department, Watonwan County sheriff's office and Minnesota State Patrol entered the convenience store. Officers electrocuted him multiple times before he was shot and killed.</t>
  </si>
  <si>
    <t>https://www.twincities.com/2018/01/31/police-fatally-shoot-man-after-southwestern-minnesota-pursuit-confrontation/</t>
  </si>
  <si>
    <t>Adrian Valdez</t>
  </si>
  <si>
    <t>6900 84th Way</t>
  </si>
  <si>
    <t>Police were called on a report of a suspicious person, police said. Using a dog, officers found the suspect in "an enclosed area" of an apartment complex. Adrian Valdez allegedly refused to drop his knife and came at officers and dog with it, and officers shot and killed him.</t>
  </si>
  <si>
    <t>https://www.thedenverchannel.com/news/local-news/arvada-police-shoot-kill-knife-wielding-man-in-apartment-complex</t>
  </si>
  <si>
    <t>Ricky Leon Rusche</t>
  </si>
  <si>
    <t>Okay Rd &amp; OK-9</t>
  </si>
  <si>
    <t>Tecumseh</t>
  </si>
  <si>
    <t>Ricky Leon Rusche was wanted on a warrant issued on Jan. 8 in Oklahoma County District Court for escaping a penitentiary. Rusche was reported to be in Pottawatomie County and sheriff's deputies assisting the U.S. Marshals Service went out to find him, police said. Police found Rusche at a home and shots were fired, killing Rusche.</t>
  </si>
  <si>
    <t>http://newsok.com/oklahoma-man-killed-tuesday-during-confrontation-with-authorities/article/5581488</t>
  </si>
  <si>
    <t>Mark Renee Flores</t>
  </si>
  <si>
    <t>6646 Addicks Satsuma Drive</t>
  </si>
  <si>
    <t>A 45-year-old Hispanic man, a suspect in a carjacking and stabbing, was killed after allegedly threatening a deputy with a knife outside St. Elizabeth Ann Seton Catholic Church, police said.</t>
  </si>
  <si>
    <t>http://cw39.com/2018/01/29/hcso-officer-involved-shooting-in-northwest-harris-county/</t>
  </si>
  <si>
    <t>Michael Hansford</t>
  </si>
  <si>
    <t>Prospect Ave &amp; E 181st St</t>
  </si>
  <si>
    <t>Police responded to reports of an argument, police said. The two responding officers told a man with a knife to drop the weapon, but he did not comply. He'd been chasing another man in the street. Michael Hansford was shot and killed when he allegedly lunged at police around 8 p.m.</t>
  </si>
  <si>
    <t>http://pix11.com/2018/01/29/police-shoot-man-in-the-bronx/</t>
  </si>
  <si>
    <t>Khalil Lawal</t>
  </si>
  <si>
    <t>Broad St &amp; Bigler St</t>
  </si>
  <si>
    <t>An off-duty Philadelphia police officer shot Khalil Lawal, who allegedly appeared to be intentionally trying to run down people in South Philadelphia, police said.</t>
  </si>
  <si>
    <t>http://wjla.com/news/local/police-off-duty-officer-shoots-virginia-driver-trying-to-run-down-people-in-south-philly</t>
  </si>
  <si>
    <t>Billy Lewis Rucker</t>
  </si>
  <si>
    <t>Garrison Blvd and Gwynns Falls Pkwy</t>
  </si>
  <si>
    <t>Police officers were conducting a traffic stop around 8:15 p.m. when the driver fled. Police followed the car until it stopped and Billy Rucker allegedly pointed a gun at an officer and was shot and killed.</t>
  </si>
  <si>
    <t>http://baltimore.cbslocal.com/2018/01/28/officer-involved-shooting/</t>
  </si>
  <si>
    <t>Paul David Johnson II</t>
  </si>
  <si>
    <t>http://www.fatalencounters.org/wp-content/uploads/2018/01/Paul-David-Johnson-II.jpg</t>
  </si>
  <si>
    <t>Quantum Lane</t>
  </si>
  <si>
    <t>Around 1:10 a.m. a man was reported shot in the hand to Chamblee police. About 10 minutes later, police responded to a report of a person shooting at passing cars from the parking lot of a QuikTrip gas station. The gunman ran to a nearby location and fired additional shots. Chamblee police said one of their officers then shot and killed Paul Johnson.</t>
  </si>
  <si>
    <t>http://www.11alive.com/article/news/crime/officer-involved-shooting-leaves-one-dead-in-chamblee/85-512123386</t>
  </si>
  <si>
    <t>Anthony McDaniel</t>
  </si>
  <si>
    <t>3800 Barbourville Road</t>
  </si>
  <si>
    <t>Deputies were called for reports of a man firing a gun outside of a home. When they arrived, Anthony McDonald allegedly shot at them, hitting two cruisers, and was shot and killed.</t>
  </si>
  <si>
    <t>http://www.wkyt.com/content/news/Police-are-investigating-an-officer-involved-shooting-in-Laurel-County-471555923.html</t>
  </si>
  <si>
    <t>Gregory Kocian</t>
  </si>
  <si>
    <t>http://www.fatalencounters.org/wp-content/uploads/2018/03/Gregory-Kocian.jpg</t>
  </si>
  <si>
    <t>409 Sgt Ed Holcomb Blvd N</t>
  </si>
  <si>
    <t>Gregory Kocian shot at police during a high-speed chase and was shot and killed, police said.</t>
  </si>
  <si>
    <t>https://www.click2houston.com/news/conroe-police-to-address-officer-involved-shooting-in-montgomery-county</t>
  </si>
  <si>
    <t>Kirsten Kloppe</t>
  </si>
  <si>
    <t>13600 Bluffcircle</t>
  </si>
  <si>
    <t>Police were called at about 3 p.m. for a welfare check. Kirsten Kloppe called police, stating that she was being stalked and that her computer was being interfered with, police said. When officers arrived, she was locked inside a bedroom. Officers asked if she was armed, and she said she didn't have a weapon. Police knocked in the door and found the woman holding a pistol to her head. The officers tried to disarm her, but she allegedly pointed the gun toward them, and they shot and killed her.</t>
  </si>
  <si>
    <t>http://news4sanantonio.com/news/local/officer-involved-shooting-reported-on-citys-north-side</t>
  </si>
  <si>
    <t>William Pollard</t>
  </si>
  <si>
    <t>600 Carol Drive</t>
  </si>
  <si>
    <t>Deputies were called around 4 a.m. for a man stabbing himself with a knife, police said. Details weren't immediately released as to why, but William Pollard was shot and killed.</t>
  </si>
  <si>
    <t>https://www.theindychannel.com/news/local-news/cass-county/breaking-man-dead-after-police-involved-shooting-in-cass-county</t>
  </si>
  <si>
    <t>Crystaline Barnes</t>
  </si>
  <si>
    <t>http://www.fatalencounters.org/wp-content/uploads/2018/01/christaline-barnes.jpg</t>
  </si>
  <si>
    <t>1400 Fernwood Dr</t>
  </si>
  <si>
    <t>Police were responding to a call of a vehicle that had forced a motorist off the road, police said. After officers stopped Crystalline Barnes' vehicle and called for backup, the driver allegedly pulled away, made a U-turn and then began driving in reverse toward the officer. She was shot and killed.</t>
  </si>
  <si>
    <t>http://www.wapt.com/article/jackson-police-officers-at-scene-of-apparent-shooting/15902334</t>
  </si>
  <si>
    <t>Axell Vivas</t>
  </si>
  <si>
    <t>11600 Elcadore St</t>
  </si>
  <si>
    <t>Police say a 16-year-old boy dialed 9-1-1, saying his stepfather shot his mother. Three other children under the age of 10 were also in the home. Officers later found the stepfather more than a block away in his car. Around 3 a.m., they said he allegedly brandished a gun, ignoring commands to disarm, and two officers shot and killed him.</t>
  </si>
  <si>
    <t>http://www.lasvegasnow.com/news/man-fatally-shot-by-police-after-allegedly-killing-his-wife/941126959</t>
  </si>
  <si>
    <t>William Charles "Chas" MacKenzie</t>
  </si>
  <si>
    <t>http://www.fatalencounters.org/wp-content/uploads/2018/01/William-Charles-Mackenzie.jpg</t>
  </si>
  <si>
    <t>11300 High Germany Rd</t>
  </si>
  <si>
    <t>Little Orleans</t>
  </si>
  <si>
    <t>Allegany</t>
  </si>
  <si>
    <t>William Charles "Chas" MacKenzietry allegedly tried to kill his wife, shot and wounded two troopers, then tried to burn his house down. He was shot and killed by a state police officer.</t>
  </si>
  <si>
    <t>http://www.wbaltv.com/article/2-msp-troopers-shot-suspect-killed-in-allegany-county-barricade/15892628</t>
  </si>
  <si>
    <t>Christopher Eric Giles</t>
  </si>
  <si>
    <t>4500 Ave G</t>
  </si>
  <si>
    <t>Residents called 911 around 3:40 a.m., saying someone was inside their home. They hid in a closet and stayed on the call, telling police around 3:43 a.m. that they heard gunshots. Police said someone fired shots both inside and outside the home. Two officers responded to the call at 3:44 a.m., parking several houses away. As they approached the house, someone was about to drive off, so they ordered person to stop. Police say they exchanged gunfire, and Christopher Giles was killed.</t>
  </si>
  <si>
    <t>https://kxan.com/2018/01/26/one-dead-in-officer-involved-shooting-in-central-austin/</t>
  </si>
  <si>
    <t>Matthew W. Zimmerman</t>
  </si>
  <si>
    <t>3513 Omega St</t>
  </si>
  <si>
    <t>Alton</t>
  </si>
  <si>
    <t>U.S. Marshals went to a home to arrest Matthew Zimmerman for violating conditions of his bond. They found him in a closet, and he allegedly attacked marshals and was shot and killed.</t>
  </si>
  <si>
    <t>http://www.stltoday.com/news/local/crime-and-courts/federal-marshals-fatally-shoot-knife-wielding-man-hiding-in-closet/article_19d6a211-7f2a-5c46-8e75-e6aca1265c65.html</t>
  </si>
  <si>
    <t>Nathaniel T. Edwards</t>
  </si>
  <si>
    <t>http://www.fatalencounters.org/wp-content/uploads/2018/01/Nathaniel-T.-Nate-Edwards.jpg</t>
  </si>
  <si>
    <t>1300 Franklin St</t>
  </si>
  <si>
    <t>Nathaniel Edwards was shot and killed by a Rock Falls police officer during a traffic stop. Police alleged that he had shifted his car into reverse and accelerated toward the officer.</t>
  </si>
  <si>
    <t>http://www.saukvalley.com/2018/01/27/family-ids-driver-shot-killed-by-rock-falls-police/aiqxqqv/</t>
  </si>
  <si>
    <t>Steven Hutchins</t>
  </si>
  <si>
    <t>1330 Peachtree Industrial Blvd</t>
  </si>
  <si>
    <t>Sugar Hill</t>
  </si>
  <si>
    <t>Police received a call about an armed man walking along the roadway. When officers confronted the man, he allegedly pulled a gun out of his waistband and began to raise it toward them. They shot and killed Steven Hutchins.</t>
  </si>
  <si>
    <t>http://www.cbs46.com/story/37346417/man-wounded-in-officer-involved-shooting-at-buford-gas-station</t>
  </si>
  <si>
    <t>Dustin Gonzales Castillo</t>
  </si>
  <si>
    <t>Blanco Rd and NW Loop 410</t>
  </si>
  <si>
    <t>A teenager allegedly robbed a Target of a BMX-type bike and used the bike to escape security. Security called police, and officers in the area pursued the suspect as he rode his bike onto eastbound Loop 410. Police vehicles surrounded the suspect on the highway, and when the officers tried to subdue him, he brandished a knife and was shot and killed.</t>
  </si>
  <si>
    <t>http://www.kens5.com/news/crime/sapddd-investigating-officer-involved-shooting-on-north-side/511601973</t>
  </si>
  <si>
    <t>Ulises Valladares</t>
  </si>
  <si>
    <t>http://www.fatalencounters.org/wp-content/uploads/2018/01/Ulises-Valladares.png</t>
  </si>
  <si>
    <t>7300 Elbert St</t>
  </si>
  <si>
    <t>A federal agent shot a kidnapping victim dead during a predawn raid at a northeast Houston home after the man grabbed his gun, police said. The FBI agent who shot Ulises Valladares around 3:45 a.m. didn't know that it was the victim who had allegedly grabbed his rifle.</t>
  </si>
  <si>
    <t>https://www.dallasnews.com/news/texas/2018/01/25/fbi-agent-kills-kidnapping-victim-houston-raid-reports-say</t>
  </si>
  <si>
    <t>David Byron Kidney</t>
  </si>
  <si>
    <t>Arbogast Road</t>
  </si>
  <si>
    <t>Branch</t>
  </si>
  <si>
    <t>Troopers were executing a search warrant related to a cold case about 11:15 a.m. when they allegedly came under fire by David Kidney, police said. He was shot and killed.</t>
  </si>
  <si>
    <t>http://www.mlive.com/news/kalamazoo/index.ssf/2018/01/man_shot_by_michigan_state_pol.html</t>
  </si>
  <si>
    <t>Chris McKinney</t>
  </si>
  <si>
    <t>827 Forrest Ave</t>
  </si>
  <si>
    <t>According to police, a woman entered the Etowah County Sheriff's Office around 5 p.m., saying a man was in the parking lot harassing people. Two deputies found the man about to enter the sheriff's office and began speaking with him. A fight began and a Taser was used on the man, killing him.</t>
  </si>
  <si>
    <t>http://abc3340.com/news/local/man-dies-after-physical-altercation-with-deputies-involving-a-taser</t>
  </si>
  <si>
    <t>Humberto Vera-Munoz</t>
  </si>
  <si>
    <t>1100 15th St</t>
  </si>
  <si>
    <t>Sparks police initiated a traffic stop. Police said the traffic stop preceded the shooting death of Humberto Vera-Munoz, but withheld other details.</t>
  </si>
  <si>
    <t>http://mynews4.com/news/local/reno-police-identify-man-killed-in-officer-involved-shooting-in-sparks-on-jan-24</t>
  </si>
  <si>
    <t>Ricky Jerome Boyd</t>
  </si>
  <si>
    <t>100 Marian Cir</t>
  </si>
  <si>
    <t>About 6:15 a.m., U.S. Marshals and metro officers responded to serve a warrant related to the murder of 24-year-old Balil Whitfield, police said. Ricky Boyd allegedly began shooting at the officers, and police shot and killed him. A metro police sergeant was also injured during the shooting.</t>
  </si>
  <si>
    <t>http://savannahnow.com/news/crime-courts/2018-01-23/update-gbi-investigating-after-man-killed-during-officer-involved</t>
  </si>
  <si>
    <t>Alvaro Herrera</t>
  </si>
  <si>
    <t>1600 Laslina Lane</t>
  </si>
  <si>
    <t>League City</t>
  </si>
  <si>
    <t>Police received a call about a robbery at a CVS store around 5:30 p.m. When officers arrived, they found a female clerk injured at the store. During a search of the area, an officer came across a man. The officer fought with the man and shot Alvaro Herrera to death.</t>
  </si>
  <si>
    <t>http://abc13.com/man-dead-at-scene-of-league-city-officer-involved-shooting/2981959/</t>
  </si>
  <si>
    <t>Corey Mobley</t>
  </si>
  <si>
    <t>http://www.fatalencounters.org/wp-content/uploads/2018/01/Corey-Mobley.jpg</t>
  </si>
  <si>
    <t>6300 6th St W</t>
  </si>
  <si>
    <t>Corey Mobley and a woman were arguing at a gas station at about 9:20 p.m., and once deputies arrived, the man drove off, police said. The vehicle traveled to a home, where Mobley ran behind a nearby residence. Police alleged that Mobley was yelling that he had a gun and was seen reaching into his pocket. While he was being attacked by a police dog, he was shot and killed. He was unarmed.</t>
  </si>
  <si>
    <t>http://www.wtsp.com/news/man-shot-killed-by-manatee-county-deputy-in-bradenton/511057813</t>
  </si>
  <si>
    <t>Shane E. McVey</t>
  </si>
  <si>
    <t>1003 South Blvd</t>
  </si>
  <si>
    <t>Bonneville</t>
  </si>
  <si>
    <t>Two officers responded to a Common Cents store for a report of a person with a torch who was apparently changing his tire in the parking lot. Officers arrived and attempted to talk with Shane McVey, but he fled to a residential apartment building, police said. When officers attempted to catch him, they said he displayed a weapon. One officer shot and killed him.</t>
  </si>
  <si>
    <t>https://www.eastidahonews.com/2018/01/ifpd-holding-news-conference-regarding-officer-involved-shooting/</t>
  </si>
  <si>
    <t>Joe Delira-Alires</t>
  </si>
  <si>
    <t>Craig St &amp; W 13th St</t>
  </si>
  <si>
    <t>Police were called to a "domestic fight with weapons." Joe Delira-Alires left the house. Police followed in a cross-town pursuit reportedly involving gunfire. Alires fled on foot with the foot chase ending when he was shot and killed.</t>
  </si>
  <si>
    <t>https://www.chieftain.com/news/pueblo/man-fatally-shot-by-pueblo-police-during-chase/article_904b9511-441e-5ba9-80ac-ca8bb8ae1f53.html</t>
  </si>
  <si>
    <t>Joshuah Dale Prough</t>
  </si>
  <si>
    <t>http://www.fatalencounters.org/wp-content/uploads/2018/03/JoshuahDalePrough.jpg</t>
  </si>
  <si>
    <t>Burnham St and Riverside Dr</t>
  </si>
  <si>
    <t>Police said Joshuah D. Prough was to be arrested on an undisclosed warrant. Few details were immediately released, but Prough was shot and killed.</t>
  </si>
  <si>
    <t>http://www.mlive.com/news/kalamazoo/index.ssf/2018/01/officer_involved_shooting_in_b.html</t>
  </si>
  <si>
    <t>Joseph E. Knight</t>
  </si>
  <si>
    <t>N Tacoma Ave and W Pine St</t>
  </si>
  <si>
    <t>Joseph E. Knight had led police on a low-speed pursuit after fleeing from a traffic stop. The pursuit ended at 1:30 p.m. when the man got out of the vehicle with a shotgun pointed at his head, police said. The man went behind his house but continued to communicate with police. After more than an hour, the man attempted to kick in the back door of the house and shot himself in the shoulder in the process. The man was walking in the side yard with the shotgun in front of him, refusing commands to drop the shotgun, when he was shot and killed by two officers.</t>
  </si>
  <si>
    <t>http://www.tulsaworld.com/news/local/update-man-with-shotgun-fatally-shot-by-police-after-pursuit/article_7a4e5ff2-963a-55c5-8a89-d334fbe29059.html</t>
  </si>
  <si>
    <t>Jonathan Duane Atchley</t>
  </si>
  <si>
    <t>Harriet and Harriet Pl</t>
  </si>
  <si>
    <t>A Sallisaw officer stopped a car in a parking lot, and the driver began assaulting the officer, police said. A second officer arrived, and Jonathan Atchley assaulted the second officer. The first officer then shot and killed Atchley.</t>
  </si>
  <si>
    <t>http://newsok.com/article/5580373</t>
  </si>
  <si>
    <t>John C. Havener Jr.</t>
  </si>
  <si>
    <t>http://www.fatalencounters.org/wp-content/uploads/2018/01/JOHNHAVENER.jpg</t>
  </si>
  <si>
    <t>241 Genesee St</t>
  </si>
  <si>
    <t>Police arrived around 4:15 a.m. in response to a call about a man, James Havener, standing in the street, shouting at drivers, police said. Havener was allegedly being disorderly. He was tasered twice, killing him.</t>
  </si>
  <si>
    <t>http://www.syracuse.com/crime/index.ssf/2018/01/police_investigate_oneida_death.html</t>
  </si>
  <si>
    <t>Edward C. Gandy</t>
  </si>
  <si>
    <t>E McNeal St &amp; N High St, Millville, NJ</t>
  </si>
  <si>
    <t>Edward C. Gandy called 911 and reported his location and that he had a loaded firearm. Police went to the area and found Gandy. He was shot and killed. No firearm was recovered.</t>
  </si>
  <si>
    <t>http://www.snjtoday.com/story/37322352/police-officer-shoots-kills-man-in-millville-following-911-call</t>
  </si>
  <si>
    <t>Scott Senior</t>
  </si>
  <si>
    <t>300 Madison Ave.</t>
  </si>
  <si>
    <t>Del Norte</t>
  </si>
  <si>
    <t>Two Del Norte County Sheriff's deputies responded to a call for a disturbance between two roommates. Both deputies received stab wounds. The deputies shot and killed Scott Senior; the deputies are expected to make full recoveries.</t>
  </si>
  <si>
    <t>http://krcrtv.com/north-coast-news/eureka-local-news/two-deputies-and-suspect-in-hospital-after-officer-involved-shootingstabbing</t>
  </si>
  <si>
    <t>Aaron Olivarez Candanoza</t>
  </si>
  <si>
    <t>http://www.fatalencounters.org/wp-content/uploads/2018/01/Aaron-Olivarez-Candanoza.jpg</t>
  </si>
  <si>
    <t>3200 Finley Rd</t>
  </si>
  <si>
    <t>Aaron Olivarez Candanoza was seen breaking into a vehicle in the parking lot of an apartment complex around 1 a.m. When officers arrived, Candanoza attempted to leave in a pickup truck, ramming a police car and multiple other cars in the parking lot. One officer shot and killed him.</t>
  </si>
  <si>
    <t>http://www.wfaa.com/news/crime/burglary-suspect-fatally-shot-by-irving-officer/510511648</t>
  </si>
  <si>
    <t>Ilkka Olavi Hiironen</t>
  </si>
  <si>
    <t>51st Avenue Southeast and 20th Street Southeast</t>
  </si>
  <si>
    <t>Deputies confronted a 35-year-old man who had been reported as suicidal by his wife at about 8 p.m. The man had called his wife to say he wanted police to kill him but did not say where he was. At about 9 p.m., deputies found the man's vehicle. Police said the man came out holding what looked like a weapon, and deputies shot and killed him.</t>
  </si>
  <si>
    <t>http://komonews.com/news/local/snohomish-county-deputy-involved-in-shooting-near-everett</t>
  </si>
  <si>
    <t>Ronald Jay Lawson</t>
  </si>
  <si>
    <t>http://www.fatalencounters.org/wp-content/uploads/2018/01/Ronald-Jay-Lawson.png</t>
  </si>
  <si>
    <t>US-1 and Viera Blvd</t>
  </si>
  <si>
    <t>Rockledge</t>
  </si>
  <si>
    <t>A deputy attempted to make a traffic stop on a car just after 6 p.m. The driver was driving erratically and consistent with someone who was under the influence, police said. The vehicle eventually stopped, but took off again. Deputies used stop sticks three times which flattened three tires before they decided to use a pit maneuver. The driver allegedly visibly moved, and Ronald Lawson was shot and killed.</t>
  </si>
  <si>
    <t>http://www.wesh.com/article/brevard-county-investigation-officer-involved-shooting/15836210</t>
  </si>
  <si>
    <t>Shannon Jason Cables</t>
  </si>
  <si>
    <t>http://www.fatalencounters.org/wp-content/uploads/2018/01/Shannon-Jason-Cables.jpg</t>
  </si>
  <si>
    <t>4235 Cottage Hill St</t>
  </si>
  <si>
    <t>Police said Shannon Jason Cables assaulted his wife and 19-year-old daughter in their home. He had threatened his wife, spraying her with mace and hitting her in the head with a pool cue. The women called for help as Cables fled into the woods behind the house. About 2:15 p.m., deputies returned to the house with the two women. While inside, the daughter told deputies she saw Cables outside the house. Cables was coming toward the house armed with a shotgun and an AR-15. The deputies told him to drop his weapons, and when he didn't, a gunfight ensued, and Cables was shot and killed.</t>
  </si>
  <si>
    <t>http://www.theledger.com/news/20180120/lake-wales-man-killed-in-shootout-with-deputies</t>
  </si>
  <si>
    <t>Jason Lappe</t>
  </si>
  <si>
    <t>5025 Winters Chapel Road</t>
  </si>
  <si>
    <t>Dunwoody</t>
  </si>
  <si>
    <t>Jason Lappe was suspected in an armed robbery. When police caught up with him, he allegedly didn't follow orders and was shot and killed.</t>
  </si>
  <si>
    <t>http://www.wsbtv.com/news/local/dekalb-county/armed-robbery-suspect-shot-by-officer-in-shopping-center-parking-lot-gbi-says/686698480</t>
  </si>
  <si>
    <t>Nicholas Daniel Moore</t>
  </si>
  <si>
    <t>1200 Victoria St</t>
  </si>
  <si>
    <t>Officer Craig Fowler and Sergeant James Tietje responded to a 911 call at 2:20 a.m. concerning someone being threatened in an apartment building. When the officers arrived, they allegedly were confronted by Nicholas Daniel Moore, who had two knives. Moore came at the officers, and Officer Fowler shot and killed him.</t>
  </si>
  <si>
    <t>http://www.keyc.com/story/37322124/officers-deceased-idd-in-bca-investigation-in-fairmont</t>
  </si>
  <si>
    <t>Arther McAfee Jr.</t>
  </si>
  <si>
    <t>5400 Curtis Black Road</t>
  </si>
  <si>
    <t>Hallsville</t>
  </si>
  <si>
    <t>Arther McAfee Jr. died after a welfare check at his rural home turned violent. His sister called 911, said he has a mental disability, and a deputy arrived about 10:30 a.m. She let the deputy inside the house. McAfee came out of his bedroom, fighting, and the deputy used a stun gun on him, and he fell to the floor. After McAfee fell to the floor, the sister held his legs while the deputy held his torso and tried to handcuff him. "He tried to turn (McAfee) onto his belly," she said. "The cop unsnapped his gun and shot him two times. He was on the floor."</t>
  </si>
  <si>
    <t>https://www.news-journal.com/news/2018/jan/20/family-man-mental-issues-shot-harrison-county-depu/</t>
  </si>
  <si>
    <t>John Albers</t>
  </si>
  <si>
    <t>http://www.fatalencounters.org/wp-content/uploads/2018/01/John-Albers.png</t>
  </si>
  <si>
    <t>W 149th Terrace and England St</t>
  </si>
  <si>
    <t>Overland Park</t>
  </si>
  <si>
    <t>Police were called for a person in danger of harming themselves. When officers arrived, they say a garage door opened and a vehicle pulled out at a home nearby. Police say the vehicle moved rapidly towards the responding officers, and an officer shot and killed the driver.</t>
  </si>
  <si>
    <t>Justified by Prosecutor</t>
  </si>
  <si>
    <t>https://www.kshb.com/news/local-news/one-dead-after-officer-involved-shooting-in-overland-park</t>
  </si>
  <si>
    <t>Kevin Sturgis</t>
  </si>
  <si>
    <t>http://www.fatalencounters.org/wp-content/uploads/2018/01/Kevin-Sturgis.jpg</t>
  </si>
  <si>
    <t>1837 Mulberry St</t>
  </si>
  <si>
    <t>Officers went to serve a warrant before 6:30 a.m. The officers went into the home, and the subject of the warrant, Shayla Lynette Towles Pierce, was handcuffed, then gunfire came from the second floor. Kevin Sturgis left the home, gunfire was exchanged, and Sturgis was killed. Deputy U.S. Marshal Christopher David Hill, 45, was also killed, and two officers were injured.</t>
  </si>
  <si>
    <t>https://www.ydr.com/story/news/2018/01/18/harrisburg-police-shooting-latest-u-s-marshal-killed-york-and-harrisburg-cops-shot/1044694001/</t>
  </si>
  <si>
    <t>Marshall Coleman</t>
  </si>
  <si>
    <t>http://www.fatalencounters.org/wp-content/uploads/2018/01/Marshall-Coleman.png</t>
  </si>
  <si>
    <t>1225 N Rockport Rd</t>
  </si>
  <si>
    <t>Boonville</t>
  </si>
  <si>
    <t>Warrick</t>
  </si>
  <si>
    <t>Police were dispatched to Governor Boon Square apartments after receiving a 911 call of a man threatening a group of people with knives, police said. Officers found Marshall Coleman armed with two knives. When Coleman reportedly refused to drop the knives, an officer fired his Taser at Coleman several times. When that didn't incapacitate him, the second officer shot and killed Coleman.</t>
  </si>
  <si>
    <t>http://www.courierpress.com/story/news/2018/01/19/boonville-police-shoot-knife-wielding-suspect/1047276001/</t>
  </si>
  <si>
    <t>Bryan Johnson Gregory</t>
  </si>
  <si>
    <t>http://www.fatalencounters.org/wp-content/uploads/2018/01/Bryan-Johnson-Gregory.jpg</t>
  </si>
  <si>
    <t>1100 Decatur St</t>
  </si>
  <si>
    <t>Deputies were trying to pull Bryan Johnson Gregory over around 3 p.m. They suspected him of dealing marijuana and had a warrant to search his house in another part of town. Johnson allegedly hit the gas, ramming two undercover vehicles. Once he stopped, he allegedly reached for a gun, and they shot and killed him.</t>
  </si>
  <si>
    <t>http://wreg.com/2018/01/17/county-official-deputy-shoots-suspect-in-north-memphis/</t>
  </si>
  <si>
    <t>Donte Shannon</t>
  </si>
  <si>
    <t>http://www.fatalencounters.org/wp-content/uploads/2018/01/Donte-Shannon.jpg</t>
  </si>
  <si>
    <t>1400 Park Ave</t>
  </si>
  <si>
    <t>Police tried to make a traffic stop just after 4 p.m., but the driver took off on foot. Police said the man pulled out a gun and aimed it at the officers, who shot and killed him.</t>
  </si>
  <si>
    <t>http://www.wisn.com/article/racine-police-investigate-shooting-at-14th-street-park-avenue/15349537</t>
  </si>
  <si>
    <t>Jihad Merrick</t>
  </si>
  <si>
    <t>100 Monroe Street</t>
  </si>
  <si>
    <t>The Floyd County Sheriff's Office received a 911 report of a man with a gun pointed at his head in a vehicle at Love's Truck Stop in Floyd at around 8:31pm. Prior to officers' arrival, the man left. At 8:49 p.m., a Nashua police officer observed a vehicle. The officer stopped the vehicle and the driver got out pointing a handgun at his head. Police negotiated with the driver for approximately 40 minutes before the driver fired a shot from inside the vehicle. Officers approached the vehicle to find the driver unharmed. The driver resisted officer's attempts to take him into custody and drove the vehicle forward striking an officer. Two officers shot and killed him.</t>
  </si>
  <si>
    <t>https://kchanews.com/2018/01/18/iowa-dci-to-investigate-fatal-police-shooting-near-nashua</t>
  </si>
  <si>
    <t>3210 E Thomas Rd</t>
  </si>
  <si>
    <t>Police responded to multiple calls coming from different locations about a man who was acting erratically, police said. Phoenix police arrived at a gas station at the corner of the intersection where a man was reportedly cut by someone carrying a knife. While police were tending to that victim, a clerk came running out of the store at the gas station and told police the man with the knife was back in the store threatening people. Officers went to the store and were confronted by the man near the front door. Officers shot and killed him.</t>
  </si>
  <si>
    <t>https://www.azcentral.com/story/news/local/phoenix-breaking/2018/01/17/person-injured-phoenix-police-shooting/1043023001/</t>
  </si>
  <si>
    <t>Geraldine Townsend</t>
  </si>
  <si>
    <t>http://www.fatalencounters.org/wp-content/uploads/2018/01/Geraldine-Townsend.png</t>
  </si>
  <si>
    <t>1600 S Maple</t>
  </si>
  <si>
    <t>Four Bartlesville police officers were taking Michael Livingston into custody when they heard a popping noise, police said. Officers said that popping sound was Geraldine Townsend shooting at officers with a pellet gun, hitting one in the leg, and one in the face. The officer hit in the face shot and killed Townsend.</t>
  </si>
  <si>
    <t>http://www.newson6.com/story/37295725/bartlesville-woman-72-dies-in-officer-involved-shooting</t>
  </si>
  <si>
    <t>Joseph Edward Haynes</t>
  </si>
  <si>
    <t>400 South Front Street</t>
  </si>
  <si>
    <t>In a hallway outside a Franklin County courtroom, a scuffle involving a teenage defendant, his family members and a deputy ended when the Franklin County sheriff's office deputy, who was knocked to the ground, shot and killed Joseph Edward Haynes.</t>
  </si>
  <si>
    <t>http://www.dispatch.com/news/20180117/16-year-old-shot-and-killed-at-franklin-county-courthouse</t>
  </si>
  <si>
    <t>Kerry Lee Nield</t>
  </si>
  <si>
    <t>http://www.fatalencounters.org/wp-content/uploads/2018/01/Kerry-Lee-Nield.jpg</t>
  </si>
  <si>
    <t>1900 S 2200 E</t>
  </si>
  <si>
    <t>Gooding</t>
  </si>
  <si>
    <t>Police responded to a domestic disturbance. When officers arrived, they found a woman with a rifle standing in the roadway. After talking for several minutes with Kerry Lee Nield, officers shot and killed her.</t>
  </si>
  <si>
    <t>http://www.kmvt.com/content/news/Suspect-struck-in-officer-involved-shooting-near-Gooding-469633493.html</t>
  </si>
  <si>
    <t>Nathan Giffin</t>
  </si>
  <si>
    <t>Memorial Drive and Green Mountain Drive</t>
  </si>
  <si>
    <t>Police said at about 9:30 a.m., a man held up the Vermont State Employees Credit Union. He fled on foot toward Montpelier High School where he was confronted by police. During a standoff—the man appeared to have a handgun—the man was shot and killed.</t>
  </si>
  <si>
    <t>http://www.wcax.com/content/news/Robbery-suspect-cornered-at-Montpelier-High-School-469552973.html</t>
  </si>
  <si>
    <t>Warren Ragudo</t>
  </si>
  <si>
    <t>900 Brunswick Street</t>
  </si>
  <si>
    <t>Daly City</t>
  </si>
  <si>
    <t>Police were dispatched on the report of a disturbance, police said. Family members were struggling with Warren Ragudo when they arrived. The officers intervened, and after a brief struggle, they were able to restrain him. During the struggle, a Taser was used on the man, killing him.</t>
  </si>
  <si>
    <t>http://kron4.com/2018/01/17/suspect-dies-after-being-tased-by-police-in-daly-city/</t>
  </si>
  <si>
    <t>Bailey Turner</t>
  </si>
  <si>
    <t>7520 Broadway</t>
  </si>
  <si>
    <t>A deputy responding to a disturbance call fought, tasered and then fatally shot a person he encountered in a hallway, police said.</t>
  </si>
  <si>
    <t>https://www.denverpost.com/2018/01/17/adams-county-sheriff-officer-involved-shooting/</t>
  </si>
  <si>
    <t>600 Hurst Drive</t>
  </si>
  <si>
    <t>Police responded to a report of a suspicious vehicle in an Albertsons grocery parking lot. The suspect drove away from officers. Police found the vehicle. The man allegedly reached for a weapon and was shot and killed.</t>
  </si>
  <si>
    <t>http://www.star-telegram.com/news/local/community/northeast-tarrant/article194843379.html</t>
  </si>
  <si>
    <t>James Hawkins</t>
  </si>
  <si>
    <t>http://www.fatalencounters.org/wp-content/uploads/2018/01/James-Hawkins.jpg</t>
  </si>
  <si>
    <t>13300 Ashley Meadow Drive</t>
  </si>
  <si>
    <t>Police responded to a call around 4:10 p.m. about a domestic violence assault with a deadly weapon, police said. Officers found a man with a gunshot wound inside the home, police said. Deputy Sheriff James Hawkins, 35, was pronounced dead at the scene. James Hawkins' wife, Deputy Sheriff Rataba Hawkins, was involved in the shooting, although police didn't immediately accuse her of killing him.</t>
  </si>
  <si>
    <t>http://www.charlotteobserver.com/news/local/crime/article194791664.html</t>
  </si>
  <si>
    <t>Robert Martinez Jr.</t>
  </si>
  <si>
    <t>http://www.fatalencounters.org/wp-content/uploads/2018/01/Robert-Martinez-Jr.jpg</t>
  </si>
  <si>
    <t>500 Clairmont Drive</t>
  </si>
  <si>
    <t>A deputy responded to a report of a stolen vehicle. The deputy saw two people in the car, and as he approached, the driver got out. The man, who allegedly was in possession of a firearm, was shot and killed by the deputy.</t>
  </si>
  <si>
    <t>http://kval.com/news/local/officer-involved-shooting-near-river-road-leaves-one-man-dead</t>
  </si>
  <si>
    <t>3400 Amethyst Street</t>
  </si>
  <si>
    <t>El Sereno</t>
  </si>
  <si>
    <t>Police responded to reports of two men, one of whom was believed to have a gun. When officers arrived, a man was shot and killed. Details were withheld by police as to what precipitated the killing.</t>
  </si>
  <si>
    <t>http://ktla.com/2018/01/14/1-fatally-shot-by-lapd-in-montecito-heights/</t>
  </si>
  <si>
    <t>Thomas Yatsko</t>
  </si>
  <si>
    <t>http://www.fatalencounters.org/wp-content/uploads/2018/01/Thomas-Yatsko.jpg</t>
  </si>
  <si>
    <t>Euclid Avenue and Ford Drive</t>
  </si>
  <si>
    <t>An off-duty police officer shot and killed Thomas Yatsko about 11 p.m. at the Corner Alley bowling alley, police said. A fight broke out inside the bar and the off-duty police officer, who was working part-time security at the business, escorted several men outside. Yatsko allegedly came back to the bowling alley and attacked the officer, who shot and killed him.</t>
  </si>
  <si>
    <t>http://www.cleveland.com/metro/index.ssf/2018/01/police_officer_shoots_man_at_c.html</t>
  </si>
  <si>
    <t>Terry Amons</t>
  </si>
  <si>
    <t>http://www.fatalencounters.org/wp-content/uploads/2018/01/TerryAmons.jpg</t>
  </si>
  <si>
    <t>3789 Railroad Ave.</t>
  </si>
  <si>
    <t>Police were called to the Nation's Giant Hamburgers restaurant, police said. Someone allegedly reported that he had seen what seemed to be a drug deal between two people in the parking lot. One person had just driven away, and another person was in a parked car when officers arrived. As the two officers approached the car, they saw Terry Amons in the driver's seat and a handgun in the center console, police said. Initially, he placed his hands on the steering wheel, but then he dropped his right arm in an alleged attempt to retrieve the handgun from the center console. One of the officers shot and killed him.</t>
  </si>
  <si>
    <t>https://www.nbcbayarea.com/news/local/Pittsburg-Police-Shoot-Kill-Man-as-he-Allegedly-Reached-for-Gun-469154863.html</t>
  </si>
  <si>
    <t>Amanuel Dagebo</t>
  </si>
  <si>
    <t>Comstock Road and Lisbon Road</t>
  </si>
  <si>
    <t>Police responded to shots being fired in a residential neighborhood. Four plainclothes officers found the suspect in a home and exchanged gunfire with him, killing Amanuel Dagebo.</t>
  </si>
  <si>
    <t>http://www.whio.com/news/local/armed-man-fatally-shot-exchange-gunfire-with-police/xQxoVjpwsRlatvtBbo1qXN/</t>
  </si>
  <si>
    <t>Juan Valencia</t>
  </si>
  <si>
    <t>808 Valley Ave NW</t>
  </si>
  <si>
    <t>Police got a report of a recklessly driven vehicle. Police said the van was swerving into oncoming traffic and stopping in the middle of the road at 3:39 p.m. At 3:52 p.m., officers found the van had been parked in the middle of Valley Avenue NW near the Puyallup Recreation Center. Police found the man behind the rec center. Seven officers—two from Milton and five from Puyallup—tried to negotiate with the man, but he fired at least one other shot, and officers shot and killed him.</t>
  </si>
  <si>
    <t>http://komonews.com/news/local/valley-avenue-shut-down-after-officer-involved-shooting-in-puyallup</t>
  </si>
  <si>
    <t>Jason D. Whittemore</t>
  </si>
  <si>
    <t>http://www.fatalencounters.org/wp-content/uploads/2018/01/Jason-D.-Whittemore.jpg</t>
  </si>
  <si>
    <t>586 Lee Keen Road</t>
  </si>
  <si>
    <t>Simpson</t>
  </si>
  <si>
    <t>Jason D. Whittemore was wanted in a homicide in Portland. Police said he tried to get into several homes in Allen County. Deputies responded just before 4:45 p.m. and confronted Whittemore. Deputies said Whittemore showed a weapon and refused to follow commands. Deputy Tim Robinson shot and killed him.</t>
  </si>
  <si>
    <t>https://www.newschannel5.com/news/portland-homicide-suspect-killed-in-kentucky</t>
  </si>
  <si>
    <t>Remi Sabbe</t>
  </si>
  <si>
    <t>http://www.fatalencounters.org/wp-content/uploads/2018/01/Remi-Sabbe.jpg</t>
  </si>
  <si>
    <t>SW Scholls-Sherwood Rd &amp; SW Roy Rogers Rd</t>
  </si>
  <si>
    <t>A Sherwood police officer responded to a report of a suspicious truck in a field at 1:30 p.m. When the officer tried to contact the man in the pickup, he fired his gun, then drove away, police said. Nearby roads were closed as the man drove to different spots within the field. Around 3:30 p.m., deputies tried to contact the man, who was still in his truck. Video footage from a news helicopter showed an armored vehicle ramming the pickup in the field. That's when police shot and killed him.</t>
  </si>
  <si>
    <t>http://www.oregonlive.com/washingtoncounty/index.ssf/2018/01/armored_vehicle_rams_truck_in.html</t>
  </si>
  <si>
    <t>Jeffrey Alan Burleson</t>
  </si>
  <si>
    <t>http://www.fatalencounters.org/wp-content/uploads/2018/02/JeffreyBurleson.jpg</t>
  </si>
  <si>
    <t>213 S Redwood Hwy</t>
  </si>
  <si>
    <t>Cave Junction</t>
  </si>
  <si>
    <t>Jeff Burleson had been arrested in Florida for aggravated assault with a deadly weapon and domestic violence by strangulation. After posting bail, he removed an electronic monitoring device and went to Oregon. Sgt. James Geiger and other officers saw a pickup associated with Burleson and followed it into a Dairy Queen parking lot. Police approached and told Burleson and the driver to put their hands up. Instead, Burleson allegedly pushed the driver aside and pointed a handgun at Geiger, who shot and killed Burleson.</t>
  </si>
  <si>
    <t>Justified by District Attorney</t>
  </si>
  <si>
    <t>http://katu.com/news/local/oregon-sergeant-cleared-in-fatal-shooting-of-suspect</t>
  </si>
  <si>
    <t>Joseph Hilton</t>
  </si>
  <si>
    <t>9320 Gilead Hill Court</t>
  </si>
  <si>
    <t>Police were responding to a domestic assault report when officers attempted to question a man who was allegedly involved. As officers approached the man, they saw that he had a gun. Police said the officers felt threatened by the man's actions and shot and killed him.</t>
  </si>
  <si>
    <t>http://www.wbtv.com/story/37261328/person-dead-after-officer-involved-shooting-in-huntersville</t>
  </si>
  <si>
    <t>Jonathan Bennett</t>
  </si>
  <si>
    <t>http://www.fatalencounters.org/wp-content/uploads/2018/01/JonathanBennett.jpg</t>
  </si>
  <si>
    <t>601 E. Trade Street</t>
  </si>
  <si>
    <t>Jonathan Bennett was wanted in the death of 24-year-old Brittany White, his girlfriend and the mother of his 2-month-old daughter. Police said they were in the parking lot between the law enforcement center and CMPD parking deck when someone shot at them. Several officers, including officer Jeffrey Zederbaum and officer Jared Decker, returned fire. Bennett was shot and killed.</t>
  </si>
  <si>
    <t>http://www.wbtv.com/story/37250065/cmpd-man-wanted-in-homicide-ambushes-police-shot-dead-at-headquarters</t>
  </si>
  <si>
    <t>Jared S.R. Williams</t>
  </si>
  <si>
    <t>400 Spring Creek Parkway</t>
  </si>
  <si>
    <t>Spring Creek</t>
  </si>
  <si>
    <t>Deputies were called to a home on Spring Creek Parkway at about 8:45 p.m. The wife's sister let officers in the house, and they heard arguing in a bedroom. When police opened the door, the husband, Jared S.R. Williams, 31, shot and killed the wife, Karen Williams, 33, and officers shot and killed the husband.</t>
  </si>
  <si>
    <t>http://elkodaily.com/news/local/crime-and-courts/two-dead-in-spring-creek-shooting/article_42737c70-18fa-546d-ac08-525c7538860e.html#tracking-source=home-top-story</t>
  </si>
  <si>
    <t>Jose Arroyo-Rosales Sr.</t>
  </si>
  <si>
    <t>1000 St. Louis Avenue</t>
  </si>
  <si>
    <t>Officers were serving a narcotics search warrant at about 1:15 a.m. The officers found a closed door, entered a room and saw a man with a handgun, pointing it at them, police said. Officers shot and killed him.</t>
  </si>
  <si>
    <t>http://www.star-telegram.com/news/local/community/fort-worth/article194109359.html</t>
  </si>
  <si>
    <t>Justin Coy Adkins</t>
  </si>
  <si>
    <t>http://www.fatalencounters.org/wp-content/uploads/2018/01/Justin-Coy-Adkins.png</t>
  </si>
  <si>
    <t>Mimosa Drive</t>
  </si>
  <si>
    <t>Deputies said they attempted to pull Justin Coy Adkins over for a traffic violation around 10 p.m. on Shumpert Road when the man took off, and deputies gave chase. The chase ended when deputies pop the vehicle's tires. When deputies approached vehicle, Adkins allegedly presented a handgun and was shot and killed.</t>
  </si>
  <si>
    <t>http://www.thestate.com/news/local/crime/article194335194.html</t>
  </si>
  <si>
    <t>Shalun Dique Smith</t>
  </si>
  <si>
    <t>48th St E &amp; E Ave R8</t>
  </si>
  <si>
    <t>Four men in a Jeep were wanted for allegedly holding up a Verizon store. After a deputy disabled their vehicle, Shalun Smith was shot and killed.</t>
  </si>
  <si>
    <t>http://abc7.com/suspect-killed-in-deputy-involved-shooting-in-palmdale/2927286/</t>
  </si>
  <si>
    <t>Thompson Nguyen</t>
  </si>
  <si>
    <t>1 Blanchard Road</t>
  </si>
  <si>
    <t>Police saw a man walking with an ax in his hand and said he refused to drop it. Two minutes later, officers on the dispatch recordings reported shots fired. The man was killed.</t>
  </si>
  <si>
    <t>https://www.sfgate.com/crime/article/Officer-involved-shooting-at-San-Jose-power-plant-12486298.php</t>
  </si>
  <si>
    <t>Primitivo Macias-Rodriguez Jr.</t>
  </si>
  <si>
    <t>S San Pedro St &amp; E Florence Ave</t>
  </si>
  <si>
    <t>Police saw a dark sedan driving erratically and began following the car. The car collided with two other vehicles, police said. After the initial crash, the driver continued eastbound and struck a light pole. The person in the vehicle allegedly was armed with a firearm and was shot and killed. What prompted police to open fire was withheld.</t>
  </si>
  <si>
    <t>http://ktla.com/2018/01/08/suspect-struck-by-police-gunfire-in-south-los-angeles-lapd-says/</t>
  </si>
  <si>
    <t>1025 Goodman Rd</t>
  </si>
  <si>
    <t>Horn Lake</t>
  </si>
  <si>
    <t>A man wanted in connection with three weekend ATM robberies was shot and killed by Horn Lake police when he attempted to rob an on-duty officer at the same bank machine where the other robberies occurred, police said.</t>
  </si>
  <si>
    <t>http://www.commercialappeal.com/story/news/crime/2018/01/08/authorities-investigating-officer-involved-shooting-horn-lake/1012194001/</t>
  </si>
  <si>
    <t>Eugene Loftis</t>
  </si>
  <si>
    <t>100 Okolona Road</t>
  </si>
  <si>
    <t>Deputies went to a home to serve a warrant on a fugitive, Eugene Loftis, who was wanted for arrest from Dickenson County, Virginia. They spotted him in the passenger seat of a vehicle at the residence. They approached the vehicle and asked him to show his hands. Loftis allegedly reached for a gun and was shot and killed.</t>
  </si>
  <si>
    <t>http://wjhl.com/2018/01/08/sheriff-one-man-dead-in-hawkins-co-officer-involved-shooting/</t>
  </si>
  <si>
    <t>Charles Smith Jr.</t>
  </si>
  <si>
    <t>http://www.fatalencounters.org/wp-content/uploads/2018/01/Charles-Smith-Jr..png</t>
  </si>
  <si>
    <t>W 52nd St &amp; Camp Robinson Rd</t>
  </si>
  <si>
    <t>North Little Rock</t>
  </si>
  <si>
    <t>Police stopped a vehicle about 1 a.m. Officers found three people, including Charles Smith Jr., in the vehicle. Officers searched Smith, Jr. and found he was carrying a gun, police said. A fight started, and Smith allegedly fired at least one shot at the officers, which resulted in the officers shooting and killing Smith.</t>
  </si>
  <si>
    <t>http://katv.com/news/local/nlr-police-suspect-shot-and-killed-after-firing-at-officer</t>
  </si>
  <si>
    <t>Trayvon Mitchell</t>
  </si>
  <si>
    <t>781 NW 39th Ave</t>
  </si>
  <si>
    <t>A man flagged down a Lauderhill police officer to report he had been robbed of his backpack at gunpoint moments earlier. The officer learned the robber headed into Lauderhill. Lauderhill police set up a perimeter and Plantation and Davie police officers joined the hunt. Santiago said the search came to an end about an hour later when the suspect was spotted. More than one officer from Davie and Plantation opened fire, killing the man, police said.</t>
  </si>
  <si>
    <t>http://www.miamiherald.com/news/local/community/broward/article193481544.html</t>
  </si>
  <si>
    <t>Richard R. Towler</t>
  </si>
  <si>
    <t>1069 Halifax Rd</t>
  </si>
  <si>
    <t>Danville City</t>
  </si>
  <si>
    <t>Police were called to a home around 1 a.m. for a report of shots being fired. They knocked on the door and shots were fired toward officers from inside the home, police said. Richard Towler came out of the house and started shooting at officers, who shot and killed him.</t>
  </si>
  <si>
    <t>http://www.wfmynews2.com/news/local/man-shot-killed-after-firing-at-danville-police-woman-found-dead-in-home/505573867</t>
  </si>
  <si>
    <t>Michael Clarence Bender</t>
  </si>
  <si>
    <t>https://d2g8igdw686xgo.cloudfront.net/26927508_15158235270_r.jpeg</t>
  </si>
  <si>
    <t>400 S 65th St</t>
  </si>
  <si>
    <t>A man was crawling on the lawn outside a burning Tacoma house with a rifle in his hand as firefighters battled the flames. Neighbors called 911 with concerns about the man. Witnesses said he appeared to be drunk as he started walking down Pacific Avenue. Police arrived about 10:45 p.m. and ordered the man to put down his gun. He allegedly refused. They exchanged gunfire, and the man was killed.</t>
  </si>
  <si>
    <t>http://www.thenewstribune.com/news/local/crime/article193488139.html</t>
  </si>
  <si>
    <t>Henry Michael Carden</t>
  </si>
  <si>
    <t>http://www.fatalencounters.org/wp-content/uploads/2018/01/henry_carden.jpg</t>
  </si>
  <si>
    <t>5100 200th St E</t>
  </si>
  <si>
    <t>Deputies were called about 11:25 p.m. to a home for a home invasion. Deputy Daniel A. McCartney, 34, was fatally shot while chasing two burglars. One of the alleged burglars, Henry Carden, was killed. The other was caught later.</t>
  </si>
  <si>
    <t>http://www.thenewstribune.com/news/local/crime/article193487669.html</t>
  </si>
  <si>
    <t>Skyler D. Burnette</t>
  </si>
  <si>
    <t>1005 Saint Anne St</t>
  </si>
  <si>
    <t>Police responded to a report of a domestic violence incident at a home. When they arrived, a man allegedly was threatening a woman with a knife. A deputy with the Monroe County Sheriff's Office shot and killed him.</t>
  </si>
  <si>
    <t>http://www.weau.com/content/news/Police-respond-to-incident-in-Sparta--468289643.html</t>
  </si>
  <si>
    <t>Alejandro Valdez</t>
  </si>
  <si>
    <t>400 E. Mill St.</t>
  </si>
  <si>
    <t>Around 6:20 p.m., Santa Maria police responded to a report of a disturbance in a home. Upon arrival, officers learned an armed suicidal man had been threatening family members inside the home. Police set up a perimeter around the home. The man then came out of the house armed with two knives and confronted officers, who shot and killed him.</t>
  </si>
  <si>
    <t>http://www.ksby.com/story/37211493/officer-involved-shooting-reported-in-santa-maria</t>
  </si>
  <si>
    <t>Daniel Saavedra-Arreola</t>
  </si>
  <si>
    <t>General Hodges St NE &amp; Central Ave SE</t>
  </si>
  <si>
    <t>Police received a 911 call from someone at an apartment about a burglary in progress. Upon arrival, the officers allegedly were confronted by a man with an undisclosed weapon. At least one officer shot and killed him.</t>
  </si>
  <si>
    <t>http://krqe.com/2018/01/07/police-investigating-officer-involved-shooting-in-northeast-albuquerque/</t>
  </si>
  <si>
    <t>pole and knife</t>
  </si>
  <si>
    <t>Jonathan William LeRoy</t>
  </si>
  <si>
    <t>Memorial Rd and Fishmarket Rd</t>
  </si>
  <si>
    <t>McLoud</t>
  </si>
  <si>
    <t>A deputy responded to a call about a man attacking his family at their home. As the deputy was driving to the scene, he spotted a man matching the suspect's description walking down the road, carrying a baseball bat. The deputy said that when he made contact with Jonathan William LeRoy, he began to swing the baseball bat at the deputy. The deputy shot and killed him.</t>
  </si>
  <si>
    <t>http://www.newson6.com/story/37208083/pott-county-deputies-respond-to-officer-involved-shooting-near-shawnee</t>
  </si>
  <si>
    <t>Guillermo Exconde Mendoza</t>
  </si>
  <si>
    <t>18196 Dupont Dr</t>
  </si>
  <si>
    <t>Deputies were called to a home for a domestic violence incident. Deputies ensured the safety of the person who called 911, and when they searched the residence, they found a person with a gun. Guillermo Mendoza allegedly pointed the gun at deputies and was shot and killed.</t>
  </si>
  <si>
    <t>http://www.news-press.com/story/news/crime/2018/01/06/lee-county-sheriffs-office-officer-involved-shooting-san-carlos-park/1010620001/</t>
  </si>
  <si>
    <t>Richard Rangel</t>
  </si>
  <si>
    <t>Red Rock Dr and Apache Trl</t>
  </si>
  <si>
    <t>Richard Rangel allegedly was breaking into cars when officers confronted him. Police said he pulled a gun and fired at officers who were trying to wrestle the gun away from him. Officers shot and killed him.</t>
  </si>
  <si>
    <t>https://kxan.com/2018/01/06/officer-involved-shooting-reported-in-round-rock/</t>
  </si>
  <si>
    <t>Jackie Harlan Roberts</t>
  </si>
  <si>
    <t>4800 Vernon Pkwy</t>
  </si>
  <si>
    <t>Deputies responded just after 12:30 p.m. to a home. Police said they received a report that a man had assaulted his sister and husband at their home. Jackie Harlan Roberts allegedly went outside to his car and armed himself with a handgun. Deputies found him sitting in the car with a gun in his hand. Roberts ignored commands to drop the weapon and began waving it around. A deputy shot and killed him.</t>
  </si>
  <si>
    <t>http://www.al.com/news/birmingham/index.ssf/2018/01/domestic_violence_suspect_wavi.html</t>
  </si>
  <si>
    <t>Tyler Miller</t>
  </si>
  <si>
    <t>http://www.fatalencounters.org/wp-content/uploads/2018/01/TylerMiller.png</t>
  </si>
  <si>
    <t>3470 AZ-89A</t>
  </si>
  <si>
    <t>Sedona</t>
  </si>
  <si>
    <t>Tyler Miller was shot and killed by a U.S. Forest Service officer after he wrecked his vehicle. Very little information was immediately released.</t>
  </si>
  <si>
    <t>https://www.verdenews.com/news/2018/jan/05/state-route-89a-closed-oak-creek-canyon-following-/</t>
  </si>
  <si>
    <t>John Bailon</t>
  </si>
  <si>
    <t>http://www.fatalencounters.org/wp-content/uploads/2018/01/john-bailon.jpg</t>
  </si>
  <si>
    <t>San Rafael Dr</t>
  </si>
  <si>
    <t>Police said, Valencia County deputies were conducting a stolen vehicle investigation. During the investigation, a fight happened between deputies and John Bailon. At least one deputy shot and killed Bailon.</t>
  </si>
  <si>
    <t>http://www.kob.com/albuquerque-news/state-police-investigating-deputy-involved-shooting-in-los-lunas/4732623/</t>
  </si>
  <si>
    <t>Gregory Stough</t>
  </si>
  <si>
    <t>http://www.fatalencounters.org/wp-content/uploads/2018/01/Gregory-Stough.png</t>
  </si>
  <si>
    <t>400 Stillmeadow Ln</t>
  </si>
  <si>
    <t>Northern York County Regional Police officers initially were checking out a suspicious vehicle in the parking lot of Stillmeadow Church of the Nazarene. An officer made contact with Stough in his Pontiac Bonneville around 3:21 a.m. The officer discovered Stough was wanted on four traffic warrants related to vehicle inspections. Stough also had a suspended driver's license, police said. Stough resisted arrest, and during the struggle, he allegedly put his car in reverse with the driver's door still open. He accelerated backwards, trapping a second officer between the door and the car. The first officer shot and killed him.</t>
  </si>
  <si>
    <t>http://www.ydr.com/story/news/2018/01/06/coroner-called-shooting-stillmeadow-church-nazarene/1009904001/</t>
  </si>
  <si>
    <t>Andy Vo</t>
  </si>
  <si>
    <t>http://www.fatalencounters.org/wp-content/uploads/2018/01/Andy-Vo.jpg</t>
  </si>
  <si>
    <t>2640 N Lakewood Blvd</t>
  </si>
  <si>
    <t>Andy Vo was fatally shot by Long Beach police after he allegedly held Holiday Inn employees hostage with a gun, police said. Few details were immediately released.</t>
  </si>
  <si>
    <t>http://ktla.com/2018/01/05/armed-man-fatally-shot-by-long-beach-police-after-allegedly-holding-holiday-inn-employee-hostage/</t>
  </si>
  <si>
    <t>Ledarren Mixon</t>
  </si>
  <si>
    <t>http://www.fatalencounters.org/wp-content/uploads/2018/01/LedarrenMixon.jpg</t>
  </si>
  <si>
    <t>5300 Great Oak Way</t>
  </si>
  <si>
    <t>Whitehall</t>
  </si>
  <si>
    <t>Police said Ledarren Mixon was accused of selling fentanyl-laced heroin. While conducting a search warrant, officers said he was armed and was shot during a confrontation.</t>
  </si>
  <si>
    <t>http://abc6onyourside.com/news/local/whitehall-police-respond-to-reported-shooting</t>
  </si>
  <si>
    <t>William B. Oleson</t>
  </si>
  <si>
    <t>http://www.fatalencounters.org/wp-content/uploads/2018/01/William-B-Oleson.jpg</t>
  </si>
  <si>
    <t>2000 N National Ave</t>
  </si>
  <si>
    <t>Springfield police were dispatched to North National Avenue at about 1:30 p.m. for reports of a burglary in progress. Police said an officer contacted a suspect, William Oleson, at the residence, and a fight started. Oleson allegedly pointed a gun at the officer and was shot and killed.</t>
  </si>
  <si>
    <t>http://www.news-leader.com/story/news/breaking-news/2018/01/05/police-respond-shooting-north-national-avenue/1008291001/</t>
  </si>
  <si>
    <t>Robert Cassidy Hansen</t>
  </si>
  <si>
    <t>http://www.fatalencounters.org/wp-content/uploads/2018/01/Robert-Cassidy-Hansen.jpg</t>
  </si>
  <si>
    <t>27th St and Fairview Ave</t>
  </si>
  <si>
    <t>A car that was pulled over had a female driver, and a male passenger in the back seat allegedly brandished a handgun, police said. Robert Hansen was shot and killed. The woman was unharmed.</t>
  </si>
  <si>
    <t>http://www.idahostatesman.com/news/local/article193102999.html</t>
  </si>
  <si>
    <t>Brandon O. Cude</t>
  </si>
  <si>
    <t>http://www.fatalencounters.org/wp-content/uploads/2018/01/Brandon-Cude.jpg</t>
  </si>
  <si>
    <t>Timber Lane and Valician Shores Lane</t>
  </si>
  <si>
    <t>According to police, a deputy responded to a call from a passer-by about a stranded driver. The stranded driver was Brandon Cude. The deputy ran a records check which revealed Cude was wanted for two felony warrants for child sexual assault in Texas. When Cude realized the deputy was aware of the warrants, he allegedly pointed a shotgun at the deputy and was shot and killed.</t>
  </si>
  <si>
    <t>http://www.wsaw.com/content/news/Deadly-shooting-involving-an-officer-in-Forest-County-under-investigation-468065043.html</t>
  </si>
  <si>
    <t>Shaleem Tindle</t>
  </si>
  <si>
    <t>http://www.fatalencounters.org/wp-content/uploads/2018/01/Shaleem-Tindle.jpg</t>
  </si>
  <si>
    <t>7th St and Chester St</t>
  </si>
  <si>
    <t>An on-duty BART officer dressed in uniform was inside the station when he heard a shooting, police said. The officer saw two men struggling, police said. One of the men was armed with a handgun. The officer shot the man who was allegedly armed with a handgun, killing Shaleem Tindle.</t>
  </si>
  <si>
    <t>http://kron4.com/2018/01/04/man-killed-in-police-shooting-near-west-oakland-bart-identified/</t>
  </si>
  <si>
    <t>Shana Diane Musquiz</t>
  </si>
  <si>
    <t>200 N 4th St</t>
  </si>
  <si>
    <t>Camp Wood</t>
  </si>
  <si>
    <t>Real</t>
  </si>
  <si>
    <t>Deputies were called out to the Hill Country Motel after receiving reports that Shana Musquiz was trying to take a child from the child's parent. A deputy arrived and told her to hand over the child. Musquiz allegedly grabbed a gun from her car and fired at the deputy. The deputy shot and killed Musquiz.</t>
  </si>
  <si>
    <t>http://news4sanantonio.com/news/local/woman-killed-in-shootout-with-deputy-in-real-county</t>
  </si>
  <si>
    <t>Ronald Elliot</t>
  </si>
  <si>
    <t>http://www.fatalencounters.org/wp-content/uploads/2018/01/RonEliot.jpg</t>
  </si>
  <si>
    <t>1000 West School Street</t>
  </si>
  <si>
    <t>Police were called to a domestic disturbance call at 10:19 p.m. Ronald Elliot was allegedly armed with a gun and had locked himself inside his bedroom. Police said officer Tyler Williams told Elliot to put down the gun and shot and killed him when he allegedly didn't.</t>
  </si>
  <si>
    <t>http://5newsonline.com/2018/01/03/investigation-underway-following-deadly-officer-involved-shooting-in-ozark/</t>
  </si>
  <si>
    <t>Louis C. Miller</t>
  </si>
  <si>
    <t>901 Landreth Ave</t>
  </si>
  <si>
    <t>Deputies went to an address to serve civil courts documents on Louis Miller. He allegedly came to the door with a knife in his hand, prompting the deputies to call backup officers. Police said as backup help arrived, Miller came at the officers with the knife and was shot and killed.</t>
  </si>
  <si>
    <t>http://www.joplinglobe.com/news/joplin-man-died-shortly-after-officer-involved-shooting/article_b8cf63b6-f0b0-11e7-8dca-ef922f9a81ed.html</t>
  </si>
  <si>
    <t>David Melton</t>
  </si>
  <si>
    <t>3428 S Memorial Dr</t>
  </si>
  <si>
    <t>Off-duty Greenville Police Officer Timothy Greene was shopping at Academy Sports in Greenville when a person told him a man was shoplifting. Greene confronted David Melton outside the store, a fight began, and the man allegedly attacked Greene with a knife. Greene shot and killed Melton.</t>
  </si>
  <si>
    <t>http://www.witn.com/content/news/Reports-of-shooting-outside-Greenville-sporting-goods-store-467731173.html</t>
  </si>
  <si>
    <t>Archie Lawhon III</t>
  </si>
  <si>
    <t>Black Jack Mountain Road and Starlight Lane</t>
  </si>
  <si>
    <t>Romance</t>
  </si>
  <si>
    <t>Two people, Starla Exum, 45, and Timmy Dickson, 54, were shot and killed in Romance. Archie Lawhon III was shot by deputies when he allegedly approached them with a handgun in the nearby woods after a two-hour manhunt.</t>
  </si>
  <si>
    <t>http://www.thv11.com/news/crime/three-dead-in-white-county-shooting-authorities-investigating/504008189</t>
  </si>
  <si>
    <t>Gary Johns</t>
  </si>
  <si>
    <t>2944 Unity Tree Dr</t>
  </si>
  <si>
    <t>Police officers heard gunfire and screaming as Gary Johns chased Karen Johns out of their home while shooting at her, police said. Officers ordered the man to drop the gun, but he allegedly refused to drop the gun and continued chasing the woman. Two officers shot and killed Gary Johns. Karen Johns was shot and wounded.</t>
  </si>
  <si>
    <t>http://www.wftv.com/news/local/police-fatally-shoot-man-who-shot-wife-in-edgewater/674036132</t>
  </si>
  <si>
    <t>Mark Steven Parkinson</t>
  </si>
  <si>
    <t>147 Meadowview Dr</t>
  </si>
  <si>
    <t>Walker County deputies were called for a welfare check after a 911 call was made. The caller said a female at the home was threatening to kill herself and her children. When Deputy John Chandler arrived he saw Mark Steven Parkinson in the home with a weapon. Parkinson allegedly pointed the weapon at Deputy Chandler, who shot and killed him.</t>
  </si>
  <si>
    <t>http://www.wrcbtv.com/story/37168755/at-least-one-person-killed-in-officer-involved-shooting-walker-county</t>
  </si>
  <si>
    <t>Georgetown, KY Police Department</t>
  </si>
  <si>
    <t>Baxter County Sheriff's Office</t>
  </si>
  <si>
    <t>Jonesborough Police Department</t>
  </si>
  <si>
    <t>Yancey County Sheriff's Office</t>
  </si>
  <si>
    <t>Keizer Police Department</t>
  </si>
  <si>
    <t>Rosebud Sioux Tribal Police Department</t>
  </si>
  <si>
    <t>U.S. Bureau of Alcohol Tobacco Firearms and Explosives</t>
  </si>
  <si>
    <t>West Fargo Police Department</t>
  </si>
  <si>
    <t>Elgin Police Department</t>
  </si>
  <si>
    <t>Blackman Township Police Department, Jackson Police Department, Jackson County Sheriff's Office</t>
  </si>
  <si>
    <t>Pottstown Police Department</t>
  </si>
  <si>
    <t>Spotsylvania County Sheriff's Office</t>
  </si>
  <si>
    <t>North Manchester Police Department</t>
  </si>
  <si>
    <t>Sandpoint Police Department</t>
  </si>
  <si>
    <t>Abington Township Police Department</t>
  </si>
  <si>
    <t>Bristol Township Police Department</t>
  </si>
  <si>
    <t>Brooks County Sheriff's Office, Lowndes County Sheriff's Office</t>
  </si>
  <si>
    <t>Phoenix Police Department, Glendale Police Department</t>
  </si>
  <si>
    <t>Red River County Sheriff's Office</t>
  </si>
  <si>
    <t>U.S. Marshals Service, Virginia State Police</t>
  </si>
  <si>
    <t>Chester County Sheriff's Office, Chester Police Department</t>
  </si>
  <si>
    <t>Wamego Police Department</t>
  </si>
  <si>
    <t>U.S. Marshals Service, Immigration and Customs Enforcement</t>
  </si>
  <si>
    <t>Hawkins County Sheriff's Office</t>
  </si>
  <si>
    <t>Greensburg Police Department</t>
  </si>
  <si>
    <t>Stratford Police Department</t>
  </si>
  <si>
    <t>Meridian Police Department, Mississippi Department of Wildlife Fisheries and Parks</t>
  </si>
  <si>
    <t>Denton Police Department</t>
  </si>
  <si>
    <t>Wagoner County Sheriff's Office</t>
  </si>
  <si>
    <t>Cocoa Beach Police Department</t>
  </si>
  <si>
    <t>Merrillville Police Department</t>
  </si>
  <si>
    <t>Nampa Police Department</t>
  </si>
  <si>
    <t>Pittsburgh Bureau of Police</t>
  </si>
  <si>
    <t>Vermont State Police, Richmond Police Department</t>
  </si>
  <si>
    <t>Henry County Sheriff's Office, Locust Grove Police Department</t>
  </si>
  <si>
    <t>U.S. Marshals Service, St. Johns Sheriff's Office</t>
  </si>
  <si>
    <t>El Paso County Sheriff's Office</t>
  </si>
  <si>
    <t>Runnels County Sheriff's Office</t>
  </si>
  <si>
    <t>Harrisburg Police Bureau</t>
  </si>
  <si>
    <t>St. James Police Department, Watonwan County Sheriff's Office, Minnesota State Patrol</t>
  </si>
  <si>
    <t>U.S. Marshals Service, Pottawatomie County Sheriff's Office</t>
  </si>
  <si>
    <t>Rock Falls Police Department</t>
  </si>
  <si>
    <t>U.S. Federal Bureau of Investigation</t>
  </si>
  <si>
    <t>Etowah County Sheriff's Office</t>
  </si>
  <si>
    <t>League City Police Department</t>
  </si>
  <si>
    <t>Idaho Falls Police Department</t>
  </si>
  <si>
    <t>Battle Creek Police Department</t>
  </si>
  <si>
    <t>Sallisaw Police Department</t>
  </si>
  <si>
    <t>Oneida Police Department</t>
  </si>
  <si>
    <t>Millville Police Department</t>
  </si>
  <si>
    <t>Overland Park Police Department</t>
  </si>
  <si>
    <t>Fairmont Police Department</t>
  </si>
  <si>
    <t>Dunwoody Police Department, Johns Creek Police Department</t>
  </si>
  <si>
    <t>Harrisburg Police Bureau, U.S. Marshals Service</t>
  </si>
  <si>
    <t>Boonville Police Department</t>
  </si>
  <si>
    <t>Racine Police Department</t>
  </si>
  <si>
    <t>Bremer County Sheriff's Office, Chickasaw County Sheriff's Office, Nashua Police Department, Iowa State Patrol</t>
  </si>
  <si>
    <t>Vermont State Police, Montpelier Police Department</t>
  </si>
  <si>
    <t>Gooding Police Department, Gooding County Sheriff's Office</t>
  </si>
  <si>
    <t>Mecklenburg County Sheriff's Office</t>
  </si>
  <si>
    <t>Puyallup Police Department, Milton Police Department</t>
  </si>
  <si>
    <t>Josephine County Sheriff's Office, Oregon State Police</t>
  </si>
  <si>
    <t>Allen County Sheriff's Office</t>
  </si>
  <si>
    <t>Elko County Sheriff's Office</t>
  </si>
  <si>
    <t>San Bernardino County Sheriff's Office</t>
  </si>
  <si>
    <t>Horn Lake Police Department</t>
  </si>
  <si>
    <t>Davie Police Department, Plantation Police Department</t>
  </si>
  <si>
    <t>Valencia County Sheriff's Office</t>
  </si>
  <si>
    <t>Whitehall Police Department</t>
  </si>
  <si>
    <t>Forest County Sheriff's Office</t>
  </si>
  <si>
    <t>Real County Sheriff's Office</t>
  </si>
  <si>
    <t>Christina Chavez</t>
  </si>
  <si>
    <t>Osbaldo Jimenez Ramirez</t>
  </si>
  <si>
    <t>Quintin J. Horner</t>
  </si>
  <si>
    <t>Utica</t>
  </si>
  <si>
    <t>Chance Christopher Haegele</t>
  </si>
  <si>
    <t>http://www.fatalencounters.org/wp-content/uploads/2018/03/ChanceHaegle.jpg</t>
  </si>
  <si>
    <t>96 Laura Lane</t>
  </si>
  <si>
    <t>Winter Haven</t>
  </si>
  <si>
    <t>Chance Haegele had been brought into custody under the Baker Act seven times during the past year. He was about 10 feet from deputies when he pointed a 12-gauge shotgun at them about 11:30 p.m. in a mobile home park. The deputies fired 17 times from their Glock handguns, killing Haegele.</t>
  </si>
  <si>
    <t>http://www.theledger.com/news/20180321/polk-county-sheriffs-office-deputies-shoot-kill-man-with-history-of-mental-troubles</t>
  </si>
  <si>
    <t>Kent Earl Pittman</t>
  </si>
  <si>
    <t>Antioch Church Road and Lucy Garrett Road</t>
  </si>
  <si>
    <t>Timberlake</t>
  </si>
  <si>
    <t>Person</t>
  </si>
  <si>
    <t>Person County Sheriff's Office</t>
  </si>
  <si>
    <t>Officers responded to an eviction call on Antioch Church Road. Details of what happened were withheld by police, but Kent Pittman was shot and killed. A witness said he heard gunshots about 11 a.m.</t>
  </si>
  <si>
    <t>http://abc11.com/person-dies-after-officer-involved-shooting-in-timberlake/3242185/</t>
  </si>
  <si>
    <t>Scott Mielentz</t>
  </si>
  <si>
    <t>136 Nassau St</t>
  </si>
  <si>
    <t>Princeton Police Department, Mercer County Sheriff's Office, West Windsor Police Department</t>
  </si>
  <si>
    <t>An armed Scott Mielentz stormed into the Panera on Nassau Street after 10 a.m. as customers and employees fled through the back of the building. Police negotiators allegedly tried to get Mielentz to give himself up peacefully for several hours until around 3 p.m. when police shot and killed him.</t>
  </si>
  <si>
    <t>http://www.trentonian.com/article/TT/20180321/NEWS/180329960</t>
  </si>
  <si>
    <t>Duane Preciado</t>
  </si>
  <si>
    <t>15100 E 108th Pl North</t>
  </si>
  <si>
    <t>Owasso</t>
  </si>
  <si>
    <t>Owasso Police Department</t>
  </si>
  <si>
    <t>Officers responded to a disturbance call before 10:30 p.m. The officers were confronted by a man with an AK-47. Duane Preciado allegedly came out of his house, where he lived with his wife, with the weapon, at which point both officers commanded him to drop it. The officers retreated to their patrol cars. When Preciado reportedly began moving toward them, allegedly making threatening statements, both officers shot and killed him.</t>
  </si>
  <si>
    <t>http://www.tulsaworld.com/news/crimewatch/man-with-loaded-ak--shot-by-police-in-owasso/article_6eda4f61-f848-526c-b2f6-18d61ff16585.html</t>
  </si>
  <si>
    <t>Jason Raffaeli</t>
  </si>
  <si>
    <t>http://www.fatalencounters.org/wp-content/uploads/2018/03/JasonRaffaeli.jpg</t>
  </si>
  <si>
    <t>4800 Amelia Island Pkwy</t>
  </si>
  <si>
    <t>Deputies were called to the Amelia Island Surf and Racquet Club Condominiums just before midnight after Jason Raffaeli said three men armed with guns were in his sixth-floor unit. Deputies talked to Raffaeli on his cell phone, trying to get him to come out of the condo. Raffaeli said he had a loaded .45-caliber handgun and refused to come out, barricading himself in a bathroom, police said. Before backup arrived, police heard several gunshots inside the condo. Raffaeli appeared in the doorway with a handgun, and they told him to drop the weapon. Raffaeli refused and moved back inside the condo, then reappeared and said, "Tell my daddy I love him, and make sure you shoot me in the head." Deputies alleged that Raffaeli then fired at them, and he was shot and killed.</t>
  </si>
  <si>
    <t>https://www.news4jax.com/news/florida/nassau-county/deputies-shoot-kill-armed-man-after-standoff-in-fernandina-beach-sheriff-says</t>
  </si>
  <si>
    <t>Jehad Eid</t>
  </si>
  <si>
    <t>949 Geneva Ave</t>
  </si>
  <si>
    <t>At around 4:34 p.m., officers were called to the area of Geneva and London on reports of a man with a gun. Officers went to a nearby barber shop, where a gun battle erupted. An officer was shot in the leg and was transported to San Francisco General Hospital. Five other people were wounded in the shooting. Lehad Eid, the alleged suspect, was killed.</t>
  </si>
  <si>
    <t>http://www.kron4.com/news/bay-area/suspect-dies-after-shootout-with-san-francisco-police/1069807366</t>
  </si>
  <si>
    <t>Santiago Calderon</t>
  </si>
  <si>
    <t>http://www.fatalencounters.org/wp-content/uploads/2018/03/AR-Santiago-Calderon.jpg</t>
  </si>
  <si>
    <t>38-2 S Lasalle St</t>
  </si>
  <si>
    <t>Two officers followed a vehicle leaving an alleged "gang house" at about 9:45 p.m. When they pulled the vehicle over, Santiago Calderon, who was driving the vehicle, fired at officers before fleeing east. Calderon's vehicle hit another vehicle, and he ran from the car and exchanged shots with the two officers. Calderon was killed.</t>
  </si>
  <si>
    <t>http://abc7chicago.com/police-1-suspect-dead-2-officers-injured-in-aurora-shootout/3249097/</t>
  </si>
  <si>
    <t>Michael Leroy McGinnis</t>
  </si>
  <si>
    <t>http://www.fatalencounters.org/wp-content/uploads/2018/03/Michael-Leroy-McGinnis.jpg</t>
  </si>
  <si>
    <t>4044 S 7th St</t>
  </si>
  <si>
    <t>Michael Leroy McGinnis was shot and killed when officers attempted to arrest him at his apartment on two warrants for Indecency with a Child and a motion to provoke warrant around 9 a.m. Police found McGinnis armed with a weapon in the back bedroom of an apartment, and after 11 minutes of negotiations, McGinnis allegedly moved his handgun in a threatening manner and was shot and killed.</t>
  </si>
  <si>
    <t>http://www.bigcountryhomepage.com/news/main-news/shots-fired-in-abilene-apartment-heavy-police-presence-at-scene-ambulance-en-route/1073717756</t>
  </si>
  <si>
    <t>Steven Rene Cortez</t>
  </si>
  <si>
    <t>US Hwy 287 and Co Rd Q</t>
  </si>
  <si>
    <t>Childress</t>
  </si>
  <si>
    <t>Childress County Sheriff's Office, Childress Police Department</t>
  </si>
  <si>
    <t>A man was driving a 2009 Mercedes passenger car when a Donley County Sheriff's deputy tried to initiate a traffic stop, but the driver fled. Upon entering Childress County, the Childress Police Department was able to deploy spikes successfully to disable the vehicle. The man fled on foot. Childress officers and deputies were able to catch him a short time later. When he allegedly pointed a handgun at the officers, they shot and killed him.</t>
  </si>
  <si>
    <t>https://www.timesrecordnews.com/story/news/crime/2018/03/23/man-killed-officer-involved-shooting/452779002/</t>
  </si>
  <si>
    <t>Kaitlin Marie Demeo</t>
  </si>
  <si>
    <t>http://www.fatalencounters.org/wp-content/uploads/2018/03/Kaitlin-Marie-Demeo.jpg</t>
  </si>
  <si>
    <t>6000 Whims Rd</t>
  </si>
  <si>
    <t>Kaitlin Marie Demeo allegedly shot at police during a standoff, when police shot and killed her, police said.</t>
  </si>
  <si>
    <t>http://nbc4i.com/2018/03/24/columbus-police-shoot-kill-woman-during-swat-standoff/</t>
  </si>
  <si>
    <t>5502 Ponciana Drive</t>
  </si>
  <si>
    <t>Three police officers responded to an urgent call from a home before gunfire from inside the home wounded one of officers. A second officer was injured while taking cover, and the third officer returned fire. Police used a robot to break down the door to the home. A man thought to be the shooter and a woman emerged from the home, and an officer shot and killed the man, police said.</t>
  </si>
  <si>
    <t>https://www.statesman.com/news/breaking-austin-police-officer-shot-south-austin/wJSnWYAtyvuUlA5Ne4oKRN/</t>
  </si>
  <si>
    <t>Nathan Curtis Castle</t>
  </si>
  <si>
    <t>http://www.fatalencounters.org/wp-content/uploads/2018/03/NathanCastle.jpg</t>
  </si>
  <si>
    <t>Old Route 610 and US-23</t>
  </si>
  <si>
    <t>Big Stone Gap</t>
  </si>
  <si>
    <t>Wise</t>
  </si>
  <si>
    <t>Nathan Castle was shot by a deputy after a chase. He allegedly got out of the truck armed with a shotgun. The deputy shot and killed him.</t>
  </si>
  <si>
    <t>http://www.wjhl.com/local/investigation-following-chase-underway-in-big-stone-gap-va-one-person-in-custody/1080571363</t>
  </si>
  <si>
    <t>Jose Aaron Gonzalez</t>
  </si>
  <si>
    <t>W Roosevelt St &amp; N 31st Ave</t>
  </si>
  <si>
    <t>Police were called to a home to serve a search warrant for the Arizona Department of Transportation regarding an investigation into identity theft and forgery. Several people left the residence without incident. Police said they then saw Gonzalez flee down the hallway where he hid in a back room inside a closet armed with a handgun. As officers were still outside the home, Gonzalez reportedly confronted officers, pointing a gun at them from the hallway. Three officers shot and killed Gonzalez.</t>
  </si>
  <si>
    <t>https://www.abc15.com/news/region-phoenix-metro/central-phoenix/pd-suspect-dead-in-phoenix-officer-involved-shooting</t>
  </si>
  <si>
    <t>Juan Carlos Romero</t>
  </si>
  <si>
    <t>414 Goldsboro Ave</t>
  </si>
  <si>
    <t>Police responded to a home around 10:21 p.m. for a report of a disturbance. Police said that when officers arrived, they found Juan Carlos Romero armed with a handgun. Police said Romero fired at the three responding officers and was shot and killed. A witness disputed that version of events.</t>
  </si>
  <si>
    <t>http://abc11.com/police-3-sanford-officers-on-administrative-leave-after-fatally-shooting-man-who-shot-at-them/3272903/</t>
  </si>
  <si>
    <t>Jesse Kilgus</t>
  </si>
  <si>
    <t>http://www.fatalencounters.org/wp-content/uploads/2018/04/Jesse-Kilgus.png</t>
  </si>
  <si>
    <t>384 W A Jenkins Rd</t>
  </si>
  <si>
    <t>Hardin County Sheriff's Department, Radcliff Police Department, Kentucky State Police</t>
  </si>
  <si>
    <t>Police received a call about a possible shooting and found the body of 46-year-old Ruth Marie Kilgus around 12:40 p.m. Police learned that Jesse Kilgus planned to pick his child up from school and confronted him there less than 20 minutes later. Kilgus tried to enter the school, but he was told by a school resource officer that it was under lockdown. Kilgus returned to his vehicle. Police arrived, and after about five minutes of negotiations, Kilgus allegedly raised his handgun, and seven officers from three law enforcement agencies shot and killed him.</t>
  </si>
  <si>
    <t>http://www.wdrb.com/story/37830148/police-shoot-and-kill-suspect-behind-elizabethtown-school</t>
  </si>
  <si>
    <t>Aaron Wagdy Ibrahem</t>
  </si>
  <si>
    <t>http://www.fatalencounters.org/wp-content/uploads/2018/04/Aaron-Wagdy-Ibrahem.jpg</t>
  </si>
  <si>
    <t>1091 Mill Creek Rd</t>
  </si>
  <si>
    <t>A trooper chased a suspected shoplifter, Aaron Ibrahem, through a Walmart before he ran outside, where they shot and killed him.</t>
  </si>
  <si>
    <t>http://www.mcall.com/news/breaking/mc-pol-walmart-shots-fired-lower-macungie-20180328-story.html</t>
  </si>
  <si>
    <t>Robert B. Shaw</t>
  </si>
  <si>
    <t>http://www.fatalencounters.org/wp-content/uploads/2018/04/Robert-B.-Shaw.png</t>
  </si>
  <si>
    <t>I-26 &amp; Old Dunbar Road</t>
  </si>
  <si>
    <t>After a chase and a standoff, police attempted to take Robert Shaw into custody and shot and killed him when he moved.</t>
  </si>
  <si>
    <t>http://www.wltx.com/article/news/local/i-26-standoff-suspect-dead-traffic-starting-to-move-again/101-532787946</t>
  </si>
  <si>
    <t>Dishon McBride</t>
  </si>
  <si>
    <t>http://www.fatalencounters.org/wp-content/uploads/2018/04/Dishon-McBride.jpg</t>
  </si>
  <si>
    <t>Ezekiel Avenue and 30th Street</t>
  </si>
  <si>
    <t>U.S. Department of Housing and Urban Development</t>
  </si>
  <si>
    <t>A federal agent from the U.S. Department of Housing and Urban Development shot and killed a masked man, Dishon McBride, who was allegedly pointing a gun at the officer.</t>
  </si>
  <si>
    <t>http://abc7chicago.com/veil-of-mystery-surrounds-fatal-law-enforcement-shooting-in-zion/3280343/</t>
  </si>
  <si>
    <t>Marco Antonio Saavedra</t>
  </si>
  <si>
    <t>400 Southmore Ave</t>
  </si>
  <si>
    <t>An officer attempted to pull over Marco Saavedra after he ran a stop sign. Saavedra did not immediately stop, driving six blocks before stopping. He got out of the vehicle and pointed a gun at the officer, who shot and killed him.</t>
  </si>
  <si>
    <t>http://abc13.com/pasadena-officer-involved-in-shooting-police-say-/3279641/</t>
  </si>
  <si>
    <t>Rodney Toler</t>
  </si>
  <si>
    <t>http://www.fatalencounters.org/wp-content/uploads/2018/04/Rodney-Toler.jpg</t>
  </si>
  <si>
    <t>Hunt Avenue and Sixth Street</t>
  </si>
  <si>
    <t>South Charleston Police Department</t>
  </si>
  <si>
    <t>After a vehicle chase and gunfight with police, Rodney Toler was shot and killed.</t>
  </si>
  <si>
    <t>https://www.wvgazettemail.com/news/kanawha_county/multi-city-pursuit-ends-with-one-dead-in-charleston/article_b7ed3416-f57b-5cca-b253-2fa92d0b0dbd.html</t>
  </si>
  <si>
    <t>Edward Van McCrae</t>
  </si>
  <si>
    <t>http://www.fatalencounters.org/wp-content/uploads/2018/04/EdwardMcCrae.jpg</t>
  </si>
  <si>
    <t>2200 Bowen Blvd</t>
  </si>
  <si>
    <t>Edward Van McCrae was in the backseat of a car when Officer D.E. McGuire initiated a traffic stop, police said. McCrae was allegedly moving suspiciously and reaching toward concealed areas of the vehicle. Police said McGuire ordered McCrae to stop and requested backup. After McCrae was removed from the vehicle, he fought with McGuire. As the two fought, a handgun allegedly was seen by McGuire, and he shot and killed McCrae. Witness's names were withheld by police.</t>
  </si>
  <si>
    <t>http://www.journalnow.com/news/crime/man-fatally-shot-by-police-officer-after-traffic-stop/article_f3e8adf0-8a48-507d-928c-c5cbffc377b4.html</t>
  </si>
  <si>
    <t>John Wussler</t>
  </si>
  <si>
    <t>E Monte Vista Rd &amp; N 32nd St</t>
  </si>
  <si>
    <t>Police were called around 8 a.m. following reports of a burglary. Police said the owner of the home had an order of protection against the man. John Wussler had lived at the house previously and had returned to gather some property, police said. When police arrived, he fled the backyard by jumping the fence. An officer chased him on foot through a nearby apartment complex, where a fight began. As the officer drew a Taser, the suspect allegedly removed a handgun from his waistband and pointed it at the officer, who exchanged weapons and shot and killed him.</t>
  </si>
  <si>
    <t>https://www.azcentral.com/story/news/local/phoenix/2018/04/01/phoenix-police-shoot-man-after-foot-chase/476771002/</t>
  </si>
  <si>
    <t>Timothy Orlando Wyatt</t>
  </si>
  <si>
    <t>http://www.fatalencounters.org/wp-content/uploads/2018/04/Timothy-Wyatt.jpg</t>
  </si>
  <si>
    <t>E 28th Ave &amp; N 15th St</t>
  </si>
  <si>
    <t>Timothy Wyatt was believed to have shot and killed his girlfriend and wounded her two juvenile sons. Tampa police found Wyatt's vehicle, a white Chevy Impala, and started trailing him. When Wyatt realized he was being followed, he allegedly started shooting at police, then led officers on a brief pursuit. The chase ended when Wyatt abandoned his vehicle and tried to carjack a bystander. Police and Wyatt exchanged gunfire, and he was shot and killed.</t>
  </si>
  <si>
    <t>http://www.wfla.com/news/hillsborough-county/police-investigate-officer-involved-shooting-in-tampa-no-officers-hurt/1092264485</t>
  </si>
  <si>
    <t>Joseph Walden Johnson Jr.</t>
  </si>
  <si>
    <t>http://www.fatalencounters.org/wp-content/uploads/2018/04/JosephJohnson.jpg</t>
  </si>
  <si>
    <t>Railroad Avenue</t>
  </si>
  <si>
    <t>About 5 a.m., deputies attempted to pull over a man believed to be involved in vehicle burglaries. Joseph Johnson fled in his car. After a brief chase, Johnson crashed into a ditch, police said. The deputies and Johnson exchanged gunfire. Johnson was shot and killed, and one of the deputies was shot and wounded.</t>
  </si>
  <si>
    <t>http://www.nola.com/crime/index.ssf/2018/04/st_tammany_parish_deputy_shot.html</t>
  </si>
  <si>
    <t>Bobby Hinton</t>
  </si>
  <si>
    <t>Magnolia Street</t>
  </si>
  <si>
    <t>New Llano</t>
  </si>
  <si>
    <t>A deputy responded to a domestic disturbance call at a home. Upon arrival, Bobby Hinton allegedly brandished a handgun and fired two shots at the deputy, wounding him. The deputy shot and killed Hinton.</t>
  </si>
  <si>
    <t>http://www.klfy.com/top-stories/deputy-involved-shooting-in-vernon-parish/1092503492</t>
  </si>
  <si>
    <t>Christopher Lamarr Hall</t>
  </si>
  <si>
    <t>4100 SW Clyde Park Ave</t>
  </si>
  <si>
    <t>Christopher Hall allegedly shot and wounded a Jackson officer who was responding with two other officers to a domestic assault complaint. Hall was shot and killed. Police alleged that Hall fired first.</t>
  </si>
  <si>
    <t>http://www.mlive.com/news/jackson/index.ssf/2018/04/police_officer_wounded_in_jack.html</t>
  </si>
  <si>
    <t>Cresencio Rodriguez</t>
  </si>
  <si>
    <t>505 TX-1604 Loop</t>
  </si>
  <si>
    <t>Deputies were called to a home around 5:15 a.m., where they found a woman had suffered gunshot wounds to the neck and chest. Deputies began to search for the gunman, who popped out of a nearby wooded area and drew a weapon. Deputies shot and killed him.</t>
  </si>
  <si>
    <t>https://www.ksat.com/news/deputies-shoot-kill-man-after-finding-woman-shot-twice-inside-south-side-home</t>
  </si>
  <si>
    <t>William John Dominguez</t>
  </si>
  <si>
    <t>1300 N Boomer Rd</t>
  </si>
  <si>
    <t>Around 8:15 p.m., police responded to check the welfare of a man who called 911 saying he was suicidal. As the officers approached the man, he produced a pistol and a knife. Both of the officers shot and killed William Dominguez.</t>
  </si>
  <si>
    <t>http://kfor.com/2018/03/28/police-investigating-reported-shooting-in-stillwater/</t>
  </si>
  <si>
    <t>Robert "Bobby" Vega</t>
  </si>
  <si>
    <t>900 16th Street</t>
  </si>
  <si>
    <t>Around 3 a.m., police responded to a reported domestic dispute, police said. Robert Nova had allegedly doused his wife in gasoline and was threatening her with a lighter when he was shot and killed by police.</t>
  </si>
  <si>
    <t>http://tucson.com/news/officer-involved-shooting-in-douglas-is-under-investigation/article_63b151ee-2ec9-11e8-b41d-2328a8cf2819.html</t>
  </si>
  <si>
    <t>incendiary device</t>
  </si>
  <si>
    <t>http://www.fatalencounters.org/wp-content/uploads/2018/03/Angel-Dray-Ulloa.jpg</t>
  </si>
  <si>
    <t>301 South Ripley</t>
  </si>
  <si>
    <t>Lamb</t>
  </si>
  <si>
    <t>Littlefield Police Department</t>
  </si>
  <si>
    <t>Police received the report of a stabbing in progress at Our Place Community Center shortly after 8 a.m. Police said officers chased Angel Uolla on foot. He allegedly assaulted officers during the arrest attempt, and Uolla was shot and killed.</t>
  </si>
  <si>
    <t>http://www.ksla.com/story/37777408/stabbing-suspect-dies-after-shots-fired-by-littlefield-police</t>
  </si>
  <si>
    <t>Mark Allen Lunn</t>
  </si>
  <si>
    <t>http://www.fatalencounters.org/wp-content/uploads/2018/03/MarkAllenLunn.jpg</t>
  </si>
  <si>
    <t>101 Greenbriar Circle</t>
  </si>
  <si>
    <t>Mannford</t>
  </si>
  <si>
    <t>Mannford Police Department</t>
  </si>
  <si>
    <t>Mannford police about 2:30 p.m. received a call from a woman who was concerned about a man who reportedly showed up at her residence to talk about a vehicle for sale. The woman said Mark Allen Lunn made her uncomfortable, prompting her to call 9-1-1. Two officers arrived and found him. He was not cooperating with police and allegedly pulled out a knife and made a move toward one of the officers. The officers shot and killed him.</t>
  </si>
  <si>
    <t>http://www.tulsaworld.com/homepagelatest/mannford-police-fatally-shoot-man-with-knife-according-to-osbi/article_d1233a6e-3e54-5328-9e91-0625aaf6451d.html</t>
  </si>
  <si>
    <t>Kevin Robles</t>
  </si>
  <si>
    <t>N 75th Ave &amp; W Indian School Rd</t>
  </si>
  <si>
    <t>Police responded to reports of a vehicle break-in. Kevin Robles was found holding a knife and acting agitated. Police said they attempted to use a Taser on him three times, but it had no effect. Robles allegedly began to attack them with the knife, and he was shot and killed.</t>
  </si>
  <si>
    <t>https://www.abc15.com/news/region-west-valley/glendale/phoenix-police-involved-in-shooting-on-friday</t>
  </si>
  <si>
    <t>Zander M. Clark</t>
  </si>
  <si>
    <t>3240 Penland Pkwy</t>
  </si>
  <si>
    <t>An Anchorage officer shot and killed Zander Clark after he stabbed a woman and then, after a chase, charged the officer with a knife, police said.</t>
  </si>
  <si>
    <t>https://www.adn.com/alaska-news/crime-courts/2018/03/24/apd-officer-shot-and-killed-man-who-pulled-a-knife-after-east-anchorage-stabbing-chase/</t>
  </si>
  <si>
    <t>George M. Pappas</t>
  </si>
  <si>
    <t>http://www.fatalencounters.org/wp-content/uploads/2018/04/George-M.-Pappas.png</t>
  </si>
  <si>
    <t>Bell Rd and El Mirage Rd</t>
  </si>
  <si>
    <t>Police were called at 11:39 a.m. about a welfare check at a business when George Pappas was shot and killed. Details about what precipitated the killing were withheld by police.</t>
  </si>
  <si>
    <t>https://www.azcentral.com/story/news/local/surprise-breaking/2018/03/28/officer-fatally-shot-man-knife-surprise-second-police-involved-shooting/467279002/</t>
  </si>
  <si>
    <t>Christopher M. Gatewood</t>
  </si>
  <si>
    <t>http://www.fatalencounters.org/wp-content/uploads/2018/04/ChrisGatewood.jpg</t>
  </si>
  <si>
    <t>After 9-1-1 got a call from a woman about a domestic fight, officers approached the apartment to arrest the man, but Christopher Gatewood came out armed with a knife. Officers ordered him to drop the knife. He advanced toward the officers, and he was shot and killed.</t>
  </si>
  <si>
    <t>http://www.lasvegasnow.com/news/police-investigating-deadly-officer-involved-shooting-near-the-strip/1087554614</t>
  </si>
  <si>
    <t>Brian Bellamy</t>
  </si>
  <si>
    <t>http://www.fatalencounters.org/wp-content/uploads/2018/04/Brian-Bellamy.jpg</t>
  </si>
  <si>
    <t>757 Fox Chase Ln</t>
  </si>
  <si>
    <t>Greenville Police responded at 2 a.m. after receiving a 9-1-1 call of a domestic-related stabbing. The first officer who arrived found Brian Bellamy allegedly holding a knife. The officer ordered him to drop the knife, and he advanced on the officer with the knife. Bellamy was shot and killed.</t>
  </si>
  <si>
    <t>http://wcti12.com/news/local-crime/officer-involved-shooting-in-greenville</t>
  </si>
  <si>
    <t>Luis Yair Alvarez</t>
  </si>
  <si>
    <t>2600 Florencia Avenue</t>
  </si>
  <si>
    <t>http://www.brownsvilleherald.com/news/local/texas-rangers-investigating-officer-involved-shooting/article_c5a8fe5c-36c0-11e8-8417-b3c8b62c9dfe.html</t>
  </si>
  <si>
    <t>208 Spring Street</t>
  </si>
  <si>
    <t>Belton Police Department</t>
  </si>
  <si>
    <t>Belton police shot and killed a man who allegedly threatened officers with a knife. Neighbors said that same man told one family that he would kill them, including their 2-year-old daughter, and burn the family's house to the ground.</t>
  </si>
  <si>
    <t>http://fox4kc.com/2018/04/02/man-fatally-shot-by-belton-police-after-allegedly-threatening-officers-with-knife/</t>
  </si>
  <si>
    <t>Jason Alan Birt</t>
  </si>
  <si>
    <t>http://www.fatalencounters.org/wp-content/uploads/2018/04/jason-alan-birt.jpg</t>
  </si>
  <si>
    <t>500 Walnut St</t>
  </si>
  <si>
    <t>Guthrie Police Department</t>
  </si>
  <si>
    <t>An officer was responding do an erratic driver call around 7 p.m. when he came across a fight between a man and a woman. When police arrived, the officer was approached by Jason Birt, who was armed with a machete. Birt was shot and killed.</t>
  </si>
  <si>
    <t>http://kfor.com/2018/03/31/police-respond-to-officer-involved-shooting-in-guthrie/</t>
  </si>
  <si>
    <t>Saheed Vassell</t>
  </si>
  <si>
    <t>Timothy Breckenridge</t>
  </si>
  <si>
    <t>http://www.fatalencounters.org/wp-content/uploads/2018/04/Timothy-Breckenridge.jpg</t>
  </si>
  <si>
    <t>2655 Atwater Blvd</t>
  </si>
  <si>
    <t>Merced County Sheriff's Office</t>
  </si>
  <si>
    <t>Police were conducting a probation compliance check for someone else in a home, and Timothy Breckenridge was there. He was shot and killed, although details as to what precipitated the killing were withheld by police.</t>
  </si>
  <si>
    <t>http://www.mercedsunstar.com/news/local/crime/article207500929.html</t>
  </si>
  <si>
    <t>Danny Ray Thomas</t>
  </si>
  <si>
    <t>Imperial Valley Dr and Greens Rd</t>
  </si>
  <si>
    <t>A deputy stopped when he spotted a man acting erratically at an intersection. The man may have been holding an object and was approaching the deputy despite his commands to stop. The deputy fired one shot and killed Danny Thomas.</t>
  </si>
  <si>
    <t>http://www.khou.com/article/news/crime/sister-of-suspect-shot-by-deputy-he-hadnt-been-the-same-since-his-children-were-murdered/285-531003715</t>
  </si>
  <si>
    <t>Isaac Michael Scroggie</t>
  </si>
  <si>
    <t>2000 Bright Water Dr</t>
  </si>
  <si>
    <t>Gulf Breeze</t>
  </si>
  <si>
    <t>Police were responding to an alleged burglary when Isaac Scroggle reportedly confronted a deputy in the driveway and was shot and killed.</t>
  </si>
  <si>
    <t>http://weartv.com/news/local/one-dead-in-officer-involved-shooting-in-midway</t>
  </si>
  <si>
    <t>Roderic Bernard Cameron</t>
  </si>
  <si>
    <t>87-1 Ramon Street</t>
  </si>
  <si>
    <t>About 9:50 p.m. deputies were dispatched to a suspicious person in a mobile home park. Callers reported Roderic Cameron was naked and punching out decorative street lamps with his bare hands. Deputies shocked him with Tasers and placed him in maximum restraints, killing him.</t>
  </si>
  <si>
    <t>http://www.lakeconews.com/index.php/news/55210-regional-man-who-fought-with-police-dies-after-taser-deployment</t>
  </si>
  <si>
    <t>Steven Nguyen</t>
  </si>
  <si>
    <t>E 41st Ave and Colorado Blvd</t>
  </si>
  <si>
    <t>Steven Nguyen was killed after a high-speed chase that began as part of a day-long manhunt for attempted murder suspect Mauricio Venzor-Gonzalez, who escaped from custody at Denver Health Medical Center.</t>
  </si>
  <si>
    <t>https://www.thedenverchannel.com/news/local-news/one-suspect-in-denver-officer-involved-shooting-dies-second-suspect-expected-to-recover</t>
  </si>
  <si>
    <t>Daniel Allen Young</t>
  </si>
  <si>
    <t>62983 Pools Bluf Rd</t>
  </si>
  <si>
    <t>Bogalusa</t>
  </si>
  <si>
    <t>Bogalusa Police Department</t>
  </si>
  <si>
    <t>At 3:30 a.m., the Washington Parish Sheriff's Office was contacted in reference to a suspicious person on a motorcycle at the boat launch on Poole's Bluff Road, police said. Shortly after a deputy arrived, a fight broke out. Two Bogalusa officers arrived and saw Young struggling with the deputy. Police shot and killed Young.</t>
  </si>
  <si>
    <t>http://www.nola.com/northshore/index.ssf/2018/03/suspect_shot_and_killed_by_pol.html</t>
  </si>
  <si>
    <t>Nikolai Yakunin</t>
  </si>
  <si>
    <t>Nikolaevsk Road</t>
  </si>
  <si>
    <t>Nikolaevsk</t>
  </si>
  <si>
    <t>Troopers say around 2:17 p.m., they received a report that Nikolai Yakunin was in contact with a female who he was not to have contact with based on a condition of release from a recent court case. Just after 7 p.m., troopers arrived at a residence to speak with Yakunin. He allegedly attacked and severely injured a trooper. Additional police responded to assist, but Yakunin continued to fight, and he was shot and killed.</t>
  </si>
  <si>
    <t>http://www.ktva.com/story/37803146/1-dead-in-nikolaevsk-trooper-involved-shooting</t>
  </si>
  <si>
    <t>James Kenneth Decoursey</t>
  </si>
  <si>
    <t>http://www.fatalencounters.org/wp-content/uploads/2018/04/JamesDecoursey.jpg</t>
  </si>
  <si>
    <t>US-79</t>
  </si>
  <si>
    <t>U.S. Marshal's Service, Montgomery County Sheriff's Office</t>
  </si>
  <si>
    <t>James K. Decoursey was suspected of fatally shooting off-duty police officer Phillip Meacham in Hopkinsville, Kentucky. He was shot and killed by police in Tennessee, police said, although details as to what precipitated the killing were withheld.</t>
  </si>
  <si>
    <t>http://wreg.com/2018/03/30/suspect-in-kentucky-officers-death-killed-in-tennessee/</t>
  </si>
  <si>
    <t>Nicolas Sedano</t>
  </si>
  <si>
    <t>http://www.fatalencounters.org/wp-content/uploads/2018/04/Nicolas-Sedano.jpg</t>
  </si>
  <si>
    <t>1400 E. Peckham Lane</t>
  </si>
  <si>
    <t>Officers with the Reno Police Department responded to a call of a burglary in progress at the Peckham Plaza Mini-Storage. While checking the area of the storage units on foot, two Reno Police officers came across an allegedly stolen Honda Civic parked behind one of the buildings. Nicolas Sedano was in the car. Police shot and killed him, although details as to what precipitated the killing were withheld by police.</t>
  </si>
  <si>
    <t>http://www.kolotv.com/content/news/WCSO-investigates-officer-involved-shooting-in-Reno-478480723.html</t>
  </si>
  <si>
    <t>Kevin Hall</t>
  </si>
  <si>
    <t>http://www.fatalencounters.org/wp-content/uploads/2018/03/KevinHall.jpg</t>
  </si>
  <si>
    <t>Richfield Rd and Center Rd</t>
  </si>
  <si>
    <t>Michigan State Police, Flint Police Department</t>
  </si>
  <si>
    <t>Kevin Hall, a Flint man suspected of armed robbery, was killed during a 90-minute standoff with police.</t>
  </si>
  <si>
    <t>http://www.mlive.com/news/flint/index.ssf/2018/03/police_identify_man_in_deadly.html#incart_most-read_</t>
  </si>
  <si>
    <t>Evan C. Bashir</t>
  </si>
  <si>
    <t>http://www.fatalencounters.org/wp-content/uploads/2018/04/EvanBashir.jpg</t>
  </si>
  <si>
    <t>7500 Edgebrook Dr</t>
  </si>
  <si>
    <t>Evan Bashir allegedly killed one woman and seriously wounded two others at a Nampa house before he was shot to death by police.</t>
  </si>
  <si>
    <t>http://www.idahostatesman.com/news/local/community/canyon-county/article206964799.html</t>
  </si>
  <si>
    <t>Linus F. Phillip</t>
  </si>
  <si>
    <t>http://www.fatalencounters.org/wp-content/uploads/2018/03/Linus-F.-Phillip.jpg</t>
  </si>
  <si>
    <t>1215 N Missouri Ave</t>
  </si>
  <si>
    <t>Largo Police Department</t>
  </si>
  <si>
    <t>At 5:55 p.m., an officer was involved in a shooting during a traffic stop at the Wawa Store. Linus Phillip allegedly attempted to pin the officer between his vehicle and the gas pumps and barriers in the store parking lot. Officer Matthew Steiner shot and killed him.</t>
  </si>
  <si>
    <t>https://www.abcactionnews.com/news/region-north-pinellas/largo/largo-police-investigating-fatal-officer-involved-shooting</t>
  </si>
  <si>
    <t>Holly Knighton</t>
  </si>
  <si>
    <t>100 Kiwanis St</t>
  </si>
  <si>
    <t>Two officers responded to a stolen-vehicle call when the driver accelerated to leave the scene. One officer was dragged under the vehicle. The other officer fired at the vehicle, fatally shooting the driver, Holly Knighton.</t>
  </si>
  <si>
    <t>https://www.montgomeryadvertiser.com/story/news/crime/2018/03/27/officer-involved-shooting-reported-montgomery/462755002/</t>
  </si>
  <si>
    <t>Gerald "Ricky" Richard Johns</t>
  </si>
  <si>
    <t>http://www.fatalencounters.org/wp-content/uploads/2018/04/Gerald-Johns.jpg</t>
  </si>
  <si>
    <t>241 Sylacauga Fayetteville Hwy</t>
  </si>
  <si>
    <t>Gerald Johns was shot and killed during a traffic stop. Johns allegedly took off with the trooper hanging off of his vehicle. The trooper fatally shot Johns in the chest.</t>
  </si>
  <si>
    <t>http://www.al.com/news/index.ssf/2018/03/alabama_state_trooper_involved.html</t>
  </si>
  <si>
    <t>Charged with murder, Acquitted</t>
  </si>
  <si>
    <t>Jeffery Louis Parker</t>
  </si>
  <si>
    <t>http://www.fatalencounters.org/wp-content/uploads/2018/04/JefferyParker.jpg</t>
  </si>
  <si>
    <t>6409 Deramus Ave</t>
  </si>
  <si>
    <t>Around 4:25 p.m., Huntsville police were called by Jeffery Louis Parker, who said he was suicidal and had a gun. When police arrived, they saw Parker holding the gun. Police said officers briefly talked with Parker and commanded him to drop the gun. He allegedly did not, and he was shot and killed.</t>
  </si>
  <si>
    <t>http://www.al.com/news/huntsville/index.ssf/2018/04/man_dies_after_officer-involve.html</t>
  </si>
  <si>
    <t>Luis Alberto Garcia-Vara</t>
  </si>
  <si>
    <t>http://www.fatalencounters.org/wp-content/uploads/2018/04/Luis-Alberto-Garcia-Vara.jpg</t>
  </si>
  <si>
    <t>1 Lakeville Cir</t>
  </si>
  <si>
    <t>Petaluma</t>
  </si>
  <si>
    <t>Petaluma Police Department</t>
  </si>
  <si>
    <t>Luis Alberto Garcia-Vara was shot and by Petaluma police during a standoff at a Petaluma apartment complex. Five Petaluma police officers fired 16 rounds at Garcia-Vara after he brandished a gun at them following negotiations for him to surrender. Garcia-Vara died at about 10 p.m.</t>
  </si>
  <si>
    <t>http://www.pressdemocrat.com/home/8191540-181/man-shot-by-petaluma-police?sba=AAS</t>
  </si>
  <si>
    <t>Alexis Stinson</t>
  </si>
  <si>
    <t>19042 N 47th Ave</t>
  </si>
  <si>
    <t>Around 6:45 p.m., officers responded to a call of shots fired, hitting the caller's home. Police started containing Alexis Stinson's home across the street and contacted family members who said Stinson had already fired shots inside the home. Stinson allegedly ran out with a rifle, pointed the weapon at police and fired at three officers who shot and killed her.</t>
  </si>
  <si>
    <t>https://www.abc15.com/news/region-phoenix-metro/north-phoenix/suspect-down-after-officer-involved-shooting-in-phoenix</t>
  </si>
  <si>
    <t>Kelvin Baldwin</t>
  </si>
  <si>
    <t>1817 W Baseline Rd</t>
  </si>
  <si>
    <t>Kelvin Baldwin allegedly violated a protection order by making threats against his estranged wife and obtaining a gun. An unidentified person drove Baldwin to a Circle K. When he came out of the store, police tried to arrest him before he got back into the car. He briefly ran through the parking lot before allegedly grabbing a gun from his waistband. An officer reportedly tried to use a stun gun on Baldwin, but it didn't bring him down. Baldwin fired at least two shots before a second officer shot and killed Baldwin.</t>
  </si>
  <si>
    <t>http://www.azfamily.com/story/37892790/mesa-pd-suspect-idd-now-dead-after-officer-involved-shooting?autostart=true</t>
  </si>
  <si>
    <t>Grady Parks</t>
  </si>
  <si>
    <t>3100 Roberts Quarters Rd</t>
  </si>
  <si>
    <t>Molena</t>
  </si>
  <si>
    <t>The Pike County Sheriff's Office got a 911 call at 2:28 p.m. to report a person holding a gun at another. When deputies arrived, they found 70-year-old Grady Parks armed with a shotgun and a another handgun, chasing the person who called 911. Deputies ordered Parks to drop his weapons, but he did not. A deputy then used his Taser to incapacitate Parks, but it did not. Parks allegedly fired at deputies with his shotgun, however the shot missed. One of the deputies shot and killed Parks.</t>
  </si>
  <si>
    <t>http://www.11alive.com/article/news/local/suspect-in-deputy-involved-shooting-in-pike-county-dies/85-535164461</t>
  </si>
  <si>
    <t>Allan Farris</t>
  </si>
  <si>
    <t>http://www.fatalencounters.org/wp-content/uploads/2018/04/Allan-Farris.jpg</t>
  </si>
  <si>
    <t>Flanders St &amp; Bradford Ave</t>
  </si>
  <si>
    <t>An alleged crime spree started about 9 p.m. Tuesday with an attempted carjacking and two carjackings that left two women wounded. About 3:30 a.m. Wednesday, Allan Farris exchanged gunfire in Detroit with an undercover trooper he allegedly tried to carjack. Shots also were fired when officers saw Farris behind a garage about four hours later. He later was found dead. No officers were wounded.</t>
  </si>
  <si>
    <t>https://www.freep.com/story/news/local/michigan/wayne/2018/04/04/allan-farris-detroit-canton-carjacking-suspect/487858002/</t>
  </si>
  <si>
    <t>http://www.fatalencounters.org/wp-content/uploads/2018/04/Saheed-Vassell.jpg</t>
  </si>
  <si>
    <t>Montgomery St and Utica Ave</t>
  </si>
  <si>
    <t>Saheed Vassell was waving a metal object at passersby when he was fatally shot by police when police responding to 911 calls for a man with a gun said he "took a two-handed shooting stance" and pointed the object at them. Neighbors and family said police were aware that Vassell was mentally ill, and he was a harmless fixture in the neighborhood.</t>
  </si>
  <si>
    <t>http://www.nydailynews.com/new-york/brooklyn/nypd-cops-shoot-kill-mentally-ill-black-man-holding-metal-pipe-article-1.3914960</t>
  </si>
  <si>
    <t>312 N Morton Ave</t>
  </si>
  <si>
    <t>Police responded around 2:30 a.m. to the Budget Inn in Okmulgee for a disturbance call. Police say they found a man who was threatening suicide and had a knife to his throat. Officers reportedly told the man to drop the knife, but he did not comply and advanced on officers who shot and killed him.</t>
  </si>
  <si>
    <t>http://ktul.com/news/local/osbi-okmulgee-police-shoot-kill-suicidal-man</t>
  </si>
  <si>
    <t>Adan Rene Marrero</t>
  </si>
  <si>
    <t>http://www.fatalencounters.org/wp-content/uploads/2018/04/Adan-Rene-Marrero.jpg</t>
  </si>
  <si>
    <t>2300 Capitan Dr</t>
  </si>
  <si>
    <t>Just after midnight, a multiple people broke into an apartment. A woman called 9-1-1, saying that at least one of the men was armed with a long gun. Police said, the first arriving officers confronted the offenders as they were leaving the apartment, and one allegedly armed person was shot and killed by police.</t>
  </si>
  <si>
    <t>http://www.kristv.com/story/37875421/suspect-dead-following-officer-involved-shooting</t>
  </si>
  <si>
    <t>Mitchell Nelson</t>
  </si>
  <si>
    <t>http://www.fatalencounters.org/wp-content/uploads/2018/04/Mitchellnelson.jpeg</t>
  </si>
  <si>
    <t>28100 28th Avenue S</t>
  </si>
  <si>
    <t>Police said two people, a man and a woman, ran from a hit-and-run collision before noon. The woman was taken into custody, but the man broke into a house nearby. Hours later, police entered the house and found the suspect in a crawlspace. Police said there was an exchange of gunfire, and Mitchell Nelson was killed.</t>
  </si>
  <si>
    <t>http://q13fox.com/2018/04/05/standoff-house-in-federal-way-torn-up-but-missing-cat-named-puppy-is-found-safe/</t>
  </si>
  <si>
    <t>35900 Fremont Blvd</t>
  </si>
  <si>
    <t>At about 6:47 p.m. undercover police spotted a man, who was a passenger in a vehicle. Marked police patrol vehicles were called and stopped the vehicle using their lights and sirens, and the suspect ran to the ARCO. Police followed and exchanged gunfire with the man, who was killed. Police said the man was wanted on a felony warrant for illegal possession of a firearm and a probation violation.</t>
  </si>
  <si>
    <t>https://www.mercurynews.com/2018/04/05/gunfire-erupts-in-fremont-eyewitnesses-report-casualties/</t>
  </si>
  <si>
    <t>301 Montara Rd</t>
  </si>
  <si>
    <t>Officers were called to a Walmart parking lot for a suspicious vehicle. When deputies arrived, they found a black Ford Mustang driven by a man who was wanted for a recent crime. He allegedly reversed toward officers, hitting a police car. He allegedly drove toward officers again and was shot and killed. Inside the vehicle, there was a driver and three passengers.</t>
  </si>
  <si>
    <t>http://www.vvng.com/1-dead-2-injured-after-officer-involved-shooting-in-barstow/</t>
  </si>
  <si>
    <t>Rafael Ramirez</t>
  </si>
  <si>
    <t>2000 W Western Ave</t>
  </si>
  <si>
    <t>Police were called just after 1 p.m. on report that a person armed with a knife who was threatening to kill a resident and others. When officers arrived, they were confronted by the knife-wielding individual, and they shot and killed Rafael Ramirez.</t>
  </si>
  <si>
    <t>https://www.southbendtribune.com/news/publicsafety/person-wounded-in-officer-involved-shooting-dies/article_9f6188d8-38f8-11e8-9f42-db0bfa252fb0.html</t>
  </si>
  <si>
    <t>Brenda Jenette Harrison-Bumbray</t>
  </si>
  <si>
    <t>5000 Fallen Timber Way</t>
  </si>
  <si>
    <t>Indian Head</t>
  </si>
  <si>
    <t>U.S. Park Police</t>
  </si>
  <si>
    <t>U.S. Park Police officer Jose Ramon Bumbray, 46, killed his wife, Brenda Jenette Harrison-Bumbray, 50, before turning the gun on himself, police said.</t>
  </si>
  <si>
    <t>http://www.wbaltv.com/article/us-park-police-officer-wife-dead-in-murder-suicide/19703719</t>
  </si>
  <si>
    <t>Robert Litolff</t>
  </si>
  <si>
    <t>http://www.fatalencounters.org/wp-content/uploads/2018/04/Robert-Litolff.jpg</t>
  </si>
  <si>
    <t>10 Betwood Ln</t>
  </si>
  <si>
    <t>Police said a man called 9-1-1 around 2 a.m. claiming he was going to kill his wife. When the first officer arrived at the home, the man allegedly confronted the officer with a rifle. The officer told him to drop the gun, but instead, the man pointed it at the officer, and the officer shot and killed him.</t>
  </si>
  <si>
    <t>http://www.whec.com/news/shooting-near-greece-athena-high-school/4853443/</t>
  </si>
  <si>
    <t>William Frazier II</t>
  </si>
  <si>
    <t>http://www.fatalencounters.org/wp-content/uploads/2018/04/William-A.-Frazier-II.jpg</t>
  </si>
  <si>
    <t>PA-208 and Lonely Road</t>
  </si>
  <si>
    <t>Volant</t>
  </si>
  <si>
    <t>New Wilmington Borough Police Department, Pennsylvania State Police</t>
  </si>
  <si>
    <t>Police said Frazier fired several shots that struck a New Wilmington Borough Police cruiser. He allegedly got of his vehicle still carrying his gun and after firing at another passing car continued to fire at a New Wilmington officer. After state police arrived, Frazier appeared from behind a shed still carrying a gun, and when he ignored their orders to stop and continued walking toward officers, they shot and killed him.</t>
  </si>
  <si>
    <t>http://www.wfmj.com/story/37890419/suspect-killed-officer-injured-in-police-involved-shooting-near-volant</t>
  </si>
  <si>
    <t>Raymond Lyle Bell</t>
  </si>
  <si>
    <t>Gladys Hollow Road</t>
  </si>
  <si>
    <t>Reynoldsville</t>
  </si>
  <si>
    <t>https://www.wvnews.com/news/wvnews/raymond-bell-dies-days-after-officer-involved-shooting/article_5ac6e20c-0774-58ef-b499-38d01dc8f0a7.html</t>
  </si>
  <si>
    <t>Daniel Allen Yielding</t>
  </si>
  <si>
    <t>AR 27 and CR 56</t>
  </si>
  <si>
    <t>Searcy County Sheriff's Office</t>
  </si>
  <si>
    <t>Searcy County sheriff's deputies and officers from the state Department of Correction were pursuing Daniel Allen Yielding based on an outstanding warrant for a parole violation and reports that he was seen fleeing a home, police said. Police spotted Yielding allegedly armed with a knife in a wooded area. He was ordered to drop the knife but refused to comply and moved toward a correction officer, who shot and killed him.</t>
  </si>
  <si>
    <t>http://www.arkansasonline.com/news/2018/apr/06/1-dead-officer-involved-shooting-state-police-say-/</t>
  </si>
  <si>
    <t>Jonathan Erick Alexander</t>
  </si>
  <si>
    <t>CA-70 and 6th St</t>
  </si>
  <si>
    <t>Wheatland police attempted to pull over a drunken driving suspect around 2:30 a.m., but the man would not stop. He was stopped with spike strips as he entered Marysville. Police from several agencies approached the vehicle and ordered the man to surrender, but he refused. They sicced a dog on him, but he fired at the dog, and police shot and killed him.</t>
  </si>
  <si>
    <t>http://sacramento.cbslocal.com/2018/04/06/marysville-k9-shot/</t>
  </si>
  <si>
    <t>Larry Siordia</t>
  </si>
  <si>
    <t>700 Pomona Ave</t>
  </si>
  <si>
    <t>Larry Siordia was shot and killed by a sergeant with the Butte County Sheriff's Office. Police said the deputy fired a single shot at Siordia after he reportedly came out of a home on Pomona Avenue and shot at law enforcement several times. He allegedly had hostages in the home.</t>
  </si>
  <si>
    <t>http://krcrtv.com/news/butte-county/suspect-dead-after-swat-team-responds-to-oroville-shooting</t>
  </si>
  <si>
    <t>John Andrew Elifritz</t>
  </si>
  <si>
    <t>http://www.fatalencounters.org/wp-content/uploads/2018/04/John-Andrew-Elifritz.png</t>
  </si>
  <si>
    <t>526 Southeast Grand Ave</t>
  </si>
  <si>
    <t>A silver Honda CRV was carjacked and turned up when the suspect thief crashed. The man who was driving took off around 7:30 p.m., and officers swarmed the Cityteam Ministries Portland Shelter. Witnesses said police started shooting almost immediately, killing John Elifritz.</t>
  </si>
  <si>
    <t>http://www.koin.com/news/crime/suspect-dead-in-officer-involved-shooting-in-se-portland/1106839697</t>
  </si>
  <si>
    <t>Carlos Roman Urias</t>
  </si>
  <si>
    <t>33000 Wishing Well Trail</t>
  </si>
  <si>
    <t>Officers responded to a domestic violence call just before 6:30 a.m. According to police, the caller said her boyfriend had assaulted her and had a handgun. When officers arrived, they found the woman had escaped the home. The man came outside with a gun drawn, allegedly pointing it toward the woman and police. They reportedly told him to drop the gun and then shot and killed him.</t>
  </si>
  <si>
    <t>http://www.kesq.com/news/officer-involved-shooting-in-cathedral-city/726801997</t>
  </si>
  <si>
    <t>Russell Bowman</t>
  </si>
  <si>
    <t>4600 Crawford Avenue</t>
  </si>
  <si>
    <t>A call came in at 7:39 p.m. of a drunk and disorderly man, police said. Police responded and a fight began between the man and officers. Officers shot and killed him.</t>
  </si>
  <si>
    <t>http://www.wave3.com/story/37906624/man-shot-in-pleasure-ridge-park</t>
  </si>
  <si>
    <t>Elijah James Smith</t>
  </si>
  <si>
    <t>http://www.fatalencounters.org/wp-content/uploads/2018/04/Elijah-James-Smith.jpg</t>
  </si>
  <si>
    <t>3551 S 2140 W</t>
  </si>
  <si>
    <t>West Valley City</t>
  </si>
  <si>
    <t>West Valley Police Department</t>
  </si>
  <si>
    <t>West Valley City officers responded to a theft at a cell phone business. Later, an officer spotted a man matching the suspect description and approached him. He fled on foot with officers pursuing. The suspect allegedly broke into a home. After a confrontation with the owners, he fled the first home. He then broke into a second home with three children inside. Officers went inside the home, and Elijah Smith was shot and killed.</t>
  </si>
  <si>
    <t>http://www.good4utah.com/news/top-stories/update-one-dead-in-west-valley-officer-involved-shooting/1107681351</t>
  </si>
  <si>
    <t>Juan Markee Jones</t>
  </si>
  <si>
    <t>http://www.fatalencounters.org/wp-content/uploads/2018/04/Juan-Markee-Jones.jpg</t>
  </si>
  <si>
    <t>200 Sunset Drive</t>
  </si>
  <si>
    <t>Juan Markee Jones allegedly fled an attempted arrest at a domestic violence incident. He was reported to have driven to a woody area where, after stopping, he made a sudden movement near police, and he was shot and killed.</t>
  </si>
  <si>
    <t>http://www.godanriver.com/news/danville/danville-officers-involved-in-shooting-suspect-dead/article_0f66afa2-3b4a-11e8-ab69-8f6cac0c215c.html</t>
  </si>
  <si>
    <t>Daniel Carver</t>
  </si>
  <si>
    <t>Hamlin Street and Corbin Avenue</t>
  </si>
  <si>
    <t>Officers were driving near Corbin Avenue and Hamlin Street at about 10 a.m. when they got a "LoJack hit" alerting them that a vehicle was stolen, police said. They pursued the vehicle for about seven minutes, then chased the driver on foot after he bailed from the vehicle. He was shot and killed, although the details as to what precipitated the killing were withheld by police.</t>
  </si>
  <si>
    <t>http://www.latimes.com/local/lanow/la-me-ln-lapd-shooting-20180409-story.html</t>
  </si>
  <si>
    <t>Robert George Issa</t>
  </si>
  <si>
    <t>4976 Saddle Brook Ct</t>
  </si>
  <si>
    <t>Officers were called at about 7:30 a.m. on a domestic call. The caller told dispatchers that a family member was being "assaultive" and had multiple knives. Police said Robert George Issa ran at the vehicles and tried gaining access. A Taser reportedly was deployed but was ineffective. Issa allegedly continued moving forward and refused to comply with commands. He was shot and killed.</t>
  </si>
  <si>
    <t>https://www.clickondetroit.com/news/man-fatally-shot-while-trying-to-attack-troy-police-officers-with-knives</t>
  </si>
  <si>
    <t>Zachary Glen Hoven</t>
  </si>
  <si>
    <t>http://www.fatalencounters.org/wp-content/uploads/2018/04/Zachary-Glen-Hoven.jpg</t>
  </si>
  <si>
    <t>13 N 32nd S</t>
  </si>
  <si>
    <t>A 29-year-old Billings man was shot and killed by a Billings police officer after allegedly charging at officers with a knife and not responding to commands, police said. Officer Brian Weaver shot the man three times, killing him. A second officer, Jairo Solorio, simultaneously fired a stun gun at the man.</t>
  </si>
  <si>
    <t>http://billingsgazette.com/news/crime/police-officer-shoots-man-in-downtown-billings-apartment-building/article_15155c6a-0011-518e-968e-04781e72af18.html?utm_campaign=Echobox&amp;utm_medium=Social&amp;utm_source=Facebook</t>
  </si>
  <si>
    <t>E0575 and N4590</t>
  </si>
  <si>
    <t>Oaks</t>
  </si>
  <si>
    <t>Oklahoma Highway Patrol, Delaware County Sheriff's Office</t>
  </si>
  <si>
    <t>http://www.tulsaworld.com/news/crimewatch/officers-fatally-shoot-man-accused-of-breaking-into-rural-residence/article_757ac0cc-b9f0-5520-ab9f-c725114c1be6.html</t>
  </si>
  <si>
    <t>Shawn Michael Hubbard</t>
  </si>
  <si>
    <t>1340 15th St W</t>
  </si>
  <si>
    <t>A 44-year-old Billings man was shot dead by police after waving a pellet gun and threatening people inside a casino. The shooting took place at the Lucky Lil's Casino at about 1:30 a.m., police said. Sgt. Bret Becker fired the fatal shots.</t>
  </si>
  <si>
    <t>http://billingsgazette.com/news/local/man-shot-dead-by-police-at-billings-casino-second-police/article_13c3e094-429b-592b-9a3c-e1e2cfb19224.html</t>
  </si>
  <si>
    <t>Marcus-David L. Peters</t>
  </si>
  <si>
    <t>I-95 and Chamberlayne Avenue</t>
  </si>
  <si>
    <t>Royal Oak Police Department</t>
  </si>
  <si>
    <t>An RPD officer saw Peters strike another car with his sedan. Peters fled the scene leading the officer on a pursuit. When Peters arrived at the I-95 northbound on-ramp near Chamberlayne Avenue, police said Peters lost control of his car and hit two other cars on the on-ramp. Peters allegedly emerged from his disabled vehicle and ran into the northbound lanes of I-95. He was naked. Peters allegedly attacked an officer, and the officer reportedly attempted to use a Taser, then shot and killed him.</t>
  </si>
  <si>
    <t>http://www.nbc12.com/story/38187605/naked-man-shot-by-police-on-i-95-has-died</t>
  </si>
  <si>
    <t>Anthony Trice Jr.</t>
  </si>
  <si>
    <t>8815 Woodyard Rd</t>
  </si>
  <si>
    <t>Police saw someone inside a business with a crowbar trying to break into a safe. He was ordered to come out and surrender. He allegedly came out of a side door with a gun in his hand and pointed it at least two officers. Corporal Scott Weisbrod shot and killed William N. Derick.</t>
  </si>
  <si>
    <t>https://pgpolice.blogspot.ca/2018/05/pgpd-fatal-officer-involved-shooting-in.html</t>
  </si>
  <si>
    <t>Cody Reynolds</t>
  </si>
  <si>
    <t>Royal Oak</t>
  </si>
  <si>
    <t>Police were called to a home about 3:11 a.m. on the report of a man who stabbed his mother. The caller said the man also attacked his father by striking him in the head with a guitar. When police arrived, the unarmed Cody Reynolds appeared to follow orders then fled. He was shot and killed.</t>
  </si>
  <si>
    <t>https://www.clickondetroit.com/news/video-shows-moments-before-unarmed-michigan-man-is-fatally-shot-by-police-officer</t>
  </si>
  <si>
    <t>William N. Derick</t>
  </si>
  <si>
    <t>485 Pond Rd</t>
  </si>
  <si>
    <t>Wales</t>
  </si>
  <si>
    <t>Androscoggin</t>
  </si>
  <si>
    <t>Police were called to a mobile home on a private road after a shot was fired at a woman during a domestic violence incident, police said. The woman was not injured. At about 9 p.m., police closed nearby roads. State police negotiators attempted to make contact with William Derick for several hours. An armed confrontation occurred at about 3:30 a.m., and Maine State Police Trooper James MacDonald shot and killed Derick.</t>
  </si>
  <si>
    <t>https://bangordailynews.com/2018/05/14/news/state/maine-man-killed-in-armed-confrontation-with-maine-state-police/</t>
  </si>
  <si>
    <t>Bob Browning Cruz</t>
  </si>
  <si>
    <t>Quincy</t>
  </si>
  <si>
    <t>Quincy Police Department</t>
  </si>
  <si>
    <t>Willie Rogers Marable</t>
  </si>
  <si>
    <t>After 11 p.m., dispatchers received a call regarding a possible armed home invasion. Portsmouth Police officers arrived and were confronted by two armed suspects—a man and a woman. Police said the man and the woman did not comply with the officers, and an officer shot and killed Willie Rogers Marable.</t>
  </si>
  <si>
    <t>http://wtkr.com/2018/05/14/suspect-killed-by-portsmouth-officer-in-reported-home-invasion/</t>
  </si>
  <si>
    <t>W Warren St and N Telegraph Rd</t>
  </si>
  <si>
    <t>Dearborn Heights</t>
  </si>
  <si>
    <t>Dearborn Heights Police Department</t>
  </si>
  <si>
    <t>Dearborn Heights police were dispatched to contact a "distraught woman." An officer spotted a man walking on Telegraph, carrying a rifle. The officer made contact with Jim Collins Jr., and words were exchanged, after which the officer shot and killed Collins.</t>
  </si>
  <si>
    <t>https://www.detroitnews.com/story/news/local/wayne-county/2018/05/13/dearborn-hts-officer-shoots-kills-man-gun/605738002/</t>
  </si>
  <si>
    <t>James Brian Kay</t>
  </si>
  <si>
    <t>585 Roberts Ln</t>
  </si>
  <si>
    <t>Carnesville</t>
  </si>
  <si>
    <t>Deputies were called to a home around 10 p.m. in response to a domestic disturbance. James Brian Kay allegedly had shot multiple people in the home with a shotgun. Kay came out of the house with a shotgun and fired in the direction of a patrol car, police said. Deputy James Justice shot and killed Kay.</t>
  </si>
  <si>
    <t>https://www.wsbtv.com/news/local/gbi-responding-to-deputy-involved-shooting-in-franklin-county/749022235</t>
  </si>
  <si>
    <t>Philip Steven McMichael</t>
  </si>
  <si>
    <t>Tangipahoa Parish Sheriff's Office</t>
  </si>
  <si>
    <t>Tangipahoa deputies were called to a residence regarding a domestic incident in which a suspect was threatening family members with a weapon, police said. When deputies arrived, they made contact with Philip McMichael and shot and killed him. Details as to what precipitated the killing were withheld by police.</t>
  </si>
  <si>
    <t>http://www.nola.com/northshore/index.ssf/2018/05/suspect_shot_to_death_by_polic.html</t>
  </si>
  <si>
    <t>Darrell J. Bruffy</t>
  </si>
  <si>
    <t>http://www.fatalencounters.org/wp-content/uploads/2018/05/DarrellJ.Bruffy.jpg</t>
  </si>
  <si>
    <t>Harrisburg Pike and Eakin Road</t>
  </si>
  <si>
    <t>Deputy Jacob Heaberlin tried to stop an erratic driver in a pickup truck, and when the truck crashed near a gas station, the driver fired a handgun at the approaching deputy, wounding him in the stomach. Other responding officers shot and killed Darrell Bruffy.</t>
  </si>
  <si>
    <t>http://www.santacruzsentinel.com/general-news/20180514/authorities-driver-shoots-deputy-dies-amid-police-gunfire</t>
  </si>
  <si>
    <t>Granton</t>
  </si>
  <si>
    <t>Clark County Sheriff's Office, Loyal Police Department</t>
  </si>
  <si>
    <t>Police tried to stop a person with a felony warrant, and a high speed chase began. Stop sticks were deployed to stop the car. According to police, the person got out of the car and showed a firearm. The person, along with a Clark County sheriff's deputy and a Loyal police officer exchanged gunfire, the the person was killed.</t>
  </si>
  <si>
    <t>http://www.waow.com/story/38175851/2018/05/12/1-person-dead-in-officer-involved-shooting-in-clark-co</t>
  </si>
  <si>
    <t>2nd St and Dallas St</t>
  </si>
  <si>
    <t>Talihina</t>
  </si>
  <si>
    <t>Latimer</t>
  </si>
  <si>
    <t>About 6 a.m., troopers were helping Talihina police serve a felony warrant when the person opened fire. A fire started inside the house in downtown Talihina and spread to neighboring buildings. The person was shot and killed.</t>
  </si>
  <si>
    <t>https://newsok.com/article/5594611/names-of-troopers-released-in-friday-shootout</t>
  </si>
  <si>
    <t>Barry Freeman</t>
  </si>
  <si>
    <t>Police said Barry Freeman started shooting dozens of rounds using a rifle around 9:30 p.m. He struck four homes, several police vehicles, and killed Jeffrey Kempf before being killed by police.</t>
  </si>
  <si>
    <t>http://www.14news.com/story/38175115/suspect-in-deadly-evansville-shooting-dies</t>
  </si>
  <si>
    <t>Jacob T. Eldridge</t>
  </si>
  <si>
    <t>http://www.fatalencounters.org/wp-content/uploads/2018/05/Jacob-T.-Eldridge.jpg</t>
  </si>
  <si>
    <t>Blackfoot</t>
  </si>
  <si>
    <t>Bingham</t>
  </si>
  <si>
    <t>Blackfoot Police Department</t>
  </si>
  <si>
    <t>Police were called at around 10:45 p.m. Jacob Eldridge allegedly was holding a 20-year-old woman against her will with a knife. He allegedly refused to comply with police demands and stabbed the woman. Officers shot and killed him.</t>
  </si>
  <si>
    <t>http://www.localnews8.com/news/blackfoot-police-shoot-and-kill-suspect/741100306</t>
  </si>
  <si>
    <t>Kenneth Carter</t>
  </si>
  <si>
    <t>Kenneth Carter was shot by Morristown police when he allegedly rammed officers' vehicles during an attempted escape, police said. He was allegedly wanted for an undisclosed warrant.</t>
  </si>
  <si>
    <t>https://www.knoxnews.com/story/news/crime/2018/05/10/tbi-investigating-officer-involved-shooting-morristown/598052002/</t>
  </si>
  <si>
    <t>Michael Hutchman</t>
  </si>
  <si>
    <t>http://www.fatalencounters.org/wp-content/uploads/2018/05/Michael-E.-Hutchman.jpg</t>
  </si>
  <si>
    <t>406 Violet Drive</t>
  </si>
  <si>
    <t>New Kensington</t>
  </si>
  <si>
    <t>Lower Burrell Police Department</t>
  </si>
  <si>
    <t>Police responded to an allegedly violent domestic disturbance. The man had allegedly assaulted a woman, and there was a child inside. Police said Michael E. Hutchman would not let the woman and child leave. Hutchman came out of the house and made contact with the officers, and he was shot and killed, although details as to what precipitated the killing were withheld by police.</t>
  </si>
  <si>
    <t>http://www.post-gazette.com/news/crime-courts/2018/05/10/At-least-one-dead-in-Lower-Burrell/stories/201805100174</t>
  </si>
  <si>
    <t>Elliot Reed</t>
  </si>
  <si>
    <t>905 Cooper Rd</t>
  </si>
  <si>
    <t>After a traffic stop at a gas station, police alleged that Chauncy Reed got out of the SUV and began shooting while the officer wrestled with his brother, Elliot. The officer shot and killed Elliot Reed. Chauncy Reed was charged with aggravated assault on a police officer and capital murder. Police allege 26-year-old caused his brother's death.</t>
  </si>
  <si>
    <t>Criminal</t>
  </si>
  <si>
    <t>http://www.wlox.com/story/38149334/officer-shoots-suspect-at-mississippi-gas-station</t>
  </si>
  <si>
    <t>Charles Hutchison</t>
  </si>
  <si>
    <t>2351 N Alvernon Way</t>
  </si>
  <si>
    <t>About 1 p.m., a 911-caller reported a man was standing in an intersection with a knife and threatening motorists, police said. Two patrol officers approached the man. The man ran toward a Circle K, and the two officers followed, commanding him to drop the knife. The man started running closer to the doors of the convenience store, and one of the officer's used his Taser on the man. The other officer, Raul Navarro, then shot and killed Charles Hutchison.</t>
  </si>
  <si>
    <t>http://tucson.com/news/local/tucson-circle-k-where-police-shot-and-killed-man-draws/article_53a4ca00-5472-11e8-8a3f-ab3bb9a45621.html</t>
  </si>
  <si>
    <t>Phillip Cameron Gibson II</t>
  </si>
  <si>
    <t>http://www.fatalencounters.org/wp-content/uploads/2018/05/Phillip-Cameron-Gibson-II.jpg</t>
  </si>
  <si>
    <t>VA 91 and US 11</t>
  </si>
  <si>
    <t>Glade Spring</t>
  </si>
  <si>
    <t>After a chase and attempted car thefts, Philip Gibson, allegedly pointed a replica gun at police and was shot and killed. Gibson was allegedly suspected in a theft where a gun was stolen.</t>
  </si>
  <si>
    <t>http://www.heraldcourier.com/news/update-sheriff-identifies-man-shot-and-killed-after-pursuit-in/article_d93c12ac-5320-11e8-8595-2700b7a966e6.html</t>
  </si>
  <si>
    <t>John R. Simson</t>
  </si>
  <si>
    <t>http://www.fatalencounters.org/wp-content/uploads/2018/05/john-r-simson.jpg</t>
  </si>
  <si>
    <t>1825 Municipal Dr</t>
  </si>
  <si>
    <t>Manheim Township Police Department</t>
  </si>
  <si>
    <t>John Simson allegedly arrived at the police station just before 3 p.m. He was armed with a shotgun and discharged it at least twice. An officer shot and killed him.</t>
  </si>
  <si>
    <t>http://www.pennlive.com/news/2018/05/coroner_homicide_in_death_of_m.html#incart_river_index</t>
  </si>
  <si>
    <t>Giovanny Leon</t>
  </si>
  <si>
    <t>822 S Alma School Rd</t>
  </si>
  <si>
    <t>Immigration and Customs Enforcement special agents were working a narcotics investigation and met two people. Police said Giovanny Leon pulled a handgun out and attempted to rob an agent, who shot and killed him.</t>
  </si>
  <si>
    <t>http://www.star-telegram.com/news/politics-government/national-politics/article210832609.html</t>
  </si>
  <si>
    <t>Thomas Junior Garcia</t>
  </si>
  <si>
    <t>http://www.fatalencounters.org/wp-content/uploads/2018/05/Thomas-Junior-Garcia.jpeg</t>
  </si>
  <si>
    <t>W 7th St and 40th Ave</t>
  </si>
  <si>
    <t>Officers responded to a suspicious vehicle at about 8:40 a.m. when they encountered Thomas Junior Garcia, who fled on foot after officers tried to make contact with him. Police caught up with him, and Garcia allegedly showed a knife. An officer then reportedly fired a stun gun at the suspect, but when that failed to subdue the man, the officer shot and killed him.</t>
  </si>
  <si>
    <t>https://www.thedenverchannel.com/news/crime/man-who-was-shot-injured-by-greeley-police-after-brandishing-knife-dies</t>
  </si>
  <si>
    <t>Kimberley Ray McCann</t>
  </si>
  <si>
    <t>E Rome Bypass and US 411</t>
  </si>
  <si>
    <t>Georgia State Patrol, Floyd County Police Department</t>
  </si>
  <si>
    <t>Cave Spring Police tried to pull over Kimberley R. McCann for allegedly driving too fast through a school zone. She did not stop, and a chase began. McCann crashed, hitting several vehicles. She allegedly shot at officers. Four officers returned fire, killing her.</t>
  </si>
  <si>
    <t>https://www.11alive.com/article/news/crime/gbi-called-in-after-officer-shoots-kills-woman/85-549699101</t>
  </si>
  <si>
    <t>Juan Alberto Silva</t>
  </si>
  <si>
    <t>http://www.fatalencounters.org/wp-content/uploads/2018/05/Juan-Alberto-Silva.jpg</t>
  </si>
  <si>
    <t>2642 E Colonial Dr</t>
  </si>
  <si>
    <t>Officer Anthony Wongshue and Officer Juan Abreu shot and killed Juan Alberto Silva around 12:30 p.m. at Colonial Plaza mall. Police said the officers were in the area when they were flagged down by a loss prevention officer at Marshall's, who notified them of a crime in progress. Both officers were on either side of a van when the vehicle lunged forward, and both officers fired their weapons, killing Silva. Two other occupants of the van—32-year-old Jocelyn Villot and 26-year-old Brittany Chandler—were arrested on charges of felony murder, grand theft and resisting an officer without violence.</t>
  </si>
  <si>
    <t>https://www.clickorlando.com/news/names-of-suspect-officers-in-orlando-police-involved-shooting-released</t>
  </si>
  <si>
    <t>Albert Odom</t>
  </si>
  <si>
    <t>Police officers with a gang unit were patrolling when they approached a vehicle with multiple people inside. One of the three men inside the vehicle allegedly had a gun. Police said that man fired the gun once at officers. He was shot and killed by two officers, police said.</t>
  </si>
  <si>
    <t>https://www.kjrh.com/news/local-news/suspect-down-after-shooting-in-east-tulsa</t>
  </si>
  <si>
    <t>David J. Robinson</t>
  </si>
  <si>
    <t>http://www.fatalencounters.org/wp-content/uploads/2018/05/David-J.-Robinson.jpg</t>
  </si>
  <si>
    <t>112 S. Matthias St</t>
  </si>
  <si>
    <t>Police responded to a single-family house around 6 p.m. for a report of a disturbance involving a weapon. Upon arrival, officers were met outside the front of the home by a man with a shotgun, police said. He allegedly confronted officers with the shotgun and was shot and killed.</t>
  </si>
  <si>
    <t>https://www.postcrescent.com/story/news/2018/05/07/shooting-involving-officer-reported-appletons-east-side/588912002/</t>
  </si>
  <si>
    <t>Milledge Hall</t>
  </si>
  <si>
    <t>Lee Street</t>
  </si>
  <si>
    <t>Edgefield County Sheriff's Office, Edgefield Police Department</t>
  </si>
  <si>
    <t>Edgefield County Sheriff's Office deputies and officers with the Edgefield Police Department followed the suspect to a dirt road, where the suspect fired at the deputies. Deputies returned fire and the suspect was injured, according to a release.</t>
  </si>
  <si>
    <t>https://www.aikenstandard.com/news/sled-investigating-officer-involved-shooting-in-edgefield-county/article_303d360a-52d9-11e8-a49b-876df9710e80.html</t>
  </si>
  <si>
    <t>Peter Boden</t>
  </si>
  <si>
    <t>http://www.fatalencounters.org/wp-content/uploads/2018/05/peter-boden.png</t>
  </si>
  <si>
    <t>Hackett</t>
  </si>
  <si>
    <t>Peter Boden was shot and killed after he stepped out of a pickup truck holding a shotgun during a standoff with police. Three deputies were hit by buckshot pellets when they were trying to establish a perimeter.</t>
  </si>
  <si>
    <t>http://5newsonline.com/2018/05/09/names-of-deputies-injured-in-deadly-hackett-shooting-released/</t>
  </si>
  <si>
    <t>http://www.fatalencounters.org/wp-content/uploads/2018/05/Lisa-Michelle.jpg</t>
  </si>
  <si>
    <t>Police said they responded to a domestic disturbance call at 4:31 p.m. Lisa Rivera was involved in a domestic disturbance in a parking lot. Rivera was armed with a small caliber handgun during the incident. After a short struggle, a YPD officer shot and killed Rivera.</t>
  </si>
  <si>
    <t>http://www.kyma.com/news/update-fatally-shot-person-in-yuma-identified-/739397389</t>
  </si>
  <si>
    <t>David P. Wolosin</t>
  </si>
  <si>
    <t>Farnum St &amp; S Fairdale Ave</t>
  </si>
  <si>
    <t>David P. Wolosin was allegedly teaching two children to drive in a dirt lot when police tried to stop him. He allegedly fired on them, seriously wounding one, when he was shot and killed.</t>
  </si>
  <si>
    <t>http://www.foxnews.com/us/2018/05/07/wyoming-shooting-leaves-man-dead-and-officer-injured.html?utm_source=feedburner&amp;utm_medium=feed&amp;utm_campaign=Feed%3A+foxnews%2Fnational+%28Internal+-+US+Latest+-+Text%29</t>
  </si>
  <si>
    <t>Franklin Robert Vaughn</t>
  </si>
  <si>
    <t>US-377 and Letha Road</t>
  </si>
  <si>
    <t>Prague Police Department, Oklahoma Highway Patrol, Seminole County Sheriff's Office</t>
  </si>
  <si>
    <t>Shortly after 1:40 p.m., the Prague Police Department received a call about a man assaulting a woman while driving. Prague police officers found the driver and chased him. An Oklahoma Highway Patrol trooper disabled the man's vehicle. The vehicle crashed about a mile south of Seminole. At the end of the chase, the man raised a rifle toward officers, who shot and killed Franklin Vaughn.</t>
  </si>
  <si>
    <t>http://www.koco.com/article/man-shot-killed-after-pursuit-ends-in-crash-in-seminole-county-officials-say/20198346</t>
  </si>
  <si>
    <t>Terence Leslie</t>
  </si>
  <si>
    <t>3241 Camp Creek Pkwy</t>
  </si>
  <si>
    <t>College Park Police Department</t>
  </si>
  <si>
    <t>https://www.ajc.com/news/crime--law/officer-fatally-shoots-man-during-altercation-gbi-says/HkjhaCHc59E7u8wZMwVbqO/</t>
  </si>
  <si>
    <t>Dwight Dearth</t>
  </si>
  <si>
    <t>Guernsey</t>
  </si>
  <si>
    <t>http://www.the-review.com/news/20180507/fairview-resident-killed-in-officer-involved-shooting</t>
  </si>
  <si>
    <t>Stephen Charles Arthur</t>
  </si>
  <si>
    <t>E McKellips Rd &amp; N Scottsdale Rd</t>
  </si>
  <si>
    <t>Officers responded to a bank robbery call at Comerica Bank shortly after 9 a.m. Saturday. They found a man who matched the description of the robber nearby. Four officers fired shots during the confrontation. The shooting happened just minutes after the man went inside the bank, approached the teller, displayed a gun and demanded cash, police said.</t>
  </si>
  <si>
    <t>https://www.12news.com/article/news/local/valley/police-identify-scottsdale-bank-robbery-suspect-shot-killed-by-officers/75-549145115</t>
  </si>
  <si>
    <t>Mitchell Simmons</t>
  </si>
  <si>
    <t>http://www.fatalencounters.org/wp-content/uploads/2018/05/Mitchell-Simmons.jpg</t>
  </si>
  <si>
    <t>5114 Scarsdale Drive</t>
  </si>
  <si>
    <t>Police responded to a report of domestic violence when they shot and killed Mitchell Simmons, who allegedly had a gun.</t>
  </si>
  <si>
    <t>https://www.whio.com/news/crime--law/crime-scene-tape-kettering-apartments/jT6GaBjSGj7OrwLnbGdk0O/</t>
  </si>
  <si>
    <t>Matthew Mathison</t>
  </si>
  <si>
    <t>Deputies responded to a home after a man allegedly assaulted a relative. He fled into nearby woods with a large-caliber handgun and threatened suicide. Upon arrival, deputies heard a single gunshot from the woods and found the man lying in the woods. When officers approached him, he sprang up, began cursing at the deputies and fired at least several shots in their direction. Deputies and witnesses retreated, but moments later the man emerged and began firing at officers who shot and killed him.</t>
  </si>
  <si>
    <t>https://www.mysanantonio.com/news/local/crime/article/BCSO-Man-fatally-shot-by-deputy-following-12890581.php</t>
  </si>
  <si>
    <t>http://www.fatalencounters.org/wp-content/uploads/2018/05/Christopher-Wolfe.jpg</t>
  </si>
  <si>
    <t>1806 Linwood Street</t>
  </si>
  <si>
    <t>Terre Haute Police Department</t>
  </si>
  <si>
    <t>Christopher Wolfe was wanted for a murder when he allegedly shot and killed Officer Rob Pitts and was shot and killed during the exchange of gunfire.</t>
  </si>
  <si>
    <t>http://www.mywabashvalley.com/news/suspect-named-in-probable-cause/1164631290</t>
  </si>
  <si>
    <t>John Corneil</t>
  </si>
  <si>
    <t>40 Ridge Rd</t>
  </si>
  <si>
    <t>Oakfield</t>
  </si>
  <si>
    <t>John Corneil was shot and killed during an armed confrontation with state police outside a grocery store in Oakfield. Corniel was shot by Sgt. Chad Fuller of the state police outside the Oakfield Thriftway after Fuller and two other state troopers went to arrest Corneil in connection with an incident that happened in earlier in the week. Corneil allegedly challenged troopers outside the store with a handgun, which was later determined to be a pellet gun resembling a Beretta 9 mm pistol.</t>
  </si>
  <si>
    <t>http://bangordailynews.com/2018/05/06/news/aroostook/maine-man-shot-by-state-police-dies/</t>
  </si>
  <si>
    <t>Sean Louis Justice aka Sean Louis Justin</t>
  </si>
  <si>
    <t>Sandia</t>
  </si>
  <si>
    <t>Jim Wells</t>
  </si>
  <si>
    <t>Jim Wells County Sheriff's Office</t>
  </si>
  <si>
    <t>Sean Louis Justice, also reported as Sean Louis Justin, allegedly assaulted deputies with an ax and a bayonet when he was shot and killed.</t>
  </si>
  <si>
    <t>http://www.alicetx.com/news/20180503/knife-wielding-man-fatally-shot-by-deputy</t>
  </si>
  <si>
    <t>Anthony Trujillo</t>
  </si>
  <si>
    <t>http://www.fatalencounters.org/wp-content/uploads/2018/05/Anthony-Trujillo.jpeg</t>
  </si>
  <si>
    <t>Orosi</t>
  </si>
  <si>
    <t>Police were called because Anthony Trujillo was acting erratically. He allegedly assaulted deputies with a machete when he was shot and killed.</t>
  </si>
  <si>
    <t>https://www.visaliatimesdelta.com/story/news/2018/05/03/breaking-law-enforcement-investigate-tulare-county-officer-involved-shooting/579487002/</t>
  </si>
  <si>
    <t>Jason Wayne Traversie</t>
  </si>
  <si>
    <t>240 N Ellsworth Rd</t>
  </si>
  <si>
    <t>Box Elder Police Department</t>
  </si>
  <si>
    <t>Box Elder police responded to a call Wednesday about 1:30 a.m. Officers went to a mobile home in Valley Village. Police withheld details as to what precipitated their killing of Jason Traversie.</t>
  </si>
  <si>
    <t>http://www.ksfy.com/content/news/Attorney-general-Box-Elder-police-fatally-shoot-man-481512501.html</t>
  </si>
  <si>
    <t>Damion "Dae-Dae" Collier</t>
  </si>
  <si>
    <t>35th Street and River Road</t>
  </si>
  <si>
    <t>Damion Collier was accused in two homicides, died of multiple gunshot wounds after he allegedly pulled out a handgun, and two officers shot and killed him.</t>
  </si>
  <si>
    <t>http://www.ledger-enquirer.com/news/local/crime/article210432304.html</t>
  </si>
  <si>
    <t>Billy "Boomer" Pike Jr.</t>
  </si>
  <si>
    <t>http://www.fatalencounters.org/wp-content/uploads/2018/05/Billy-Pike-Jr..jpg</t>
  </si>
  <si>
    <t>8036 Oak Grove Church Road</t>
  </si>
  <si>
    <t>Liberty</t>
  </si>
  <si>
    <t>Alamance County Sheriff's Office</t>
  </si>
  <si>
    <t>Deputies responded to a disturbance call at a home. The man approached the deputies with a shotgun. They told him to put the weapon down. He continued to hold the gun and advanced toward the deputies. The man with a shotgun allegedly fired at least one round. Deputies shot and killed him.</t>
  </si>
  <si>
    <t>https://www.wfmynews2.com/article/news/local/man-killed-in-alamance-co-deputy-involved-shooting-sheriff/83-548350611</t>
  </si>
  <si>
    <t>Timothy Raye Mayfield</t>
  </si>
  <si>
    <t>Officers were investigating a disturbance around 9:15 p.m. when they heard gunfire coming from inside a home. The man allegedly shot at officers, who shot and killed him.</t>
  </si>
  <si>
    <t>https://www.dallasnews.com/news/crime/2018/05/03/swat-officers-kill-suspect-fired-far-east-dallas</t>
  </si>
  <si>
    <t>Manuel Palacio</t>
  </si>
  <si>
    <t>http://www.fatalencounters.org/wp-content/uploads/2018/05/ManuelPalacio.jpg</t>
  </si>
  <si>
    <t>Wood Ave and N 24th St</t>
  </si>
  <si>
    <t>Police said they were conducting a narcotics investigation. While attempting to make an arrest, Manuel Palacio, who was allegedly armed, confronted them. Police said during the confrontation, an officer shot and killed Palacio.</t>
  </si>
  <si>
    <t>http://fox4kc.com/2018/05/04/man-that-kck-officers-shot-killed-once-won-settlement-against-kcmo-police-for-excessive-force/</t>
  </si>
  <si>
    <t>110 N Washington Ave</t>
  </si>
  <si>
    <t>About 10:40 p.m., Quartzsite police received calls of two houses on fire in El Mirage RV Park in Quartzsite. About an hour later, Quartzsite police and two DPS troopers located the man near a Burger King. He led them to a nearby place where he'd allegedly set up an ambush. He was shot and killed in an exchange of gunfire.</t>
  </si>
  <si>
    <t>http://www.azfamily.com/story/38095071/dps-1-officer-shot-suspect-dead-in-quartzsite-officer-involved-shooting</t>
  </si>
  <si>
    <t>Vermont St and Ferndale St</t>
  </si>
  <si>
    <t>U.S. Immigration and Customs Enforcement and Removal Operations agents were serving a warrant on a man around 7 a.m., when the man ran and fired at officers. Agents shot and killed him.</t>
  </si>
  <si>
    <t>https://www.ksat.com/news/suspect-shot-killed-by-homeland-security-officer-on-southwest-side-police-say</t>
  </si>
  <si>
    <t>Roger Fortner</t>
  </si>
  <si>
    <t>314 Morningside Dr</t>
  </si>
  <si>
    <t>Police said Roger Fortner threatened officers with a samurai-style sword when they came with a warrant. Police said that when Fortner did not put the weapon down, League City police Officer Andrew Gilbertson fired a blunt impact projectile, and Officer Matt Maggiolino shot and killed him.</t>
  </si>
  <si>
    <t>https://www.click2houston.com/news/man-shot-killed-during-police-raid-in-league-city-authorities-say</t>
  </si>
  <si>
    <t>Michael Scott Knibbs</t>
  </si>
  <si>
    <t>164 Pheasant Dr</t>
  </si>
  <si>
    <t>Macon County Sheriff's Office</t>
  </si>
  <si>
    <t>Macon County deputies were dispatched after reports of a dispute between neighbors regarding boards with nails placed on a driveway, blocking a neighbor's exit. The first deputy arrived at around 11:55 p.m. and began interviewing the caller and others. A deputy was confronted by Michael Scott Knibbs, who was armed. The deputy ordered him to drop the weapon. The suspect allegedly took aggressive action toward the deputy, and the deputy shot and killed him.</t>
  </si>
  <si>
    <t>http://wlos.com/news/local/authorities-investigate-fatal-officer-involved-shooting-in-macon-county</t>
  </si>
  <si>
    <t>Vigil Wolford</t>
  </si>
  <si>
    <t>Ryan Avenue and Thomas Avenue</t>
  </si>
  <si>
    <t>A 59-year-old man accused of stabbing his female domestic partner was brandishing a shotgun when Columbus police officers shot him Tuesday night, police said Wednesday.</t>
  </si>
  <si>
    <t>http://www.dispatch.com/news/20180502/man-suspected-of-stabbing-partner-shot-by-police-both-expected-to-survive</t>
  </si>
  <si>
    <t>Abadi Gebregziber</t>
  </si>
  <si>
    <t>Abadi Gebregziber, 64, allegedly stabbed and wounded Alganesh Gebrezgabiher, 51, and stabbed and killed Selam Habte, 18, Azeb Demewez, 33, and Russom Habte, 19. Abadi Gebregziber was found in the apartment complex where the stabbings took place and was tasered then shot and killed.</t>
  </si>
  <si>
    <t>https://www.10tv.com/article/police-officer-shoots-kills-suspect-deadly-northeast-columbus-stabbing</t>
  </si>
  <si>
    <t>A burglary was reported at a home about 9:40 p.m., police said. Officers arrived at the home, which was having construction work done. As they searched the home, the officers came in contact with a man and shot and killed him. Details regarding what precipitated the killing were not released.</t>
  </si>
  <si>
    <t>http://ktla.com/2018/04/30/suspected-burglar-fatally-shot-by-police-at-redlands-home/</t>
  </si>
  <si>
    <t>Brandon Busher</t>
  </si>
  <si>
    <t>3161 N Market St</t>
  </si>
  <si>
    <t>Brandon Busher was shot and killed by police after fleeing from El Dorado Casino from which he'd been barred. He allegedly attacked the officer.</t>
  </si>
  <si>
    <t>http://www.ksla.com/story/38069612/officer-fatally-shoots-man-trying-to-disarm-him-during-scuffle-after-chase-from-shreveport-casino</t>
  </si>
  <si>
    <t>Joshua Lee Ewing</t>
  </si>
  <si>
    <t>http://www.fatalencounters.org/wp-content/uploads/2018/05/Joshua-Lee-Ewing.jpg</t>
  </si>
  <si>
    <t>Moorland</t>
  </si>
  <si>
    <t>Iowa State Patrol</t>
  </si>
  <si>
    <t>Trooper Justin Parman shot and killed Joshua Ewing during an exchange of gunfire during a domestic dispute.</t>
  </si>
  <si>
    <t>http://www.kcrg.com/content/news/Man-dead-after-exchanging-gunfire-with-Iowa-State-Patrol-Trooper-481189781.html</t>
  </si>
  <si>
    <t>11920 Washington St</t>
  </si>
  <si>
    <t>An allegedly wanted man was shot and killed by police when he pointed a gun at them, police said.</t>
  </si>
  <si>
    <t>http://www.9news.com/article/news/northglenn-police-shoot-kill-suspect/73-546979281</t>
  </si>
  <si>
    <t>Nolberto Hernandez Leon</t>
  </si>
  <si>
    <t>2201 Longport Ct</t>
  </si>
  <si>
    <t>Police responded to a 9-1-1 at about 2 a.m. regarding shots fired at the Extended Stay America Hotel. Officers found Nolberto Leon allegedly waving a gun in the hallway. He then shot himself and confronted officers, threatening them with the firearm. Leon was shot and killed.</t>
  </si>
  <si>
    <t>http://www.kcra.com/article/elk-grove-police-investigate-officer-involved-shooting-near-i-5/20093231</t>
  </si>
  <si>
    <t>Shukri Ali Said</t>
  </si>
  <si>
    <t>Sweet Creek Rd &amp; Abbotts Bridge Rd</t>
  </si>
  <si>
    <t>Johns Creek</t>
  </si>
  <si>
    <t>Johns Creek Police Department</t>
  </si>
  <si>
    <t>Shukri Ali Said was fatally shot around 7:15 a.m. when Johns Creek police were dispatched to the area after a 9-1-1 call regarding a "demented person" armed with a knife. Less-lethal efforts including a Taser and a foam impact round were attempted, police said. Said did not drop the knife, and two officers shot and killed her.</t>
  </si>
  <si>
    <t>https://www.ajc.com/news/crime--law/woman-dies-after-officer-involved-shooting-johns-creek/XLNOHy21kHFHb25CXozk3I/</t>
  </si>
  <si>
    <t>Brian Scott Tietze</t>
  </si>
  <si>
    <t>Shelby Charter Township</t>
  </si>
  <si>
    <t>Shelby Township Police Department</t>
  </si>
  <si>
    <t>Around 2 p.m., after his 27-year-old girlfriend left the house and called police to report her boyfriend was despondent and had stuck a gun in his mouth, police arrived. They heard three gunshots from within the home, and a standoff began. It ended with gunfire about 3:45 p.m. when Brian Tietze came out and shot at police who shot and killed him.</t>
  </si>
  <si>
    <t>http://www.macombdaily.com/article/MD/20180501/NEWS/180509966</t>
  </si>
  <si>
    <t>Anthony Lamar Carter</t>
  </si>
  <si>
    <t>US-287 and FM-432</t>
  </si>
  <si>
    <t>Wilbarger</t>
  </si>
  <si>
    <t>Anthony Carter was shot and killed by police as he allegedly was stabbing a woman following a high-speed chase through North Texas.</t>
  </si>
  <si>
    <t>https://www.timesrecordnews.com/story/news/crime/2018/04/26/high-speed-chase-oklahoma-north-texas/553819002/</t>
  </si>
  <si>
    <t>Myra Lisa Micalizio</t>
  </si>
  <si>
    <t>Myra Lisa Micalizio was allegedly trespassing when police attempted to stop her. Police said she accelerated at Butte County Deputy Charles Lair, who shot and killed her.</t>
  </si>
  <si>
    <t>http://krcrtv.com/news/butte-county/breaking-deputy-involved-shooting-in-oroville</t>
  </si>
  <si>
    <t>Charles Boeh</t>
  </si>
  <si>
    <t>http://www.fatalencounters.org/wp-content/uploads/2018/05/Charles-Boeh.png</t>
  </si>
  <si>
    <t>E Colfax Ave and Quebec St</t>
  </si>
  <si>
    <t>https://www.thedenverchannel.com/news/crime/police-investigate-officer-involved-shooting-in-denver-no-officers-injured</t>
  </si>
  <si>
    <t>Isaac Jackson</t>
  </si>
  <si>
    <t>Police received a call about a disturbance at a home. When officers arrived, they found Isaac Jackson, allegedly armed with knives. Jackson attacked the officers, injuring one of them with a knife. Another officer shot and killed him.</t>
  </si>
  <si>
    <t>http://www.whas11.com/article/news/crime/suspect-shot-and-killed-by-lmpd-officer-wednesday-night-identified/417-545972618</t>
  </si>
  <si>
    <t>Jese Paul Schlegel</t>
  </si>
  <si>
    <t>http://www.fatalencounters.org/wp-content/uploads/2018/05/Jese-Paul-Schlegel.jpg</t>
  </si>
  <si>
    <t>1006 N 19th St</t>
  </si>
  <si>
    <t>Police were called at about 6:15 a.m. regarding a robbery. When officers arrived, Jese Schlegel fled. While an officer was chasing him, Schlegl allegedly drew a pistol and pointed it toward a person. The officer shot and killed Schlegel, hitting him more than once.</t>
  </si>
  <si>
    <t>http://www.kktv.com/content/news/Police-shooting-in-Old-Colorado-City-480805901.html</t>
  </si>
  <si>
    <t>http://www.fatalencounters.org/wp-content/uploads/2018/05/Michael-Snyder.jpg</t>
  </si>
  <si>
    <t>N 7th St &amp; E Camelback Rd</t>
  </si>
  <si>
    <t>Police were called to an apartment complex around 6 p.m. for an unknown trouble call. Officers learned that Michael Snyder was discovered inside the victim's apartment without permission, and a fight broke out. An officer deployed a Taser on Snyder while he was allegedly resisting arrest, killing him.</t>
  </si>
  <si>
    <t>https://www.abc15.com/news/region-phoenix-metro/central-phoenix/phoenix-pd-suspect-dies-after-becoming-unresponsive-during-arrest</t>
  </si>
  <si>
    <t>100 E Houston St</t>
  </si>
  <si>
    <t>San Antonio Park Police Department</t>
  </si>
  <si>
    <t>A man was confronted by hotel employees in the lobby of the Embassy Suites around 5 a.m. The man ran from them, going up the stairs to the second floor, where he caught an elevator to the fifth floor. On the fifth floor, police said he tried to break into a hotel room at gunpoint. He was unsuccessful and then took the elevator up to the seventh floor where he was confronted by park police officers. After trying to break into another room, two officers shot and killed him.</t>
  </si>
  <si>
    <t>http://abc7amarillo.com/features/keep-it-local/report-officer-involved-shooting-near-downtown-hospital</t>
  </si>
  <si>
    <t>Demonjhea Jordan</t>
  </si>
  <si>
    <t>29th St and St. Xavier St</t>
  </si>
  <si>
    <t>A robbery was reported at the Metro PCS store. Officers who responded put out a description of a suspect. Police spotted a man matching the description walking about one block from their station. During an exchange of gunfire between the man and officers, the man was shot and killed.</t>
  </si>
  <si>
    <t>http://www.wave3.com/story/38029776/lmpd-on-scene-of-officer-involved-shooting-in-portland</t>
  </si>
  <si>
    <t>Shortly before 7 p.m., officers responded to a report of a man armed with a gun, suffering from a mental health emergency. Police said he came out of a home holding the gun. He then fired a round as he walked back inside and proceeded to fire the gun several more times while in the house. Police said he left the house for a second time and fired his gun again, and he was shot and killed.</t>
  </si>
  <si>
    <t>http://www.newschannel10.com/story/38033839/apd-investigating-officer-involved-shooting-on-harmony</t>
  </si>
  <si>
    <t>Carlos Deone High</t>
  </si>
  <si>
    <t>1000 Ikea Way</t>
  </si>
  <si>
    <t>Police were called for a welfare check just before 1:30 p.m. when a passer-by reported seeing a man slumped in his vehicle in the entrance to an Ikea's parking lot. Officers approached the vehicle and noticed Carlos High had pulled out a rifle, police said. He allegedly refused to put his hands in the air, and he was shot and killed.</t>
  </si>
  <si>
    <t>https://www.dallasnews.com/news/grand-prairie/2018/04/23/police-responding-standoff-armed-person-grand-prairie-ikea</t>
  </si>
  <si>
    <t>Miguel Escalona Vivas</t>
  </si>
  <si>
    <t>3425 Bardstown Rd</t>
  </si>
  <si>
    <t>West Buechel Police Department, Hurstbourne Acres Police Department</t>
  </si>
  <si>
    <t>Keith Walz of the West Buechel Police Department and Gary Phelps of the Hurstbourne Acres Police Department shot and killed Miguel Escalona Vivas after he allegedly shot and injured a man and allegedly pointed the gun at the officers.</t>
  </si>
  <si>
    <t>https://www.courier-journal.com/story/news/2018/04/23/officers-killed-man-sunday-west-buechel-identified/542822002/</t>
  </si>
  <si>
    <t>Matthew Hartman</t>
  </si>
  <si>
    <t>http://www.fatalencounters.org/wp-content/uploads/2018/04/MatthewHartman.jpg</t>
  </si>
  <si>
    <t>8987 Brickersville Drive</t>
  </si>
  <si>
    <t>West Olive</t>
  </si>
  <si>
    <t>Ottawa County Sheriff's Office, Holland Police Department</t>
  </si>
  <si>
    <t>Matthew Hartman was suspected of shooting two people in Muskegon, killing one. When police caught up with him in West Olive, he took his wife hostage, and he was shot and killed by police.</t>
  </si>
  <si>
    <t>http://www.woodtv.com/news/muskegon-county/1-dead-1-wounded-in-muskegon-shooting/1133559523</t>
  </si>
  <si>
    <t>Timothy Wayne Anderson</t>
  </si>
  <si>
    <t>620 Second St</t>
  </si>
  <si>
    <t>Boone Police Department</t>
  </si>
  <si>
    <t>Officers were called regarding a domestic disturbance around 4:30 p.m. The caller said Timothy Wayne Anderson was threatening her with a knife. When officers arrived, they said they heard screaming coming from the house. Anderson then reportedly charged at officers with a knife, and he was shot and killed.</t>
  </si>
  <si>
    <t>http://whotv.com/2018/04/23/six-boone-police-officers-on-paid-leave-after-shooting-on-saturday/</t>
  </si>
  <si>
    <t>Terrance Carlton</t>
  </si>
  <si>
    <t>Summer Ave and Berclair Rd</t>
  </si>
  <si>
    <t>Terrance Carlton matched the description of a man suspected of shooting two men when police shot and killed him about a block away from the initial shootings. He was apparently unarmed at the time of his killing.</t>
  </si>
  <si>
    <t>http://wreg.com/2018/04/21/memphis-police-involved-in-shooting-in-berclair/</t>
  </si>
  <si>
    <t>James D. Warren</t>
  </si>
  <si>
    <t>AZ-66</t>
  </si>
  <si>
    <t>Seligman</t>
  </si>
  <si>
    <t>Hualapai Nation Police Department</t>
  </si>
  <si>
    <t>Police responded to an 8:29 p.m. call on a report of a person driving around aimlessly with his vehicle doors open. As police were on their way, a call was transferred to the Bureau of Indian Affairs Office of Justice Services about a man in a white pickup truck who had pulled a gun on another man. Officers arrived and found the white pickup truck occupied by a man. James D. Warren was armed when officers met him. He got out of his truck and confronted them with a gun, police said. Officers told him to drop the weapon, and when he raised it up, pointing at the officers, they shot and killed him.</t>
  </si>
  <si>
    <t>https://kdminer.com/news/2018/apr/24/89-year-old-man-fatally-shot-hualapai-police-grand/</t>
  </si>
  <si>
    <t>Matthew G. Brown</t>
  </si>
  <si>
    <t>http://www.fatalencounters.org/wp-content/uploads/2018/04/Matthew-G.-Brown.jpg</t>
  </si>
  <si>
    <t>34368 IL-9</t>
  </si>
  <si>
    <t>Mackinaw</t>
  </si>
  <si>
    <t>At about 9:30 a.m., deputies responded to a 9-1-1 call reporting a man armed with an ax and a knife was trying to break into a gun cabinet, police said. When a Mackinaw police officer and two county deputies arrived, the man allegedly pointed a gun at them, and one of the deputies shot and killed him.</t>
  </si>
  <si>
    <t>http://www.pjstar.com/news/20180420/tazewell-co-deputy-shoots-kills-gun-wielding-man-at-rural-mackinaw-home</t>
  </si>
  <si>
    <t>Lockwood Adrian Gibson</t>
  </si>
  <si>
    <t>http://www.fatalencounters.org/wp-content/uploads/2018/04/Lockwood-Adrian-Gibson.jpg</t>
  </si>
  <si>
    <t>23319 Foresthill Rd</t>
  </si>
  <si>
    <t>Foresthill</t>
  </si>
  <si>
    <t>Lockwood Adrian Gibson was shot and killed after a high-speed chase.</t>
  </si>
  <si>
    <t>http://www.sacbee.com/news/local/article209509824.html</t>
  </si>
  <si>
    <t>James Bauduy</t>
  </si>
  <si>
    <t>Lime Ave and W South St</t>
  </si>
  <si>
    <t>James Bauduy was wanted for questioning regarding a murder and a carjacking. Sgt. Bruce Vail and Cpl. Randolph Hovland shot and killed him because he made a movement. Whether he was armed at the time he was killed was not immediately reported.</t>
  </si>
  <si>
    <t>https://www.clickorlando.com/news/deputy-involved-shooting-takes-place-in-orlando-officials-say</t>
  </si>
  <si>
    <t>William Ray Simcoe Sr.</t>
  </si>
  <si>
    <t>http://www.fatalencounters.org/wp-content/uploads/2018/04/William-Ray-Simcoe-Sr..jpg</t>
  </si>
  <si>
    <t>A deputy attempted to pull over a motorist, but the motorist, William Simcoe, would not stop and a pursuit began. At the end of the pursuit, Simcoe allegedly fled and brandished a .45-caliber handgun at the deputies, who shot and killed him.</t>
  </si>
  <si>
    <t>https://www.news-leader.com/story/news/crime/2018/04/18/deputy-fatally-shoots-man-who-brandished-handgun-sheriff-says/527373002/</t>
  </si>
  <si>
    <t>David Gino Teneyuque</t>
  </si>
  <si>
    <t>http://www.fatalencounters.org/wp-content/uploads/2018/04/David-Gino-Teneyuque.jpg</t>
  </si>
  <si>
    <t>6830 E N Ave</t>
  </si>
  <si>
    <t>Kalamazoo County Sheriff's Office</t>
  </si>
  <si>
    <t>Deputies were called to the mobile home park at about noon after a manager said a man and woman were parked in a car there and refused to leave. After a standoff, David Gino Teneyuque was shot and killed by deputies when he allegedly pointed a handgun at them.</t>
  </si>
  <si>
    <t>http://www.mlive.com/news/kalamazoo/index.ssf/2018/04/squatter_at_mobile_home_park_s_1.html</t>
  </si>
  <si>
    <t>Dytadious Demetrius Mobley</t>
  </si>
  <si>
    <t>http://www.fatalencounters.org/wp-content/uploads/2018/04/Dytadious-Mobley.jpg</t>
  </si>
  <si>
    <t>Dytadious Demetrius Mobley was accused of having killed his ex-girlfriend's mother, when he was shot and killed by police during a gun battle with police.</t>
  </si>
  <si>
    <t>http://www.miamiherald.com/news/local/community/broward/article209305159.html</t>
  </si>
  <si>
    <t>Justin Oakes</t>
  </si>
  <si>
    <t>http://www.fatalencounters.org/wp-content/uploads/2018/04/Justin-Oakes.jpg</t>
  </si>
  <si>
    <t>8470 Earl D Lee Blvd</t>
  </si>
  <si>
    <t>Justin Oakes came into the sheriff's office looking for a place to stay at around 10:30 p.m. He asked deputies for water, which they provided, and then remained in the vicinity of the sheriff's office until 2 a.m. Oakes went inside the restroom where he called 9-1-1 several times and claimed he had been poisoned. A deputy and commander attempted to enter the restroom, but he pushed against the door, not allowing them inside. He was shocked with stun guns, but then allegedly stabbed the deputy twice in the leg and wounded the commander. Oakes was shot and killed.</t>
  </si>
  <si>
    <t>http://www.11alive.com/article/news/local/douglasville/man-claims-hes-poisoned-at-sheriffs-office-stabs-deputy-after-calling-911/85-541915867</t>
  </si>
  <si>
    <t>Delorean Pikyavit</t>
  </si>
  <si>
    <t>http://www.fatalencounters.org/wp-content/uploads/2018/04/Delorean-Pikyavit.jpg</t>
  </si>
  <si>
    <t>1132 E Princeton Ave</t>
  </si>
  <si>
    <t>Police responded to a reported domestic violence situation about 12:20 p.m., police said. When officers arrived at the home, they tried to talk to Delorean Pikyavit, who went inside the house. Police attempted to talk to Pikyavit, and he came outside, allegedly approached officers, and he was shot and killed.</t>
  </si>
  <si>
    <t>https://www.sltrib.com/news/2018/04/18/man-barricades-himself-inside-sugarhouse-home-as-police-ask-neighbors-to-shelter-in-place/</t>
  </si>
  <si>
    <t>Charles Douglas Whitley</t>
  </si>
  <si>
    <t>http://www.fatalencounters.org/wp-content/uploads/2018/04/Charles-Douglas-Whitley.jpg</t>
  </si>
  <si>
    <t>Lawsons Bottom Rd</t>
  </si>
  <si>
    <t>Cumberland County Sheriff's Office, Kentucky State Police, Burkesville Police Department</t>
  </si>
  <si>
    <t>Deputies were dispatched regarding a suspicious vehicle on Lawsons Bottom Road at 7:19 a.m. The driver fled when a sheriff's deputy tried to make a traffic stop, and state police and the Burkesville police joined in the pursuit. The driver was shot and killed after allegedly hitting a deputy's car. The passenger was arrested.</t>
  </si>
  <si>
    <t>http://www.wkyt.com/content/news/Cumberland-man-dies-days-after-being-shot-following-police-pursuit-480289463.html</t>
  </si>
  <si>
    <t>Sanchez Lowe</t>
  </si>
  <si>
    <t>95 S Service Rd</t>
  </si>
  <si>
    <t>Officers were on patrol near a motel and were doing a routine walkthrough of the business. As the officers approached one of the rooms, they reported smelling narcotics. The officers went to the room and spoke to a person inside of it, but during their conversation, police said the man tried to run away. The officers followed the man to his car, where he got in and tried to drive off. A fight broke out, and one of the officers shot and killed Sanchez Lowe.</t>
  </si>
  <si>
    <t>http://www.13wmaz.com/article/news/suspect-killed-in-officer-involved-shooting-in-cobb-county/85-540627388</t>
  </si>
  <si>
    <t>Justin Monjay</t>
  </si>
  <si>
    <t>Tishomingo Police Department, Johnston County Sheriff's Office</t>
  </si>
  <si>
    <t>Two Tishomingo police officers and a Johnston County sheriff's deputy responded to a family violence situation. Monjay allegedly rammed his vehicle into a Tishomingo patrol car. After he continued to push the patrol car back, the sheriff deputy and Tishomingo officers shot and killed him.</t>
  </si>
  <si>
    <t>http://www.kxii.com/content/news/Police-investigating-officer-involved-shooting---480075123.html</t>
  </si>
  <si>
    <t>Lonnie Marcel Bowen</t>
  </si>
  <si>
    <t>http://www.fatalencounters.org/wp-content/uploads/2018/04/Lonnie-Marcel-Bowen.jpg</t>
  </si>
  <si>
    <t>8400 W 2700 S</t>
  </si>
  <si>
    <t>Unified Police Department of Greater Salt Lake</t>
  </si>
  <si>
    <t>A little after 3 a.m., an agitated man called dispatchers and said he was holding a woman hostage in a vehicle. Not knowing who made the call, or whether the threat was legitimate, and having no officers in the vicinity, UPD Millcreek officers were dispatched to the area. Police got the license plate of a truck as it left the area. At about 4 a.m. UPD received information that West Valley City police were in pursuit of the same truck. During the pursuit through Magna, West Valley City officers deployed tire spikes to disable the truck, and it eventually came to a stop. A UPD officer who arrived to assist approached the vehicle and shot and killed the man inside the cab of the truck. The woman who was inside the truck was not struck by gunfire. She was treated for injuries allegedly inflicted upon her by the man.</t>
  </si>
  <si>
    <t>https://www.sltrib.com/news/2018/04/17/unified-police-officer-shot-and-killed-a-person-in-magna-early-tuesday/</t>
  </si>
  <si>
    <t>Ruben Stewart</t>
  </si>
  <si>
    <t>George Street and Hester</t>
  </si>
  <si>
    <t>Lodge Grass</t>
  </si>
  <si>
    <t>U.S. Bureau of Indian Affairs</t>
  </si>
  <si>
    <t>Ruben Stewart allegedly was drunk and disorderly outside of the home, went into the home, and then came back outside with a knife. A BIA agent shot and killed him.</t>
  </si>
  <si>
    <t>http://www.kulr8.com/story/37961951/fatal-officer-involved-shooting-under-investigation-in-lodge-grass</t>
  </si>
  <si>
    <t>Jessie Ray Thedford</t>
  </si>
  <si>
    <t>https://www.ajc.com/news/crime--law/dead-officer-involved-shooting/DkDAQOPGfLDieGd4xjtFbP/</t>
  </si>
  <si>
    <t>Andre Lavance Rippy</t>
  </si>
  <si>
    <t>13th Avenue and Thomas Road</t>
  </si>
  <si>
    <t>Following a multi-hour pursuit and multiple carjackings, Andre Rippy was shot and killed when he allegedly pointed a gun at police.</t>
  </si>
  <si>
    <t>https://www.azcentral.com/story/news/local/phoenix-breaking/2018/04/14/phoneix-officer-involved-shooting-after-pursuit-arizona-chase/517110002/</t>
  </si>
  <si>
    <t>Jose Pietri</t>
  </si>
  <si>
    <t>Holly Berry Lane</t>
  </si>
  <si>
    <t>Winslow Township Police Department</t>
  </si>
  <si>
    <t>Jose Pietri was wanted for the murder of Derek White, 47, and wounding of a woman. He was chased by police to Cumberland County where he was fatally shot by police, police said.</t>
  </si>
  <si>
    <t>http://www.nj.com/cumberland/index.ssf/2018/04/murder_suspect_chased_shot_and_killed_by_police.html</t>
  </si>
  <si>
    <t>Eduardo Andrade</t>
  </si>
  <si>
    <t>W Southern Ave &amp; S Central Ave</t>
  </si>
  <si>
    <t>Police were called on a report of a car that had crashed into a fence at about 2 p.m. When they found the car, the driver had a rifle. Eduardo Andrade was killed during an exchange of gunfire with police.</t>
  </si>
  <si>
    <t>https://www.azcentral.com/story/news/local/phoenix-breaking/2018/04/14/phoenix-police-officers-shoot-second-individual-day/518014002/</t>
  </si>
  <si>
    <t>Bruce Arnold Allee</t>
  </si>
  <si>
    <t>http://www.fatalencounters.org/wp-content/uploads/2018/04/Bruce-Allee.png</t>
  </si>
  <si>
    <t>E 88th Ave and Corona St</t>
  </si>
  <si>
    <t>Welby</t>
  </si>
  <si>
    <t>http://www.9news.com/article/news/crime/police-shoot-kill-suspect-in-westminster-carjacking/73-537950613</t>
  </si>
  <si>
    <t>Kenneth Warren Resendez</t>
  </si>
  <si>
    <t>http://www.fatalencounters.org/wp-content/uploads/2018/04/Kenneth-Warren-Resendez.jpg</t>
  </si>
  <si>
    <t>3825 Speight Ave</t>
  </si>
  <si>
    <t>Police responded to calls shortly after 8:30 a.m. from a house where a man was reportedly hitting and breaking things in the house, police said. Family members felt threatened and called police. Kenneth Resendez allegedly threatened police with a knife and was shot and killed.</t>
  </si>
  <si>
    <t>http://www.wacotrib.com/news/police/police-knife-wielding-man-shot-killed-by-officer/article_e23663e1-b0cb-5ed2-a06d-3662c300a6e1.html</t>
  </si>
  <si>
    <t>Petrica Peter Muntean</t>
  </si>
  <si>
    <t>http://www.fatalencounters.org/wp-content/uploads/2018/05/PetricaMuntean.jpg</t>
  </si>
  <si>
    <t>Petrica Peter Muntean died April 27, two weeks after he was shot by police. Officers had responded to reports of a domestic violence incident between Muntean and his mother, but Muntean fled the scene, police said. Muntean again tried to run when officers attempted to contact him the next morning. Officers used less-lethal round to try to incapacitate him, but he continued to run, and he was shot and killed.</t>
  </si>
  <si>
    <t>https://www.ocregister.com/2018/04/30/man-shot-wounded-by-anaheim-police-dies-2-weeks-later/</t>
  </si>
  <si>
    <t>Rumondale Jones</t>
  </si>
  <si>
    <t>http://www.fatalencounters.org/wp-content/uploads/2018/04/RumondaleJones.jpg</t>
  </si>
  <si>
    <t>North Ninth Street</t>
  </si>
  <si>
    <t>West Helena</t>
  </si>
  <si>
    <t>Helena-West Helena Police Department</t>
  </si>
  <si>
    <t>Officers went to a home about 1 a.m. in search of a man wanted by police. When officers arrived, they saw Rumondale Jones stabbing a 20-year-old woman. Jones allegedly approached an officer, who fatally shot him.</t>
  </si>
  <si>
    <t>http://www.arkansasonline.com/news/2018/apr/12/authorities-arkansas-officer-fatally-shoots-man-wh/</t>
  </si>
  <si>
    <t>705 W Adams</t>
  </si>
  <si>
    <t>Trinidad police were dispatched on a disturbance call. Upon arrival, officers noticed a front window had been broken out of the residence. They contacted a man holding a large piece of broken glass. Officers told the man to drop the glass, but he refused and allegedly advanced, and they shot and killed him.</t>
  </si>
  <si>
    <t>http://www.koaa.com/story/37952534/officer-involved-shooting-in-trinidad</t>
  </si>
  <si>
    <t>Steven Brooks</t>
  </si>
  <si>
    <t>I-70 and Murtland Avenue</t>
  </si>
  <si>
    <t>Troopers tried to stop Steven Brooks for erratic driving in South Strabane. The St. Petersburg, Florida, man drove off the wrong way down Interstate 70 before crashing into a bridge support column. Brooks then fled on foot and scaled a fence before pulling out a gun. Police said he refused orders to drop the weapon and was shot and killed. He was wanted for allegedly fatally shooting a Florida trombone player as she left orchestra practice.</t>
  </si>
  <si>
    <t>http://www.wtae.com/article/suspect-killed-in-trooper-involved-shooting-in-washington-county/19764256</t>
  </si>
  <si>
    <t>Dashaun Shepard</t>
  </si>
  <si>
    <t>http://www.fatalencounters.org/wp-content/uploads/2018/04/Dashaun-Shepard.jpg</t>
  </si>
  <si>
    <t>Officers were called on reports of possible shots fired. When they arrived, a man allegedly began firing at them. DaShaun Shepard was the only person inside the home. Some neighboring homes in the area were evacuated. He was killed around 8:15 a.m. when police fired a combination of shots and teargas into the home.</t>
  </si>
  <si>
    <t>http://www.cbs46.com/story/37938935/swat-team-on-scene-after-man-fires-shots-from-his-home</t>
  </si>
  <si>
    <t>Benjamin William Evans</t>
  </si>
  <si>
    <t>http://www.fatalencounters.org/wp-content/uploads/2018/04/Benjamin-William-Evans.jpg</t>
  </si>
  <si>
    <t>Lake Elmo Ave and 34th St N</t>
  </si>
  <si>
    <t>Lake Elmo</t>
  </si>
  <si>
    <t>https://www.twincities.com/2018/04/12/sheriffs-deputy-fatally-shoots-armed-man-in-lake-elmo-after-responding-to-suicide-call/</t>
  </si>
  <si>
    <t>Elbert County Sheriff's Office</t>
  </si>
  <si>
    <t>Police were called to a home after a 9-1-1 call and encountered a man with a gun. A deputy used a stun gun to subdue the man, killing him.</t>
  </si>
  <si>
    <t>http://denver.cbslocal.com/2018/04/13/suspect-dies-after-being-tasered-by-deputies/</t>
  </si>
  <si>
    <t>Chad Eric Montgomery</t>
  </si>
  <si>
    <t>http://www.fatalencounters.org/wp-content/uploads/2018/04/Chad-Eric-Montgomery.jpg</t>
  </si>
  <si>
    <t>40 Alleghany St</t>
  </si>
  <si>
    <t>http://www.wral.com/machete-wielding-man-killed-after-lunging-at-deputy-at-nc-sheriff-s-office/17482744/</t>
  </si>
  <si>
    <t>Keith A. Kent</t>
  </si>
  <si>
    <t>1227 Gilmore Rd</t>
  </si>
  <si>
    <t>Corfu</t>
  </si>
  <si>
    <t>http://www.wgrz.com/article/news/local/suspect-dead-in-officer-involved-shooting-in-genesee-county/71-537533844</t>
  </si>
  <si>
    <t>Kenneth Ross Jr.</t>
  </si>
  <si>
    <t>http://www.fatalencounters.org/wp-content/uploads/2018/04/Kenneth-Ross-Jr..jpg</t>
  </si>
  <si>
    <t>13220 Van Ness Ave</t>
  </si>
  <si>
    <t>Gardena officers responded to a shots-fired call and found Ross running south on Van Ness Avenue, police said. Witnesses told police that the man they saw running was involved in the shooting. Officers chased Ross and shot and killed him. A firearm allegedly was found at the scene, but police were unsure if the suspect discharged his firearm at the officers.</t>
  </si>
  <si>
    <t>http://abc7.com/suspect-dead-after-officer-involved-shooting-in-gardena/3329379/</t>
  </si>
  <si>
    <t>Kendall Lemoine</t>
  </si>
  <si>
    <t>172 Lemoine Road</t>
  </si>
  <si>
    <t>Winn Parish Sheriff's Office</t>
  </si>
  <si>
    <t>Winn Parish sheriff's deputies responded to Lemoine Road to serve a civil arrest warrant on Kendall Lemoine. Upon the deputies arrival, they saw Kendall Lemoine and Betty Lemoine standing outside the residence, each armed with guns. Shots were exchanged with deputies. Betty Lemoine was killed. Kendall Lemoine was severely wounded and died on April 20.</t>
  </si>
  <si>
    <t>http://www.nola.com/crime/index.ssf/2018/04/alexandria_police_shootout.html#incart_2box_nola_river_orleans_news</t>
  </si>
  <si>
    <t>Betty Lemoine</t>
  </si>
  <si>
    <t>http://www.knoe.com/content/news/State-Police-investigating-deputy-involved-shooting-in-Winn-Parish-479439343.html</t>
  </si>
  <si>
    <t>Antonino Thomas Gordon</t>
  </si>
  <si>
    <t>http://www.fatalencounters.org/wp-content/uploads/2018/04/Antonino-Thomas-Gordon.jpg</t>
  </si>
  <si>
    <t>3135 W 13 Mile Rd</t>
  </si>
  <si>
    <t>Antonino Thomas Gordon allegedly fled a traffic stop, hiding in the drive-through lane of a White Castles. As an officer approached, he allegedly hit the car behind him, the officer's car, and he was shot and killed.</t>
  </si>
  <si>
    <t>https://www.detroitnews.com/story/news/local/oakland-county/2018/04/11/driver-fatal-police-shooting-royal-oak/33727599/</t>
  </si>
  <si>
    <t>Mark Powell</t>
  </si>
  <si>
    <t>850 E Fort Lowell Rd</t>
  </si>
  <si>
    <t>Two officers arrived at a check-cashing business after a report that it was being robbed, police said. Soon after the officer arrived, a man armed with a gun walked out of the business. The man allegedly ignored commands to drop the weapon and was shot and killed.</t>
  </si>
  <si>
    <t>http://tucson.com/news/local/man-dies-after-being-shot-by-tucson-police-officer-answering/article_f8975480-3cdd-11e8-a4c5-c3f92581fb2d.html</t>
  </si>
  <si>
    <t>Grechario Mack</t>
  </si>
  <si>
    <t>http://www.fatalencounters.org/wp-content/uploads/2018/04/Grechario-Mack.jpg</t>
  </si>
  <si>
    <t>3650 W Martin Luther King Jr Blvd</t>
  </si>
  <si>
    <t>Officers responded about 5:45 p.m. to a report of a man with a knife at a mall, police said. When they found Grechario Mack, they shot and killed him, although police withheld information about what precipitated the killing.</t>
  </si>
  <si>
    <t>https://www.nbclosangeles.com/news/local/Shooting-Officer-Crenshaw-Mall-Man-Knife-Wounded-Closed-479344273.html</t>
  </si>
  <si>
    <t>Dominick Alexander Hernandez</t>
  </si>
  <si>
    <t>http://www.fatalencounters.org/wp-content/uploads/2018/04/Dominick-Alexander-Hernandez.jpg</t>
  </si>
  <si>
    <t>Zebu Ct</t>
  </si>
  <si>
    <t>The bodies of 27-year-old Grizelda Hernandez and her son, Dominick Alexander Hernandez, were discovered about 15 feet apart near the banks of the Rio Grande. Ronald Anthony Burgos-Aviles, 28—the Border Patrol agent who reported finding the bodies—was arrested on two counts of capital murder, police said. Burgos-Aviles and Hernandez had been in a romantic relationship.</t>
  </si>
  <si>
    <t>https://www.dallasnews.com/news/crime/2018/04/10/border-patrol-agent-charged-murder-after-woman-child-found-dead-near-rio-grande</t>
  </si>
  <si>
    <t>Grizelda Hernandez</t>
  </si>
  <si>
    <t>http://www.fatalencounters.org/wp-content/uploads/2018/04/Grizelda-Hernandez.jpg</t>
  </si>
  <si>
    <t>http://www.fatalencounters.org/wp-content/uploads/2018/04/Raymond-Lyle-Bell.jpg</t>
  </si>
  <si>
    <t>A deputy on patrol, who knew there was a capias warrant for Bell, saw him standing in a yard, police said. Raymond Bell fled from the officer on foot through a small patch of woods, through a creek and onto a dirt road. Bell allegedly turned and pulled a gun and was shot and killed by the deputy.</t>
  </si>
  <si>
    <t>Nathaniel Prasad</t>
  </si>
  <si>
    <t>Diante Yarber</t>
  </si>
  <si>
    <t>1000 Hoffman Ave</t>
  </si>
  <si>
    <t>140 Navajo Trail</t>
  </si>
  <si>
    <t>27000 Taylor Creek Rd</t>
  </si>
  <si>
    <t>2400 N Kentucky Ave</t>
  </si>
  <si>
    <t>1200 S Broadway St</t>
  </si>
  <si>
    <t>400 Hayter Dr</t>
  </si>
  <si>
    <t>8500 E 41st St</t>
  </si>
  <si>
    <t>1100 Sunny Hill Pl</t>
  </si>
  <si>
    <t>100 W Giss Pkwy</t>
  </si>
  <si>
    <t>16000 TX-211</t>
  </si>
  <si>
    <t>12000 N Hwy 359</t>
  </si>
  <si>
    <t>12400 Dennison Drive</t>
  </si>
  <si>
    <t>3200 Bellville Dr</t>
  </si>
  <si>
    <t>4300 Walford St</t>
  </si>
  <si>
    <t>1600 Calvary Circle</t>
  </si>
  <si>
    <t>2300 of Carter Avenue</t>
  </si>
  <si>
    <t>53000 Providence Drive</t>
  </si>
  <si>
    <t>2100 Stanley Dr</t>
  </si>
  <si>
    <t>400 North 42nd Street</t>
  </si>
  <si>
    <t>4100 Harmony St</t>
  </si>
  <si>
    <t>9400 E State Hwy YY</t>
  </si>
  <si>
    <t>900 W Sunrise Blvd</t>
  </si>
  <si>
    <t>1400 N Elks Rd</t>
  </si>
  <si>
    <t>200 Little River Rd</t>
  </si>
  <si>
    <t>100 S Seneca Circle</t>
  </si>
  <si>
    <t>1400 Kennesaw Dr NW</t>
  </si>
  <si>
    <t>Lake Mary</t>
  </si>
  <si>
    <t>http://www.orlandosentinel.com/news/breaking-news/os-david-romansky-dead-lake-mary-20180516-story.html</t>
  </si>
  <si>
    <t>Belmont</t>
  </si>
  <si>
    <t>Marlin Mack</t>
  </si>
  <si>
    <t>https://www.fatalencounters.org/wp-content/uploads/2018/07/marlinmack.jpg</t>
  </si>
  <si>
    <t>E 30th St &amp; Topping Ave</t>
  </si>
  <si>
    <t>Police were investigating a murder when Martin Mack allegedly shot three officers in two gunbattles when he was shot and killed.</t>
  </si>
  <si>
    <t>http://www.kctv5.com/story/38648834/3-detectives-shot-in-kansas-city-person-of-interest-in-homicide-killed</t>
  </si>
  <si>
    <t>I-25 and Avenida Cesar Chavez</t>
  </si>
  <si>
    <t>A trooper pulled over a blue Honda for speeding and noticed the car's paperwork didn't match up. While the officer was speaking to the passenger of the car, the passenger lunged at him, and they fought. During the exchange of gunfire, the officer was wounded, and the passenger was killed.</t>
  </si>
  <si>
    <t>https://www.krqe.com/news/albuquerque-metro/nmsp-officer-hospitalized-suspect-dead-following-officer-involved-shooting/1303659349</t>
  </si>
  <si>
    <t>Harith L. Augustus</t>
  </si>
  <si>
    <t>2000 E 71st St</t>
  </si>
  <si>
    <t>Police saw a man, Harith L. Augustus, whom they said they thought might have a gun. A fight began when they tried to question him. An officer–who had completed field training but was still considered probationary–then opened fire, killing him.</t>
  </si>
  <si>
    <t>https://chicago.suntimes.com/news/cpd-releases-body-cam-footage-of-fatal-officer-involved-shooting-in-south-shore/</t>
  </si>
  <si>
    <t>Rashaun Washington</t>
  </si>
  <si>
    <t>https://www.fatalencounters.org/wp-content/uploads/2018/07/Rashaun-Washington.jpg</t>
  </si>
  <si>
    <t>400 E Wood St</t>
  </si>
  <si>
    <t>Vineland police responded to a home at 11:22 a.m. for a report of a man acting suspiciously on the front porch. Rashaun Washington was fatally shot after several minutes. Witnesses said police officers let a dog bite the man several times as he bled out and eventually died. Washington was unarmed, according to a half-dozen witnesses.</t>
  </si>
  <si>
    <t>https://www.pressofatlanticcity.com/news/authorities-identify-man-killed-in-vineland-police-involved-shooting/article_010bb7fd-719e-56f2-9589-e7e1110b77e7.html</t>
  </si>
  <si>
    <t>Jethro Benjamin</t>
  </si>
  <si>
    <t>2671 Hospitality Blvd</t>
  </si>
  <si>
    <t>Police responded to a report of a person with a gun outside the Hilton Garden Inn around 12:22 p.m. Gunfire was exchanged and Jethro Benjamin was shot and killed.</t>
  </si>
  <si>
    <t>https://abcnews4.com/news/crime-map/officer-involved-shooting-in-florence-sends-one-person-to-hospital</t>
  </si>
  <si>
    <t>12000 Canfield Way</t>
  </si>
  <si>
    <t>Around 11:50 p.m., a man and his female passenger kept driving after officers attempted a traffic stop. Officers chased the car for about 10 minutes before the suspect came to a stop. Once stopped, the man and his passenger failed to comply with officers' orders, which is when police said they saw the man had a shotgun and shot and killed him.</t>
  </si>
  <si>
    <t>https://www.nbclosangeles.com/news/local/Man-Armed-Shotgun-Shot-Dead-Police-488194131.html</t>
  </si>
  <si>
    <t>Jesse Darian Carrillo</t>
  </si>
  <si>
    <t>9300 Havencove Dr</t>
  </si>
  <si>
    <t>An armed vehicle theft suspect was shot and killed by police, after police say he crashed into a vehicle and shot at the owner. Police said the suspect was driving a stolen vehicle when he crashed into an unoccupied vehicle at approximately 4:45 a.m. When the owner came outside to investigate, the man fired a weapon at him. The alleged thief fled in the vehicle and struck multiple vehicles. Officers found the stolen vehicle, pursued it into the 9300 block of Havencove Drive, where it crashed into a creek bed. When he got out, the suspect was armed with a handgun,which he allegedly pointed in the direction of officers. Jesse Darian Carrillo was shot and killed.</t>
  </si>
  <si>
    <t>https://www.mytexasdaily.com/news/armed-vehicle-theft-suspect-shot-killed-by-dallas-police/article_1643d0a6-86eb-11e8-ab25-4f7f2b34e3aa.html#tncms-source=article-nav-next</t>
  </si>
  <si>
    <t>Archer Amorosi</t>
  </si>
  <si>
    <t>Excelsior</t>
  </si>
  <si>
    <t>https://www.fatalencounters.org/wp-content/uploads/2018/07/Archer-Amorosi.jpg</t>
  </si>
  <si>
    <t>6400 Oriole Ave</t>
  </si>
  <si>
    <t>Archer Amorosi was reportedly suicidal and threatening his mother with knives and a baseball bat when he was fatally shot by police.</t>
  </si>
  <si>
    <t>https://www.kare11.com/article/news/teen-fatally-shot-by-police-in-chanhassen/89-573565478</t>
  </si>
  <si>
    <t>Juan Luna</t>
  </si>
  <si>
    <t>Dilley</t>
  </si>
  <si>
    <t>https://www.fatalencounters.org/wp-content/uploads/2018/07/Juan-Luna.jpeg</t>
  </si>
  <si>
    <t>N Houston St and E White St</t>
  </si>
  <si>
    <t>Frio</t>
  </si>
  <si>
    <t>Dilley Police Department</t>
  </si>
  <si>
    <t>Police said Juan Luna was firing a shotgun at a public park in Dilley when he was shot and killed by officers.</t>
  </si>
  <si>
    <t>http://www.newschannel10.com/story/38648314/man-shooting-shotgun-in-south-texas-park-killed-by-police</t>
  </si>
  <si>
    <t>Tim Gohann Braun</t>
  </si>
  <si>
    <t>11006 Estates Del Sol Dr</t>
  </si>
  <si>
    <t>Tim Gohann Braun was shot and killed by Deputies Joshua Berrios and Dannett Brennan after he allegedly showed up at his estranged wife's home and would not leave. Police said Braun refused to respond to their commands and raised a firearm at them.</t>
  </si>
  <si>
    <t>https://www.wfla.com/news/hillsborough-county/authorities-identify-man-killed-in-deputy-involved-shooting-in-riverview/1302995204</t>
  </si>
  <si>
    <t>Joey Loop</t>
  </si>
  <si>
    <t>Cottage Grove</t>
  </si>
  <si>
    <t>https://www.fatalencounters.org/wp-content/uploads/2018/07/joeyLoop.jpg</t>
  </si>
  <si>
    <t>78603 Cedar Park Rd</t>
  </si>
  <si>
    <t>During a standoff with police at a medical cannabis grow facility, at about 3:45 a.m., Joey Loop left the building with a gun, and two deputies shot and killed him.</t>
  </si>
  <si>
    <t>http://www.kezi.com/content/news/Officer-involved-shooting-in-Cottage-Grove-488011401.html</t>
  </si>
  <si>
    <t>Fidel Miranda</t>
  </si>
  <si>
    <t>https://www.fatalencounters.org/wp-content/uploads/2018/07/Fidel-Miranda.jpg</t>
  </si>
  <si>
    <t>1776 E. Ogden Ave.</t>
  </si>
  <si>
    <t>Officers William Umana and Paul Solomon shot and killed Fidel Miranda during a murder investigation after a vehicle chase and crash.</t>
  </si>
  <si>
    <t>https://www.reviewjournal.com/crime/homicides/officers-involved-in-fatal-shooting-of-homicide-suspect-idd/</t>
  </si>
  <si>
    <t>Salome Ramirez</t>
  </si>
  <si>
    <t>https://www.fatalencounters.org/wp-content/uploads/2018/07/Salome-Ramirez.jpg</t>
  </si>
  <si>
    <t>645 7th St</t>
  </si>
  <si>
    <t>Police were called at 12:22 p.m. to investigate a report of a man with a gun. Salome Ramirez allegedly didn't follow orders and reached for a replica firearm in his waistband, and officers shot and killed him.</t>
  </si>
  <si>
    <t>https://www.mercedsunstar.com/news/local/crime/article214713460.html</t>
  </si>
  <si>
    <t>Willis</t>
  </si>
  <si>
    <t>11900 Canal St</t>
  </si>
  <si>
    <t>Deputies were called at approximately 2:30 p.m. to a residence on reports of a trespasser in progress call. When deputies arrived a woman was inside the residence that does not belong to her. She was apparently known to police--commenters on social media said she was mentally ill--and had been accused of breaking into other homes in the area. Deputies ordered her to drop the knife, deputies then reportedly attempted to use less-lethal weapons that proved ineffective as she continued to advance toward deputies. They shot and killed her.</t>
  </si>
  <si>
    <t>https://www.chron.com/neighborhood/moco/news/article/Woman-killed-in-officer-involved-shooting-in-13067765.php</t>
  </si>
  <si>
    <t>https://www.fatalencounters.org/wp-content/uploads/2018/07/WilliamMcCollum.jpg</t>
  </si>
  <si>
    <t>2400 CY Ave</t>
  </si>
  <si>
    <t>https://trib.com/news/local/crime-and-courts/police-say-casper-officer-who-shot-man-was-driving-to/article_5cae4c6d-26ab-5c11-93f9-d010f0ba2178.html</t>
  </si>
  <si>
    <t>Shaun Leo Gates</t>
  </si>
  <si>
    <t>5001 Bass Pro Dr</t>
  </si>
  <si>
    <t>Shaun Leo Gates was allegedly threatening people with two knives when he was confronted by police. He allegedly refused to put it down and advanced on officers before he was shot and killed.</t>
  </si>
  <si>
    <t>http://www.fox4news.com/news/man-wielding-large-knives-killed-by-garland-police-officer</t>
  </si>
  <si>
    <t>Leonardo Cano</t>
  </si>
  <si>
    <t>https://www.fatalencounters.org/wp-content/uploads/2018/07/Leonardo-Cano.jpg</t>
  </si>
  <si>
    <t>401 E 65th St</t>
  </si>
  <si>
    <t>Miami-Dade police detectives were searching for Leonardo Cano for a domestic-related kidnapping. The officers tried to pull over his Nissan Sentra when it was spotted at about 10:45 p.m. The car sped off, police said, then crashed. He stepped out of the vehicle with a rifle and opened fire Police detectives returned fire. A 32-year-old detective, Paul Fluty, was hit in the exchange. Police set up a perimeter, and found Cano hiding in a trash bin. He was shot and killed.</t>
  </si>
  <si>
    <t>https://wsvn.com/news/local/miami-dade-police-officer-injured-after-shots-fired-near-hialeah-park/</t>
  </si>
  <si>
    <t>Craig Yelton</t>
  </si>
  <si>
    <t>100 North Understory Lane</t>
  </si>
  <si>
    <t>Around midnight, officers were called for a fight involving weapons. Craig Yelton was armed and allegedly threatening neighbors he thought were responsible for loud music. Officers tried to get Yelton to come out of his home. Yelton left the home and confronted the officers while armed with a handgun. Four officers shot and killed him.</t>
  </si>
  <si>
    <t>http://www.tucsonnewsnow.com/story/38595239/one-dead-in-officer-involved-shooting-in-tucson-north-understory-lane-craig-yelton</t>
  </si>
  <si>
    <t>John Francis Murphy III</t>
  </si>
  <si>
    <t>2200 S 22nd St</t>
  </si>
  <si>
    <t>Grand Forks Police Department</t>
  </si>
  <si>
    <t>Officers responded to a report of a suicidal subject armed with a gun. Around 3:17 a.m., officers encountered two people. One was armed. The armed person refused commands from the officers, and Cpl. Jordan Drees and Officer Michael Ruit shot and killed him.</t>
  </si>
  <si>
    <t>http://www.kfyrtv.com/content/news/Suspect-fatally-shot-by-Grand-Forks-police-487603001.html</t>
  </si>
  <si>
    <t>Magnolia Street and Bolsa Avenue</t>
  </si>
  <si>
    <t>A man was shot and killed after a police chase in a vehicle and a crash where two bystanders were injured.</t>
  </si>
  <si>
    <t>https://ktla.com/2018/07/09/pursuit-driver-fatally-shot-by-santa-ana-police/</t>
  </si>
  <si>
    <t>Kelly Kenneth Sutton</t>
  </si>
  <si>
    <t>Amity</t>
  </si>
  <si>
    <t>https://www.fatalencounters.org/wp-content/uploads/2018/07/Kelly-Kenneth-Sutton.jpg</t>
  </si>
  <si>
    <t>Rice Ln and Jellison Ave</t>
  </si>
  <si>
    <t>Deputies responded to a 9-1-1 call in Amity. The caller reported waking up and finding an unknown man inside their bedroom. Deputies arrived in the area about seven minutes later, and they found a man matching the caller's description a few blocks away. Details were withheld, but Sgt. Sam Elliott and Deputy Stephanie Sulak shot and killed Kelly Sutton.</t>
  </si>
  <si>
    <t>http://www.kptv.com/story/38595748/man-killed-in-amity-officer-involved-shooting-identified</t>
  </si>
  <si>
    <t>Harold Eugene Kraai</t>
  </si>
  <si>
    <t>https://www.fatalencounters.org/wp-content/uploads/2018/07/Harold-Kraai.jpg</t>
  </si>
  <si>
    <t>11400 Avery Dr</t>
  </si>
  <si>
    <t>Officers responded to reports of a domestic incident at a home, when the individual's family called 9-1-1. They told police a white man was having a mental crisis, breaking things. Upon arriving at the scene, officers said Kraai was found sitting on the front porch with a large kitchen knife in his hand. Police say he stood and began walking toward the officers, refusing commands to drop the knife. He was shot and killed.</t>
  </si>
  <si>
    <t>https://www.firstcoastnews.com/article/news/local/data/crime/man-killed-in-officer-involved-shooting-on-the-northside/77-571587219</t>
  </si>
  <si>
    <t>W 70th Ave and Broadway</t>
  </si>
  <si>
    <t>Deputies responded to a trespassing call at a vacant home two times within a four-hour period; once around between 9:30 p.m. and 10 p.m. Friday, and again at around 1:30 a.m. Saturday. When they arrived to the house on the second call, deputies noticed cars speeding away from the home. The deputies started following the group of cars away from the house. About a mile away from the home, one of the cars got in a crash. People inside of the vehicle got out of the crashed car, and a deputy started chasing one of them on foot. That person had allegedly pulled a weapon when he was shot and killed by the pursuing deputy.</t>
  </si>
  <si>
    <t>https://www.thedenverchannel.com/news/local-news/one-dead-in-officer-involved-shooting-in-adams-county</t>
  </si>
  <si>
    <t>Eric Hash</t>
  </si>
  <si>
    <t>Copper Center</t>
  </si>
  <si>
    <t>https://www.fatalencounters.org/wp-content/uploads/2018/07/Eric-Hash.jpg</t>
  </si>
  <si>
    <t>Richardson Hwy</t>
  </si>
  <si>
    <t>Valdez Cordova</t>
  </si>
  <si>
    <t>Eric Hash, was killed at about 3:15 a.m. Trooper Kamau Leigh shot him while investigating a domestic-violence call. Police withheld information about how many troopers fired at Hash, whether he had a weapon or threatened troopers, or specifically what led to the shooting.</t>
  </si>
  <si>
    <t>https://www.adn.com/alaska-news/crime-courts/2018/07/06/copper-center-man-fatally-shot-by-troopers-during-domestic-violence-incident/</t>
  </si>
  <si>
    <t>Charles Webb</t>
  </si>
  <si>
    <t>https://www.fatalencounters.org/wp-content/uploads/2018/07/Charles-Webb-1.png</t>
  </si>
  <si>
    <t>W 79th St and Grant St</t>
  </si>
  <si>
    <t>Officers responded to multiple reports of shots fired in the parking lot and courtyard of an apartment complex. Officers parked a distance away and walked to the apartment complex, where they confronted the gunman. The gunman, Charles Webb, allegedly turned around and fired several rounds toward officers from a long gun. He was shot and killed.</t>
  </si>
  <si>
    <t>https://www.kansascity.com/news/local/crime/article214420459.html</t>
  </si>
  <si>
    <t>Daniel A. Fuller</t>
  </si>
  <si>
    <t>Devils Lake</t>
  </si>
  <si>
    <t>340 14th Ave SE</t>
  </si>
  <si>
    <t>Devils Lake Police Department</t>
  </si>
  <si>
    <t>Around 4:30 p.m., officers were responded to a call about a suspicious person. The department had received multiple 9-1-1 calls about a man who was attempting to break in to homes. Two officers found Daniel Fuller, and police said when they tried to arrest him, there was a fight, and Fuller was shot and killed. He was apparently unarmed.</t>
  </si>
  <si>
    <t>http://www.thedickinsonpress.com/news/crime-and-courts/4469142-authorities-identify-man-shot-devils-lake-police-officer</t>
  </si>
  <si>
    <t>Sylvia Marie Bejarano</t>
  </si>
  <si>
    <t>https://www.fatalencounters.org/wp-content/uploads/2018/07/Sylvia-Marie-Bejarano.jpg</t>
  </si>
  <si>
    <t>W Southern Ave and S 48th St</t>
  </si>
  <si>
    <t>Police tracked a stolen vehicle to a hotel near SR143 and University Drive. When officers confronted a couple there, they got into a stolen vehicle and took off. Sometime after leaving the hotel, the couple picked up the woman's 13-year-old son. Officers confronted them again, and the woman got out of the vehicle and shot at police, striking the police vehicle. Officers shot and killed Sylvia Bejarano.</t>
  </si>
  <si>
    <t>http://www.azfamily.com/story/38583752/woman-in-critical-condition-after-shooting-in-east-phoenix-firefighters-say</t>
  </si>
  <si>
    <t>John James Corrigan</t>
  </si>
  <si>
    <t>San Andreas</t>
  </si>
  <si>
    <t>https://www.fatalencounters.org/wp-content/uploads/2018/07/JOHN-CORRIGAN.jpg</t>
  </si>
  <si>
    <t>3959 Mountain Ranch Rd</t>
  </si>
  <si>
    <t>Calaveras</t>
  </si>
  <si>
    <t>Calaveras County Sheriff's Office, California Highway Patrol</t>
  </si>
  <si>
    <t>Officers shot and killed John James Corrigan after he refused to drop an object that was believed to be a rifle. It was an air-rifle.</t>
  </si>
  <si>
    <t>http://www.recordnet.com/news/20180706/officers-in-calaveras-county-shoot-kill-man-armed-with-automatic-air-rifle</t>
  </si>
  <si>
    <t>https://www.fatalencounters.org/wp-content/uploads/2018/07/Tracy-Richards.jpg</t>
  </si>
  <si>
    <t>406 N Center St</t>
  </si>
  <si>
    <t>http://www.orlandosentinel.com/g00/news/lake/os-lake-officer-shooting-20180705-story.html?i10c.encReferrer=aHR0cDovL3d3dy5ndW52aW9sZW5jZWFyY2hpdmUub3JnL2luY2lkZW50LzExNTcxNTQ%3D&amp;i10c.ua=1&amp;i10c.dv=14</t>
  </si>
  <si>
    <t>Raad Fakhri Salman</t>
  </si>
  <si>
    <t>28 Colonial Oaks Ct</t>
  </si>
  <si>
    <t>Raad Fakhri Salman was holding his wife against her will at knifepoint, when Sgt. Brandon Hogan shot and killed him.</t>
  </si>
  <si>
    <t>http://www.wave3.com/story/38587638/officer-suspect-in-deadly-shooting-identified</t>
  </si>
  <si>
    <t>Emmanuel Bitsuie</t>
  </si>
  <si>
    <t>https://www.fatalencounters.org/wp-content/uploads/2018/07/Emmanuel-Bitsuie.jpg</t>
  </si>
  <si>
    <t>1200 E Abriendo Ave</t>
  </si>
  <si>
    <t>Police were called about 3:45 p.m. on a report of a family disturbance, but while they were en route, the call was changed to a stabbing. According to police, the first officer to arrive on scene encountered Emmanuel Bitsuie, who apparently had stabbed his uncle, and the officer shot and killed him.</t>
  </si>
  <si>
    <t>https://www.chieftain.com/news/crime/pueblo-police-say-nephew-stabbed-uncle-before-being-shot-by/article_923ae5d5-b614-5758-bbb8-d1e9a93b9e7d.html</t>
  </si>
  <si>
    <t>Ryan Turner Force</t>
  </si>
  <si>
    <t>1928 Bonnie Ridge Dr</t>
  </si>
  <si>
    <t>Spalding County Sheriff's Office</t>
  </si>
  <si>
    <t>Police said Ryan Force charged at his deputies with a shotgun, and those deputies shot and killed him. The specific call came in at 7:42 p.m. for a mental distress call. Two deputies who were trained for mental crises had been sent.</t>
  </si>
  <si>
    <t>https://wgxa.tv/news/local/police-georgia-deputy-kills-man-who-shot-at-officer</t>
  </si>
  <si>
    <t>Frank W. "Franko" Dripps IV</t>
  </si>
  <si>
    <t>South Elgin</t>
  </si>
  <si>
    <t>https://www.fatalencounters.org/wp-content/uploads/2018/07/Frank-W.-FrankoDripps-IV.jpg</t>
  </si>
  <si>
    <t>300 Woodridge Cir</t>
  </si>
  <si>
    <t>After nearly four hours of trying to negotiate with him, Frank Dripps came onto the porch of his townhouse and shot at police who shot and killed him.</t>
  </si>
  <si>
    <t>http://www.kcchronicle.com/2018/07/04/geneva-officer-kane-deputy-injured-in-fatal-south-elgin-standoff/a3laj87/</t>
  </si>
  <si>
    <t>Christian T. Webb</t>
  </si>
  <si>
    <t>https://www.fatalencounters.org/wp-content/uploads/2018/07/Christian-T.-Webb.jpg</t>
  </si>
  <si>
    <t>1900 N Stoney Point Ct</t>
  </si>
  <si>
    <t>https://www.kansas.com/news/local/crime/article214261769.html</t>
  </si>
  <si>
    <t>Terrell Eason</t>
  </si>
  <si>
    <t>4700 W Fulton St</t>
  </si>
  <si>
    <t>About 8 p.m., two officers responding to a call of a person with a gun saw Terrell Eason run toward the intersection of Wayman Street and Cicero Avenue and gave chase, police said. Eason jumped a fence and allegedly got into an armed confrontation with the officers, who fired at least six shots, killing him.</t>
  </si>
  <si>
    <t>https://chicago.suntimes.com/news/cpd-officers-shoot-person-in-west-garfield-park/</t>
  </si>
  <si>
    <t>Lemuel Bunn</t>
  </si>
  <si>
    <t>910 Greenleaf Dr</t>
  </si>
  <si>
    <t>Lemuel Bunn had an arm around his 34-year-old girlfriend's neck and was holding a knife when officers arrived around 9 a.m. Officers demanded Bunn drop the knife, and Sgt. Charles Cochran, 45, shot and killed him when he kept holding the weapon.</t>
  </si>
  <si>
    <t>https://www.wsoctv.com/news/north-carolina/nc-man-who-stabbed-pregnant-woman-dies-after-officer-shooting/782805232</t>
  </si>
  <si>
    <t>https://www.fatalencounters.org/wp-content/uploads/2018/07/Clark-Millard.jpg</t>
  </si>
  <si>
    <t>1410 NW Taylor Ave</t>
  </si>
  <si>
    <t>Officers James Carr and Christopher Blessing were dispatched to a residence after receiving reports of a disturbance. When the officers arrived, they found Millard Clark standing in the doorway with two butcher knives. The officers reportedly tried to talk to Clark who became more agitated. Clark then allegedly came at the officers, cutting Officer Carr. Clark was shot and killed by the officers.</t>
  </si>
  <si>
    <t>http://www.kswo.com/story/38579678/suspect-lpd-officers-involved-in-deadly-encounter-identified</t>
  </si>
  <si>
    <t>Joshua Blake Reed</t>
  </si>
  <si>
    <t>Panora</t>
  </si>
  <si>
    <t>https://www.fatalencounters.org/wp-content/uploads/2018/07/Joshua-Blake-Reed.jpg</t>
  </si>
  <si>
    <t>502 W Market St</t>
  </si>
  <si>
    <t>Panora Police Department</t>
  </si>
  <si>
    <t>Joshua Reed had been threatening people at an apartment complex with a knife, a 9-1-1 caller told Guthrie County dispatchers at about 7:20 p.m. Officers found him in a hallway. He was told to drop the knife but did not. Officer Rock Armstrong shot and killed Reed.</t>
  </si>
  <si>
    <t>https://www.desmoinesregister.com/story/news/crime-and-courts/2018/07/03/iowa-police-shooting-officer-and-victim-panora-death-identified/756016002/</t>
  </si>
  <si>
    <t>Daniel Isaiah Norris</t>
  </si>
  <si>
    <t>https://www.fatalencounters.org/wp-content/uploads/2018/07/Daniel-Morris-tattoo.jpg</t>
  </si>
  <si>
    <t>1900 Cressida Place</t>
  </si>
  <si>
    <t>The Idaho Department of Correction had put Daniel Isaiah Norris on its most wanted list for a parole violation. Four days later, Meridian Police Officer Kyle Mikowski shot and killed Norris during a confrontation. Officers were looking for a person with an outstanding felony warrant when they found Norris and two other people, police said. Norris allegedly fled on foot, and Mikowski pursued. Mikowski used his stun gun on Norris who fired at Mikowski, hitting the officer in the legs. Mikowski returned shot and killed Norris.</t>
  </si>
  <si>
    <t>https://www.idahostatesman.com/news/local/crime/article214232219.html</t>
  </si>
  <si>
    <t>Larry San Nicolas</t>
  </si>
  <si>
    <t>Grandview</t>
  </si>
  <si>
    <t>https://www.fatalencounters.org/wp-content/uploads/2018/07/Larry-San-Nicolas.jpg</t>
  </si>
  <si>
    <t>E 148th Terrace and Bellaire Ave</t>
  </si>
  <si>
    <t>Grandview Police Department</t>
  </si>
  <si>
    <t>Police were called to a house around 2:40 p.m. by a family member of Larry San Nicolas. The man was acting despondent, irrational and violent. When officers arrived, San Nicolas came out holding two samurai-type swords. When he refused to comply with commands from officers, an officer shot him with two bean bag rounds, which reportedly did not incapacitate him. He allegedly rushed toward the officers, and he was shot and killed.</t>
  </si>
  <si>
    <t>https://fox4kc.com/2018/07/01/police-investigating-officer-involved-shooting-in-grandview/</t>
  </si>
  <si>
    <t>1020 West Civic Center Dr</t>
  </si>
  <si>
    <t>Officers with the Santa Ana Police Department responded to a parking structure, where a man was attempting to break into cars with a long metal stake. When police arrived at the structure, which is located right across the street from the department, a fight began. Officers reportedly used a Taser to try to subdue the man, but eventually shot and killed him.</t>
  </si>
  <si>
    <t>http://abc7.com/1-dead-in-santa-ana-officer-involved-shooting/3690595/</t>
  </si>
  <si>
    <t>Chukwumankpam Mbegbu</t>
  </si>
  <si>
    <t>W Colter St and N 40th Ave</t>
  </si>
  <si>
    <t>Police responded to a report of a fight. As officers arrived, they saw a man and a woman in the alley. The woman ran toward officers and reportedly told them that she had been involved in an argument with Mbegbu. Mbegbu got closer to the officers, and an officer reportedly saw a handgun. Mbegbu reportedly told officers he was armed, and as an officer tried to take the weapon, he refused to give it up. During the alleged struggle, Mbegbu allegedly fired a shot over his shoulder toward the officers who shot and killed him.</t>
  </si>
  <si>
    <t>https://www.abc15.com/news/region-phoenix-metro/west-phoenix/officer-shoots-suspect-in-west-phoenix-47th-officer-involved-shooting-in-2018</t>
  </si>
  <si>
    <t>4105 S University Dr</t>
  </si>
  <si>
    <t>Pomona Police Department, California State University Police Department</t>
  </si>
  <si>
    <t>A Cal Poly Police parking officer was killed, and the alleged suspect was shot and killed by responding officers.</t>
  </si>
  <si>
    <t>https://losangeles.cbslocal.com/2018/06/29/campus-officer-fatally-stabbed-suspect-mortally-wounded/</t>
  </si>
  <si>
    <t>Randy Thomas Groom</t>
  </si>
  <si>
    <t>2130 N Locust Ave</t>
  </si>
  <si>
    <t>Lawrenceburg Police Department</t>
  </si>
  <si>
    <t>https://www.newschannel5.com/news/man-killed-in-officer-involved-shooting-after-armed-robbery</t>
  </si>
  <si>
    <t>Garry Glenn Lawrence Jr.</t>
  </si>
  <si>
    <t>Hartzog Loop</t>
  </si>
  <si>
    <t>Alaska State Troopers were attempting to execute a $500,000 warrant for Garry Lawrence Jr. Lawrence was wanted on the charges of attempted murder and other felony domestic violence offenses. Once in contact with Lawrence, a fire started in the residence. The fire quickly engulfed the structure. Lawrence exited the structure and threatened troopers with an ax. Trooper Jeffrey "Scott" McAfee shot and killed Lawrence.</t>
  </si>
  <si>
    <t>https://dps.alaska.gov/dailydispatch/Home/Display?dateReceived=6/30/2018%2012:00:00%20AM</t>
  </si>
  <si>
    <t>Antonio Sanchez</t>
  </si>
  <si>
    <t>14401 E 6th Ave</t>
  </si>
  <si>
    <t>Police said Antonio Sanchez was suspected of murder when he was shot and killed after a chase.</t>
  </si>
  <si>
    <t>https://kdvr.com/2018/06/29/suspect-shot-in-aurora-officer-involved-shooting/</t>
  </si>
  <si>
    <t>Steven Ballard</t>
  </si>
  <si>
    <t>Waterford</t>
  </si>
  <si>
    <t>https://www.fatalencounters.org/wp-content/uploads/2018/07/stevenballard.jpg</t>
  </si>
  <si>
    <t>2800 Barkman St</t>
  </si>
  <si>
    <t>Waterford Township Police Department</t>
  </si>
  <si>
    <t>Steven Ballard was a suspect in a domestic violence incident in another city, He allegedly led officers on a car chase. Waterford Township police shot and killed him when he drew a weapon on them, police said.</t>
  </si>
  <si>
    <t>https://www.detroitnews.com/story/news/local/oakland-county/2018/06/29/waterford-cops-shoot-kill-suspect-after-chase/744910002/</t>
  </si>
  <si>
    <t>Jason Erik Washington</t>
  </si>
  <si>
    <t>https://www.fatalencounters.org/wp-content/uploads/2018/07/Jason-Erik-Washington.jpg</t>
  </si>
  <si>
    <t>1939 SW 6th Ave</t>
  </si>
  <si>
    <t>Portland State University Department of Public Safety</t>
  </si>
  <si>
    <t>Jason Washington was shot by campus police during a confrontation outside a bar. Witnesses said he was attempting to break up a fight when the registered gun in his waistband holster fell on the ground. He attempted to pick it up when officers shot and killed him.</t>
  </si>
  <si>
    <t>https://nbc16.com/news/nation-world/portland-state-university-students-renew-push-to-disarm-psu-campus-police-rally-protest-pioneer-square</t>
  </si>
  <si>
    <t>Katie Lovett Sasser</t>
  </si>
  <si>
    <t>Darien</t>
  </si>
  <si>
    <t>https://www.fatalencounters.org/wp-content/uploads/2018/07/KatieSasser.jpg</t>
  </si>
  <si>
    <t>1316 Mission Drive</t>
  </si>
  <si>
    <t>Glynn County Police Department</t>
  </si>
  <si>
    <t>Glynn County Police Lt. Robert “Cory” Sasser fatally shot his estranged wife, Katie Lovett Sasser, 34, and her friend Johnny Edward Hall Jr., 39, before killing himself with a gunshot to the chest in the driveway of his Glynn County home as police closed in, police said.</t>
  </si>
  <si>
    <t>https://thebrunswicknews.com/breaking/suspended-glynn-police-officer-dead-after-allegedly-killing-wife-boyfriend/article_0d995c95-3eae-5c5d-9e15-14d5da38720a.html</t>
  </si>
  <si>
    <t>Joshua Kenneth James Cartwright</t>
  </si>
  <si>
    <t>https://www.fatalencounters.org/wp-content/uploads/2018/07/Joshua-Kenneth-James-Cartwright-1.jpg</t>
  </si>
  <si>
    <t>600 W K St</t>
  </si>
  <si>
    <t>Russellville police responded to a call when Joshua Cartwright allegedly shot at bail bondsmen trying to bring him in on felony warrants. He fired from inside the apartment when officers arrived. Surrounding apartment complexes were evacuated, and police began to negotiate with him. He emerged from the apartment at 2:10 a.m. and began firing at police, and he was shot and killed by state troopers.</t>
  </si>
  <si>
    <t>https://www.thv11.com/article/news/local/russellville/man-shot-by-police-after-firing-at-bail-bondsmen-barricading-self-in-home-near-arkansas-tech/91-569092184</t>
  </si>
  <si>
    <t>Timothy Jason Coffman</t>
  </si>
  <si>
    <t>2406 Citrus Avenue</t>
  </si>
  <si>
    <t>South Daytona Police Department</t>
  </si>
  <si>
    <t>South Daytona police responded to a call about a man breaking into multiple residences. When they arrived he took off with officers in chase. During a fight when they caught up with him, Timothy Coffman allegedly sprayed pesticide on them and bit their fingers. He was reportedly tasered to no avail before he was shot and killed.</t>
  </si>
  <si>
    <t>http://www.hawaiinewsnow.com/story/38563814/man-sprays-officers-with-pesticides-bites-officers-during-arrest</t>
  </si>
  <si>
    <t>Johnny Edward Hall Jr.</t>
  </si>
  <si>
    <t>https://www.fatalencounters.org/wp-content/uploads/2018/07/Johnny-Edward-Hall-Jr-1.jpg</t>
  </si>
  <si>
    <t>James Palmquist</t>
  </si>
  <si>
    <t>Dade City</t>
  </si>
  <si>
    <t>40703 Stewart Rd</t>
  </si>
  <si>
    <t>Deputies were called to the Many Mansion RV Park by a man who said his roommate was suicidal and had taken a hundred pills. When deputies arrived, the suicidal man came out of the mobile home, yelled an expletive and fired a shotgun at them. Deputies shot and killed James Palmquist.</t>
  </si>
  <si>
    <t>http://www.mysuncoast.com/ap/fatally-shot-by-deputies-at-florida-mobile-home-park/article_8cdb6e2e-976d-53f2-9d60-6901e0df0dc8.html</t>
  </si>
  <si>
    <t>Joey Lewis Bronson</t>
  </si>
  <si>
    <t>https://www.fatalencounters.org/wp-content/uploads/2018/07/Joey-Lewis-Bronson.jpg</t>
  </si>
  <si>
    <t>8900 E Colfax Ave</t>
  </si>
  <si>
    <t>Joey Bronson was shot and killed following a foot chase by police. Police said he matched the description of a man who was seen earlier firing a gun.</t>
  </si>
  <si>
    <t>https://www.denverpost.com/2018/07/02/coroner-aurora-police-chase-death/</t>
  </si>
  <si>
    <t>Luis Argueta</t>
  </si>
  <si>
    <t>https://www.fatalencounters.org/wp-content/uploads/2018/06/Luis-Argueta.jpg</t>
  </si>
  <si>
    <t>5316 53rd Street</t>
  </si>
  <si>
    <t>Luis Argueta was shot to death by a police officer after a traffic stop in Galveston. Police withheld details regarding the killing.</t>
  </si>
  <si>
    <t>http://abc13.com/police-investigating-officer-involved-shooting-in-galveston/3649770/</t>
  </si>
  <si>
    <t>Bobby Louis Blade</t>
  </si>
  <si>
    <t>12100 Self Plaza Dr</t>
  </si>
  <si>
    <t>Mesquite Police Department, Garland Police Department</t>
  </si>
  <si>
    <t>Bobby Blade was fatally shot by police after a high-speed chase through Dallas County. He allegedly had grabbed an officer's weapon and pointed it at him, police said. The killing occurred after the suspect wrecked his vehicle on the northbound side of I-635 and Garland Road and then fled on foot.</t>
  </si>
  <si>
    <t>https://www.star-telegram.com/news/local/community/dallas/article213885729.html</t>
  </si>
  <si>
    <t>William Shawn Mann</t>
  </si>
  <si>
    <t>Grenada</t>
  </si>
  <si>
    <t>https://www.fatalencounters.org/wp-content/uploads/2018/07/William-Shawn-Mann.jpg</t>
  </si>
  <si>
    <t>Carrollton Road and Jefferson Road</t>
  </si>
  <si>
    <t>Grenada County Sheriff's Office</t>
  </si>
  <si>
    <t>A deputy responded about a disturbance and found William Shawn Mann standing in the road. Mann walked back into a house. A second deputy arrived. Mann ran out of the house, jumped into a patrol car and used it to ram the other patrol car before driving into the woods. Deputies stopped him and got him out of the car. A deputy attempted to shock Mann with a Taser, but it did not incapacitate him, and then a deputy fatally shot him.</t>
  </si>
  <si>
    <t>http://www.wtva.com/content/news/Man-dies-following-officer-involved-shooting-in-Grenada-County--486701871.html</t>
  </si>
  <si>
    <t>James Sorrentino</t>
  </si>
  <si>
    <t>Prompton</t>
  </si>
  <si>
    <t>40 Balsam Swamp Rd</t>
  </si>
  <si>
    <t>James A. Sorrentino was shot and killed at his home after shooting at state troopers who responded to a report he fired a shotgun at his brother, Charles Sorrentino, and his mother, Patricia Sorrentino, about 2:15 a.m., police said.</t>
  </si>
  <si>
    <t>https://www.thetimes-tribune.com/news/man-shot-killed-by-police-during-standoff-in-wayne-county-1.2354318</t>
  </si>
  <si>
    <t>Thurman Junior Blevins</t>
  </si>
  <si>
    <t>4700 Bryant Ave N</t>
  </si>
  <si>
    <t>Police responded to a complaint about an intoxicated man shooting a gun. Officers Ryan Kelly and Justin Schmidt shot and killed Thurman Junior Blevins when he allegedly fled.</t>
  </si>
  <si>
    <t>http://www.startribune.com/autopsy-man-killed-by-police-shot-multiple-times/486468351/</t>
  </si>
  <si>
    <t>Haleiwa</t>
  </si>
  <si>
    <t>5824 Kapuai Place</t>
  </si>
  <si>
    <t>Police responded to calls regarding an agitated individual. He allegedly made multiple threats and stabbed a police dog with an arrow when he was shot and killed.</t>
  </si>
  <si>
    <t>https://www.khon2.com/news/local-news/man-shot-killed-during-standoff-with-police-on-oahu-s-north-shore/1258707961</t>
  </si>
  <si>
    <t>bow and arrow</t>
  </si>
  <si>
    <t>Eric K. Sweet</t>
  </si>
  <si>
    <t>Coos Bay</t>
  </si>
  <si>
    <t>https://www.fatalencounters.org/wp-content/uploads/2018/06/Eric-Sweet.jpg</t>
  </si>
  <si>
    <t>475 Johnson Ave</t>
  </si>
  <si>
    <t>Coos</t>
  </si>
  <si>
    <t>Coos Bay Police Department, Confederated Tribes of the Umatilla Indian Reservation, Oregon State Police</t>
  </si>
  <si>
    <t>https://theworldlink.com/news/local/crime-and-courts/dead-in-officer-involved-shooting-in-coos-bay/article_33499447-ddd8-5887-b30d-66f9feb77aec.html</t>
  </si>
  <si>
    <t>Robert Lyle Barton</t>
  </si>
  <si>
    <t>800 Newport St</t>
  </si>
  <si>
    <t>Officers were responding to a domestic disturbance call. A man reportedly was grabbing knives and destroying the home. When police arrived, they found Robert Barton in the backyard of a residence. He reportedly pulled a gun from the waistband of his pants. One officer fired a Taser, and the other shot and killed Barton.</t>
  </si>
  <si>
    <t>https://www.idahostatesman.com/news/local/community/west-ada/article213865874.html</t>
  </si>
  <si>
    <t>4860 Rolando Ct</t>
  </si>
  <si>
    <t>Officers responded to a 9-1-1 report of a violent disturbance about 10:15 p.m. Three officers arrived and knocked on the door, but got no response. When they smelled what seemed to be smoke coming from the first-floor unit, they called San Diego firefighters for backup. They then forced open the door and were met by gunfire. Two officers were hit. The man was found dead later, although it wasn't immediately apparent whose bullet killed him.</t>
  </si>
  <si>
    <t>http://www.sandiegouniontribune.com/g00/news/public-safety/sd-me-officers-wounded-20180623-story.html?i10c.encReferrer=aHR0cDovL3d3dy5ndW52aW9sZW5jZWFyY2hpdmUub3JnL2luY2lkZW50LzExNDg0MjI%3D&amp;i10c.ua=1&amp;i10c.dv=14</t>
  </si>
  <si>
    <t>S Olive St and E Caley Ave</t>
  </si>
  <si>
    <t>A woman called the sheriff's office saying she could not get in touch with a couple after what was believed to be a domestic disturbance. When deputies arrived to the house around 10:30 a.m., someone took off in a vehicle. That person allegedly fired at deputies from the vehicle using a handgun, and he was shot and killed.</t>
  </si>
  <si>
    <t>https://www.9news.com/article/news/crime/suspect-shot-killed-after-firing-at-deputies-in-centennial/73-566937137</t>
  </si>
  <si>
    <t>Schuyler Lake</t>
  </si>
  <si>
    <t>https://www.fatalencounters.org/wp-content/uploads/2018/06/Schuyler-Lake.jpg</t>
  </si>
  <si>
    <t>61 Partridge St</t>
  </si>
  <si>
    <t>Officer Elston Mackey shot and killed Schuyler Lake as he allegedly was stabbing his mother in the face inside a city home, police said.</t>
  </si>
  <si>
    <t>https://www.timesunion.com/news/article/Albany-officer-killed-man-as-he-stabbed-woman-13019663.php?utm_campaign=timesunion_breakingnews&amp;utm_source=email&amp;utm_medium=newsletter</t>
  </si>
  <si>
    <t>Javier Desantiago</t>
  </si>
  <si>
    <t>Around 11 p.m., two police officers driving in the area of the station encountered a person who appeared to be pointing a handgun at them. He was shot and killed. Upon closer inspection, police determined the handgun was actually a pellet or BB gun designed to look like a real gun.</t>
  </si>
  <si>
    <t>http://abc7.com/man-killed-after-allegedly-pointing-fake-gun-at-inglewood-officers/3642090/</t>
  </si>
  <si>
    <t>Thomas Albun Beall Jr.</t>
  </si>
  <si>
    <t>1752 E Market St</t>
  </si>
  <si>
    <t>Harrisonburg City</t>
  </si>
  <si>
    <t>http://www.nbc29.com/story/38490012/harrisonburg-police-investigate-officer-involved-shooting-at-chilis</t>
  </si>
  <si>
    <t>Timothy Deal</t>
  </si>
  <si>
    <t>600 N Kentucky Ave</t>
  </si>
  <si>
    <t>At 6:30 p.m., police responded for a hit-and-run crash with injuries. While they were investigating, Timothy Deal, who was not involved, allegedly stabbed an officer in the torso with a knife. The injured officer shot and killed Deal.</t>
  </si>
  <si>
    <t>https://www.pressofatlanticcity.com/news/atlantic-city-police-officer-stabbed-killed/article_7a27f109-70bd-5912-806a-08d2c001753d.html</t>
  </si>
  <si>
    <t>Logan A. Williamson</t>
  </si>
  <si>
    <t>1500 Gelhot Dr</t>
  </si>
  <si>
    <t>Police forced their way into a home where a 9-1-1 call had originated and found Logan A. Williamson stabbing Michelle R. Henry in an upstairs bathroom. Officer Bryan Carnes shot and killed Williamson, and Henry died of the stabbing wounds.</t>
  </si>
  <si>
    <t>http://www.wlwt.com/article/chief-officer-shoots-kills-man-who-fatally-stabbed-woman-in-fairfield/21761061</t>
  </si>
  <si>
    <t>Jonathan Legg</t>
  </si>
  <si>
    <t>Parma Heights</t>
  </si>
  <si>
    <t>Stumph Rd and Huffman Rd</t>
  </si>
  <si>
    <t>Parma Police Department, Parma Heights Police Department</t>
  </si>
  <si>
    <t>An officer stopped the car Jonathan Legg was driving because a license plate check showed the license plate on the Chevrolet Impala did not belong to that car, police said. He was shot and killed when he allegedly shot one of the officers.</t>
  </si>
  <si>
    <t>https://www.cleveland.com/metro/index.ssf/2018/06/man_killed_in_shootout_with_pa.html</t>
  </si>
  <si>
    <t>Anthony "Punch" Marcell Green</t>
  </si>
  <si>
    <t>Kingsland</t>
  </si>
  <si>
    <t>https://www.fatalencounters.org/wp-content/uploads/2018/06/AnthonyGreen.jpg</t>
  </si>
  <si>
    <t>107 N Satilla St</t>
  </si>
  <si>
    <t>Kingsland Police Department</t>
  </si>
  <si>
    <t>Anthony Marcell Green was driving with an unidentified passenger about 10:42 p.m. when a Kingsland officer followed the vehicle. Green stopped the vehicle at an intersection, and he and the passenger fled, police said. When an officer caught up with Green about two blocks away, "a brief altercation" ended with the officer shooting and killing Green.</t>
  </si>
  <si>
    <t>https://www.news4jax.com/news/georgia/camden-county/kingsland/gbi-investigating-shooting-in-kingsland</t>
  </si>
  <si>
    <t>Jesse Wade Powell</t>
  </si>
  <si>
    <t>https://www.fatalencounters.org/wp-content/uploads/2018/06/Jesse-Wade-Powell.jpg</t>
  </si>
  <si>
    <t>NF-4610 &amp; Century Dr</t>
  </si>
  <si>
    <t>Deschutes County Sheriff's Office</t>
  </si>
  <si>
    <t>Deputy Randy Zilk shot and killed Jesse Wade Powell. A woman hiking in the area had heard a confrontation between a male and female, then heard gunshots and contacted police around 6:20 p.m. The fatal shooting occurred at 6:44 p.m. at a camp off Forest Service Road 4610. Police withheld details about the sequence of events that led up to the killing.</t>
  </si>
  <si>
    <t>http://www.ktvz.com/news/dcso-deputy-shoots-kills-springfield-man-at-campsite-sw-of-bend/756262550</t>
  </si>
  <si>
    <t>Antwon Michael Rose II</t>
  </si>
  <si>
    <t>East Pittsburgh</t>
  </si>
  <si>
    <t>https://www.fatalencounters.org/wp-content/uploads/2018/06/antwon-rose.jpg</t>
  </si>
  <si>
    <t>Grandview Avenue and Howard Street</t>
  </si>
  <si>
    <t>East Pittsburgh Police Department</t>
  </si>
  <si>
    <t>East Pittsburgh Police officer Michael Rosfeld shot and killed Antwon Rose as he ran from a traffic stop. Rosfeld was charged with criminal homicide.</t>
  </si>
  <si>
    <t>Officer indicted/Pending</t>
  </si>
  <si>
    <t>https://www.nytimes.com/2018/06/21/us/antwon-rose-police-killing-protests.html</t>
  </si>
  <si>
    <t>Jonathon Buckley</t>
  </si>
  <si>
    <t>https://www.fatalencounters.org/wp-content/uploads/2018/06/JonathonBuckley.jpg</t>
  </si>
  <si>
    <t>1420 S Hairston Rd</t>
  </si>
  <si>
    <t>Jonathon Buckley was reportedly being sought for holding someone against their will. When police caught up with him, he allegedly shot at police and was shot and killed.</t>
  </si>
  <si>
    <t>https://www.11alive.com/article/news/crime/suspect-killed-after-hostage-standoff-shootout-with-dekalb-police/85-565862658</t>
  </si>
  <si>
    <t>Robert Roybal</t>
  </si>
  <si>
    <t>Tucumcari</t>
  </si>
  <si>
    <t>https://www.fatalencounters.org/wp-content/uploads/2018/06/RobertRoybal.jpg</t>
  </si>
  <si>
    <t>1309 S. 7th St.</t>
  </si>
  <si>
    <t>Quay</t>
  </si>
  <si>
    <t>Quay County Sheriff's Office</t>
  </si>
  <si>
    <t>Deputies responded to a man holding another man hostage at knifepoint. Robert Roybal allegedly began pressing the knife harder against the throat of the man he was holding hostage when he was shot and killed.</t>
  </si>
  <si>
    <t>https://www.krqe.com/news/crime/suspect-killed-in-deputy-involved-shooting-in-tucumcari/1248443416</t>
  </si>
  <si>
    <t>Charles Luther Spillers</t>
  </si>
  <si>
    <t>https://www.fatalencounters.org/wp-content/uploads/2018/06/CharlesLutherSpiller.jpg</t>
  </si>
  <si>
    <t>4070 Carbonne Ct</t>
  </si>
  <si>
    <t>Police responding to a domestic disturbance shot and killed Charles Spillers, who allegedly displayed a gun.</t>
  </si>
  <si>
    <t>https://www.ajc.com/news/breaking-news/breaking-man-killed-deputy-involved-shooting-forsyth-county/tzZY2z1jHR5BGGwCVtzOPK/</t>
  </si>
  <si>
    <t>Ryan Angerstien</t>
  </si>
  <si>
    <t>https://www.fatalencounters.org/wp-content/uploads/2018/07/Ryan-C.-Angerstien.jpg</t>
  </si>
  <si>
    <t>1754 Nichols Road</t>
  </si>
  <si>
    <t>Police responded to Nichols Road around 3 a.m. The initial report was for a man banging on doors as he yelled for help. Two Tasers were collected from the scene, and Ryan Angerstein was shocked at least once by a Taser. Angerstien died when he was placed in handcuffs on the ground.</t>
  </si>
  <si>
    <t>https://www.wkyc.com/article/news/local/summit-county/akron-man-dies-in-springfield-township-police-custody/95-565656814</t>
  </si>
  <si>
    <t>Tahaji Wells</t>
  </si>
  <si>
    <t>https://www.fatalencounters.org/wp-content/uploads/2018/06/Tahaji-Wells.jpeg</t>
  </si>
  <si>
    <t>635 S Clinton Ave</t>
  </si>
  <si>
    <t>Gunfire blasted through a celebrated community event in Trenton leaving one person dead and 22 injured, police said. The 24-hour Art All Night event was a celebration of local artists. The shooting erupted around 2:45 a.m. Police said the shooting did not appear to be a targeted incident but a gang-related dispute that eventually led to an exchange of gunfire with police. Tahaji Wells was shot and killed by police after allegedly exchanging fire with at least two other suspects.</t>
  </si>
  <si>
    <t>http://www.nj.com/mercer/index.ssf/2018/06/heres_what_we_know_about_the_shooting_at_art_all_n.html#incart_2box_nj-homepage-featured</t>
  </si>
  <si>
    <t>Abe Martinez</t>
  </si>
  <si>
    <t>South Salt Lake</t>
  </si>
  <si>
    <t>https://www.fatalencounters.org/wp-content/uploads/2018/06/Abe-Martinez.jpg</t>
  </si>
  <si>
    <t>Stanley Ave and 400 E</t>
  </si>
  <si>
    <t>South Salt Lake Police Department</t>
  </si>
  <si>
    <t>An elderly woman was killed and an elderly man was wounded in a standoff that resulted in suspect and grandson Abe Martinez being shot and killed by police.</t>
  </si>
  <si>
    <t>http://fox13now.com/2018/06/17/police-responding-to-swat-situation-in-south-salt-lake-home/</t>
  </si>
  <si>
    <t>Dwayne Clyburn</t>
  </si>
  <si>
    <t>Warwick</t>
  </si>
  <si>
    <t>24 Wheeler Ave</t>
  </si>
  <si>
    <t>Warwick Police Department</t>
  </si>
  <si>
    <t>Around 3 p.m. a man, reportedly armed with a knife, was shot and killed after advancing toward officers responding to a report of an alleged domestic crime.</t>
  </si>
  <si>
    <t>http://mountvernon.dailyvoice.com/police-fire/man-wielding-knife-killed-in-police-involved-shooting-in-hudson-valley/738676/</t>
  </si>
  <si>
    <t>Richard Rivera</t>
  </si>
  <si>
    <t>https://www.fatalencounters.org/wp-content/uploads/2018/06/Richard-RiveraJPG.jpg</t>
  </si>
  <si>
    <t>320 Yale Blvd SE</t>
  </si>
  <si>
    <t>Richard Rivera was shot and killed by police near a crowded Smiths while being pursued as a suspect in a string of crimes. Police said Rivera fired at officers during the chase.</t>
  </si>
  <si>
    <t>http://www.krqe.com/news/crime/suspected-thief-led-police-on-crime-spree-before-fatal-police-shooting/1247654015</t>
  </si>
  <si>
    <t>Ronald Barney</t>
  </si>
  <si>
    <t>N 35th Ave &amp; W Dunlap Ave</t>
  </si>
  <si>
    <t>Officers responded around 8:30 a.m. after receiving reports of a man walking around a neighborhood with a gun and pointing it at people. When officers arrived, they found Barney, who matched the description of the person with the gun. As officers approached him, he got into a black vehicle and fled. Officers found Barney in the area of 35th and Dunlap avenues, where he exited his vehicle and allegedly pointed a handgun at the officers, who shot and killed him.</t>
  </si>
  <si>
    <t>https://www.abc15.com/news/region-phoenix-metro/north-phoenix/police-suspect-injured-during-officer-involved-shooting-in-north-phoenix</t>
  </si>
  <si>
    <t>Michael Fletcher</t>
  </si>
  <si>
    <t>E McKellips Rd and N Lindsay Rd</t>
  </si>
  <si>
    <t>Officers shot and killed Michael Fletcher after he raised a BB gun at officers.</t>
  </si>
  <si>
    <t>https://www.azcentral.com/story/news/local/mesa-breaking/2018/06/17/man-found-dead-after-police-shooting-mesa/708580002/</t>
  </si>
  <si>
    <t>6425 Tyrone Ave</t>
  </si>
  <si>
    <t>Police shot a man who held a knife to a woman's throat at a Van Nuys homeless services center, killing the man and wounding the woman.</t>
  </si>
  <si>
    <t>http://ktla.com/2018/06/16/police-shoot-suspect-in-van-nuys-3-people-hospitalized/</t>
  </si>
  <si>
    <t>David L. Hicks</t>
  </si>
  <si>
    <t>Nokomis</t>
  </si>
  <si>
    <t>https://www.fatalencounters.org/wp-content/uploads/2018/06/DavidHicks.jpg</t>
  </si>
  <si>
    <t>100 Sherman St</t>
  </si>
  <si>
    <t>Nokomis Police Department</t>
  </si>
  <si>
    <t>Police withheld most details as to why David Hicks was shot and killed by a Nokomis officer.</t>
  </si>
  <si>
    <t>http://www.wandtv.com/story/38449533/man-dead-after-officer-involved-shooting</t>
  </si>
  <si>
    <t>Terrence White</t>
  </si>
  <si>
    <t>https://www.fatalencounters.org/wp-content/uploads/2018/06/TerrenceWhite.jpg</t>
  </si>
  <si>
    <t>Radwick Dr and East Owens Ave</t>
  </si>
  <si>
    <t>Officers Jeremiah Beason, 37, Anthony Gariano, 24, Jordan Anderson, 32, Frank Rycraft, 42, Robert Stephenson,36; Joseph Aguilos, 31, and Craig McIntosh, 42, shot and killed Terrence White, whom police alleged was linked to at least five armed robberies, when he attempted to drive toward officers.</t>
  </si>
  <si>
    <t>http://www.fox5vegas.com/story/38440216/suspect-shot-by-7-las-vegas-officers-in-northeast-valley-identified</t>
  </si>
  <si>
    <t>Ashley D. Fulkerson aka Ashley Simonetti</t>
  </si>
  <si>
    <t>https://www.fatalencounters.org/wp-content/uploads/2018/06/Ashley-Simonetti.jpg</t>
  </si>
  <si>
    <t>3800 N Jackson Ave</t>
  </si>
  <si>
    <t>http://fox4kc.com/2018/06/15/police-identify-woman-shot-killed-while-armed-with-a-sword-during-northland-standoff/</t>
  </si>
  <si>
    <t>Joseph Villanueva</t>
  </si>
  <si>
    <t>2300 Ridgeway Dr</t>
  </si>
  <si>
    <t>Hall County Sheriff's Office</t>
  </si>
  <si>
    <t>Around 6:20 a.m., deputies were called on reports of an armed and suspicious man in a mobile home park. Joseph Villanueva allegedly ran from deputies after they made contact with him and fired multiple shots at them. Three deputies shot and killed him.</t>
  </si>
  <si>
    <t>https://www.11alive.com/article/news/local/gainesville/suspect-killed-in-running-gun-battle-with-deputies-in-mobile-home-park-identified/85-564334762</t>
  </si>
  <si>
    <t>Timothy Mosley</t>
  </si>
  <si>
    <t>https://www.fatalencounters.org/wp-content/uploads/2018/06/Timothy-Mosley.jpg</t>
  </si>
  <si>
    <t>1247 Central St</t>
  </si>
  <si>
    <t>Robert A. White, 34, and Timothy D. Mosley, 33, were killed in an officer-involved shooting. Details regarding what precipitated the killings were withheld by police. News reports said they were apparently fighting over a gun and a golf cart.</t>
  </si>
  <si>
    <t>https://www.kshb.com/news/crime/kcpd-continue-to-investigate-barney-allis-plaza-officer-involved-shooting</t>
  </si>
  <si>
    <t>Robert A. White</t>
  </si>
  <si>
    <t>https://www.fatalencounters.org/wp-content/uploads/2018/06/Robert-White.jpg</t>
  </si>
  <si>
    <t>Marcelo Castellano</t>
  </si>
  <si>
    <t>14444 124th Ave NE</t>
  </si>
  <si>
    <t>Police shot and killed a man outside a Safeway gas station just before 5 p.m. Police said the officers recognized the man, who they say was considered armed and dangerous. The officers then confronted the man and shot and killed him, although details as to what precipitated the killing were withheld.</t>
  </si>
  <si>
    <t>http://komonews.com/news/local/police-investigating-officer-involved-shooting-in-kirkland</t>
  </si>
  <si>
    <t>1101 W 69th Ave</t>
  </si>
  <si>
    <t>Deputies responded to a report of a suspicious vehicle with three people inside. There were two female passengers inside the vehicle, and one allegedly pulled a gun on a deputy, who shot and killed her.</t>
  </si>
  <si>
    <t>https://kdvr.com/2018/06/14/officer-involved-shooting-in-adams-county/</t>
  </si>
  <si>
    <t>Dillan Shane Ezell</t>
  </si>
  <si>
    <t>https://www.fatalencounters.org/wp-content/uploads/2018/06/DillanEzell.jpg</t>
  </si>
  <si>
    <t>1415 S Bay St</t>
  </si>
  <si>
    <t>Employees were inside the AutoZone when Dillan Shane Ezell walked in at about 2:15 p.m. and told them he had a gun and to call police. Police surrounded the building, and Ezell came out, raising the weapon. After several shots were fired by police, Ezell reached for the weapon, prompting officers to shoot a second time, killing him. The alleged weapon was a pellet gun.</t>
  </si>
  <si>
    <t>http://www.mynews13.com/fl/orlando/news/2018/06/14/eustis-officer-recovering-after-shooting-leaves-man-dead</t>
  </si>
  <si>
    <t>Camell Nelson</t>
  </si>
  <si>
    <t>551 E Colfax Ave</t>
  </si>
  <si>
    <t>Carnell Nelson walked into the 7-Eleven, allegedly took the cash register and left the store. A store employee flagged down officers who were on routine patrol. When the officers saw Nelson they started chasing him and began to approach him when he allegedly pulled out a gun and started shooting at officers. Who shot and killed him.</t>
  </si>
  <si>
    <t>https://kdvr.com/2018/06/18/police-identify-suspect-who-died-officer-wounded-in-officer-involved-shooting-on-colfax/</t>
  </si>
  <si>
    <t>Nathaniel Adams McCoy Sr.</t>
  </si>
  <si>
    <t>https://www.fatalencounters.org/wp-content/uploads/2018/07/Nathaniel-McCoy.jpg</t>
  </si>
  <si>
    <t>500 Rampart St</t>
  </si>
  <si>
    <t>Carencro Police Department</t>
  </si>
  <si>
    <t>Police said Carencro police officers tasered Nathaniel McCoy, but would not release any further details on his arrest and his death.</t>
  </si>
  <si>
    <t>http://www.klfy.com/top-stories/state-police-investigating-stun-gun-incident-involving-carencro-police/1247417218</t>
  </si>
  <si>
    <t>David Arthur</t>
  </si>
  <si>
    <t>https://www.fatalencounters.org/wp-content/uploads/2018/06/DavidArthur.jpg</t>
  </si>
  <si>
    <t>919 Wynn Rd</t>
  </si>
  <si>
    <t>David Arthur was wanted out of Scioto County on several charges. Deputies got a tip he was at a home. Two deputies approached, but they backed away from the home. They got a search warrant and called Franklin County to assist. Within a few hours, Arthur began firing through a window at police, who shot and killed him.</t>
  </si>
  <si>
    <t>http://www.nbc4i.com/news/local-news/franklin-co-sheriff-confirms-two-dead-after-deputy-involved-shooting-in-pike-county/1238945342</t>
  </si>
  <si>
    <t>Sharon McCleary</t>
  </si>
  <si>
    <t>419 Sal Blvd</t>
  </si>
  <si>
    <t>http://local12.com/news/local/suspect-in-two-butler-county-murders-and-a-standoff-identified</t>
  </si>
  <si>
    <t>Marqueese Alston</t>
  </si>
  <si>
    <t>3700 1st St SE</t>
  </si>
  <si>
    <t>At approximately 7:12 p.m., uniformed patrol officers saw a person they believed to be in possession of a firearm. He ran away from the officers and into an alley. The officers chased him, and he allegedly produced a firearm and shot at the pursuing officers. The officers shot and killed Marqueese Alston.</t>
  </si>
  <si>
    <t>https://mpdc.dc.gov/release/mpd-officer-involved-shooting-3700-block-1st-street-southeast-0</t>
  </si>
  <si>
    <t>Chavius Hollis</t>
  </si>
  <si>
    <t>3775 Lovers Ln</t>
  </si>
  <si>
    <t>Walton County deputies responded to a report of a man with a gun “exhibiting erratic behavior.” Deputies and a family member entered the home, attempting to calm down Chavius Hollis. Hollis allegedly raised his gun and shot the family member, at which point one deputy fired shot and killed Hollis.</t>
  </si>
  <si>
    <t>http://www.onlineathens.com/news/20180613/deputy-shoots-kills-georgia-man-who-shot-relative</t>
  </si>
  <si>
    <t>Stephen Cogelia</t>
  </si>
  <si>
    <t>Hardwick</t>
  </si>
  <si>
    <t>https://www.fatalencounters.org/wp-content/uploads/2018/06/StephenCogelia.jpg</t>
  </si>
  <si>
    <t>40 Sunset Lake Rd</t>
  </si>
  <si>
    <t>Stephen Cogelia had been asked by his father to leave the residence. Cogelia had made threats that he would kill his father and other occupants of the home. The father went to the state police barracks to report the threats and obtain a temporary restraining order against his son. While the father was at the barracks, a relative called to report that Cogelia had returned to the Sunset Lake Road home and was making additional threats. Five troopers went upstairs to the second floor of the home, and after opening the door of a bedroom, encountered Cogelia who was armed with a hunting knife. He was shot and killed.</t>
  </si>
  <si>
    <t>http://www.njherald.com/20180613/hardwick-man-32-dies-in-police-involved-shooting</t>
  </si>
  <si>
    <t>DaNathe M. Gulliford</t>
  </si>
  <si>
    <t>https://www.fatalencounters.org/wp-content/uploads/2018/07/DaNathe-M.-Gulliford.jpg</t>
  </si>
  <si>
    <t>600 Harmon St</t>
  </si>
  <si>
    <t>Police were called to a home with a report a man had been there and threatened someone with a firearm, but had left the residence. A description of the person went out to patrol officers who spotted a vehicle and person matching the description. When they stopped him, the driver was ordered to show his hands and exit the vehicle. Police said the man had a firearm in his hand and ignored the officers' orders, at which point the officers shot and killed him.</t>
  </si>
  <si>
    <t>http://www.illinoishomepage.net/news/local-news/armed-man-killed-by-police/1233841661</t>
  </si>
  <si>
    <t>Alexandre J. Aldrich</t>
  </si>
  <si>
    <t>200 West Osborn Avenue</t>
  </si>
  <si>
    <t>Alexandre Aldrich was suspected of trespassing when he was shot and killed when he allegedly lunged at one of the officers holding an open-ended handcuff.</t>
  </si>
  <si>
    <t>https://azdailysun.com/news/state-and-regional/phoenix-police-id-trespassing-suspect-who-was-fatally-shot/article_7f1598d0-a9e8-5978-b4e9-29f751b02b03.html</t>
  </si>
  <si>
    <t>Nicolas Moncada</t>
  </si>
  <si>
    <t>13800 Philadelphia St</t>
  </si>
  <si>
    <t>An estranged couple was transferring custody of their children, a 4-year-old girl and 7-year-old boy, in the lobby of the Whittier police headquarters at 6 p.m. The father pulled out a knife, abducted the mother, and forced her into a vehicle and drove to a residence. At that point, the mother was able to walk away from the vehicle, but the father returned a short time later and removed the girl from the car at knifepoint. Whittier police arrived and were concerned the girl was in danger, and they shot and killed the man.</t>
  </si>
  <si>
    <t>http://ktla.com/2018/06/11/whittier-police-shoot-suspect-while-responding-to-domestic-incident/</t>
  </si>
  <si>
    <t>Robert Lawrence White</t>
  </si>
  <si>
    <t>9233 Three Oaks Dr</t>
  </si>
  <si>
    <t>An officer was in the area of Sligo Creek Parkway responding to an unrelated call. After the call was cleared at around 2:15 p.m., the officer encountered an African-American man at a nearby townhouse. The officer attempted to speak with the man for undisclosed reasons, and they fought. The man was shot by the officer multiple times, killing him.</t>
  </si>
  <si>
    <t>http://www.fox5dc.com/news/local-news/police-officer-shoots-suspect-in-montgomery-county-officials-say</t>
  </si>
  <si>
    <t>Wadsworth Pkwy and W 92nd Ave</t>
  </si>
  <si>
    <t>Westminster police said they received a request from Northglenn police for assistance stopping a vehicle at about 8:30 p.m. A male passenger in the car was wanted for kidnapping, auto theft, domestic violence, harassment and eluding police, police said. Northglenn police had attempted to stop the car at 104th Avenue and Federal Boulevard, but the driver fled. Officers stopped the car at 92nd and Wadsworth Parkway, where the suspect got out of the car and fled on foot Police said the man was armed with a weapon and a Northglenn officer shot and killed him.</t>
  </si>
  <si>
    <t>https://www.thedenverchannel.com/news/local-news/police-shoot-kill-kidnapping-suspect-after-pursuit-in-adams-county</t>
  </si>
  <si>
    <t>LaShanda Anderson</t>
  </si>
  <si>
    <t>Deptford</t>
  </si>
  <si>
    <t>1800 Clements Bridge Rd</t>
  </si>
  <si>
    <t>Deptford Township police officers were dispatched to a Marshalls around 3:40 p.m. for a reported shoplifting in progress. Police said they encountered three people who had left the store with allegedly stolen merchandise. One of the suspects, Raoul Gadson, was fighting with security guards from the store. When officers arrived, Gadson ran while the two women he was with got into a rented Nissan Armada. The female driver allegedly accelerated toward police. The driver, LaShanda Anderson, was shot and killed.</t>
  </si>
  <si>
    <t>http://6abc.com/suspect-sought-after-police-involved-shooting-in-deptford-twp/3583409/</t>
  </si>
  <si>
    <t>Timothy Owen</t>
  </si>
  <si>
    <t>2602 S 39th St</t>
  </si>
  <si>
    <t>Temple officers went at about 3:38 a.m. to a disturbance in progress at an apartment and allegedly were fired on as they approached the apartment. They returned fire, fatally striking the shooter. An 11-year-old boy was wounded, although it wasn't immediately apparent who shot him.</t>
  </si>
  <si>
    <t>http://www.tdtnews.com/news/article_fcc45790-6dae-11e8-9be9-b7e6bd80da97.html</t>
  </si>
  <si>
    <t>Michael Renfroe</t>
  </si>
  <si>
    <t>https://www.fatalencounters.org/wp-content/uploads/2018/06/MichaelRenfroJPG.jpg</t>
  </si>
  <si>
    <t>MS-43 and Old Natchez Trace</t>
  </si>
  <si>
    <t>Michael Renfroe was shot and killed after being tasered. Witness and police reports differ diametrically. Renfroe was unarmed.</t>
  </si>
  <si>
    <t>http://www.wsfa.com/story/38388975/wife-husband-unarmed-when-he-was-shot-three-times-by-madison-co-sheriffs-deputy</t>
  </si>
  <si>
    <t>Todd Gregory</t>
  </si>
  <si>
    <t>Old Mine Rd</t>
  </si>
  <si>
    <t>New Jersey State Police received an alert regarding Todd Gregory. Gregory allegedly had gone to the home of a man with whom he had a dispute and raced back and forth in his vehicle in front of the home and fired a gunshot toward the home, striking a vehicle. New Jersey State Police found Gregory driving into New Jersey and attempted to pull over his white pickup truck, but he did not stop. Troopers followed Gregory to Old Mine Road in Hardwick, where they lost sight of his vehicle. The found the pickup truck in a secluded area. As troopers approached the suspect vehicle on foot, police said a gunshot was heard from within the vehicle. One trooper fired multiple rounds into the vehicle, killing Gregory.</t>
  </si>
  <si>
    <t>https://www.rlsmedia.com/article/nj-state-police-fatally-shoots-man-armed-two-rifles</t>
  </si>
  <si>
    <t>Leslie Yolanda Salazar</t>
  </si>
  <si>
    <t>https://www.fatalencounters.org/wp-content/uploads/2018/06/Leslie-Yolanda-Salazar.jpg</t>
  </si>
  <si>
    <t>7300 of S Glenn St</t>
  </si>
  <si>
    <t>Leslie Yolanda Salazar was shot and killed by an Austin police officer as she allegedly approached him with a knife.</t>
  </si>
  <si>
    <t>https://www.statesman.com/news/local/officer-involved-shooting-southeast-austin-police-say/PPZIK552bxH4DiPmgT06MM/</t>
  </si>
  <si>
    <t>Raymon Lee Truitt II</t>
  </si>
  <si>
    <t>560 Kentucky Street</t>
  </si>
  <si>
    <t>Raymon Truitt II was killed during a gun battle with police during an alleged weapons buy by U.S. Bureau of Alcohol, Tobacco, Firearms and Explosives agents. An agent was wounded.</t>
  </si>
  <si>
    <t>https://www.nwitimes.com/news/local/crime-and-courts/second-suspect-charged-in-shooting-of-undercover-federal-agent-in/article_cee49917-3dcf-5026-aaa3-a23012ed9954.html#1</t>
  </si>
  <si>
    <t>Wes Allen</t>
  </si>
  <si>
    <t>1000 Avenida Cesar Chavez SE</t>
  </si>
  <si>
    <t>U.S. Marshals and federally-deputized BCSO deputies had been tracking a fugitive for a couple of days before finding him at the Motel 6 around 12:40 a.m. He was shot and killed. Police would not say if the fugitive fired at deputies, if he had a weapon, or what precipitated the killing.</t>
  </si>
  <si>
    <t>https://www.abqjournal.com/1181901/bcso-deputies-involved-in-shooting-in-se-albuquerque.html</t>
  </si>
  <si>
    <t>Douglas Conner</t>
  </si>
  <si>
    <t>Benton City</t>
  </si>
  <si>
    <t>https://www.fatalencounters.org/wp-content/uploads/2018/06/Douglas-Conner.jpg</t>
  </si>
  <si>
    <t>1000 of Jonah Ln</t>
  </si>
  <si>
    <t>Around 11 a.m., the Benton County Sheriff's Office received a report of a suicidal man with a gun inside a car. By the time deputies responded, the man had gone inside a house and an hours-long standoff began. The man was allegedly threatening a 49-year-old woman with a gun and preventing her from leaving. Snipers were positioned outside of the home. One of the snipers shot and killed Douglas Conner.</t>
  </si>
  <si>
    <t>https://www.kxly.com/news/sheriff-sniper-fatally-shoots-man-holding-woman-hostage-in-benton-city/750559214</t>
  </si>
  <si>
    <t>Maurice Granton Jr.</t>
  </si>
  <si>
    <t>300 of E 47th St</t>
  </si>
  <si>
    <t>A Chicago police officer fatally shot Maurice Granton Jr. in the back during a Bronzeville foot chase. Police alleged that he pulled a gun on police who were trying to stop him during a narcotics investigation about 8:15 p.m.</t>
  </si>
  <si>
    <t>https://chicago.suntimes.com/news/maurice-granton-chicago-police-shooting-bronzeville/</t>
  </si>
  <si>
    <t>Abraham Noe Flores</t>
  </si>
  <si>
    <t>https://www.fatalencounters.org/wp-content/uploads/2018/06/Abraham-Noe-Flores.jpg</t>
  </si>
  <si>
    <t>998 Diamond Ave</t>
  </si>
  <si>
    <t>At 11:28 a.m., police received a call from a woman saying her boyfriend was armed with a pistol and a rifle and was suicidal. The Tehama County Sheriff's Department arrived in an armored vehicle and began negotiations with Flores. After about 44 minutes, Flores pointed a rifle at the vehicle, and they shot and killed him.</t>
  </si>
  <si>
    <t>http://krcrtv.com/news/tehama-county/tehama-co-shasta-college-campus-on-lockdown-due-to-man-with-weapon</t>
  </si>
  <si>
    <t>Merrick</t>
  </si>
  <si>
    <t>Murray Place</t>
  </si>
  <si>
    <t>Officers responded to a home at about 1:45 a.m. in response to a domestic disturbance call, but Nassau police refused to provide additional details about what led up to the killing.</t>
  </si>
  <si>
    <t>https://www.newsday.com/long-island/crime/police-shooting-merrick-1.19005608</t>
  </si>
  <si>
    <t>Brian Puskas</t>
  </si>
  <si>
    <t>Sunbury</t>
  </si>
  <si>
    <t>https://www.fatalencounters.org/wp-content/uploads/2018/06/Brian-Puskas.jpg</t>
  </si>
  <si>
    <t>11390 Kilbourne Rd</t>
  </si>
  <si>
    <t>Delaware County Sheriff's Office</t>
  </si>
  <si>
    <t>Deputies responded when a woman called 9-1-1 saying her husband came home from work early and was acting erratically, threatening her with weapons. The woman indicated there were multiple guns and knives in the home. When deputies arrived, at 11:25 a.m., Brian Puskas was in his yard and behaving erratically. Deputies spoke with Puskas for several minutes before shooting and killing. Details as to what precipitated the killing were withheld by police.</t>
  </si>
  <si>
    <t>https://www.10tv.com/article/man-killed-deputies-delaware-county-identified</t>
  </si>
  <si>
    <t>Roger Dale Sims</t>
  </si>
  <si>
    <t>https://www.fatalencounters.org/wp-content/uploads/2018/06/Roger-Dale-Sims.jpg</t>
  </si>
  <si>
    <t>167 Lower Big Springs Rd</t>
  </si>
  <si>
    <t>A 9-1-1 call came in from a man, who said he had just shot his wife in the head. When police arrived, they found Roger Dale Sims on his front porch with two guns. He walked into the yard and started firing. Sims then allegedly put one gun down, on the back of a pickup truck, and pointed the second gun at his head, then pointed the guns toward the officers, who shot and killed him.</t>
  </si>
  <si>
    <t>https://www.lagrangenews.com/2018/06/06/man-killed-after-firing-guns-at-lpd-sheriffs-deputies/</t>
  </si>
  <si>
    <t>Abel Guzman</t>
  </si>
  <si>
    <t>1919 N Main St</t>
  </si>
  <si>
    <t>Abel Guzman was shot outside a Walmart store after he allegedly pointed a gun at a police officer. Details as to what precipitated the killing were withheld by police.</t>
  </si>
  <si>
    <t>http://abc13.com/suspect-dies-after-being-shot-by-police-outside-pearland-walmart/3565622/</t>
  </si>
  <si>
    <t>Josh Nash Bryant</t>
  </si>
  <si>
    <t>https://www.fatalencounters.org/wp-content/uploads/2018/06/Josh-Nash-Bryant.jpg</t>
  </si>
  <si>
    <t>2708 Valor Dr</t>
  </si>
  <si>
    <t>Deputies responded to a home after 8 p.m. in reference to a suicidal person. Josh Nash Bryant had barricaded himself in his father's home when he was shot and killed by police after allegedly coming out with a gun and threatening deputies.</t>
  </si>
  <si>
    <t>http://www.starnewsonline.com/news/20180605/man-killed-in-ogden-standoff-was-wanted-by-wilmington-police</t>
  </si>
  <si>
    <t>Joshua S. Stanford</t>
  </si>
  <si>
    <t>2109 N Fort St</t>
  </si>
  <si>
    <t>Police said Joshua S. Stanford shot at officers while they were pursuing him for a suspected package theft, and they shot and killed him.</t>
  </si>
  <si>
    <t>http://www.ozarksfirst.com/news/breaking-officer-involved-shooting/1218326115</t>
  </si>
  <si>
    <t>Julio Eduardo Hernandez Mata</t>
  </si>
  <si>
    <t>Pocasset</t>
  </si>
  <si>
    <t>US-81</t>
  </si>
  <si>
    <t>Chickasha Police Department, Oklahoma Highway Patrol, Grady County Sheriff's Office</t>
  </si>
  <si>
    <t>Police responded to reports of a domestic incident around 5 a.m. When officers arrived they found two people dead inside, as well as two children unharmed. A man was spotted fleeing, and police pursued. A trooper ran him off the road causing the suspect's vehicle to roll. He was shot and killed, although details as to what precipitated the killing were withheld by police.</t>
  </si>
  <si>
    <t>http://www.newson6.com/story/38335606/osbi-officers-shoot-and-kill-suspect-involved-in-chickasha-double-homicide</t>
  </si>
  <si>
    <t>Rudy Molina</t>
  </si>
  <si>
    <t>9100 Bellegrave Avenue</t>
  </si>
  <si>
    <t>Deputies were trying to pull the driver over on suspicion of driving under the influence. The person fled, and police pursued. The driver was shot and killed after getting out of the truck, although details as to what precipitated the killing were withheld by police.</t>
  </si>
  <si>
    <t>http://abc7.com/suspected-dui-driver-shot-dead-by-deputies-in-jurupa-valley-/3557770/</t>
  </si>
  <si>
    <t>Mecca</t>
  </si>
  <si>
    <t>Lincoln Street and 66th Avenue</t>
  </si>
  <si>
    <t>A man armed with an ax was shot and killed by a Riverside deputy at around 3:27 a.m. Details as to what precipitated the killing were withheld by police.</t>
  </si>
  <si>
    <t>http://ktla.com/2018/06/03/deputy-kills-man-with-axe-in-thermal-rcsd/</t>
  </si>
  <si>
    <t>Shamir Deangelo Terry</t>
  </si>
  <si>
    <t>https://www.fatalencounters.org/wp-content/uploads/2018/06/Shamir-Deangelo-Terry.jpg</t>
  </si>
  <si>
    <t>2574 Riverside Dr</t>
  </si>
  <si>
    <t>https://www.13wmaz.com/article/news/local/update-gbi-investigating-after-bibb-deputies-shoot-kill-armed-robbery-suspect/93-560972332</t>
  </si>
  <si>
    <t>Gus Tousis</t>
  </si>
  <si>
    <t>I-290 and Central Ave</t>
  </si>
  <si>
    <t>About 8:45 a.m., agents investigating cocaine distribution saw an alleged exchange of packages and tried to pull over one of the vehicles involved in the handoff. Gus Tousis fled, and agents activated their lights and sirens and again tried to stop the vehicle on Central Avenue, where Tousis allegedly turned his vehicle and struck one of the agents, who shot and killed him.</t>
  </si>
  <si>
    <t>https://chicago.suntimes.com/news/dea-agent-shoots-suspect-austin-drug-bust/</t>
  </si>
  <si>
    <t>Andres Estrada</t>
  </si>
  <si>
    <t>203 8th St N</t>
  </si>
  <si>
    <t>Two computer crimes detectives went to a home after reports of someone downloading child porn. When crews arrived, Andres Estrada, 21, and his 18-year-old brother, Claudio, allowed the detectives to come inside. Police allegedly found child porn on Andres' cellphone, police said. When one officer went outside, a brother attacked the officer inside. The officer came inside and shot and killed Andres Estrada.</t>
  </si>
  <si>
    <t>http://www.wesh.com/article/child-pornography-arrest-turns-deadly-in-polk-county-investigators-say/21056620</t>
  </si>
  <si>
    <t>Juan Carlos Perez-Victor</t>
  </si>
  <si>
    <t>20040 Hawthorne Blvd</t>
  </si>
  <si>
    <t>Around 8:45 a.m., police were dispatched to the area of Planet Fitness after receiving a call regarding an individual armed with a knife, police said. When police arrived, the man allegedly refused to obey their commands, prompting officers to use less-than-lethal force. The man allegedly advanced toward officers, and he was shot and killed.</t>
  </si>
  <si>
    <t>http://ktla.com/2018/06/01/person-brandishing-knife-near-torrance-gym-fatally-shot-by-police-officials-say/</t>
  </si>
  <si>
    <t>Renie Cablay</t>
  </si>
  <si>
    <t>https://www.fatalencounters.org/wp-content/uploads/2018/06/Renie-Cablay.jpg</t>
  </si>
  <si>
    <t>94-246 Leoku St</t>
  </si>
  <si>
    <t>Around 9:10 p.m., an officer responded to reports of a hit and run. When police caught up with a man believed to be the driver, he allegedly threatened the officer with a knife, then went into an apartment. Officers followed him into the second-story apartment and shot and killed him when he allegedly lunged at an officer with the knife.</t>
  </si>
  <si>
    <t>http://www.kitv.com/story/38333352/one-man-is-dead-after-an-officer-involved-shooting-in-waipahu</t>
  </si>
  <si>
    <t>Ricardo Cisneros Piceno</t>
  </si>
  <si>
    <t>https://www.fatalencounters.org/wp-content/uploads/2018/06/Ricardo-Cisneros-Piceno.jpg</t>
  </si>
  <si>
    <t>S. Monson and E. Floral Avenues</t>
  </si>
  <si>
    <t>Orange Cove Police Department</t>
  </si>
  <si>
    <t>Officers responded to an alleged road rage incident. The 9-1-1 caller said Piceno wanted to fight multiple people and appeared to be under the influence of a substance. Deputies said Piceno then drove away. Shortly after, an off-duty police officer saw Piceno driving erratically and pulled over to the side of the road to let him pass. Piceno then stopped and pulled up next to the officer and began an argument with the officer. The officer reportedly identified himself to Piceno as police and got out of his car. The officer shot and killed Piceno, although police withheld information as to what precipitated the killing.</t>
  </si>
  <si>
    <t>http://www.yourcentralvalley.com/news/man-killed-in-officer-involved-shooting-near-dinuba-identified-1/1213411966</t>
  </si>
  <si>
    <t>Jerick Raheem Gray</t>
  </si>
  <si>
    <t>https://www.fatalencounters.org/wp-content/uploads/2018/06/Jerick-Raheem-Gray.jpg</t>
  </si>
  <si>
    <t>1101 Mendenhall St</t>
  </si>
  <si>
    <t>Jerick Gray was shot and killed by police in Thomasville after a bank robbery and chase. He allegedly stabbed a store owner before he was killed.</t>
  </si>
  <si>
    <t>http://myfox8.com/2018/06/01/police-identify-man-shot-and-killed-by-officer-after-bank-robbery-and-chase-in-thomasville/</t>
  </si>
  <si>
    <t>Katherine Brazeau</t>
  </si>
  <si>
    <t>https://www.fatalencounters.org/wp-content/uploads/2018/06/Katherine-Brazeau.jpg</t>
  </si>
  <si>
    <t>1661 E Chapman Avenue</t>
  </si>
  <si>
    <t>http://ktla.com/2018/05/31/woman-fatally-shot-by-fullerton-police-after-allegedly-stabbing-therapist/</t>
  </si>
  <si>
    <t>Juvon Leroy Simon</t>
  </si>
  <si>
    <t>https://www.fatalencounters.org/wp-content/uploads/2018/06/JuvonLeroySimon.jpg</t>
  </si>
  <si>
    <t>1405 NW Second Ave</t>
  </si>
  <si>
    <t>Two Florida City police detectives were questioning Juvon Simon just before 1 p.m. when a fight began inside the apartment. During the struggle, 33-year-old Frantz Hardy shot and killed Simon, who was allegedly armed with a gun.</t>
  </si>
  <si>
    <t>https://www.local10.com/news/florida/miami-dade/florida-city-police-officer-involved-in-shooting-authorities-say</t>
  </si>
  <si>
    <t>Bryan Alexander Rodriguez</t>
  </si>
  <si>
    <t>10900 of Telfair Ave</t>
  </si>
  <si>
    <t>After 1 a.m., Los Angeles police officers responded to a report of an assault with a deadly weapon, police said. When officers arrived, they were directed to an angry man who was on top of a carport. The suspect came down and began throwing objects at the officers, who responded with various less-lethal means. He allegedly armed himself with a pickax and ran to a nearby residence, where he attempted to enter. He was shot and killed.</t>
  </si>
  <si>
    <t>http://www.valdostadailytimes.com/news/national_international/man-armed-with-pickax-dies-in-officer-involved-shooting-in/article_637b2de8-975b-57b6-bc45-a79707549130.html</t>
  </si>
  <si>
    <t>Zane Anthony James</t>
  </si>
  <si>
    <t>Cottonwood Heights</t>
  </si>
  <si>
    <t>https://www.fatalencounters.org/wp-content/uploads/2018/06/Zane-Anthony-James.jpg</t>
  </si>
  <si>
    <t>6675 S 2200 E</t>
  </si>
  <si>
    <t>Cottonwood Heights Police Department</t>
  </si>
  <si>
    <t>https://www.sltrib.com/news/2018/06/01/armed-robbery-suspect-shot-by-cottonwood-heights-police-dies/</t>
  </si>
  <si>
    <t>Rabi Brown</t>
  </si>
  <si>
    <t>https://www.fatalencounters.org/wp-content/uploads/2018/06/RabiBrown.jpg</t>
  </si>
  <si>
    <t>9400 N Metro Pkwy W</t>
  </si>
  <si>
    <t>Sgt. Gary Bradley and Officer Jeffrey Fishers shot and killed Rabi Brown, who allegedly pulled a gun from his pocket after ignoring their commands not to touch the weapon.</t>
  </si>
  <si>
    <t>http://www.star-telegram.com/news/politics-government/national-politics/article212465219.html</t>
  </si>
  <si>
    <t>Armando Arellano Osuna</t>
  </si>
  <si>
    <t>Riverbank</t>
  </si>
  <si>
    <t>7000 Burneyville Rd</t>
  </si>
  <si>
    <t>Stanislaus County Sheriff's Office</t>
  </si>
  <si>
    <t>Police responded to an argument between a landlord and a former tenant. Armando Osuna allegedly hit an officer with a pipe and was shot and killed.</t>
  </si>
  <si>
    <t>http://www.modbee.com/news/local/crime/article212118164.html</t>
  </si>
  <si>
    <t>Michael Glad</t>
  </si>
  <si>
    <t>Taylorsville</t>
  </si>
  <si>
    <t>6200 S and 4000 W</t>
  </si>
  <si>
    <t>Michael Glad was killed by police in West Jordan after allegedly robbing a 7-Eleven, stealing a police truck, hitting civilian cars, and brandishing a handgun.</t>
  </si>
  <si>
    <t>http://fox13now.com/2018/05/28/police-respond-to-officer-involved-critical-incident-in-west-jordan/</t>
  </si>
  <si>
    <t>Raul Rivera</t>
  </si>
  <si>
    <t>Hollister Street and Tocayo Avenue</t>
  </si>
  <si>
    <t>Raul Rivera was shot and killed by police after reportedly be shot with bean bags and tasers, yet still advancing on police with a knife.</t>
  </si>
  <si>
    <t>http://fox5sandiego.com/2018/05/28/cell-phone-video-captures-knife-wielding-man-killed-by-police/</t>
  </si>
  <si>
    <t>Eugene Baylis</t>
  </si>
  <si>
    <t>27 1/4 Road</t>
  </si>
  <si>
    <t>U.S. Bureau of Land Management</t>
  </si>
  <si>
    <t>Two BLM rangers were checking on a white van parked on BLM property in the Bookcliffs area when the man fired at officers, hitting one in his protective vest. One ranger shot and killed him.</t>
  </si>
  <si>
    <t>http://kdvr.com/2018/05/28/man-dies-after-exchanging-gunfire-with-blm-rangers-in-mesa-county/</t>
  </si>
  <si>
    <t>Everton</t>
  </si>
  <si>
    <t>Dade</t>
  </si>
  <si>
    <t>Deputies responded to a request for service to check the well-being of a reported suicidal man. When the deputy arrived at the rural Everton home, he was confronted by a man with a knife whom he shot and killed.</t>
  </si>
  <si>
    <t>http://www.ky3.com/content/news/Suicidal-man-shot-and-killed-after-confronting-deputy-with-knife-483997471.html</t>
  </si>
  <si>
    <t>Homer Woodroe Tyler</t>
  </si>
  <si>
    <t>Silsbee</t>
  </si>
  <si>
    <t>972 FM 92</t>
  </si>
  <si>
    <t>Silsbee Police Department, Hardin County Sheriff's Office</t>
  </si>
  <si>
    <t>Homer Woodroe Tyler was reported to be armed with a firearm and driving a pickup en route to a family member's home. He was stopped by officers from Silsbee police and the sheriff's office around 3 a.m. He allegedly got out of his vehicle and threatened officers with a handgun. One Silsbee officer and one deputy shot and killed him.</t>
  </si>
  <si>
    <t>https://www.beaumontenterprise.com/news/article/Update-Fred-man-shot-by-officers-identified-12946316.php</t>
  </si>
  <si>
    <t>Augustine Oliva</t>
  </si>
  <si>
    <t>Dumas</t>
  </si>
  <si>
    <t>https://www.fatalencounters.org/wp-content/uploads/2018/05/AugustineOliva.jpg</t>
  </si>
  <si>
    <t>200 Pine St</t>
  </si>
  <si>
    <t>Dumas Police Department</t>
  </si>
  <si>
    <t>At approximately 3:15 am, a Dumas officer was taking a report about a stolen vehicle, when the owner of the vehicle saw it drive by. The officer returned to his vehicle to radio the information to dispatch and was standing outside of his vehicle the driver of the vehicle make a u-turn and traveled back toward him, allegedly ramming the officer's patrol vehicle. Augustine Oliva backed the vehicle up and allegedly drove toward the officer, who shot and killed him.</t>
  </si>
  <si>
    <t>http://abc7amarillo.com/news/local/rangers-to-investigate-dumas-officer-involved-shooting</t>
  </si>
  <si>
    <t>Albert Guerra Jr.</t>
  </si>
  <si>
    <t>https://www.fatalencounters.org/wp-content/uploads/2018/07/Albert-Guerra-Jr.jpg</t>
  </si>
  <si>
    <t>2301 31st Street</t>
  </si>
  <si>
    <t>At 7:38 a.m., police and EMS were called on a report of a disturbance and a man "in distress." Police encountered Albert Guerra and found that he had an outstanding misdemeanor warrant for his arrest. Officers told Guerra that he would be placed under arrest. There was a fight in the house that spilled into the front yard. Officers shocked Guerra multiple times with a stun gun, killing him.</t>
  </si>
  <si>
    <t>http://www.everythinglubbock.com/news/local-news/man-dies-in-police-custody-lpd-makes-public-statement/1199278404</t>
  </si>
  <si>
    <t>Rocky Lee</t>
  </si>
  <si>
    <t>Stagecoach</t>
  </si>
  <si>
    <t>16100 Singletree Drive</t>
  </si>
  <si>
    <t>Stagecoach Police Department</t>
  </si>
  <si>
    <t>Stagecoach Police Department Officer Robert Lee, shot and killed his brother, Rocky Lee, an off-duty Harris County Sheriff's Office deputy, police said.</t>
  </si>
  <si>
    <t>https://www.click2houston.com/news/deputy-shoots-suspect-in-stagecoach-authorities-say</t>
  </si>
  <si>
    <t>Around 8:50 a.m., deputies responded to a report of a white pickup truck driving recklessly through private property. Deputies attempted to stop it, but the driver fled. Deputies pursued the vehicle, which became disabled. The man got out of the truck and ran. He allegedly turned and brandished a military-style knife and threatened the deputies, one of whom shot and killed him.</t>
  </si>
  <si>
    <t>https://www.kivitv.com/news/1-man-killed-in-officer-involved-shooting-in-elmore-county</t>
  </si>
  <si>
    <t>Dustin D. Odom</t>
  </si>
  <si>
    <t>Citra</t>
  </si>
  <si>
    <t>https://www.fatalencounters.org/wp-content/uploads/2018/05/dustin_odom.jpg</t>
  </si>
  <si>
    <t>15861 N US 301</t>
  </si>
  <si>
    <t>Deputies were called at 12:53 p.m. in reference to a man who had violated his drug-offender probation. The man fled as deputies and a probation officer arrived to arrest him. Police said the man ran into a wooded area behind the property. When he was approached by deputies, the man was uncooperative and then confronted them. One of the deputies shot and killed him.</t>
  </si>
  <si>
    <t>http://www.gainesville.com/news/20180524/deputy-fatally-shoots-man-at-phoenix-house-in-citra</t>
  </si>
  <si>
    <t>Dustin Brian Montano</t>
  </si>
  <si>
    <t>1300 Barlow Rd</t>
  </si>
  <si>
    <t>Dustin Montano was wanted for murdering a woman and her daughter in New Mexico. Police said he drove to northeast Colorado. Morgan County deputies said when they confronted him outside a Walmart, he made a threatening gesture and they shot and killed him.</t>
  </si>
  <si>
    <t>http://kdvr.com/2018/05/26/double-homicide-suspect-shot-outside-fort-morgan-walmart-dies/</t>
  </si>
  <si>
    <t>Brett Luengo</t>
  </si>
  <si>
    <t>https://www.fatalencounters.org/wp-content/uploads/2018/05/brett-luengo.jpg</t>
  </si>
  <si>
    <t>I-90 and West Blvd</t>
  </si>
  <si>
    <t>Brett Luengo crashed his car along Interstate 90 East. Witnesses said he went after anyone who stopped to help. When a Cuyahoga County Sheriff's deputy pulled up, he again became aggressive. Video shows the man on the ground flailing while ignoring the deputy's commands before getting up and going after him, still shouting. The deputy repeatedly ordered him to get on the ground, and shocked him with a Taser. The deputy shot and killed him when the man allegedly lunged at him.</t>
  </si>
  <si>
    <t>http://fox8.com/2018/05/25/westlake-man-who-was-shot-after-ignoring-deputys-commands-on-i-90-has-died/</t>
  </si>
  <si>
    <t>Claudia Patricia Gómez González</t>
  </si>
  <si>
    <t>http://www.fatalencounters.org/wp-content/uploads/2018/05/Claudia-Patricia-Gómez-Gonzálezjpeg.jpeg</t>
  </si>
  <si>
    <t>Centeno Lane</t>
  </si>
  <si>
    <t>U.S. Customs and Border Patrol</t>
  </si>
  <si>
    <t>A U.S. Customs and Border Patrol agent shot and killed undocumented immigrant Claudia Patricia Gómez González when a group of people allegedly rushed the agent. Witnesses disputed the police account.</t>
  </si>
  <si>
    <t>http://www.wcvb.com/article/undocumented-immigrant-shot-killed-by-border-patrol-officer-in-texas/20891214</t>
  </si>
  <si>
    <t>Joshua M. Gomoll</t>
  </si>
  <si>
    <t>937 N Lake St</t>
  </si>
  <si>
    <t>Fox Crossing Police Department</t>
  </si>
  <si>
    <t>Joshua M. Gomoll was allegedly approaching people in Fritse Park with a knife, behaving erratically. Police shot and killed him, although details regarding what precipitated the killing were withheld.</t>
  </si>
  <si>
    <t>http://www.wbay.com/content/news/Man-shot-by-police-officer-on-Trestle-Trail-identified-483739591.html</t>
  </si>
  <si>
    <t>Makell Meyerin</t>
  </si>
  <si>
    <t>Gurnee</t>
  </si>
  <si>
    <t>https://www.fatalencounters.org/wp-content/uploads/2018/05/Makell-Meyerin.jpg</t>
  </si>
  <si>
    <t>300 N Gould Ave</t>
  </si>
  <si>
    <t>Gurnee Police Department</t>
  </si>
  <si>
    <t>After several chases and alleged assaults on police, Makell Meyerin was shot and killed by police while holding a long gun.</t>
  </si>
  <si>
    <t>https://chicago.suntimes.com/crime/cops-say-fatal-police-shooting-in-gurnee-connected-with-earlier-antioch-standoff/</t>
  </si>
  <si>
    <t>Eddie James Morris</t>
  </si>
  <si>
    <t>https://www.fatalencounters.org/wp-content/uploads/2018/05/eddiemorris.jpg</t>
  </si>
  <si>
    <t>100 Lawndale Rd</t>
  </si>
  <si>
    <t>Leon County Sheriff's Office</t>
  </si>
  <si>
    <t>Before 11 p.m., police responded to a report of a home burglary in progress. Police arrived and engaged Eddie James Morris, who was being held at gunpoint by the homeowner. Morris was tasered by police after he allegedly advanced toward officers and raised a lamp over his head. Morris continued to struggle with officers and was tasered a second time, killing him.</t>
  </si>
  <si>
    <t>http://www.wctv.tv/content/news/Homeowner-holds-suspect-at-gun-point-during-burglary-suspect-in-critical-condition-483519581.html</t>
  </si>
  <si>
    <t>lamp</t>
  </si>
  <si>
    <t>Martin Sandejo</t>
  </si>
  <si>
    <t>Mathis</t>
  </si>
  <si>
    <t>https://www.fatalencounters.org/wp-content/uploads/2018/07/Martin-Sandejo.jpg</t>
  </si>
  <si>
    <t>100 7th Street</t>
  </si>
  <si>
    <t>Mathis Police Department</t>
  </si>
  <si>
    <t>Police were called out to a burglary at a home around 4 p.m. According to family members, a man was holding a knife when police arrived, and they ordered him to put the knife down, then Mathis Police Chief Pete Saenz shot and killed him. Reports did not specify whether Sandejo released the knife.</t>
  </si>
  <si>
    <t>http://www.kristv.com/story/38253569/mathis-police-investigating-a-shooting</t>
  </si>
  <si>
    <t>Ronda Ebeling</t>
  </si>
  <si>
    <t>Joshua Tree</t>
  </si>
  <si>
    <t>Yucca Trail and Contenta Road</t>
  </si>
  <si>
    <t>Police received a call from a person who had been on the phone with a woman who was going to meet with her ex-boyfriend at a remote location. The person calling said that he could hear the woman screaming and that he believed that she was being assaulted. When deputies arrived, they found Ronda Ebeling and Ray Wyatt standing in a field. Wyatt shot Ebeling in the upper body and fled on foot. Additional deputies arrived and swept the area, eventually finding Wyatt hiding in a bush nearby. He was shot and killed.</t>
  </si>
  <si>
    <t>http://www.kesq.com/news/2-dead-following-joshua-tree-shooting/745038009</t>
  </si>
  <si>
    <t>Donald Whitmer Jr.</t>
  </si>
  <si>
    <t>West Melbourne</t>
  </si>
  <si>
    <t>https://www.fatalencounters.org/wp-content/uploads/2018/05/Donald-Whitmer-Jr.jpg</t>
  </si>
  <si>
    <t>2261 W New Haven Ave</t>
  </si>
  <si>
    <t>West Melbourne Police Department</t>
  </si>
  <si>
    <t>Officers Jacob Mathis and Kevin Krukoski were called to a Publix at about 10:40 a.m. for a report of a man acting "erratically," police said. Police said Whitmer was being uncooperative and a fight began. Officers tasered him, and video shows one officer's arm wrapped around Whitmer's neck while they're both on the ground. He was killed.</t>
  </si>
  <si>
    <t>https://www.wftv.com/news/local/man-who-died-after-police-takedown-in-publix-had-no-gross-trauma-to-neck-police-say/754540502</t>
  </si>
  <si>
    <t>Ronald Clinton</t>
  </si>
  <si>
    <t>https://www.fatalencounters.org/wp-content/uploads/2018/05/Ronald-Clinton.jpg</t>
  </si>
  <si>
    <t>3870 I-40</t>
  </si>
  <si>
    <t>West Memphis police tried to stop an eastbound vehicle on Interstate 40 about 5 p.m. As they pursued, the driver reportedly struck police patrol cars and reversed direction. He began driving westbound towards officers in eastbound lanes, police said. At least one officer fired on the vehicle, which struck an eastbound tractor-trailer rig. Ronald Clinton was killed by the gunshot.</t>
  </si>
  <si>
    <t>http://www.arkansasonline.com/news/2018/may/21/state-police-driver-who-struck-patrol-cars-dies-af/</t>
  </si>
  <si>
    <t>Ray Wyatt</t>
  </si>
  <si>
    <t>Corey Cordova</t>
  </si>
  <si>
    <t>1300 of W State St</t>
  </si>
  <si>
    <t>Police, officers were dispatched around 10:30 p.m. after receiving reports of shots fired. When police arrived, they found a man firing shots into the ground.nCorey Cordova allegedly threatened officers when they approached him. He ran to a house and barricaded himself inside. Police said that Cordova made a threatening gesture with a handgun toward officers around 12:10 a.m., and police shot and killed him.</t>
  </si>
  <si>
    <t>http://www.nbc4i.com/news/local-news/columbus-police-identify-man-killed-in-officer-involved-shooting-during-swat-standoff/1190754850</t>
  </si>
  <si>
    <t>Bradley J. Grant</t>
  </si>
  <si>
    <t>County Estates Rd</t>
  </si>
  <si>
    <t>Two state troopers went to a home about 2:45 p.m. to investigate an undisclosed complaint. When the troopers arrived, a man ran from them and into the house, police said. The troopers followed the man into the house and found him holding a shotgun. Bradley Grant allegedly walked toward the troopers and refused to drop the weapon, and one of the troopers shot and killed him.</t>
  </si>
  <si>
    <t>http://www.kentucky.com/news/state/article211562049.html</t>
  </si>
  <si>
    <t>Santiago Evans-Valencia</t>
  </si>
  <si>
    <t>Acoma Pl and 32 3/4 Ln</t>
  </si>
  <si>
    <t>At 9 a.m. Saturday, deputies responding to a suspicious vehicle and learned that one of the vehicle's occupants was wanted on several felony warrants. As deputies attempted to make contact in order to make an arrest, Evans-Valencia allegedly pulled a gun, and police shot and killed him.</t>
  </si>
  <si>
    <t>https://www.chieftain.com/news/pueblo/man-killed-in-pueblo-officer-involved-shooting-id-d/article_39487c61-a2c9-5f08-9818-2d9bfacaf7a0.html</t>
  </si>
  <si>
    <t>Jimmy Alan Moss</t>
  </si>
  <si>
    <t>Shadow Ln</t>
  </si>
  <si>
    <t>About 9:30 p.m., deputies responded to a report of a domestic dispute involving a weapon on Shadow Lane. The victim of the dispute, who was hurt, told deputies the intoxicated man who hurt her had made threats to kill the police, so deputies tried to get him to walk out of the home. Instead, deputies say, he sped out of the garage in a vehicle and hit a deputy as deputies shot and killed him.</t>
  </si>
  <si>
    <t>https://www.recordcourier.com/news/breaking-report-of-officer-involved-shooting-in-sunridge/</t>
  </si>
  <si>
    <t>Dmitri Bullard</t>
  </si>
  <si>
    <t>https://www.fatalencounters.org/wp-content/uploads/2018/05/DmitriBullard2.jpg</t>
  </si>
  <si>
    <t>SW Pleasant View Dr &amp; SW Highland Dr</t>
  </si>
  <si>
    <t>Police were dispatched to a report of a man prowling vehicles at 11:50 p.m. Officers located the suspect vehicle shortly after. They tried to stop it, but the driver fled, and police decided to not pursue. But, they later located the vehicle again and tried to stop the driver again, but the vehicle sped away. Officers once again decided to not pursue the driver. Minutes later, they found the vehicle crashed on Southwest Pleasant View Drive. Officers tried to contact the driver and he exited the vehicle with a hatchet and charged at them. Two officers shot and killed Dmitry Bullard.</t>
  </si>
  <si>
    <t>http://katu.com/news/local/gresham-police-identify-man-dmitri-bullard-shot-by-officers-after-he-charged-them-with-a-hatchet</t>
  </si>
  <si>
    <t>Reynaldo Peña</t>
  </si>
  <si>
    <t>300 of Soria Dr</t>
  </si>
  <si>
    <t>Norma Peña, Reynaldo Peña's mother, called police to get help with her son in a domestic disturbance. When police told him to get out of a vehicle, he had two knives in his hands. Police said Reynaldo Peña came toward officers in an aggressive manner with the knives despite verbal commands to stop, and police shot and killed him.</t>
  </si>
  <si>
    <t>https://www.lmtonline.com/local/crime/article/Man-killed-in-officer-related-shooting-in-south-12925652.php</t>
  </si>
  <si>
    <t>Livonia</t>
  </si>
  <si>
    <t>Hix Rd and Joy Rd</t>
  </si>
  <si>
    <t>Livonia Police Department</t>
  </si>
  <si>
    <t>Westland police had pursued a driver described as suicidal and carrying a handgun about 7:45 p.m. but ended the chase near Hix and Joy roads, police said. The man was later seen running in a residential neighborhood. Police spotted the driver running with a handgun and ordered him to stop, but he fled. While reportedly trying to arrest him, an officer shot and killed him.</t>
  </si>
  <si>
    <t>https://www.detroitnews.com/story/news/local/wayne-county/2018/05/18/armed-man-fatally-shot-livonia-police/35097887/</t>
  </si>
  <si>
    <t>Daniel Timothy Johnson</t>
  </si>
  <si>
    <t>https://www.fatalencounters.org/wp-content/uploads/2018/05/DanielJohnson.jpg</t>
  </si>
  <si>
    <t>OK-9 and 108th St SE</t>
  </si>
  <si>
    <t>http://kfor.com/2018/05/17/shootout-between-suspect-federal-authorities-leaves-one-person-dead/</t>
  </si>
  <si>
    <t>Kevin Nickle</t>
  </si>
  <si>
    <t>Martins Ferry</t>
  </si>
  <si>
    <t>57561 Washington Blvd</t>
  </si>
  <si>
    <t>Belmont County Sheriff's Office, Martins Ferry Police Department, Bridgeport Police Department</t>
  </si>
  <si>
    <t>Around 7 p.m., police received a call about a man chasing family members with a knife at a residence. The man's brother was outside the home when police arrived. He indicated that it was his brother who was acting in a threatening manner, and his mother was also inside and in a locked room. Police entered the home when they noticed what appeared to be a fire starting inside, and they shot and killed the man. The mother was removed from the home safely.</t>
  </si>
  <si>
    <t>http://wtov9.com/news/local/breaking-police-presence-on-washington-blvd-in-martins-ferry</t>
  </si>
  <si>
    <t>David M. Romansky</t>
  </si>
  <si>
    <t>https://www.fatalencounters.org/wp-content/uploads/2018/05/DavidRomansky.jpg</t>
  </si>
  <si>
    <t>4349 W Lake Mary Blvd</t>
  </si>
  <si>
    <t>After a report of a road rage incident, police stopped David Romansky. When he got out of the vehicle, he allegedly pulled out a gun and was shot and killed.</t>
  </si>
  <si>
    <t>https://www.fatalencounters.org/wp-content/uploads/2018/05/CodyReynolds.jpg</t>
  </si>
  <si>
    <t>https://www.fatalencounters.org/wp-content/uploads/2018/05/Marcus-David-L.-Peters.jpg</t>
  </si>
  <si>
    <t>Iowa Street and South Pine Street</t>
  </si>
  <si>
    <t>Police were called around 6 p.m. for a report of a man pointing a gun at people. An officer spotted the man walking away from a VIA bus stop. The officer attempted to get the man's attention by honking at him and around the same time, a VIA police officer arrived. Police said the man turned toward the San Antonio police officer and started shooting at him. The officer returned fire from inside his patrol car, shooting through his window. The officer moved to a different position and resumed shooting at the man, who walked approximately 14 yards before collapsing and dying.</t>
  </si>
  <si>
    <t>https://www.ksat.com/news/one-suspect-confirmed-dead-in-officer-involved-shooting</t>
  </si>
  <si>
    <t>Rollie J. Davis Sr.</t>
  </si>
  <si>
    <t>https://www.fatalencounters.org/wp-content/uploads/2018/05/Rollie-J.-Davis-Sr.jpg</t>
  </si>
  <si>
    <t>Jackson St &amp; S 11th St</t>
  </si>
  <si>
    <t>Quincy police Officer Steve Bangert shot and killed Rollie J. Davis while investigating alleged suspicious activity at 8:28 p.m., and the officer encountered Davis. Davis reportedly pulled what appeared to be a pistol.</t>
  </si>
  <si>
    <t>http://www.whig.com/article/20180515/ARTICLE/180519989#</t>
  </si>
  <si>
    <t>https://www.fatalencounters.org/wp-content/uploads/2018/05/willie-marable.jpg</t>
  </si>
  <si>
    <t>5863 Old Dixie Rd</t>
  </si>
  <si>
    <t>Two men and a woman were inside the restaurant, when a man began behaving inappropriately toward the woman. The men and the woman left the restaurant, but were followed by the man. An argument began, and the man fired a gun at the group, but missed. An off-duty officer saw the argument, and came over to confront the man. The officer ordered the man to drop his weapon, but the man did not. He fired at the officer and missed, and the officer shot and killed him.</t>
  </si>
  <si>
    <t>https://www.11alive.com/article/news/one-dead-in-officer-involved-shooting-in-forest-park/551684845</t>
  </si>
  <si>
    <t>Javier Gomez</t>
  </si>
  <si>
    <t>Jonathan Molina</t>
  </si>
  <si>
    <t>Erick Aguirre</t>
  </si>
  <si>
    <t>Jose Alvarez</t>
  </si>
  <si>
    <t>https://www.fatalencounters.org/wp-content/uploads/2018/09/Jose-Alvarez.jpg</t>
  </si>
  <si>
    <t>3466 Brinkley Rd</t>
  </si>
  <si>
    <t>Corporal Joseph Keifline shot and killed Jose Alvarez when the two allegedly fought as Keifline was investigating the burglary of a vehicle. Alvarez reportedly pulled a gun.</t>
  </si>
  <si>
    <t>http://pgpolice.blogspot.com/2018/09/pgpd-investigating-fatal-officer.html</t>
  </si>
  <si>
    <t>Susan Muller</t>
  </si>
  <si>
    <t>59-14 69th Street</t>
  </si>
  <si>
    <t>Flushing</t>
  </si>
  <si>
    <t>Susan Muller called 9-1-1 to report a woman had broken into her home just after 5:25 p.m., police said. Four officers responded and entered the home, and the woman followed them in. She allegedly pulled out a 10-inch kitchen knife and lunged at them, and the officers shot and killed her.</t>
  </si>
  <si>
    <t>http://www.nydailynews.com/new-york/nyc-crime/ny-metro-police-shoot-person-queens-home-20180917-story.html</t>
  </si>
  <si>
    <t>13105 Greenville Rd</t>
  </si>
  <si>
    <t>Hopkinsville</t>
  </si>
  <si>
    <t>After finding a suspicious vehicle, officers discovered the vehicle was reported stolen from Akron, Ohio. Upon contact by officers, the driver became uncooperative, so the trooper attempted to remove the person from the vehicle. The man began to flee, and the trooper allegedly was dragged by the vehicle. The deputies and trooper pursued the stolen vehicle for several miles southbound on Greenville Road. While in pursuit, the vehicle caught fire and became fully engulfed. At the end of the pursuit, the man was fatally shot by the trooper for reasons that were withheld by police.</t>
  </si>
  <si>
    <t>https://www.wsmv.com/news/suspect-shot-killed-by-trooper-after-pursuit-in-christian-co/article_0ed8443e-ba79-11e8-898f-1b0c72acd11b.html</t>
  </si>
  <si>
    <t>Ricardo "Macho" Avenia</t>
  </si>
  <si>
    <t>571 Pershing Ave</t>
  </si>
  <si>
    <t>Ricardo Avenia was shot while holding a woman at gunpoint inside a home. A neighbor called 9-1-1 around 10 p.m. to report children at the home were yelling that their father was going to kill their mother, and she was being beaten.</t>
  </si>
  <si>
    <t>https://lancasteronline.com/news/local/da-police-fatally-shot-man-holding-woman-at-gunpoint-inside/article_f4f178ea-ba61-11e8-8353-0b86708cbbf7.html</t>
  </si>
  <si>
    <t>Robert C. Greeson</t>
  </si>
  <si>
    <t>https://www.fatalencounters.org/wp-content/uploads/2018/09/robert-greeson.jpg</t>
  </si>
  <si>
    <t>N 295th St W &amp; W 21st St N</t>
  </si>
  <si>
    <t>Garden Plain</t>
  </si>
  <si>
    <t>A person called the sheriff's office and reported a suspicious character. The person who made that report followed that man to 21st Street. Minutes later, Deputy Robert Kunze arrived there. Robert C. Greeson allegedly was driving a stolen truck. Kunze allegedly found a gun on Greeson and went to cuff him. That's when they got into a fight, and there were shots fired. Greeson was shot and killed. Sedgwick County Sheriff's Deputy Kunze was also killed.</t>
  </si>
  <si>
    <t>http://www.kwch.com/content/news/Authorities-responding-to-suspected-officer-involved-shooting-near-Garden-Plain--493421411.html</t>
  </si>
  <si>
    <t>Jerry Foster</t>
  </si>
  <si>
    <t>Shreveport police said Jerry Foster was shot and killed when he allegedly was holding a woman at gunpoint and firing a gun.</t>
  </si>
  <si>
    <t>http://www.wbrz.com/news/one-killed-two-injured-in-shreveport-officer-involved-shootings/?utm_source=feedburner&amp;utm_medium=feed&amp;utm_campaign=Feed%3A+wbrz%2Fnews+%28WBRZ+News%29</t>
  </si>
  <si>
    <t>Christopher Adam Borland</t>
  </si>
  <si>
    <t>Walla Walla</t>
  </si>
  <si>
    <t>Walla Walla Police Department</t>
  </si>
  <si>
    <t>The officers responded to a report of a suicidal person armed with a firearm when they found Christopher Adam Borland, police said. Borland was inside a vehicle when officers arrived. After a short police pursuit, Borland stopped and exited the vehicle while armed with a gun. Borland did not comply with officer commands, and the officers shot and killed him. Walla Walla officers Eric Eastman, Nathanael Small and Kevin Toon were placed on administrative leave after the shooting.</t>
  </si>
  <si>
    <t>http://www.spokesman.com/stories/2018/sep/17/one-person-dead-after-officer-involved-shooting-in/</t>
  </si>
  <si>
    <t>Manitowoc</t>
  </si>
  <si>
    <t>Manitowoc Police Department</t>
  </si>
  <si>
    <t>https://www.wbay.com/content/news/Man-dead-after-officer-involved-shooting-493412811.html</t>
  </si>
  <si>
    <t>Christopher Leonard</t>
  </si>
  <si>
    <t>https://www.fatalencounters.org/wp-content/uploads/2018/09/chris-leonard-.jpg</t>
  </si>
  <si>
    <t>1910 SW White Birch Cir</t>
  </si>
  <si>
    <t>Officers were sent to the Hy-Vee gas station for reports of a robbery in progress, police said. When officers arrived, police said a man fled on foot to a nearby Kum &amp; Go store. A caller had told authorities there was a suspicious man dressed in black near the area. The caller said it looked like a gun fell out of his pants. A responding officer found the man near a Kum &amp; Go. The man allegedly drew his handgun and pointed it at the officer, police said. The officer shot and killed Christopher Leonard.</t>
  </si>
  <si>
    <t>https://www.kcci.com/article/man-dies-following-officer-involved-shooting-in-ankeny/23243079</t>
  </si>
  <si>
    <t>Randy Rausch</t>
  </si>
  <si>
    <t>100 of Marimac Ln</t>
  </si>
  <si>
    <t>Vernon Hills</t>
  </si>
  <si>
    <t>Vernon Hills Police Department</t>
  </si>
  <si>
    <t>An officer arrived at a home and encountered Randy Rausch, who was inside the garage and armed with a rifle and shot and killed him. Police said officers had been dispatched to the home multiple times in the past for a variety of calls, including several domestic-related incidents. However, Lake County court records show no one named Randy Rausch had ever been charged with a crime above a traffic citation or ordinance violation. Details as to what precipitated the killing were withheld by police.</t>
  </si>
  <si>
    <t>https://www.dailyherald.com/news/20180917/man-killed-by-police-in-vernon-hills-identified</t>
  </si>
  <si>
    <t>Stephen Dove</t>
  </si>
  <si>
    <t>1400 Stanphil Rd</t>
  </si>
  <si>
    <t>Officers were called in reference to an aggravated assault. Officers arrived to find one person had been stabbed. They said they saw Stephen Dove on top of another victim with a knife at that person's throat. Officers ordered Dove to put down the knife. After he refused, a Jacksonville officer fired two shots and killed Dove.</t>
  </si>
  <si>
    <t>https://katv.com/news/local/jacksonville-police-identify-man-shot-by-officer-after-victims-stabbed</t>
  </si>
  <si>
    <t>Dacion Steptoe</t>
  </si>
  <si>
    <t>https://www.fatalencounters.org/wp-content/uploads/2018/09/DACION-STEPTOE.jpg</t>
  </si>
  <si>
    <t>3500 of May St</t>
  </si>
  <si>
    <t>Police shot and killed Dacion Steptoe in the driveway of a house about a block away from the Los Vaqueros bar he and two other suspects were suspected of robbing, police said. Fort Worth undercover police officer Garrett Hull was killed after being shot as he tried to apprehend the three robbery suspects.</t>
  </si>
  <si>
    <t>https://www.star-telegram.com/news/local/community/fort-worth/article218461850.html</t>
  </si>
  <si>
    <t>David Huffines</t>
  </si>
  <si>
    <t>E Main St &amp; N 74th St</t>
  </si>
  <si>
    <t>https://www.azfamily.com/news/mesa-pd-man-dies-following-officer-involved-shooting/article_d40f72ca-f222-525e-9813-e6a4154f2678.html</t>
  </si>
  <si>
    <t>Detric Driver</t>
  </si>
  <si>
    <t>3200 of Evergreen</t>
  </si>
  <si>
    <t>Detric Driver was reported wanted for shooting a mother and her 5-year-old daughter. When police broke into his home, he allegedly aimed a gun at an officer and was shot and killed.</t>
  </si>
  <si>
    <t>https://www.detroitnews.com/story/news/local/detroit-city/2018/09/14/detroit-police-shoot-kill-suspect-girls-death/1300279002/</t>
  </si>
  <si>
    <t>Gary McKinney</t>
  </si>
  <si>
    <t>2400 of Tiffany Dr</t>
  </si>
  <si>
    <t>About 7:30 p.m., officers were dispatched to a report of a domestic disturbance at a home. Shortly after arrival at the home, one of the officers shot and killed Gary McKinney. Details regarding what precipitated the killing were withheld by police.</t>
  </si>
  <si>
    <t>http://www.krwg.org/post/latest-47-year-old-man-dies-officer-involved-shooting-thursday</t>
  </si>
  <si>
    <t>Johnny Lee Lloyd</t>
  </si>
  <si>
    <t>https://www.fatalencounters.org/wp-content/uploads/2018/09/JohnnyLoyd.jpg</t>
  </si>
  <si>
    <t>250 W Old Dover Rd</t>
  </si>
  <si>
    <t>Craven County Sheriff's Office</t>
  </si>
  <si>
    <t>According to police, officers were called to a domestic disturbance at 11:38 p.m. where a woman told emergency responders that a man had shot at her and kicked her out of the residence. As the first officer to arrive got out of his car in the driveway he was confronted by Johnny Lloyd, who lived at the address. Lloyd allegedly attacked him and knocked the deputy down in a culvert into the water. By the time the deputy came up out of the water Lloyd had a rifle, and the deputy shot and killed him.</t>
  </si>
  <si>
    <t>http://www.newbernsj.com/news/20180916/suspect-died-after-officer-involved-shooting</t>
  </si>
  <si>
    <t>Ryan Yamasaki</t>
  </si>
  <si>
    <t>1500 of Point Vista Ave</t>
  </si>
  <si>
    <t>https://www.reviewjournal.com/crime/homicides/henderson-police-fatally-shoot-man-armed-with-box-cutter/</t>
  </si>
  <si>
    <t>Garrett Finley Mitchell</t>
  </si>
  <si>
    <t>https://www.fatalencounters.org/wp-content/uploads/2018/09/Garrett-Finley-Mitchell.jpg</t>
  </si>
  <si>
    <t>100 of Grand Prix St</t>
  </si>
  <si>
    <t>Deputies were called just after 10:30 p.m. regarding two men who were shooting at each other in the street. When deputies arrived, they arrested one man right away. A second suspect, Garrett Finley Mitchell ran into a house. More than an hour later, Mitchell came outside with a handgun and shotgun and confronted officers, who shot and killed him.</t>
  </si>
  <si>
    <t>https://www.wsbtv.com/news/local/forsyth-county/gbi-responds-to-officer-involved-shooting-in-forsyth-county/832696279</t>
  </si>
  <si>
    <t>Rafael "Pito" Rivera</t>
  </si>
  <si>
    <t>400 of Plymouth Ave</t>
  </si>
  <si>
    <t>Officers responded at about 3:05 a.m. to a call of a man with a gun. An officer encountered a man with a gun. The officer engaged in a foot pursuit that covered about a half a block and ended in a parking lot in the 400 block of Plymouth. The man reportedly did not comply to orders by the officer to put the gun down, and the officer shot and killed him.</t>
  </si>
  <si>
    <t>https://buffalonews.com/2018/09/12/one-dead-in-officer-involved-shooting-on-plymouth/</t>
  </si>
  <si>
    <t>Thomas Watkins</t>
  </si>
  <si>
    <t>600 of New Jersey St</t>
  </si>
  <si>
    <t>Just before 6 a.m., officers responded to a call about a suspicious vehicle in the driveway of an abandoned home, police said. When an officer approached the vehicle, Thomas Watkins allegedly fired at least one shot at the officer, who shot and killed him.</t>
  </si>
  <si>
    <t>https://chicago.suntimes.com/crime/man-shot-to-death-by-gary-police-after-firing-at-officers/</t>
  </si>
  <si>
    <t>Edward Reynolds</t>
  </si>
  <si>
    <t>I-75 and Lexus Way</t>
  </si>
  <si>
    <t>Scott County Sheriff's Office, Georgetown Police Department, U.S. Marshals Service</t>
  </si>
  <si>
    <t>About 10:15 p.m. at a rest area off Interstate 75 northbound, Scott County deputies and Georgetown police officers were assisting U.S. Marshals to apprehend Edward Reynolds of Florida, who was suspected of a bank robbery. Reynolds was shot and killed, and a Scott County deputy was shot in the back during the gunfight.</t>
  </si>
  <si>
    <t>https://www.kentucky.com/news/local/crime/article218249045.html</t>
  </si>
  <si>
    <t>Joel R. Andrade</t>
  </si>
  <si>
    <t>4000 of S 9th Ave</t>
  </si>
  <si>
    <t>Officers called to a domestic dispute learned from other family members that Joel R. Andrade ad locked himself in a bathroom. The family was moved out of the house while officers attempted to coax Andrade out of the bathroom for about two hours, police said. Andrade began cutting his neck with a knife. Police said Andrade came out of the bathroom carrying a rifle, and raised it toward officers and was shot and killed.</t>
  </si>
  <si>
    <t>https://tucson.com/news/local/tucson-police-id-man-shot-and-killed-during-family-fight/article_35aae3ac-b987-11e8-894f-e3593af88145.html</t>
  </si>
  <si>
    <t>Brandon Joyner</t>
  </si>
  <si>
    <t>https://www.fatalencounters.org/wp-content/uploads/2018/09/brandonjoyner.jpg</t>
  </si>
  <si>
    <t>213 E 5th St</t>
  </si>
  <si>
    <t>Police responded to reports of a fight with shots fired around 1:30 a.m. Police found a man shooting into a crowd in an alley behind Sup Dogs. Three officers exchanged fire with Brandon Joyner, who was killed. Two others were injured, one seriously.</t>
  </si>
  <si>
    <t>https://www.wral.com/greenville-police-suspect-killed-in-officer-involved-shooting/17831138/</t>
  </si>
  <si>
    <t>Dereshia Blackwell</t>
  </si>
  <si>
    <t>1800 FM 1092 Rd</t>
  </si>
  <si>
    <t>Missouri City Police Department</t>
  </si>
  <si>
    <t>Police responded to a vehicle accident at the Quail Valley Apartment Homes. When they arrived to investigate, a woman was standing outside holding a gun and a knife. When police ordered the woman to drop the weapons, she continued toward them. The officer shot and killed her.</t>
  </si>
  <si>
    <t>https://cw39.com/2018/09/10/woman-dead-after-officer-involved-shooting-in-missouri-city-area/</t>
  </si>
  <si>
    <t>7900 of Port Susan Place</t>
  </si>
  <si>
    <t>Stanwood</t>
  </si>
  <si>
    <t>About 2:40 a.m., deputies were dispatched to a home for a report of a domestic violence assault. The woman called 9-1-1 to report that her boyfriend had assaulted her and that he had a weapon. When deputies arrived, the man failed to comply with unspecified orders, and one of the three responding deputies shot and killed him.</t>
  </si>
  <si>
    <t>https://www.goskagit.com/scnews/news/breaking-man-dies-in-officer-involved-shooting-in-stanwood/article_cd4d9674-b454-11e8-b29d-af874887c322.html</t>
  </si>
  <si>
    <t>16505 Tiffany Ct</t>
  </si>
  <si>
    <t>Police were called around 8:45 a.m. regarding Ronald Singletary was was allegedly on the back porch of his unit firing gunshot rounds into the air and into other people's apartments. Singletary then barricaded himself in his apartment and fired multiple shots in direction of police. He was shot and killed by a Houston police officer.</t>
  </si>
  <si>
    <t>https://www.click2houston.com/news/houston-swat-responds-to-man-barricaded-inside-apartment</t>
  </si>
  <si>
    <t>DaShawn Cole</t>
  </si>
  <si>
    <t>https://www.fatalencounters.org/wp-content/uploads/2018/09/DaShawn-Cole..jpg</t>
  </si>
  <si>
    <t>Slade St and Newport Ave</t>
  </si>
  <si>
    <t>Officers received a call at about 6:15 a.m. reporting a man with a gun. Three officers confronted DaShawn Cole, who allegedly had a gun, and they shot and killed him.</t>
  </si>
  <si>
    <t>http://www.providencejournal.com/news/20180907/local-man-28-killed-in-pawtucket-officer-involved-shooting</t>
  </si>
  <si>
    <t>Kendrick Lloyd</t>
  </si>
  <si>
    <t>1200 South Delesseps Street</t>
  </si>
  <si>
    <t>Kendrick Lloyd was shot and killed after police responded to 9-1-1 calls regarding two men shooting at each other. When they arrived, they found a man matching the description given to them by callers and gave chase. Police said that the man pointed a weapon at the officers, and they shot and killed him.</t>
  </si>
  <si>
    <t>https://deltadailynews.com/suspect-killed-by-greenville-police-identified/</t>
  </si>
  <si>
    <t>Ulman Jerald Roberts</t>
  </si>
  <si>
    <t>https://www.fatalencounters.org/wp-content/uploads/2018/09/ULMAN-ROBERTS.jpg</t>
  </si>
  <si>
    <t>18139 Prine Rd</t>
  </si>
  <si>
    <t>Citronelle Police Department, Satsuma Police Department</t>
  </si>
  <si>
    <t>Police responded to a domestic disturbance and shot and killed Ulman Roberts when he allegedly pointed a rifle toward them.</t>
  </si>
  <si>
    <t>https://www.thecallnews.com/2018/09/07/citronelle-police-officers-and-satsuma-police-chief-involved-in-suspect-shooting/</t>
  </si>
  <si>
    <t>Darell Richards</t>
  </si>
  <si>
    <t>https://www.fatalencounters.org/wp-content/uploads/2018/09/darell-richards-2.jpg</t>
  </si>
  <si>
    <t>Broadway and 21st St</t>
  </si>
  <si>
    <t>Darell Richards allegedly threatened people with a fake gun and fled from investigating officers. He was shot and killed when he allegedly pointed the imitation gun at police.</t>
  </si>
  <si>
    <t>https://www.kcra.com/article/masked-man-shot-killed-by-sacramento-swat-officers/23006948</t>
  </si>
  <si>
    <t>Botham Shem Jean</t>
  </si>
  <si>
    <t>https://www.fatalencounters.org/wp-content/uploads/2018/09/Botham-Shem-Jean.jpg</t>
  </si>
  <si>
    <t>1210 S Lamar St</t>
  </si>
  <si>
    <t>Reportedly off-duty Dallas police officer Amber R. Guyger, 30, said she walked into an apartment that wasn't hers, mistaking it for her own, and shot and killed the legitimate occupant, Botham Shem Jean, when he didn't comply with her orders.</t>
  </si>
  <si>
    <t>https://www.nytimes.com/2018/09/10/us/dallas-police-shooting-guyger-jean.html</t>
  </si>
  <si>
    <t>Omar Enrique Santa Perez</t>
  </si>
  <si>
    <t>https://www.fatalencounters.org/wp-content/uploads/2018/09/Omar_Enrique_Santa-Perez.jpg</t>
  </si>
  <si>
    <t>511 Walnut St</t>
  </si>
  <si>
    <t>Omar Enrique Santa Perez shot and killed three people before being shot and killed by police.</t>
  </si>
  <si>
    <t>https://www.cincinnati.com/story/news/2018/09/07/cincinnati-shooting-victim-after-surgery-manager-now-recovering/1226031002/</t>
  </si>
  <si>
    <t>Nick Warnell</t>
  </si>
  <si>
    <t>https://www.fatalencounters.org/wp-content/uploads/2018/09/Nick-Warnell.jpg</t>
  </si>
  <si>
    <t>Cannon Road and Tillman Road</t>
  </si>
  <si>
    <t>Nick Warnell got into a shootout with officers after leading Colquitt County deputies on a chase. Colquitt County Deputy Chris Thomas and Officer Daniel Lindsay with the Moultrie Police Department shot and killed him.</t>
  </si>
  <si>
    <t>http://www.moultrieobserver.com/news/local_news/update-subject-apprehended-in-attack-on-deputies/article_6488a19c-b242-11e8-8fb0-fb809ba14717.html</t>
  </si>
  <si>
    <t>Patty Maggiore</t>
  </si>
  <si>
    <t>https://www.fatalencounters.org/wp-content/uploads/2018/09/PattyMaggiore.jpg</t>
  </si>
  <si>
    <t>3208 80th St</t>
  </si>
  <si>
    <t>After a standoff with a hostage, Patty Maggiore was shot and killed by police.</t>
  </si>
  <si>
    <t>https://www.chron.com/neighborhood/galveston/article/Police-identify-Galveston-woman-shot-and-killed-13218502.php</t>
  </si>
  <si>
    <t>James Leatherwood</t>
  </si>
  <si>
    <t>S 57th Ave &amp; Flagler St</t>
  </si>
  <si>
    <t>Officers from the Hollywood and Miami police departments went to serve a search warrant at a home. Officers were reportedly searching for a suspect in connection to the death of 27-year-old Netrievae White, who was killed in Miami on Aug. 23. While serving the warrant, James Leatherwood was shot and killed, although details as to what precipitated the killing were withheld by police.</t>
  </si>
  <si>
    <t>https://wsvn.com/news/local/1-dead-after-police-involved-shooting-in-hollywood/</t>
  </si>
  <si>
    <t>Mitchell Owen Buel</t>
  </si>
  <si>
    <t>https://www.fatalencounters.org/wp-content/uploads/2018/09/Mitchell-Buel.jpg</t>
  </si>
  <si>
    <t>8498 3rd Ave North</t>
  </si>
  <si>
    <t>Morris</t>
  </si>
  <si>
    <t>Alabama Department of Public Safety</t>
  </si>
  <si>
    <t>A trooper tried to pull over Mitchell Buel for aggravated speeding and reckless driving. He refused to stop and a pursuit ensued. The chase went to a dead-end road. When the trooper tried to arrest Buel, at least one shot was fired and Buel was struck. Details as to what precipitated the killing were withheld by police.</t>
  </si>
  <si>
    <t>https://www.al.com/news/birmingham/index.ssf/2018/09/suspect_shot_and_killed_in_cha.html</t>
  </si>
  <si>
    <t>Christopher Sage</t>
  </si>
  <si>
    <t>Laura Lynn Drive</t>
  </si>
  <si>
    <t>North Knobs</t>
  </si>
  <si>
    <t>Yadkin County Sheriff's Office</t>
  </si>
  <si>
    <t>Deputies responded to a domestic disturbance involving the man and a woman on Laura Lynn Drive around 5 p.m. When two deputies arrived, there was a confrontation with a person outside of a home, and the man was shot and killed.</t>
  </si>
  <si>
    <t>https://www.wxii12.com/article/person-killed-in-deputy-involved-shooting-in-yadkin-county/23001067</t>
  </si>
  <si>
    <t>Timmy Henley</t>
  </si>
  <si>
    <t>https://www.fatalencounters.org/wp-content/uploads/2018/09/timmyhenley.jpg</t>
  </si>
  <si>
    <t>3300 of 97th Ave</t>
  </si>
  <si>
    <t>A resident reported to police that a man with a knife came into his apartment. Police found an open door when they responded about 1:05 p.m. Timmy Henley allegedly was armed with a knife and charged officers, police said. Two officers shot and killed Henley.</t>
  </si>
  <si>
    <t>https://www.denverpost.com/2018/09/06/man-killed-by-westminster-police-identified/</t>
  </si>
  <si>
    <t>Aaron Demonta Fleming</t>
  </si>
  <si>
    <t>10300 Industrial Blvd</t>
  </si>
  <si>
    <t>Covington Police Department</t>
  </si>
  <si>
    <t>Police responded to a Walmart regarding a shoplifting report. Officer Matt Cooper chased Aaron Fleming behind another shopping center. Gunfire was exchanged. Cooper was wounded and Fleming was killed.</t>
  </si>
  <si>
    <t>https://www.ajc.com/news/crime--law/breaking-held-after-covington-officer-shooting-are-juveniles/4NMhBdQ0lQDPxx1YTlsDqI/</t>
  </si>
  <si>
    <t>Steve L. Anderson</t>
  </si>
  <si>
    <t>https://www.fatalencounters.org/wp-content/uploads/2018/09/Steve_Anderson.jpg</t>
  </si>
  <si>
    <t>116 W First St</t>
  </si>
  <si>
    <t>Cheney</t>
  </si>
  <si>
    <t>Cheney Police Department</t>
  </si>
  <si>
    <t>Officers were called to a report of an armed man acting disorderly at Mitchell's Harvest Foods. Officers arrived at around 11:40 p.m. and found a man armed with a knife in the parking lot of the store. The man allegedly failed to comply with orders as he moved toward the officers still armed with the knife in his hand. Three Cheney officers shot and killed Steve Anderson.</t>
  </si>
  <si>
    <t>http://www.khq.com/story/39018574/knife-wielding-man-killed-by-officers-in-cheney-identified</t>
  </si>
  <si>
    <t>11310 Prospect Dr</t>
  </si>
  <si>
    <t>Amador</t>
  </si>
  <si>
    <t>Trooper Brad Wheat, 45, shot and killed his wife, Mary Wheat, 42, inside a sports nutrition business and then killed himself.</t>
  </si>
  <si>
    <t>https://www.kcra.com/article/two-dead-one-injured-in-amador-county-shooting/22966568</t>
  </si>
  <si>
    <t>Fernand “Fred” Lete</t>
  </si>
  <si>
    <t>555 S Hill Rd</t>
  </si>
  <si>
    <t>Bernalillo Police Department</t>
  </si>
  <si>
    <t>Officers responded to KOA Campground after receiving calls of a shooting inside a trailer. When they arrived, Fernand Lete emerged, armed with a revolver, at which point an officer fired an unknown number of shots. It was not immediately reported if Lete was struck by that gunfire, but he barricaded himself in the trailer. When police entered, they found that Lete was suffering from gunshot wounds, and he died. The body of Michael LaPlante, 55, was also found inside with gunshot wounds.</t>
  </si>
  <si>
    <t>https://www.kob.com/albuquerque-news/bernalillo-officer-involved-shooting/5056977/</t>
  </si>
  <si>
    <t>Oshae Terry</t>
  </si>
  <si>
    <t>2400 California Lane</t>
  </si>
  <si>
    <t>An officer pulled over an SUV, and a backup officer arrived shortly afterward. While the initial officer checked the SUV's registration, the backup officer stayed by the SUV and talked with the people inside. Police said the driver rolled up the windows and started the vehicle. The officer reached inside the passenger side window with his left arm. The officer then grabbed his gun with his right hand and shot and killed the driver as the vehicle was moving.</t>
  </si>
  <si>
    <t>https://www.wfaa.com/article/news/local/driver-dies-after-officer-involved-shooting-in-arlington-officers-ok/287-590108252</t>
  </si>
  <si>
    <t>Chase Sullivan</t>
  </si>
  <si>
    <t>1000 Park Village Ct</t>
  </si>
  <si>
    <t>A neighbor concerned that Sullivan was suicidal called police to an apartment complex around 8:30 p.m. Sullivan was inside his locked apartment when officers, firefighters and medics arrived. He refused to open the door, but police broke in, and Sullivan confronted them with a knife, and police ordered him to drop the knife and then shot and killed him.</t>
  </si>
  <si>
    <t>https://www.tennessean.com/story/news/local/williamson/2018/09/01/fairview-officers-shoot-armed-suicidal-man-tbi-investigating/1172297002/</t>
  </si>
  <si>
    <t>Paul Askins</t>
  </si>
  <si>
    <t>U.S. 85 &amp; Delva Way</t>
  </si>
  <si>
    <t>Sedalia</t>
  </si>
  <si>
    <t>Deputies were reportedly conducting a traffic stop along the highway when the suspect started firing at them. Deputies shot and killed the person.</t>
  </si>
  <si>
    <t>https://www.thedenverchannel.com/news/crime/suspect-shot-and-killed-by-douglas-county-deputies-following-traffic-stop-on-highway-85</t>
  </si>
  <si>
    <t>Dennis Ray Blalock</t>
  </si>
  <si>
    <t>5699 Sandalwood Way</t>
  </si>
  <si>
    <t>Deputies responded to a call in reference to a suicidal man. They attempted to make contact with the man at the front door. When they were unsuccessful and began to search the outside of the home. Deputies said they saw the man across the street. Deputies said they saw a firearm and ordered the man to drop his weapon. When he failed to comply, deputies shot and killed him.</t>
  </si>
  <si>
    <t>https://www.wfla.com/news/local-news/citrus-county/man-shot-killed-by-citrus-countydeputy-in-floral-city/1411166777</t>
  </si>
  <si>
    <t>Jessica Cribbs</t>
  </si>
  <si>
    <t>6019 W. Rio Grande Dr.</t>
  </si>
  <si>
    <t>Beverly Hills</t>
  </si>
  <si>
    <t>Just after 6 a.m., police executed a drug search warrant in Beverly Hills. When they entered the residence, deputies said that they encountered a white woman who was armed with a gun. After refusing commands to lower her weapon, she was shot and killed by deputies.</t>
  </si>
  <si>
    <t>https://breaking911.com/just-in-woman-killed-2-others-injured-in-beverly-hills-fla-swat-operation/</t>
  </si>
  <si>
    <t>Vanessa Marquez</t>
  </si>
  <si>
    <t>1100 Fremont Ave</t>
  </si>
  <si>
    <t>Vanessa Marquez was shot and killed when police said she pointed what appeared to be a handgun at officers who were responding to the residence for a welfare check.</t>
  </si>
  <si>
    <t>https://whnt.com/2018/08/31/former-er-actress-vanessa-marquez-shot-dead-by-police/</t>
  </si>
  <si>
    <t>Jalon Johnson</t>
  </si>
  <si>
    <t>8500 E Fwy Service Rd</t>
  </si>
  <si>
    <t>Police were conducting a robbery investigation. During surveillance, they found a vehicle stolen in a carjacking in Humble the previous day. They followed the vehicle and stopped the vehicle. The driver struck and damaged two police vehicles during the stop. When the man rammed the vehicle into the police vehicles, three officers shot and killed Jalon Johnson.</t>
  </si>
  <si>
    <t>https://cityofhouston.news/update-investigation-into-shooting-incident-at-8500-east-freeway/</t>
  </si>
  <si>
    <t>Randall J. McKenzies</t>
  </si>
  <si>
    <t>Rockwell Rd</t>
  </si>
  <si>
    <t>Madison Township</t>
  </si>
  <si>
    <t>Fayette County Sheriff's Office</t>
  </si>
  <si>
    <t>Randall J. McKenzie was a suspect in a sexual assault of a juvenile. A tip said McKenzie was parked near a common drop off site for elementary school students. Deputies found him parked along Rockwell Road around 4:00 p.m. McKenzie reportedly took out a gun and was told several times to drop the weapon and when he didn't comply, he was shot and killed, police said.</t>
  </si>
  <si>
    <t>https://www.10tv.com/article/fayette-county-deputy-shoots-and-kills-72-year-old-suspect-sexual-assault-juvenile</t>
  </si>
  <si>
    <t>Tyler Hodge</t>
  </si>
  <si>
    <t>31000 Florida St</t>
  </si>
  <si>
    <t>Police responded to a call about a suicidal man with a gun. When they arrived, they tried to disarm him with less-lethal means, but he ran away before allegedly turning on officers with his gun, and Tyler Hodge was shot and killed.</t>
  </si>
  <si>
    <t>https://abc7.com/18-year-old-dies-after-redlands-officer-involved-shooting/4086942/</t>
  </si>
  <si>
    <t>Sebastian Siney Chamale</t>
  </si>
  <si>
    <t>3500 N Main St</t>
  </si>
  <si>
    <t>Sgt. Keith Morris and Officer Bryan Baker responded to home at about 8:30 p.m. after a reported burglary. The homeowner directed both officers to the back of the home, where Sebastian Siney Chamale was trying to gain entry. Police said Baker found Chamale on the back deck of the home and confronted him. During the confrontation, police said Baker was "faced with a threat" and shot and killed Chamale.</t>
  </si>
  <si>
    <t>https://www.wral.com/police-tarboro-officer-shot-burglary-suspect-after-being-faced-with-a-threat-/17813452/</t>
  </si>
  <si>
    <t>Robert Knox</t>
  </si>
  <si>
    <t>https://www.fatalencounters.org/wp-content/uploads/2018/09/Robert_Knox.jpg</t>
  </si>
  <si>
    <t>22000 Harbeson Rd</t>
  </si>
  <si>
    <t>Harbeson</t>
  </si>
  <si>
    <t>A 50-year-old paraplegic man, Robert Knox, was fatally shot in bed by two state troopers as police were wrapping up an investigation into drug sales by the Harbeson-area man, police said. He allegedly pulled a gun.</t>
  </si>
  <si>
    <t>https://dspnewsroom.com/2018/08/29/update-3-search-warrants-lead-to-multiple-drug-and-weapon-arrests/</t>
  </si>
  <si>
    <t>Bryce Schenkenberg</t>
  </si>
  <si>
    <t>35th Ave and Bell Rd</t>
  </si>
  <si>
    <t>Police responded around 2 a.m. to a report about a shooting and encountered a man in the street. Police said Bryce Schenkenberg refused to drop a handgun, fired it and was shot and killed.</t>
  </si>
  <si>
    <t>https://www.abqjournal.com/1213956/suspect-dies-in-gunfire-exchange-with-phoenix-police.html</t>
  </si>
  <si>
    <t>Fabian Ortiz Adame</t>
  </si>
  <si>
    <t>W Portland St &amp; N 39th Ave</t>
  </si>
  <si>
    <t>Phoenix Police Department, Arizona Department of Public Safety</t>
  </si>
  <si>
    <t>Police were monitoring for street racing activity in west Phoenix when they saw a car traveling erratically in a parking lot. An officer tried to stop it, but the driver fled. The person drove to a mobile home park and abandoned the vehicle, running and jumping over fences. Two officers approached the man, and he allegedly raised a gun at them and was shot and killed.</t>
  </si>
  <si>
    <t>https://www.usnews.com/news/best-states/arizona/articles/2018-08-27/phoenix-police-say-officer-shot-suspect-who-pointed-gun</t>
  </si>
  <si>
    <t>gun and vehicle</t>
  </si>
  <si>
    <t>Eric Jay Hames</t>
  </si>
  <si>
    <t>https://www.fatalencounters.org/wp-content/uploads/2018/08/HamesEric.png</t>
  </si>
  <si>
    <t>916 E Cypress Ave</t>
  </si>
  <si>
    <t>Around 7:50 a.m., Eric Hames had been blocking traffic, shouting obscenities at passers-by and threatening motorists near an intersection. Four officers confronted and then shot and killed Hames when he allegedly threatened them with a knife.</t>
  </si>
  <si>
    <t>https://www.redding.com/story/news/2018/08/27/officer-involved-shooting-reported-off-east-cypress-avenue-redding/1110245002/</t>
  </si>
  <si>
    <t>Chad A. Setzer</t>
  </si>
  <si>
    <t>https://www.fatalencounters.org/wp-content/uploads/2018/09/Chad-A.-Setzer.jpg</t>
  </si>
  <si>
    <t>6147 PA-155</t>
  </si>
  <si>
    <t>Port Allegany</t>
  </si>
  <si>
    <t>McKean</t>
  </si>
  <si>
    <t>http://www.bradfordera.com/news/shaffer-setzer-used-stolen-gun-to-fire-at-police/article_d0e0aec6-afdf-11e8-9357-33f2bddfe878.html</t>
  </si>
  <si>
    <t>Arthur L. Cox</t>
  </si>
  <si>
    <t>2018 Colby Taylor Dr</t>
  </si>
  <si>
    <t>Arthur L. Cox was wanted for multiple warrants, including second-degree escape, first-degree bail jumping and absconding parole supervision. Cox pulled into the parking lot behind the TownPlace Suites, at which time he was approached by police who shot and killed him. Details as to what precipitated the killing were withheld by police.</t>
  </si>
  <si>
    <t>http://www.richmondregister.com/news/second-update-victim-identified-in-monday-s-shooting/article_bfa59e3e-aa47-11e8-8c6a-c39f325d196a.html</t>
  </si>
  <si>
    <t>10900 Neiderhouse Rd</t>
  </si>
  <si>
    <t>Perrysburg</t>
  </si>
  <si>
    <t>Perrysburg Township Police Department</t>
  </si>
  <si>
    <t>Police stopped a vehicle with three occupants on I-75 north of the U.S. 20 exit at about 2:30 p.m. One person was taken into custody at that time. The vehicle fled with the two remaining people. A second person was taken into custody while on foot after leaving the vehicle, police said. The third person continued in the fleeing vehicle, which crashed in a ditch. The man led officers on a brief foot pursuit before he allegedly shot at police and was killed by Lt. Matt Gazarek, 41, Sgt. David Motler, 39, and Officer Danny Widmer, 36.</t>
  </si>
  <si>
    <t>http://www.toledoblade.com/Police-Fire/2018/08/27/Perrysburg-Township-Police-investigating-possible-shooting/stories/20180827129</t>
  </si>
  <si>
    <t>8801 Airline Dr</t>
  </si>
  <si>
    <t>A deputy was working an extra job at a nightclub when he noticed some suspicious activity in the parking lot. The deputy walked over to a truck in the parking lot and saw two men sitting inside. The deputy was questioning the men when he noticed a gun on the console. The deputy ordered the men to step out of the truck when the passenger allegedly grabbed the gun and pointed it at the deputy who shot and killed him.</t>
  </si>
  <si>
    <t>https://cw39.com/2018/08/27/hcso-man-fatally-shot-by-deputy-nightclub-parking-lot-after-altercation/</t>
  </si>
  <si>
    <t>Luis Alberto Luna</t>
  </si>
  <si>
    <t>NE 79th St &amp; Biscayne Blvd</t>
  </si>
  <si>
    <t>Police saw Luis Luna acting strangely around 4:40 a.m. Luna appeared to be under the influence of drugs, police said. The officers shocked and killed Luna after he became combative and pulled out a knife, police said.</t>
  </si>
  <si>
    <t>https://www.local10.com/news/local/miami/man-dies-after-being-shocked-by-police-stun-guns</t>
  </si>
  <si>
    <t>Stephanie B. Owens</t>
  </si>
  <si>
    <t>547 Bear Creek Road</t>
  </si>
  <si>
    <t>Blacksburg</t>
  </si>
  <si>
    <t>Deputies responded around 3:34 a.m. after a woman called 9-1-1 and gave dispatchers accounts of events taking place in the home. When deputies arrived, the woman was seen with two guns in her hand as she paced in and out of her home, threatening to harm herself and deputies, police said. When she activated the laser sight on a weapon, four of the five responding deputies shot and killed her.</t>
  </si>
  <si>
    <t>http://www.foxcarolina.com/story/38963824/ccso-woman-shot-killed-after-taking-aim-at-deputies</t>
  </si>
  <si>
    <t>Taylor K.E. Tincher</t>
  </si>
  <si>
    <t>900 Walton Rd</t>
  </si>
  <si>
    <t>Deputies responded to a 9-1-1 call concerning a disturbed individual at a residence. Once inside the residence, they encountered Taylor K.E. Tincher, armed with a handgun. Despite the deputies' orders to put down the firearm, Tincher allegedly refused and began advancing toward the deputies who shot and killed him.</t>
  </si>
  <si>
    <t>http://www.wdbj7.com/content/news/State-Police-investigating-deputy-involved-shooting-in-Montgomery-County-491714921.html</t>
  </si>
  <si>
    <t>Roosevelt Brown</t>
  </si>
  <si>
    <t>900 Doolittle Ave</t>
  </si>
  <si>
    <t>Roosevelt Brown was fatally shot by Officer Jonathan Collingwood, 35, after Brown allegedly waved a gun toward others and pointed it at himself during a walking standoff with police. Officers responded to a domestic disturbance call at about 5 a.m., police said. Brown was in the standoff with police from about 6 to 7 a.m.</t>
  </si>
  <si>
    <t>https://www.reviewjournal.com/crime/shootings/man-shot-killed-during-standoff-with-las-vegas-police/</t>
  </si>
  <si>
    <t>Birendra Thakuri</t>
  </si>
  <si>
    <t>Federal Blvd and Stratford Lake Dr</t>
  </si>
  <si>
    <t>About 8:45 p.m., police were called on a report of several people fighting in the road, police said. The first officer contacted several men on the side of the road. Two men advanced and refused to obey the officer's commands. Birendra Thakuri was shot and killed.</t>
  </si>
  <si>
    <t>https://www.denverpost.com/2018/08/27/man-shot-by-westminster-officer-identified/</t>
  </si>
  <si>
    <t>Logan Montgomery</t>
  </si>
  <si>
    <t>https://www.fatalencounters.org/wp-content/uploads/2018/08/LoganMontgomery.jpg</t>
  </si>
  <si>
    <t>323 Arsenal Rd</t>
  </si>
  <si>
    <t>West Manchester Township Police Department, Northern York County Regional Police Department</t>
  </si>
  <si>
    <t>About 8:30 p.m., a West Manchester Township officer and a Northern York County Regional officer responded to a motel after learning that Logan Montgomery, who was a suspect in a retail theft from earlier that day, was staying there. Officers found Montgomery in the hallway, and he allegedly pulled a gun and shot it. The West Manchester Township officer shot and killed him.</t>
  </si>
  <si>
    <t>https://www.pennlive.com/news/2018/08/coroner_releases_id_of_man_kil_1.html</t>
  </si>
  <si>
    <t>Donald Janvier</t>
  </si>
  <si>
    <t>4701 N Tryon St</t>
  </si>
  <si>
    <t>A fight broke out involving Donald Janvier inside a bar around 2 a.m. before spilling outside. Janvier got into his car, drove toward and struck an Immigration and Customs Enforcement agent, who shot and killed him.</t>
  </si>
  <si>
    <t>https://www.wsoctv.com/news/local/cmpd-investigating-deadly-shooting-involving-a-federal-agent-in-north-charlotte/820266258</t>
  </si>
  <si>
    <t>Jennifer Sharp</t>
  </si>
  <si>
    <t>CO-17 and Ln 4 N</t>
  </si>
  <si>
    <t>Alamosa</t>
  </si>
  <si>
    <t>https://gazette.com/news/officer-involved-shooting-closes-southern-colorado-highway/article_fdbee33a-a88d-11e8-a71d-2b49823d521f.html</t>
  </si>
  <si>
    <t>James Clay</t>
  </si>
  <si>
    <t>https://www.fatalencounters.org/wp-content/uploads/2018/08/JamesCLay.jpg</t>
  </si>
  <si>
    <t>2630 Victory Pkwy</t>
  </si>
  <si>
    <t>Cincinnati police were attempting to serve a felony warrant to a resident of the Talbert House facility. James Clay pulled what appeared to be a firearm from his waistband and charged at the officers. Clay was killed, Ronald Schultz was shot by his fellow officers. The weapon was a pellet gun.</t>
  </si>
  <si>
    <t>https://www.cincinnati.com/story/news/crime/crime-and-courts/2018/08/27/more-information-released-shooting-left-officer-wounded-suspect-dead/1109981002/</t>
  </si>
  <si>
    <t>Joshua Wayne Harvey</t>
  </si>
  <si>
    <t>https://www.fatalencounters.org/wp-content/uploads/2018/09/Joshua-Wayne-Harvey.jpg</t>
  </si>
  <si>
    <t>502 S. Main Street</t>
  </si>
  <si>
    <t>Police shocked and killed Joshua Harvey after he broke a glass door and entered a bank.</t>
  </si>
  <si>
    <t>https://www.tulsaworld.com/body-camera-footage-released-of-altercation-with-man-who-died/article_5c4785a6-27a6-5664-870e-f0c9f644fd47.html</t>
  </si>
  <si>
    <t>Adam Easte</t>
  </si>
  <si>
    <t>1120 Alexander Dr</t>
  </si>
  <si>
    <t>Festus</t>
  </si>
  <si>
    <t>Adam Easte was shot and killed by police during a vehicle chase. The car crashed into a home when Easte was shot.</t>
  </si>
  <si>
    <t>https://fox2now.com/2018/08/24/police-fatally-shoot-driver-in-i-55-chase-incident-may-be-related-to-sex-offender-warning/</t>
  </si>
  <si>
    <t>Felipe Perez Casas</t>
  </si>
  <si>
    <t>CA-99 and Merle Haggard Drive</t>
  </si>
  <si>
    <t>Police said a man was headed northbound on the 99 and went through a fence off of the highway and crashed his pickup truck. Police were headed to the accident when they saw a man in the roadway. An officer tried to make contact with the man, but he allegedly walked toward the officer with a knife, and he was shot and killed.</t>
  </si>
  <si>
    <t>https://www.turnto23.com/news/local-news/chp-involved-in-shooting-on-99</t>
  </si>
  <si>
    <t>Jeffery Paul Fabio</t>
  </si>
  <si>
    <t>2998 Grace Chapel Rd</t>
  </si>
  <si>
    <t>Enoree</t>
  </si>
  <si>
    <t>Deputies were investigating a rape report when they encountered a man in a wooded area. Police said the man pointed a crossbow at the deputies. The suspect did not comply with orders to put the crossbow down and was shot and killed.</t>
  </si>
  <si>
    <t>http://www.live5news.com/story/38955213/sled-investigating-deputy-involved-shooting-in-spartanburg-county</t>
  </si>
  <si>
    <t>Donna Castleberry</t>
  </si>
  <si>
    <t>https://www.fatalencounters.org/wp-content/uploads/2018/08/Donna-Castleberry.jpg</t>
  </si>
  <si>
    <t>365 S Yale Ave</t>
  </si>
  <si>
    <t>Police said Officer Andrew Mitchell was investigating prostitution complaints when he took Donna Castleberry into custody. Police alleged Castleberry stabbed Mitchell in the hand with a knife during a fight inside the vehicle, and Mitchell shot and killed her.</t>
  </si>
  <si>
    <t>https://www.dothaneagle.com/news/ap/state/columbus-police-id-woman-officer-in-fatal-shooting/article_83c36f1c-bdb3-5a44-9c2e-083d1993f1e5.html</t>
  </si>
  <si>
    <t>Virginia Romero</t>
  </si>
  <si>
    <t>E Brazaro Ave</t>
  </si>
  <si>
    <t>Deputies encountered two people after being dispatched to a residence because of a reported burglary in progress. Police said a woman was fatally shot by a deputy who also shot a man who was subsequently arrested.</t>
  </si>
  <si>
    <t>https://www.abqjournal.com/1212811/state-police-valencia-deputy-shoots-2-suspects-1-fatally.html</t>
  </si>
  <si>
    <t>Matthew D. Orrenmaa</t>
  </si>
  <si>
    <t>4398 Elk Park Rd</t>
  </si>
  <si>
    <t>Matthew D. Orrenmaa was killed by Pennsylvania troopers. Details as to what precipitated the killing were withheld by police.</t>
  </si>
  <si>
    <t>http://www.goerie.com/news/20180825/homicide-ruled-in-state-police-shooting</t>
  </si>
  <si>
    <t>19028 16th Ave NE</t>
  </si>
  <si>
    <t>Shoreline</t>
  </si>
  <si>
    <t>Shoreline Police Department</t>
  </si>
  <si>
    <t>Police were serving a warrant regarding narcotics. Police said officers were confronted by a man in a bedroom. He was armed with a handgun and refused to drop it. He allegedly moved the gun toward the officers and was shot and killed by three deputies.</t>
  </si>
  <si>
    <t>http://mynorthwest.com/1088817/shoreline-officer-involved-shooting/</t>
  </si>
  <si>
    <t>202 E First Street</t>
  </si>
  <si>
    <t>About 3:15 p.m., officers were looking for a gray-green Volkswagen Passat that was connected to an earlier homicide. They found it at the Santa Ana Express Car Wash with two people inside. Officers shot and killed one, and arrested the other, although what precipitated the killing or the reason for arresting the second person were withheld by police.</t>
  </si>
  <si>
    <t>https://abc7.com/murder-suspect-killed-in-santa-ana-officer-involved-shooting/4041715/</t>
  </si>
  <si>
    <t>Andru Maldonado</t>
  </si>
  <si>
    <t>32000 Camino Capistrano</t>
  </si>
  <si>
    <t>San Juan Capistrano</t>
  </si>
  <si>
    <t>Around 4:40 p.m. after receiving a report that a man was "acting erratically" and entering and exiting businesses in the area, deputies tried to contact and later arrest Maldonado on suspicion of multiple violations, including impeding traffic and refusing to comply with their commands. Police said he resisted, and the deputies shocked and killed him.</t>
  </si>
  <si>
    <t>http://www.thecapistranodispatch.com/san-juan-capistrano-man-dies-after-authorities-use-taser-to-subdue-him/</t>
  </si>
  <si>
    <t>Jeffrey Dennis</t>
  </si>
  <si>
    <t>https://www.fatalencounters.org/wp-content/uploads/2018/08/Jeffrey-Dennis.jpg</t>
  </si>
  <si>
    <t>Hegerman St and Princeton Ave</t>
  </si>
  <si>
    <t>Officers went to serve a search warrant around 4:10 p.m. after tracking a man for a day. The man who was wanted on the warrant was in a black Toyota Camry and tried to flee the scene after being boxed in by police, police said. The man allegedly drove into at least one of the plainclothes officers, injuring his right knee and hip. Another officer fired three shots at Jeffrey Dennis, killing him.</t>
  </si>
  <si>
    <t>https://www.nbcphiladelphia.com/news/local/Police-Involved-Shooting-Officer-Injured-Tacony-Northeast-Philadelphia--491293001.html</t>
  </si>
  <si>
    <t>Douglas Heath</t>
  </si>
  <si>
    <t>https://www.fatalencounters.org/wp-content/uploads/2018/08/Douglas-Heath.jpg</t>
  </si>
  <si>
    <t>Gonic Rd and Oak St</t>
  </si>
  <si>
    <t>https://whdh.com/news/1-dead-after-police-pursuit-shootout-in-rochester-nh/</t>
  </si>
  <si>
    <t>Christopher Alexander Okamoto</t>
  </si>
  <si>
    <t>https://www.fatalencounters.org/wp-content/uploads/2018/08/ChristopherOkamoto.jpg</t>
  </si>
  <si>
    <t>3000 Stine Rd</t>
  </si>
  <si>
    <t>A neighbor called because of a domestic violence situation. When officers arrived, they found Christopher Okamoto in the doorway armed with a gun. Officer Alejandro Patino shot and killed him.</t>
  </si>
  <si>
    <t>https://www.turnto23.com/news/breaking-news/one-dead-after-officer-involved-shooting-in-southwest-bakersfield</t>
  </si>
  <si>
    <t>Jeremiah Perdue</t>
  </si>
  <si>
    <t>1032 Metropolitan Pkwy</t>
  </si>
  <si>
    <t>About 4:37 a.m., officers responded to a 9-1-1 call in which a person said a family member had pointed a gun at them. Officers found Jeremiah Perdue and tried to stop him. At some point, Perdue was observed with a firearm, and officers shot and killed him.</t>
  </si>
  <si>
    <t>https://www.ajc.com/news/crime--law/breaking-officers-shoot-kill-man-after-pointed-gun-them-apd-says/PlPyt5WlNYzE50hhkNDQQN/</t>
  </si>
  <si>
    <t>Charles A. Marcotte</t>
  </si>
  <si>
    <t>10th Ave N and Morningside Circle</t>
  </si>
  <si>
    <t>Details are few, but Charles Marcotte was killed inside a garage when he allegedly failed to put down a gun.</t>
  </si>
  <si>
    <t>https://www.greatfallstribune.com/story/news/2018/08/19/one-person-shot-great-falls-mobile-home-park-dead-police/1039354002/</t>
  </si>
  <si>
    <t>E Trent Ave and N Evergreen Rd</t>
  </si>
  <si>
    <t>Spokane County Sheriff's Office</t>
  </si>
  <si>
    <t>Police responded to reports of a man driving erratically, pulling into a gas station and breaking his vehicle windows. When deputies approached him, he pulled out a handgun and put it to his head. Eventually, an officer perceived a threat and shot and killed him.</t>
  </si>
  <si>
    <t>https://www.seattlepi.com/news/crime/article/Man-shot-during-confrontation-with-police-in-13167189.php</t>
  </si>
  <si>
    <t>Spencer Carmen Mendez</t>
  </si>
  <si>
    <t>https://www.fatalencounters.org/wp-content/uploads/2018/08/Spencer_Carmen_Mendez.jpg</t>
  </si>
  <si>
    <t>Service Rd and Sperry Rd</t>
  </si>
  <si>
    <t>Denair</t>
  </si>
  <si>
    <t>Officers were responding to a hit-and-run. A witness to the crash followed the Lexus and gave updates to dispatchers on its location. When an officer found the vehicle, he attempted to pull over the driver, who led him on a high-speed pursuit. When the Lexus stopped, Mendez, armed with a handgun, got out. Ceres Officer Ross Bays shot and killed Mendez.</t>
  </si>
  <si>
    <t>https://www.modbee.com/news/local/crime/article216983690.html</t>
  </si>
  <si>
    <t>Andres Arteaga</t>
  </si>
  <si>
    <t>W Southern Ave &amp; S 15th Ave</t>
  </si>
  <si>
    <t>Police were searching for Andres Arteaga regarding a felony warrant. Arteaga fled when they caught up with him and allegedly tried to break into a home. An officer reportedly tried tasering him, but Arteaga reportedly drew a handgun, and the officer shot and killed him.</t>
  </si>
  <si>
    <t>http://www.azfamily.com/story/38913564/police-investigate-second-officer-involved-shooting-in-phoenix-this-week</t>
  </si>
  <si>
    <t>Michael Harrison</t>
  </si>
  <si>
    <t>4100 Mentone Ave</t>
  </si>
  <si>
    <t>Police said Michael Harrison and his 27-year-old sister were staying temporarily at an Airbnb while visiting. Harrison allegedly attacked his sister with what detectives described as a meat cleaver. She was stabbed and cut multiple times. She ran down the street and screamed for help from a nearby resident, who rushed her into his home. Other residents and neighbors called 9-1-1. Police rushed to the scene, confronted the suspect who was armed with a knife and shot and killed him.</t>
  </si>
  <si>
    <t>https://abc7.com/suspect-wounded-in-culver-city-officer-involved-shooting/3994678/</t>
  </si>
  <si>
    <t>Hector Flores</t>
  </si>
  <si>
    <t>4000 N Jim Miller Rd</t>
  </si>
  <si>
    <t>Nearly a dozen squad cars were dispatched about 5:30 a.m. after reports of two men with guns. A plainclothes officer was shot in the leg when he confronted the pair, and they exchanged gunfire, police said. Hector Flores was killed. The other fled but was caught and arrested.</t>
  </si>
  <si>
    <t>https://www.dallasnews.com/news/crime/2018/08/17/officer-hospitalized-possible-shooting-incident-pleasant-grove</t>
  </si>
  <si>
    <t>Aquantis Griffin</t>
  </si>
  <si>
    <t>https://www.fatalencounters.org/wp-content/uploads/2018/08/Aquantis-Givens-1.jpg</t>
  </si>
  <si>
    <t>302 E 6th St</t>
  </si>
  <si>
    <t>Officers were on alert about fights outside a rap show when shots were fired in a parking lot at the back of the club around 1 a.m. Police said at least two people with guns fired multiple times. Officers approached an alley when they heard gunshots and said Aquantis Givens ran toward them with a gun in his hand. Eight officers shot and killed him. One officer fired a Taser.</t>
  </si>
  <si>
    <t>https://www.kxan.com/news/crime/police-shoot-kill-man-near-sixth-street/1377623458</t>
  </si>
  <si>
    <t>Marco Napoles Rosales</t>
  </si>
  <si>
    <t>4730 CA-76</t>
  </si>
  <si>
    <t>Deputies responded to a 9-1-1 call about 4:35 a.m. about a man who was behaving oddly and refused to leave the Circle K/Mobil gas station. When deputies arrived, Rosales fought them off. It took at least eight deputies to restrain Rosales, police said. During the struggle, deputies shocked and killed Rosales.</t>
  </si>
  <si>
    <t>http://www.sandiegouniontribune.com/news/public-safety/sd-me-suspect-dies-20180822-story.html</t>
  </si>
  <si>
    <t>Adrian Devon Herron</t>
  </si>
  <si>
    <t>2760 N Bonnie Belle Circle</t>
  </si>
  <si>
    <t>Adrian Herron stabbed his wife while their children, who were unharmed, were inside the home. She reportedly had called 9-1-1, saying he was threatening to kill everyone in the house. Police forced their way into the home, and Herron allegedly threatened them with knives, and he was shot and killed. Three officers shot Herron: Sergeant Don Ridge, Officer Adam LaPointe and Officer Sawyer Skiba.</t>
  </si>
  <si>
    <t>https://www.adn.com/alaska-news/crime-courts/2018/08/20/wasilla-police-man-killed-in-officer-involved-shooting-had-2-knives/</t>
  </si>
  <si>
    <t>Oscar Gurrola</t>
  </si>
  <si>
    <t>https://www.fatalencounters.org/wp-content/uploads/2018/08/OscarGurrola.jpg</t>
  </si>
  <si>
    <t>South County Road 1030 and East County Road 160</t>
  </si>
  <si>
    <t>Police said officers found Oscar Gurrola outside of city limits around 11 a.m. Officers approached Gurrola and tried to arrest him. Gurrola allegedly raised a gun, and police shot and killed him.</t>
  </si>
  <si>
    <t>http://www.cbs7.com/content/news/Midland-police-searching-for-man-who-shot-killed-ex-girlfriend-491023131.html</t>
  </si>
  <si>
    <t>Charlie "Lee" Hodges</t>
  </si>
  <si>
    <t>1620 Whippoorwill Road</t>
  </si>
  <si>
    <t>Glen St. Mary</t>
  </si>
  <si>
    <t>Baker</t>
  </si>
  <si>
    <t>Baker County Sheriff's Office</t>
  </si>
  <si>
    <t>Charlie "Lee" Hodges allegedly shot and wounded Walter Thompson, 68, shortly before 5:30 p.m., police said. Deputies found Hodges barricaded inside his home. But several hours of negotiation ended with Hodges shooting at deputies and being shot and killed.</t>
  </si>
  <si>
    <t>http://www.jacksonville.com/news/20180816/1-dead-in-baker-county-standoff-and-deputy-involved-shooting</t>
  </si>
  <si>
    <t>Christopher Jo Cameron</t>
  </si>
  <si>
    <t>https://www.fatalencounters.org/wp-content/uploads/2018/08/ChristopherCameron.jpg</t>
  </si>
  <si>
    <t>600 McKinley St</t>
  </si>
  <si>
    <t>Creston</t>
  </si>
  <si>
    <t>Creston Police Department</t>
  </si>
  <si>
    <t>Police received a 9-1-1 call around 11:55 p.m. reporting a man with a gun sitting on a bench in McKinley Park. Police said they asked Christopher J. Cameron to drop his weapon, but the man allegedly refused and charged at the officers. Sergeant Jared Auten shot and killed him.</t>
  </si>
  <si>
    <t>https://www.kcci.com/article/officer-suspect-named-in-deadly-shooting/22759045</t>
  </si>
  <si>
    <t>Kings Canyon Rd and Chestnut Ave</t>
  </si>
  <si>
    <t>Around 11:30 a.m., a 9-1-1 call reported a man yelling, agitated and perhaps on drugs in the area. Another call came in saying a second person was fighting with the first. After about 15 to 20 minutes, the man set down his backpack and pulled a knife. Officers reportedly began to back away and continued to try to calm the man. The man allegedly reached back into the backpack and pulled out a handgun. He raised the gun toward the officers, and they shot and killed him with some less-lethal rounds and some less-less lethal rounds.</t>
  </si>
  <si>
    <t>https://www.yourcentralvalley.com/news/local-news/police-respond-to-possible-officer-involved-shooting-in-southeast-fresno/1368436573</t>
  </si>
  <si>
    <t>Mark Harvey</t>
  </si>
  <si>
    <t>22500 Richton Square Road</t>
  </si>
  <si>
    <t>Richton Park</t>
  </si>
  <si>
    <t>Park Forest Police Department, Richton Park Police Department</t>
  </si>
  <si>
    <t>Officers responded to a call of a person shot and found Mark Harvey, 32, with a gunshot wound to his head about 2 p.m. Harvey, who was seriously wounded, was able to talk and provided a description of a suspect, police said.A man matching the provided description was found a short distance away. The man, Mark Harvey, refused to obey police commands and pulled out a handgun and fired as he ran. Three officers with the Park Forest Police Department and a Richton Park officer shot and killed him.</t>
  </si>
  <si>
    <t>https://chicago.suntimes.com/crime/man-fatally-shot-by-south-suburban-police-following-park-forest-shooting/</t>
  </si>
  <si>
    <t>Christopher Anthony Stone</t>
  </si>
  <si>
    <t>2928 S Meridian Ave</t>
  </si>
  <si>
    <t>Police received a call about Chris Stone bothering customers at 7-Eleven, allegedly telling them the store was going to be "shot up." When officers approached him, he allegedly pulled a gun on them and tried to run away. Eventually, he turned around, and he was shot and killed.</t>
  </si>
  <si>
    <t>https://kfor.com/2018/08/13/its-just-crazy-over-here-witnesses-concerned-about-drug-activity-after-officer-involved-shooting/</t>
  </si>
  <si>
    <t>Ramsey Saad</t>
  </si>
  <si>
    <t>523 Lanyard Drive</t>
  </si>
  <si>
    <t>Ramsey Saad was accused of pushing his mother to the ground and threatening to kill her when he was shocked and killed by Redwood City police.</t>
  </si>
  <si>
    <t>https://padailypost.com/2018/08/15/domestic-violence-suspect-dies-after-police-fired-taser-at-him/</t>
  </si>
  <si>
    <t>W Burnham St and S 10th St</t>
  </si>
  <si>
    <t>Officers were reportedly following up on a suspect who fled from them earlier in the day. Officers conducted a traffic stop, and the man allegedly got out of the vehicle with a gun. Two officers shot and killed him.</t>
  </si>
  <si>
    <t>https://www.channel3000.com/news/crime/milwaukee-police-respond-to-officer-involved-shooting/781109809</t>
  </si>
  <si>
    <t>Anthony Daniel Vargas</t>
  </si>
  <si>
    <t>https://www.fatalencounters.org/wp-content/uploads/2018/08/anthonyvargas.jpg</t>
  </si>
  <si>
    <t>4900 East Cesar E. Chavez Avenue</t>
  </si>
  <si>
    <t>Deputies shot and killed Anthony Vargas after confronting him in connection with an armed robbery near the Nueva Maravilla Housing Community. Police said Vargas "attempted to arm himself" with a handgun when deputies killed him.</t>
  </si>
  <si>
    <t>https://abc7.com/victim-of-east-la-deputy-involved-shooting-identified/3946045/</t>
  </si>
  <si>
    <t>Anthony Makai Hutchinson</t>
  </si>
  <si>
    <t>US-29 &amp; Spencer Mountain Rd</t>
  </si>
  <si>
    <t>Amherst County Sheriff's Office</t>
  </si>
  <si>
    <t>Anthony Makai Hutchinson was wanted for questioning regarding a murder. He allegedly opened fire on officers and was shot and killed.</t>
  </si>
  <si>
    <t>https://www.dailyprogress.com/newsvirginian/news/crime/waynesboro-man-suspected-in-nelson-county-killing-is-dead-after/article_c646753a-9e6f-11e8-b8a3-a7e236e04910.html</t>
  </si>
  <si>
    <t>Rusk</t>
  </si>
  <si>
    <t>Rusk County Sheriff's Office</t>
  </si>
  <si>
    <t>A caller told dispatchers a man at the home was intoxicated and was afraid he could become violent. Deputies responded to the home, and one deputy shot and killed the man during an alleged altercation. Details were withheld.</t>
  </si>
  <si>
    <t>http://www.waow.com/story/38876118/2018/08/13/rusk-county-deputy-fatally-shoots-man-during-altercation</t>
  </si>
  <si>
    <t>21000 Neely Dr</t>
  </si>
  <si>
    <t>Smith</t>
  </si>
  <si>
    <t>Police received a call for a welfare check on a person. Officers arrived around 1:06 p.m., but they were unable to get someone to answer the door. Around 1:30 p.m. they were able to make contact with a person through the window. The person was asked to open the front door and did not. About five minutes later ,the occupants daughter arrived with a key to the home, and deputies entered. As deputies were clearing the house when the woman who lives in the home confronted the deputies with a pistol. One shot was fired by a deputy and killed the woman who was allegedly armed.</t>
  </si>
  <si>
    <t>https://www.cbs19.tv/article/news/local/update-standoff-ends-after-woman-shoots-self/501-583362575</t>
  </si>
  <si>
    <t>Kohler Avenue and 25th Street Southwest</t>
  </si>
  <si>
    <t>A 49-year-old man, who police said fatally shot his wife Saturday morning, was killed when police caught up to him, after a string of alleged crimes, and he refused to drop his gun.</t>
  </si>
  <si>
    <t>https://www.news5cleveland.com/news/local-news/akron-canton-news/man-who-allegedly-shot-wife-killed-in-officer-involved-shooting-in-akron</t>
  </si>
  <si>
    <t>Jackey Sampson</t>
  </si>
  <si>
    <t>https://www.fatalencounters.org/wp-content/uploads/2018/08/Jackey-Sampson.jpg</t>
  </si>
  <si>
    <t>9991 Asheville Dr</t>
  </si>
  <si>
    <t>A Livingston Parish sheriff's deputy shot and killed a man after responding to a domestic disturbance call. Deputies encountered an armed man at a home about 1 a.m. and fatally shot Jackey Sampson.</t>
  </si>
  <si>
    <t>https://www.theadvocate.com/baton_rouge/news/crime_police/article_d4888b0c-9ca2-11e8-9362-570b0f757205.html</t>
  </si>
  <si>
    <t>Montae D. Shackleford</t>
  </si>
  <si>
    <t>4875 Sinclair Rd</t>
  </si>
  <si>
    <t>Police were serving a felony warrant on a kidnapping charge to Montae D. Shackleford at a hotel. Although most details were withheld by police, there may have been an exchange of gunfire when Shackleford was killed.</t>
  </si>
  <si>
    <t>https://abc22now.com/news/local/suspect-in-critical-condition-after-officer-involved-shooting-in-north-columbus</t>
  </si>
  <si>
    <t>William Fuller</t>
  </si>
  <si>
    <t>https://www.fatalencounters.org/wp-content/uploads/2018/08/WilliamFuller.jpg</t>
  </si>
  <si>
    <t>5350 E Tropicana Ave</t>
  </si>
  <si>
    <t>Police received multiple reports of a man pinning a woman to the ground and stabbing her around 9 p.m. at an apartment complex, police said. A sergeant responded to the call and found the man, identified 30-year-old William Fuller, attacking the woman outside the complex. The officer reportedly ordered Fuller to get off the woman and drop the knife, but he stood up and charged the officer while holding the knife, police said. The sergeant fired two shots, killing Fuller.</t>
  </si>
  <si>
    <t>https://www.reviewjournal.com/crime/shootings/stabbing-suspect-killed-by-las-vegas-police-officer-idd/</t>
  </si>
  <si>
    <t>Gregory Campfield Jr.</t>
  </si>
  <si>
    <t>7800 Sheriff Rd</t>
  </si>
  <si>
    <t>Hyattsville</t>
  </si>
  <si>
    <t>Police were investigating a report of a man who was selling drugs who often carried a gun when they approached Campfield. Police said Campfield ignored commands to show his hands and fled. An officer tackled Campfield and warned fellow officers that he had a gun. Police said the struggling officer shot and killed Campfield.</t>
  </si>
  <si>
    <t>https://www.washingtontimes.com/news/2018/aug/10/the-latest-maryland-police-id-man-fatally-shot-by-/?utm_source=RSS_Feed&amp;utm_medium=RSS</t>
  </si>
  <si>
    <t>Charles Meadows</t>
  </si>
  <si>
    <t>20th St and S Snyder St</t>
  </si>
  <si>
    <t>Charles Meadows was riding his bicycle the wrong way in traffic when two officers attempted to stop and interrogate him. Meadows allegedly ditched his bicycle and fled on foot. Police said Meadows fell to the ground and dropped a .40 caliber pistol, and the officer ordered him not to touch the firearm. Police say Meadows then grabbed the weapon and fired at the two officers, who shot and killed him.</t>
  </si>
  <si>
    <t>https://philadelphia.cbslocal.com/2018/08/10/charles-meadows-philadelphia-police-identify-suspect-fatal-officer-involved-shooting/</t>
  </si>
  <si>
    <t>Joseph Robbins</t>
  </si>
  <si>
    <t>158 Hospital Dr</t>
  </si>
  <si>
    <t>Carthage</t>
  </si>
  <si>
    <t>Carthage Police Department</t>
  </si>
  <si>
    <t>A hospital security guard called police around 4:30 a.m. to report a suspicious vehicle at Smith County Hospital. Two Carthage Police Department officers responded and approached the vehicle. The driver, Joseph Robbins, allegedly tried to hit one of the officers with his vehicle. One of the officers shot and killed Robbins.</t>
  </si>
  <si>
    <t>http://www.columbiadailyherald.com/news/20180808/tbi-investigating-deadly-officer-involved-shooting-in-smith-county?rssfeed=true</t>
  </si>
  <si>
    <t>Shaun Jeffery Christy</t>
  </si>
  <si>
    <t>5454 New Hope Commons Dr</t>
  </si>
  <si>
    <t>Shaun Christy allegedly pulled a gun on officers who may have been investigating him for an assault on his wife.</t>
  </si>
  <si>
    <t>https://www.heraldsun.com/news/local/crime/article216446770.html</t>
  </si>
  <si>
    <t>Vaughn Harrison Denham</t>
  </si>
  <si>
    <t>40th Street and National Avenue</t>
  </si>
  <si>
    <t>Vaughn Harrison Denham allegedly attacked someone with a machete and attacked a responding officer with a chain before he was shot and killed.</t>
  </si>
  <si>
    <t>https://www.10news.com/news/police-investigating-officer-involved-shooting-in-southcrest</t>
  </si>
  <si>
    <t>Leu Freycinet</t>
  </si>
  <si>
    <t>https://www.fatalencounters.org/wp-content/uploads/2018/08/Leu-Freycinet.jpeg</t>
  </si>
  <si>
    <t>Taft St and N 62nd Ave</t>
  </si>
  <si>
    <t>Leu Freycinet called a news station to request a reporter be sent to his home for a story. Freycinet gave his address and said something would happen in the next 15 minutes, but he would not specify what. The station called police. Freycinet then said someone threatened to kill the president. Officers were trying to contact Freycinet when they heard multiple gunshots coming from the home. Police said they saw Freycinet burning a paper bag and setting his house on fire. Police said Freycinet then walked out of his home with a firearm and confronted officers,who shot and killed him.</t>
  </si>
  <si>
    <t>https://www.local10.com/news/florida/hollywood/gunman-fatally-shot-by-police-after-setting-house-on-fire-during-swat-standoff</t>
  </si>
  <si>
    <t>Stephen L. Caldwell</t>
  </si>
  <si>
    <t>1702 Nicholas St</t>
  </si>
  <si>
    <t>https://www.omaha.com/news/crime/police-identify-man-fatally-shot-after-cutting-women-at-siena/article_6f356d4e-b239-5724-9e71-29fb6a60d1ff.html</t>
  </si>
  <si>
    <t>Daniel Boyer</t>
  </si>
  <si>
    <t>https://www.fatalencounters.org/wp-content/uploads/2018/08/dan-boyer.jpg</t>
  </si>
  <si>
    <t>5996 West Tower Rd</t>
  </si>
  <si>
    <t>Monroe County's probation office requested that deputies serve a probation violation warrant for violation of home detention on an adult woman. Deputies also were aware that an adult male with "high-level" felony warrants was likely at the residence. When a marked car came to the front door of the residence, deputies also approached the back door. The male that was wanted came out the back door, pointed a handgun at deputies and said, "Fuck this." Deputies shot and killed Daniel Boyer.</t>
  </si>
  <si>
    <t>https://www.wishtv.com/news/crime-watch-8/officer-involved-shooting-reported-in-monroe-county/1351100059</t>
  </si>
  <si>
    <t>Michael Eugene Ducote</t>
  </si>
  <si>
    <t>https://www.fatalencounters.org/wp-content/uploads/2018/08/Michael-Eugene-Ducote.jpg</t>
  </si>
  <si>
    <t>Line Ave and Olive Street</t>
  </si>
  <si>
    <t>Police attempted to stop Michael Ducote, who was reportedly driving a stolen car. He refused to stop and led police on a brief chase that ended when he crashed. As officers exited their cruisers, Ducote allegedly put the vehicle in reverse, crashing into one of the marked patrol units, and officers shot and killed the driver.</t>
  </si>
  <si>
    <t>http://www.ksla.com/story/38842036/suspect-shot-by-police-dies</t>
  </si>
  <si>
    <t>Pedro "Peter" Lucero</t>
  </si>
  <si>
    <t>N 92nd St &amp; E Oak St</t>
  </si>
  <si>
    <t>Pedro "Peter" Lucero was killed by police on the Salt River Pima-Maricopa Indian Community. Lucero was sought in the killing of 24-year-old Francine Delgado and the wounding of 28-year-old Rebecca Jacquez in Farmington.</t>
  </si>
  <si>
    <t>https://azdailysun.com/news/state-and-regional/man-fatally-shot-by-us-task-force-id-d-as/article_b4b355bb-6896-5960-9e57-81161cbfc38a.html</t>
  </si>
  <si>
    <t>Daniel Anthony Valdez</t>
  </si>
  <si>
    <t>E 41st Pl &amp; S Central Ave</t>
  </si>
  <si>
    <t>About 11:30 a.m. LAPD Gang and Narcotics Division officers and an FBI task force were searching for the suspect at a motel. The man, a gang member who had an outstanding warrant, was armed with a firearm when authorities found him in the motel's parking lot, police said. In a gunfight, the FBI agent was wounded and the man was killed. He was suspected of killing one relative and wounding another at a family party the month prior.</t>
  </si>
  <si>
    <t>https://abc7.com/lapd-suspect-dead-fbi-agent-hospitalized-after-police-shooting/3901684/</t>
  </si>
  <si>
    <t>Levester Taylor</t>
  </si>
  <si>
    <t>1550 Marietta Rd NW</t>
  </si>
  <si>
    <t>DeKalb County Sheriff's Office</t>
  </si>
  <si>
    <t>Deputies were at a rail yard to serve a warrant on Levester Taylor for felony child molestation. Three deputies opened fire after Taylor allegedly began attacking a deputy with a metal pipe wrench.</t>
  </si>
  <si>
    <t>https://www.wsbtv.com/news/local/atlanta/gbi-investigating-officer-involved-shooting-at-rail-yard/807427645</t>
  </si>
  <si>
    <t>Martin Wilson</t>
  </si>
  <si>
    <t>2400 NE 34th Ct</t>
  </si>
  <si>
    <t>https://www.kansascity.com/latest-news/article216391315.html</t>
  </si>
  <si>
    <t>Ricardo Giddings</t>
  </si>
  <si>
    <t>4822 Knox St</t>
  </si>
  <si>
    <t>Philadelphia police shot and killed a Ricardo Giddings and wounded his wife when a SWAT team showed up at 6 a.m. looking to arrest his grandson and the man mistook them for intruders and opened fire, hitting one officer in the face. Police said the man—whom he did not identify but whom property and other public records identify as Ricardo Giddings apparently began shooting in an attempt to protect his home. His wife, 67, was struck by a police round as she tried to run out of the house.</t>
  </si>
  <si>
    <t>http://www.philly.com/philly/news/philadelphia-police-officer-wounded-swat-warrant-germantown-20180806.html</t>
  </si>
  <si>
    <t>Spurgeon Daniels</t>
  </si>
  <si>
    <t>2200 W Bonanza Rd</t>
  </si>
  <si>
    <t>Officers were conducting a welfare check on a tenant after a property manager became concerned the man in the apartment was dead. The manager said it appeared the door had been barricaded and water was running for a while causing damage to the unit below. The manager said they never had an issue with the tenant before. The man wounded an officer with a knife and was shot and killed.</t>
  </si>
  <si>
    <t>http://www.fox5vegas.com/story/38822766/suspect-killed-in-3rd-las-vegas-officer-involved-shooting-in-3-days</t>
  </si>
  <si>
    <t>SW 24th Ave &amp; SW 21st St</t>
  </si>
  <si>
    <t>Okeechobee County Sheriff's Office, Okeechobee Police Department</t>
  </si>
  <si>
    <t>Deputies responded to a domestic violence situation where a man armed himself and fled. A low-speed chase ensued to another location, where the armed man held a gun to his own head. The man approached deputies while still armed, and deputies reportedly fired less-lethal rounds at him, attempting to disable him. Deputies then shot and killed him.</t>
  </si>
  <si>
    <t>https://www.wptv.com/news/region-okeechobee-county/officer-involved-shooting-investigated-in-okeechobee-county</t>
  </si>
  <si>
    <t>William "Billy" James Hughes</t>
  </si>
  <si>
    <t>900 St. Anthony Ave</t>
  </si>
  <si>
    <t>Around 2:30 a.m., officers were dispatched to a multi-unit residence. A 9-1-1 caller reported that someone fired multiple shots on the second floor. The 9-1-1 caller then hung up without providing more information. When officers arrived, they encountered a man with a gun and shot and killed Billy Hughes.</t>
  </si>
  <si>
    <t>http://www.fox9.com/news/one-dead-after-officer-involved-shooting-in-st-paul-minn</t>
  </si>
  <si>
    <t>Kevin Rinehart</t>
  </si>
  <si>
    <t>9400 Tamarisk Avenue</t>
  </si>
  <si>
    <t>About 11:45 a.m., deputies responded to a mobile home park over a call about a man with a gun. A man had allegedly pointed a gun at a neighbor for an unknown reason. Police said the man was cooperative at first but then refused to come out of the home. At about 7:45 p.m., the sheriff's office reported police-involved death occurred involving the barricaded suspect, adding that it was unknown if he was shot by deputies or if the injuries were self-inflicted.</t>
  </si>
  <si>
    <t>https://abc7.com/hesperia-barricade-suspect-dies-after-deputy-involved-shooting/3890620/</t>
  </si>
  <si>
    <t>Johnny Fisher</t>
  </si>
  <si>
    <t>https://www.fatalencounters.org/wp-content/uploads/2018/08/JohnnyFisher.jpg</t>
  </si>
  <si>
    <t>2209 Granite Cir</t>
  </si>
  <si>
    <t>Van Buren Police Department</t>
  </si>
  <si>
    <t>Johnny Fisher was shot and killed during a domestic dispute with his estranged wife. He reportedly shot an officer before being killed by another.</t>
  </si>
  <si>
    <t>http://www.swtimes.com/news/20180805/police-shoot-kill-van-buren-man</t>
  </si>
  <si>
    <t>Danzel Boyd</t>
  </si>
  <si>
    <t>210 W Baltimore Ave</t>
  </si>
  <si>
    <t>A woman reported a rape and kidnapping to the police. The victim told police where the suspect, Boyd, was and they found him in an apartment. Boyd was ordered out of the apartment but refused, leading to a 16-hour standoff. Officers James Ferrante, 35, and William Marx, 48, fatally shot Boyd at about 1:15 p.m.</t>
  </si>
  <si>
    <t>http://www.fox5vegas.com/story/38812180/suspect-officers-identified-in-downtown-las-vegas-standoff</t>
  </si>
  <si>
    <t>Eric Benjamen Richards</t>
  </si>
  <si>
    <t>https://www.fatalencounters.org/wp-content/uploads/2018/08/Eric-Richards.jpeg</t>
  </si>
  <si>
    <t>1000 Highland Dr</t>
  </si>
  <si>
    <t>Clay County Sheriff's Office, Liberty Police Department</t>
  </si>
  <si>
    <t>Eric Benjamen Richards was suicidal and had called police dispatch and made comments about a mass shooting. When officers responded, he allegedly pointed a rifle at them and shot. They shot and killed him.</t>
  </si>
  <si>
    <t>https://fox4kc.com/2018/08/04/man-threatening-suicide-talking-about-mass-shooting-gets-killed-in-liberty-officer-involved-shooting/</t>
  </si>
  <si>
    <t>John Randolph</t>
  </si>
  <si>
    <t>https://www.fatalencounters.org/wp-content/uploads/2018/08/John-Randolph.jpg</t>
  </si>
  <si>
    <t>648 West Dr</t>
  </si>
  <si>
    <t>Delray Beach Police Department</t>
  </si>
  <si>
    <t>Police said that at around 6:30 a.m., police responded to a call of a man in his 30s with a gun who had threatened his mother. Police were communicating with him for some time. Around 7:50 a.m. he ran out of the house brandishing a handgun, and at least one police officer shot and killed him. Officers Christine Suarez and Tremayne Barnes were put on paid administrative leave.</t>
  </si>
  <si>
    <t>https://cbs12.com/news/local/fatal-officer-involved-shooting-in-delray-beach</t>
  </si>
  <si>
    <t>Emmanuel Alquisiras</t>
  </si>
  <si>
    <t>1600 N US-17</t>
  </si>
  <si>
    <t>Seville</t>
  </si>
  <si>
    <t>Emmanuel Alquisiras was shot and killed while fighting with a deputy who had responded to a domestic disturbance. Alquisiras allegedly took the deputy's stun gun and was shot and killed.</t>
  </si>
  <si>
    <t>http://www.wesh.com/article/deputy-involved-shooting-reported-in-seville-officials-say/22641967</t>
  </si>
  <si>
    <t>James Bishop</t>
  </si>
  <si>
    <t>https://www.fatalencounters.org/wp-content/uploads/2018/08/James-Bishop.jpg</t>
  </si>
  <si>
    <t>1900 Arlington Ave</t>
  </si>
  <si>
    <t>Police responded to a disturbance at a home. After arrival, an officer was injured by James Bishop. Police did not clarify what kind of injuries. Another officer then shot and killed Bishop.</t>
  </si>
  <si>
    <t>https://www.krqe.com/news/new-mexico/las-cruces-police-id-man-killed-in-officer-involved-shooting/1349899185</t>
  </si>
  <si>
    <t>Josh A. Martin</t>
  </si>
  <si>
    <t>37800 N. Sherman Rd</t>
  </si>
  <si>
    <t>Deputies responded to a call about a man who had crashed his car into a ditch. When deputy went to check on him, he allegedly pulled a firearm and made a motion toward the deputy with it. The deputy shot and killed Josh Martin.</t>
  </si>
  <si>
    <t>https://www.kxly.com/news/officer-involved-shooting-leaves-one-man-dead-in-deer-park/777107558</t>
  </si>
  <si>
    <t>Karl Nilsen</t>
  </si>
  <si>
    <t>https://www.fatalencounters.org/wp-content/uploads/2018/08/Karl-Nilsen.jpg</t>
  </si>
  <si>
    <t>NW 24th Ct and 98th Ave</t>
  </si>
  <si>
    <t>Two officers responded to a domestic dispute call between two family members. A witness said they broke down his bedroom door, and when he threatened them with a baseball bat, they shot and killed him.</t>
  </si>
  <si>
    <t>https://wsvn.com/news/local/sunrise-officers-fatally-shoot-man-after-responding-to-domestic-dispute/</t>
  </si>
  <si>
    <t>Danny Lee</t>
  </si>
  <si>
    <t>1522 N Willow St</t>
  </si>
  <si>
    <t>Danny Lee was shot and killed after he raised a gun at officers while they tried to arrest him. Few details were immediately released.</t>
  </si>
  <si>
    <t>https://katv.com/news/local/suspect-dead-in-pine-bluff-officer-involved-shooting</t>
  </si>
  <si>
    <t>David Roy White</t>
  </si>
  <si>
    <t>50 Traxler Dr</t>
  </si>
  <si>
    <t>Ottumwa</t>
  </si>
  <si>
    <t>Wapello</t>
  </si>
  <si>
    <t>Ottumwa Police Department</t>
  </si>
  <si>
    <t>Police said Michael Paul Bibby, Dalton Wayne Cook and David Roy White forced their way into a residence and stole items from a resident. During the robbery, police said one person at the home was shot and wounded. Police said Bibby, Cook and White fled and were found near Liberty Elementary School, where a shootout with police took place. White died in the shootout. Bibby was injured.</t>
  </si>
  <si>
    <t>https://www.kcci.com/article/charges-filed-in-shootout-near-ottumwa-elementary-school/22655133</t>
  </si>
  <si>
    <t>Johnny Kelley</t>
  </si>
  <si>
    <t>https://www.fatalencounters.org/wp-content/uploads/2018/08/JohnnyKelley.jpg</t>
  </si>
  <si>
    <t>17072 Kasinger Ln</t>
  </si>
  <si>
    <t>Trumann</t>
  </si>
  <si>
    <t>Poinsett</t>
  </si>
  <si>
    <t>Trumann Police Department</t>
  </si>
  <si>
    <t>At around 10 a.m. Trumann Police Chief Chad Henson was contacted by Johnny Kelley, who asked Henson to come inside his house. Once inside, Kelley shot at Henson, police said. Henson shot and killed Kelley.</t>
  </si>
  <si>
    <t>https://5newsonline.com/2018/08/03/arkansas-police-chief-shot-before-returning-fire-killing-suspect/</t>
  </si>
  <si>
    <t>Landon Christopher Wooten</t>
  </si>
  <si>
    <t>Woodland Dr and Ocoee Apopka Rd</t>
  </si>
  <si>
    <t>Apopka</t>
  </si>
  <si>
    <t>Deputies were attempting to arrest Landon Christopher Wooten on two outstanding warrants for burglary and aggravated assault with a firearm. After a standoff, Wooten came out of the house with a cell phone and a B.B. gun, and he was shot and killed when he pulled the B.B. gun from his waistband.</t>
  </si>
  <si>
    <t>https://www.clickorlando.com/news/18-year-old-killed-in-deputy-involved-shooting-had-bb-gun-authorities-say</t>
  </si>
  <si>
    <t>Carl Tyson</t>
  </si>
  <si>
    <t>https://www.fatalencounters.org/wp-content/uploads/2018/08/Carltyson.jpg</t>
  </si>
  <si>
    <t>Saint Mary's</t>
  </si>
  <si>
    <t>Carl Tyson was shot and killed by Alaska State Trooper Sgt. Brent Hatch when he allegedly "advanced" on the trooper and a Village Police Officer, wielding a knife.</t>
  </si>
  <si>
    <t>http://www.ktuu.com/content/news/Domestic-violence-suspect-fatally-shot-by-AST-in-St-Marys-490029631.html</t>
  </si>
  <si>
    <t>Bobby Wallace</t>
  </si>
  <si>
    <t>https://www.fatalencounters.org/wp-content/uploads/2018/08/Bobby-Wallace.jpg</t>
  </si>
  <si>
    <t>2700 Sunnybrook St</t>
  </si>
  <si>
    <t>Shreveport City Marshal</t>
  </si>
  <si>
    <t>Shreveport police responded to a home in to assist the Shreveport Fire Department, police said. Wallace allegedly had been inside the home "tearing up the house, breaking windows and beating an individual." He allegedly struck an officer and then was shot and killed by a city marshal.</t>
  </si>
  <si>
    <t>http://www.ksla.com/story/38809470/man-shot-by-shreveport-city-marshal-dies-from-injuries</t>
  </si>
  <si>
    <t>Michael Gonzales</t>
  </si>
  <si>
    <t>11875 Sheridan Blvd</t>
  </si>
  <si>
    <t>https://www.denverpost.com/2018/08/03/westminster-officer-involved-shooting-suspect-identified/</t>
  </si>
  <si>
    <t>David Edward Hall</t>
  </si>
  <si>
    <t>https://www.fatalencounters.org/wp-content/uploads/2018/08/david_hall.jpg</t>
  </si>
  <si>
    <t>6223 Livingston Rd</t>
  </si>
  <si>
    <t>Oxon Hill</t>
  </si>
  <si>
    <t>Police said David Hall shot and killed 25-year-old Ralland Whitfield inside Seitz Liquors at about 1:15 p.m. Whitfield had just made a purchase at the store when Hall entered and shot him multiple times. As Hall fled the store, he was confronted by Cpl. Andrew McKenney, an officer with the robbery suppression team, who was in the area on an unrelated matter. McKenney ordered Hall, who was still armed, to stop, but Hall continued to run toward him. McKenney shot and killed Hall.</t>
  </si>
  <si>
    <t>http://www.fox5dc.com/news/local-news/murder-suspect-killed-by-prince-georges-county-police-in-oxon-hill-identified</t>
  </si>
  <si>
    <t>Jonathan Joey Mendoza</t>
  </si>
  <si>
    <t>https://www.fatalencounters.org/wp-content/uploads/2018/08/Jonathan-Joey-Mendoza.jpg</t>
  </si>
  <si>
    <t>200 6th Ave</t>
  </si>
  <si>
    <t>Hereford</t>
  </si>
  <si>
    <t>Deaf Smith</t>
  </si>
  <si>
    <t>Jonathan Mendoza was wanted by the Amarillo Police Department on several warrants, including aggravated assault with a deadly weapon. Police determined that he was at a residence in Hereford. When officers arrived, Mendoza left the house at the rear of the residence, while allegedly holding a gun. When he saw officers in the back, he ran around to the front of the residence and was confronted by other officers. When he saw the officers, he did pointed the gun at the officers and was shot and killed.</t>
  </si>
  <si>
    <t>http://www.newschannel10.com/story/38801717/police-suspect-in-officer-involved-shooting-pointed-gun-at-officers</t>
  </si>
  <si>
    <t>Jacob Bauer</t>
  </si>
  <si>
    <t>5420 Sunol Boulevard</t>
  </si>
  <si>
    <t>Officers tried to seduce Jacob Bauer, he refused to comply with requests to place his hands behind his back and fought officers, scratching and biting them. Officers struggled to place Bauer in handcuffs, at one point using what police referred to as an electronic control device, likely something similar to a Taser. Once Bauer was placed in handcuffs, he continued to struggle with officers, eventually requiring the use of a leg restraint device. He was killed during the arrest.</t>
  </si>
  <si>
    <t>https://sanfrancisco.cbslocal.com/2018/08/02/man-who-died-in-pleasanton-police-custody-identified/</t>
  </si>
  <si>
    <t>Tramaine Marquese Poole</t>
  </si>
  <si>
    <t>https://www.fatalencounters.org/wp-content/uploads/2018/08/Tramaine-Marquese-Poole.jpg</t>
  </si>
  <si>
    <t>Loco School Rd and Bell Road Rd</t>
  </si>
  <si>
    <t>Yale</t>
  </si>
  <si>
    <t>Tramaine Marquese Poole was killed in a shootout with troopers after he refused to stop for them. Troopers said a bullet fired by Poole hit and killed a police dog in the back seat of a police car. Poole was being sought in connection with a murder.</t>
  </si>
  <si>
    <t>https://www.13newsnow.com/article/news/local/virginia/k-9-officer-killed-driver-dead-after-virginia-state-police-troopers-exchange-gunfire-with-driver/291-579381620</t>
  </si>
  <si>
    <t>Skyler Martin</t>
  </si>
  <si>
    <t>https://www.fatalencounters.org/wp-content/uploads/2018/08/Skyler-Martin.jpeg</t>
  </si>
  <si>
    <t>S 24th St &amp; E Baseline Rd</t>
  </si>
  <si>
    <t>Glendale police including a police dog and human partner were working with a U.S. Marshals task force to apprehend a fugitive. Around 5:30 p.m., police said Skyler Martin ran from officers and jumped a wall, where he was confronted by the dog and officer. Martin fired, killing the dog, officials said.The officer fired back, killing Martin.</t>
  </si>
  <si>
    <t>https://www.abc15.com/news/region-phoenix-metro/south-phoenix/glendale-police-officer-involved-in-shooting-in-phoenix</t>
  </si>
  <si>
    <t>David Judge</t>
  </si>
  <si>
    <t>6100 South Earp Wash Lane</t>
  </si>
  <si>
    <t>Officers responded to a home in relation to reports of a man firing a rifle inside a home. When they arrived, a resident of the house said the suspect, David Judge, reportedly was armed and barricaded inside the home. Hostage negotiators reportedly spoke with Judge multiple times, but he refused to cooperate. Judge came out of the home at around 12:30 a.m. armed with two handguns. Det. David Ortiz shot and killed him.</t>
  </si>
  <si>
    <t>http://www.kvoa.com/story/38782586/neighborhood-evacuated-following-swat-situation-near-alvernon-and-valencia</t>
  </si>
  <si>
    <t>James Edward Blackmon</t>
  </si>
  <si>
    <t>https://www.fatalencounters.org/wp-content/uploads/2018/08/James-Edward-Blackmon.jpg</t>
  </si>
  <si>
    <t>I-55</t>
  </si>
  <si>
    <t>Luxora</t>
  </si>
  <si>
    <t>After a vehicle chase, James Edward Blackmon allegedly fired at troopers, who shot and killed him.</t>
  </si>
  <si>
    <t>http://www.kfvs12.com/story/38771011/suspect-identified-in-deadly-shootout-with-asp</t>
  </si>
  <si>
    <t>Richard "Gary" Black</t>
  </si>
  <si>
    <t>https://www.fatalencounters.org/wp-content/uploads/2018/07/Richard-Black.jpg</t>
  </si>
  <si>
    <t>10609 E Montview Blvd</t>
  </si>
  <si>
    <t>Richard Black allegedly shot and killed an intruder to his home before being shot and killed by police who thought he might be the intruder.</t>
  </si>
  <si>
    <t>https://www.thedenverchannel.com/news/crime/police-man-killed-in-home-by-aurora-pd-monday-morning-had-fatally-shot-intruder-minutes-earlier</t>
  </si>
  <si>
    <t>Julian Jenkins</t>
  </si>
  <si>
    <t>500 East Division Street</t>
  </si>
  <si>
    <t>Pilot Point</t>
  </si>
  <si>
    <t>Pilot Point Police Department</t>
  </si>
  <si>
    <t>Police responded to a report of a fight about 11:15 a.m. Officers reportedly saw Jenkins go in the house with a gun when they arrived. Officers went in the house after hearing sounds of a struggle. An officer claims they shot and killed Jenkins because he refused to follow police commands.</t>
  </si>
  <si>
    <t>https://www.dentonrc.com/news/blotter-victim-identified-in-officer-involved-shooting-in-pilot-point/article_f7bfec85-0992-5d71-9ed3-c40d038679f4.html</t>
  </si>
  <si>
    <t>Michael Neal</t>
  </si>
  <si>
    <t>Anderson St and Olive St</t>
  </si>
  <si>
    <t>Ball Police Department</t>
  </si>
  <si>
    <t>Michael Neal was shot and killed during a traffic stop and chase.</t>
  </si>
  <si>
    <t>http://www.knoe.com/content/news/Man-dead-after-officer-involved-shooting-in-Rapides-Parish-489438451.html</t>
  </si>
  <si>
    <t>Arthur Kenzie Garner</t>
  </si>
  <si>
    <t>https://www.fatalencounters.org/wp-content/uploads/2018/07/Arthur-Kenzie-Garner.jpg</t>
  </si>
  <si>
    <t>106 Forest Place Drive</t>
  </si>
  <si>
    <t>Moore County Sheriff's Office</t>
  </si>
  <si>
    <t>Deputies were called shortly before 3 a.m. after someone at the residence called 9-1-1 to report a domestic dispute. When deputies arrived, Arthur Garner allegedly began shooting at them. Deputies Sgt. Sean Ballard, Corporal Dustin Hussey, Stephanie Griffin and Justin Mack shot and killed him. Family said Garner did not shoot.</t>
  </si>
  <si>
    <t>https://www.wral.com/moore-sheriff-ids-deputies-involved-in-fatal-officer-involved-shooting/17738241/</t>
  </si>
  <si>
    <t>Joseph Santos</t>
  </si>
  <si>
    <t>https://www.fatalencounters.org/wp-content/uploads/2018/08/JosephSantos.jpg</t>
  </si>
  <si>
    <t>3712 Hamilton Blvd</t>
  </si>
  <si>
    <t>South Whitehall Township Police Department</t>
  </si>
  <si>
    <t>A South Whitehall Township police officer, responding to a report of a person interfering with traffic, encountered Santos around 5:45 p.m. Witnesses said he was jumping on moving vehicles and hanging onto the police car before the officer stopped. On the police scanner, the officer asked for backup for a possible "mental issue." In videos, Santos is seen walking away from the police car, then reversing course and walking toward the officer, who is heard demanding that he get on the ground. Santos, who did not appear to be armed, can be seen raising a hand, then lowering it before he was shot and killed.</t>
  </si>
  <si>
    <t>http://www.mcall.com/news/police/mc-nws-south-whitehall-fatal-police-shooting-victim-20180730-story.html</t>
  </si>
  <si>
    <t>2400 W 65th Ave</t>
  </si>
  <si>
    <t>Aurora police were tracking a vehicle by helicopter. The vehicle was found in Adams County. Aurora police responded to that location, and the driver drove his vehicle at Aurora police officers and hit several of them. He was shot and killed. He was allegedly a suspect in a shooting.</t>
  </si>
  <si>
    <t>https://denver.cbslocal.com/2018/07/29/police-aurora-deadly-shooting-adams-county/</t>
  </si>
  <si>
    <t>Lamar Richardson</t>
  </si>
  <si>
    <t>Lagrange St &amp; E Hudson St</t>
  </si>
  <si>
    <t>Police said they responded to a vehicle stolen from East Toledo and identified Lamar Richardson as the driver. They lost the car after a pursuit, and later saw Richardson on a bicycle. They stopped him, but he allegedly fled on foot. Police said they shot and killed him when he showed a 9mm firearm.</t>
  </si>
  <si>
    <t>http://www.toledoblade.com/Police-Fire/2018/07/27/Toledo-police-on-scene-of-an-officer-involved-shooting.html</t>
  </si>
  <si>
    <t>Richard Mendoza</t>
  </si>
  <si>
    <t>Cynthia Fields</t>
  </si>
  <si>
    <t>1600 Stratford St</t>
  </si>
  <si>
    <t>Savannah Police Department</t>
  </si>
  <si>
    <t>Around 9:30 p.m. Savannah Police responded to a shooting. While investigating, police said they encountered a man on Stratford Street who matched the description of a person who may have been involved in the shooting. Police approached 20-year old Chantz Cooper, and a Savannah Police Officer and Cooper fired shots at each other. A bullet from the exchange flew into the home of Cynthia Fields, killing her.</t>
  </si>
  <si>
    <t>https://www.wsav.com/top-stories/bystander-shot-in-savannah-during-officer-involved-shooting/1331134706</t>
  </si>
  <si>
    <t>Jesus Hernandez Murillo</t>
  </si>
  <si>
    <t>301 Railroad Ave N</t>
  </si>
  <si>
    <t>https://www.seattletimes.com/seattle-news/crime/18-year-old-man-shot-by-sheriffs-deputy-at-kent-station-identified/</t>
  </si>
  <si>
    <t>William Earnest Brooks</t>
  </si>
  <si>
    <t>Social Circle Fairplay Road</t>
  </si>
  <si>
    <t>Social Circle</t>
  </si>
  <si>
    <t>Walton County Sheriff's Office, Social Circle Police Department</t>
  </si>
  <si>
    <t>William Earnest Brooks, was allegedly riding an ATV outside of a home on Social Circle Fairplay Road, prompting a 9-1-1 call that sent deputies to the home. The caller said the homeowner expected someone to be there to do some yard work but not to ride an ATV. Deputies tried to talk with Brooks, but he allegedly ran away, and police chased him. Police said Brooks overpowered the deputy, causing the deputy to draw his weapon and fire one round, missing Brooks. Brooks then took the weapon and fled deeper into the woods. A Georgia State Patrol helicopter spotted Brooks near a lake shoreline. Multiple Walton County deputies and one Social Circle police officer shot and killed Brooks.</t>
  </si>
  <si>
    <t>https://www.ajc.com/news/crime--law/gbi-man-who-fought-with-cops-before-being-fatally-shot-walton-county/BGmEJU3SrIyCSwnUXcUuJP/?icmp=np_inform_variation-test</t>
  </si>
  <si>
    <t>Sergio Acosta</t>
  </si>
  <si>
    <t>2500 Gates Avenue</t>
  </si>
  <si>
    <t>Officers responded around 4:10 p.m. to a call of a person holding a gun but received an update that the suspect was chasing an unknown person and possibly had fired shots at that person, police said. Sergio Acosta was shot and killed upon their arrival. He had an Airsoft pellet gun.</t>
  </si>
  <si>
    <t>https://www.nbclosangeles.com/news/local/Man-Wounded-in-Redondo-Beach-Officer-Involved-Shooting-489303661.html</t>
  </si>
  <si>
    <t>Daniel Hambrick</t>
  </si>
  <si>
    <t>https://www.fatalencounters.org/wp-content/uploads/2018/07/Daniel-Hambrick.jpg</t>
  </si>
  <si>
    <t>17th Ave N and Jo Johnston Ave</t>
  </si>
  <si>
    <t>Officers reportedly saw a vehicle driving erratically. They attempted to stop the vehicle, but it drove away. The officers found the vehicle about 7 p.m. Police said Daniel Hambrick got out of the car with a gun in his hand, and Officer Andrew Delke shot and killed him.</t>
  </si>
  <si>
    <t>https://www.newschannel5.com/news/tbi-investigates-officer-involved-shooting-in-nashville</t>
  </si>
  <si>
    <t>Iman Joseph Buford</t>
  </si>
  <si>
    <t>20411 Sonora Acres Rd</t>
  </si>
  <si>
    <t>Deputies from the county and Springdale police responded to a call about 11:16 p.m. of a domestic disturbance. Upon arrival, officers encountered an armed man. The officers ordered him to put down his weapon. Iman Buford allegedly began to advance towards them. Officer Trevor Bowen shot and killed him.</t>
  </si>
  <si>
    <t>https://5newsonline.com/2018/07/27/officers-respond-to-domestic-disturbance-armed-suspect-shot-by-police/</t>
  </si>
  <si>
    <t>Kenneth Edwin Martell</t>
  </si>
  <si>
    <t>https://www.fatalencounters.org/wp-content/uploads/2018/07/Kenneth-Edwin-Martell.jpg</t>
  </si>
  <si>
    <t>Four Seasons Blvd and W Sullivan Lake Rd</t>
  </si>
  <si>
    <t>Lakemoor</t>
  </si>
  <si>
    <t>Lakemoor Police Department</t>
  </si>
  <si>
    <t>Police said Kenneth Martell was shot and killed by Lakemoor police after he allegedly pulled two weapons on officers while he was wanted in connection with the murder of an elderly man. Martell allegedly went to the home of 88-year-old Theodore Garver to rob him, but killed him and then forced three people at gunpoint to help him get rid of the body in a pond, according to police.</t>
  </si>
  <si>
    <t>http://www.chicagotribune.com/suburbs/lake-county-news-sun/news/ct-lns-officer-involved-shooting-lakemoor-st-0727-story.html</t>
  </si>
  <si>
    <t>https://www.fatalencounters.org/wp-content/uploads/2018/07/Gavalynn-Gabbie-Mahuka.jpg</t>
  </si>
  <si>
    <t>89-555 Mokiawe St</t>
  </si>
  <si>
    <t>Waianae</t>
  </si>
  <si>
    <t>Officers were serving a temporary restraining order to Gavalynn Mahuka. Police said he fired shots from a shotgun after barricading himself inside his home for close to eight hours. Officers shot and killed him.</t>
  </si>
  <si>
    <t>http://www.kitv.com/story/38741649/police-shootout-in-nanakuli-suspect-dead-officer-injured</t>
  </si>
  <si>
    <t>Jose Luis Rodriguez</t>
  </si>
  <si>
    <t>https://www.fatalencounters.org/wp-content/uploads/2018/07/Jose-Luis-Rodriguez.jpg</t>
  </si>
  <si>
    <t>3930 E I-40</t>
  </si>
  <si>
    <t>About 8 p.m., officers were at the America's Best Value Inn looking for a man with a felony warrant for aggravated assault with a deadly weapon. Officers saw Rodriguez leave a room with a handgun in his hand. Rodriguez allegedly attempted to hide behind other people and refused to drop the gun and was shot and killed by police.</t>
  </si>
  <si>
    <t>https://abc7amarillo.com/news/local/suspect-killed-in-officer-involved-shooting-identified-07-26-2018</t>
  </si>
  <si>
    <t>D'Mario Perkins</t>
  </si>
  <si>
    <t>https://www.fatalencounters.org/wp-content/uploads/2018/07/dmarioperkins.jpg</t>
  </si>
  <si>
    <t>S 3rd St &amp; E Mitchell Rd</t>
  </si>
  <si>
    <t>Around 9:30 p.m., two officers were reportedly on patrol when they pulled over a vehicle for an alleged traffic violation. The driver, D'Mario Perkins, threatened to harm himself when approached by the officers. Police said he fired his weapon, and the officers shot and killed him.</t>
  </si>
  <si>
    <t>https://wreg.com/2018/07/26/tbi-investigating-officer-involved-shooting-in-south-memphis/</t>
  </si>
  <si>
    <t>Richard Roosevelt Bahr</t>
  </si>
  <si>
    <t>3105 E Hills Ct</t>
  </si>
  <si>
    <t>A 9-1-1 caller reported that a badly injured woman had asked for help before getting into a van. Deputies located the van and attempted to make a traffic stop. Richard Bahr sped away. As he neared a dead end, he allegedly turned the vehicle and rammed the deputy's patrol car. After the deputy told him to stop, Bahr allegedly accelerated toward him. The deputy shot and killed Bahr.</t>
  </si>
  <si>
    <t>http://www.spokesman.com/stories/2018/jul/26/medical-examiner-identifies-man-shot-while-trying-/</t>
  </si>
  <si>
    <t>Brent Carl Bowdon</t>
  </si>
  <si>
    <t>2663 Rainbow Ln</t>
  </si>
  <si>
    <t>about 2:51 a.m., police were dispatched to a 9-1-1 call where a male and a female could be heard screaming at each other. Upon arrival, three Lake Havasu police officers contacted Brent Carl Bowdon and shot and killed him.</t>
  </si>
  <si>
    <t>https://kdminer.com/news/2018/jul/25/one-dead-havasu-officer-involved-shooting/</t>
  </si>
  <si>
    <t>Michael Heatherly</t>
  </si>
  <si>
    <t>https://www.fatalencounters.org/wp-content/uploads/2018/07/Michael-Heatherly.jpg</t>
  </si>
  <si>
    <t>116 Chapman Crest Dr</t>
  </si>
  <si>
    <t>La Follette</t>
  </si>
  <si>
    <t>Police received a call from a home around 2:30 p.m. from a man who claimed to have shot his wife. When police arrived, there was a brief standoff involving a deputy, an agent with the Eighth Judicial Drug Task Force and a Tennessee Highway Patrol trooper. Michael Heatherly allegedly pointed a gun at officers and was shot and killed.</t>
  </si>
  <si>
    <t>https://www.wate.com/news/local-news/campbell-county-sheriff-suspect-who-shot-killed-wife-injured-in-standoff-with-deputies/1323512900</t>
  </si>
  <si>
    <t>DeVaughdre Delsha Rogers</t>
  </si>
  <si>
    <t>https://www.fatalencounters.org/wp-content/uploads/2018/07/Devaughdre-Delsha-Rogers.jpg</t>
  </si>
  <si>
    <t>4597 SE 137th Terrace</t>
  </si>
  <si>
    <t>Bradford</t>
  </si>
  <si>
    <t>About 11:15 p.m., 45 bullets were shot into a home on Southeast 137th Terrace. A few hours later, the residents called the Sheriff's Office again to say the gunmen were back in a gray Mercury Marquis sedan. Officers headed in that direction came across a similar Mercury with three men inside and pursued. The car stopped, and DeVaughdre Delsha Rogers allegedly stepped out with a rifle and started to aim at officers who shot and killed him.</t>
  </si>
  <si>
    <t>http://www.jacksonville.com/news/20180725/last-suspect-jailed-after-police-involved-shooting-leaves-1-dead-in-starke</t>
  </si>
  <si>
    <t>Donna Lynn Allen</t>
  </si>
  <si>
    <t>https://www.fatalencounters.org/wp-content/uploads/2018/07/Donna-Lynn-Allen.jpg</t>
  </si>
  <si>
    <t>11838 Burchard Rd</t>
  </si>
  <si>
    <t>Red Bank Police Department</t>
  </si>
  <si>
    <t>Driver Donna Lynn Allen and a man allegedly fled a traffic stop for failure to yield. The vehicle allegedly hit a Red Bank police officer, who shot both occupants, killing Allen.</t>
  </si>
  <si>
    <t>https://wdef.com/2018/07/24/tbi-investigates-officer-involved-shooting/</t>
  </si>
  <si>
    <t>Cashus Dean Case</t>
  </si>
  <si>
    <t>1443 S Roosevelt Dr</t>
  </si>
  <si>
    <t>Cashus Dean Case was shot to death after he refused to drop two black powder pistols, police said. The shooting was reported shortly after 1:30 p.m. in an RV park. Officers with Seaside police responded to a report of an armed man. Case, who lived in the trailer park, was apparently angry that a man had been bitten by a dog and was waving around two pistols. Witnesses disputed the story, saying Case had the guns in holsters, and he'd just stopped a three-dog attack on a man.</t>
  </si>
  <si>
    <t>https://www.kgw.com/article/news/man-shot-dead-by-police-in-seaside-was-waving-two-pistols-da-says/283-577083959</t>
  </si>
  <si>
    <t>John Carlos Natera-Perez aka Jean Perez</t>
  </si>
  <si>
    <t>2803 Mozart Dr</t>
  </si>
  <si>
    <t>John Carlos Natera-Perez was shot and killed by a police officer while holding his 3-year-old son inside a Silver Spring home during a domestic-violence-related barricade, police said. The boy was not physically harmed during the incident.</t>
  </si>
  <si>
    <t>https://wjla.com/news/crime/man-dies-poilce-shooting-domestic-barricade-silver-spring-son-3</t>
  </si>
  <si>
    <t>Rosalio Hernandez Ortega</t>
  </si>
  <si>
    <t>2214 Dorsett St</t>
  </si>
  <si>
    <t>Alamance</t>
  </si>
  <si>
    <t>Rosalio Hernandez Ortega was shot and killed shortly after 5:30 p.m. when officers responded to a 9-1-1 report of a man slashing tires with a machete. Ortega allegedly threatened Sgt. Richard Marsh, 47, and Officer Alek Ayer, 24, with the machete and was shot and killed.</t>
  </si>
  <si>
    <t>http://www.thetimesnews.com/news/20180726/burlington-police-release-id-of-suspect-killed-by-officers</t>
  </si>
  <si>
    <t>Paul B. Meade</t>
  </si>
  <si>
    <t>17 Hillside Ave</t>
  </si>
  <si>
    <t>A neighbor heard Paul B. Meade speaking about harming himself, so she called her husband, who called 9-1-1, police said. When police arrived, Meade allegedly was sitting in a wheelchair at the back of the house with a shotgun across his lap. Meade allegedly did not heed calls by police to drop the gun, instead pointing it toward two officers, who shot and killed him.</t>
  </si>
  <si>
    <t>https://www.heraldcourier.com/news/officer-involved-shooting-remains-under-investigation/article_d76b74c1-39f8-53f1-8122-5afdc3b8f7fe.html</t>
  </si>
  <si>
    <t>Logan Simpson</t>
  </si>
  <si>
    <t>8600 of East 169th St</t>
  </si>
  <si>
    <t>Bixby</t>
  </si>
  <si>
    <t>Bixby Police Department</t>
  </si>
  <si>
    <t>Bixby police responded to a report of assault with a deadly weapon. Officers got reports of a family car taken from the scene. An officer saw a car that matched the description while going to the scene and tried to stop it, but the driver fled. The car later stopped and started driving toward the officer. The officer fired at the car, and the car drove off. Officers later found the car and Logan Simpson fatally shot with two gunshots.</t>
  </si>
  <si>
    <t>https://www.fox23.com/news/one-shot-after-bixby-officer-involved-shooting/795679658</t>
  </si>
  <si>
    <t>William Bacorn</t>
  </si>
  <si>
    <t>S Peyton Hwy &amp; Loop Rd</t>
  </si>
  <si>
    <t>Deputy Jeremy Juhl, 36, and other officers responded to "several heavily armed men" along Loop Road in the southern part of the county. They started taking fire from one of the outbuildings there shortly after their arrival and started shooting back. A person was killed in the firefight. Juhl was wounded in his left side by either some shrapnel or a shotgun pellet.</t>
  </si>
  <si>
    <t>http://www.kktv.com/content/news/Fatal-shooting-in-eastern-El-Paso-County-488831351.html</t>
  </si>
  <si>
    <t>Juan Ramon Ramos</t>
  </si>
  <si>
    <t>Olive St and 13th St</t>
  </si>
  <si>
    <t>After a vehicle and foot chase, reckless driving suspect Juan Ramon Ramos was killed by a deputy while he was allegedly threatening non-police people and deputies with a box cutter.</t>
  </si>
  <si>
    <t>https://www.highlandnews.net/news/public_safety/pursuit-assault-with-a-deadly-weapon-leads-to-a-deputy/article_f7b49d2e-8f6d-11e8-9ca2-6f770a22dd36.html</t>
  </si>
  <si>
    <t>Juan Garcia</t>
  </si>
  <si>
    <t>W Blaine St &amp; Watkins Dr</t>
  </si>
  <si>
    <t>University of California - Riverside Police</t>
  </si>
  <si>
    <t>Police responded to reports of shots fired, near the north end of the college campus. Campus police, who received the calls about 1 a.m., were the first to arrive, spotting a man walking on Watkins Drive, just east of Blaine Street. When the officers made contact with the man, he was shot and killed. After the shooting, officers reportedly recovered three weapons, one of them an "improvised device."</t>
  </si>
  <si>
    <t>https://www.pe.com/2018/07/23/man-dies-after-being-shot-by-campus-police-near-uc-riverside/</t>
  </si>
  <si>
    <t>Anthony C. Lopez</t>
  </si>
  <si>
    <t>S Dobson Rd &amp; W Southern Ave</t>
  </si>
  <si>
    <t>Police stopped a suspected impaired driver at an intersection. Anthony C. Lopez allegedly refused to follow directions. Police said he accelerated backward, striking one of the officers and hit a patrol car. The officer reportedly dropped his less-lethal Taser, drew his firearm and shot and killed Lopez.</t>
  </si>
  <si>
    <t>http://www.azfamily.com/story/38697858/mesa-police-investigating-an-officer-involved-shooting</t>
  </si>
  <si>
    <t>Melyda Corado</t>
  </si>
  <si>
    <t>https://www.fatalencounters.org/wp-content/uploads/2018/07/Melyda-Corado.jpg</t>
  </si>
  <si>
    <t>2738 Hyperion Ave</t>
  </si>
  <si>
    <t>Gene Evin Atkins is suspected of holding hostages inside a Trader Joe's in Silver Lake. Melyda Corado was shot and killed by LAPD officers during the incident.</t>
  </si>
  <si>
    <t>http://abc7.com/silver-lake-trader-joes-suspect-idd-booked-for-murder/3804545/</t>
  </si>
  <si>
    <t>Ruben Maya</t>
  </si>
  <si>
    <t>959 N Parkway Dr</t>
  </si>
  <si>
    <t>Ruben Maya was killed during an exchange of gunfire during a standoff with police.</t>
  </si>
  <si>
    <t>https://www.fresnobee.com/news/local/crime/article215284285.html</t>
  </si>
  <si>
    <t>Vincent James Ewer II</t>
  </si>
  <si>
    <t>https://www.fatalencounters.org/wp-content/uploads/2018/07/Vincent-James-Ewer-II.jpg</t>
  </si>
  <si>
    <t>5655 W Valencia Rd</t>
  </si>
  <si>
    <t>During a pursuit by Pima County Sheriff's deputies, Vincent James Ewer II allegedly rammed a Pascua Yaqui Police Department vehicle in the casino's parking lot before running into a desert area. He was then shot and killed by Deputy Paul Petropoulos and Sergeant Aaron Cross.</t>
  </si>
  <si>
    <t>http://www.azfamily.com/story/38700298/breaking-deputies-involved-in-shooting-at-casino-del-sol</t>
  </si>
  <si>
    <t>Eliuth Penaloza Nava</t>
  </si>
  <si>
    <t>500 of S West Street</t>
  </si>
  <si>
    <t>Officers responded to a family member's report that Eliuth Penaloza Nava was possibly on drugs and hallucinating. Nava was reportedly seated in his vehicle while armed with a knife and gun. Officers arrived on scene at about 9:30 a.m. and attempted to contact Nava, but he fled in his vehicle. He was shot and killed in the vehicle.</t>
  </si>
  <si>
    <t>http://abc7.com/anaheim-officer-involved-shooting-leaves-suspect-dead/3800936/</t>
  </si>
  <si>
    <t>Dale Slocum</t>
  </si>
  <si>
    <t>https://www.fatalencounters.org/wp-content/uploads/2018/07/Dale-Slocum.jpg</t>
  </si>
  <si>
    <t>4400 Heatherdowns Blvd</t>
  </si>
  <si>
    <t>Dale Slocum was allegedly trying to rob a Dollar General store with a replica gun. When a person tried to intervene, Slocum allegedly fatally stabbed him. Officer Jonathan Chio shot and killed Slocum inside the store.</t>
  </si>
  <si>
    <t>http://www.toledoblade.com/Police-Fire/2018/07/23/Officer-identified-in-Dollar-General-robbery-shooting/stories/20180723127</t>
  </si>
  <si>
    <t>Javier Lopez</t>
  </si>
  <si>
    <t>8727 Point Park Dr</t>
  </si>
  <si>
    <t>Harris County Sheriff's Office, Cy Fair Independent School District Police Department</t>
  </si>
  <si>
    <t>Police were investigating a robbery of a food delivery person by several reportedly armed people. Officers were directed to an empty apartment where the thieves were supposedly hiding. WHen they went in, there was a gunfight. The suspects were able to get away and a foot pursuit began. During the pursuit, Javier Lopez allegedly fred several shots at the deputies. He eventually stopped near the complex leasing office, turned toward deputies and pointed a revolver at them. Ten Harris County deputies and one Cy Fair ISD police officer shot and killed him.</t>
  </si>
  <si>
    <t>https://www.khou.com/article/news/local/sheriff-robbery-suspect-killed-3-others-arrested-after-shootout-with-deputies-in-nw-harris-county/285-575998346</t>
  </si>
  <si>
    <t>Justin Joshua Waiki</t>
  </si>
  <si>
    <t>S Point Rd and Kamaoa Rd</t>
  </si>
  <si>
    <t>Naalehu</t>
  </si>
  <si>
    <t>Justin Joshua Waiki was suspected of fatally shooting Officer Bronson Kaliloa during a traffic stop when he was shot and killed in a gunbattle with police.</t>
  </si>
  <si>
    <t>http://www.hawaiinewsnow.com/story/38673493/3-accused-of-helping-suspected-big-island-cop-killer-to-appear-in-court</t>
  </si>
  <si>
    <t>Anthony Coleman</t>
  </si>
  <si>
    <t>https://www.fatalencounters.org/wp-content/uploads/2018/07/AnthonyColeman.jpg</t>
  </si>
  <si>
    <t>NE 105th Ln</t>
  </si>
  <si>
    <t>Sumter County Sheriff's Office</t>
  </si>
  <si>
    <t>Deputies responded to a call regarding a domestic dispute, and then met the wife at a local church, who told deputies Coleman had punched their dog in the face three times. The wife reportedly told police that Coleman started acting strange, shooting a gun in the air 10 times and firing at people's dogs in the neighborhood. The wife also told police that Coleman shot one dog and dragged it to the house. The wife fled the scene with her children and while police were interviewing her, deputies responded to gunshots heard nearby. Deputies said they confronted Coleman, who then raised a firearm at deputies. The two deputies then shot and killed him.</t>
  </si>
  <si>
    <t>https://www.clickorlando.com/news/florida/sumter-county/officers-involved-in-shooting-following-lady-lake-dispute</t>
  </si>
  <si>
    <t>Arthur C. Levario Jr.</t>
  </si>
  <si>
    <t>California Ave and Arlington Ave</t>
  </si>
  <si>
    <t>Riverside police officers shot and killed a man after pursuing him from Hemet during a chase in which the suspect fired at the pursuing officers, police said. The pursuit began about 7:40 p.m. in Hemet, where officers tried to contact the man in connection with a shooting investigation.</t>
  </si>
  <si>
    <t>https://www.pe.com/2018/07/20/riverside-police-block-off-part-of-arlington-avenue-after-apparent-pursuti/</t>
  </si>
  <si>
    <t>Luis Cruz</t>
  </si>
  <si>
    <t>1700 W Aiken Ave</t>
  </si>
  <si>
    <t>Police first stopped the vehicle Luis Cruz was in shortly after midnight. Cruz, who was a passenger, was wanted for questioning in a June 21 shooting and a domestic battery, police said. As the car stopped, passenger Cruz got out and ran. Officers pursued him, but at some point, he allegedly turned his body toward the officers and was shot and killed.</t>
  </si>
  <si>
    <t>https://www.pantagraph.com/news/local/crime-and-courts/peoria-officers-on-leave-after-latest-fatal-shooting/article_9f6e0570-a7e2-5a55-8226-f73640f51af9.html</t>
  </si>
  <si>
    <t>Carmelo Pizarro Jr.</t>
  </si>
  <si>
    <t>7100 of Pico Vista Road</t>
  </si>
  <si>
    <t>Deputies attempted to pull Carmelo Pizarro over as a suspected DUI. After a brief pursuit, he crashed, and then ran off, police said. Deputies fired near the crash scene, and then caught up with him again several blocks away. More shots were fired, killing him.</t>
  </si>
  <si>
    <t>https://www.nbclosangeles.com/news/local/Man-Killed-In-Deputy-Involved-Shooting-In-Pico-Rivera-488648461.html</t>
  </si>
  <si>
    <t>Christopher A. Roberts</t>
  </si>
  <si>
    <t>4540 Taylorsville Rd</t>
  </si>
  <si>
    <t>Police said a man had a big knife and was rolling around on the outdoor hallway of a motel. An officer chased Christopher Roberts and told him to drop the knife, but Roberts refused. The officer tasered Roberts twice. The second time, Roberts was going down concrete steps, fell, and hit his head, killing him.</t>
  </si>
  <si>
    <t>https://www.wlky.com/article/man-dies-after-being-tased-by-jeffersontown-police-officer/22607247</t>
  </si>
  <si>
    <t>Arthur Lee Lujan</t>
  </si>
  <si>
    <t>https://www.fatalencounters.org/wp-content/uploads/2018/07/ArthurLujan.jpg</t>
  </si>
  <si>
    <t>6801 Los Volcanes Rd NW</t>
  </si>
  <si>
    <t>New Mexico State Police, Albuquerque Police Department</t>
  </si>
  <si>
    <t>Albuquerque police found the body of Anthony Sandoval inside a car. Sandoval had been shot to death. Shortly before he died he called 9-1-1 and reported being shot by a man named Arthur Lujan. Police tracked down Lujan at a home, but when they arrived Lujan barricaded himself inside the home. During negotiations, Lujan and police exchanged shots, and Lujan was killed around 1:30 a.m.</t>
  </si>
  <si>
    <t>http://www.koat.com/article/man-shot-and-killed-by-police-in-swat-standoff/22318694</t>
  </si>
  <si>
    <t>Wesley Shelton</t>
  </si>
  <si>
    <t>https://www.fatalencounters.org/wp-content/uploads/2018/07/Wesley-Shelton.jpg</t>
  </si>
  <si>
    <t>3450 Hendersonville Rd</t>
  </si>
  <si>
    <t>Fletcher</t>
  </si>
  <si>
    <t>Fletcher Police Department</t>
  </si>
  <si>
    <t>Officers were dispatched to a CVS pharmacy at 12:17 p.m. after a 9-1-1 caller said a man had walked into the store carrying a handgun. Wesley Shelton allegedly pointed a gun at them when he was shot and killed.</t>
  </si>
  <si>
    <t>http://www.blueridgenow.com/news/20180718/update-suspect-identified-in-fletcher-cvs-shooting</t>
  </si>
  <si>
    <t>Mickey Coy</t>
  </si>
  <si>
    <t>https://www.fatalencounters.org/wp-content/uploads/2018/07/MickeyCoy.jpg</t>
  </si>
  <si>
    <t>3323 Avenue I</t>
  </si>
  <si>
    <t>Pattison</t>
  </si>
  <si>
    <t>A Waller County SWAT team forced their way into a home on Avenue I to execute a search warrant, when they shot Mickey Coy, who was not the subject of the warrant. He allegedly was awakened, told his wife to call police and confronted the intruders with a gun.</t>
  </si>
  <si>
    <t>https://www.click2houston.com/news/friends-remember-apparent-unintended-target-in-deadly-officer-involved-shooting</t>
  </si>
  <si>
    <t>Isaiah M. Hayes</t>
  </si>
  <si>
    <t>200 of Fifth Street NW</t>
  </si>
  <si>
    <t>Altoona</t>
  </si>
  <si>
    <t>Isaiah M. Hayes was shot by sheriff's Deputy Ryan Phillips. The shooting followed a police chase in Altoona, when Hayes jumped out of the vehicle and had what appeared to be a weapon in his hand. He was shot and killed by Deputy Ryan Phillips.</t>
  </si>
  <si>
    <t>https://www.wdio.com/news/ashland-wisconsin-man-killed-iowa-officer-involved-shooting/4994104/?cat=12059</t>
  </si>
  <si>
    <t>Juan Manuel Correa-Leyva</t>
  </si>
  <si>
    <t>https://www.fatalencounters.org/wp-content/uploads/2018/07/Juan-Manuel-Correa-Leyva.jpg</t>
  </si>
  <si>
    <t>E Ajo Way and S Country Club Rd</t>
  </si>
  <si>
    <t>Deputy Jose Velasco attempted to stop a vehicle that Juan Manuel Correa-Leyva allegedly was driving around 3:20 p.m. Correa tried to get away, dragging Velasco along. Velasco freed himself and followed the vehicle. Police said Correa got out and opened fire at Velasco, hitting him in the leg. The deputy shot and killed him.</t>
  </si>
  <si>
    <t>http://www.tucsonnewsnow.com/story/38668711/deputy-officer-shooting-ajo-country-club-pima-county-tucson</t>
  </si>
  <si>
    <t>Kerry Edwin Townsend</t>
  </si>
  <si>
    <t>Rolando Brizuela</t>
  </si>
  <si>
    <t>1700 of London Cir</t>
  </si>
  <si>
    <t>Two Sparks Police officers were investigating reports of a robbery and showing a gun. While in front of the home, the officers contacted Rolando Brizuela, who reportedly matched the suspect description for these incidents. Reno Police alleged that the unidentified man showed a gun, and he was shot and killed.</t>
  </si>
  <si>
    <t>http://www.ktvn.com/story/38669922/police-activity-at-london-circle-and-manchester-way1</t>
  </si>
  <si>
    <t>Isaac "Chucky" Ovidio Chapa III</t>
  </si>
  <si>
    <t>https://www.fatalencounters.org/wp-content/uploads/2018/08/Isaac-Ovidio-Chapa-III.jpg</t>
  </si>
  <si>
    <t>2102 W Lang St</t>
  </si>
  <si>
    <t>Alvin</t>
  </si>
  <si>
    <t>Alvin Police Department</t>
  </si>
  <si>
    <t>http://thefacts.com/free_share/article_f8426fce-c1ff-53eb-baf4-3b48170a48ee.html</t>
  </si>
  <si>
    <t>Bruce Smith</t>
  </si>
  <si>
    <t>Bemidji</t>
  </si>
  <si>
    <t>Adrian Bunker</t>
  </si>
  <si>
    <t>David Villagran</t>
  </si>
  <si>
    <t>Nicholas Charles Ryan</t>
  </si>
  <si>
    <t>Bert E. Mercado</t>
  </si>
  <si>
    <t>Allen Scott Culpepper</t>
  </si>
  <si>
    <t>2209 N 1500 W</t>
  </si>
  <si>
    <t>Allen Scott Culpepper was emotionally distraught and called 9-1-1 from the Clinton Police Department parking lot about 11 a.m., police said. Officers ran outside and saw that the man had multiple firearms within his reach. A standoff began, and three hours later, the man was shot and killed by an officer from the Syracuse Police Department.</t>
  </si>
  <si>
    <t>https://www.deseretnews.com/article/900043769/man-shot-killed-in-parking-lot-of-clinton-police-station.html</t>
  </si>
  <si>
    <t>Felix Anthony Calata</t>
  </si>
  <si>
    <t>https://www.fatalencounters.org/wp-content/uploads/2018/11/Felix-Anthony-Calata.jpg</t>
  </si>
  <si>
    <t>3300 S and 300 W</t>
  </si>
  <si>
    <t>Police said Felix Anthony Calata was the driver of a car that struck and killed 31-year-old South Salt Lake police officer David Romrell. Romrell and another officer were responding to a burglary when a fleeing car ran him over. Both officers apparently fired at the car, killing Calata.</t>
  </si>
  <si>
    <t>https://www.kmvt.com/content/news/Police-Utah-officer-killed-fleeing-suspect-also-dead-501206462.html</t>
  </si>
  <si>
    <t>Christopher L. Anderson</t>
  </si>
  <si>
    <t>60 Park St</t>
  </si>
  <si>
    <t>Central City</t>
  </si>
  <si>
    <t>Muhlenberg</t>
  </si>
  <si>
    <t>State police received a call at 8:49 a.m. to assist Muhlenberg County Sheriff's Department regarding a terroristic threatening complaint. Two troopers, Rob Austin and Justin Cornett, responded along with Muhlenberg Deputy Sheriff Jeremy Rose and Central City Police Officer Duane Davenport. Police said when officers arrived, they found Christopher L. Anderson inside a vehicle in a driveway. Anderson allegedly got out of the vehicle with a firearm and a gunfight began. Anderson was shot and killed.</t>
  </si>
  <si>
    <t>https://surfky.com/index.php/muhlenberg/news-muhlenberg/134404-law-enforcement-on-scene-of-apparent-shooting-in-bremen?utm_source=feedburner&amp;utm_medium=feed&amp;utm_campaign=Feed%3A+surfkynews+%28SurfKY+News+%28surfky.com%29%29</t>
  </si>
  <si>
    <t>Martez Webb</t>
  </si>
  <si>
    <t>https://www.fatalencounters.org/wp-content/uploads/2018/11/Martez-Webb.png</t>
  </si>
  <si>
    <t>I-94 and I-75</t>
  </si>
  <si>
    <t>Martez Webb was being transported from an area hospital to the Wayne County Jail, where he was to be checked into the infirmary. He was in a wheelchair inside the ambulance on westbound I-94 near I-75 when he became violent and grabbed the deputy's weapon, police said. The deputy used mace and was able to get his gun back with the help of the ambulance driver, at which point, he shot and killed Webb.</t>
  </si>
  <si>
    <t>https://www.freep.com/story/news/local/michigan/wayne/2018/11/26/pandemonium-inmate-shot-sheriffs-deputy-ambulance/2117121002/</t>
  </si>
  <si>
    <t>Emantic "EJ" Fitzgerald Bradford Jr.</t>
  </si>
  <si>
    <t>https://www.fatalencounters.org/wp-content/uploads/2018/11/EJBradford.jpeg</t>
  </si>
  <si>
    <t>2000 Galleria Cir</t>
  </si>
  <si>
    <t>EJ Bradford was shot and killed by a uniformed Hoover police officer in the Riverchase Galleria mall. Police initially said Bradford fired shots that wounded an 18-year-old man and a 12-year-old girl, but four days later acknowledged a different person fired the shots that wounded the 18-year-old man—pointedly failing to state who shot the 12-year-old girl, Molly Davis—and that the shooter was still at large. It was initially reported the officer was off-duty and serving as mall security. Bradford may have had a licensed gun at the time of his killing and been helping others when police arrived and killed him.</t>
  </si>
  <si>
    <t>https://www.al.com/expo/news/erry-2018/11/61e9ae7871585/riverchase-galleria-shooting-w.html</t>
  </si>
  <si>
    <t>Patrick Michael Langhoff</t>
  </si>
  <si>
    <t>CO-135</t>
  </si>
  <si>
    <t>Crested Butte</t>
  </si>
  <si>
    <t>Gunnison</t>
  </si>
  <si>
    <t>A Colorado State Patrol trooper shot and killed a person following a single-vehicle crash in Gunnison County on Thanksgiving afternoon. The officer initially responded to the crash, which happened around 4 p.m. near mile marker 23 on Colorado State Highway 135, police said. Langhoff allegedly brandished a gun when the trooper arrived at the crash location.</t>
  </si>
  <si>
    <t>https://www.denverpost.com/2018/11/23/fatal-officer-involved-shooting-gunnison-county/</t>
  </si>
  <si>
    <t>Cameron McCarthy</t>
  </si>
  <si>
    <t>https://www.fatalencounters.org/wp-content/uploads/2018/11/Cameron-McCarthy.jpg</t>
  </si>
  <si>
    <t>918 S Colony Way</t>
  </si>
  <si>
    <t>Police were trying to arrest Cameron McCarthy on warrants. After a chaotic chase, McCarthy allegedly tried to break into an apartment with a machete, and he was shot and killed.</t>
  </si>
  <si>
    <t>https://www.ktva.com/story/39527477/man-killed-in-palmer-after-downtown-standoff</t>
  </si>
  <si>
    <t>Sarge Junior</t>
  </si>
  <si>
    <t>Sarge Junior was shot and killed by an off-duty Chicago police officer who the teen was trying to rob on the Northwest Side, police said.</t>
  </si>
  <si>
    <t>https://chicago.suntimes.com/news/person-shot-during-armed-robbery-in-northwest-side-arcadia-terrace-neighborhood/</t>
  </si>
  <si>
    <t>Eugene Benjamin Weathers</t>
  </si>
  <si>
    <t>214 Haynes St</t>
  </si>
  <si>
    <t>Talladega Police Department</t>
  </si>
  <si>
    <t>Police responded to a call about a possible kidnapping when the driver of a silver Kia started firing at officers. Those officers returned fire and killed Eugene Benjamin Weathers. While investigating, cops found Brianna Nicole Post dead inside the car. An officer was also shot and wounded. It was not immediately reported whether Weathers or police shot and killed Post.</t>
  </si>
  <si>
    <t>http://www.waff.com/2018/11/21/officer-shot-suspect-another-person-dead-talladega-walmart/</t>
  </si>
  <si>
    <t>Billy G. Heeter</t>
  </si>
  <si>
    <t>https://www.fatalencounters.org/wp-content/uploads/2018/11/Billy-G.-Heeter.jpg</t>
  </si>
  <si>
    <t>Police received a call around 10 a.m. from a family member of a distraught man, who was armed and threatening suicide. Officers were dispatched to the man's home. Within minutes of their arrival, officers located Billy G. Heeter in the home. Police confronted him, and he allegedly produced a gun, and Officer Kenneth Bowers shot and killed him.</t>
  </si>
  <si>
    <t>https://www.10tv.com/article/police-armed-man-killed-officer-involved-shooting-franklinton</t>
  </si>
  <si>
    <t>Martin Lopez</t>
  </si>
  <si>
    <t>Bell Gardens</t>
  </si>
  <si>
    <t>Bell Gardens Police Department</t>
  </si>
  <si>
    <t>Martin Lopez was killed by Bell Gardens Police Department officers during a family disturbance, police said. Lopez allegedly attacked his stepfather with a knife inside their home once deputies arrived, and he was shot and killed.</t>
  </si>
  <si>
    <t>https://ktla.com/2018/11/23/man-shot-by-police-during-alleged-attack-on-stepfather-in-bell-gardens-identified/</t>
  </si>
  <si>
    <t>Keaton James Larson</t>
  </si>
  <si>
    <t>https://www.fatalencounters.org/wp-content/uploads/2018/11/Keaton-Larson.jpg</t>
  </si>
  <si>
    <t>Officers responded to a report of a suicidal male around 1 a.m. According to police, Keaton Larson left the home and went into the street. Three officers tried to subdue him with a Taser before Hunter Julien shot and killed him. Police found a kitchen knife and a razor blade, although news articles did not specifically state whether he was armed when he was killed.</t>
  </si>
  <si>
    <t>https://kstp.com/news/bca-identifies-officers-stillwater-shooting/5153301/?cat=1&amp;fbclid=IwAR1waGvoXuoW1CyrvDI0VkmjU8wrnhREMw3bBoD7hGiEtmIIvMvcqP9gix0</t>
  </si>
  <si>
    <t>Brianna Nicole Post</t>
  </si>
  <si>
    <t>https://www.fatalencounters.org/wp-content/uploads/2018/11/Brianna-Nicole-Post.jpg</t>
  </si>
  <si>
    <t>Robert William Reid</t>
  </si>
  <si>
    <t>Clare</t>
  </si>
  <si>
    <t>Clare County Sheriff's Office</t>
  </si>
  <si>
    <t>Deputies were called around 9:24 p.m. for reports of an assault in progress. When deputies arrived, they shot and killed Robert William Reid. Details as to what precipitated the killing were withheld by police.</t>
  </si>
  <si>
    <t>https://www.wnem.com/news/police-man-dead-after-officer-involved-shooting/article_0ceb7928-ee8d-11e8-8257-8beb4a9b6bfb.html</t>
  </si>
  <si>
    <t>Jana Ln and Pine St</t>
  </si>
  <si>
    <t>A traffic stop was made around 7:30 p.m. The officer allegedly saw the motorist drive through a stop sign. The officer then attempted to stop the vehicle, but the driver took off on foot. A chase took place and a fight happened, police said, and the person was shot and killed.</t>
  </si>
  <si>
    <t>https://abc13.com/driver-shot-and-killed-after-pasadena-officer-stops-vehicle/4736446/</t>
  </si>
  <si>
    <t>Craig Allen</t>
  </si>
  <si>
    <t>N Central Ave &amp; W Hatcher Rd</t>
  </si>
  <si>
    <t>Phoenix Police Department responded to assist three U.S. Marshals conducting a fugitive investigation who reported there was an officer-involved shooting. According to Phoenix police, Craig Allen was contacted in his backyard where he pointed a handgun at a deputy marshal. An accompanying deputy marshal shot and killed Allen.</t>
  </si>
  <si>
    <t>https://www.12news.com/article/news/local/valley/authorities-man-shot-by-us-marshals-tuesday-was-71-years-old/75-17ddf3fa-08c6-4e0e-9643-c83dc932d942</t>
  </si>
  <si>
    <t>436 Renfroe St</t>
  </si>
  <si>
    <t>http://www.magnoliareporter.com/news_and_business/local_news/article_1102981c-ef3b-11e8-83ce-f350f99fe97a.html</t>
  </si>
  <si>
    <t>Daniel Cedars</t>
  </si>
  <si>
    <t>https://www.fatalencounters.org/wp-content/uploads/2018/11/danielcedars.jpg</t>
  </si>
  <si>
    <t>6240 Monteo Dr</t>
  </si>
  <si>
    <t>Two officers responded to an incomplete 9-1-1 call allegedly came under fire by a homeowner, whose wife awoke to the noise. They shot and killed homeowner Daniel Cedars.</t>
  </si>
  <si>
    <t>https://www.wthr.com/article/impd-releases-timeline-leading-deadly-officer-involved-shooting</t>
  </si>
  <si>
    <t>Christopher Eugene Williams</t>
  </si>
  <si>
    <t>https://www.fatalencounters.org/wp-content/uploads/2018/11/Christopher-Eugene-Williams.jpg</t>
  </si>
  <si>
    <t>S Meridian Rd &amp; W Waltman Ln</t>
  </si>
  <si>
    <t>A state trooper tried to make a traffic stop at about 3:30 p.m. The driver fled, and the trooper pursued him to the end of a dead-end street. At the end of the street, Christopher Williams and the trooper fought, and the trooper shot and killed Williams.</t>
  </si>
  <si>
    <t>https://www.idahostatejournal.com/news/local/isp-suspect-killed-in-trooper-involved-shooting-in-meridian/article_12dff80d-a64f-514b-bf96-6f1221709507.html</t>
  </si>
  <si>
    <t>Jenessa M. Cooper</t>
  </si>
  <si>
    <t>637 Blaine St</t>
  </si>
  <si>
    <t>Missoula Police Department</t>
  </si>
  <si>
    <t>Officers responded to a disturbance with a firearm at a home around 8:30 a.m. and were told while en route that shots had been fired inside. On arrival, officers encountered a woman with a gun and shot and killed her.</t>
  </si>
  <si>
    <t>https://billingsgazette.com/news/state-and-regional/missoula-police-one-dead-after-officer-involved-shooting/article_ec8cbf47-7ccb-58b3-8c94-58cdab9c80b7.html</t>
  </si>
  <si>
    <t>Rio Antwuan Thomas</t>
  </si>
  <si>
    <t>https://www.fatalencounters.org/wp-content/uploads/2018/11/Rio-Antwuan-Thomas.png</t>
  </si>
  <si>
    <t>2801 Crossroads Pkwy</t>
  </si>
  <si>
    <t>Deputies were reportedly trying to arrest Rio Thomas when he allegedly struck a deputy with his car. He was shot and killed.</t>
  </si>
  <si>
    <t>https://cbs12.com/news/local/st-lucie-county-sheriff-identified-man-killed-by-deputies</t>
  </si>
  <si>
    <t>14165 Northwest Fwy</t>
  </si>
  <si>
    <t>Undercover DPS agents were following suspects believed to have been involved in several recent robberies. Agents saw three masked men leave a local business here with weapons. The officers told the suspects to drop their weapons. When the suspects allegedly failed to comply, one man was killed, two were arrested.</t>
  </si>
  <si>
    <t>https://www.click2houston.com/news/texas-dps-fatally-shoots-suspect-in-attempted-robbery-at-nw-houston-wingstop</t>
  </si>
  <si>
    <t>Steven Smith Jr.</t>
  </si>
  <si>
    <t>113 W Washington St</t>
  </si>
  <si>
    <t>Demopolis</t>
  </si>
  <si>
    <t>Marengo</t>
  </si>
  <si>
    <t>Demopolis Police Department</t>
  </si>
  <si>
    <t>Steve Smith, a former Alabama state trooper, was shot dead by police after police said he shot District Attorney Greg Griggers in the face.</t>
  </si>
  <si>
    <t>http://www.wsfa.com/2018/11/15/west-alabama-district-attorney-gregory-griggers-involved-shooting/</t>
  </si>
  <si>
    <t>Allen Fanning</t>
  </si>
  <si>
    <t>E Arapahoe Rd and S Dayton St</t>
  </si>
  <si>
    <t>Greenwood Village</t>
  </si>
  <si>
    <t>Following a domestic dispute at a tire store, Allen Fanning was shot and killed when he allegedly had a gun and failed to comply with officers' orders.</t>
  </si>
  <si>
    <t>https://denver.cbslocal.com/2018/11/15/police-shooting-arapahoe-county/</t>
  </si>
  <si>
    <t>Jack Darrel Fields Jr.</t>
  </si>
  <si>
    <t>https://www.fatalencounters.org/wp-content/uploads/2018/11/Jack-Darrel-Fields-Jr.jpg</t>
  </si>
  <si>
    <t>1116 Marks Church Rd</t>
  </si>
  <si>
    <t>A deputy was called about 8:10 p.m. to help with a difficult person at the Residence Inn, police said. He met Jack Fields in the lobby of the hotel. During the encounter, Deputy Stephan Psillos attempted to place handcuffs on Fields, at which time Fields allegedly pulled a knife from his coat pocket and attacked Psillos, stabbing him multiple times. Psillos shot and killed Fields.</t>
  </si>
  <si>
    <t>https://www.ajc.com/news/crime--law/gbi-man-shot-killed-after-stabbing-georgia-deputy-multiple-times/fRZ98vS58gbyzIQ4Wwuy9N/</t>
  </si>
  <si>
    <t>G.D. Hendrix</t>
  </si>
  <si>
    <t>https://www.fatalencounters.org/wp-content/uploads/2018/11/GDHendrix.jpg</t>
  </si>
  <si>
    <t>CA-70 and Pentz Rd</t>
  </si>
  <si>
    <t>Deputies spotted a man wanted in connection to a double homicide case from 2014. The man saw the officers coming for him, prompting him to get in his car and flee down Highway 70. He was stopped with spike strips, failed to comply with police orders, and was shot and killed.</t>
  </si>
  <si>
    <t>https://sacramento.cbslocal.com/2018/11/15/camp-fire-butte-county-officer-involved-shooting/</t>
  </si>
  <si>
    <t>Agustin "Augie" Andres Gonsalez</t>
  </si>
  <si>
    <t>https://www.fatalencounters.org/wp-content/uploads/2018/11/AugustinGonsalez.jpeg</t>
  </si>
  <si>
    <t>Officers responded about 9 p.m. to a report of a man armed with a weapon, police said. He was shot and killed, although details as to what precipitated the killing were withheld by police.</t>
  </si>
  <si>
    <t>https://www.eastbaytimes.com/2018/11/16/officer-involved-shooting-by-hayward-police-injures-man/</t>
  </si>
  <si>
    <t>Joseph Loughery</t>
  </si>
  <si>
    <t>380 Southbridge St</t>
  </si>
  <si>
    <t>https://www.boston.com/news/local-news/2018/11/15/new-hampshire-man-shot-auburn-police-dies</t>
  </si>
  <si>
    <t>Olajuwon Raekwon Murphy</t>
  </si>
  <si>
    <t>https://www.fatalencounters.org/wp-content/uploads/2018/11/Olajuwon-Raekwon-Murphy.jpg</t>
  </si>
  <si>
    <t>926 Max Meadows Rd</t>
  </si>
  <si>
    <t>Fort Chiswell</t>
  </si>
  <si>
    <t>Wythe</t>
  </si>
  <si>
    <t>Wythe County Sheriff's Office</t>
  </si>
  <si>
    <t>Deputies responded to a report of an armed robbery at a hotel across from a Greyhound bus station, when witnesses told them a man matching the robber's description was at the bus station. Officers said Olajuwon Murphy shot at them, and they shot and killed him.</t>
  </si>
  <si>
    <t>https://www.wdbj7.com/content/news/State-Police-identify-man-killed-in-officer-involved-shooting-in-Wythe-County-500622951.html</t>
  </si>
  <si>
    <t>George Crenshaw</t>
  </si>
  <si>
    <t>100 Braxton Dr</t>
  </si>
  <si>
    <t>Haynesville</t>
  </si>
  <si>
    <t>Haynesville Police Department, Lowndes County Sheriff's Office</t>
  </si>
  <si>
    <t>Police responded to a residence to serve outstanding felony arrest warrants on George Crenshaw. When officers arrived, Crenshaw ran out of the house into the woods. Crenshaw later returned to the home, as did police. Crenshaw allegedly came at them with an 8-to-10-inch knife in a kitchen. Police told him to drop the knife. When Crenshaw continued to advance toward the officers, they reportedly tried to incapacitate him with a stun gun then shot and killed him.</t>
  </si>
  <si>
    <t>https://www.al.com/news/2018/11/man-shot-killed-by-police-in-lowndes-county.html#incart_river_index</t>
  </si>
  <si>
    <t>John David Manning</t>
  </si>
  <si>
    <t>https://www.fatalencounters.org/wp-content/uploads/2018/11/JohnManning.jpg</t>
  </si>
  <si>
    <t>489 W Main St</t>
  </si>
  <si>
    <t>Officers were at a gas station investigating a vehicle accident. A man who was not involved in the accident approached officers with a knife. An officer ordered the man to put down the knife, but he failed to comply. David Manning allegedly continued to approach the officers while holding the knife, and one officer shot and killed him.</t>
  </si>
  <si>
    <t>https://www.wyff4.com/article/officer-shoots-man-with-knife-at-upstate-gas-station-sled-official-says/25086835</t>
  </si>
  <si>
    <t>Officer Ashley Kelley responded to a call about a man hitting random cars with a flag pole around 5:30 p.m. He allegedly attacked her upon arrival. After attempting to incapacitate him with a stun gun, she shot and killed him.</t>
  </si>
  <si>
    <t>https://www.khou.com/article/news/crime/suspect-fatally-shot-by-officer-was-choking-her-hpd-says/285-614891432?fbclid=IwAR3bYBINX85rtUlQE7EQZDdZerwqIBrzQt5_to6NtczfAO6al6vSwU3fW3w</t>
  </si>
  <si>
    <t>Rene Prieto</t>
  </si>
  <si>
    <t>Pratt</t>
  </si>
  <si>
    <t>Timothy Odell Leon</t>
  </si>
  <si>
    <t>https://www.fatalencounters.org/wp-content/uploads/2018/11/Timothy-Odell-Leon.png</t>
  </si>
  <si>
    <t>6400 N. 64th Drive</t>
  </si>
  <si>
    <t>Timothy Odell Leon was suspect in at least three carjackings and two armed robberies in a five-day span. Phoenix police were trying to arrest Leon in a stolen vehicle and followed him into Glendale. Leon allegedly was armed with a handgun, and he pointed the weapon at officers after he was stopped in front of a Glendale apartment complex. Police shot and killed him.</t>
  </si>
  <si>
    <t>https://azdailysun.com/news/state-and-regional/police-shooting-after-suspect-chase-from-phoenix-to-glendale/article_31f55c78-352a-53ef-8d28-fcce2ed84351.html?fbclid=IwAR0OjKnCgRPnUyPzC0z5KiJQaAhxP7bQn3QHsqjSUIF-PysaDjB32YfFRu8</t>
  </si>
  <si>
    <t>Andrew Kana</t>
  </si>
  <si>
    <t>https://www.fatalencounters.org/wp-content/uploads/2018/11/Andrew-Kana.png</t>
  </si>
  <si>
    <t>415 W Shawnee St</t>
  </si>
  <si>
    <t>Police were called to a bar to make contact with Andrew Kana who allegedly had several warrants. Kana was inside when they attempted to place him in custody for the warrants. Once one of Kana's wrists was placed in handcuffs, he allegedly failed to comply with orders for his other hand, pulled a firearm, and an officer shot and killed him.</t>
  </si>
  <si>
    <t>https://okcfox.com/news/local/deadly-officer-involved-shooting-in-muskogee</t>
  </si>
  <si>
    <t>Tony Lamont Mathis</t>
  </si>
  <si>
    <t>https://www.fatalencounters.org/wp-content/uploads/2018/11/Tony-Lamont-Mathis.jpg</t>
  </si>
  <si>
    <t>408 SE 44th St</t>
  </si>
  <si>
    <t>About 5:40 p.m., officers were called to 214 SW 44, where a clerk said the store was robbed by a man with a gun, police said. The robber had left the store with a tracking device, and officers Drake Carder, Joshua Gershon and Corey Adams found Tony Lamont Mathis, who allegedly ran from officers and failed to comply with orders before he was shot and killed.</t>
  </si>
  <si>
    <t>https://newsok.com/article/5614832/police-open-fire-person-killed-monday-in-southeast-oklahoma-city-after-armed-robbery-reported</t>
  </si>
  <si>
    <t>Cesar Alejandro Ramos-Hernandez</t>
  </si>
  <si>
    <t>https://www.fatalencounters.org/wp-content/uploads/2018/11/Cesar-Ramos.jpg</t>
  </si>
  <si>
    <t>About 6 a.m., police responded for reports of a man shooting at houses. When officers arrived, they approached Cesar Ramos, who was allegedly armed, and shot and killed him.</t>
  </si>
  <si>
    <t>https://wdef.com/2018/11/13/investigators-identify-man-shot-police-cesar-ramos/</t>
  </si>
  <si>
    <t>Marty West</t>
  </si>
  <si>
    <t>https://www.sacbee.com/news/state/california/article221549670.html</t>
  </si>
  <si>
    <t>Daniel Ayala</t>
  </si>
  <si>
    <t>https://www.fatalencounters.org/wp-content/uploads/2018/11/Daniel-Ayala.jpg</t>
  </si>
  <si>
    <t>Deputies responded to an apartment complex after hearing multiple reports from neighbors saying they heard a man screaming and saying that he was going to kill someone. Daniel Ayala allegedly lunged at responding deputies with a knife before he was shot and killed by multiple deputies.</t>
  </si>
  <si>
    <t>https://www.nbcsandiego.com/news/local/Man-Shot-by-Deputy-in-Alpine-500319161.html</t>
  </si>
  <si>
    <t>Edward M. Walsh</t>
  </si>
  <si>
    <t>https://www.fatalencounters.org/wp-content/uploads/2018/11/Edward-M.-Walsh.jpg</t>
  </si>
  <si>
    <t>914 Barnegat Ln</t>
  </si>
  <si>
    <t>Mantoloking</t>
  </si>
  <si>
    <t>Mantoloking Police Department, Ocean County Sheriff's Office, Bay Head Police Department</t>
  </si>
  <si>
    <t>Edward Walsh was wanted on charges of kidnapping, aggravated assault, theft and weapons offenses. When police sicced a dog on him, Walsh stabbed the dog, and police shot and killed him.</t>
  </si>
  <si>
    <t>https://www.nj.com/ocean/index.ssf/2018/11/man_wanted_for_assaulting_girl_shot_by_police_afte.html#incart_river_index</t>
  </si>
  <si>
    <t>A driver briefly fled a traffic stop at about 9 a.m., then parked in the lot of a nearby apartment building, police said. A passenger ran out of the vehicle, and allegedly fired a gun at the officer chasing after him. Officers initially lost sight of the man, but later found him in a restroom. Police alleged that the man shot several times as officers approached him, and he was shot and killed.</t>
  </si>
  <si>
    <t>https://www.pe.com/2018/11/11/hemet-police-officers-return-fire-fatally-shoot-suspect/</t>
  </si>
  <si>
    <t>Jemel Roberson</t>
  </si>
  <si>
    <t>2911 S Claire Blvd</t>
  </si>
  <si>
    <t>Robbins</t>
  </si>
  <si>
    <t>https://wgntv.com/2018/11/11/multiple-wounded-in-robbins-bar-shooting-police-say/</t>
  </si>
  <si>
    <t>Elisha Edward Kelley</t>
  </si>
  <si>
    <t>201 South Inola Ave</t>
  </si>
  <si>
    <t>A Wagoner police officer initiated a traffic stop with a man who was driving erratically around 9:15 a.m. The officer said that Elisha Edward Kelley got out of his vehicle and refused to follow commands. Kelley then became aggressive and charged at the officer and was shot and killed, police said.</t>
  </si>
  <si>
    <t>https://ktul.com/news/local/osbi-investigating-fatal-officer-involved-shooting-in-downtown-wagoner</t>
  </si>
  <si>
    <t>Patrick Bryant</t>
  </si>
  <si>
    <t>https://www.fatalencounters.org/wp-content/uploads/2018/11/patrickbryant.jpg</t>
  </si>
  <si>
    <t>Police responded to reports of a man attempting to break into homes. Patrick Bryant was shot near his own back door. A gun was allegedly found near Bryant's body. He was a security guard.</t>
  </si>
  <si>
    <t>https://www.fox13memphis.com/top-stories/mbi-person-dead-after-officer-involved-shooting-in-mississippi/870903644</t>
  </si>
  <si>
    <t>James P. Hanchett</t>
  </si>
  <si>
    <t>https://www.fatalencounters.org/wp-content/uploads/2018/11/JamesHantchett.png</t>
  </si>
  <si>
    <t>Shakopee</t>
  </si>
  <si>
    <t>Shakopee Police Department</t>
  </si>
  <si>
    <t>Officers responded to a fire alarm call and were approached by a man holding a handgun, police said. While standing in the doorway, the man allegedly raised his gun and pointed it at an officer. The officer shot and killed him.</t>
  </si>
  <si>
    <t>https://www.kare11.com/article/news/local/man-dead-after-officer-involved-shooting-in-shakopee/89-613248378</t>
  </si>
  <si>
    <t>Christopher William Parrish</t>
  </si>
  <si>
    <t>200 West 21st Street</t>
  </si>
  <si>
    <t>After a vehicle then a foot-chase, Christopher William Parrish allegedly threatened officers with a rock, and they shot and killed him.</t>
  </si>
  <si>
    <t>https://www.deseretnews.com/article/900041434/police-release-identity-of-man-killed-in-officer-involved-shooting.html</t>
  </si>
  <si>
    <t>Cody Paris "See Smoke" Belgard</t>
  </si>
  <si>
    <t>https://www.fatalencounters.org/wp-content/uploads/2018/11/CodyBelgard.jpg</t>
  </si>
  <si>
    <t>800 N Sir Michael Dr</t>
  </si>
  <si>
    <t>Salt Lake police initially released few details about what led officers to shoot and kill Cody Paris Belgard at about 8 p.m. in Salt Lake City. Later, they alleged that he had fled from them previously, and he hit vehicles and fled and when police caught up with him again, he was shot and killed for non-compliance.</t>
  </si>
  <si>
    <t>Travis Jordan</t>
  </si>
  <si>
    <t>https://www.fatalencounters.org/wp-content/uploads/2018/11/Travis-Jordan.png</t>
  </si>
  <si>
    <t>A Minneapolis police officer shot and killed Travis Jordan in the front yard of a home about 2 p.m., police said. Officers Ryan Keyes and Neal Walsh both fired their weapons at Jordan after he emerged from his home armed with a large kitchen knife. Jordan was killed after a woman, believed to be his girlfriend, asked police to do a wellness check on Jordan, because she believed that he would hurt himself.</t>
  </si>
  <si>
    <t>https://www.minnpost.com/glean/2018/11/man-killed-by-minneapolis-police-on-friday-identified/?fbclid=IwAR3hRL4m-GFY51i-dDTSgUdMjvSF-aWCNJvvo2qpLu4j825ksnHi0RtJ6c4</t>
  </si>
  <si>
    <t>Jesus "Chuy" Guzman</t>
  </si>
  <si>
    <t>https://www.fatalencounters.org/wp-content/uploads/2018/11/Jesus-Guzman.jpg</t>
  </si>
  <si>
    <t>35.968233, -115.894492</t>
  </si>
  <si>
    <t>Charleston View</t>
  </si>
  <si>
    <t>Inyo</t>
  </si>
  <si>
    <t>Jesus Guzman was wanted in connection with the killings of Gerardo "Jerry" De Luna and Mariano Campos Feb. 20, police said, when he was shot and killed by police on the California-Nevada border.</t>
  </si>
  <si>
    <t>https://www.nbclosangeles.com/news/local/Man-Suspected-of-Burying-Bodies-in-Desert-Dies-in-Shootout-500108401.html</t>
  </si>
  <si>
    <t>421 E Commerce St</t>
  </si>
  <si>
    <t>Police responded to a call about a disturbance involving a gun when they met up with an armed man, police said. Officers allegedly tried using a Taser on the man, but it did not incapacitate him. He allegedly shot at officers and was shot and killed.</t>
  </si>
  <si>
    <t>https://www.ksat.com/news/gunfire-during-officer-involved-shooting-also-hits-window-of-popular-downtown-restaurant</t>
  </si>
  <si>
    <t>Corona</t>
  </si>
  <si>
    <t>Police received a shots-fired call, then a report of an injured female and a man with a gun at about 8:30 p.m., police said. Responding officers positioned an armored vehicle outside the home and attempted to communicate with the suspected gunman. At some point, a man was shot and killed by police although details as to what precipitated the killing were withheld by police.</t>
  </si>
  <si>
    <t>https://ktla.com/2018/11/07/domestic-dispute-call-leads-to-fatal-officer-involved-shooting-in-corona/</t>
  </si>
  <si>
    <t>Cinder Lane and Spikey Way</t>
  </si>
  <si>
    <t>A woman called 9-1-1 around 9 a.m. saying that her husband was threatening to commit suicide at a residence, police said. The man, who has not been identified, had a firearm in his possession. About two hours into the standoff, the man pointed his gun at police, and he was shot and killed.</t>
  </si>
  <si>
    <t>https://www.clickorlando.com/news/authorities-respond-to-barricaded-person-in-kissimmee</t>
  </si>
  <si>
    <t>Anovath Troy Kongvongxay</t>
  </si>
  <si>
    <t>https://www.fatalencounters.org/wp-content/uploads/2018/11/Anovath-Troy-Kongvongxay.jpg</t>
  </si>
  <si>
    <t>Two officers were called to a home around 3:30 p.m. The two white male officers were confronted by an Asian man allegedly acting aggressively. Anovath Kongvongxay went inside a home and picked up an ax. Bobo said Kongvongxay thought he was going to be taken to jail and approached the officers swinging the ax. One officer shot and killed him.</t>
  </si>
  <si>
    <t>https://abcnews4.com/news/local/sheriffs-deputies-shoot-kill-man-approaching-them-with-ax-11-06-2018</t>
  </si>
  <si>
    <t>George Lyman Smith</t>
  </si>
  <si>
    <t>https://www.fatalencounters.org/wp-content/uploads/2018/11/George-Lyman-Smith.jpg</t>
  </si>
  <si>
    <t>4695 Tamiami Trail</t>
  </si>
  <si>
    <t>Port Charlotte</t>
  </si>
  <si>
    <t>http://www.winknews.com/2018/11/08/charlotte-county-sheriff-identifies-deputies-involved-in-monday-shooting/</t>
  </si>
  <si>
    <t>Gary Jay Willis</t>
  </si>
  <si>
    <t>103 Linwood Ave</t>
  </si>
  <si>
    <t>Officers J. Hooper and G. Zawodny were present when one of the two shot and killed Gary Willis. According to police, one of the officers fatally shot Willis as the other was struggling to take a gun away from him as they attempted to serve him an order that required him to surrender his guns. Police said Willis answered the door around 5:17 a.m. with a gun in his hand but put it by the door after answering. As the officers began to serve him the order, though, he became irate and grabbed the gun. Willis then fired the gun, leading to one officer to attempt to take the gun away, police said. The second officer then fired their service weapon, striking Willis, who was pronounced dead at the scene.</t>
  </si>
  <si>
    <t>https://wjla.com/news/local/officers-identified-glen-burnie-shooting-suspect-dead?fbclid=IwAR3KrzHTjsgj2gXX_4tljkR-UiIVJrYeeYEGYwdgovh7gVB5NMEGxcO6DFI</t>
  </si>
  <si>
    <t>Henry Gregory Stroud</t>
  </si>
  <si>
    <t>https://www.fatalencounters.org/wp-content/uploads/2018/11/Henry-Gregory-Stroud.jpg</t>
  </si>
  <si>
    <t>US-321 and Epley Rd</t>
  </si>
  <si>
    <t>Deputies responded to a call of a man walking in the middle of the road at an intersection. Police said the man, Henry Gregory Stroud, was holding a pistol and appeared to be agitated. Officers made contact with Stroud and ordered him to drop the weapon. He did, but then picked up the gun and pointed it at officers, who shot and killed him.</t>
  </si>
  <si>
    <t>https://www.wvlt.tv/content/news/Man-dead-following-officer-involved-shooting-499619901.html</t>
  </si>
  <si>
    <t>Theoddeus Gray</t>
  </si>
  <si>
    <t>https://www.fatalencounters.org/wp-content/uploads/2018/11/Theoddeus-Gray.jpg</t>
  </si>
  <si>
    <t>26211 Harper Ave</t>
  </si>
  <si>
    <t>St. Clair Shores</t>
  </si>
  <si>
    <t>St. Clair Shores Police Department</t>
  </si>
  <si>
    <t>Police were responding to calls of an armed man outside the Lakeland Manor, where about 70 people were gathered inside, police said. Theoddeus Gray was standing outside armed with a rifle and handgun, ignored demands from officers and attempted to flee on foot. A police dog was sicced on Gray, and was reportedly shot by Gray with a handgun. Police shot and killed Gray.</t>
  </si>
  <si>
    <t>https://www.freep.com/story/news/local/michigan/macomb/2018/11/05/man-identified-st-clair-shores-shooting-dog/1890421002/</t>
  </si>
  <si>
    <t>Anthony David Chavez</t>
  </si>
  <si>
    <t>930 Louisiana SE</t>
  </si>
  <si>
    <t>Police were called for reports of shots fired in an apartment complex. When they got there, they got into a confrontation with an armed man. They said at least one officer shot and killed a person whom family members said was Anthony Chavez.</t>
  </si>
  <si>
    <t>https://www.abqjournal.com/1242298/family-identifies-man-shot-killed-by-apd-sunday.html</t>
  </si>
  <si>
    <t>Robert Michael “Robbie” Ramirez</t>
  </si>
  <si>
    <t>A deputy pulled over Robbie Ramirez for a traffic violation about a block from his home, police said. He ran, there was some sort of fight, and the deputy shot and killed Ramirez. Ramirez suffered from mental illness, but reports did not stipulate whether the deputy knew that when Ramirez was pulled over.</t>
  </si>
  <si>
    <t>https://trib.com/news/state-and-regional/albany-county-sheriff-s-deputy-shoots-and-kills-man-mother/article_2cc9fff4-2477-53e3-8777-4f90e10b501c.html</t>
  </si>
  <si>
    <t>Ryan Michael Millsap</t>
  </si>
  <si>
    <t>https://www.fatalencounters.org/wp-content/uploads/2018/11/Ryan-Michael-Millsap.png</t>
  </si>
  <si>
    <t>US-6</t>
  </si>
  <si>
    <t>Colorado State Patrol, Jefferson County Sheriff's Office</t>
  </si>
  <si>
    <t>Around 8 p.m., a trooper came across what he believed to be an abandoned vehicle. He ran the license plate and discovered the vehicle was wanted out of Denver for a felony. He also saw two people were sleeping inside. The trooper called for backup, and the sheriff's office and the Golden Police Department came to assist. The officers ordered the people to get out of the car. The allegedly vehicle began to drive forward and the adult driver was shot and killed, but a girl who was also in the vehicle was not, however, she was injured in the crash caused by the shooting of the driver.</t>
  </si>
  <si>
    <t>https://kdvr.com/2018/11/04/jeffco-ois/</t>
  </si>
  <si>
    <t>Robert Charles Foster</t>
  </si>
  <si>
    <t>50631 US-101</t>
  </si>
  <si>
    <t>Bandon</t>
  </si>
  <si>
    <t>Oregon State Police, Coos County Sheriff's Office, Coquille Police Department, North Bend Police Department</t>
  </si>
  <si>
    <t>Robert Charles Foster was killed after an hours-long standoff in a field behind the Faith Baptist Church in Bandon. The incident began when Foster called 9-1-1 and said he had explosives and planned to set off an explosion. Foster was spotted in a pickup truck about 100 yards behind the church around 11:30 a.m. Shortly before 4 p.m., he got out of his truck, pointed the shotgun at police, then fired once. Six officers shot and killed him.</t>
  </si>
  <si>
    <t>https://www.koin.com/news/local/oregon-coast/-come-and-kill-me-bandon-man-shot-dead-in-standoff/1572409775</t>
  </si>
  <si>
    <t>Laudemer Atienza Arboleda</t>
  </si>
  <si>
    <t>Front St and Diablo Rd</t>
  </si>
  <si>
    <t>Police responded to a citizen's call shortly after 11 a.m. regarding a person who got out of a vehicle, walked toward several homes with bags in his hands, went back to his car and circled the neighborhood. When police arrived, Arboleda allegedly refused orders to stop and drove away. During the chase that followed, Arboleda allegedly pulled over twice as though preparing to stop, then drove away as officers got out of their patrol vehicles. Arboleda accelerated his car toward an officer, police said, and Deputy Andrew Hall shot and killed him.</t>
  </si>
  <si>
    <t>https://www.eastbaytimes.com/2018/11/04/sheriff-names-suspect-deputy-in-danville-officer-involved-shooting/</t>
  </si>
  <si>
    <t>Kanwarbir Mahli</t>
  </si>
  <si>
    <t>https://www.fatalencounters.org/wp-content/uploads/2018/11/Kanwarbir-Malhi.jpg</t>
  </si>
  <si>
    <t>45710 Spring Ln</t>
  </si>
  <si>
    <t>Kanwarbir Malhi allegedly had stolen a vehicle belonging to his parents, and that theft led to him being pulled over, police said. Malhi was pulled over about 1 a.m. Officers gave unspecified orders to Malhi, which police said were ignored. Without being told by police, Malhi allegedly got out of the Honda. He allegedly made "furtive movements" and told police he had a weapon, and he was shot and killed.</t>
  </si>
  <si>
    <t>https://www.detroitnews.com/story/news/local/macomb-county/2018/11/05/shelby-township-officer-leave-fatal-shooting/38395647/?fbclid=IwAR1H0cBXefe3y2-t5TewG4g4sdBM0jyUD70rYqNuLHWHd6ZS2UDbjb5fJYY</t>
  </si>
  <si>
    <t>Andrew James Moore</t>
  </si>
  <si>
    <t>https://www.fatalencounters.org/wp-content/uploads/2018/11/AndrewMoore.jpg</t>
  </si>
  <si>
    <t>https://www.wvgazettemail.com/news/cops_and_courts/one-dead-in-officer-involved-shooting-in-charleston/article_72dcd80e-c7e4-5adf-b0cc-1a8e3ab3b2ee.html</t>
  </si>
  <si>
    <t>Jesse Jesus Quinton</t>
  </si>
  <si>
    <t>https://www.fatalencounters.org/wp-content/uploads/2018/11/JesseQuinton.jpg</t>
  </si>
  <si>
    <t>Northgate Mile and Lomax St</t>
  </si>
  <si>
    <t>https://www.idahostatejournal.com/news/local/officer-involved-fatal-shooting-armed-robbery-of-restaurant-occur-within/article_a61b2d79-3b7a-5c96-b838-3855a751744f.html</t>
  </si>
  <si>
    <t>Tony Bernard Smith Jr.</t>
  </si>
  <si>
    <t>https://www.fatalencounters.org/wp-content/uploads/2018/11/TonySmith.png</t>
  </si>
  <si>
    <t>1646 W 45th St</t>
  </si>
  <si>
    <t>Tony Smith was fatally shot by Officer Rodney DeConti at a Northwest Jacksonville apartment. He was being chased after a man was carjacked and beaten at a car wash, police said. According to police, Smith was part of a group of four men, at least one of whom allegedly had a handgun, that approached a 66-year-old man at the Star Wash Car Wash around 11 p.m., beat him unconscious and left in his truck. Police quickly found the truck using the vehicle's OnStar navigation system. DeConti spotted the truck about 11:45 p.m. and attempted to stop it at the Hilltop Village Apartments. All four men bailed out of the truck. DeConti followed Smith, whom police alleged was driving the truck, and chased him up a flight of stairs where Smith allegedly made an unspecified threatening move, and DeConti shot and killed him.</t>
  </si>
  <si>
    <t>https://www.news4jax.com/news/police-involved-shooting-sends-1-to-hospital</t>
  </si>
  <si>
    <t>John Wurms</t>
  </si>
  <si>
    <t>https://www.fatalencounters.org/wp-content/uploads/2018/11/JohnWurms.jpg</t>
  </si>
  <si>
    <t>1632 Taylor Rd</t>
  </si>
  <si>
    <t>John Wurms was sought by Port Orange police after he reportedly threatened a woman, identified as the victim in a pending aggravated stalking case for which he had been charged. Wurms was spotted around 10:45 p.m. by police at a 7-Eleven. Deputies and Port Orange police fired on him. He'd allegedly first pointed a gun at his own head and then at police. Wurms was shot and killed by Deputy Devin Lafoucade.</t>
  </si>
  <si>
    <t>https://www.orlandosentinel.com/news/breaking-news/os-ne-port-orange-volusia-shooting-stalking-20181101-story.html</t>
  </si>
  <si>
    <t>Jose Centeno, Jr.</t>
  </si>
  <si>
    <t>Stuebner Airline Rd and Brightwood Drive</t>
  </si>
  <si>
    <t>News organizations reported that police said a boy fired a pellet gun at them while they pursued him for driving around a stopped school bus. He was shot and killed</t>
  </si>
  <si>
    <t>https://www.chron.com/houston/article/Man-dead-after-crossfire-with-Harris-County-13352516.php</t>
  </si>
  <si>
    <t>Gonzalo Rico-Jimenez</t>
  </si>
  <si>
    <t>https://www.fatalencounters.org/wp-content/uploads/2018/11/Gonzalo-Rico-Jimenez.jpg</t>
  </si>
  <si>
    <t>Statz St and Emmons Ave</t>
  </si>
  <si>
    <t>Two North Las Vegas police officers conducted a traffic stop at 10:40 a.m. Police said Rico drove at officers after ignoring commands, hitting one officer and causing a knee injury. Officers Ramin Nassiri and Christopher Colwell shot and killed Rico.</t>
  </si>
  <si>
    <t>https://www.fox5vegas.com/news/coroner-identifies-man-shot-killed-by-north-las-vegas-police/article_2cd5d7f6-ded9-11e8-94a9-277894d5ab05.html</t>
  </si>
  <si>
    <t>Arnaldo Caraveo</t>
  </si>
  <si>
    <t>https://www.fatalencounters.org/wp-content/uploads/2018/10/Arnaldo-Caraveo.jpg</t>
  </si>
  <si>
    <t>I-17 &amp; S 7th Ave</t>
  </si>
  <si>
    <t>Mesa Police Department, Arizona Department of Public Safety</t>
  </si>
  <si>
    <t>Officers were called for a report of an argument. Arnaldo Caraveo allegedly displayed a handgun during a confrontation with someone while in a white truck. Mesa police attempted to stop Caraveo, but he fled. Police, including DPS and Phoenix police, pursued. A DPS officer rammed the vehicle. Caraveo allegedly opened fire on the troopers, and troopers and Mesa officers shot and killed him.</t>
  </si>
  <si>
    <t>https://www.abc15.com/news/region-phoenix-metro/central-phoenix/end-of-pursuit-shuts-down-lanes-of-interstate-17-at-7th-street-dps-says</t>
  </si>
  <si>
    <t>Billy Jo Johnson</t>
  </si>
  <si>
    <t>https://www.fatalencounters.org/wp-content/uploads/2018/10/johnsonbillyjo.jpg</t>
  </si>
  <si>
    <t>804 El Dorado Fwy</t>
  </si>
  <si>
    <t>https://sacramento.cbslocal.com/2018/10/29/motorcyclist-dies-el-dorado-county/</t>
  </si>
  <si>
    <t>6380 Sunset Blvd</t>
  </si>
  <si>
    <t>Officers responded to a battery call at a 24-Hour Fitness gym. The man was apparently involved in some sort of confrontation with an employee at the gym. Police later said he had been a former member of the gym. Responding officers found the man inside the locker room of the gym, and the officers were in a fight with the man. The man allegedly gained control of an officer's Taser, and he was shot and killed.</t>
  </si>
  <si>
    <t>https://ktla.com/2018/10/29/officer-involved-shooting-under-investigation-in-hollywood-lapd/</t>
  </si>
  <si>
    <t>Ida Christy Stiles</t>
  </si>
  <si>
    <t>https://www.fatalencounters.org/wp-content/uploads/2018/10/IdaStiles.png</t>
  </si>
  <si>
    <t>149 Martha Ln</t>
  </si>
  <si>
    <t>https://www.ajc.com/news/crime--law/georgia-deputies-shoot-kill-woman-holding-pellet-gun/jMuOrraqbrkOlIII1mKiXN/?fbclid=IwAR1gCh6-oe5VjiBgg6afNSdTOjfblV2nO4wAqDtvfhRh1pN3tcAbVElF6NI</t>
  </si>
  <si>
    <t>Derrick Alexander Sellman</t>
  </si>
  <si>
    <t>https://www.fatalencounters.org/wp-content/uploads/2018/11/Derrick-Alexander-Sellman.jpg</t>
  </si>
  <si>
    <t>2401 Cleanleigh Dr</t>
  </si>
  <si>
    <t>https://www.baltimoresun.com/news/maryland/crime/bs-md-officer-fatal-shooting-20181101-story.html</t>
  </si>
  <si>
    <t>Mill Avenue and Baseline Road</t>
  </si>
  <si>
    <t>Two Tempe officers were shot while trying to serve an order of protection against a domestic violence suspect around 3 p.m. The man allegedly fired shots at both officers, who shot and killed him. Both officers were taken to the hospital with non-life threatening injuries, according to police.</t>
  </si>
  <si>
    <t>https://www.abc15.com/news/region-southeast-valley/tempe/tempe-cop-hurt-in-officer-involved-shooting-near-mill-avenue_baseline-police-say</t>
  </si>
  <si>
    <t>Christopher Carroll</t>
  </si>
  <si>
    <t>2811 Eagle Creek Dr</t>
  </si>
  <si>
    <t>Police responded to a distress call around 12:45 a.m. According to police, family members were trying to calm down a distressed man with a gun. Christopher Carroll was shot and killed after allegedly pointing his gun at one of the officers.</t>
  </si>
  <si>
    <t>https://abc13.com/man-fatally-shot-after-pointing-gun-at-officers/4564320/</t>
  </si>
  <si>
    <t>Lloyd Gerald Napouk</t>
  </si>
  <si>
    <t>https://www.fatalencounters.org/wp-content/uploads/2018/10/Lloyd-Gerald-Napouk.jpg</t>
  </si>
  <si>
    <t>At 12:22 a.m., officers responded to a call of a man acting suspiciously and carrying what appeared to be a Slim Jim or a stick. When officers found the man, he appeared to have a weapon in his hand. They reportedly attempted to convince the man to put the object down, but he failed to comply, and allegedly advanced toward Sgt.Buford Kenton, 36, and Officer Cameran Gunn, 29, who shot and killed him.</t>
  </si>
  <si>
    <t>https://www.lasvegasnow.com/news/police-man-shot-by-officers-overnight-had-weapon/1554965118?fbclid=IwAR16LTH1nU78gSICI1MMy9RQwhmRchVHZVe03zXA8XTeQhRd7Jg3V0ytbDA</t>
  </si>
  <si>
    <t>Armand Lamont Beckwith-Bell</t>
  </si>
  <si>
    <t>https://www.fatalencounters.org/wp-content/uploads/2018/10/ArmandBell.png</t>
  </si>
  <si>
    <t>Officers responding to a disturbance call at an apartment building found an SUV parked out front. In the disturbance call, a woman in distress was yelling at a man to give her her money and her keys. They went to the car and found a man who appeared to be asleep inside. One officer saw the gun on the man and opened the door to secure the weapon. Armand Bell and the officer struggled over the gun. The officer used his own weapon to shoot and kill Bell.</t>
  </si>
  <si>
    <t>https://fox2now.com/2018/10/26/police-identify-man-killed-in-officer-involved-shooting/</t>
  </si>
  <si>
    <t>vehicle and gun</t>
  </si>
  <si>
    <t>At about 8:10 p.m., police responded to a call that a 26-year-old and a 55-year-old had been assaulted. The man had reportedly been to the house several times that day and was acquaintances with at least one person who lived there. At one point, he had allegedly brandished a firearm and threatened someone with a knife. When officers arrived, the man had already left. As they were about to leave, he returned. He had one hand on a bike, and police said he appeared to reach for a weapon with his other hand. Officers reportedly told him to stop and shot and killed him. Police said they found the man's "nickel-plated automatic."</t>
  </si>
  <si>
    <t>https://www.freep.com/story/news/local/michigan/detroit/2018/10/25/officer-involved-shooting-leaves-man-critical-condition/1759688002/</t>
  </si>
  <si>
    <t>Joshua Jay Langley</t>
  </si>
  <si>
    <t>https://www.fatalencounters.org/wp-content/uploads/2018/11/Langley-J-portrait-final.jpg</t>
  </si>
  <si>
    <t>3009 W Russell St</t>
  </si>
  <si>
    <t>Joshua Jay Langley was arrested at a Motel 6 when police received a report around noon of a disturbance coming from the room Langley was staying in. Motel management wanted him removed and when he reportedly failed to listen to officers, Langley was shocked with the stun gun, handcuffed and died a few days later.</t>
  </si>
  <si>
    <t>https://www.argusleader.com/story/news/crime/2018/10/29/sioux-falls-man-dies-after-police-use-stun-gun-him-taser/1810084002/</t>
  </si>
  <si>
    <t>Shaunday Nathaniel Mullins</t>
  </si>
  <si>
    <t>https://www.fatalencounters.org/wp-content/uploads/2018/10/ShaundayMullins2.png</t>
  </si>
  <si>
    <t>S Yale Ave and E 11th St</t>
  </si>
  <si>
    <t>Police were called to the scene around 8:45 a.m. to serve a high-risk warrant to Shaunday Mullins. When officers got to the home, Mullins was inside with his girlfriend and her two children. The children were allowed to leave the home soon after police arrived. Mullins allegedly fired a weapon at officers, and he was shot and killed.</t>
  </si>
  <si>
    <t>https://ktul.com/news/local/police-investigate-officer-involved-shooting-in-east-tulsa</t>
  </si>
  <si>
    <t>Robert R. "Bobby" Mitchell</t>
  </si>
  <si>
    <t>https://www.fatalencounters.org/wp-content/uploads/2018/10/Robert-R.-Bobby-Mitchell.jpg</t>
  </si>
  <si>
    <t>A deputy with the Scott County Sheriff's Department stopped a vehicle. Police said Deputy Greg Hill and the driver, Robert Mitchell, fought. Hill shot Mitchell. After the shooting, Mitchell reportedly drove off, and the deputy chased him. The chase ended about four miles away where Mitchell was taken into custody and died at a hospital.</t>
  </si>
  <si>
    <t>https://wqad.com/2018/10/23/police-investigating-scene-of-shooting/</t>
  </si>
  <si>
    <t>Nickolas Michael Peters</t>
  </si>
  <si>
    <t>N Damson Road and Filbert Rd</t>
  </si>
  <si>
    <t>Martha Lake</t>
  </si>
  <si>
    <t>https://www.heraldnet.com/news/edmonds-man-24-identified-in-fatal-police-shooting/</t>
  </si>
  <si>
    <t>Salvador Morales</t>
  </si>
  <si>
    <t>A man was suspected of holding his estranged wife and baby at gunpoint, shooting another family member in the neck, then fleeing with his wife and the child, leading police on a chase to Concord and back, and ultimately barricading himself in a Pittsburg home. Officers fired a 40 mm projectile, designed to be “less-lethal,” at him, and he allegedly returned fire at officers and was shot and killed.</t>
  </si>
  <si>
    <t>https://www.eastbaytimes.com/2018/10/23/pittsburg-police-officers-killed-man-during-shootout/</t>
  </si>
  <si>
    <t>Jason Whittle</t>
  </si>
  <si>
    <t>https://www.fatalencounters.org/wp-content/uploads/2018/10/Jason-Whittle.png</t>
  </si>
  <si>
    <t>11779 S. Stone Ridge Court</t>
  </si>
  <si>
    <t>Riverton</t>
  </si>
  <si>
    <t>Jason Whittle was shot and killed by Unified police after officers responded to reports of domestic violence just after 6:40 a.m. Police allegedly saw Whittle holding a knife to his 56-year-old mother's throat and shot and killed him.</t>
  </si>
  <si>
    <t>https://www.ksl.com/article/46411750/police-identify-man-killed-during-officer-involved-shooting-in-riverton</t>
  </si>
  <si>
    <t>Tafahree Maynard</t>
  </si>
  <si>
    <t>https://www.fatalencounters.org/wp-content/uploads/2018/10/Tafahree-Maynard.jpg</t>
  </si>
  <si>
    <t>2552 Mistletoe Lane SW</t>
  </si>
  <si>
    <t>Snellville</t>
  </si>
  <si>
    <t>Tafahree Maynard was wanted in the murder of Officer Antwan Toney, 30, when he was killed by police after they reportedly encountered him holding a lawnmower blade in a shed, police said. An officer reportedly shocked him with a Taser and found Maynard was holding the lawnmower blade behind his back, and a second officer shot and killed him.</t>
  </si>
  <si>
    <t>https://www.foxnews.com/us/suspect-18-accused-in-murder-of-georgia-police-officer-is-shot-killed-by-cops</t>
  </si>
  <si>
    <t>William David Williamson</t>
  </si>
  <si>
    <t>https://www.fatalencounters.org/wp-content/uploads/2018/10/WilliamWillamson.jpg</t>
  </si>
  <si>
    <t>Newport Police Department, Cocke County Sheriff's Office</t>
  </si>
  <si>
    <t>Around 5 a.m., a Tennessee Bureau of Investigation agent and several officers and deputies from Newport Police Department and Cocke County Sheriff's Office went to a home to serve an arrest warrant to William David Williamson. Williamson was wanted on 14 counts of Sexual Exploitation of a Minor and was thought to have weapons. Police said Williamson produced a weapon. A Cocke County deputy and a Newport officer shot and killed him.</t>
  </si>
  <si>
    <t>https://www.knoxnews.com/story/news/2018/10/22/cocke-county-newport-officer-involved-shooting-tennessee-bureau-investigates/1727073002/</t>
  </si>
  <si>
    <t>Cedric Pritchard</t>
  </si>
  <si>
    <t>https://www.fatalencounters.org/wp-content/uploads/2018/10/cedricpritchard.jpg</t>
  </si>
  <si>
    <t>11th Street and Washington St</t>
  </si>
  <si>
    <t>Washington Police Department</t>
  </si>
  <si>
    <t>An officer reportedly attempted to make a traffic stop at 3:59 p.m. Cedric Pritchard allegedly got out of his vehicle with a gun as the officer approached, and the officer shot and killed Pritchard.</t>
  </si>
  <si>
    <t>https://www.witn.com/content/news/FIRST-ON-WITN-Washington-Police-are-investigating-an-officer-involved-shooting-498156231.html</t>
  </si>
  <si>
    <t>Kimberly Norris</t>
  </si>
  <si>
    <t>Clyde School Rd</t>
  </si>
  <si>
    <t>McBee</t>
  </si>
  <si>
    <t>Kimberly Norris was walking erratically in a yard on Clyde School Road. A man stopped to check on her, and she reportedly told the man her father had been shot. The man called 9-1-1, and deputies were dispatched at 8:43 a.m. Before the deputies arrived, she allegedly pointed a gun at the man and ordered him out of the vehicle. When deputies arrived, the woman pointed the gun at them and fired, police said. Deputies shot and killed her.</t>
  </si>
  <si>
    <t>https://www.scnow.com/townnews/weaponry/article_ecfd1c0a-d4a3-11e8-acbc-a3a6e17af672.html</t>
  </si>
  <si>
    <t>Edward Paul Zumski III</t>
  </si>
  <si>
    <t>https://www.fatalencounters.org/wp-content/uploads/2018/10/EdwardZumski.jpg</t>
  </si>
  <si>
    <t>1907 Lamar Ave</t>
  </si>
  <si>
    <t>Edward Paul Zumski III was a suspect in a stabbing reported at the King's Inn in Paris. When officers got to the scene, they reportedly found a woman covered with blood from stab wounds on her chest. Zumski confronted officers and allegedly pointed a handgun at them. The officers shot and killed Zumski.</t>
  </si>
  <si>
    <t>https://www.kxii.com/content/news/Man-shot-and-killed-by-Paris-officers-identified-498243501.html</t>
  </si>
  <si>
    <t>Robert Smith Jr.</t>
  </si>
  <si>
    <t>https://www.fatalencounters.org/wp-content/uploads/2018/10/RobertSmith.png</t>
  </si>
  <si>
    <t>About 9:30 p.m., deputies responded to a report of domestic violence in Spanaway. A woman had called 9-1-1 to report that her boyfriend was intoxicated and armed, and she had locked herself in the bathroom. Once there, deputies said they confronted the boyfriend at the front door of the home. He was allegedly armed with a handgun in a hip holster. He allegedly did not comply with orders not to touch his handgun. Then deputies said he drew the handgun out of his holster toward the deputies, and they shot and killed him.</t>
  </si>
  <si>
    <t>https://www.theolympian.com/latest-news/article220413305.html</t>
  </si>
  <si>
    <t>Christopher Calabro</t>
  </si>
  <si>
    <t>206 Court St</t>
  </si>
  <si>
    <t>Police said Christopher Calabro brandished a knife and advanced on two officers after police responded to a report of a man with a knife around 12:20 p.m. He allegedly advanced at the officers and was shot and killed.</t>
  </si>
  <si>
    <t>https://www.masslive.com/news/index.ssf/2018/10/knife-wielding_man_fatally_sho.html</t>
  </si>
  <si>
    <t>Neico G. Crooks</t>
  </si>
  <si>
    <t>https://www.fatalencounters.org/wp-content/uploads/2018/10/Neico-Crooks.jpeg</t>
  </si>
  <si>
    <t>140 Northwest 189th Street</t>
  </si>
  <si>
    <t>Neico Crooks was shot and killed while he driving a black car that was reported stolen. Police spotted him about 4 a.m., and in his attempt to get away, Crooks struck an officer. Several officers shot him as he drove, and he crashed into a house. No one was reported killed or wounded inside the home.</t>
  </si>
  <si>
    <t>https://www.local10.com/news/florida/miami-dade/man-killed-in-miami-gardens-police-involved-shooting-identified</t>
  </si>
  <si>
    <t>Jonathon C. Tubby</t>
  </si>
  <si>
    <t>https://www.fatalencounters.org/wp-content/uploads/2018/10/JonathonTubby.jpg</t>
  </si>
  <si>
    <t>3030 Curry Ln</t>
  </si>
  <si>
    <t>A man was shot dead about 9:11 p.m. inside the sally port at the Brown County Jail. Details as to what precipitated the killing were withheld by police.</t>
  </si>
  <si>
    <t>https://www.greenbaypressgazette.com/story/news/2018/10/20/man-dead-officer-involved-shooting-brown-county-jail/1709699002/</t>
  </si>
  <si>
    <t>Mahlon Edward Summerour</t>
  </si>
  <si>
    <t>Monroe Police Department</t>
  </si>
  <si>
    <t>Walton County 9-1-1 received multiple calls shortly before 9 a.m. about a man who was coming from under the U.S. 78 bridge with a gun. Two officers arrived to find a man dressed in a shower curtain and carrying what looked to be a machine gun. He was ordered to drop the item and was shot and killed when he reportedly pointed it at the officers. Mahlon Summerour was carrying a replica gun.</t>
  </si>
  <si>
    <t>http://www.waltontribune.com/article_45586e6c-d2e8-11e8-9fc1-afb7f10dabd3.html</t>
  </si>
  <si>
    <t>Bailey Greek</t>
  </si>
  <si>
    <t>W 49th Ave and Kipling St</t>
  </si>
  <si>
    <t>Wheat Ridge</t>
  </si>
  <si>
    <t>Police were reportedly looking for Bailey Greek regarding a variety of crimes. He was shot and killed, although details as to what precipitated the killing were withheld by police.</t>
  </si>
  <si>
    <t>https://www.9news.com/article/news/crime/suspect-shot-killed-by-arvada-police-during-attempted-arrest-idd/73-605854446?fbclid=IwAR07h2_PNnyeUFemZMH9wis_0qlQoKVHLZxLs9OyvbnrA41kqONrkrUrYSQ</t>
  </si>
  <si>
    <t>Jacob Servais</t>
  </si>
  <si>
    <t>https://www.fatalencounters.org/wp-content/uploads/2018/10/JacobServais.jpg</t>
  </si>
  <si>
    <t>2587 S Delsea Dr</t>
  </si>
  <si>
    <t>Jacob Servais was shot and killed by police at about 3:30 p.m. in the parking lot of Just for Wheels Car, Truck and Van Rental. Details as to what precipitated the killing were withheld by police.</t>
  </si>
  <si>
    <t>https://www.courierpostonline.com/story/news/crime/2018/10/18/traffic-snarled-delsea-drive-and-boulevard/1688014002/</t>
  </si>
  <si>
    <t>Andrey Tkachenko</t>
  </si>
  <si>
    <t>https://www.fatalencounters.org/wp-content/uploads/2018/10/Andrey-Tkachenko.jpg</t>
  </si>
  <si>
    <t>300 Denver St</t>
  </si>
  <si>
    <t>Salt Lake City Police Department, Saratoga Springs Police Department, Unified Police Department of Greater Salt Lake</t>
  </si>
  <si>
    <t>Andrey Tkachenko was wanted on felony charges when he was shot and killed by police in an alley. Details as to what precipitated the killing were withheld by police.</t>
  </si>
  <si>
    <t>https://www.good4utah.com/news/local-news/wanted-felon-shot-killed-by-officers-in-downtown-salt-lake-city-identified/1534870177</t>
  </si>
  <si>
    <t>Sean Dutcher</t>
  </si>
  <si>
    <t>N Wisconsin St and Potter Rd</t>
  </si>
  <si>
    <t>Police had received a report of a vehicle that was driving recklessly before 10 p.m. Deputies found the vehicle and attempted a traffic stop. The vehicle didn't stop, and deputies pursued it. The vehicle came to a stop, and a deputy got out of his squad car. The driver allegedly drove toward the deputy, who shot and killed him.</t>
  </si>
  <si>
    <t>https://www.channel3000.com/news/crime/medical-examiner-arrives-in-elkhorn-at-scene-of-apparent-shooting/811516286</t>
  </si>
  <si>
    <t>Kenneth Martin Anderson</t>
  </si>
  <si>
    <t>I-75 &amp; U.S. 411</t>
  </si>
  <si>
    <t>Kenneth Martin Anderson was reportedly handcuffed with his arms behind him when he allegedly shot a trooper in his bullet-proof vest. He was shot and killed by troopers.</t>
  </si>
  <si>
    <t>https://www.ajc.com/news/crime--law/breaking-gsp-trooper-shot-bartow-county/FuQG5n48qRhXVCuVzQBcJM/</t>
  </si>
  <si>
    <t>Keyshon Parham</t>
  </si>
  <si>
    <t>https://www.fatalencounters.org/wp-content/uploads/2018/10/KeyshonParhamI.jpg</t>
  </si>
  <si>
    <t>2774 S Mendenhall Rd</t>
  </si>
  <si>
    <t>A deputy was shot at Eden at Watersedge apartments. Deputies arrived at the complex to search for Keyshon Parham, who has been wanted for several weeks. Several deputies chased the suspect before they shot and killed him, although details as to what precipitated the killing were withheld by police.</t>
  </si>
  <si>
    <t>http://www.wmcactionnews5.com/2018/10/17/shelby-county-deputy-shot-apartment-complex/</t>
  </si>
  <si>
    <t>Weston Willow Well Cole</t>
  </si>
  <si>
    <t>605 California Way</t>
  </si>
  <si>
    <t>Longview Police Department, Cowlitz County Sheriff's Office</t>
  </si>
  <si>
    <t>Longview police were called at 2:52 a.m. on a report of an unwanted person. Cowlitz County deputies also responded. Officers and deputies contacted Weston Willow Well Cole, who displayed a gun. Police said Cole ran away and forced his way into a home with people inside. The people left safely. Cole, from inside the home, allegedly began shooting at the officers. Officers shot and killed him.</t>
  </si>
  <si>
    <t>https://www.kptv.com/news/coroner-identifies--year-old-man-killed-in-longview-officer/article_efebdd0c-d340-11e8-a2ec-677f0f8b4e67.html</t>
  </si>
  <si>
    <t>Quinlan</t>
  </si>
  <si>
    <t>James Lyle Kuehn</t>
  </si>
  <si>
    <t>https://www.fatalencounters.org/wp-content/uploads/2018/10/James-Lyle-Kuehn.jpg</t>
  </si>
  <si>
    <t>4450 W. 5700 South</t>
  </si>
  <si>
    <t>Kearns</t>
  </si>
  <si>
    <t>James Lyle Kuehn allegedly went to Fiesta Olé and demanded money from the cashier, allegedly pointing a knife at him. The worker reportedly grabbed a large cheese knife, which he swung at Kuehn. Customers got between the two men, and Kuehn left. Someone followed Kuehn to a nearby house and directed police there. Officers confronted Kuehn outside the home. He failed to drop his knife, and police reportedly shocked him with a Taser on him and then shot and killed him.</t>
  </si>
  <si>
    <t>https://www.sltrib.com/news/2018/10/23/man-shot-by-police-last/</t>
  </si>
  <si>
    <t>Charles D. "Chop Chop" Roundtree Jr.</t>
  </si>
  <si>
    <t>217 Roberts St</t>
  </si>
  <si>
    <t>Officer Steve Casanova shot and killed Charles Roundtree when Casanova was trying to kill someone else. A 24-year-old witness who was also shot by the officer said the officer walked into an open door without identifying himself. The witness may have feared for his life when he allegedly pulled a gun when the officer came into the house uninvited. Police came to the house because of a reported assault and also shot and killed a family dog.</t>
  </si>
  <si>
    <t>https://www.ksat.com/news/sapd-investigating-whether-man-shot-by-officer-reached-for-his-own-weapon</t>
  </si>
  <si>
    <t>Donald Judd</t>
  </si>
  <si>
    <t>2024 E 29th St</t>
  </si>
  <si>
    <t>Puyallup Tribal Police Department</t>
  </si>
  <si>
    <t>Donald Judd was shot and killed by a Puyallup tribal police officer outside the Emerald Queen Casino. Details as to what precipitated the killing were withheld by police.</t>
  </si>
  <si>
    <t>https://komonews.com/news/local/fbi-investigating-deadly-shooting-by-puyallup-tribal-police-near-casino</t>
  </si>
  <si>
    <t>Hustes Antonio Davila</t>
  </si>
  <si>
    <t>https://www.fatalencounters.org/wp-content/uploads/2018/10/Hustes-Antonio-Davila.jpg</t>
  </si>
  <si>
    <t>420 S Wayne Ave</t>
  </si>
  <si>
    <t>About 11:45 a.m., detectives with the Franklin County Drug Task Force were conducting an investigation into suspected heroin trafficking. A detective with the task force shot and killed Hustes Davila, but details to what precipitated the killing were withheld by police.</t>
  </si>
  <si>
    <t>https://www.10tv.com/article/authorities-identify-man-killed-deputy-involved-shooting-west-columbus</t>
  </si>
  <si>
    <t>James Christopher Manus</t>
  </si>
  <si>
    <t>3185 Truelove Rd</t>
  </si>
  <si>
    <t>About 6 p.m., deputies responded to a report of a man pointing a gun at neighbors. When they arrived, they found that James Christopher Manus had also set fire to his neighbor's well house. When deputies tried to speak with Manus, deputies said he barricaded himself inside the home and refused all attempts at communication. At about 11 p.m., Manus began to shoot at deputies from inside the home. Just after midnight, he appeared in the front doorway and shot at deputies again, and deputies shot and killed Manus.</t>
  </si>
  <si>
    <t>https://www.11alive.com/article/news/crime/man-killed-by-deputies-at-conclusion-of-hall-co-swat-standoff/85-604207944</t>
  </si>
  <si>
    <t>Gregory Allen Tilly</t>
  </si>
  <si>
    <t>607 S White Sands Blvd</t>
  </si>
  <si>
    <t>Police were dispatched to a home about 11 a.m. When they arrived, they learned that Gregory Allen Tilly had shot out of a window of his mobile home. Officers tried to get Tilly out of the home, but he refused to leave. While officers were talking with Tilly, he exited the home with a gun in his hand, and a trooper shot and killed him.</t>
  </si>
  <si>
    <t>https://www.kob.com/new-mexico-news/deadly-state-police-shooting-alamogordo/5108785/?cat=500&amp;fbclid=IwAR1aDvnoLqCG9hxreM3LrHXsxkzNhIRX1w3Zd-i2U-33DmAur_BC0BWR0Y8</t>
  </si>
  <si>
    <t>Eric Jamar Lupain Stromer</t>
  </si>
  <si>
    <t>10160 Carr Rd</t>
  </si>
  <si>
    <t>Jeffersonville</t>
  </si>
  <si>
    <t>Deputies were dispatched to a Quality Inn/Amerihost at approximately 12:43 a.m. to investigate a disturbance inside the motel. While investigating, a deputy allegedly was shot by one of the people involved in the disturbance. The deputy shot and killed the man.</t>
  </si>
  <si>
    <t>https://www.recordherald.com/news/32019/officer-shot-suspect-killed-in-sunday-shootout-at-quality-innamerihost</t>
  </si>
  <si>
    <t>Umberto Sanchez Ramoz</t>
  </si>
  <si>
    <t>https://www.fatalencounters.org/wp-content/uploads/2018/10/Umberto-Sanchez-Ramoz.png</t>
  </si>
  <si>
    <t>16000 Rd 168</t>
  </si>
  <si>
    <t>Deputies were called to a home when Umberto Sanchez Ramoz had become violent, and threatened family members with a knife. The family members locked themselves into a back room and called 9-1-1. He panicked when deputies arrived. He allegedly kicked in a door and took an 11-year-old family member hostage. One of the deputies shot and killed him.</t>
  </si>
  <si>
    <t>https://abc30.com/family-grieving-after-17-year-old-shot-and-killed-by-deputies/4491509/</t>
  </si>
  <si>
    <t>Pinetree Road and Azalea Street</t>
  </si>
  <si>
    <t>Florida State Fire Marshals</t>
  </si>
  <si>
    <t>A man was shot and killed when he allegedly tried to steal a police vehicle with an officer sitting on the passenger side.</t>
  </si>
  <si>
    <t>https://weartv.com/news/local/some-residents-getting-desperate-and-turning-to-looting</t>
  </si>
  <si>
    <t>Samuel Morris</t>
  </si>
  <si>
    <t>5221 Johnson St</t>
  </si>
  <si>
    <t>Fort Smith Police Department</t>
  </si>
  <si>
    <t>Officers went to an apartment to investigate a domestic disturbance involving weapons and allegedly found Samuel Morris threatening a victim at knife-point. The victim escaped, police said, but Morris refused to drop his weapon. An officer shot and killed Morris.</t>
  </si>
  <si>
    <t>https://www.arkansasonline.com/news/2018/oct/13/police-officer-fatally-shoots-man-knife-arkansas-a/</t>
  </si>
  <si>
    <t>Kay Kenniker</t>
  </si>
  <si>
    <t>854 W Calle Del Norte</t>
  </si>
  <si>
    <t>Officers responded to Kay Kenniker's home about 5 p.m. on reports of a possibly suicidal man armed with a gun, police said. Officers found Kenniker standing on the front lawn of his mobile home with a gun in hand. He allegedly shot at officers once. Kenniker went back inside of the home and emerged in the backyard with a rifle. He allegedly raised the rifle toward the officers in the backyard, and two Chandler officers shot and killed him.</t>
  </si>
  <si>
    <t>https://www.azcentral.com/story/news/local/chandler-breaking/2018/10/13/chandler-arizona-police-shooting-man-shot-identified/1628919002/</t>
  </si>
  <si>
    <t>Matthew Chambers</t>
  </si>
  <si>
    <t>6640 Akers Mill Rd SE</t>
  </si>
  <si>
    <t>Matthew Chambers had been shooting at vehicles and pointing a gun at them at the Walton on the Chattahoochee apartments, police said. Police responded to the complex about 6:08 a.m., and found Chambers with a gun at a bus stop near the apartment entrance. As officers approached him from a distance, Chambers was seen to have a gun, and he was shot and killed.</t>
  </si>
  <si>
    <t>https://www.mdjonline.com/news/one-dead-in-officer-involved-shooting-in-cumberland/article_28cd154a-ce24-11e8-b9ff-7345e9b43142.html</t>
  </si>
  <si>
    <t>Venson Kee Yazzie</t>
  </si>
  <si>
    <t>4GMJ+C6</t>
  </si>
  <si>
    <t>Chinle</t>
  </si>
  <si>
    <t>An Arizona man allegedly was armed with a knife when a National Park Service ranger fatally shot him at Canyon de Chelly. Details as to what precipitated the killing were withheld by police.</t>
  </si>
  <si>
    <t>https://www.azcentral.com/story/news/local/arizona/2018/10/10/fbi-investigating-fatal-shooting-chinle-park-service-ranger/1594153002/</t>
  </si>
  <si>
    <t>Jacob E. Albrethsen</t>
  </si>
  <si>
    <t>Orem</t>
  </si>
  <si>
    <t>Ashley Elisna Grammer</t>
  </si>
  <si>
    <t>https://www.fatalencounters.org/wp-content/uploads/2018/10/Ashley-Elisna-Grammer.jpg</t>
  </si>
  <si>
    <t>Beach Rd</t>
  </si>
  <si>
    <t>Mountain View</t>
  </si>
  <si>
    <t>Ashley Elisna Grammer allegedly rammed a stolen vehicle into a police SUV when she was shot and killed by police. Police said Grammer was a fugitive being sought on two $50,000 warrants.</t>
  </si>
  <si>
    <t>http://www.staradvertiser.com/2018/10/12/breaking-news/hawaii-island-police-fatally-shoot-woman-in-stolen-suv-in-puna/</t>
  </si>
  <si>
    <t>81 N Paradise Dr</t>
  </si>
  <si>
    <t>Orem Police Department</t>
  </si>
  <si>
    <t>Two officers were sent to a residence after 9-1-1 operators received a call of a family dispute. The officers entered the home and were confronted by a boy brandishing a knife. One of the officers reportedly shocked him with a Taser, but it failed to stop him. Both officers opened fire, killing the boy.</t>
  </si>
  <si>
    <t>https://gephardtdaily.com/local/suspect-in-poor-condition-after-orem-officer-involved-shooting/</t>
  </si>
  <si>
    <t>12th St and Palm Ave</t>
  </si>
  <si>
    <t>Police fatally shot a man and arrested a woman after a chase of a stolen vehicle ended with a foot pursuit, police said, reporting that a gun was recovered after the incident.</t>
  </si>
  <si>
    <t>https://abc7.com/huntington-beach-police-kill-suspect-arrest-another-after-chase/4460409/</t>
  </si>
  <si>
    <t>Diamonte Riviore</t>
  </si>
  <si>
    <t>7028 Cherry Leaf Dr</t>
  </si>
  <si>
    <t>Police responded to a domestic disturbance during which Diamonte Riviore reportedly took a woman hostage. He allegedly met officers with a knife and was shot and killed.</t>
  </si>
  <si>
    <t>https://www.ksl.com/article/46405342/police-identify-man-killed-in-west-jordan-officer-involved-shooting</t>
  </si>
  <si>
    <t>Leslie Shayne Miller</t>
  </si>
  <si>
    <t>907 W IN 154</t>
  </si>
  <si>
    <t>Officers were called to a Days Inn around 1:22 p.m. after a guest made "concerning statements" to hotel staff. After evacuating the building, police went to question the guest only to find he had locked the door and refused to comply with police demands to come out. When police entered the room, Leslie Miller allegedly pointed a gun at them, and they shot and killed him.</t>
  </si>
  <si>
    <t>http://www.goshennews.com/indiana/news/one-dead-in-police-involved-shooting-in-sullivan-hotel/article_a5898b8f-7139-5c66-87f7-78b497bbfbd4.html</t>
  </si>
  <si>
    <t>Kenneth Busse Jr.</t>
  </si>
  <si>
    <t>https://www.fatalencounters.org/wp-content/uploads/2018/10/Kenneth-Busse-Jr.jpg</t>
  </si>
  <si>
    <t>S Rainbow Blvd and Blue Diamond Road</t>
  </si>
  <si>
    <t>Enterprise</t>
  </si>
  <si>
    <t>Officers Kenneth Pilette and Chad Betts responded to a crash. Police said Busse left the scene briefly to hide something in a nearby bush before officers arrived. Police asked the man to complete a field sobriety test, but he allegedly ran to the bush and grabbed a gun. The man fired a round at police, and the officers shot and killed him.</t>
  </si>
  <si>
    <t>https://news3lv.com/news/local/two-las-vegas-police-officers-identified-in-deadly-shooting-of-suspect</t>
  </si>
  <si>
    <t>Terrell Blake</t>
  </si>
  <si>
    <t>85 Hillside Ave</t>
  </si>
  <si>
    <t>Terrell Blake had allegedly shot family members when he was shot and killed by police.</t>
  </si>
  <si>
    <t>https://13wham.com/news/local/police-3-shot-in-rochester-multiple-schools-on-lockout</t>
  </si>
  <si>
    <t>Richard Palafox</t>
  </si>
  <si>
    <t>10780 Pebble Hills Blvd</t>
  </si>
  <si>
    <t>Richard Palafox was fatally shot when he showed up with a handgun at the Pebble Hills Regional Command Center in East El Paso, police said.</t>
  </si>
  <si>
    <t>https://www.elpasotimes.com/story/news/crime/2018/10/11/el-paso-police-identify-richard-palafox-killed-pebble-hills-police-station-shooting/1603278002/</t>
  </si>
  <si>
    <t>Alonzo L. Smith</t>
  </si>
  <si>
    <t>Hillcrest Dr and Duesenberg Dr</t>
  </si>
  <si>
    <t>Thousand Oaks</t>
  </si>
  <si>
    <t>Michael Johnson was involved in a crash at 1:14 a.m. Johnson allegedly confronted responding deputies with a knife and moved toward them when deputies attempted to contact him. Deputies fired beanbag rounds, striking Johnson multiple times. Johnson kept advancing toward the deputies, and Sgt. Russell King and Deputy Justyn Czyrklis shot and killed him.</t>
  </si>
  <si>
    <t>https://www.keyt.com/news/crime/suspect-killed-in-thousand-oaks-officer-involved-shooting-identified/805481374</t>
  </si>
  <si>
    <t>Samuel Edward Rice</t>
  </si>
  <si>
    <t>https://www.fatalencounters.org/wp-content/uploads/2018/10/Samuel_E_Rice.jpg</t>
  </si>
  <si>
    <t>7622 SE 82nd Ave</t>
  </si>
  <si>
    <t>Officer Kelly VanBlokland fatally shot Samuel Rice, who had barricaded himself inside a Southeast Portland motel room, holding his girlfriend hostage at knifepoint, police said.</t>
  </si>
  <si>
    <t>https://www.oregonlive.com/portland/index.ssf/2018/10/portland_police_sniper_filed_f.html</t>
  </si>
  <si>
    <t>Austin William Schell</t>
  </si>
  <si>
    <t>TX-78 &amp; Sycamore St</t>
  </si>
  <si>
    <t>Wylie Police Department</t>
  </si>
  <si>
    <t>Police said Austin Schell had struck his 40-year-old mother in the head with a baseball bat several times, causing severe injuries. Police chased him into Farmersville until a Farmersville officer spiked his tire. Schell lost control of the vehicle and crashed head-on into a truck on State Highway 78, killing him. Police said nobody was hurt or killed in the truck.</t>
  </si>
  <si>
    <t>https://www.dallasnews.com/news/collin-county/2018/10/10/suspect-dead-after-police-chase-ends-crash-state-highway-78-farmersville</t>
  </si>
  <si>
    <t>Travis M. Craven</t>
  </si>
  <si>
    <t>County Rd 66 and NE Frontage Rd</t>
  </si>
  <si>
    <t>Just before noon, Craven was involved in a fight with a family member. After a deputy arrived, Craven reportedly left in a 2001 Subaru Forester, carrying a handgun. He was chased to Wellington, where deputies forced his vehicle off the road. Deputy Matthew Bordewick shot and killed Craven, although details as to exactly what precipitated the killing were withheld by police.</t>
  </si>
  <si>
    <t>https://www.denverpost.com/2018/10/12/larimer-officer-involved-shooting-ids/</t>
  </si>
  <si>
    <t>Aaron Joseph Chavez</t>
  </si>
  <si>
    <t>Curry</t>
  </si>
  <si>
    <t>Police said they tried to stop Aaron Chavez in a stolen car, but he allegedly ran and was shot and killed during the chase. Details as to what precipitated the killing were withheld by police.</t>
  </si>
  <si>
    <t>https://www.krqe.com/news/new-mexico/nmsp-investigate-officer-involved-shooting-in-clovis/1507097195</t>
  </si>
  <si>
    <t>Alexander G. Lindahl</t>
  </si>
  <si>
    <t>US-81 and E0880 Rd</t>
  </si>
  <si>
    <t>Okarche</t>
  </si>
  <si>
    <t>Kingfisher</t>
  </si>
  <si>
    <t>Canadian County Sheriff's Office</t>
  </si>
  <si>
    <t>Union City police saw a stolen pickup truck and pursued. The chase went from Union City to El Reno to Okarche. North of Okarche, the man was passing vehicles on the shoulder. The ground was wet from the rains, and the driver lost control and went into the center median and stopped. A deputy shot a tire, and the man got out of his truck with a gun, and he was shot and killed.</t>
  </si>
  <si>
    <t>https://kfor.com/2018/10/11/medical-examiner-identifies-suspect-shot-killed-in-okarche-officer-involved-shooting/</t>
  </si>
  <si>
    <t>Isaiah Danielle Ramirez</t>
  </si>
  <si>
    <t>https://www.fatalencounters.org/wp-content/uploads/2018/10/Ramirez27.jpg</t>
  </si>
  <si>
    <t>728 Emory Valley Rd</t>
  </si>
  <si>
    <t>Oak Ridge</t>
  </si>
  <si>
    <t>Oak Ridge Police Department</t>
  </si>
  <si>
    <t>An Oak Ridge officer tried to stop Isaiah Ramirez, who fled, and the officer chased him. That chase reportedly ended at the Anderson County General Sessions Court parking lot. The officer got out of his car and reportedly was hit by Ramirez. An officer shot and killed Ramirez.</t>
  </si>
  <si>
    <t>https://www.wvlt.tv/content/news/TBI-Officer-involved-shooting-in-Oak-Ridge-496042391.html</t>
  </si>
  <si>
    <t>Anthony Lee Hodges</t>
  </si>
  <si>
    <t>https://www.fatalencounters.org/wp-content/uploads/2018/10/Anthony-Lee-Hodges.jpg</t>
  </si>
  <si>
    <t>2985 NW 216th St</t>
  </si>
  <si>
    <t>Lawtey</t>
  </si>
  <si>
    <t>Bradford County Sheriff's Office</t>
  </si>
  <si>
    <t>Anthony Lee Hodges' girlfriend contacted the Sheriff's Office to report a domestic disturbance. The woman told deputies that Hodges had some mental health issues for which he wasn't taking his medication, and he was acting erratically. The woman also told deputies that Hodges had left the house, was still on the 3-acre property, and could be in possession of a weapon. Deputies tried to make contact with Hodges by calling his cellphone. Shortly after, Hodges came out of a shed on the property and began shooting at deputies. He was shot and killed.</t>
  </si>
  <si>
    <t>https://www.gainesville.com/news/20181007/man-killed-in-shootout-with-bradford-county-deputies</t>
  </si>
  <si>
    <t>Tison Dinney</t>
  </si>
  <si>
    <t>1250 Punchbowl St</t>
  </si>
  <si>
    <t>Police were called to assist state sheriffs with a man who was threatening another man with a machete and shears. The man had taken hedge shears apart and had half of it with a sharpened blade that was about two feet long. Police used pepper spray on the man after asking him to walk away from the weapons, but it was not effective. The man reportedly was ordered to move away from the weapons, but he did not comply. As officers approached the man to arrest him, he allegedly picked up one of the weapons and struck an officer in the torso. A second officer reportedly shocked him with a stun gun, and a third officer shot and killed him.</t>
  </si>
  <si>
    <t>https://www.civilbeat.org/2018/10/experts-lack-of-mental-health-treatment-among-the-culprits-in-police-shootings/</t>
  </si>
  <si>
    <t>Nicholas Benjamin Salisbury</t>
  </si>
  <si>
    <t>11084 B Avenue</t>
  </si>
  <si>
    <t>Nicholas Salisbury called 9-1-1 at about 1:30 a.m. and told dispatchers he was planning to kill residents at an Auburn in-patient rehab facility and also threatened to shoot any deputies who arrived there, police said. He told the dispatcher he was high on marijuana and “speed.” The man was holding a firearm when deputies found him. Deputies reportedly ordered him to drop the gun, but he raised it toward the deputies, and they shot and killed him. The weapon was a replica firearm, and Salisbury allegedly had a suicide note.</t>
  </si>
  <si>
    <t>https://www.sacbee.com/news/local/crime/article219642920.html</t>
  </si>
  <si>
    <t>Hayti</t>
  </si>
  <si>
    <t>Phillip Samuel Moskios Jr.</t>
  </si>
  <si>
    <t>27110-26684 US-97</t>
  </si>
  <si>
    <t>Chiloquin</t>
  </si>
  <si>
    <t>Police shot and killed Phillip Samuel Moskios Jr. Police as the two hostages ran out of the house, and police shot and killed Martin. Details as to what precipitated the killing were withheld by police.</t>
  </si>
  <si>
    <t>https://kval.com/news/local/officer-involved-shooting-in-chiloquin</t>
  </si>
  <si>
    <t>Sershawn Martez Dillon</t>
  </si>
  <si>
    <t>https://www.fatalencounters.org/wp-content/uploads/2018/10/Sershawn-Martez-Dillon.jpg</t>
  </si>
  <si>
    <t>2400 Buena Vista Pike</t>
  </si>
  <si>
    <t>Officers responded to an apartment complex around 10:30 p.m. in response to reports of shots fired. When they arrived, officers spotted Dillon, who reportedly matched the description of a person involved in a pistol whipping earlier that night. As officers arrived, Dillon, who was allegedly armed, ran inside one of the apartments. Officers approached the residence, and a gun-battle began. Officer Samuel Galluzzi was wounded. Dillon was shot and killed.</t>
  </si>
  <si>
    <t>https://www.wsmv.com/news/dead-in-north-nashville-shooting-metro-police-officer-injured/article_cdfd3182-c91d-11e8-b4b1-3bae2c5f3856.html</t>
  </si>
  <si>
    <t>William Harold Cox II</t>
  </si>
  <si>
    <t>https://www.fatalencounters.org/wp-content/uploads/2018/10/Toby-D.-Bailey-Sr.jpg</t>
  </si>
  <si>
    <t>6446 Okey L Patteson Rd</t>
  </si>
  <si>
    <t>Scarbro</t>
  </si>
  <si>
    <t>West Virginia State Police, Fayette County Sheriff's Office</t>
  </si>
  <si>
    <t>https://wchstv.com/news/local/man-fatally-shot-in-fayette-county-hostage-situation</t>
  </si>
  <si>
    <t>Toby D. Bailey Sr.</t>
  </si>
  <si>
    <t>Mt. Pleasant Police Department</t>
  </si>
  <si>
    <t>Officers responded to reports of a domestic violence incident. Toby Bailey ran inside his home, made threats to shoot the officers, and barricaded himself within. Beginning at approximately 9:45 p.m., police negotiators, family members and a pastor tried to get Bailey to surrender. Officers went inside the home and at least two officers fired their service weapons when Bailey allegedly raised a handgun. A third officer fatally shot a dog inside the home.</t>
  </si>
  <si>
    <t>http://www.columbiadailyherald.com/news/20181004/tbi-investigates-officer-involved-shooting-in-bartlett</t>
  </si>
  <si>
    <t>Arthur Harbison</t>
  </si>
  <si>
    <t>Officers were called around 7 p.m. for a domestic disturbance in which a minor had been stabbed in the neck. Another family member allegedly had been stabbed by Arthur Harbison earlier in the day, but he had fled before police arrived. On their second trip, they made contact with Harbison, and a fight began before he ran into a nearby field as officers chased him. Harbison allegedly turned during the chase toward an officer with a knife, and he was shot and killed.</t>
  </si>
  <si>
    <t>http://deltadailynews.com/greenville-officer-shoots-and-kills-stabbing-suspect/</t>
  </si>
  <si>
    <t>Chinedu Valentine Okobi</t>
  </si>
  <si>
    <t>Millbrae</t>
  </si>
  <si>
    <t>San Mateo County Sheriff's Office</t>
  </si>
  <si>
    <t>Chinedu Valentine Okobi was running in and out of traffic at about 1 p.m., police said. Okobi allegedly assaulted a deputy who contacted him. Four more deputies were called and at least one of them used a Taser on Okobi, killing him.</t>
  </si>
  <si>
    <t>http://www.ktvu.com/news/coroner-identifies-man-who-died-after-fight-with-deputies-in-millbrae</t>
  </si>
  <si>
    <t>James Edward Martin</t>
  </si>
  <si>
    <t>https://www.fatalencounters.org/wp-content/uploads/2018/10/James-Edward-Martin.jpg</t>
  </si>
  <si>
    <t>391 Lane Drive SW</t>
  </si>
  <si>
    <t>James Edward Martin lived in the home with 81-year-old Faye Spruell, her granddaughter Jessica Adams, and Adams' 7-year-old daughter. Martin reportedly pulled a gun on Adams, so the family kicked him out of the house. Martin came back and allegedly killed Spruell and then held Jessica and her daughter hostage. Police as the two hostages ran out of the house, and police shot and killed Martin. Details as to what precipitated the killing were withheld by police.</t>
  </si>
  <si>
    <t>https://www.cbs46.com/news/grandmother-killed-during-domestic-incident-in-mableton-suspect-shot-by/article_bc9036b2-c687-11e8-9a8a-7b40f8f04739.html</t>
  </si>
  <si>
    <t>Lajuana Phillips</t>
  </si>
  <si>
    <t>https://www.fatalencounters.org/wp-content/uploads/2018/10/Lajuana-Phillips.jpg</t>
  </si>
  <si>
    <t>14856 7th St</t>
  </si>
  <si>
    <t>Lajuana Phillips was shot and killed when she allegedly drove toward a deputy to run him down. The passenger and driver's windows were shot out.</t>
  </si>
  <si>
    <t>https://ktla.com/2018/10/03/officials-id-woman-fatally-shot-by-deputy-outside-car-dealership-in-victorville/</t>
  </si>
  <si>
    <t>Keagan Lee Johnson-Lloyd</t>
  </si>
  <si>
    <t>https://www.fatalencounters.org/wp-content/uploads/2018/10/Keagan-Johnson-Lloyd.jpg</t>
  </si>
  <si>
    <t>Hastings</t>
  </si>
  <si>
    <t>Hastings Police Department</t>
  </si>
  <si>
    <t>Police were dispatched to a group home around 4 p.m. on reports of a stabbing between two residents. When officers arrived, Keagan Johnson-Lloyd, had fled. Police received a report about two hours later, shortly before 6 p.m., of Johnson-Lloyd's whereabouts. Responding officers saw him walking, and Officer Geoff Latsch shot and killed Johnson-Lloyd. Details as to what precipitated the killing were withheld by police.</t>
  </si>
  <si>
    <t>https://www.kare11.com/article/news/family-identifies-man-killed-by-police-in-hastings/89-600189911</t>
  </si>
  <si>
    <t>Brian Baker</t>
  </si>
  <si>
    <t>https://www.fatalencounters.org/wp-content/uploads/2018/10/Brian-Baker.jpg</t>
  </si>
  <si>
    <t>52 W Underwood St</t>
  </si>
  <si>
    <t>Orlando police shot and killed Brian Baker, who claimed to have a gun at Orlando Regional Medical Center, police said. Three officers shot Baker when he reportedly reached into his waistband as though he had a gun. Baker was not armed.</t>
  </si>
  <si>
    <t>https://www.clickorlando.com/news/orlando-police-converge-on-orlando-regional-medical-center</t>
  </si>
  <si>
    <t>720 E 12th 1/2 St</t>
  </si>
  <si>
    <t>Police went to a house to serve warrants for aggravated assault with a deadly weapon, felony possession of a firearm, felony evasion and burglary. The homeowner warned officers the man was inside the residence and was most likely armed. The armed man was trying to run out the back door when he was shot and killed by two deputies.</t>
  </si>
  <si>
    <t>https://www.khou.com/article/news/local/deputies-shoot-kill-suspect-while-serving-warrant-in-the-heights/285-599779605</t>
  </si>
  <si>
    <t>Brian Lee Rogers</t>
  </si>
  <si>
    <t>Greenback</t>
  </si>
  <si>
    <t>Patrick "Pat Pat'' Kimmons</t>
  </si>
  <si>
    <t>https://www.fatalencounters.org/wp-content/uploads/2018/10/Patrick-Kimmons.jpeg</t>
  </si>
  <si>
    <t>SW Third Ave and SW Harvey Milk St</t>
  </si>
  <si>
    <t>Officers patrolling in the area heard gunshots and "engaged'' someone, and police shot and killed Patrick Kimmons. He allegedly had been involved in a shooting that left two other men wounded, according to police.</t>
  </si>
  <si>
    <t>https://www.oregonlive.com/portland/index.ssf/2018/09/police_shooting_ends_with_man.html</t>
  </si>
  <si>
    <t>Thomas Howard Luedtke</t>
  </si>
  <si>
    <t>Police received two calls requesting welfare checks for Thomas Howard Luedtke. One caller said that Luedtke wanted to harm himself and police officers. The other caller said that Luedtke was hiding in camouflage. When officers arrived, they located Luedtke with a loaded crossbow, which he pointed at the officers. Three Nampa officers shot and killed Luedtke.</t>
  </si>
  <si>
    <t>https://www.kivitv.com/news/nampa-man-dies-in-officer-involved-shooting</t>
  </si>
  <si>
    <t>Walter Welch Jr.</t>
  </si>
  <si>
    <t>https://www.fatalencounters.org/wp-content/uploads/2018/10/Walter-Welch-Jr.jpg</t>
  </si>
  <si>
    <t>Depot Rd</t>
  </si>
  <si>
    <t>Epping</t>
  </si>
  <si>
    <t>Shortly before 7 p.m. after state police dispatchers received a 9-1-1 call about an erratic driver in a white pickup truck traveling westbound on Route 101. A trooper spotted the truck stopped off Exit 6 around the overpass. The trooper approached the truck and at some point fired his gun at the driver. Welch, who was alone in the truck, was killed, although it wasn't immediately known whose gun the bullet came from.</t>
  </si>
  <si>
    <t>http://www.unionleader.com/crime/AG-Man-killed-in-encounter-with-police-had-gun-in-his-hand-10012018</t>
  </si>
  <si>
    <t>Justin "Doug" Snelson</t>
  </si>
  <si>
    <t>https://www.fatalencounters.org/wp-content/uploads/2018/10/Justinsnellson.jpg</t>
  </si>
  <si>
    <t>Belmont St and Sherman Ave</t>
  </si>
  <si>
    <t>A deputy was chasing a man on a motorcycle when the rider crashed. The deputy shot and killed the man, but the circumstances were withheld by police.</t>
  </si>
  <si>
    <t>http://www.newson6.com/story/39200572/osbi-investigating-officer-involved-shooting-in-okmulgee-county</t>
  </si>
  <si>
    <t>Joseph Dawson</t>
  </si>
  <si>
    <t>Johns Island</t>
  </si>
  <si>
    <t>Joseph Dawson brandished a firearm and shot at officers. A deputy shot and killed him. The initial call regarded Dawson threatening to use a firearm against his wife and her friends, police said.</t>
  </si>
  <si>
    <t>https://abcnews4.com/news/crime-news/suspect-identified-in-officer-involved-shooting-on-johns-island</t>
  </si>
  <si>
    <t>Willie Earl Simmons</t>
  </si>
  <si>
    <t>2525 Winrock Blvd</t>
  </si>
  <si>
    <t>Willie Earl Simmons allegedly went to Kendra Jones' home and forced her to come with him. They ended up at his apartment on Winrock Boulevard. Around 12:30 a.m., police said Jones was on a FaceTime call with her cousin who saw that the suspect was holding a gun to her head and called police. When officers arrived, they heard screaming and broke into the apartment. One of the officers reportedly saw Simmons shoot Jones. She was shot in her arm at least five times. Police took cover, getting into a shootout with the Simmons. Police said Simmons fired first, then came at them with a knife, and he was shot and killed.</t>
  </si>
  <si>
    <t>https://abc13.com/police-kill-alleged-kidnapper-who-shot-ex-at-least-5-times-/4358196/</t>
  </si>
  <si>
    <t>Datwan Keyo Lewis</t>
  </si>
  <si>
    <t>https://www.fatalencounters.org/wp-content/uploads/2018/10/DatwanLewis.jpg</t>
  </si>
  <si>
    <t>5001 St Johns Ave</t>
  </si>
  <si>
    <t>Around 3:15 a.m., officers were looking for Datwan Lewis after his girlfriend called 9-1-1 to report a domestic violence battery. Police spotted a white sport utility vehicle and pulled over Lewis in a parking lot at St. Johns River State College. Officers approached the driver they saw the man was armed with a handgun. Police shot and killed Lewis when he did not comply with orders to disarm.</t>
  </si>
  <si>
    <t>https://www.actionnewsjax.com/news/local/officer-involved-shooting-in-palatka-police-say/842275550</t>
  </si>
  <si>
    <t>Juan Angel Pinedo</t>
  </si>
  <si>
    <t>https://www.fatalencounters.org/wp-content/uploads/2018/10/Juan-Pinedo.jpg</t>
  </si>
  <si>
    <t>1755 El Paseo Rd</t>
  </si>
  <si>
    <t>Juan Angel Pinedo was shot and killed after he led police on a foot pursuit for several city blocks and across the Las Cruces High School campus. Pinedo allegedly was armed with a handgun. Pinedo was wanted by police after he was suspected of pointing a handgun at a man and firing a couple of rounds into the air after confronting his ex-girlfriend.</t>
  </si>
  <si>
    <t>https://www.lcsun-news.com/story/news/crime/2018/09/28/police-identify-man-killed-officer-involved-shooting-lchs-campus-juan-angel-pinedo/1460031002/</t>
  </si>
  <si>
    <t>Joey Nelson</t>
  </si>
  <si>
    <t>W Frantz Ave and S Washington St</t>
  </si>
  <si>
    <t>Just after 10:20 a.m., police responded to an armed robbery at Famous Footwear. Officers were told that Joey Nelson had fled in a vehicle and was armed with a handgun and a knife, police said. Officers found Nelson driving the vehicle and attempted to stop the vehicle, but Nelson fled. The vehicle later stopped , and Nelson reportedly left the vehicle armed with a weapon. Officers ordered him to drop the weapon before he allegedly pointed it at them, and he was shot and killed.</t>
  </si>
  <si>
    <t>https://newsok.com/article/5610001/enid-police-id-man-killed-in-thursday-morning-shooting</t>
  </si>
  <si>
    <t>Michael Perez</t>
  </si>
  <si>
    <t>1505 Dillingham Blvd</t>
  </si>
  <si>
    <t>Around 12:04 a.m., officers responded to a theft complaint at a Hele gas station convenience store. A witness identified a man who matched the suspect's description in the parking lot of Dillingham Plaza. Police found him holding a bottle of alcohol and a hunting knife. The officers reportedly ordered him to drop the weapon, but he allegedly raised the knife and moved toward the officers. One of the officers deployed his Taser, but it was ineffective, and two other officers shot and killed him.</t>
  </si>
  <si>
    <t>https://www.khon2.com/news/local-news/officer-involved-shooting-leaves-a-man-dead-in-kalihi/1479244875</t>
  </si>
  <si>
    <t>Coltin Brennan Leblanc</t>
  </si>
  <si>
    <t>https://www.fatalencounters.org/wp-content/uploads/2018/10/Coltin-Brennan-Leblanc.jpeg</t>
  </si>
  <si>
    <t>214 W Thomas St</t>
  </si>
  <si>
    <t>A Louisiana State Police trooper shot and killed Coltin Brennan Leblanc during a traffic stop. Police said the traffic stop occurred at 12:44 a.m. During the course of the stop, a fight allegedly began, and the trooper shot and killed Leblanc.</t>
  </si>
  <si>
    <t>https://www.nola.com/crime/index.ssf/2018/09/trooper-involved_shooting_leav.html</t>
  </si>
  <si>
    <t>Nicholas Jesus Garza</t>
  </si>
  <si>
    <t>1011 W 10th Ave</t>
  </si>
  <si>
    <t>Justified by internal review</t>
  </si>
  <si>
    <t>https://www.tri-cityherald.com/news/local/article219217875.html</t>
  </si>
  <si>
    <t>Paul Braswell</t>
  </si>
  <si>
    <t>https://www.fatalencounters.org/wp-content/uploads/2018/10/Paul-Braswell.jpg</t>
  </si>
  <si>
    <t>Bergen St and Lyons Ave</t>
  </si>
  <si>
    <t>Police officers approached a car when shots were fired. A standoff lasted for hours before police moved in on the two armed men. Paul Braswell, 29, of Newark was in the vehicle when he was shot and killed. Philip Belton, 39, was wounded and was charged with three counts of unlawful possession of a weapon: a handgun, a rifle and a shotgun. Police said Belton and Braswell were targets of a multi-agency task force was investigating gun offenses.</t>
  </si>
  <si>
    <t>https://newyork.cbslocal.com/2018/09/28/newark-survivor-in-police-shooting-charged-with-weapon-offenses/</t>
  </si>
  <si>
    <t>Dravious Burch</t>
  </si>
  <si>
    <t>https://www.fatalencounters.org/wp-content/uploads/2018/10/Dravious-Burch.jpg</t>
  </si>
  <si>
    <t>5055 City St</t>
  </si>
  <si>
    <t>Police said officers were called after 11 p.m., when somebody heard a woman screaming during an argument with a man. A shot was fired while officers were responding, police said. Upon arriving, officers confronted Dravious Burch. Burch moved toward officers with two handguns, refusing to comply with commands from officers, police said. Four officers shot and killed him.</t>
  </si>
  <si>
    <t>https://www.wesh.com/article/armed-man-fatally-shot-by-officers-in-orlando-police-say/23468228</t>
  </si>
  <si>
    <t>Jaime Lopez</t>
  </si>
  <si>
    <t>6063 NY-82</t>
  </si>
  <si>
    <t>Stanfordville</t>
  </si>
  <si>
    <t>Restaurant owner Jaime Lopez was allegedly intoxicated, armed with a knife and threatening a woman outside his Coyote Flaco Restaurant, police said. Lopez was shot and killed when police said he made an aggressive movement toward state troopers.</t>
  </si>
  <si>
    <t>https://www.poughkeepsiejournal.com/story/news/local/2018/09/26/stanfordville-man-knife-shot-state-police/1431650002/</t>
  </si>
  <si>
    <t>Allen Travers</t>
  </si>
  <si>
    <t>https://www.fatalencounters.org/wp-content/uploads/2018/10/AllanTravers.jpeg</t>
  </si>
  <si>
    <t>S 10th St and Central Ave</t>
  </si>
  <si>
    <t>Allen Travers allegedly was involved in a domestic dispute at his home and went on a bus armed with a weapon, at about 9:40 p.m. Officers followed Travers, and as they approached the bus, he pointed a gun at them. They continued to follow the bus. On board, Travers pointed his gun at the bus driver's head and ordered her to drive through red lights before telling her to stop. When he left the bus, he reportedly pointed his gun at the officers who followed him, and they shot and killed him.</t>
  </si>
  <si>
    <t>https://www.nj.com/essex/index.ssf/2018/09/police_shoot_kill_man_who_held_gun_to_head_of_bus.html#incart_river_index</t>
  </si>
  <si>
    <t>Ronald Wesley Leach</t>
  </si>
  <si>
    <t>1280 State Hwy 1804</t>
  </si>
  <si>
    <t>Whitley</t>
  </si>
  <si>
    <t>At about 1:26 a.m., troopers received a call about a man threatening harm to his 1-year-old child inside a vehicle in the driveway of his residence. When a trooper arrived, Ronald Leach was inside the home. The trooper and he fought, and the trooper shot and killed Leach.</t>
  </si>
  <si>
    <t>http://www.bereaonline.com/2018/09/officer-involved-shooting-investigation-whitley-county/</t>
  </si>
  <si>
    <t>Michael John Stout</t>
  </si>
  <si>
    <t>https://www.fatalencounters.org/wp-content/uploads/2018/10/michael-stout.jpg</t>
  </si>
  <si>
    <t>7975 W Peoria Ave</t>
  </si>
  <si>
    <t>http://ktar.com/story/2232806/suspect-dies-after-officer-involved-shooting-at-peoria-walmart/</t>
  </si>
  <si>
    <t>Ivan Pena</t>
  </si>
  <si>
    <t>Deputies stopped a vehicle they deemed suspicious. A fight began when one of the people in the backseat got out of the vehicle and allegedly produced a gun. The deputy was shot and wounded, and the partner deputy fatally shot Ivan Pena.</t>
  </si>
  <si>
    <t>https://abc7.com/deputy-shot-suspect-killed-in-city-terrace-shooting/4332809/</t>
  </si>
  <si>
    <t>Nathaniel Sassafras</t>
  </si>
  <si>
    <t>About 6:30 p.m., Nathaniel Sassafras shot and injured officer Phillip Lippe before being shot and killed. Lippe and his partner were in the neighborhood for a “crime suppression initiative.” Few details were immediately released as to what precipitated the killing.</t>
  </si>
  <si>
    <t>http://www.baltimoresun.com/news/maryland/crime/bs-md-ci-officer-shot-20180923-story.html</t>
  </si>
  <si>
    <t>Phillip Serrano</t>
  </si>
  <si>
    <t>Thornridge Ct and Desert Bloom Dr</t>
  </si>
  <si>
    <t>Police responded to a domestic disturbance in the North Valleys around 9:45 p.m. When police arrived, there was a confrontation between officers and Phillip Serrano, and Serrano was shot and killed.</t>
  </si>
  <si>
    <t>https://www.kolotv.com/content/news/OIS--494100671.html</t>
  </si>
  <si>
    <t>Richard Joseph Jackson</t>
  </si>
  <si>
    <t>1250 SW Erie St</t>
  </si>
  <si>
    <t>Richard Joseph Jackson allegedly tried to steal a vehicle from another man outside a store. Jackson then walked to a nearby Walmart and stole ammunition and tried to steal a gun, allegedly threatening employees with a knife. Oak Harbor Police officers and Island County deputies found Jackson nearby, and he was shot by a sheriff's deputy when he failed to comply with orders.</t>
  </si>
  <si>
    <t>https://q13fox.com/2018/09/23/man-shot-killed-by-police-outside-oak-harbor-walmart/</t>
  </si>
  <si>
    <t>Jeremy Allen Conn</t>
  </si>
  <si>
    <t>https://www.fatalencounters.org/wp-content/uploads/2018/10/JeremyConn.jpg</t>
  </si>
  <si>
    <t>6201 Massengale Hollow</t>
  </si>
  <si>
    <t>Deputies responded to a disorder report, around 10 p.m. When they arrived on the scene, Jeremy Allen Conn allegedly ran. Deputies said Conn started to fight after he was caught and deputies fatally shocked him with a stun gun to restrain him.</t>
  </si>
  <si>
    <t>https://newschannel9.com/news/local/chattanooga-man-dies-after-being-tasered-by-sheriffs-office-investigation-underway</t>
  </si>
  <si>
    <t>Joshua Works</t>
  </si>
  <si>
    <t>Gibson Rd and Auto Show Dr</t>
  </si>
  <si>
    <t>At approximately 4:52 a.m., Henderson police were dispatched in reference to an armed robbery. They identified a suspect vehicle, and initiated a traffic stop. The vehicle failed to pull over, and a chase began. The vehicle stopped, and the driver got out of the vehicle, pulled out a gun and ran. Joshua Works was shot and killed.</t>
  </si>
  <si>
    <t>https://www.lasvegasnow.com/news/henderson-police-involved-in-shooting-near-auto-show-drive-gibson-road/1466420378</t>
  </si>
  <si>
    <t>Alexander Carballido</t>
  </si>
  <si>
    <t>https://www.fatalencounters.org/wp-content/uploads/2018/09/AlexanderCarballido.jpg</t>
  </si>
  <si>
    <t>NW 7th St and NW 72nd Ave</t>
  </si>
  <si>
    <t>Miami-Dade Police Department, Miami Police Department</t>
  </si>
  <si>
    <t>Alexander Carballido was allegedly implicated in a hate-crime investigation when he shot at officers who shot and killed him.</t>
  </si>
  <si>
    <t>https://www.local10.com/news/crime/gunman-wanted-in-hate-crime-killed-in-shootout-with-police</t>
  </si>
  <si>
    <t>Freddie Joe Whitmore</t>
  </si>
  <si>
    <t>https://www.fatalencounters.org/wp-content/uploads/2018/10/freddie-whitmore-henderson-nv-photos1.jpg</t>
  </si>
  <si>
    <t>1750 Kalakaua Ave</t>
  </si>
  <si>
    <t>A man was fatally shot after allegedly pointing a gun at officers executing a search warrant at the Century Center building. The killing happened about 6 p.m. on the 22nd floor of the highrise.</t>
  </si>
  <si>
    <t>http://www.hawaiinewsnow.com/story/39134273/suspect-reportedly-killed-after-police-shooting-in-mccully</t>
  </si>
  <si>
    <t>Gillie Thurby</t>
  </si>
  <si>
    <t>https://www.fatalencounters.org/wp-content/uploads/2018/09/Gillie-Thurby.jpg</t>
  </si>
  <si>
    <t>1250 S Hover Rd</t>
  </si>
  <si>
    <t>Longmont Police Department</t>
  </si>
  <si>
    <t>Gillie Thurby was wanted on a felony failure-to-appear warrant out of Boulder County. He faced a number of charges related to sexual assault on a child and child pornography. He allegedly pulled a gun from his waistband and was shot and killed.</t>
  </si>
  <si>
    <t>https://kdvr.com/2018/09/21/man-killed-in-longmont-officer-involved-shooting-identified/</t>
  </si>
  <si>
    <t>Rene Herrera</t>
  </si>
  <si>
    <t>3864 Whittier Boulevard</t>
  </si>
  <si>
    <t>After 6 p.m., deputies got a call about three men in a black BMW approaching people, asking them where they are from and showing a firearm. Deputies found the vehicle in Salazar Park. Three sheriff's vehicles with six personnel total were involved in the stop. Police said the driver of the BMW got out and opened fire at deputies. Rene Herrera was killed, and Fernando Cruz and two deputies were wounded.</t>
  </si>
  <si>
    <t>https://abc7.com/suspects-in-east-la-gunfight-with-deputies-idd-as-known-gang-members/4296571/</t>
  </si>
  <si>
    <t>Matthew Thayer Graves</t>
  </si>
  <si>
    <t>https://www.fatalencounters.org/wp-content/uploads/2018/09/MatthewGraves.jpg</t>
  </si>
  <si>
    <t>78 W Linn Rd</t>
  </si>
  <si>
    <t>Eagle Point</t>
  </si>
  <si>
    <t>Eagle Point Police Department</t>
  </si>
  <si>
    <t>An Eagle Point police officer "contacted" Graves at 8:42 p.m. near the Carl's Jr. Restaurant in Eagle Point. That contact continued into the restroom of the restaurant where a fight began. A second officer arrived, and the officers continued to struggle with Graves, and Graves was shot and killed.</t>
  </si>
  <si>
    <t>http://www.kdrv.com/content/news/One-Person-Dead-After-Officer-Involved-Shooting-493804731.html</t>
  </si>
  <si>
    <t>Patrick Shawn Dowdell</t>
  </si>
  <si>
    <t>https://www.fatalencounters.org/wp-content/uploads/2018/09/patrick-shaun-dowdell.jpeg</t>
  </si>
  <si>
    <t>1 E Church St</t>
  </si>
  <si>
    <t>Masontown</t>
  </si>
  <si>
    <t>German Township Police Department, Masontown Police Department</t>
  </si>
  <si>
    <t>https://www.wpxi.com/news/top-stories/gunman-killed-by-police-after-shooting-4-at-judge-s-office/837563998</t>
  </si>
  <si>
    <t>Royce Leon Sedotal Jr.</t>
  </si>
  <si>
    <t>Royce Leon Sedotal Jr. had escaped custody after officers responded to a disturbance call involving an assault at his home. League City police officers searched for Sedotal unsuccessfully until making contact with a female occupant at his house the following day. The officers found Sedotal hiding in a closet. Sedotal had escaped custody while still handcuffed but was no longer handcuffed when killed at his home. Sedotal was ordered to come out of the closet, but he allegedly threatened the officers with a folding utility knife. Officer Shane Yount shot and killed Sedotal.</t>
  </si>
  <si>
    <t>https://www.lmtonline.com/local/article/League-City-Police-Department-releases-name-of-13245172.php</t>
  </si>
  <si>
    <t>Anthony Y. Tong</t>
  </si>
  <si>
    <t>9738 Gilded Cider Boulevard</t>
  </si>
  <si>
    <t>Middleton Police Department, Dane County Sheriff's Office</t>
  </si>
  <si>
    <t>Anthony Tong allegedly shot four people at WTS Paradigm before being shot and killed by Middleton Police Officers Richard O'Connor and Tyler Loether and Dane County Sheriff's Deputies David Lambrecht and Matthew Earll.</t>
  </si>
  <si>
    <t>https://www.channel3000.com/news/medical-examiner-identifies-suspect-in-shooting-at-middleton-software-company/797660481</t>
  </si>
  <si>
    <t>Michael James Murphy</t>
  </si>
  <si>
    <t>https://www.fatalencounters.org/wp-content/uploads/2018/09/MichaelJMurphy.jpg</t>
  </si>
  <si>
    <t>About 1:30 a.m., police were called to the Mayflower Apartments for a report of a woman being assaulted by a man. When officers arrived, they learned the Michael Murphy had fled the building, and they found him. He was shot by one of the officers after he refused to drop his weapon, a replica gun, and pointed it at them, police said.</t>
  </si>
  <si>
    <t>https://pilotonline.com/news/local/crime/article_bb40b6f4-bd01-11e8-b05e-fb8ae817793f.html</t>
  </si>
  <si>
    <t>Jeffrey K. Sims</t>
  </si>
  <si>
    <t>Marysville Police Department</t>
  </si>
  <si>
    <t>Police responded to a report of a suicidal husband who had a knife. His wife called 9-1-1 around 8 p.m. and said her spouse was behaving erratically and aggressively, police said. Six Marysville officers responded. The man was shot and killed when he allegedly attempted to stab his wife when he saw the officers.</t>
  </si>
  <si>
    <t>https://www.heraldnet.com/news/man-fatally-shot-when-police-respond-to-domestic-dispute/</t>
  </si>
  <si>
    <t>12051 Euclid St</t>
  </si>
  <si>
    <t>Garden Grove police responded to a domestic violence call. Police said a man was choking a woman, who was screaming for help and saying she couldn't breathe. When officers arrived, they found the man attacking the woman, and a fight began between the man and an officer, and he was shot and killed.</t>
  </si>
  <si>
    <t>https://abc7.com/man-hurt-in-officer-involved-shooting-at-garden-grove-ralphs/4279319/</t>
  </si>
  <si>
    <t>Walter L. "Walt" Wiemann</t>
  </si>
  <si>
    <t>https://www.fatalencounters.org/wp-content/uploads/2018/09/WalterWiemann.jpg</t>
  </si>
  <si>
    <t>129 Nursery Rd</t>
  </si>
  <si>
    <t>Renfrew</t>
  </si>
  <si>
    <t>Walter Wiemann barricaded himself in a house just before noon. Police said he was making threats to himself, others and police. Troopers surrounded the house and called to try to talk to the man. In the late afternoon, police approached the house. The man was outside, and allegedly raised his rifle and aimed at a trooper, and the trooper shot and killed him.</t>
  </si>
  <si>
    <t>https://triblive.com/local/regional/14094941-74/butler-county-man-shot-by-trooper-dies</t>
  </si>
  <si>
    <t>Nichols</t>
  </si>
  <si>
    <t>Damon Christopher Gayheart</t>
  </si>
  <si>
    <t>An officer and Manitowoc Fire personnel responded for an activated fire alarm. While reportedly investigating the complaint, the officer became involved in a confrontation with a man. Police said the man was armed with a blunt instrument. During the confrontation with the man, Officer Fielder Clark shot and killed the man.</t>
  </si>
  <si>
    <t>Griselda Alicia Hernandez Cantu</t>
  </si>
  <si>
    <t>https://www.fatalencounters.org/wp-content/uploads/2018/10/Griselda-Alicia-Hernandez-Cantu.jpg</t>
  </si>
  <si>
    <t>A U.S. Customs and Border Patrol agent in Texas, Juan David Ortiz, 35, is accused of killing four women, Melissa Ramirez, 29, Claudine Anne Luera, 42, Griselda Alicia Hernandez Cantú, 35, and Nikki Enriquez, 28.</t>
  </si>
  <si>
    <t>https://www.coloradoan.com/story/news/2018/09/19/fourth-victim-identified-laredo-border-patrol-serial-killings/1358150002/</t>
  </si>
  <si>
    <t>Antone G. Black Jr.</t>
  </si>
  <si>
    <t>https://www.fatalencounters.org/wp-content/uploads/2018/10/AntonBlack.jpg</t>
  </si>
  <si>
    <t>Antone Black was beaten and electrocuted with a stun gun by police when he was killed. Police alleged that they saw an attempted kidnapping.</t>
  </si>
  <si>
    <t>https://www.delmarvanow.com/story/news/local/maryland/2018/09/17/man-died-after-attempting-kidnap-child/1333099002/</t>
  </si>
  <si>
    <t>Nikki Janelle Enriquez aka Humberto Ortiz</t>
  </si>
  <si>
    <t>https://www.fatalencounters.org/wp-content/uploads/2018/10/Nikki-Enriquez.jpg</t>
  </si>
  <si>
    <t>https://abcnews.go.com/US/police-detail-texas-border-patrol-agent-allegedly-targeted/story?id=57871672</t>
  </si>
  <si>
    <t>Antonio Aguirre</t>
  </si>
  <si>
    <t>https://www.fatalencounters.org/wp-content/uploads/2018/10/Antonio-Aguirre-Picture.jpg</t>
  </si>
  <si>
    <t>At about 11:49 p.m., police responded to a report of an assault. After a chase, officers stopped the allegedly armed man. When officers asked the man to drop the weapon, police said he made a threatening move toward officers, which ended with them shooting and killing Antonio Aguirre.</t>
  </si>
  <si>
    <t>https://foxrio2.com/laredo-authorities-investigate-fatal-officer-involved-shooting/</t>
  </si>
  <si>
    <t>Claudine Anne Luera</t>
  </si>
  <si>
    <t>https://www.fatalencounters.org/wp-content/uploads/2018/10/Claudine-Ann-Luera.jpg</t>
  </si>
  <si>
    <t>TX-255 &amp; US-83</t>
  </si>
  <si>
    <t>5800 N Talman Ave</t>
  </si>
  <si>
    <t>300 S Yale Ave</t>
  </si>
  <si>
    <t>5900 Loveland St</t>
  </si>
  <si>
    <t>1200 4th St S</t>
  </si>
  <si>
    <t>1900 S Finley Lake Rd</t>
  </si>
  <si>
    <t>24600 O'Neil Ave</t>
  </si>
  <si>
    <t>7100 Beechnut Street</t>
  </si>
  <si>
    <t>5000 15th Ave</t>
  </si>
  <si>
    <t>200 East Moody Ave</t>
  </si>
  <si>
    <t>2600 Alpine Blvd</t>
  </si>
  <si>
    <t>200 South Yale St</t>
  </si>
  <si>
    <t>200 Clark St</t>
  </si>
  <si>
    <t>800 Apgar St</t>
  </si>
  <si>
    <t>3700 Morgan Ave N</t>
  </si>
  <si>
    <t>2600 Tundar Circle</t>
  </si>
  <si>
    <t>200 Donavan Dr</t>
  </si>
  <si>
    <t>2100 Garfield St</t>
  </si>
  <si>
    <t>1100 Griffin Dr</t>
  </si>
  <si>
    <t>5400 Tinker Toy Ave</t>
  </si>
  <si>
    <t>11100 Ruesta Dr</t>
  </si>
  <si>
    <t>14900 Tireman Ave</t>
  </si>
  <si>
    <t>6600 N Brady St</t>
  </si>
  <si>
    <t>100 W 10th St</t>
  </si>
  <si>
    <t>2000 TN 160</t>
  </si>
  <si>
    <t>100 161st St S</t>
  </si>
  <si>
    <t>400 E Marable St</t>
  </si>
  <si>
    <t>600 S Prince St</t>
  </si>
  <si>
    <t>5300 Stage Rd</t>
  </si>
  <si>
    <t>2800 Fleetwood Cove</t>
  </si>
  <si>
    <t>1300 El Camino Real</t>
  </si>
  <si>
    <t>1500 Walnut Street</t>
  </si>
  <si>
    <t>100 Davis Ave</t>
  </si>
  <si>
    <t>1100 Walden C Jones Rd</t>
  </si>
  <si>
    <t>3600 Meisner Street</t>
  </si>
  <si>
    <t>800 Vine St</t>
  </si>
  <si>
    <t>300 Waco St</t>
  </si>
  <si>
    <t>300 35th St</t>
  </si>
  <si>
    <t>13100 57th Ave NE</t>
  </si>
  <si>
    <t>1600 San Jacinto Ave</t>
  </si>
  <si>
    <t>1400 W Pine St</t>
  </si>
  <si>
    <t>1500 South 35th Street</t>
  </si>
  <si>
    <t>13000 Greensboro Drive</t>
  </si>
  <si>
    <t>400 Fremont</t>
  </si>
  <si>
    <t>Mary Wheat</t>
  </si>
  <si>
    <t>https://imagesvc.timeincapp.com/v3/mm/image?url=https%3A%2F%2Fpeopledotcom.files.wordpress.com%2F2018%2F09%2Fmary-wheat.jpg%3Fw%3D1500&amp;w=700&amp;c=sc&amp;poi=face&amp;q=85</t>
  </si>
  <si>
    <t>Charged, Convicted of murder</t>
  </si>
  <si>
    <t>Sierra McCouley</t>
  </si>
  <si>
    <t>Haywood Ave and Compton St</t>
  </si>
  <si>
    <t>Officer James Gadd shot and killed Sierra McCouley after Knoxville police responded to multiple calls of a woman outside a home, nude and cutting herself. Another call came in saying the woman had cut someone else. Two officers arrived and found the woman armed with a military-style knife. She was shot and killed, although police withheld details as to what precipitated the killing.</t>
  </si>
  <si>
    <t>https://www.wate.com/news/local-news/suspect-injured-in-south-knoxvile-shooting-involving-police-officer/1619593851</t>
  </si>
  <si>
    <t>https://www.fatalencounters.org/wp-content/uploads/2018/12/Nicholas-Ryan.jpg</t>
  </si>
  <si>
    <t>9749 E Dry Creek Rd</t>
  </si>
  <si>
    <t>Deputies attempted to make a traffic stop of an SUV for reckless driving after 3 a.m. when they encountered gunfire. They chased the vehicle, eventually ramming it and causing it to wreck. Nicholas Ryan was shot and killed, another person was shot and wounded, and a third was uninjured.</t>
  </si>
  <si>
    <t>https://kdvr.com/2018/11/28/man-killed-in-shootout-with-douglas-county-deputies-identified/</t>
  </si>
  <si>
    <t>https://www.fatalencounters.org/wp-content/uploads/2018/12/Bert-E.-Mercado.jpg</t>
  </si>
  <si>
    <t>300 Kahakai Blvd</t>
  </si>
  <si>
    <t>Pahoa</t>
  </si>
  <si>
    <t>At 5:15 p.m., officers responded to a report of a who had stabbed himself with a knife at a home. When officers arrived, police say they were confronted by a man who had a rifle next to him. They said Bert Mercado grabbed the rifle, and the officers ordered him to drop it. He then pointed the rifle at the officers who shot Mercado. He retreated into the home, where police found him dead several hours later.</t>
  </si>
  <si>
    <t>https://www.khon2.com/news/local-news/public-urged-to-stay-away-as-police-investigate-shooting-in-hawaiian-beaches/1623476995</t>
  </si>
  <si>
    <t>Jarmane Dywane Logan</t>
  </si>
  <si>
    <t>https://www.fatalencounters.org/wp-content/uploads/2018/12/Jarmane-Logan.jpg</t>
  </si>
  <si>
    <t>NE Monroe St and NE Grant St</t>
  </si>
  <si>
    <t>https://www.cjonline.com/news/20181129/topeka-police-locate-one-of-two-women-being-sought-in-fatal-police-shooting</t>
  </si>
  <si>
    <t>J. Scot Alan Widmark</t>
  </si>
  <si>
    <t>306 2nd St S</t>
  </si>
  <si>
    <t>Around 5:15 p.m., officers responded to a report of suspicious activity, police said. Upon arrival, they came across a person in the street, and an officer shot and killed Scot Widmark. Police withheld details as to what precipitated the killing.</t>
  </si>
  <si>
    <t>https://www.brainerddispatch.com/news/crime-and-courts/4535011-suspect-shot-killed-police-northeast-minnesota</t>
  </si>
  <si>
    <t>Jay Nesbit</t>
  </si>
  <si>
    <t>1800 15th St</t>
  </si>
  <si>
    <t>After a three-hour standoff, Jay Nesbitt was shot and killed after he allegedly shot at police. He was reportedly tasered before he fired.</t>
  </si>
  <si>
    <t>http://www.parkerliveonline.com/2018/11/30/motorhome-suicide/</t>
  </si>
  <si>
    <t>Joe Richard Shorty</t>
  </si>
  <si>
    <t>Sheridan Blvd and W 13th Ave</t>
  </si>
  <si>
    <t>An officer was on patrol when he or she noticed a man shooting off rounds at Mountair Park. Police made contact with the man, but he did not comply with their orders. They followed him down an alley when he allegedly fired more rounds, including several at the police. The officers shot and killed Joe Shorty.</t>
  </si>
  <si>
    <t>https://www.thedenverchannel.com/news/crime/police-man-shooting-off-rounds-near-lakewood-park-shot-and-killed-by-agent</t>
  </si>
  <si>
    <t>Benjamin "B.J." Kennedy</t>
  </si>
  <si>
    <t>https://www.fatalencounters.org/wp-content/uploads/2018/12/Benjamin-Kennedy.jpg</t>
  </si>
  <si>
    <t>9000 of Mary Dell Ln</t>
  </si>
  <si>
    <t>Benjamin "B.J." Kennedy allegedly opened fire on Officer William Mattingly during a domestic dispute in Kennedy's parents' home and was shot and killed by Officer Dallas Constant.</t>
  </si>
  <si>
    <t>https://www.courier-journal.com/story/news/crime/2018/11/29/louisville-police-officer-kills-person/2146834002/</t>
  </si>
  <si>
    <t>Vernon May</t>
  </si>
  <si>
    <t>30th St NW and Ridgeway Ave</t>
  </si>
  <si>
    <t>https://www.twincities.com/2018/12/01/bca-identifies-man-fatally-shot-by-police-in-bemidji-two-officers/?fbclid=IwAR0XkmdXm9sGMVQIzU0duSk_qwXviq7E2_6Ae3ruYnP_o1qX-poQS5XWqwU</t>
  </si>
  <si>
    <t>Bobby Calhoun</t>
  </si>
  <si>
    <t>Harrisburg Blvd and N 77th St</t>
  </si>
  <si>
    <t>During a drug operation, one man suffered a heart attack, another was shot and killed, and five others were arrested.</t>
  </si>
  <si>
    <t>https://www.click2houston.com/news/2-dead-7-in-custody-after-shootout-during-undercover-drug-bust</t>
  </si>
  <si>
    <t>https://www.fatalencounters.org/wp-content/uploads/2018/12/david-villagran.jpg</t>
  </si>
  <si>
    <t>NE 109th Ave and 71st St</t>
  </si>
  <si>
    <t>https://katu.com/news/local/deputies-identify-suspected-pickup-thief-killed-in-vancouver-officer-involved-shooting</t>
  </si>
  <si>
    <t>Miguel Angel Duran Delgado</t>
  </si>
  <si>
    <t>N 35th Ave &amp; W Thomas Rd</t>
  </si>
  <si>
    <t>Miguel Angel Duran Delgado allegedly stole a semi-truck at gunpoint and then parked in front of a house. Delgado pointed a gun a people in the street and refused to obey officers' orders, police said. He was shot and killed.</t>
  </si>
  <si>
    <t>https://www.azfamily.com/news/police-identify-suspect-killed-in-officer-involved-shooting-in-west/article_e88943c2-f82c-11e8-a849-979a905d99f8.html</t>
  </si>
  <si>
    <t>Stillwater Ave and College Avenue</t>
  </si>
  <si>
    <t>Old Town Police Department</t>
  </si>
  <si>
    <t>https://bangordailynews.com/2018/11/29/news/bangor/old-town-police-close-stillwater-avenue-after-incident/</t>
  </si>
  <si>
    <t>161st Ave and I-90</t>
  </si>
  <si>
    <t>New Underwood</t>
  </si>
  <si>
    <t>Matthew John Lorenzen allegedly fired at deputies during a pursuit that stretched from Rapid Valley to New Underwood. Around 12:15 p.m., Lorenzen's vehicle was rammed off the road by police and rolled into a ditch. After the vehicle rolled and landed upside down, Lorenzen exited the vehicle with a weapon. Police shot and killed him.</t>
  </si>
  <si>
    <t>https://www.grandforksherald.com/news/crime-and-courts/4536723-man-shot-killed-after-allegedly-firing-south-dakota-deputies-during</t>
  </si>
  <si>
    <t>Richard Galvan</t>
  </si>
  <si>
    <t>https://www.fatalencounters.org/wp-content/uploads/2018/12/Richard-Galvan.jpg</t>
  </si>
  <si>
    <t>2500 Washington Blvd</t>
  </si>
  <si>
    <t>Richard Galvan was shot and killed after a woman accused him of holding her hostage. When police caught up with him, he exchanged gunfire with police.</t>
  </si>
  <si>
    <t>https://www.sltrib.com/news/2018/12/02/man-killed-shootout-with/</t>
  </si>
  <si>
    <t>Jarvis Randall</t>
  </si>
  <si>
    <t>https://www.fatalencounters.org/wp-content/uploads/2018/12/Jarvis-Randall.jpg</t>
  </si>
  <si>
    <t>7425 University Dr</t>
  </si>
  <si>
    <t>Deputies were called to a psychiatric hospital about 10:30 p.m. after staff reported that Jarvis Randall, a patient at the facility, was violent and threatening other people at the hospital with an edged, glass weapon. After a bean-bag gun was used to try to subdue Randall failed, he charged the deputies, three of whom shot and killed him.</t>
  </si>
  <si>
    <t>https://www.local10.com/news/florida/broward/deputies-shoot-kill-hospital-patient-who-aggressively-threatened-others-in-tamarac</t>
  </si>
  <si>
    <t>John Young</t>
  </si>
  <si>
    <t>929 Massachusetts Ave</t>
  </si>
  <si>
    <t>Deputies responded to a call about a murder in an apartment complex. When deputies arrived at the apartment, John Young "opened the door holding a meat cleaver and another cutting instrument." The deputies reported that he refused orders to drop the weapons, and he was shot and killed.</t>
  </si>
  <si>
    <t>https://weartv.com/news/local/authorities-identify-man-killed-in-escambia-county-officer-involved-shooting</t>
  </si>
  <si>
    <t>Michael Taylor</t>
  </si>
  <si>
    <t>https://www.fatalencounters.org/wp-content/uploads/2018/12/MICHAELTAYLOR.png</t>
  </si>
  <si>
    <t>377 Patricia Dr</t>
  </si>
  <si>
    <t>Deputies responded to a call for a domestic incident around 3:30 p.m. Dispatchers reportedly said they could hear gunshots over the line when the call came through. When deputies arrived, they were notified that three children were inside the home. Deputies removed the children and began to try and talk to Michael Taylor. Taylor came out of the home and began firing at deputies, who shot and killed him.</t>
  </si>
  <si>
    <t>https://www.wtva.com/content/news/Officer-involved-shooting-reported-in-Yalobusha-County-501757721.html</t>
  </si>
  <si>
    <t>Demontry Floytra Boyd</t>
  </si>
  <si>
    <t>N 18th St and Sunrise Ave</t>
  </si>
  <si>
    <t>Officer Paul Bruning, 48, pulled Demontry Boyd over on suspicion of driving recklessly. After stepping out of his vehicle, Boyd allegedly reached for “a large bulky item in his waistband." Police did not say whether Boyd was armed. Boyd ignored commands to stop reaching for the item. Bruning reportedly used his Taser, but Boyd got back on his feet after falling and charged toward him. Bruning shot and killed him.</t>
  </si>
  <si>
    <t>https://www.reviewjournal.com/crime/homicides/authorities-id-man-killed-las-vegas-police-officer-who-shot-him-1541402/</t>
  </si>
  <si>
    <t>Antonio Jaso Aguilar</t>
  </si>
  <si>
    <t>https://www.fatalencounters.org/wp-content/uploads/2018/12/Antonio-Jaso-Aguilar.jpg</t>
  </si>
  <si>
    <t>Antonio Aguilar was sought following a traffic stop in which an SUV backed into a DPS vehicle, a trooper opened fire and then a man shot at the trooper. Police received a tip that Aguilar was at a home in Center, Texas. Police reportedly negotiated with Aguilar until he came out and began firing and was shot and killed.</t>
  </si>
  <si>
    <t>https://www.star-telegram.com/news/state/texas/article222523725.html</t>
  </si>
  <si>
    <t>US-175</t>
  </si>
  <si>
    <t>A shooting suspect was shot and killed after a chase when police incapacitated his vehicle with spike strips.</t>
  </si>
  <si>
    <t>https://www.dallasnews.com/news/crime/2018/12/02/man-dead-after-police-say-shot-woman-dallas-led-officers-chase-kaufman-county</t>
  </si>
  <si>
    <t>Anthony Ray Borden-Cortez</t>
  </si>
  <si>
    <t>https://www.fatalencounters.org/wp-content/uploads/2018/12/Anthony-Ray-Borden-Cortez.jpg</t>
  </si>
  <si>
    <t>701 W 1200 S St</t>
  </si>
  <si>
    <t>Anthony Ray Borden-Cortez allegedly pointed a BB gun at the officer after he fled from police in a stolen vehicle and crashed, police said. He was shot and killed.</t>
  </si>
  <si>
    <t>https://www.deseretnews.com/article/900045255/18-year-old-killed-by-ogden-officer-was-armed-with-bb-gun-police-say.html</t>
  </si>
  <si>
    <t>Richard Posadas</t>
  </si>
  <si>
    <t>900 Wernli Court</t>
  </si>
  <si>
    <t>Arvin</t>
  </si>
  <si>
    <t>Arvin Police Department</t>
  </si>
  <si>
    <t>At 1:10 a.m., officers from the Arvin Police Department responded to a report of spousal abuse. Officers made contact with a Hispanic man inside the home. The man allegedly was holding some type of stabbing object in his hand. The man ignored officers commands to drop the object and continued to advance. Officers reportedly used their Tasers to no effect and shot and killed Richard Posadas.</t>
  </si>
  <si>
    <t>https://www.turnto23.com/news/local-news/man-identified-in-officer-involved-shooting-in-arvin</t>
  </si>
  <si>
    <t>David Alejandro Molina</t>
  </si>
  <si>
    <t>700 Stonehouse Dr</t>
  </si>
  <si>
    <t>Police responded to a call at 1:48 a.m. of a man assaulting a woman. David Alejandro Molina was soon found skateboarding. Officers ordered him to put his hands up and get on the ground, but instead he ran to some nearby apartments. An officer chased him and reportedly ordered him to cooperate, but Molina kept running. The chase took the officer and the suspect into a wooded area, and reportedly there was a struggle, and Molina was shot and killed.</t>
  </si>
  <si>
    <t>https://napavalleyregister.com/news/local/man-killed-in-napa-police-officer-involved-shooting-closure-of/article_c6f6b7d4-9538-53df-8ad6-3812ecd76511.html</t>
  </si>
  <si>
    <t>Paul Ridgeway</t>
  </si>
  <si>
    <t>3700 Pacheco Blvd</t>
  </si>
  <si>
    <t>Martinez</t>
  </si>
  <si>
    <t>Matthew Gauthier After 9:30 a.m., two deputies were finishing up a response to a call when one noticed Ridgeway, who had an outstanding warrant and was on foot. The deputy went to contact him, but Ridgeway allegedly reached into his waistband while running away, prompting a foot pursuit. The deputy commanded him to show his hands and tried to physically control him. During the fight, Ridgeway allegedly pulled out a firearm from his waistband and fired a shot toward the deputy but missed. The deputy shot and killed him.</t>
  </si>
  <si>
    <t>https://sanfrancisco.cbslocal.com/2018/12/06/man-shot-dead-by-sheriffs-deputy-near-martinez-identified/</t>
  </si>
  <si>
    <t>De'Trell Crews</t>
  </si>
  <si>
    <t>4201 Lucas-Hunt Rd</t>
  </si>
  <si>
    <t>Police reportedly were conducting surveillance on a Honda Accord that they suspected was stolen. When officers turned a corner, they allegedly were ambushed with one of the men opening fire on them from outside the Accord. One officer fired back. The car then took off, and police pursued. Gunfire was exchanged a second time. The Accord crashed head-on into a Ford F-150 pickup truck. Kevion Smith, 21, and 23-year-old Andrew Chanerl were killed in the crash. De'Trell Crews was shot and killed. The driver of the F-150 was also hospitalized in stable condition.</t>
  </si>
  <si>
    <t>https://fox2now.com/2018/12/06/st-louis-police-identify-two-men-killed-in-shootout-chase/</t>
  </si>
  <si>
    <t>Justin Smith</t>
  </si>
  <si>
    <t>3500 Belgrade St</t>
  </si>
  <si>
    <t>http://www2.philly.com/news/philly-police-fatal-shooting-port-richmond-belgrade-street-justin-smith-20181210.html</t>
  </si>
  <si>
    <t>Anthony M. Edwards</t>
  </si>
  <si>
    <t>2000 W Cary St</t>
  </si>
  <si>
    <t>Richmond Police Officers Thomas Davis and David Torrence shot and killed Anthony Edwards after he stabbed a woman and her parents. He was reportedly stabbing the mother when he was killed.</t>
  </si>
  <si>
    <t>http://www.nbc12.com/2018/12/06/police-id-triple-stabbing-suspect-officers-who-killed-him/</t>
  </si>
  <si>
    <t>Benjamin David Larson</t>
  </si>
  <si>
    <t>https://www.fatalencounters.org/wp-content/uploads/2018/12/Benjamin-Larson.jpg.png</t>
  </si>
  <si>
    <t>I-5 &amp; Knighton Road</t>
  </si>
  <si>
    <t>Pacheco</t>
  </si>
  <si>
    <t>Benjamin David Larson was shot and killed when he allegedly fired at officers after leading them on a vehicle chase on Interstate 5. The shooting was the culmination of a chase that began in Redding shortly before 5:30 a.m. when a Redding police officer saw a Honda Civic that may have been stolen.</t>
  </si>
  <si>
    <t>https://www.redding.com/story/news/local/2018/12/06/shots-fired-connection-vehicle-pursuit/2224865002/</t>
  </si>
  <si>
    <t>Dimaggio McNelly</t>
  </si>
  <si>
    <t>378 Jonesboro Rd</t>
  </si>
  <si>
    <t>Mcdonough</t>
  </si>
  <si>
    <t>Dimaggio McNelly allegedly caused a disturbance at a dentist office. Responding officer Michael Smith reported used a Taser on him more than once, but it proved ineffective. Smith fired one shot, killing McNelly and wounding himself.</t>
  </si>
  <si>
    <t>https://www.ajc.com/news/crime--law/breaking-officer-shot-during-incident-henry-county/308BYwH1k41wbRQmoKl1WM/</t>
  </si>
  <si>
    <t>Bluewater Village</t>
  </si>
  <si>
    <t>Cibola County Sheriff's Office</t>
  </si>
  <si>
    <t>Deputies were serving a warrant. They said they heard a gunshot from inside the home and opened fire. The person they were serving the warrant to was found dead inside the home. Police have not clarified whether the man, whose name has been withheld by police, committed suicide or was killed by deputies.</t>
  </si>
  <si>
    <t>https://www.krqe.com/news/new-mexico/arrest-warrant-results-in-deputy-involved-shooting-in-cibola-county/1643537924</t>
  </si>
  <si>
    <t>https://www.fatalencounters.org/wp-content/uploads/2018/12/Jason-Paul-OBannon.jpg</t>
  </si>
  <si>
    <t>2241 Kelso Way</t>
  </si>
  <si>
    <t>https://www.fox5vegas.com/news/nye-county-sheriff-s-office-identifies-suspect-killed-officer-involved/article_3042edd8-fa23-11e8-b525-37f7bc995e3f.html</t>
  </si>
  <si>
    <t>Jesus Lainez</t>
  </si>
  <si>
    <t>100 Alma Ct</t>
  </si>
  <si>
    <t>Police responded to a disturbance call in which one person was attacking another person with a weapon. Officer Steven Graziano, 25, shot and killed Jesus Lainez. Police withheld details as to what precipitated the killing.</t>
  </si>
  <si>
    <t>https://www.wptv.com/news/region-st-lucie-county/fort-pierce/suspect-dead-in-officer-involved-shooting-in-fort-pierce-police-say</t>
  </si>
  <si>
    <t>Julius Ervin Tate Jr.</t>
  </si>
  <si>
    <t>https://www.fatalencounters.org/wp-content/uploads/2018/12/Julius-Ervin-Tate.jpg</t>
  </si>
  <si>
    <t>Mt Vernon Avenue and North Champion Avenue</t>
  </si>
  <si>
    <t>Julius Tate was shot and killed by a Columbus police officer after police said he tried to rob an officer in plain clothes at gunpoint.</t>
  </si>
  <si>
    <t>https://www.10tv.com/article/family-looking-answers-after-columbus-swat-officer-shoots-kills-16-year-old-armed-robbery</t>
  </si>
  <si>
    <t>Ricardo Trevino lll</t>
  </si>
  <si>
    <t>https://www.fatalencounters.org/wp-content/uploads/2018/12/Ricardo-Trevino-III.jpg</t>
  </si>
  <si>
    <t>Ranch Park Road and Maya Street</t>
  </si>
  <si>
    <t>San Benito Police Department</t>
  </si>
  <si>
    <t>An officer reportedly attempted to make a traffic stop at 3:07 p.m. The driver refused to stop and fled, eventually stopping near a cul-de-sac. Ricardo Trevino reportedly drove toward a police vehicle and struck it head-on, and he was shot and killed.</t>
  </si>
  <si>
    <t>https://www.themonitor.com/2018/12/09/developments-officer-involved-shooting-san-benito/</t>
  </si>
  <si>
    <t>Joshua Boyd</t>
  </si>
  <si>
    <t>https://www.fatalencounters.org/wp-content/uploads/2018/12/JoshuaBoyd.jpg</t>
  </si>
  <si>
    <t>4005 Ogeechee Rd</t>
  </si>
  <si>
    <t>Georgia State Patrol, Savannah Police Department</t>
  </si>
  <si>
    <t>http://www.wtoc.com/2018/12/09/savannah-police-identify-woman-gbi-identify-man-killed-shooting-ogeechee-road/</t>
  </si>
  <si>
    <t>James Robertson</t>
  </si>
  <si>
    <t>https://www.fatalencounters.org/wp-content/uploads/2018/12/James-Robertson.png</t>
  </si>
  <si>
    <t>820 W Wendover Blvd</t>
  </si>
  <si>
    <t>West Wendover (Wendover)</t>
  </si>
  <si>
    <t>West Wendover Police Department</t>
  </si>
  <si>
    <t>James Robertson—whose neck, shirt, and arms were drenched in blood—held a knife to his own throat before turning on the West Wendover police officers holding him at gunpoint. Robertson allegedly raised the knife and began walking toward officers, he was shot and killed.</t>
  </si>
  <si>
    <t>https://www.ksl.com/article/46443596/police-1-dead-in-west-wendover-officer-involved-shooting</t>
  </si>
  <si>
    <t>Terry Don King</t>
  </si>
  <si>
    <t>19496 Neills Bluff Rd</t>
  </si>
  <si>
    <t>Deputies were called to a home around 9:45 p.m. for a domestic disturbance call. Once inside, deputies said they encountered Terry Don King, who pointed a shotgun at the deputies. Deputies shot and killed King.</t>
  </si>
  <si>
    <t>https://www.4029tv.com/article/one-dead-after-officer-involved-shooting-in-washington-county/25453261</t>
  </si>
  <si>
    <t>Christopher Deandre Mitchell</t>
  </si>
  <si>
    <t>1770 W Carson St</t>
  </si>
  <si>
    <t>Shortly before 8 p.m., a man flagged down Torrance officers and said his vehicle had been stolen. The officers found the vehicle in the parking lot of a Ralphs supermarket. Police encountered a man with a rifle in the vehicle, police said. They shot and killed Christopher Mitchell.</t>
  </si>
  <si>
    <t>https://abc7.com/suspect-killed-in-torrance-officer-involved-shooting/4870320/</t>
  </si>
  <si>
    <t>Quinntin Andrew Castro</t>
  </si>
  <si>
    <t>7500 Tulare Ave</t>
  </si>
  <si>
    <t>Around 7 p.m., police tried to pull over a vehicle with three people inside. Police withheld details as to what prompted the traffic stop or where it started. The driver fled, and police chased the vehicle. Gunfire was exchanged, and one officer was shot in the arm and torso. As gunfire was being exchanged, a police dog was shot and killed. Quinntin Andrew Castro was shot and killed, and 28-year-old Rosa Cuevas was seriously wounded. A third person was caught, and initially accused of shooting at police and killing the dog. Undisclosed evidence showed the man did not fire any shots.</t>
  </si>
  <si>
    <t>https://www.visaliatimesdelta.com/story/news/2018/12/09/officer-shot-tulare-suspect-dead-gun-battle-two-fleeing-police/2261648002/</t>
  </si>
  <si>
    <t>Leslie Vaughan</t>
  </si>
  <si>
    <t>https://www.fatalencounters.org/wp-content/uploads/2018/12/Leslie-Vaughan.jpg</t>
  </si>
  <si>
    <t>300 N Brockway St</t>
  </si>
  <si>
    <t>Palatine</t>
  </si>
  <si>
    <t>Palatine Police Department</t>
  </si>
  <si>
    <t>Leslie Vaughan was fatally shot by police when he allegedly drove his car into an officer. He had allegedly killed his mother in a downtown apartment before the deadly confrontation, police said.</t>
  </si>
  <si>
    <t>https://www.dailyherald.com/news/20181210/police-son-killed-mother-in-palatine-apartment-before-he-was-killed-by-officer-he-rammed</t>
  </si>
  <si>
    <t>Faustino Dioso</t>
  </si>
  <si>
    <t>30 Bridge Court</t>
  </si>
  <si>
    <t>Staten Island</t>
  </si>
  <si>
    <t>Officers responded to a domestic dispute call and encountered an intoxicated man carrying a knife with a 10-inch blade, police said. Faustino Dioso was ordered to drop the weapon. An officer shocked him with a Taser, but it did not incapacitate Dioso. Officers fired 10 to 12 shots, killing him and wounding one of the officers.</t>
  </si>
  <si>
    <t>https://pix11.com/2018/12/09/nypd-officer-shot-on-staten-island/</t>
  </si>
  <si>
    <t>Shane Adair Wentling</t>
  </si>
  <si>
    <t>https://www.fatalencounters.org/wp-content/uploads/2018/12/ShaneWentling1.jpg</t>
  </si>
  <si>
    <t>US-64</t>
  </si>
  <si>
    <t>Noble</t>
  </si>
  <si>
    <t>Perry Police Department, Noble County Sheriff's Office</t>
  </si>
  <si>
    <t>Police said Wentling pulled out a gun when a store clerk refused to sell him beer. He left cash, then left the store. While driving on a Kansas highway, he allegedly shot at a vehicle, and Kansas police issued a "Be on the Look Out" request for Wendling's vehicle. He allegedly drove into Oklahoma on I-35 and brandished a firearm at another driver. Around midnight, Wentling's vehicle was spotted, and Perry police and Noble County deputies gave chase. After knocking Wentling's vehicle off the road, Wentling allegedly brandished a firearm, and he was shot and killed.</t>
  </si>
  <si>
    <t>https://www.kwch.com/content/news/Wichita-man-killed-in-Okla-officer-involved-shooting-502366371.html</t>
  </si>
  <si>
    <t>Kyle Hart</t>
  </si>
  <si>
    <t>https://www.fatalencounters.org/wp-content/uploads/2018/12/KyleHart.jpg</t>
  </si>
  <si>
    <t>450 Lincoln Ave.</t>
  </si>
  <si>
    <t>Kyle Hart's wife called police just before 9 a.m. requesting help for her husband, who was attempting suicide, police said. Several officers responded and found Hart in the side yard of their home, holding a butcher knife. The first two officers tried to get him to drop the knife, police said. Hart reportedly refused to do so and started running at the officers, one who reportedly shocked him with a Taser, while the other shot and killed him.</t>
  </si>
  <si>
    <t>https://www.paloaltoonline.com/news/2018/12/10/palo-alto-teacher-dies-after-officer-involved-shooting</t>
  </si>
  <si>
    <t>1606 E Main St</t>
  </si>
  <si>
    <t>Rangely</t>
  </si>
  <si>
    <t>Rio Blanco</t>
  </si>
  <si>
    <t>https://www.9news.com/article/news/crime/suspect-shot-killed-after-altercation-with-officers-deputies-in-rangely/73-622871877</t>
  </si>
  <si>
    <t>76 Liberty St</t>
  </si>
  <si>
    <t>Fredonia</t>
  </si>
  <si>
    <t>Fredonia Police Department</t>
  </si>
  <si>
    <t>Officers responded to a home to help Fredonia firefighters with a medical call. Police said the man was locked in a bathroom with an unknown medical condition. The man attacked one of the officers with a knife while the officer was inside the home. The officer reportedly backed off, but the man still went after him. The officer retreated out of the house to the street, and shot and killed the man.</t>
  </si>
  <si>
    <t>https://www.wivb.com/news/local-news/one-person-confirmed-dead-in-officer-involved-shooting-in-fredonia/1651132011</t>
  </si>
  <si>
    <t>Haze Connor Martin</t>
  </si>
  <si>
    <t>https://www.fatalencounters.org/wp-content/uploads/2018/12/Haze-Martin.jpg</t>
  </si>
  <si>
    <t>Atkins</t>
  </si>
  <si>
    <t>Haze Connor Martin was shot and killed by a Pope County deputy after a car chase that ended in Conway County around 11:30 p.m. Police said Martin pulled a knife on the deputy at the end of a chase on Interstate 40 that started in Pope County and ended in Conway County. When the deputy spotted the knife, he shot and killed Martin.</t>
  </si>
  <si>
    <t>https://www.fox16.com/news/local-news/suspect-dead-after-officer-involved-shooting-in-conway-county/1655163542?fbclid=IwAR3Ecbsjdb7PUxH88Jkw_wx_Jl7PURobx9swJlnAywIDfJlxGIR8b-iDdMA</t>
  </si>
  <si>
    <t>Rhonda Thomas</t>
  </si>
  <si>
    <t>607 Gladiolus Drive</t>
  </si>
  <si>
    <t>An apartment maintenance employee went to an apartment to check the wellbeing of Brenda Thomas, as she had not been heard from in some time. While attempting to enter the apartment, Thomas shot and wounded him. Police shot tear gas into the apartment, but Thomas did not respond. Police sent in a dog to attack Thomas, but she defended herself. Officers then entered the apartment, and Thomas began firing on the officers, who shot and killed her.</t>
  </si>
  <si>
    <t>https://www.fox16.com/crime/update-jonesboro-woman-dies-in-officer-involved-shooting/1654268243</t>
  </si>
  <si>
    <t>Kaley Gay</t>
  </si>
  <si>
    <t>5530 Fulton Mill Road</t>
  </si>
  <si>
    <t>At 10:15 a.m., a four-member team was serving a warrant. Kaley Gay, who was being patted down by one of the officers, allegedly drew small weapon and fired upon the officer, who shot and killed her.</t>
  </si>
  <si>
    <t>https://www.macon.com/news/local/crime/article222952010.html</t>
  </si>
  <si>
    <t>Tameka LaShay Simpson</t>
  </si>
  <si>
    <t>https://www.fatalencounters.org/wp-content/uploads/2018/12/TAMEKA-LASHAY-SIMPSON.jpg</t>
  </si>
  <si>
    <t>312 South Wall Street</t>
  </si>
  <si>
    <t>Tameka LaShay Simpson allegedly shot at police outside a convenience store. She was approached because police thought they smelled cannabis coming from the woman's car. Officers Jeremy Thompson and Joe Yother shot and killed her.</t>
  </si>
  <si>
    <t>http://www.wrcbtv.com/story/39624965/update-officer-shot-suspect-killed-in-shootout-at-calhoun-georgia-gas-station</t>
  </si>
  <si>
    <t>Tori Kaneshiro</t>
  </si>
  <si>
    <t>https://www.fatalencounters.org/wp-content/uploads/2018/12/ToriKaneshiro.jpg</t>
  </si>
  <si>
    <t>Kahakai Boulevard and Kikoʻu Street</t>
  </si>
  <si>
    <t>Pāhoa</t>
  </si>
  <si>
    <t>Tori Kaneshiro was parked on Kahakai Boulevard with hazard lights on. She had a warrant for her arrest, and police told her she would be arrested. She allegedly grabbed a rifle from her car and refused to drop it and was shot and killed.</t>
  </si>
  <si>
    <t>https://www.khon2.com/news/local-news/latest-officer-involved-shooting-sheds-light-on-unique-dangers-hawaii-island-police-officers-face/1654543763</t>
  </si>
  <si>
    <t>Marcus Neal</t>
  </si>
  <si>
    <t>https://www.fatalencounters.org/wp-content/uploads/2018/12/MarcusNeal.jpg</t>
  </si>
  <si>
    <t>61 Gladstone Street</t>
  </si>
  <si>
    <t>Officer Joseph Meli, 25, shot and killed Marcus Neal following a chase resulting from a shoplifting accusation. Neal allegedly threatened Meli with a knife.</t>
  </si>
  <si>
    <t>https://www.mytwintiers.com/news/local-news/buffalo-police-identify-deceased-suspect-and-officer-involved-in-deadly-shooting/1656896792</t>
  </si>
  <si>
    <t>Dylan Parker Thomas</t>
  </si>
  <si>
    <t>https://www.fatalencounters.org/wp-content/uploads/2018/12/Dylan-Parker-Thomas.jpg</t>
  </si>
  <si>
    <t>11001 Old St Augustine Rd</t>
  </si>
  <si>
    <t>Dylan Thomas apparently robbed and then gave the money back to a pizza delivery driver. The driver spoke to an off-duty officer, Officer H.A. Berry, who was working in full uniform and driving a police car at Walmart. Berry found Thomas and shot and killed him when Thomas allegedly pointed his BB gun at Berry.</t>
  </si>
  <si>
    <t>https://www.news4jax.com/news/local/jacksonville/shooting-involving-jacksonville-police-officer-in-mandarin-sources-say</t>
  </si>
  <si>
    <t>Jason Emerson Connell</t>
  </si>
  <si>
    <t>https://www.fatalencounters.org/wp-content/uploads/2018/12/Jason-Emerson-Connell.jpg</t>
  </si>
  <si>
    <t>812 Dunn Ave</t>
  </si>
  <si>
    <t>Jason Connell reportedly told his girlfriend and family he'd never go back to prison, then fired his .38-caliber revolver at a police officer outside a Northside motel, and the officer shot and killed him.</t>
  </si>
  <si>
    <t>https://www.jacksonville.com/news/20181212/2-dead-in-separate-jacksonville-police-shootings-wednesday-1-had-bb-gun</t>
  </si>
  <si>
    <t>Demario Bass</t>
  </si>
  <si>
    <t>5003 N Goodfellow Blvd</t>
  </si>
  <si>
    <t>A license plate reader had seen a plate belonging to a stolen 2004 Hyundai Santa Fe heading south at 12:49 p.m. Two officers in a patrol car spotted the SUV at a BP station. One officer got out and walked to the SUV, spotting Demario Bass inside. The officer opened the car door. Bass put the vehicle into reverse and accelerated backward. The officer reportedly became lodged between the open door and the SUV, throwing him at least partly into the vehicle. The officer fired at least one time, killing Bass.</t>
  </si>
  <si>
    <t>https://www.stltoday.com/news/local/crime-and-courts/police-identify-man-shot-and-killed-in-stolen-car-by/article_004654a1-ce34-513a-99bd-2852828b28d2.html</t>
  </si>
  <si>
    <t>Kiowa Ave NE and Comanche Rd NE</t>
  </si>
  <si>
    <t>Police were called to a possible armed robbery. Officers heard gunshots and were contacted by a resident who told them that a man entered their home and shot and killed their dog. Police found the man a few doors down and shot and killed him. Details regarding the killing were withheld by police.</t>
  </si>
  <si>
    <t>https://www.kob.com/albuquerque-news/shots-fired-after-albuquerque-police-confront-robbery-suspect/5177434/?cat=516&amp;utm_source=feedburner&amp;utm_medium=feed&amp;utm_campaign=Feed%3A+Kobcom-AlbuquerqueMetro+%28KOB.com+-+Albuquerque+Metro+News%29&amp;utm_content=FaceB</t>
  </si>
  <si>
    <t>Police responded to calls for shots being fired, and at least one person being threatened with a gun. About four hours after the incident began, officers approached the residence. At that time, the person emerged from the residence and opened fire on the officers, who shot and killed him.</t>
  </si>
  <si>
    <t>https://sacramento.cbslocal.com/2018/12/13/yuba-county-officer-involved-shooting/</t>
  </si>
  <si>
    <t>N Benson Ave &amp; W 11th St</t>
  </si>
  <si>
    <t>Upland</t>
  </si>
  <si>
    <t>Upland Police Department</t>
  </si>
  <si>
    <t>Police responded to a call from a nearby resident about a suspicious person. Officers spotted a man walking around 3:30 a.m. and approached him. Goodman said when officers approached the man, he reached into his pocket and produced the replica, and the officer shot and killed him.</t>
  </si>
  <si>
    <t>https://www.dailybulletin.com/2018/12/13/man-hospitalized-after-being-shot-by-upland-police/</t>
  </si>
  <si>
    <t>Salvatore Tirone</t>
  </si>
  <si>
    <t>I-75 &amp; SR-44</t>
  </si>
  <si>
    <t>Wildwood</t>
  </si>
  <si>
    <t>Salvatore Tirone drove from Broward County to the Quality Inn in Hernando, where he killed his ex-wife's lover 64-year-old Michael Quirello. Following a high-speed pursuit, police exchanged gunfire with Tirone, killing him.</t>
  </si>
  <si>
    <t>https://www.wfla.com/news/local-news/citrus-county/deadly-love-triangle-man-drives-to-citrus-county-to-kill-ex-wife-s-new-lover/1659702929</t>
  </si>
  <si>
    <t>Brandon Jermaine Taylor</t>
  </si>
  <si>
    <t>2125 Candler Rd</t>
  </si>
  <si>
    <t>Brandon Taylor shot and killed Officer Edgar Isidro Flores, 24. Taylor had been pulled over for an alleged traffic violation. He was found about a block away and shot an attacking police dog before police shot and killed him.</t>
  </si>
  <si>
    <t>https://www.ajc.com/news/crime--law/breaking-briefly-shut-down-due-heavy-dekalb-police-presence/LAVHlqdKcUHWHirAVw5HcM/</t>
  </si>
  <si>
    <t>Andre Horton</t>
  </si>
  <si>
    <t>https://www.fatalencounters.org/wp-content/uploads/2018/12/Andre-Horton.jpg</t>
  </si>
  <si>
    <t>James Rd and Homewood Dr</t>
  </si>
  <si>
    <t>Andre Horton was reportedly pointing a replica gun at passing cars when police shot and killed him.</t>
  </si>
  <si>
    <t>https://wreg.com/2018/12/14/man-killed-by-memphis-police-after-pointing-gun-at-drivers-identified/</t>
  </si>
  <si>
    <t>Sean Sharpe</t>
  </si>
  <si>
    <t>https://www.nj.com/essex/2018/12/authorities-name-man-shot-dead-by-police-during-standoff.html</t>
  </si>
  <si>
    <t>Terrance Ryan</t>
  </si>
  <si>
    <t>https://www.yakimaherald.com/news/crime_and_courts/yakima-police-shoot-kill--year-old-man-in-car/article_ce28373a-0098-11e9-be9c-0379fcd84776.html</t>
  </si>
  <si>
    <t>Edgar Espinoza</t>
  </si>
  <si>
    <t>https://www.fatalencounters.org/wp-content/uploads/2018/12/Edgar-Espinoza.jpg</t>
  </si>
  <si>
    <t>7622 Houston Avenue</t>
  </si>
  <si>
    <t>Deputies received reports of a man chasing a child in the roadway at around 11 p.m. Police said they found Edgar Espinoza in a pickup truck with his 9-year-old son in a chokehold with a military knife to his throat. Deputies tried to get him out of the car, but the father wouldn't let him go. A deputy shot and killed the father.</t>
  </si>
  <si>
    <t>https://abc30.com/suspect-killed-after-holding-his-own-child-at-knifepoint-identified-/4910509/</t>
  </si>
  <si>
    <t>Walter Kellogg</t>
  </si>
  <si>
    <t>45 Rockledge Dr</t>
  </si>
  <si>
    <t>Officers responded to a 9-1-1 call regarding an agitated suicidal man at 12:30 p.m. Walter Kellogg, who has a history of mental illness, threatened to harm himself with a knife, began cutting himself, and turned the knife toward the officer, who shot and killed him, police said.</t>
  </si>
  <si>
    <t>https://patch.com/new-york/sachem/s/gkqs7/suicidal-man-shot-killed-by-officer-in-confrontation-idd-cops?utm_source=alert-breakingnews&amp;utm_medium=email&amp;utm_term=weather&amp;utm_campaign=alert</t>
  </si>
  <si>
    <t>Edward Rudhman</t>
  </si>
  <si>
    <t>1500 N Crismon Rd</t>
  </si>
  <si>
    <t>Deputies were responding to a home in east Mesa where an armed suicidal man had allegedly fired a weapon. Police said Rudhman confronted deputies, who shot and killed him.</t>
  </si>
  <si>
    <t>https://www.azcentral.com/story/news/local/mesa-breaking/2018/12/16/maricopa-county-sheriffs-office-mcso-investigating-mesa-shooting-involving-deputies/2330825002/</t>
  </si>
  <si>
    <t>Richard L. Johnson</t>
  </si>
  <si>
    <t>https://www.kctv5.com/news/kck-police-officer-shot-suspect-killed-in-officer-involved-shooting/article_21eb13b4-01c1-11e9-9411-333205583a52.html</t>
  </si>
  <si>
    <t>Rodney J. "Rod" Geiser</t>
  </si>
  <si>
    <t>https://www.fatalencounters.org/wp-content/uploads/2018/12/Rodney-J.-Rod-Geiser.jpg</t>
  </si>
  <si>
    <t>87 High St</t>
  </si>
  <si>
    <t>Apple Creek</t>
  </si>
  <si>
    <t>Rodney J. Geiser was threatening suicide with a gun. He allegedly failed to follow orders to drop the weapon, and he was shot and killed by a deputy.</t>
  </si>
  <si>
    <t>https://www.daily-jeff.com/news/20181217/apple-creek-man-repeatedly-ignored-deputies-before-fatal-shooting</t>
  </si>
  <si>
    <t>Jacob Mohow</t>
  </si>
  <si>
    <t>https://www.fatalencounters.org/wp-content/uploads/2018/12/Jacob-Mohow.jpg</t>
  </si>
  <si>
    <t>5900 W Reno Ave</t>
  </si>
  <si>
    <t>Just before 11:30 p.m., Oklahoma City police responded to a disturbance call at a gas station. The man had a knife and a lighter and was attempting to cut the hoses at the gas pumps and acting like he was going to cut his own throat. When officers arrived, they found Jacob Mohow, with a screwdriver and knife. Officer Jared Tipton used a bean bag shotgun, and Officer Grant Wheeler used his Taser in attempts to incapacitate Mohow. He allegedly charged at officers, and Sgt. Donald Koger shot and killed him.</t>
  </si>
  <si>
    <t>https://kfor.com/2018/12/17/more-details-released-in-fatal-officer-involved-shooting-in-oklahoma-city/</t>
  </si>
  <si>
    <t>3291 Truxel Rd</t>
  </si>
  <si>
    <t>According to police, two deputies were watching a suspect in a car believed to be linked to a theft case from a local store. Two people were in the car, a female driver and the suspect. At some point, the man got out of the car and made an unspecified threat toward the deputies, who shot and killed him.</t>
  </si>
  <si>
    <t>https://sacramento.cbslocal.com/2018/12/17/south-natomas-officer-involved-shooting/</t>
  </si>
  <si>
    <t>Deputies were called to a home on reports of a person trying to hurt themselves. When deputies tried to enter the home, the woman had a large serrated knife, and she was shot and killed.</t>
  </si>
  <si>
    <t>https://wpde.com/news/local/sled-investigating-officer-involved-shooting-in-darlington-county</t>
  </si>
  <si>
    <t>Nathan Shane May</t>
  </si>
  <si>
    <t>https://www.fatalencounters.org/wp-content/uploads/2018/12/Nathan-Shane-Mays.jpg</t>
  </si>
  <si>
    <t>MS-348</t>
  </si>
  <si>
    <t>Around 6 p.m., police responded to a disturbance call at a home. An officer found an uncontrollable white male who started fighting with the officer. When the officers arrived, the man began fighting all three officers as they tried to get him under control, police said. Police said one officer shocked May with a Taser, killing him.</t>
  </si>
  <si>
    <t>https://www.wtva.com/content/news/NEW-ALBANY-MAN-DIES-IN-POLICE-CUSTODY-501306351.html</t>
  </si>
  <si>
    <t>6900 Dart Ave</t>
  </si>
  <si>
    <t>About 3 a.m., police were called to a report of a man who had attacked a security guard at an apartment complex at 314 N. Jim Miller Road. Police searched for the unidentified suspect, finding him roughly a half-mile away. Officers ordered him to drop the machete-type weapon, police said, but he failed to comply. One of the officers shocked him with his Taser, and he died.</t>
  </si>
  <si>
    <t>https://www.star-telegram.com/news/local/community/dallas/article222654265.html</t>
  </si>
  <si>
    <t>I-8 &amp; Crestwood Road</t>
  </si>
  <si>
    <t>Boulevard</t>
  </si>
  <si>
    <t>A woman and two men were killed and eight injured when a pickup fleeing Border Patrol agents rolled over near the Mexican border after agents deployed a tire deflation device.</t>
  </si>
  <si>
    <t>https://www.usnews.com/news/best-states/california/articles/2018-11-30/3-dead-8-injured-after-fleeing-truck-rollover-in-california</t>
  </si>
  <si>
    <t>Charged with first-degree murder</t>
  </si>
  <si>
    <t>Charged with involuntary manslaughter</t>
  </si>
  <si>
    <t>Shelby Comer</t>
  </si>
  <si>
    <t>Grundy County Sheriff's Office</t>
  </si>
  <si>
    <t>Charged with voluntary manslaughter</t>
  </si>
  <si>
    <t>https://www.wkrn.com/news/crime-tracker/grundy-co-deputy-charged-in-2017-officer-involved-shooting/1597560942</t>
  </si>
  <si>
    <t>Tracy City</t>
  </si>
  <si>
    <t xml:space="preserve">Investigators said a pursuit ensued and stopped at B Mine Road. The driver spun the car around, facing the deputy, and Holmes opened fire on the car. Police said one of the bullets went through the car and killed 21-year-old Shelby Comer, who was a passenger in the car.  </t>
  </si>
  <si>
    <t>B Mine Road</t>
  </si>
  <si>
    <t>https://everipedia-storage.s3-accelerate.amazonaws.com/ProfilePics/shelby-comer__42532.png</t>
  </si>
  <si>
    <t>April E. Webster</t>
  </si>
  <si>
    <t>https://www.sentinelcolorado.com/news/metro/aurora-chief-said-unstoppable-man-who-died-after-attacking-family-cops-was-one-of-the-most-violent-hed-ever-seen/</t>
  </si>
  <si>
    <t>At about 6:15 p.m., residents of Willowick Apartments called dispatchers for help, saying someone in the family was attacking others inside their home. Some 20 officers subdued Baker, killing him during the struggle.</t>
  </si>
  <si>
    <t>10603 E Jewell Ave</t>
  </si>
  <si>
    <t>David Anthony Baker</t>
  </si>
  <si>
    <t>Travis York</t>
  </si>
  <si>
    <t>https://www.azcentral.com/story/news/local/phoenix-breaking/2018/12/20/man-fatally-shot-phoenix-police-camelback-road-identified/2380387002/</t>
  </si>
  <si>
    <t>Jose Manuel Cardenas Jr. allegedly assaulted a woman who was driving the car he was riding in. Both got out of the car, going in different directions. Cardenas allegedly shot, pointed a gun at passing traffic and himself and was shot and killed when he failed to comply with police orders to drop the weapon.</t>
  </si>
  <si>
    <t>37th Avenue and Camelback Road</t>
  </si>
  <si>
    <t>Jose Manuel Cardenas Jr.</t>
  </si>
  <si>
    <t>https://www.citynews1130.com/2018/12/18/woman-suspected-in-armed-robbery-shot-killed-by-police/</t>
  </si>
  <si>
    <t>Officers responding to a report of an armed robbery at a convenience store reportedly saw a woman running who matched the description of the suspect. Officers ordered the woman to stop, but she failed to comply and pointed a gun at one of the officers, who shot and killed her.</t>
  </si>
  <si>
    <t>https://www.fatalencounters.org/wp-content/uploads/2018/12/Angel-Viola-Decarlo.jpg</t>
  </si>
  <si>
    <t>Angel Viola Decarlo</t>
  </si>
  <si>
    <t>https://www.pennlive.com/news/2018/12/trooper-slipped-before-fatally-shooting-man-coming-toward-him-with-knife-police.html</t>
  </si>
  <si>
    <t>About 10:30 a.m., Mitchell J. Hammer was being pursued by a trooper along a creek in a wooded area, and, when the trooper rounded a bend, Hammer came toward him with a knife, police said. The trooper shot and killed him.</t>
  </si>
  <si>
    <t>22 Lindley Murray Rd</t>
  </si>
  <si>
    <t>https://www.fatalencounters.org/wp-content/uploads/2018/12/Mitchell-J.-Hammer.jpg</t>
  </si>
  <si>
    <t>Mitchell J. Hammer</t>
  </si>
  <si>
    <t>https://www.mcall.com/news/breaking/mc-pol-carbon-county-pursuit-dies-from-officer-involved-shooting-20181219-story.html</t>
  </si>
  <si>
    <t>After a 17-mile police chase, Danny Washington was shot and killed by an unidentified officer from an unidentified agency. Details as to reasons the officer killed Washington were withheld by police. Four other men were arrested.</t>
  </si>
  <si>
    <t>Lehighton</t>
  </si>
  <si>
    <t>175 Interchange Rd</t>
  </si>
  <si>
    <t>Danny Washington</t>
  </si>
  <si>
    <t>https://www.tribstar.com/news/update-name-of-suspect-killed-in-police-shooting-released/article_90d1de0e-037c-11e9-bdb0-a7755e2779db.html</t>
  </si>
  <si>
    <t>Police tried to pull over David Frederick after his pickup truck failed to stop at a red light about 10:30 p.m. Frederick allegedly fled. The chase ended at a parking lot. Frederick allegedly got out of his truck with a handgun. Despite repeated commands to drop the gun, Frederick raised the gun and began to fire. Officers Caleb Talpas and Justin Sears shot and killed him.</t>
  </si>
  <si>
    <t>West Terre Haute Police Department</t>
  </si>
  <si>
    <t>Wabash Ave and S 10 1/2 St</t>
  </si>
  <si>
    <t>https://www.fatalencounters.org/wp-content/uploads/2018/12/David-Alexander-Frederick.png</t>
  </si>
  <si>
    <t>David Alexander Frederick</t>
  </si>
  <si>
    <t>https://www.nbcdfw.com/news/local/Man-Dead-in-Officer-Involved-Shooting-in-Fort-Worth-503111071.html</t>
  </si>
  <si>
    <t>Fort Worth police were notified by a police agency in Florida about Daniel Geiger posting a threat on social media to harm himself, police said. Police found his vehicle and stopped to check on his welfare. The man then allegedly produced a weapon and fired it at officers before fleeing the location. Police pursued the man and gunfire was exchanged, killing Geiger.</t>
  </si>
  <si>
    <t>E Berry St and S Main Street</t>
  </si>
  <si>
    <t>Daniel Geiger</t>
  </si>
  <si>
    <t>http://www.goerie.com/news/20181220/man-dead-in-officer-involved-shooting-in-union-city</t>
  </si>
  <si>
    <t>Troopers were attempting to buy a suspected stolen chainsaw from Keith A. Hawley. Troopers had called Hawley to arrange the purchase. Hawley met with troopers and got into a state police undercover vehicle. Hawley allegedly pulled a handgun on the two undercover troopers and attempted to rob them. A fight began. One of the troopers reportedly was trying to disarm Hawley, when the other trooper shot and killed him.</t>
  </si>
  <si>
    <t>16329 PA-8</t>
  </si>
  <si>
    <t>https://www.fatalencounters.org/wp-content/uploads/2018/12/Keith-A.-Hawley.jpg</t>
  </si>
  <si>
    <t>Keith A. Hawley</t>
  </si>
  <si>
    <t>https://www.tampabay.com/news/publicsafety/hillsborough-sheriff-calls-news-conference-on-death-investigation-in-plant-city-area-20181219/?fbclid=IwAR0i_XaYmAByOwjSpTfRBsOmzpx190MbKDn02k0vOlnFSBaOPEecklhp3mY</t>
  </si>
  <si>
    <t>Deputy Terry Strawn shot and killed his wife, Theresa Strawn, 54; daughter, Courtney, 32; and his 6-year-old granddaughter, Londyn. He then shot and killed himself.</t>
  </si>
  <si>
    <t>Valrico</t>
  </si>
  <si>
    <t>1512 Emerald Hill Way</t>
  </si>
  <si>
    <t>https://www.fatalencounters.org/wp-content/uploads/2018/12/Theresa-KayStrawn.jpg</t>
  </si>
  <si>
    <t>Theresa Kay Strawn</t>
  </si>
  <si>
    <t>https://www.fatalencounters.org/wp-content/uploads/2018/12/LondynStrawn.jpg</t>
  </si>
  <si>
    <t>Londyn Faith Strawn</t>
  </si>
  <si>
    <t>2203 Country Club Ct</t>
  </si>
  <si>
    <t>https://www.fatalencounters.org/wp-content/uploads/2018/12/Courtney-Breanne-Strawn.jpg</t>
  </si>
  <si>
    <t>Courtney Breanne Strawn</t>
  </si>
  <si>
    <t>https://www.azcentral.com/story/news/local/phoenix-breaking/2018/12/19/phoenix-police-scene-shooting-involving-officer/2372812002/?fbclid=IwAR15GU13PF5ZqTe1FKpv0FP_8knKW4zhT8K3iNdSYR8GjmgSSmVRw2MjlZI</t>
  </si>
  <si>
    <t>Officers responded just before 9 p.m. after receiving reports of someone throwing objects through the front window of a Circle K store. As officers went to question a man seen in a nearby neighborhood, the man attacked one of the officers, and they reportedly began fighting. As the two were fighting, another Phoenix officer shot and killed the man</t>
  </si>
  <si>
    <t>N 36th St &amp; E Monte Vista Rd</t>
  </si>
  <si>
    <t>http://www.wtol.com/2018/12/20/man-suspected-killing-grandmother-is-fatally-shot-toledo-police-custody/</t>
  </si>
  <si>
    <t>525 N. Erie St</t>
  </si>
  <si>
    <t>https://www.fatalencounters.org/wp-content/uploads/2018/12/davidbarstad.jpg</t>
  </si>
  <si>
    <t>Damon Barstad</t>
  </si>
  <si>
    <t>https://www.wjhg.com/content/news/Springfield-officer-involved-shooting-503358181.html</t>
  </si>
  <si>
    <t>Police said they responded to a 9-1-1 call regarding an intoxicated man threatening to harm himself. Officer Robert Gay arrived and called for backup. David MacAdams allegedly advanced toward him armed with a knife, and Gay shot and killed him.</t>
  </si>
  <si>
    <t>https://www.fatalencounters.org/wp-content/uploads/2018/12/David-MacAdams.jpg</t>
  </si>
  <si>
    <t>David MacAdams</t>
  </si>
  <si>
    <t>https://abc7.com/chase-leads-to-fatal-officer-involved-shooting-in-lake-elsinore/4939109/</t>
  </si>
  <si>
    <t>About 4 p.m., police tried to arrest a man wanted in connection with a double shooting. As they attempted to move in, he did not pull over and a brief chase took place. The pursuit ended in a crash at a parking lot. He got out of the vehicle and reportedly produced a gun, and he was shot and killed.</t>
  </si>
  <si>
    <t>Chaney St and Collier Ave</t>
  </si>
  <si>
    <t>http://www.wistv.com/2018/12/22/sled-investigating-officer-involved-shooting-lexington-co-no-officers-injured/</t>
  </si>
  <si>
    <t>Around 10:45 p.m., deputies responded to a report of a suicidal person, Ronald Scott Jenkins, at a Founders Road residence. Before deputies arrived, they were told by a caller that the man left the home. After being tracked by dogs, deputies made contact with Jenkins, who allegedly shot at two Lexington County deputies and a police. Deputies shot and killed him.</t>
  </si>
  <si>
    <t>Ronald Scott Jenkins</t>
  </si>
  <si>
    <t>https://www.sgvtribune.com/2018/12/24/armed-man-killed-in-azusa-officer-involved-shooting-is-identified/</t>
  </si>
  <si>
    <t>At 12:40 a.m., officers responding to a report of a possible burglary encountered Jose Lemus, who was armed and began to fight with them, and they fired at him, police said. The man ran from the officers. Lemus was found dead in the area a short time later.</t>
  </si>
  <si>
    <t>S Irwindale Ave &amp; W McKinley Ave</t>
  </si>
  <si>
    <t>Jose Lemus</t>
  </si>
  <si>
    <t>https://www.star-telegram.com/news/politics-government/national-politics/article223515400.html</t>
  </si>
  <si>
    <t>A man was allegedly driving a stolen vehicle, which was pulled over for a traffic stop. He allegedly jumped out and started firing on officers, who shot and killed him.</t>
  </si>
  <si>
    <t>Central Ave SE and Pennsylvania St SE</t>
  </si>
  <si>
    <t>Jason Perez</t>
  </si>
  <si>
    <t>http://www.mauinews.com/news/local-news/2018/12/police-shoot-kill-fugitive/</t>
  </si>
  <si>
    <t>Kaulana Reinhardt was wanted for attempted murder and was killed in a gunfight with police. Reinhardt allegedly was driving a stolen red Toyota Tacoma when he crashed into a front yard and then pulled out a handgun and exchanged shots with police.</t>
  </si>
  <si>
    <t>Wailuku</t>
  </si>
  <si>
    <t>Kaohu St and S Market Street</t>
  </si>
  <si>
    <t>https://www.fatalencounters.org/wp-content/uploads/2018/12/Kaulana-Toji-Reinhardt.jpg</t>
  </si>
  <si>
    <t>Kaulana "Toji" Reinhardt</t>
  </si>
  <si>
    <t>https://www.kob.com/albuquerque-news/possible-active-shooter-leads-of-officer-involved-shooting/5189977/?cat=516&amp;utm_source=feedburner&amp;utm_medium=feed&amp;utm_campaign=Feed%3A+Kobcom-AlbuquerqueMetro+%28KOB.com+-+Albuquerque+Metro+News%29&amp;utm_content=FaceBook</t>
  </si>
  <si>
    <t>Police responded to a reported shooting at a Motel 6. A man was firing into several rooms and the front office of the motel. He reportedly was seen on the second story of the motel armed with a rifle. He allegedly fired a shot at officers, and officers shot and killed him.</t>
  </si>
  <si>
    <t>3400 Prospect Ave NE</t>
  </si>
  <si>
    <t>Abdias Flores</t>
  </si>
  <si>
    <t>https://www.nbcbayarea.com/news/local/San-Jose-Police-Shoot-Kill-Woman-After-Misidentifying-Her-as-Attempted-Murder-Suspect-503582441.html</t>
  </si>
  <si>
    <t>Jennifer Vasquez was allegedly driving a stolen car when she was shot and killed by police after they misidentified her as the suspect in a shooting. She reportedly fled from a stop and tried to back toward officers when she was killed.</t>
  </si>
  <si>
    <t>Leigh Ave and Fruitdale Ave</t>
  </si>
  <si>
    <t>https://www.fatalencounters.org/wp-content/uploads/2018/12/jennifer-vasquez.jpg</t>
  </si>
  <si>
    <t>Jennifer Vasquez</t>
  </si>
  <si>
    <t>https://www.azcentral.com/story/news/local/arizona-breaking/2018/12/27/shootout-between-antonia-ramos-buckeye-police-described-neighbor/2423328002/</t>
  </si>
  <si>
    <t>Police received a 9-1-1 call just after 5:30 p.m. about a fight between a woman and her boyfriend at a home, police said. Officers learned that a gunshot had possibly been fired inside the home. Antonio Ramos' girlfriend, another woman and two children left the home unharmed. Ramos came out of the house and began firing at officers, who shot and killed him.</t>
  </si>
  <si>
    <t>Antonio A. Ramos</t>
  </si>
  <si>
    <t>https://www.wfla.com/news/pinellas-county/man-shot-killed-after-opening-fire-on-clearwater-officers-during-domestic-call/1674973826</t>
  </si>
  <si>
    <t>A woman reportedly sent a message to a family member asking them to call 9-1-1, and police responded to the call. Wayne Falana reportedly fired at police from inside the residence. Falana ran out the front door and was shot and killed by Officers Michael Spitaleri, Robert Main, Zachery Senter and Steven Buis.</t>
  </si>
  <si>
    <t>1444 Gulf To Bay Blvd</t>
  </si>
  <si>
    <t>https://www.fatalencounters.org/wp-content/uploads/2018/12/WAYNE-FALANA.jpg</t>
  </si>
  <si>
    <t>Wayne Falana Jr.</t>
  </si>
  <si>
    <t>https://www.theledger.com/news/20181226/lakeland-police-release-video-of-shooting-that-killed-haven-teen</t>
  </si>
  <si>
    <t>101 E Memorial Blvd</t>
  </si>
  <si>
    <t>https://www.fatalencounters.org/wp-content/uploads/2018/12/R-Michael-Jerome-Taylor.jpg</t>
  </si>
  <si>
    <t>Michael Jerome Taylor</t>
  </si>
  <si>
    <t>https://katv.com/news/local/arkansas-state-police-investigate-officer-involved-shooting-in-rector</t>
  </si>
  <si>
    <t>Police received a call around 3:47 p.m. about a man walking along Main Street waving a gun. When the police arrived at the scene, Gary Warbritton reportedly pointed a gun at an officer. The officer shot and killed Warbritton.</t>
  </si>
  <si>
    <t>Rector Police Department</t>
  </si>
  <si>
    <t>816 S Main St</t>
  </si>
  <si>
    <t>Gary Warbritton</t>
  </si>
  <si>
    <t>https://www.boston25news.com/news/da-investigating-after-man-dies-being-taken-into-custody-by-cohasset-police/895402851?fbclid=IwAR2xH9nb6rKNSWvmHOGeXo7-72uXYRZ-jIOUn3g2zcCqtOP1dkb8iN2QZLs</t>
  </si>
  <si>
    <t>Police arrived to Erich Stelzer's residence around 10 p.m. on a report that Stelzer repeatedly slashed his date in the face with a knife. Officers used Tasers to subdue Stelzer. Stelzer died soon after being tasered.</t>
  </si>
  <si>
    <t>Cohasset Police Department</t>
  </si>
  <si>
    <t>13 Church Street</t>
  </si>
  <si>
    <t>https://www.fatalencounters.org/wp-content/uploads/2018/12/Erich-Stelzer.jpg</t>
  </si>
  <si>
    <t>Erich Stelzer</t>
  </si>
  <si>
    <t>https://kfdm.com/news/local/officer-involved-shooting-12-28-2018</t>
  </si>
  <si>
    <t>https://www.wsmv.com/news/man-killed-in-officer-involved-shooting-inside-tullahoma-walmart/article_6128e320-0b90-11e9-8e42-73398da530c0.html</t>
  </si>
  <si>
    <t>Police Department received a tip that a wanted man, Mark Wade Luttrell Jr., was inside a Walmart. Luttrell allegedly attempted to pull out a gun when officers approached him inside the store. At least one of the officers shot and killed Luttrell.</t>
  </si>
  <si>
    <t>Tullahoma Police Department</t>
  </si>
  <si>
    <t>Tullahoma</t>
  </si>
  <si>
    <t>2111 N Jackson St</t>
  </si>
  <si>
    <t>Mark Wade Luttrell Jr.</t>
  </si>
  <si>
    <t>https://www.wishtv.com/news/crime-watch-8/witness-man-fatally-shot-by-trooper-was-savable-/1679485806</t>
  </si>
  <si>
    <t>Police said a trooper had tagged an abandoned black Chevrolet Tahoe SUV shortly before 4 p.m. on U.S. 231. That same trooper was driving on the same highway around 6:30 p.m. and saw a white Dodge car had pulled up in front of the Tahoe and had the hood open. The trooper reportedly walked up to Rightsell while giving commands, and Rightsell allegedly grabbed a gun. The trooper shot and killed Rightsell.</t>
  </si>
  <si>
    <t>Crawfordsville</t>
  </si>
  <si>
    <t>US-231 and County Rd 550 N</t>
  </si>
  <si>
    <t>https://www.fatalencounters.org/wp-content/uploads/2018/12/Glenn-A.-Rightsell.jpg</t>
  </si>
  <si>
    <t>Glenn A. Rightsell</t>
  </si>
  <si>
    <t>https://www.vcstar.com/story/news/2018/12/29/orcutt-hostage-situation-results-four-dead-including-suspect-santa-barbara-officer-involved-shooting/2441765002/</t>
  </si>
  <si>
    <t>David Gerald McNabb was shot and killed at the home where he is believed to have killed his sister Nicole McNabb, 34; his mother, Melanie McNabb, 64; and Carlos Echavarria, 63. All four lived there, police said. Police were contacted at 8:05 p.m. by a neighbor. She reported entering the home and finding a victim covered in blood in the bathtub. Deputies arrived and determined David McNabb was still inside. Deputies entered the home, made contact with David McNabb and found he was armed with a rifle. Deputies confronted the suspect, and he reportedly was shot with less-lethal munitions, including a 40 mm impact weapon and a bean bag shotgun round, before deputies shot and killed him.</t>
  </si>
  <si>
    <t>Santa Barbara Sheriff's Office</t>
  </si>
  <si>
    <t>Orcutt</t>
  </si>
  <si>
    <t>https://www.fatalencounters.org/wp-content/uploads/2018/12/David-McNabb.jpg</t>
  </si>
  <si>
    <t>David McNabb</t>
  </si>
  <si>
    <t>https://azdailysun.com/news/state-and-regional/phoenix-police-identify-suspect-shot-by-officer-in-apartment/article_8232bb61-f932-5b7f-be81-1455125dd866.html?fbclid=IwAR07HdpOgPPBGLt7Bkrq1f6QyHVqzXvJvcWcHJwlLFmLRp6ldQqaSYT3uW4</t>
  </si>
  <si>
    <t>Edwin C. Bundy was found hiding behind a shower curtain after police arrived in response to a 9-1-1 call about a man entering the apartment where the woman's 15-year-old daughter was found alone. The daughter hid and left the apartment unharmed when police arrived. The mother and police entered the apartment to do a walk-through with police who were unaware that Bundy was still inside. Bundy was shot and killed when he reached for his gun.</t>
  </si>
  <si>
    <t>N 50th St &amp; E Thunderbird Rd</t>
  </si>
  <si>
    <t>https://www.fatalencounters.org/wp-content/uploads/2018/12/Edwin-C.-Bundy.jpg</t>
  </si>
  <si>
    <t>Edwin C. Bundy</t>
  </si>
  <si>
    <t>https://www.heraldandnews.com/news/local_news/police/man-dead-after-beatty-area-officer-involved-shooting/article_ea51e9e2-3ece-5d01-91d2-4fc2a772ad77.html</t>
  </si>
  <si>
    <t>Deputies responded to an assault in progress at a residence around 3:56 a.m. After officers arrived, Mark Farrell retreated to a nearby building and refused to cooperate with them. Deputies contacted a mental health crisis counselor who came to the residence. Farrell allegedly approached the deputies with a weapon and was shot and killed.</t>
  </si>
  <si>
    <t>Beatty</t>
  </si>
  <si>
    <t>Mark Nicholas Farrell</t>
  </si>
  <si>
    <t>https://hottytoddy.com/2018/12/31/10-year-old-survives-23-hour-hostage-standoff-in-itawamba-county/</t>
  </si>
  <si>
    <t>Nathan Shepard took Paul Blackburn and Blackburn's daughter hostage, killing Paul Blackburn before police arrived. After a 32-hour standoff, Shepard was shot and killed.</t>
  </si>
  <si>
    <t>Itawamba</t>
  </si>
  <si>
    <t>3373 Alice Hall Rd</t>
  </si>
  <si>
    <t>Nathan Shepard</t>
  </si>
  <si>
    <t>http://www.newspressnow.com/news/local_news/one-seriously-injured-in-officer-involved-shooting/article_10b4efee-d129-57a0-ac94-12ae2462ddf2.html</t>
  </si>
  <si>
    <t>At 10:40 a.m., officers entered a residence to search for a subject with an arrest warrant. During their search, an unidentified man was shot and killed by two officers after the man allegedly threatened them with a firearm inside the residence.</t>
  </si>
  <si>
    <t>1007 S 12th St</t>
  </si>
  <si>
    <t>Christopher L. Kelley</t>
  </si>
  <si>
    <t>https://www.wfsb.com/news/police-one-dead-one-injured-in-officer-involved-shooting-in/article_479ac1f4-0be9-11e9-9a8c-73a417f7180f.html</t>
  </si>
  <si>
    <t>Officers reported to a home at around 9:30 p.m. for reports of a suspicious man. When police arrived, a man was wielding a knife and walking around the property. After confronting the man, one of the officers reportedly used a Taser on the man. It was ineffective, police said. Police said a second officer shot and killed the man.</t>
  </si>
  <si>
    <t>Danbury Police Department</t>
  </si>
  <si>
    <t>Danbury</t>
  </si>
  <si>
    <t>25 Memorial Dr</t>
  </si>
  <si>
    <t>https://www.kxan.com/news/local/hill-country/dps-trooper-shoots-kills-suspect-armed-with-machete-in-llano/1680175952</t>
  </si>
  <si>
    <t>Shortly after 6 a.m., troopers with the Texas Department of Public Safety were assisting the Llano Police Department in an incident involving an armed, barricaded person. A DPS trooper shot and killed the person, although details as to what precipitated the killing were withheld.</t>
  </si>
  <si>
    <t>600 Bessemer Ave</t>
  </si>
  <si>
    <t>https://www.wifr.com/content/news/Suspect-killed-in-police-stand-off-officer-injured-503699181.html</t>
  </si>
  <si>
    <t>Kerry D. Blake Jr. allegedly carjacked a car with children inside. He released the children then fled to a home where a standoff with police began. He was shot and killed when police entered the home. He had reportedly threatened police with an iron bar and a sword. Blake's family said he suffered from schizophrenia, but it was not reported whether police were aware of his medical issues upon arrival.</t>
  </si>
  <si>
    <t>1126 Green St</t>
  </si>
  <si>
    <t>https://www.seattletimes.com/seattle-news/man-killed-in-officer-involved-shooting-in-north-seattle/</t>
  </si>
  <si>
    <t>An officer reportedly made a traffic stop northbound on Aurora when the man opened his car door and ran west across four lanes of traffic to North 96th Street, where he pulled out a handgun. Police said there was a brief struggle between the man and the officer in the street. The officer shot and killed the man.</t>
  </si>
  <si>
    <t>https://www.northcentralpa.com/news/one-dead-after-standoff-in-waterville/article_a002b6be-0d45-11e9-a0a8-07ec099847e9.html</t>
  </si>
  <si>
    <t>Brant Hartung reportedly called emergency personnel as he was suffering from chest pains. He refused the EMTs entry into his home, and reportedly indicated he thought someone was trying to get into his house and poison him. He allegedly shot at police and was shot and killed.</t>
  </si>
  <si>
    <t>Lycoming</t>
  </si>
  <si>
    <t>Waterville</t>
  </si>
  <si>
    <t>111 Church Street</t>
  </si>
  <si>
    <t>Brant Hartung</t>
  </si>
  <si>
    <t>https://www.kcrg.com/content/news/Suspect-killed-after-chase-shootout-with-law-enforcement-503760481.html?fbclid=IwAR0bkR7BjCBpCJtwVKIpU5MERkRa9ONAMblxjLpH_bdqZlDz5xDeLOnTm9I</t>
  </si>
  <si>
    <t>IA-175 and Oak Ave</t>
  </si>
  <si>
    <t>https://wgxa.tv/news/local/dekalb-co-new-years-eve-officer-involved-shooting?fbclid=IwAR1-8_-p_ZYMSw0h74SBChUiQGaIRGThjXhfT0roE2Dp-UuiAL_i74a2rXk</t>
  </si>
  <si>
    <t>Pine Lake Police Department</t>
  </si>
  <si>
    <t>5345 Memorial Drive</t>
  </si>
  <si>
    <t>https://kdvr.com/2018/12/31/suspect-killed-in-officer-involved-shooting-in-longmont/</t>
  </si>
  <si>
    <t>Jesus Manuel Ramos allegedly had broken into a neighbor's apartment when he was shot and killed, police said. Police withheld details as to what precipitated the killing.</t>
  </si>
  <si>
    <t>2211 Pratt St</t>
  </si>
  <si>
    <t>https://www.fatalencounters.org/wp-content/uploads/2019/01/JesusRamos.jpg</t>
  </si>
  <si>
    <t>https://abc7.com/knife-wielding-suspect-killed-in-lapd-shooting-in-van-nuys/4995348/</t>
  </si>
  <si>
    <t>Officers responded about 4:30 a.m. to a "screaming woman radio call." According to police, a person came out and got into a fight with the man involved. The man went back inside the building, and people directed police to his apartment. When police knocked on the door, the man opened the door, and he allegedly was armed with a knife. The officers ordered him to drop the knife, and when he failed to comply, he was shot and killed.</t>
  </si>
  <si>
    <t>https://www.kansas.com/news/local/crime/article221633170.html</t>
  </si>
  <si>
    <t>flag pole</t>
  </si>
  <si>
    <t>1600 Rev Raymond Scott Ave</t>
  </si>
  <si>
    <t>600 Elm Ct</t>
  </si>
  <si>
    <t>24200 W Desert Bloom St</t>
  </si>
  <si>
    <t>13600 Vanowen St</t>
  </si>
  <si>
    <t>9600 Aurora Avenue North</t>
  </si>
  <si>
    <t>44800 Council Butte Dr</t>
  </si>
  <si>
    <t>700 Founders Rd</t>
  </si>
  <si>
    <t>100 Edna St</t>
  </si>
  <si>
    <t>400 N 18th St</t>
  </si>
  <si>
    <t>20 Irving St</t>
  </si>
  <si>
    <t>200 N 65th Ave</t>
  </si>
  <si>
    <t>14000 Vavassuer Way</t>
  </si>
  <si>
    <t>5900 Oakhill Dr</t>
  </si>
  <si>
    <t>2700 Altha Ave</t>
  </si>
  <si>
    <t>2300 West Wayland Drive</t>
  </si>
  <si>
    <t>Iosia Faletogo</t>
  </si>
  <si>
    <t>Warren Jay Beaubien</t>
  </si>
  <si>
    <t>Paul Arbitelle</t>
  </si>
  <si>
    <t>Matthew Hurley</t>
  </si>
  <si>
    <t>Gabriel Romero</t>
  </si>
  <si>
    <t>Daniel Pierce</t>
  </si>
  <si>
    <t>George Penev</t>
  </si>
  <si>
    <t>Bryan C. Bayne</t>
  </si>
  <si>
    <t>Mario Hobson</t>
  </si>
  <si>
    <t>Adam Knowlton</t>
  </si>
  <si>
    <t>Steven Allan Kaluahinui Hyer Jr.</t>
  </si>
  <si>
    <t>Brandon Vieweg</t>
  </si>
  <si>
    <t>Bradley Daniel Webster</t>
  </si>
  <si>
    <t>Jesse Pena</t>
  </si>
  <si>
    <t>Hugo Alvarez</t>
  </si>
  <si>
    <t>Charged, Convicted of Third Degree Murder</t>
  </si>
  <si>
    <t>Columbus MS Police Department</t>
  </si>
  <si>
    <t>Henderson NC Police Department</t>
  </si>
  <si>
    <t>Greensboro MD Police Department</t>
  </si>
  <si>
    <t>Norfolk NE Police Department</t>
  </si>
  <si>
    <t>Rochester NH Police Department</t>
  </si>
  <si>
    <t>Stockton IL Police Department</t>
  </si>
  <si>
    <t># Hispanic people killed</t>
  </si>
  <si>
    <t># Native American people killed</t>
  </si>
  <si>
    <t># Asian people killed</t>
  </si>
  <si>
    <t># Pacific Islanders killed</t>
  </si>
  <si>
    <t># White people killed</t>
  </si>
  <si>
    <t># Unknown Race people killed</t>
  </si>
  <si>
    <t>Avg Annual Police Homicide Rate for Black People</t>
  </si>
  <si>
    <t>Avg Annual Police Homicide Rate</t>
  </si>
  <si>
    <t>Avg Annual Police Homicide Rate for White People</t>
  </si>
  <si>
    <t>Avg Annual Police Homicide Rate for Hispanic People</t>
  </si>
  <si>
    <t>Black-White Disparity</t>
  </si>
  <si>
    <t>Hispanic-White Disparity</t>
  </si>
  <si>
    <t>No White People were Killed by Police</t>
  </si>
  <si>
    <t>No People were Killed by Police</t>
  </si>
  <si>
    <t>Tony Timpa</t>
  </si>
  <si>
    <t>Tony Timpa called 911 requesting help. He was restrained by police and while restrained he reportedly wailed and pleaded for help more than 30 times as Dallas police officers pinned his shoulders, knees and neck to the ground. Body camera video shows officers laughing as he lay dying on the ground.</t>
  </si>
  <si>
    <t>Charged, charges dismissed</t>
  </si>
  <si>
    <t>https://www.dallasnews.com/news/investigations/2019/07/30/gonna-kill-dallas-police-body-cam-footage-reveals-final-minutes-tony-timpas-life</t>
  </si>
  <si>
    <t>Charged, Charges Dropped</t>
  </si>
  <si>
    <t>Mockingbird Lane</t>
  </si>
  <si>
    <t>https://dallasnews.imgix.net/1512779535-timpa.JPG?auto=format&amp;q=40&amp;or=0&amp;w=600</t>
  </si>
  <si>
    <t>Jose Cruz</t>
  </si>
  <si>
    <t>Farmer's Branch Police Department</t>
  </si>
  <si>
    <t xml:space="preserve">Teenagers tried to escape in Cruz's red Dodge Challenger as off-duty officer Johnson gave chase. He got into his SUV and followed them into Addison, where camera footage showed his SUV hitting the back of the Challenger, causing it to spin out of control near a gas station. After what police described as an altercation, Johnson shot into the Challenger, killing Cruz and wounding Rodriguez in the head.
</t>
  </si>
  <si>
    <t>Charged with murder and aggravated assault</t>
  </si>
  <si>
    <t>https://www.dallasnews.com/news/crime/2016/09/09/ex-farmers-branch-cop-indicted-shooting-killed-dallas-teen</t>
  </si>
  <si>
    <t>Saline County Sheriff's Department</t>
  </si>
  <si>
    <t>Sutter County Sheriff's Department</t>
  </si>
  <si>
    <t>Harriman Police Department, Roane County Sheriff's Department</t>
  </si>
  <si>
    <t>Hidalgo County Sheriff's Department</t>
  </si>
  <si>
    <t>Hinds County Sheriff's Department</t>
  </si>
  <si>
    <t>Dane County Sheriff's Department</t>
  </si>
  <si>
    <t>Tangipahoa Sheriff's Department</t>
  </si>
  <si>
    <t>Blount County Sheriff's Department</t>
  </si>
  <si>
    <t>Webster County Sheriff's Office</t>
  </si>
  <si>
    <t>About 10 p.m., dispatchers received a call of a domestic disturbance outside Fort Dodge. A responding deputy saw a vehicle matching the description and attempted to stop it. The vehicle did not stop, and the driver fled. During the attempted stop, shots were exchanged. The suspect's vehicle drove out into a field and came to a stop. Officers found the dead driver.</t>
  </si>
  <si>
    <t>An armed unidentified man entered Big John's Package Store at about 11:02 p.m. Police said the man fired a shot and told the store employees and customers to get on the floor. An off-duty Pine Lake Police Department officer was on security duty in the store and shot and killed him.</t>
  </si>
  <si>
    <t>Itawamba County Sheriff's Office, Mississippi Bureau of Investigation, Mississippi Highway Patrol</t>
  </si>
  <si>
    <t>An officer attempted to detain a man who was walking in the roadway carrying a weapon. The officer got out of the vehicle and told the man to drop the weapon. The man reportedly failed to comply with the officer's demands to drop the weapon and continued walking. The officer shot and killed him.</t>
  </si>
  <si>
    <t>Officers responded at 2:21 a.m. to a call from an employee at Salem's about a large crowd gathered in the parking lot, police said. Officers attempted to clear the parking lot when Officer Raj Patel noticed a black Chevrolet Camaro that fit the description of a vehicle stolen from Winter Haven. As multiple officers approached the vehicle, the driver, Michael Jerome Taylor, allegedly attempted to flee. Officer Markais Neal and two other officers shot and killed Taylor as he reportedly accelerated through the parking lot, striking several vehicles and a utility pole.</t>
  </si>
  <si>
    <t>At about 12:30 p.m., Damon Barstad charged officers as they opened the holding cell he was being held in. During the struggle, Barstad, a homicide suspect out of Warren, Michigan, was shot and killed by a Toledo police officer. Barstad was not handcuffed at the time of the shooting and had gained control of an officer's Taser.</t>
  </si>
  <si>
    <t>Officers were called just after 11 p.m. on reports of someone exposing himself. Callers pointed officers toward the apartment that man lived in, and they went to speak with the man, and a fight started. Police said the man was able to take an officer's gun away and shoot the officer before the other officer shot and killed him.</t>
  </si>
  <si>
    <t>Sean Sharpe was waiting inside his ex-girlfriend's home in Newark when she and their 11-year-old daughter returned home just after 9 p.m. The woman had an active restraining order against Sharpe. Sharpe forced the woman and his daughter out of the house at gunpoint, but his daughter was able to escape and call police. Sharpe held the woman hostage for more than seven hours while police tried to end the crisis with non-lethal methods. At about 5:30 a.m., Sharpe pointed his gun at his ex-girlfriend's head and then at police, who shot and killed him.</t>
  </si>
  <si>
    <t>A driver spotted an SUV driving erratically, police said. At one point, the driver began chasing the person who called police. The vehicle was also driving without headlights on. Police spotted the car and gave pursuit. At one point, police and a sheriff's deputy broke off pursuit but re-engaged at 66th Avenue, where the car turned on to Century Avenue, and officers and a sheriff's deputy blocked the vehicle. The driver began ramming a police and sheriff's department vehicle, and went north. A Yakima officer shot and killed the driver.</t>
  </si>
  <si>
    <t>Rangley Police Department, Rio Blanco County Sheriff's Office</t>
  </si>
  <si>
    <t>Officers with the Rangley Police Department and deputies with the Rio Blanco County Sheriff's Office were investigating a report of a stolen vehicle. As deputies and officers attempted to apprehend a person at the intersection, shots were fired, killing one of the non-police people involved.</t>
  </si>
  <si>
    <t>Police responded to a call about a shooting at the America's Best Value Inn. Upon arrival, they found 28-year-old Sandee Warren suffering from a fatal gunshot wound near the lobby of the motel. People told officers that a possible suspect was in a nearby room at the same motel. Officers found Joshua Boyd, who reportedly was armed with a handgun. Police shot and killed Boyd.</t>
  </si>
  <si>
    <t>Jason Paul O'Bannon</t>
  </si>
  <si>
    <t>Between noon and 8:19 p.m., several callers reported Jason Paul O'Bannon was shooting a gun in a yard. When they arrived, deputies saw a man shooting in his yard, and people apparently hiding. O'Bannon allegedly fired several shots and pointed a Winchester .30-30 rifle at Nye County Sheriff's Office Deputy Wesley Fancher. At 9:23 p.m., Fancher, 34, fired four times, killing O'Bannon.</t>
  </si>
  <si>
    <t>Officer Curt McKee shot and killed Justin Smith after Smith allegedly ran into a stranger's home and then moved toward McKee with a knife.</t>
  </si>
  <si>
    <t>Officer Joseph Decoteau pulled over Adrian Bunker in his gray Silverado pickup truck around 3:20 a.m. According to police, an armed confrontation resulted in Bunker's death. Police withheld details as to what precipitated the killing.</t>
  </si>
  <si>
    <t>Bemidji Police Department, Beltrami County Sheriff's Office</t>
  </si>
  <si>
    <t>Bemidji police officer Bidal Duran and Beltrami County sheriff's deputy Brandon Newhouse shot and killed Vernon May, who was a passenger in a car that was stopped for a traffic violation. May allegedly had a warrant for his arrest and threatened the officers.</t>
  </si>
  <si>
    <t>Colorado River Indian Tribes Police Department, La Paz County Sheriff's Office</t>
  </si>
  <si>
    <t>About 4:40 a.m., when Clark County deputies and Vancouver police officers responded to reports of a stolen vehicle. Deputies found the pickup and saw someone inside. The driver allegedly rammed the deputy's patrol vehicle, and police shot and killed an occupant, David Villagran.</t>
  </si>
  <si>
    <t>Virginia Police Department, St. Louis County Sheriff's Office</t>
  </si>
  <si>
    <t>A Ford Expedition SUV that was driving away from a traffic stop. The SUV allegedly was dragging a Kansas Highway Patrol trooper and a Topeka police officer. Police said the trooper shot and killed the SUV's driver, Jarmane Dywane Logan, after he refused commands to stop.</t>
  </si>
  <si>
    <t>At about 11:10 p.m., officers went to Preston Apartments to serve a first-degree murder warrant. A man identified by family members as Roderick McDaniel was shot and killed by a Columbia County sheriff's deputy.</t>
  </si>
  <si>
    <t>Shasta County Sheriff's Office, Butte County Sheriff's Office, California Department of Fish and Wildlife</t>
  </si>
  <si>
    <t>One of Joseph Loughery's relatives, who had earlier told Dublin police he was missing, called police requesting a welfare check, police said. Auburn police officers approached Loughery, found sitting in his truck in the parking lot of a gas station around 1:15 p.m. He was holding a sawed-off .22-caliber rifle and moving his arms while officers ordered him to disarm. When he failed to comply, police shot and killed him.</t>
  </si>
  <si>
    <t>Police received a call at 11:30 a.m. from a woman at a home who feared a man in the home with a history of recent mental health issues might try to kill himself, police said. A veteran officer and a trainee responded. As soon as the door opened, they saw a pool of blood on the floor and a man with a knife with a 12-inch blade coming at them. The veteran fired his Taser, but one of the darts hit West's belt and did not stop him. West kept advancing and the trainee officer shot and killed him.</t>
  </si>
  <si>
    <t>After security asked a group of drunken men to leave Manny's Blue Room Bar around 4 a.m., someone came back with a gun and opened fire. Security returned fire, and armed security guard Jemel Roberson restrained one of the men involved outside. An officer responding to the scene shot and killed Roberson, according to witnesses, despite being told he was a security guard. The officer's name has been withheld by police.</t>
  </si>
  <si>
    <t>U.S. Marshals Service, Los Angeles County Sheriff's Department</t>
  </si>
  <si>
    <t>Charlotte County Sheriff's Office</t>
  </si>
  <si>
    <t>At 5:12 a.m., dispatchers got 9-1-1 calls about a man with a gun at a McDonald's. One caller followed George Smith who claimed to have an AK 47. At 5:15 a.m., Deputy Austin Oskey arrived and tried to talk with Smith, ordering him to drop his gun. Deputy Deryk Alexander then arrived with a shield team and carried a less-lethal shotgun. He fired three rounds at Smith from 72 feet away and hit Smith twice. Those shots did not incapacitate Smith, and he allegedly tried to aim his gun at law enforcement. Deputy Oskey was at back of the vehicle and fired four rounds, killing Smith.</t>
  </si>
  <si>
    <t>Officers responded to the Orchard Manor housing complex after a call to Metro 9-1-1 just before 3 p.m., police said. The person who called 9-1-1 was a relative of a woman who reported Moore had taken the woman's child and ran into the woods while threatening to harm the child. The relative told dispatchers there possibly were weapons involved. When officers arrived, Moore placed a knife to the woman's neck and was threatening to hurt her, and and he allegedly refused to comply with officers' commands, and he was shot and killed.</t>
  </si>
  <si>
    <t>An Idaho state trooper pulled over a vehicle around 11:40 p.m. Police said that during the traffic stop the vehicle's driver, Jesse J. Quinton, fled on foot and was chased by the trooper. The foot chase ended with a fight between the trooper and Quinton during which the trooper shot and killed Quinton.</t>
  </si>
  <si>
    <t>Ida Christy Stiles called 9-1-1 and asked for Monroe County deputies to come to her home. Once deputies arrived, Stiles wouldn't open the door. Police entered her home and were confronted by Stiles allegedly holding a pistol. Three deputies shot and killed her. The pistol she held was a CO2 pellet gun.</t>
  </si>
  <si>
    <t>El Dorado County Sheriff's Office, South Lake Tahoe Police Department</t>
  </si>
  <si>
    <t>South Lake Tahoe Police officers were pursuing a motorcycle around 1 p.m. when the driver allegedly shot at officers. Officers called for assistance from the El Dorado County Sheriff's Office. At some point, the Billy Jo Johnson was was shot and killed.</t>
  </si>
  <si>
    <t>An off-duty corporal with Baltimore County Police with the surname Gonzalez shot and killed Derrick Sellman. Gonzalez was finishing his shift working as a security guard when another guard saw a black 2011 Chevrolet Suburban driving erratically near the mall's ShopRite grocery store. Sellman allegedly threatened Gonzalez with the vehicle.</t>
  </si>
  <si>
    <t>A Snohomish County sheriff's deputy had been called to a disturbance around 10:15 p.m. in a nearby neighborhood. Moments later, the deputy radioed that he was following a pickup as it drove wildly on Filbert Road. At the end of the pursuit, Nickolas Peters was shot and killed. Details as to what led up to the shooting where withheld by police.</t>
  </si>
  <si>
    <t>Cape May County Prosecutor's Office</t>
  </si>
  <si>
    <t>William Cox was shot and killed after allegedly making threats against a hostage's life and pointing a gun toward police.</t>
  </si>
  <si>
    <t>A passerby found Garza in "medical distress" around 7:26 p.m. outside of Park Middle School. Police said Garza displayed "abnormal behavior," so dispatchers also sent an officer with medics. After Officer Jair Ealy-Thomas saw a knife near Garza, he ordered him to step back. When Garza didn't comply with orders, Ealy-Thomas shocked him with a Taser. Garza was taken to Trios Southridge Hospital, where he died hours later.</t>
  </si>
  <si>
    <t>Newark Police Department, Essex County Sheriff's Office</t>
  </si>
  <si>
    <t>Officers were dispatched to a Walmart for a shoplifting call. After officers found Michael John Stout, he allegedly produced a gun and fired at officers as they began exiting their vehicle. Police said Stout fired multiple rounds and hit the officers' car. One officer fired a round at the suspect from outside the car, while the other officer fired four rounds from inside the car, through the windshield. Stout was shot and killed.</t>
  </si>
  <si>
    <t>Patrick Shawn Dowdell was accused of strangling his wife when he opened fire in a Fayette County magistrate's office, injuring four people before police shot and killed him.</t>
  </si>
  <si>
    <t>Christian County Sheriff's Department</t>
  </si>
  <si>
    <t>An officer observed David Huffines sitting on the sidewalk. The officer walked toward the man, police said. The area was dark, and the officer asked to see the man's hands as he was speaking to him. Huffines stood up, produced a small handgun and pointed it at the officer. Mesa police said that there was an exchange of gunfire, and Huffines was killed.</t>
  </si>
  <si>
    <t>About 4:15 a.m., police responded to a woman's call for help, police said. They broke into the house and inside they reportedly found a man inside a closet armed with a box cutter and the screaming woman. The officers ordered the man to drop the box cutter, but he allegedly "charged" at them with the box cutter and was shot and killed.</t>
  </si>
  <si>
    <t>Citrus County Sheriff's Office, Hernando County Sheriff's Office</t>
  </si>
  <si>
    <t>Texas Department of Public Safety, Harris County Sheriff's Office</t>
  </si>
  <si>
    <t>Chad Setzer was a suspect in a burglary at Wright's Realty/Notary, where cash and a pistol were stolen. Five troopers and a Port Allegany Borough Police officer went to a home to serve an arrest warrant on Setzer. When Setzer came outside, he shot at the officers, and he was shot and killed.</t>
  </si>
  <si>
    <t>About 10 a.m., deputies in Saguache County began pursuing a Jeep Patriot that had been reported stolen. The deputies were joined by a Colorado State Patrol trooper and an Alamosa County sheriff's deputy. During the chase, the female passenger allegedly brandished a shotgun. Spike strips placed on Colorado 17 blew out the tires and eventually brought the car to a stop. The man driving the Jeep and the woman, armed with the shotgun, got out of the Jeep. The trooper fired several shots at the man and woman, one of whom allegedly fired a weapon. The woman was killed by law enforcement officers, while the man apparently killed himself,</t>
  </si>
  <si>
    <t>Jefferson County Sheriff's Office, Herculaneum Police Department, Festus Police Department</t>
  </si>
  <si>
    <t>Douglas Heath was being sought on a variety of charges, including narcotics and fleeing from police. Police found Heath's car about 3 p.m., and they pursued the vehicle. Police said Heath's car crashed about 3:15 p.m. and as Heath exited the vehicle from the passenger's side, an exchange of gunfire occurred. Heath was shot and killed.</t>
  </si>
  <si>
    <t>Simpson County Sheriff's Office</t>
  </si>
  <si>
    <t>Multiple officers shot and killed Stephen L. Caldwell, who had been holding a woman hostage and had refused officers' commands to put down a knife—after already stabbing two other women.</t>
  </si>
  <si>
    <t>Officers were called shortly after 10 p.m. to a home. They encountered Wilson, who was armed with a handgun and reportedly threatened to harm himself. Wilson's parents were at the home and were reported to be in danger. According to police, Wilson threatened officers with a handgun. An officer shot and killed him.</t>
  </si>
  <si>
    <t>Michael Gonzales was a suspect in an armed robbery at a Kohl's store. He was fatally shot by an officer as he fled in a car and allegedly attempted to hit the officer who was on foot.</t>
  </si>
  <si>
    <t>A deputy was on patrol looking for parking violators in the five-story parking garage at Kent Station when he found a suspicious vehicle on the first floor around 8:40 a.m. The deputy was making contact with the car's two occupants when he was notified over his police radio that the car had been reported stolen. The deputy reportedly attempted to arrest the driver, who armed himself with an AR-15 rifle, and a fight began. The deputy shot and killed Jesus Murillo.</t>
  </si>
  <si>
    <t>Campbell County Sheriff's Office, Tennessee Highway Patrol</t>
  </si>
  <si>
    <t>Officers responded to a call about a man firing a gun inside a home. He left on a motorcycle with the gun before officers arrived, police said. Officers found the motorcycle at a church. After the man emerged from a nearby wooded area, he briefly followed officers' commands to put down the gun but picked it back up as officers moved closer and was shot and killed.</t>
  </si>
  <si>
    <t>Carver County Sheriff's Office</t>
  </si>
  <si>
    <t>Officer Craig Burns responded to a Loaf ‘N Jug after an off-duty sheriff's deputy spotted a car that police said belonged to a man who had threatened people with a gun earlier that morning. Burns encountered William T. McCollum. Police said McCollum threatened the officer, but they withheld details as to why McCollum was shot and killed by Burns.</t>
  </si>
  <si>
    <t>A three-hour hostage situation in a Eustis neighborhood ended in a hail of bullets when five members of the Lake County Sheriff's Office opened fire on an armed man who charged toward them pointing a gun, police said.</t>
  </si>
  <si>
    <t>Kane County Sheriff's Office</t>
  </si>
  <si>
    <t>Fifteen days after being granted probation for a previous home burglary, police said Christian Webb put on a mask and, armed with a stolen gun, entered the home of an off-duty Wichita patrol officer. Once inside the officer's home, Webb began making demands of the officer, whose wife and two daughters were nearby. The officer grabbed the gun issued to him by the Wichita Police Department and shot Webb multiple times. Webb shot the officer, whose name has not been released by the Wichita Police Department, in the leg. The officer was released from the hospital within a couple of hours.</t>
  </si>
  <si>
    <t>Lawrenceburg Police were searching for a suspect following the armed robbery at a pharmacy. A man matching the suspect's description was found by police in a nearby Walmart parking lot. Police said, the man was armed with a knife, and an officer shot and killed him.</t>
  </si>
  <si>
    <t>Coos Bay police had twice attempted to arrest Eric Sweet for a felony attempting to elude a police officer. In both incidents, pursuits were discontinued for safety reasons. Officers arrived at Sweet's home to find his car parked several feet from the curb and his driver's door open. Sweet later came out of the home with a rifle and was ordered by police to drop his weapon. Sweet allegedly pointed the rifle toward one of the police officers and was shot and killed.</t>
  </si>
  <si>
    <t>Thomas Albun Beall Jr. entered Chili's Grill &amp; Bar and brandished a knife, while threatening customers. Responding officers entered the restaurant and shot and killed him.</t>
  </si>
  <si>
    <t>Police were called to check on a woman with a sword. The woman, Ashley D. Fulkerson, allegedly entered someone's home then ran into a shed. Police tried to make contact with the woman. She refused to come out. Officers deemed the woman's behavior threatening, and an officer shot and killed her. Officers had initially responded to a 9-1-1 hang-up call.</t>
  </si>
  <si>
    <t>A woman found Megan Motter shot in the head Wednesday morning. Deputies went to an apartment looking for James Garen, and when they arrived, Garen fired at them, and they fired three shots back. Garen allowed his girlfriend's sister to leave and later agreed to surrender and allowed his girlfriend to leave the apartment. But Jones said Garen claimed he wanted to smoke a cigarette first. At that point, he closed the door. Two shots fired immediately. His mother, Sharon McCleary, was found shot in the head in the apartment. She was sitting in a chair where her family said she spent most of her time because she was blind and had health problems.</t>
  </si>
  <si>
    <t>Troup County Sheriff's Office, LaGrange Police Department</t>
  </si>
  <si>
    <t>Shamir Deangelo Terry allegedly entered a Circle K and walked up to an employee while pointing a handgun at them. Terry became frustrated with the employee and fired a shot in the store before taking an undisclosed amount of money and running off in the direction of the Applebee's on Riverside. A deputy was driving through the parking lot of Applebee's when a witness flagged them down and told them about the robbery. After a brief foot chase, Terry allegedly pulled out a gun and pointed it toward the deputies, who shot and killed him.</t>
  </si>
  <si>
    <t>Fullerton police were called to a therapist's office about 7:35 a.m. following reports of a woman with a knife. As officers responded, a woman called 9-1-1 to report she had been stabbed by one of her patients, Katherine Brazeau. Two officers arrived to find Brazeau had barricaded herself inside the office of her therapist, Jacki Stevens, 40. When police confronted Brazeau, still armed with a knife, they shot and killed her. Police withheld information as to what precipitated the killing.</t>
  </si>
  <si>
    <t>An off-duty officer on his way to work shot Zane James, who was driving a motorcycle, after he allegedly attempted to flee during a traffic stop. The officer tried to pull James over because he allegedly matched the description of someone who had robbed two Sandy grocery stores—a Smith's and Macy's—earlier that morning.</t>
  </si>
  <si>
    <t>Dade County Sheriff's Office</t>
  </si>
  <si>
    <t>Morgan County Sheriff's Office</t>
  </si>
  <si>
    <t>Around 11:15 a.m., members of the Oklahoma's U.S. Marshals Metro Fugitive Task Force shot and killed Daniel Johnson. During an attempted arrest, Johnson produced a long gun and fired multiple rounds at the Task Force members, who shot and killed him.</t>
  </si>
  <si>
    <t>Terence Leslie, 32, was stopped about 2:20 a.m. at an Exxon gas station. The officer was conducting a field sobriety test on Leslie when he allegedly began to fight with the officer. During the fight, the officer shocked him with his Taser. Leslie grabbed at the Taser and broke the officer's arm. The officer shot and killed Leslie.</t>
  </si>
  <si>
    <t>Guernsey County Sheriff's Office</t>
  </si>
  <si>
    <t>A 73-year-old man was killed while brandishing a firearm at Guernsey County sheriff's deputies who were executing a doctor's order to convey him to a mental health care facility, police said.</t>
  </si>
  <si>
    <t>Police pulled up behind a bank robbery suspect's vehicle, which was stopped at an intersection and attempted to pull him over. Charles Boeh tried to get away by pulling forward and ramming his vehicle between two cars stopped in front of him at the light, police said. Officers shot and killed him when he allegedly brandished a handgun.</t>
  </si>
  <si>
    <t>Tazewell County Sheriff's Office</t>
  </si>
  <si>
    <t>About 10:20 a.m., the sheriff's office received a 911 call about a dispute between Thedford and his landlord. A deputy spoke with Jessie Thedford, who was not cooperative and was detained. Another deputy arrived, Thedford was searched and a substance suspected to be methamphetamine was found on him. Thedford was arrested, handcuffed and put in the back of a patrol car. He slipped through the partition into the driver's seat and tried to drive toward deputies and the landlord. Deputies ordered him to stop, but Thedford did not comply, and police shot and killed him.</t>
  </si>
  <si>
    <t>Bruce Arnold Allee was on the run after allegedly walking into a family's garage, trying to carjack a running vehicle with a little girl was inside and then shooting her father when he tried to intervene. He was shot and killed when police caught up with him.</t>
  </si>
  <si>
    <t>The Washington County sheriff's office received a call just after midnight about a man who had been making suicidal comments, police said. Deputies found him, and he was armed with a handgun. Officers spoke with the man and at one point used less-lethal bean bag rounds to try to incapacitate the man. Later, a deputy shot and killed him.</t>
  </si>
  <si>
    <t>Genesee County Sheriff's Office</t>
  </si>
  <si>
    <t>A Genesee County sheriff's deputy shot and killed Keith A. Kent who allegedly refused to follow police orders to drop his handgun, police said. Kent was shot outside the Indian Falls Log Cabin restaurant around 11 p.m.</t>
  </si>
  <si>
    <t>Alleghany County Sheriff's Office</t>
  </si>
  <si>
    <t>A deputy with the Alleghany County Sheriff's Office received a call from the communications office about a person in the lobby requesting to speak with an officer. The deputy found Chad Montgomery waiting in the lobby. Montgomery allegedly pulled a machete-style knife and charged at the deputy. The deputy shot and killed him.</t>
  </si>
  <si>
    <t>Two suspects were driving what police said was a stolen car and were spotted by an OHP trooper and a Delaware County sheriff's deputy. The officers pursued the suspects for about 2 miles before the suspects turned onto 575 Road, crashing the vehicle in a field, then fleeing on foot. One suspect fled and the other suspect broke into a mobile home, taking a hostage. About 50 officers with the Grand River Dam Authority Police, Delaware County Sheriff's Office, Colcord and Kansas police departments and OHP responded around 10 a.m. As the man held a disabled man at gunpoint, police charged the trailer and shot and killed the man.</t>
  </si>
  <si>
    <t>Vernon Parish Sheriff's Office</t>
  </si>
  <si>
    <t>Cameron County Sheriff's Office</t>
  </si>
  <si>
    <t>Luis Alvarez's mother, Esmeralda Vega, said she called police because her son was fighting with his girlfriend and wouldn't stop. According to Vega, the girlfriend wanted to leave, but Alvarez wouldn't let her. When police arrived, Alvarez went outside with a knife. Family members said both hands were up when Alvarez was shot and killed.</t>
  </si>
  <si>
    <t>Wise County Sheriff's Office</t>
  </si>
  <si>
    <t>100 Uncle Harvey's Lane</t>
  </si>
  <si>
    <t>Around 10:30 a.m., Michael Ward was stopped in a Volkswagen at a stop sign with two vehicles behind him. He allegedly became angry when one of the cars honked their horn. He allegedly hit the driver's side window of the vehicle behind him with a bat. When the victim got out of his car, police say Ward struck him in the head with the bat. Then, police said, Ward went after the driver of the other vehicle, who was in a gray van. He allegedly smashed the driver's side window on that vehicle as well. When an officer approached Ward, he came at him with the bat. A person who tried to help was also hit in the head with the bat. The officer attempted to use his Taser, but it didn't stop Ward, and he was shot and killed.</t>
  </si>
  <si>
    <t>Midland County Sheriff's Office</t>
  </si>
  <si>
    <t>At 7 a.m., state police were called to a home in Ft. Sumner in reference to the violation of a restraining order. Police say Lucero entered his ex-girlfriend's home, and they fought. During the fight, a friend of the ex-girlfriend's showed up to the home, and Lucero shot and wounded her. Lucero fled, and the search for him began. Police were alerted to a fire in Ft. Sumner where they found two structures and what they believed was Lucero's car on fire. From there, they found Lucero, and he was shot and killed. Details as to what precipitated the killings was withheld by police.</t>
  </si>
  <si>
    <t>Two armed robbery victims flagged down uniformed officers around 10:35 p.m., police said. Officers found the suspect vehicle, a black Honda Civic, and ordered everyone out. The driver reportedly got out of the car and was arrested, but the officers saw that the car's trunk was ajar, and someone was inside. He was ordered out, and allegedly there was a gunshot, and he was shot and killed.</t>
  </si>
  <si>
    <t>Deputies were investigating a string of home robberies when they encountered Ryan L. Smith as he drove a Nissan Altima recklessly, weaving across lanes, police said. When deputies tried to stop him, he acted like he was going to stop, then drove through a yard, abandoned the car and began running. Deputies on foot chased Smith into a backyard shed, but Smith allegedly threatened them with a knife. Polk Sheriff's Sgt. Eric Daniel shot and killed him.</t>
  </si>
  <si>
    <t>Ohio State Highway Patrol, Crawford County Sheriff's Office, Shelby Police Department</t>
  </si>
  <si>
    <t>An Ohio State Highway Patrol trooper saw a man walking along the roadway. When he stopped to investigate, the man, who was carrying a shotgun, fired a single round at the trooper's vehicle before running into a nearby field. Later a deputy spotted the man walking in a field toward a residence. The man entered his home after refusing to follow commands of police. As officers pulled up in front of the home, the man came back outside, refused to obey demands and pointed his gun at officers who shot and killed him.</t>
  </si>
  <si>
    <t>Jamestown Police Department, Stutsman County Sheriff's Office</t>
  </si>
  <si>
    <t>Beaufort County Sheriff's Office</t>
  </si>
  <si>
    <t>On Feb. 17, Trey Pringle's relative called 911 to report that Pringle was allegedly "out of control, injured, bleeding and in need of medical assistance" after breaking items inside a home on Detour Road, police said. When deputies arrived and attempted to restrain Pringle, he allegedly punched one of the deputies in the head and injured another deputy's ankle. Pringle lost consciousness after being tasered and physically restrained. He died a few days later.</t>
  </si>
  <si>
    <t>Nathaniel Montoya was wanted for questioning following a murder. Police spotted a van matching the description of Montoya's, and made a traffic stop. Montoya fled, and a high-speed chase began. The van, driven by Montoya, struck a parked vehicle in a convenience store parking lot, ending the chase, police said. At least one officer fired several rounds, killing Montoya.</t>
  </si>
  <si>
    <t>Police were told Ryan Batchelder threatened to shoot someone in Xstream Games 3. Deputies found Batchelder in his car and pursued his vehicle but ended the chase at FL-200 due to high speeds and heavy traffic. A short time later, he was spotted on southbound U.S. 41. Deputies said Batchelder pointed his gun at them, and they attempted to stop him. Batchelder crashed his car into a sheriff's vehicle and caused the cruiser to hit three other parked cars. Deputies shot and killed Batchelder in his vehicle.</t>
  </si>
  <si>
    <t>Wabash County Sheriff's Office, Huntington County Sheriff's Office</t>
  </si>
  <si>
    <t>Mendocino County Sheriff's Office, Willits Police Department</t>
  </si>
  <si>
    <t>South Gate police attempted to stop a gold Lexus for a traffic violation when the car failed to stop and the driver led officers on a two- minute pursuit. The driver stopped the car and was detained while the car's passenger walked away, police said. The passenger was later found inside a shed in the backyard of a residence where he pointed a gun at the officers and was shot and killed.</t>
  </si>
  <si>
    <t>At approximately 1:15 a.m., Salvadore Byassee did not yield to a sobriety checkpoint being conducted by the Kentucky State Police on Highway 1218, which resulted in an initial pursuit by the Kentucky State Police and the Hickman County Sheriff's Office. Byassee temporarily evaded police after wrecking his car and fleeing on foot in Weakley County. Byassee later allegedly stole a car in Weakley County and was again located by the Hickman County Sheriff's Office. This second pursuit ended with the fatal shooting, when Byassee allegedly threatened a deputy with a knife.</t>
  </si>
  <si>
    <t>A burglary suspect was shot and killed by a Sonoma County sheriff's detective at a Ukiah motel after her accomplice leveled a gun at officers, police said. The woman was allegedly also armed.</t>
  </si>
  <si>
    <t>A man called police at about 6:25 p.m. and told them he had a firearm and hatchet and was going to shoot up the neighborhood, police said. When officers arrived at the home, they talked to the caller's mother, escorted her to the porch and went inside. There, Todd Stone allegedly advanced toward the officers wielding the hatchet in a threatening manner, and he was shot and killed.</t>
  </si>
  <si>
    <t>An Adams County Sheriff's deputy was called to check on the well-being of a person. While there, the deputy overheard a disturbance at a neighboring apartment and started to investigate, police said. A man attempted to run away. When the deputy tried to arrest him, a fight allegedly started between the two of them. During the fight, the deputy shot and killed Kyler Grabbingbear.</t>
  </si>
  <si>
    <t>According to police, the Henry County Sheriff's Office received a call about a male subject trying to force his way into a residence. When the man was unable to make entry, he began firing a handgun outside the residence. Police said the man began firing at the Henry County Sheriff's deputies' vehicles when they arrived. One of the sheriff's deputies shot and killed him.</t>
  </si>
  <si>
    <t>A woman called the sheriff's office just before noon after a man pointed a gun at her and pulled the trigger. The gun didn't go off. Deputies arrived at the man's home a few minutes later. He allegedly told them he would not be taken alive and that deputies would have to kill him. The man then came outside with his weapon and began firing, police said. Deputies shot and killed him.</t>
  </si>
  <si>
    <t>Taos County Deputies got a call about a domestic violence situation. The call involved a man and his estranged ex-girlfriend at a property that belonged to the ex-girlfriend's family. They found the man barricaded inside a bedroom in the home, armed with a rifle. As they were setting up a perimeter, the man climbed onto the roof. He allegedly aimed at police and was shot and killed.</t>
  </si>
  <si>
    <t>Hays County Sheriff's Department</t>
  </si>
  <si>
    <t>Hays County Sheriff's Department responded to a call of a possible break-in at Jean's Antiques. Several deputies arrived, and someone began shooting at them, striking their patrol vehicles and wounding one of the deputies. The deputies fired back, and West was found dead in the woods.</t>
  </si>
  <si>
    <t>Laclede County Sheriff's Office, Missouri Highway Patrol</t>
  </si>
  <si>
    <t>Matagorda County Sheriff's Office</t>
  </si>
  <si>
    <t>A gang unit from the Los Angeles Police Department's Van Nuys Station had begun following a gray car, which officers believed was stolen, police said. During the pursuit, someone inside the vehicle allegedly opened fire on the pursuing police car. They continued following the car until it crashed into a light pole a short distance away. Oscar Anaya got out of the car and was shot and killed.</t>
  </si>
  <si>
    <t>Iowa Department of Natural Resources, Humboldt County Sheriff's Office</t>
  </si>
  <si>
    <t>Officers with the Iowa Department of Natural Resources and the Humboldt County Sheriff's Office went to a home at about 2:30 p.m. Officers had been told a wanted person, Shane Jensen, was hiding under the residence's deck. When police arrived, they encountered an armed man. Jensen allegedly fired a weapon into the air, then pointed it at the officers. An Iowa Department of Natural Resources officer shot and killed him.</t>
  </si>
  <si>
    <t>An off-duty Denver police officer shot an alleged intruder, Kerry Hughes, after Hughes allegedly broke into the officer's Littleton home</t>
  </si>
  <si>
    <t>Neshoba County Sheriff's Office</t>
  </si>
  <si>
    <t>Ashland County Sheriff's Office</t>
  </si>
  <si>
    <t>Owen County Sheriff's Office, Indiana State Police</t>
  </si>
  <si>
    <t>A deputy leaving the parking lot saw a vehicle backed into the exit gate area of the Arapahoe County Sheriff's Office. The deputy contacted the driver, Mark Bidon, and saw that he had a gun. Two other deputies arrived. Bidon, a former deputy, turned the gun toward one of them, and deputies shot and killed him.</t>
  </si>
  <si>
    <t>Conway County Sheriff's Office</t>
  </si>
  <si>
    <t>Police said Jody Thomas was shot and killed at her Wallback-area home. Samuel Lanham was wanted for that murder, Cooper said. Lanham stole Thomas' car after he allegedly killed her. After a chase, a gunbattle and a crash, Lanham was shot and killed.</t>
  </si>
  <si>
    <t>State police were called to the Mark II Mobile Home Park for a report of a man wielding a knife, acting erratically and threatening neighbors, police said. Gallo met the two troopers at the entrance of a neighbor's trailer. He threatened to kill the troopers and refused to put down his knife, and retreated into the home. The troopers pursued him, and in a back bedroom, Gallo turned and faced the troopers, then advanced toward them, ignoring commands to put down the knife, and was shot and killed.</t>
  </si>
  <si>
    <t>Palatka police shot and killed Tyrell Dewayne Pinkston during a confrontation outside the Mellon Manner Apartments after being called to assist the Sheriff's Office for domestic disturbance, police said.</t>
  </si>
  <si>
    <t>Officers with the Fairview Police Department responded to a disturbance at a home around 1 a.m. Tuesday. Hughes reportedly came outside and confronted the officers armed with a gun. An officer used a stun gun on him, but it didn't work. Hughes allegedly drew his weapon and was shot and killed.</t>
  </si>
  <si>
    <t>At about 1:30 a.m., Anthony Robinson's father called 911 to report that his son had just fired multiple shots outside his home. Officers spotted Robinson leaving the area and attempted to pull him over. When Robinson refused to stop, the police pursued. Robinson lost control of his vehicle and crashed. Robinson ran into the Memphis Cemetery, and when Officers Angel Uruchima and Madison Peters followed him, Robinson was shot and killed in a gunfight.</t>
  </si>
  <si>
    <t>A man called 911 and told dispatchers he was armed and feeling suicidal, police said. When officers arrived just before 11 p.m., the man was found passed out on the ground. Arriving officers found he had an outstanding felony warrant out for his arrest. The man was too intoxicated to pass the booking process at the Clark County Detention Center, police said, and he was taken to University Medical Center. A corrections officer from the jail met the patrol officer and the man inside an emergency room at the hospital. When the two officers stepped out of the room to speak, the corrections officer left his bag inside the room with the suspect. The bag contained a Taser along with shackles and paperwork. While alone in the room, the suspect armed himself with the officer's Taser. He pointed the Taser toward the security guard. When the guard and nurse ran out of the room, the patrol officer stepped into the room and shot and killed him.</t>
  </si>
  <si>
    <t>Deputies were called to Capital City Bank about 10:49 a.m. for a report of a bank robbery. There were also reports of a possible hostage. About 11:16 a.m., deputies spotted the suspect's truck. The driver, Scott Chamberlain, fled and led deputies on a chase. During the chase, Chamberlain rammed several patrol vehicles. Chamberlain's truck became inoperable just north of Martin Luther King Jr. Boulevard where deputies shot and killed him.</t>
  </si>
  <si>
    <t>A driver was reported as speeding on C-470 and passing cars on the shoulder, police said. A deputy came upon the car, which was unoccupied, at an O'Reilly's Auto Parts store. A short time later, Austin Dunsmore got into the car. The deputy got out of his patrol car, and an unspecified confrontation between Dunsmore and the deputy ensued. The deputy shot and killed Dunsmore.</t>
  </si>
  <si>
    <t>A bank robbery suspect, Eddie Russell Jr., was shot and killed by Peoria police after an hours-long standoff at the man's home, police said.</t>
  </si>
  <si>
    <t>Union Parish Sheriff's Office</t>
  </si>
  <si>
    <t>Little information was immediately released. Union Parish Sheriff's deputies were dispatched to a residence in reference to a disturbance. Upon arrival, the deputies made contact with Randall Ross. Ross was shot and killed.</t>
  </si>
  <si>
    <t>Timothy Darrell Elam followed a worker into the Ronald Reagan State Building in downtown Los Angeles. The building was not open to the public when Elam followed an employee into the building and kept his hands concealed in a bag, police said. The man then shouted at employees at a security checkpoint to “get down on the floor.” That's when a CHP officer confronted Elam. Elam raised his hands toward the officer, who shot and killed him. Elam had been holding an aluminum can concealed within the paper bag.</t>
  </si>
  <si>
    <t>Lewis County Sheriff's Office</t>
  </si>
  <si>
    <t>Private First Class Justin Lieberth and Patrolman Drew Fox attempted to initiate a traffic stop on a vehicle that was being operated erratically by the driver. Jarvis Hayes pulled into the Mystic Sea Motel's parking lot, and eventually used the vehicle to strike an MBPD officer, police said. Officers shot Hayes, and he died a few days later.</t>
  </si>
  <si>
    <t>Debi Lynn Thorkelson was shot by a Lee County Sheriff's deputy after she pointed a rifle at him while he was responding to a 911 call, police said.</t>
  </si>
  <si>
    <t>Police were called to the Water's Edge apartments after getting a call about a woman who was home alone and threatening to harm herself, police said. When they arrived at Water's Edge, Sunrise officers learned that Kristen Ambury, who was described as suicidal, was armed, and Sunrise's SWAT team responded to the scene. When communication with the SWAT team and Ambury broke off, officers tried to enter the apartment to make sure she hadn't harmed herself, but they encountered the armed woman, and they shot and killed her. Ambury was a veteran who reportedly suffered from PTSD.</t>
  </si>
  <si>
    <t>Konstantin Morozov allegedly abducted his 9-year-old son after allegedly shooting and killing the child's mother, prompting an Amber Alert, was killed by police in Tarzana, and the child was found safe.</t>
  </si>
  <si>
    <t>Butte County Sheriff's Office deputies arrived at a residence to serve a felony arrest warrant, charging 56-year-old Mark Aaron Jensen with threatening officers, police said. Police approached the residence in an armored vehicle and tried to establish communication with Jensen over a loudspeaker. Jensen came out of the residence, armed with a handgun, and walked into the middle of the roadway. He pointed it at deputies, and "due to fear for his safety and the safety of other deputies," Deputy Matt Calkins shot and killed Jensen.</t>
  </si>
  <si>
    <t>A person was shot and killed by deputies. The sheriff's office did not say why deputies were at the home or who was shot.</t>
  </si>
  <si>
    <t>Two troopers in plain clothes responded to a Facebook ad from Belsar in which he was selling a computer gaming console, which the troopers suspected may have been stolen in a recent string of burglaries. Belsar tried to walk away from the troopers and when he refused an order to stop they began fighting with him. Belsar pulled a .38-caliber revolver from his waistband and fired one shot that went through one trooper's hand and struck the other in the abdomen. The troopers shot and killed him.</t>
  </si>
  <si>
    <t>Deputies were dispatched because Eduardo Navarrete's sister reported that he had kidnapped his brother-in-law, police said. When deputies arrived, Navarrete allegedly lunged at three of them with a knife, and he was shot and killed.</t>
  </si>
  <si>
    <t>Officers went to a home in response to a report of a domestic dispute, police said. The alleged victim, the man's estranged girlfriend, got out safely, and some evacuations were ordered in the neighborhood. At one point, the man fired shots at police, who returned fire. No officers were hurt. Police found Eric Bogart dead inside the residence. It was unclear whether he had been killed by police or shot himself.</t>
  </si>
  <si>
    <t>Junction City Police Department, Geary County Sheriff's Office</t>
  </si>
  <si>
    <t>Police said a man was wielding a large knife inside his home and advancing toward officers with the weapon in hand, ignoring their commands. He was shot and killed after officers' attempts to subdue him with a Taser and pepper spray failed.</t>
  </si>
  <si>
    <t>Police were dispatched to Ed's Carryout in New Straitsville for a disturbance call. After an fight, shots were fired inside the business, and Timmy Wilson was killed.</t>
  </si>
  <si>
    <t>Swisher County Sheriff's Office</t>
  </si>
  <si>
    <t>Police received a call from a child who reported their father had broken into a Los Banos apartment through a window, police said. When the first officer arrived, he met the man's children, who directed him to the apartment. The officer attempted to convince the man to step outside so the two could speak further, but the man was argumentative and would not comply. The man and the officer fought, and the officer used a Taser, but the man removed the electrical probes. A second officer arrived, but another struggle erupted, and the man was shot and killed.</t>
  </si>
  <si>
    <t>Owyhee County Sheriff's Office, Nampa Police Department, Caldwell Police Department, Canyon County Sheriff's Office, Idaho State Police</t>
  </si>
  <si>
    <t>Owyhee County Sheriff's Office deputies were performing a welfare check on a man's home around 11:30 p.m. when the man responded with gunfire. Dennis W. Robinson fled in a vehicle, leading law enforcement on a pursuit that stretched into the Owyhee Mountains. Robinson's vehicle crashed on Hardtrigger Road in Owyhee County, though it's not clear what caused the wreck. After his vehicle stopped, the man started a standoff with law enforcement, firing on them intermittently. He was shot and killed by officers.</t>
  </si>
  <si>
    <t>Indian River Sheriff's Office</t>
  </si>
  <si>
    <t>Deputies were called to Susan Teel's house after her family called 911 and told dispatchers she was trying to commit suicide. The sheriff's office said Teel charged at a deputy with a butcher knife, and the deputy shot and killed her.</t>
  </si>
  <si>
    <t>Trotwood Police Department, Montgomery County Sheriff's Office</t>
  </si>
  <si>
    <t>A Trotwood officer was hit by Kesharn K. Burney's car and knocked down as Burney tried to flee from police. A Montgomery County Sheriff's Deputy and the officer that was hit fired at the vehicle, striking and killing Burney.</t>
  </si>
  <si>
    <t>St. Louis County Police Department, Festus Police Department, Missouri Highway Patrol, Jefferson County Sheriff's Department</t>
  </si>
  <si>
    <t>St. Louis County police officers responded to a call about a one-car crash near the interchange of Interstates 270 and 55. When someone approached the car, Kershaw held him at gunpoint with a shotgun and handgun and demanded his car. Kershaw then carjacked a different car before heading south on I-55, police said. Officers spotted Kershaw in the second stolen car and tried to stop the vehicle. Police used stop sticks to pop the car's tires. After a gunfight, officers eventually approached the bullet-riddled car and found Kershaw dead.</t>
  </si>
  <si>
    <t>Chico Police Department, Butte County Sheriff's Office</t>
  </si>
  <si>
    <t>Yavapai County Sheriff's Office, Chino Valley Police Department</t>
  </si>
  <si>
    <t>Yavapai County Sheriff's Deputy Theresa Kennedy and Chino Valley Police Officer Jeffrey Pizzi shot Avena during a traffic stop when he confronted them with a gun, police said.</t>
  </si>
  <si>
    <t>Police responded to a call about an intoxicated person at Love's truck stop. Before officers arrived, the person tried to drive away, and officers pulled over the driver. Officers said Joshua Daniels got out of his car and pulled a handgun from behind his body and pointed it at the officer, who shot and killed him.</t>
  </si>
  <si>
    <t>The Sheriff's Department received a 911 call, but the caller hung up. Dispatchers call the person back and spoke to a woman who said her son had been at her house threatening to kill her, and she believed he had a gun. The son left the house, but while the woman was on the phone with the Sheriff's Department, he returned, threatened her and repeated that he had a gun. A sheriff's deputy and an officer from the Fulton-El Camino Recreation and Parks District arrived, and as they came down Fair Oaks Boulevard, the suspect came out into the street in front of the officers and leveled a handgun at them. The officers shot and killed him.</t>
  </si>
  <si>
    <t>Culpeper County Sheriff's deputies shot and killed the driver of a car that “presented a deadly threat” during a traffic stop, police said. Few details were immediately released.</t>
  </si>
  <si>
    <t>Damond, in her pajamas, went to the patrol car's driver's side door and was talking to the driver. The officer in the passenger seat shot Damond through the driver's side door. She had reportedly called 911 because she thought she heard noises behind her home.</t>
  </si>
  <si>
    <t>Police said a trooper responded to a single-car accident on the westbound side of the interstate and found “a female lying on the westbound lanes of I-40, armed with a firearm.” Medlin was driving a GMC Yukon XL when she veered off the road and crashed into an embankment. The Highway Patrol and the Johnston County Sheriff's Office withheld most information about the circumstances that led to the crash and shooting. Trooper J. L. Taylor and sheriff's deputy Taylor Davis shot and killed Medlin after she allegedly shot at them.</t>
  </si>
  <si>
    <t>The Putnam Sheriff's Office received a 911 call about a man who had cut himself in the neck and was armed with a knife at a house. A deputy and police officer found the man still armed and bleeding from the neck, according to police. After shocking him with a Taser, he was shot and killed.</t>
  </si>
  <si>
    <t>Police described Kareem Ali Nadir Jones' behavior as “erratic,” and he was walking between vehicles, looking for a few children who had thrown rocks at his girlfriend's sister's car. Police said Jones did not comply with officers' commands to get on the ground, and he was shot and killed. He allegedly had a gun, although what precipitated the killing has not be released.</t>
  </si>
  <si>
    <t>An Evangeline Parish sheriff's deputy responded to a report of an attempted burglary. The deputy arrived and made contact with DeJuan Guillory. Police said an altercation occurred between the deputy and Guillory. Guillory was shot and killed.</t>
  </si>
  <si>
    <t>Alexander Bonds shot and killed NYPD Officer Miosotis Familia, 48, and was then shot to death in a gunfight with two officers who responded to the call for help from Familia's partner.</t>
  </si>
  <si>
    <t>Somerset County Sheriff's Office</t>
  </si>
  <si>
    <t>After fatally shooting his wife, Lori Hayden, 52, and their 25-year-old son, Dustin Tuttle, Carroll Tuttle Jr. went down the road and gunned down Michael Spaulding, 57. Tuttle also shot and wounded Harvey Austin, 57, of Skowhegan outside of Tuttle's house, police said. Chief Deputy James Ross, his son Detective Michael Ross and Deputy Joseph Jackson all fired at Tuttle, according to McCausland. It was unclear who killed him.</t>
  </si>
  <si>
    <t>Police received a call about a man who was armed and homicidal near Griego's Market in Pecos. Officers came across the suspect's car, a red Ford Fusion. When they tried to approach the car, the driver took off down State Road 63. Officers later found the car and as officers approached the area, shots were fired from the car. Rip Huntington was eventually shot and killed.</t>
  </si>
  <si>
    <t>A police officer pulled over a possible stolen car. One of four people inside the car jumped out and ran to a home in the neighborhood with police in pursuit, police said. Jimmie Bevenue allegedly tried to kick in the door and pulled out a gun, prompting three officers to shoot and kill him on the home's front porch.</t>
  </si>
  <si>
    <t>Los Angeles County sheriff's deputies shot and killed Armando Garcia-Muro when their bullets bounced off the ground as they opened fire on an aggressive dog, sheriff's officials said.</t>
  </si>
  <si>
    <t>Vernon County Sheriff's Office</t>
  </si>
  <si>
    <t>Brandon Lukenbill was shot and killed during an altercation following a lengthy pursuit involving a Vernon County Sheriff's deputy. Few details were immediately released.</t>
  </si>
  <si>
    <t>King County Sheriff's Office deputies were called to a home following a report that a man armed with a knife had attacked someone at the home. The apparent victim fired a warning shot at his assailant before retreating into his house. Deputies arrived to find the man still armed with a knife, police said. One deputy fatally shot the man after two shots from a Taser stun gun failed to bring him down. It turned out to be a pen.</t>
  </si>
  <si>
    <t>Knox County sheriff's deputies Keith Liford and Claude Hudson were attempting to serve a warrant on John W. Bays, 50. Deputies located Bays inside a residence. Bays began shooting at both deputies. Deputy Liford was shot multiple times, and Deputy Hudson shot once, and they shot and killed Bays.</t>
  </si>
  <si>
    <t>Tulsa County Sheriff's Office, Tulsa Police Department</t>
  </si>
  <si>
    <t>Deputies with the Tulsa County Sheriff's Office's Mental Health Unit were trying to serve a civil “pickup order” for a 29-year-old, mentally ill man at his home. After several attempts, police got reports of a man with two knives. Barre attempted to go in a convenience store and was shot and killed.</t>
  </si>
  <si>
    <t>The sheriff's office received a call of a possible suicidal man that had barricaded himself inside a residence. When deputies and Oklahoma Highway patrol troopers arrived, Paul Mashburn, 58, was inside. Mashburn yelled out the window that he had guns and gasoline and he would shoot any officers that came near the house. The Cherokee Nation SWAT team negotiated with Mashburn for several hours. Mashburn began to break out windows and threaten officers; he then started a fire inside the residence and continued breaking out windows. He eventually pointed a pistol at officers and was shot and killed.</t>
  </si>
  <si>
    <t>Quentin Case was shot by a Polk County sheriff's deputy during a gunfight following a traffic stop in a remote, rural area southeast of Lake Wales. Case allegedly pulled a gun on the deputy after crashing his motorcycle.</t>
  </si>
  <si>
    <t>Dawley called 911 and told a dispatcher he was suicidal and had a gun. Deputies arriving at the man's home heard at least one gunshot inside the home. Dawley then came out of his home carrying a gun and fired at least one round at deputies. He was shot and killed by a deputy's shotgun blast.</t>
  </si>
  <si>
    <t>Police responded to possible gunshots. Two officers spoke with a woman who said she had fought with her boyfriend, Francisco Suarez-Madonado, outside of their house. Her boyfriend shot a gun in the front yard before leaving. He came back, and two more officers arrived. Police asked him to get out of his pickup and tried to calm him down for about five minutes. He pointed a handgun out the driver's side window and shot between three and five rounds at the first two responding officers. All four officers shot at and killed him.</t>
  </si>
  <si>
    <t>Oneida Police Department, Scott County Sheriff's Department</t>
  </si>
  <si>
    <t>Police got a call that a homicide suspect, Hector Gamboa, was at a home. He was wanted for the murder of his girlfriend in Albuquerque. When officers entered the home, the found Gamboa inside. Police said Gamboa barricaded himself in the home and refused to comply with officers' commands. He was shot and killed, although exactly what precipitated the killing was not immediately disclosed.</t>
  </si>
  <si>
    <t>Appleton Police answered a call about shots being fired inside Jack's Apple Pub around 1 o'clock on Sunday morning. When officers arrived, people were leaving the building. Lt. Jay Steinke shot and killed an unarmed man, Jimmie Montel Sanders, but was trying to shoot a different man, Henry Nellum. Nellum allegedly fired shots earlier in the night at the bar, and was running towards Lt. Steinke with a gun when he entered the bar that night.</t>
  </si>
  <si>
    <t>Deonte Marces Giles was wanted in connection to a murder on Ticknor Drive in April. A chase began between police and Giles who was also with another, unidentified man. Boren says Giles' vehicle side swiped with a patrol vehicle, forcing it to crash into a telephone pole. Meanwhile, Giles and his accomplice crashed into a nearby fence on Cusseta Road. Giles and the man he was with both pulled out guns, and Giles pointed his at officers in a patrol vehicle. Another officer arriving on the scene saw Giles with the gun and used his police cruiser to crush him. The second he was chased down and arrested.</t>
  </si>
  <si>
    <t>During the initial encounter with Lloyd and Marshall Barrus near Three Forks, Montana, Deputy Mason Moore of the Broadwater County Sheriff's Office was killed. After a chase and gunfight, Marshall Barrus was shot and killed. Lloyd Barrus was arrested and charged.</t>
  </si>
  <si>
    <t>Carter County Sheriff's Office</t>
  </si>
  <si>
    <t>According to police, the Kingman Police Department assisted the Mohave County Sheriff's Office in the pursuit of a man wanted for aggravated assault. The pursuit ended on Andy Devine Avenue near the Interstate 40 intersection where officers shot and killed him.</t>
  </si>
  <si>
    <t>Off-duty deputies were working security at Johnny B's Outlaw Saloon. They heard gunshots, came running out and saw Adrian Gonzalez firing his weapon and shot and killed him.</t>
  </si>
  <si>
    <t>Police got a call about a man at the hotel acting strangely. When two officers arrived, they were taken to the man's room. Branch Wroth was “incoherent and appeared to be in an altered state,” police said. The two officers got into a fight with the man, and one of the officers shocked Wroth with his Taser, killing him.</t>
  </si>
  <si>
    <t>A woman called 911 about a domestic disturbance, but the call disconnected. Dispatchers sent officers to the home. When officers approached the front door, they heard a man and woman arguing. Police opened the unlocked front door then saw a woman pulling herself away from a man's grasp. The woman, 24, ran outside while officers warned the man, Joseph Alian, 25, to show his hands and lie on the ground. Instead, Alain grabbed a handgun and aimed it at police. He was shot and killed. A 52-year-old woman was also found dead in the home.</t>
  </si>
  <si>
    <t>McCurtain County Sheriff's Office</t>
  </si>
  <si>
    <t>The McCurtain County Sheriff's Office received a call about a man armed with a gun, walking down a road and threatening to kill people. Deputies were told the man, Devin Hawkins, 32, had run into a wooded area. While patrolling the area, a deputy saw a pickup truck leaving a home on Jasper Hollow Road near the area where Hawkins was seen. The deputy pulled over the vehicle and the driver, who lived at the home, told the deputy he was giving the passenger, whom he did not know, a ride. The deputy asked the passenger if he had a weapon, and Hawkins showed the deputy a gun in his waistband. Hawkins then put it to his head. Hawkins shot at the sheriff at least one time. The deputies shot and killed Hawkins.</t>
  </si>
  <si>
    <t>Galveston County Sheriff's Office</t>
  </si>
  <si>
    <t>The Jacksonville Sheriff's Office said Selwyn Hall struggled with two officers called to the scene as a follow-up to an earlier domestic battery call. They both used Tasers on him, but the devices were not effective, police said. Police allege that Hall attempted to grab one officer's Taser before Officer Ryan L. McGee fired eight times, killing him. “He did not reach for the Taser. He did not. I stood right there. They will dress it up the way they want to dress it up,” his wife said, pointing to the bullet impact mark on the Chevrolet. “I stood next to my husband and watched him get brutally shot down like a dog. They beat him on this side of the truck.”</t>
  </si>
  <si>
    <t>Two officers stopped Jason Thomas Christian, 32, because he had outstanding traffic warrants. Police also wanted to question Christian because he was a suspect in thefts from motor vehicles in Columbus, Whitehall and other places in central Ohio. When they turned on their cruiser's lights, Christian pulled the Honda Civic over at a Mobil gas station. An officer opened his car door, grabbed him, and he tried to drive off. The officer shot and killed Christian, and both fell onto the pavement. The unoccupied car continued rolling forward, jumping a curb and running into one of the service station's air machines before coming to a stop.</t>
  </si>
  <si>
    <t>Matthew Dunkleberger shot and killed Amanda Bennett, then himself. Dunkleberger was a part-time Cambria Township police officer and worked as a sheriff's deputy in Cambria County.</t>
  </si>
  <si>
    <t>Police responded to a domestic disturbance call, in which a 911 caller reported that her father was intoxicated and walking around with a gun. Officers drove saw a man with a gun who matched the 911 caller's description. They pulled over and began giving the man orders. When he raised his gun toward the officers, one officer shot and killed him with a shotgun blast.</t>
  </si>
  <si>
    <t>Local and federal agencies attempted to apprehend an armed and dangerous suspect for multiple felony counts. The Chandler Police Department had contacted the Fugitive Task Force in reference to a case which included kidnapping, domestic violence aggravated assault, aggravated assault, and felony warrants. Pequeno, who was believed to be driving a stolen vehicle, rammed other vehicles in an attempt to flee police and did not comply with the officers' commands. He was shot and killed. A 17-year-old girl was also shot and later died.</t>
  </si>
  <si>
    <t>Local and federal agencies attempted to apprehend an armed and dangerous suspect for multiple felony counts. The Chandler Police Department had contacted the Fugitive Task Force in reference to a case which included kidnapping, domestic violence aggravated assault, aggravated assault, and felony warrants. Pequeno, who was believed to be driving a stolen vehicle, rammed other vehicles in an attempt to flee police and did not comply with the officers' commands. He was shot and killed. A 17-year-old girl, Sariah Lane, was also shot and later died.</t>
  </si>
  <si>
    <t>Deputies responded to a call about a man with a gun. The man barricaded himself in a wooded area and allegedly was threatening the deputies. The Logan County Sheriff's Office said there was an exchange of gunfire, and Marion Lee Holliday was shot and killed.</t>
  </si>
  <si>
    <t>Police responded to a robbery in progress at the America's Best Value Inn. Officers found the man nearby. Police said he was armed with a handgun and refused to drop it. He was shot and killed.</t>
  </si>
  <si>
    <t>A man was fatally shot by sheriff's deputies after he allegedly carjacked a car, crashed it and emerged from the burning vehicle with a handgun, police said.</t>
  </si>
  <si>
    <t>Michael Alcaraz fired shots while attempting to carjack at least two women at a BP gas station and then fired more shots in a third attempt to obtain a car at the intersection, according to police. Goshen police responded and pursuit of a Dodge Durango being driven by the gunman started. Police alleged Alcaraz fired at police with a shotgun several times during the short pursuit. He stopped the Durango in the parking lot of Double D's Bar and Grill where police shot and killed him.</t>
  </si>
  <si>
    <t>Phosowath Sengphong was fatally shot by an Iberia Parish Sheriff's Office deputy after he allegedly brandished a knife.</t>
  </si>
  <si>
    <t>Escambia County Sheriff's Office deputies responded to a domestic violence call. A man fled on foot. During the pursuit, Marcus Williams pulled a firearm and shot at deputies, according to police, who shot and killed him.</t>
  </si>
  <si>
    <t>McClain County Sheriff's Office</t>
  </si>
  <si>
    <t>Police said Officer Matthew McGowan responded to a report of a bike theft. When he arrived at the scene, Officer McGowan spoke with Richard Alexander Tilley. Police say McGowan's body camera showed Tilley suddenly took out a knife and lunged at the officer. McGowan shot and killed Tilley.</t>
  </si>
  <si>
    <t>Dold's mother called police, saying her son, who was living with schizophrenia, had not taken his medication in several months. He had reportedly attacked her. Police responded and Alex Dold was tasered and killed.</t>
  </si>
  <si>
    <t>Deputy Shawn Adkins, 25, shot Daniel Donarski, 58, after Adkins said Donarski pointed a shotgun at him. Police said Donarski's wife called 911 to report that her husband was off his usual medications and was having a breakdown.</t>
  </si>
  <si>
    <t>Crockett County Sheriff's Office</t>
  </si>
  <si>
    <t>Fremont police found a stolen vehicle sought in connection with multiple armed robberies in Fremont and around the Bay Area, police said. When two detectives tried to stop the vehicle at City View Apartment Homes, its driver rammed a detective's vehicle. Police shot and killed the passenger.</t>
  </si>
  <si>
    <t>Ryan Rosa was sought on a warrant and suspected in a string of break-ins and was shot and killed by Pierce County sheriff's deputies after they say he tried to run them down with a car.</t>
  </si>
  <si>
    <t>During an altercation at Classic Cuts salon, Sgt. Shawn Anderson with the East Baton Rouge Parish Sheriff's Office was shot and killed. Alleged shooter, Brandon Wiley, 30, was shot during the incident and was transported to a local hospital. Wiley was wanted for questioning in regards to rape allegations made by a 15-year-old girl and died three days later from his injuries.</t>
  </si>
  <si>
    <t>Police responded on a report of an unruly man. Upon their arrival, sheriff's deputies unsuccessfully attempted to subdue him with a Taser, but shot and killed him as he swung an unplugged electric razor at them.</t>
  </si>
  <si>
    <t>Stanislaus County Sheriff's Department</t>
  </si>
  <si>
    <t>Tooele County Sheriff's Office, Utah Highway Patrol</t>
  </si>
  <si>
    <t>Marion County Sheriff's Office, Bull Shoals Police Officer</t>
  </si>
  <si>
    <t>Marion County Sheriff's deputy and a Bull Shoals police officer responded to a breaking and entering and assault call at a residence, police said. Kyle Riggs shot at the officers when they arrived and the officers shot and killed him.</t>
  </si>
  <si>
    <t>Kaufman County Sheriff's Office received a criminal trespass call. A deputy saw a man on the private property, and he fled. The man circled back to a pickup that was parked nearby, got in and accelerated toward the deputy and was shot and killed.</t>
  </si>
  <si>
    <t>Chad Robertson, 25, and his travel companions were waiting out an hour-long layover in Chicago's Union Station when Amtrak Officer LaRoyce Tankson and another officer approached them. Reportedly, the trio walked outside to find a restaurant, they were followed by the transit police who accused them of smoking marijuana, and Robertson fled. Tankson shot Robertson in the back as he ran. Robertson died days later.</t>
  </si>
  <si>
    <t>Officers responded for a report of a man wearing a trench coat over a towel and exposing himself to people in an apartment complex. He was carrying a pair of scissors and a chef's knife. Officers found the man acting erratically and swinging a golf club at officers. He was tasered and killed.</t>
  </si>
  <si>
    <t>Deputies were called to a home on Foxfire Lane for a well-being check, police said. When deputies arrived at the front door of Thomas Scott Henry's home, Henry picked up a gun and threatened the deputies. As authorities took cover, Henry, 56, started shooting from out his window toward neighbors who had gathered at the end of his driveway. Henry then walked outside and pointed his gun toward a deputy who shot and killed him.</t>
  </si>
  <si>
    <t>Police investigating a reckless driving complaint shot and killed Kris Kristl. Few details were released. The Walworth County Deputy has been with the Sheriff's Office for two years, and has a total of six years of law enforcement experience. The Elkhorn Police Officer has been with Elkhorn PD for approximately eight years.</t>
  </si>
  <si>
    <t>Contra Costa County Sheriff's Office</t>
  </si>
  <si>
    <t>An off-duty Contra Costa County sheriff's deputy shot and killed a home invasion robbery suspect. Officers responded to a call of a home invasion at around 10:44 a.m., police said. It was not disclosed why an off-duty deputy was on the scene.</t>
  </si>
  <si>
    <t>Deputies received an alert from an automated license plate reader about a stolen vehicle in the area of Highland and Victoria avenues, police said. Deputies found the vehicle in the parking structure of the San Manuel Indian Bingo &amp; Casino and began surveillance. A short time later, deputies watched a man and woman — Michael Russo and Ath Pen — get into the vehicle. When deputies tried to get the pair to get out of the vehicle, the man put it in reverse, striking and dragging a deputy. At least one deputy fired at the vehicle and struck and killed Russo. The vehicle continued to travel at a high rate of speed through the parking structure. As it barreled down a ramp, it smashed into two vehicles and a metal barrier in the structure's second level.</t>
  </si>
  <si>
    <t>Troup County Sheriff's Office</t>
  </si>
  <si>
    <t>An officer made a traffic stop. The driver pulled over at a Sinclair gas station, and the officer searched him. During the frisk, the officer felt a gun in the man's coat pocket. The man began to struggle with the officer, trying to pull the gun from his coat pocket, police said. The officer told the suspect to stop struggling then shot and killed him.</t>
  </si>
  <si>
    <t>Detectives from the Santa Ana Police Department's gang detail either made a car stop in an alley or encountered a car in an alley with two occupants. The passenger from the car fled on foot through the neighborhood – resulting in a foot pursuit – and was shot in the back as he ran away unarmed.</t>
  </si>
  <si>
    <t>Officers responded after a woman called 911 to report a “domestic disturbance” involving herself, her husband and their 25-year-old son. The woman said that her son may have a gun. Gunshots rang out as officers neared the home, police said. When police positioned themselves across the street from the suspect's residence, the suspect shot several rounds at them and was shot and killed.</t>
  </si>
  <si>
    <t>Ada County Sheriff's Office, Kuna Police Department</t>
  </si>
  <si>
    <t>Kent County Sheriff's Office</t>
  </si>
  <si>
    <t>Christopher Mark Thompson's ex-wife said he was trying to chase away a burglar by shooting a gun down the steps inside his home when Pittsburgh police opened fire and killed him. Pittsburgh police said the homeowner was “firing in their direction.”</t>
  </si>
  <si>
    <t>Police responded to a call about a verbal domestic situation. When officers arrived, they found William D. Fisher, 49, in an outbuilding on the property. Fisher was armed with a handgun and made threats to harm himself and the deputies. Fisher refused to comply with deputies' commands to drop the weapon and was shot and killed by a Caroline County Sheriff's Deputy.</t>
  </si>
  <si>
    <t>Rolette County Sheriff's Office</t>
  </si>
  <si>
    <t>Rolette County Sheriff's Deputy Colt Allery was fatally shot, two other deputies, and a Rolla police officer are on paid administrative leave after a vehicle chase turned deadly. Police received the call from OnStar stating the vehicle was reported stolen in Devils Lake, and GPS tracking showed it traveling toward Rolette County. Prior to the shooting, OnStar shut down the vehicle to less than 5 mph prior to deputies engaging the suspect. A gunfight ensued, and all the deputies fired shots, killing DeLong.</t>
  </si>
  <si>
    <t>Adair County Sheriff's Office</t>
  </si>
  <si>
    <t>A Watts police officer and an Adair County sheriff's deputy responded to a report of domestic abuse. Police said that Stoney McJunkin exited his residence and raised a metal pipe in a threatening manner when they arrived. McJunkin allegedly refused to drop the pipe when commanded. The deputy shot and killed McJunkin.</t>
  </si>
  <si>
    <t>Members of the Columbus Police Department's Patrol Division responded to a call on Moss Drive. During the investigation, Arreola resisted officers' efforts to place him in custody and sustained an injury, which apparently killed him.</t>
  </si>
  <si>
    <t>Police responded to a report of an attempted kidnapping on Carmela Lane. They made contact with a suspect on Pecos Street. He was allegedly in a stolen vehicle. He rammed the officer's vehicle, and the officer shot and killed him.</t>
  </si>
  <si>
    <t>Gilbert Lovato and his getaway driver, Audrey Hapke, were averaging at least one armed holdup per day in recent weeks, police said. They repeatedly hit local fast food joints throughout Albuquerque, including Twisters, Church's Chicken and McDonald's. Police, who had been on the case for weeks, say they finally caught up with the pair after they fled yet another robbery. Lovato, 38, was shot and killed by undercover detectives who pulled the pair over. Hapke, 35, who police said was driving the getaway car, was not harmed in the shooting and was booked into the county jail.</t>
  </si>
  <si>
    <t>Welby O'Dell Mullins Jr.</t>
  </si>
  <si>
    <t>Welby O'Dell Mullins Jr., 64, was wanted for suspected drug dealing was shot and killed during an exchange of gunfire with Lincoln County special Deputy Colby Reik.</t>
  </si>
  <si>
    <t>Officers responded to reports of an emotionally disturbed person in a first-floor apartment, police said. The man's sister, who called 911, let the cops into the home. When James Owens saw the officers he grabbed a 13-inch knife and refused to put it down. One of the cops fired a Taser, but it “didn't make complete contact.” Another officer then fired his gun three times, killing Owens.</t>
  </si>
  <si>
    <t>DuPage County Sheriff's Office</t>
  </si>
  <si>
    <t>A man was shot to death by a DuPage County sheriff's deputy after the two got into a fight when the deputy responded to a domestic call involving violence, according to police.</t>
  </si>
  <si>
    <t>According to the victim's nephew, as the intruder made his way outside the front door, he shot at police who returned fire, striking the intruder.</t>
  </si>
  <si>
    <t>2502 Land O'Lake Boulevard</t>
  </si>
  <si>
    <t>Independence County Sheriff's Office</t>
  </si>
  <si>
    <t>A deputy with the Independence County Sheriff's Office came into contact with the man on Jamestown Road. Garcia told the officer he was armed and refused to comply with the deputy's orders. He shot at officers and was shot and killed.</t>
  </si>
  <si>
    <t>Police were called to the 11900 block of SW King James Place on reports of shots fired. Officers who arrived on the scene reportedly found a woman's corpse, police said. Tylka was seen driving away and police pursued. It ended with an exchange of gunfire off Hwy 99W, when Tylka was fatally shot. OSP Trooper Nic Cederberg, 32, was shot multiple times.</t>
  </si>
  <si>
    <t>A 19-year-old man was fatally shot Thursday morning by a Prince George's County police officer after he allegedly pointed a gun at another officer as they investigated a suspicious car.</t>
  </si>
  <si>
    <t>Eddington was sought in a double homicide in Riverside was shot and killed by a Fresno County sheriff's deputy after he stormed out of a home firing a handgun at a SWAT team, police said.</t>
  </si>
  <si>
    <t>Paul Kolar was shot and killed by a sheriff's deputy after he was found trespassing on a homeowner's property in the Ridgefield area with a handgun, according to the Clark County Sheriff's Office.</t>
  </si>
  <si>
    <t>Deputies responded to a call about a gunshot victim, according to the Los Angeles County Sheriff's Department. Deputies entered the residence to investigate the shooting and encountered a man armed with a shotgun, and the man was shot and killed.</t>
  </si>
  <si>
    <t>A man was shot and killed after he allegedly tried to grab a Lynnwood police officer's gun while struggling during an arrest over a domestic violence charge.</t>
  </si>
  <si>
    <t>Officers were trying to make contact with a man who was believed to be thinking about committing suicide and who had barricaded himself in a third-floor room at a hotel. Officers attempted to negotiate with the man for several hours, police said. Eventually, the Las Cruces Police Department's SWAT and Hostage Negotiation teams made contact, but the subject remained uncooperative. Shortly after 10:30 p.m., shots were fired and the man was killed. Dunne was a graduate student studying social work at New Mexico State University, was a veteran who suffered from post-traumatic stress disorder.</t>
  </si>
  <si>
    <t>According to the Catawba County Sheriff's Office, a man crashed into an undercover deputy's vehicle during a narcotics investigation. He was shot and crashed a short distance away.</t>
  </si>
  <si>
    <t>A South Gate police officer and his wife were found fatally shot at their Long Beach condo, and police said the double shooting was under investigation as a possible murder-suicide. Police were called to a possible domestic violence incident. The condo's door was ajar, and inside, officers found Kyle Kurian, 25, and his wife, Greta Kurian, 22, with gunshot wounds in their upper torsos. Greta Kurian was pronounced dead at the scene. Her husband, a rookie South Gate police officer, was taken to a hospital, where he was pronounced dead.</t>
  </si>
  <si>
    <t>Officers were called to an apartment complex, after Redding police received reports of a disturbance involving a man armed with a rifle and handgun, police said. The man, allegedly armed with a pistol and rifle, refused to leave the apartment, which wasn't his home. About 15 minutes later, four officers shot the man after he allegedly refused to follow officers' commands to drop his gun.</t>
  </si>
  <si>
    <t>Troopers were called to Newcomb's home after his family requested a well-being check. Troopers announced their presence when arriving at Newcomb's residence, and “subsequently encountered Mr. Newcomb advancing toward them with a hammer raised in his hand.” When he would not drop the hammer, he was shot and killed.</t>
  </si>
  <si>
    <t>Butler County Sheriff's Office made a traffic stop on a vehicle that was believed to have people who had outstanding warrants. During attempts to positively identify the passenger, Clark became aggressive and got involved in a fight with Deputy Chris Reneer. During the fight the driver of the vehicle got out. Reneer used his taser on Clark, who gained access to the driver's side of the vehicle and accelerated, dragging Deputy Reneer. Reneer shot and killed Clark.</t>
  </si>
  <si>
    <t>A neighbor called 9-1-1 to report that the man was acting erratically. The man was at the threshold of his RV when Sheriff's Sgt. Edwin Anderson and Forks Police Department Officer Michael Gentry arrived. One of the officers fired a Taser at him. The man then retrieved a handgun from inside the RV. He was shot and killed.</t>
  </si>
  <si>
    <t>After a failed traffic stop and pursuit, the man got out of the vehicle and failed to comply with the officer's orders, and he was shot and killed.</t>
  </si>
  <si>
    <t>A 911 call came in that reported someone shooting their residence twice with a shotgun, then leaving. When other deputies arrived to the scene, they attempted to talk to Elswick through a window on his barn door, but he refused to come outside. Hours after the standoff started, deputies say they opened the door's window, and Elswick was standing behind a barricade with a shotgun. Elswick allegedly pointed his shotgun at deputies, and he was shot and killed.</t>
  </si>
  <si>
    <t>An off-duty San Joaquin County sheriff's deputy was threatened by two armed, masked men when he pulled out his personal gun and fatally shot one.</t>
  </si>
  <si>
    <t>Sides was traveling east on Interstate 70 when a trooper attempted to pull her over for a traffic violation, police said. The driver would not pull over so the trooper terminated the pursuit because of the high rate of speed, the nature of the offense, and the driver of the Cadillac was driving recklessly. When the driver exited onto Arlington, the trooper was not able to get in a position to take the exit as well because of traffic. Brookville police responded when the car crashed into the Wendy's restaurant, and she was shot and killed.</t>
  </si>
  <si>
    <t>Culberson County Sheriff's Office</t>
  </si>
  <si>
    <t>Culberson County Sheriff's Deputies responded to a domestic disturbance call. When officers arrived to the scene, a man holding a knife charged toward a deputy. The deputy shot the man in the stomach. The man also apparently had self-inflicted knife wounds.</t>
  </si>
  <si>
    <t>Police said King was shot and killed after failing to obey two California Highway Patrol officers' commands to get on the ground and instead, pulled a gun out of his waistband, turned and pointed it at an officer.</t>
  </si>
  <si>
    <t>Police responded to a man with a gun, police said. An officer spotted the man's car in a McDonald's parking lot near Third Street and Lincoln Boulevard a short time later. He allegedly threatened the officer with a knife, and he was shot and killed.</t>
  </si>
  <si>
    <t>Police say Metcalfe County dispatch received a call from a woman who said she and her boyfriend, Tomblin, had been in a fight, and that he was outside shooting a gun into the air as she called police from a neighbor's home. When police arrived on scene, Tomblin talked with the deputy before going into his home, and coming back outside with a rifle. Tomblin approached troopers and fired the weapon. He was shot and killed.</t>
  </si>
  <si>
    <t>An unidentified man was holding a knife and reportedly didn't listen to police commands to drop the weapon when he was first tasered then shot and killed.</t>
  </si>
  <si>
    <t>Tenorio allegedly tried to run over Shelby County Sheriff's deputies when they were serving a homicide warrant against him and was killed in a gun battle at a motel, police said.</t>
  </si>
  <si>
    <t>Baker was armed with a running chainsaw when he was fatally shot by Pierce County sheriff's deputies who were trying to keep him from assaulting his parents.</t>
  </si>
  <si>
    <t xml:space="preserve">An East Ridge officer was in front of Browning's house confronting him over an incident that happened at the Auto Zone. Police said the man, who was armed possibly with a knife and a tool used to turn off water at the meter, continued forward before the officer fired, killing Browning. </t>
  </si>
  <si>
    <t>Sacramento County sheriff's deputies responded to a domestic violence call. Deputies spoke with the woman who had made the call. A man who was involved in the incident was not there when deputies arrived. Deputies had been at the residence about half an hour, when the man returned and confronted them on the street with an “edged” weapon. One of the deputies shot and killed him.</t>
  </si>
  <si>
    <t xml:space="preserve">Police said an unidentified woman fled Fulton's apartment, after which he set several fires inside the apartment before he exited and began firing on SWAT team members staged nearby. Police returned fire and Fulton was shot and killed. </t>
  </si>
  <si>
    <t>A police officer stopped a vehicle for a traffic infraction in the 2700 block of Plaza Avenue. The driver was not obeying the officer's commands. Additional officers were called to assist. When backup arrived on the scene, the vehicle accelerated and a pursuit ensued for several minutes. The vehicle eventually stopped in the 2300 block of Timber Drive, where the driver got out of the car and verbal commands from the officer were not obeyed. And he was shot and killed.</t>
  </si>
  <si>
    <t>O'Handley was arrested after police found stolen property, explosives and a meth lab on his property, police said. During the investigation and arraignment, O'Handley was cooperative. After his arraignment he was placed in a vehicle to be taken with another man to the Potomac Highlands Regional Jail. O'Handley was placed in the backseat. O'Handley asked the deputy to place the handcuffs in front. The deputy then moved the handcuffs from behind O'Handley's back to the front. During the trip along U.S. Route 50, O'Handley attempted to take the deputy's gun. A struggle began while the deputy was driving. During the struggle O'Handley was shot and killed.</t>
  </si>
  <si>
    <t>A Seminole County deputy, Daniel Carrero, 40, fatally shot Mistie Reynolds, 33, before turning the gun on himself behind a gas station. A store employee found the couple's bodies, police said.</t>
  </si>
  <si>
    <t>Deputies were sent out after a veterans' crisis line called Madison County dispatch and said the man was having problems. When the deputies arrived, Radcliff said they were met by a man with a long rifle. About 10 minutes later, shots were fired, and Smith was killed.</t>
  </si>
  <si>
    <t>Dodge County Sheriff's Office</t>
  </si>
  <si>
    <t>Paul O'Neal</t>
  </si>
  <si>
    <t>http://www.fatalencounters.org/wp-content/uploads/2013/10/Paul-O'Neal.jpg</t>
  </si>
  <si>
    <t>Police say Upshur County dispatchers received a call about a possibly intoxicated man riding a motorcycle on another person's property. The deputy was giving Yacabitis a field sobriety test when the incident escalated, according to Upshur County Sheriff, and Yacabitis was shot and killed.</t>
  </si>
  <si>
    <t>Brimer's wife called police to their home, saying that her husband was threatening her and that he was armed, police said. Brimer was holding an axe and making suicidal statements and was fatally shot by police when he approached officers.</t>
  </si>
  <si>
    <t>Two officers responded to Debevoise Ave. at Jackson St. in the Cooper Park Houses after receiving a pair of 911 calls — one reporting an emotionally disturbed man and the other a robbery at gunpoint, police said. Police spotted Johnson toting a .40-caliber semiautomatic handgun, and fitting the robbery suspect's description, police said. Johnson opened fire on the officers, who shot and killed him.</t>
  </si>
  <si>
    <t>EMS was dispatched because a man's wife thought her husband having a stroke, police said. When they arrived, the husband was combative it, and EMS called for deputies to assist. When they arrived, deputies went into the house. The man was combative and retrieved a rifle. One deputy retreated, and the suspect closed door as he went out, then turned the turned toward other deputy. He wouldn't drop the gun and was shot and killed. Home was apparently suffering from Alzheimer's.</t>
  </si>
  <si>
    <t>According to police, the suspect was found dead in a wooded area behind the McDonald's restaurant he robbed Thursday night. He'd shot a police dog, exchanged gunfire with police and ran into the woods.</t>
  </si>
  <si>
    <t>A man allegedly brandished a gun inside a Carl's Jr. restaurant and confronted the off-duty reserve officer, who responded by shooting and killing him,</t>
  </si>
  <si>
    <t>Police say they were contacted about a man who was carrying a gun and selling CDs outside Triple S Food Mart. The owner of the store said two officers confronted Sterling and then one officer tasered Sterling, and the second officer tackled Sterling to the ground. He says while Sterling was on the ground, Sterling struggled with the officer who had tackled him. He says that's when the first officer then shot Sterling. Police have not confirmed whether or not Sterling was in possession of a gun.</t>
  </si>
  <si>
    <t>Village of Jackson Police Department, Washington County Sheriff's Office</t>
  </si>
  <si>
    <t>Prak allegedly charged at officers while holding a knife, police said. He was shot and killed. A police dog, named Credo, was also shot and killed by gunfire from an officer's weapon.</t>
  </si>
  <si>
    <t>Emergency responders were called to Neal Street in Farmington, on a report of a home on fire. The Washington County Sheriff's Office said officers and deputies arrived on scene to find a man in a home holding a pistol and rifle. The sheriff's office said the man exited the home, which was on fire, and fired his guns at officers. He was shot and killed.</t>
  </si>
  <si>
    <t>LHCPD responded to a domestic disturbance. Officers arrived and determined that Scott was the cause of the disturbance and had left the residence before officers arrived. Scott returned to the home and as a result of not being allowed back into the home is alleged to have broken windows, banged on doors, broke exterior lights and entered the home. Scott's father called 911. When officers arrived back to the home Scott, who was wanted on criminal charges from the first disturbance, had barricaded himself in a bedroom. Officers forced open the bedroom door to take Scott into custody when they were confronted by Scott who had armed himself with a knife. First, he was tasered then he was shot and killed.</t>
  </si>
  <si>
    <t>Boise police responded to what they described as reports of a drunken driver. Roughly 30 minutes later, Officer Rob Rainford fatally shot Rodriguez after Rodriguez reportedly attacked a Boise police officer, then repeatedly rammed several of the department's vehicles with his own.</t>
  </si>
  <si>
    <t>Police say Chambers was seen going into a neighbor's yard, and the calling party was concerned he was burglarizing the residence. When Officer Kelsey Dunn made contact with Chambers, police say he was holding a naked barbie doll and rubbing his genitals through his pants. Police say Chambers was intoxicated. Officer Dunn was able to get the suspect to stand up and escort him to the patrol vehicle.Chambers began to fight and was placed in "maximal restraints." He died 11 days later.</t>
  </si>
  <si>
    <t>An agent shot and killed an unidentified man while being assaulted. The decedent allegedly had crossed illegally into the United States near Somerton. Border Patrol said during the arrest, the suspect allegedly grabbed the agent's radio and collapsible steel baton and began striking him in the face and head, while he also attempted to remove the agent's sidearm from its holster.</t>
  </si>
  <si>
    <t>According to the York County Sheriff's Office, Deputy Michael Lutz was helping York City Police serve a warrant, and when he encountered Nickol, gunfire was exchanged. Both Deputy Lutz and Nickol were taken to the hospital, where Nickol later died.</t>
  </si>
  <si>
    <t>A woman fled to her residence after getting into an argument and being threatened at gunpoint by her estranged husband, Walker. Police say Walker followed her to the neighbor's residence and forced his way inside at gunpoint. Once inside the residence, Walker shot and killed the neighbor, James Stewart, 74. Walker then searched the Stewart's house for his estranged wife, whom he found and assaulted. A second woman, who was hiding inside the house at the time, called 911. Walker refused to drop the gun, and he was shot and killed.</t>
  </si>
  <si>
    <t>Police responded to a 911 call in which the caller reported hearing gunshots and an unknown female yelling for help. The caller couldn't give them an exact address. Three officers were sent to the location and ended up at David Powell's home. The GBI says the 911 call indicates that the officers were at the wrong location. Officers were met by Powell, who was armed with a handgun. They say he ignored verbal commands to drop the weapon, and they shot and killed him.</t>
  </si>
  <si>
    <t>Police say officers were working on an investigation on St. Paul's east side when they ran into 29-year-old Eugene Smith inside a bedroom of a home. Smith fired at officers, according to police, and Officer Joshua Raichert fired back, hitting and killing Smith. A pit bull also died in the confrontation.</t>
  </si>
  <si>
    <t>A Florida Highway Patrol motorcycle officer pulled over a red Nissan at N.W. 168th St. and 37th Ave. But as the officer gets off his bike to confront the driver, the suspect quickly put his car into reverse and tried to get away. The trooper then jumped on the hood of the car and pulled his gun, firing several shots into the driver's windshield. Louis made it a few blocks before he died.</t>
  </si>
  <si>
    <t>A Miami-Dade detective on a narcotics detail in the county's north end shot and killed Carraway, who was on probation for armed robbery, after a confrontation behind an apartment complex in which police said he drew a weapon.</t>
  </si>
  <si>
    <t>Gaffney was killed before closing time Friday morning outside Paddy's Place after he and an off-duty police got into a fight. Gaffney was unarmed.</t>
  </si>
  <si>
    <t>Police responded to the Silver City Galleria shopping mall after DaRosa crashed a black Honda Accord into the entrance of a Macy's store. Moments later, police say DaRosa exited his car, assaulted multiple people inside Macy's, and then walked into a Bertucci's restaurant inside the mall. Inside the restaurant, DaRosa allegedly stabbed multiple people including a 56-year-old man who died. DaRosa was shot and killed by an off-duty Plymouth County sheriff's deputy.</t>
  </si>
  <si>
    <t>Marion County Sheriff's Office's wanted to locate Joseph Napoli for questioning in a case they were working. A deputy located Napoli's vehicle pulled over on the side of the road and parked behind the man's vehicle, exited the patrol car and began to approach Napoli's vehicle. The deputy noticed Napoli had a handgun as she walked up to the vehicle. The deputy stated Napoli raised his gun, and she discharged her weapon. It's uncertain at this time who shot him.</t>
  </si>
  <si>
    <t>Police responded to reports of gunshots and a suicidal man. Snohomish County Sheriff's deputies found an armed man who, at times, was holding a gun to his head. They began negotiations. A SWAT team arrived at 1 a.m. A family member also spoke to him. Police say they used several “less lethal” methods to try to subdue him. Officers approached the man about 7:20 a.m. Saturday after police believed he put down the gun. As officers approached, he “made a movement to the gun,” and two officers shot and killed him.</t>
  </si>
  <si>
    <t>Police responded to a reported domestic violence incident five-miles south of Buffalo. Officers made contact with a white man who was suspected of being armed. The subject allegedly failed to obey officer's commands and was shot and killed.</t>
  </si>
  <si>
    <t>Hopper was armed with a steak knife when he approached a police officer. The officer fired three rounds and then attempted CPR. The man's family watched from the lawn, and neighbors watched from their windows.</t>
  </si>
  <si>
    <t>According to a news release from the Holmes County Sheriff's Office, a deputy tried to conduct a traffic stop after seeing a GMC Jimmy run a stop sign near Main Street in Noma. A check of the truck's license plate revealed the tag was assigned to another vehicle. The driver, Wood, led the deputy on a chase that crossed several miles over the state line into Geneva County, Ala., and back into Noma. HCSO reported that as deputies were setting up a roadblock, Wood swerved and left the roadway, almost striking a patrol car before steering the truck toward a deputy. The deputy shot and killed Wood.</t>
  </si>
  <si>
    <t>A man smashed the windows of a house where an 83-year-old man lived alone. The suspect forced his way inside and began ransacking the home, Beck said, then took the older man hostage. Some neighbors grabbed baseball bats and knives, police said, and were getting ready to try to rescue the resident when two officers from the LAPD's Hollenbeck Division arrived at the scene. The officers ran inside and saw the man holding a knife to the victim's neck. The suspect “began to do things that indicated that he was going to kill the victim.” One of the officers shot and killed the suspect.</t>
  </si>
  <si>
    <t>Lockhart police said they were called to backup Caldwell County deputies looking for a suspect involved in a burglary. A deputy on the scene was flagged down by the initial complainant who had located the suspect near the Dairy Queen directly behind the burglary victim's home. The Caldwell County Sheriff's Office says the deputy told other officers on the scene the suspect had a shovel. He was shot and killed.</t>
  </si>
  <si>
    <t>Two officers who responded to a reported shoplifting of beer from the Circle K in Winslow. The shoplifter was described as a Native American female wearing gray sweatpants and a white top. Two blocks from Villaescusa's house, the two officers attempted to apprehend Tsingine. According to police, while attempting to take the subject into custody, a struggle ensued. The subject displayed a weapon which the responding officer perceived as a substantial threat. The officer shot and killed Tsingine. Video contradicts the threat expressed by police.</t>
  </si>
  <si>
    <t>A trooper responded to a call for assistance by the Lenoir County Sheriff's Office involving a shooting that had occurred at Club Aries. As the trooper approached the scene, he encountered two men running towards him. The trooper saw that one of the subjects had a gun. The man failed to comply with the trooper's commands to stop and drop the weapon. Police say he pointed the weapon at the trooper who shot and killed him.</t>
  </si>
  <si>
    <t>During a traffic stop, Blair refused to comply with the officer's commands, and they fought. Blair then put his vehicle in drive, dragging the officer before the car crashed into a ditch. The fight continued between Blair and the officer. Blair then fled the vehicle on foot. The officer pursued the suspect on foot for a few hundred feet before catching up to the suspect. Blair again refused to comply with the officer's commands, another fight happened, and the officer shot and killed Blair. Blair apparently was wanted for failing to appear in court on a felony drug possession charge.</t>
  </si>
  <si>
    <t>Deputies were called to check the welfare of a woman on Blewett Falls Road in Lilesville. The woman's boyfriend, Penny, exchanged gunfire with the deputies and was shot and killed.</t>
  </si>
  <si>
    <t>Prince George's County Police Officer Jacai Colson was killed when a gunman opened fire on officers outside the department's District III station, which is near the county headquarters, police said. Colson was intentionally shot and killed by another officer during the exchange of gunfire. He was not in uniform, and it may have been a case of mistaken identity.</t>
  </si>
  <si>
    <t>Patricia Kruger entered a residence. Kruger was allowed into the residence by the homeowner at which time she grabbed the homeowner's gun. As the homeowner fled the residence, Kruger fired the gun. Troopers attempted to make contact with Kruger. Shots were fired by Kruger, and she was shot and killed.</t>
  </si>
  <si>
    <t>Tishomingo County Sheriff's Office, Mississippi Highway Patrol, Mississippi Bureau of Investigation, Mississippi Bureau of Narcotics</t>
  </si>
  <si>
    <t>Tishomingo County Sheriff's deputies responded to a domestic situation at a residence. Lambert, his wife and 10-year-old daughter were in the house when deputies arrived. The situation escalated to a stand-off when the man refused to comply with officers' instructions to come out. The Mississippi Highway Patrol (MHP) troopers and agents from Mississippi Bureau of Investigation (MBI) and Mississippi Bureau of Narcotics (MBN) responded at the request of the Tishomingo County Sheriff. After several hours, two combined tactical teams from MHP and MBN entered the home. Upon entry, shots were fired between the man and law enforcement officers and MBN Agent Lee Tartt and Lambert were killed. Additionally, three state troopers who entered the home were wounded.</t>
  </si>
  <si>
    <t>She said she was only asking for help for the man she knew as Daniel, the man she had been in love with for more than five years, and she said she didn't think it would end the way it did. Several people who witnessed the arrest told The Monitor the officers shocked Cardenas with a stun gun at least three times before he stopped moving. Hernandez on Tuesday in a released statement said Cardenas became violent toward the officers, but neighbors deny the Donna man could even move after he was handcuffed and placed on his stomach. “There were three officers on top of him,” said one neighbor in Spanish. The woman declined to identify herself in fear of police retaliation. “He wasn't moving. You could just see him trying to move his head up.”</t>
  </si>
  <si>
    <t xml:space="preserve">Jonathan Fowler, 32, failed to stop when deputies with the Fulton County Sheriff's Office tried to pull him over for speeding on Roosevelt Highway near College Park, police said. The pursuit ended on Roosevelt Highway at Leslie Drive after a trooper performed a PIT maneuver, bumping into Fowler's vehicle to try and stop it, police said. After the PIT maneuver, Fowler lost control of the vehicle and it rolled over, officials with GSP said. He was not wearing a seat belt and was ejected from the vehicle, police said. He died on the scene.
</t>
  </si>
  <si>
    <t>Texas Department of Public Safety, Henderson County Sheriff's Office</t>
  </si>
  <si>
    <t>Scott was shot by an Independence police officer after a car chase turned into a foot chase. Independence police notified Kansas City police that they were pursuing a possible stolen car headed into Kansas City. Kansas City police deployed devices to flatten the car's tires. The driver stopped and ran from the scene. As the Independence officer chased the driver, the man allegedly turned toward the officer with a gun. He was shot and killed.</t>
  </si>
  <si>
    <t>San Antonio police said undercover officers followed Antronie Scott, who was wanted on two felony warrants (felon in possession of a firearm and drug possession). The officers watching Scott called for a uniformed officer to approach the man, who was in a white Mercedes-Benz sedan in a parking lot. Scott quickly exited the vehicle and spun around toward the officer, who told him to put his hands up. That's when the officer shot and killed him.</t>
  </si>
  <si>
    <t>The Okmulgee County Sheriff's Office said Neuman would not get out of his vehicle after it crashed near a Deep Fork Wildlife pond. When Neuman got out of the car he was armed and began shooting at people. A deputy fired back and hit Neuman who then fell into the pond. Emergency crews attempted to pull Neuman from the water but he began shooting again, prompting the deputy to shot him again. Emergency crews were then able to extract Neuman from the water and attempted to revive him, but he died at the scene.</t>
  </si>
  <si>
    <t>A police officer entered the home at Fairground Housing 285 to arrest Raymond Gassman for alleged vandalism. According to lakotavoice.com, Gassman was sleeping in the living room. The officer woke him, and told him to put his hands behind his back. Gassman resisted arrest. A witness said that the police officer and Gassman were wrestling in the living room and kitchen. Gassman was able to get on top of the officer, and the officer pulled out his gun, yelling, “I'mma shoot you!” Gassman yelled, “No, don't shoot!” The officer shot at point blank range and after shooting Gassman, shot his own wrist on his left arm. He yelled, “Call 911!” A second officer came into the home, handcuffed Mr. Gassman, and “left him on his stomach bleeding out, gasping for air. The paramedics arrived, rushed the officer to the ambulance and left the victim to bleed to death on our living room floor.”</t>
  </si>
  <si>
    <t>Missouri State Highway Patrol troopers had joined a pursuit involving a stolen vehicle. Sinclair drove his vehicle down a boat ramp in Sugar Creek before getting out of the vehicle. Police said Sinclair placed his hands into his sweatshirt and ignored commands to show his hands. A bean bag round was fired at Sinclair, initially stunning him, before he started shooting. Lowe says troopers and a Jackson County Sheriff's deputy returned fire, killing Sinclair.</t>
  </si>
  <si>
    <t>Deputies from the Apple Valley Sheriff's Station responded to a report of a home invasion robbery at a residence in the 8800 block of 11th Avenue at 4:12 a.m. Monday, Sheriff's Department spokeswoman Jodi Miller told the Daily Press. Deputies arrived and were advised that multiple suspects had forced entry into the home, which was occupied by four adults and three children. One of the suspects was armed with a knife and became involved in a physical altercation with one of the home's occupants when the occupant attempted to defend himself and his family with a baseball bat, Miller said. The suspects fled before authorities arrived. One of the suspects was identified as the ex-son-in-law of an occupant of the home, Miller said. He was later located at a nearby home hiding under a bus. He became uncooperative as authorities attempted to take him into custody and Miller said deputies used force. The suspect was taken to a local hospital, where he was later pronounced dead, Miller said.</t>
  </si>
  <si>
    <t>An off-duty Richmond County sheriff's deputy fatally shot a man following a domestic dispute with him Friday afternoon, police said. Police said that Crispin was picking up his two children from the house when he became involved in an argument that became physical with Joshua Franklin Lee. Witnesses told investigators that Lee brandished a pistol and pointed it at Crispin, prompting Crispin to draw his own weapon and shoot and kill Lee.</t>
  </si>
  <si>
    <t>Officers responded about 5:50 p.m. on a report of a suspect, armed with a knife, in the middle of the street, according to Lt. Kirk Kelley of the Los Angeles Police Department's West Valley Station, whose officers responded to the call even though it was in the Mission Station's patrol area. They were confronted by the suspect and he was shot and killed.</t>
  </si>
  <si>
    <t>King had helped move a washing machine into the upstairs of off-duty federal agent Wells' Springfield home earlier in the day. Wells paid King after the washer was moved in the afternoon but the man returned and said he lost his phone there. Wells looked but did not find the phone, then returned to the front door where King pulled a knife and attempted to rob Wells. Wells grabbed his gun and shot and killed King.</t>
  </si>
  <si>
    <t>A deputy pulled Henry Bennett over in Belle Glade on Saturday, authorities say Bennett got out of the vehicle and ran away. The deputy chased Bennett and, at one point, authorities said Bennett turned and pointed a gun at the deputy. That's when the deputy fired at Bennett, hitting him twice, killing him.</t>
  </si>
  <si>
    <t>FBI's Southeast Michigan Crimes Against Children Task Force conducted a raid at the Southfield Marriott hotel and confronted a man allegedly involved in human trafficking. During the confrontation, the suspect shot at the officer who was wearing a bulletproof vest and was killed when the officers returned fire.</t>
  </si>
  <si>
    <t>Police received reports of a minivan that struck a utility pole around 9:30 p.m. Saturday, police said. Officers arrived on the scene and spotted Kent in the minivan, but when they tried to stop him, he reportedly attempted to strike their patrol car. Kent then drove off and stopped his car and reportedly threatened law enforcement with a chainsaw. A Taser was used to subdue the suspect, but when that didn't work Cowlitz County Sheriff's deputies Brent Harris and Alexis Tonissen and Kelso Police Officer Darrel Stair shot and killed him.</t>
  </si>
  <si>
    <t>Essex County Sheriff's Department</t>
  </si>
  <si>
    <t>Officers responded to the call at an apartment complex early Saturday, after the father of 19-year-old Quintonio Legrier called police to say his son was acting erratic and carrying a metal baseball bat.  "He was having a mental situation," Legrier's mother, Janet Cooksey, told ABC 7. "Sometimes he will get loud, but not violent." The officer, who has not yet been identified, fatally shot Legrier seven times, the teen's family said. “We're thinking the police are going to service us, take him to the hospital," Cooksey told the Chicago Tribune. "They took his life.” A second victim, who has been identified only as a 56-year-old woman, was a downstairs tenant and bystander. The woman's daughter, Latisha Jones, told the Tribune she found her mother dead with a gunshot wound to her neck.</t>
  </si>
  <si>
    <t>At about 6:40 a.m., LMC emergency room staff called police, requesting assistance with a “combative patient who had disconnected himself from his IV and catheter and was trying to leave the hospital,” police said. “The patient was naked and bleeding at the time of the call. “The Laredo police response and situation assessment required the use of a Taser by the police officer.” Soon after he was returned to LMC's care, the 47-year-old man died, LPD said.</t>
  </si>
  <si>
    <t>Nelson County Sheriff's Office, Amherst County Sheriff's Office, Amherst Police Department</t>
  </si>
  <si>
    <t>“An officer was working a secondary employment detail when a young, black male between the ages of 19 and 23 came into the bank, presented a firearm and ordered everybody to the ground. The officer was in a position at the rear of the bank, announced, ‘Pittsburgh Police,' to which the offender pointed the gun in the officer's direction. She fired one single round that round struck the subject in his left side,” Pittsburgh Police Commander Larry Scirotto said.</t>
  </si>
  <si>
    <t>Police say they opened fire after failing to subdue Mario with “less lethal” beanbag rounds. The video shows Mario walking slowly along a sidewalk surrounded by a group of seven or eight police officers who have weapons drawn. It's not clear whether he had an object in his hands. One officer moves to block the suspect's progress as he moves along a wall bordering the sidewalk. Then gunfire erupts — a rapid-fire sequence that could have been more than a dozen shots. Video shows that Mario did not raise his arm prior to being shot, as police have claimed.</t>
  </si>
  <si>
    <t xml:space="preserve">After a pursuit, the 41-year-old Tindall ignored an officer's command and approached the running patrol vehicle, throwing a car seat he was carrying inside before getting into the driver's seat and being shot by police.
</t>
  </si>
  <si>
    <t>Killian O'Quinn</t>
  </si>
  <si>
    <t>O'Quinn began firing at an officer during a traffic stop, police said. In the exchange of gunfire, O'Quinn was killed and the officer was wounded, according to authorities.</t>
  </si>
  <si>
    <t>The officer approached Anthony, allegedly believing him to be casing vehicles when the officer claims Anthony suddenly attacked him. They fell to the ground and police say Anthony  tried to grab the officer's gun. The officer's Taser deployed during the struggle, striking both the officer and Anthony. The officer then fired his gun once. Ashford was struck in the torso and died at the scene.</t>
  </si>
  <si>
    <t xml:space="preserve">What initially began as a domestic violence complaint at Tozzi's home on Route 32 South in the Town of New Paltz turned into an hours-long standoff with police. Police said Tozzi, fired one round from a high powered rifle, which went through the metal door where the officer had been standing a moment before. The shooter than barricaded himself in his apartment and fired at least eight more rounds at officers, striking three police vehicles, which were being used as shields by the officers. Tozzi was eventually struck in the chest by a police officer when he approached a back window. He was taken to a hospital in Westchester County.
</t>
  </si>
  <si>
    <t>Deputies saw a person “driving recklessly, according to the Los Angeles County Sheriff's Department. They said that the driver sped off, leading deputies to a cul-de-sac in a couple miles away. As Ramirez turned his car around and faced the deputies, a woman got out of the car. Ramirez then allegedly accelerated his car toward the passenger side of the patrol car where a deputy was standing. Ramirez struck the patrol car, and the deputy opened fire. Ramirez was hit multiple times and died at the scene.</t>
  </si>
  <si>
    <t>Hammond was not in police custody, but he was being monitored by law enforcement at the request of St. Cloud Hospital. A struggle ensued after the suspect got out of his bed and Hammond got hold of an officers gun and shot off several rounds. A deputy from the same Sheriff's Office tased Hammond, and the suspect “became unresponsive." Life-saving efforts were begun in the emergency room, but Hammond died.</t>
  </si>
  <si>
    <t>Two officers were stopped at a red light when the back window of their patrol car shattered. Fearing they were under fire, police said, the officers got out of the cruiser and fired their own guns at a nearby man they believed was responsible, killing him. When investigators searched his body and the nearby scene, they didn't find a gun or any other weapon. Instead, they determined he had shattered the patrol car's window by throwing a 40-ounce beer bottle.</t>
  </si>
  <si>
    <t>A Talladega County sheriff's deputy shot and killed Derek Davis.</t>
  </si>
  <si>
    <t>Detectives spotted a man outside a McDonald's restaurant on West Lodi Avenue who was wanted in connection with a recent shooting. Reid brandished a handgun and exchanged gunfire with police as he ran west on West Lodi Avenue and south on South Pleasant Avenue.</t>
  </si>
  <si>
    <t>Troopers attempted to stop a car for failing to use a turn signal. Perdue was in the driver's seat with a 20-year-old woman in the passenger seat. The car didn't stop as directed by police. Instead, Perdue accelerated and headed eastbound on the Richardson Highway before turning onto Badger Road. During the chase, Perdue and the woman both leaned out the car's windows to shoot at police. The chase finally came to an end when the car went into a ditch when the driver tried to avoid hitting a tire deflation device set up by police. But when Perdue and the woman passed Fairbanks police and troopers, striking a police vehicle, four troopers, and one police officer fired their guns at them.</t>
  </si>
  <si>
    <t>Officers followed Angelo Perry, who was suspected of homicide, in unmarked vehicles, when they allegedly spotted him in a car with Navy Veteran India Kager. When India parked at a 7-Eleven, the officers also parked and approached the car. Officers claim Angelo shot at them first. They shot over thirty times at the vehicle, where Angelo, India and her 4 month-old baby were inside. Angelo and India were killed, while the baby was unharmed. Kager's mother disputes the police narrative. “It was very clear to me that India was not part of the police investigation based on the responses I got from police. She had nothing to do with it. She was totally innocent,” she told the Washington Post. “Did they find any weapons on India? Did she pose a threat? Why did [police] shoot into a car with a baby and woman who had nothing to do with their investigation? I'm devastated because she should still be alive nursing her son, my grandson,” she explained. “We're talking about a very beautiful soul that should still be here. She was unarmed, she was completely innocent. They shot indiscriminately.”</t>
  </si>
  <si>
    <t>Authorities were on patrol when they someone firing shots from one vehicle into another. Cruz reversed in his vehicle, attempting to hit the officers. Officers then fired their weapons, hitting at least one of the vehicle's occupants. The driver tried to get away, but was arrested after the vehicle hit other parked vehicles. Cruz was pronounced dead at the scene.</t>
  </si>
  <si>
    <t>Montgomery County OH Sheriff's Office</t>
  </si>
  <si>
    <t>Authorities said they shot and killed a man who shot at officers with a crossbow. West Virginia State Police and authorities with the Summers County Sheriff's Department responded to a domestic/hostage situation between a man and a woman on Buck Rub Trail. Police said they received information before arriving that the man may have had the intention of committing “suicide by cop.” Officials said Johnson  refused to drop the crossbow and fired his weapon at officers. Authorities said officers shot and killed Johnson. Authorities said the victim in the domestic/hostage situation did not suffer any significant injuries.</t>
  </si>
  <si>
    <t>Crawford, 21, led Leeds police and Jefferson County sheriff's deputies on a pursuit that ended when he rammed a deputy's vehicle on Interstate 20/59 in Tuscaloosa County, according to a release from the Jefferson County Sheriff's Office. He was tasered, but it's uncertain exactly what killed him.</t>
  </si>
  <si>
    <t>Police were called because a man with a gun was causing a disturbance. Police said he answered the door armed with a handgun. He wouldn't drop it and officers opened fire, killing him.</t>
  </si>
  <si>
    <t>Alec Ouzounian of Rancho Santa Margarita was killed after Orange County sheriff's deputies encountered him inside a home where they had been called to assist a suicidal man.</t>
  </si>
  <si>
    <t>Richland police, the Benton County Sheriff's Office and the Tri-City SWAT team responded to help Kennewick officers with a disturbance call.</t>
  </si>
  <si>
    <t>Daniel Davis, 58, was visiting his parents' home on Firestone Circle in a subdivision at the Green Valley Country Club when he caused a fight and refused to leave. Two deputies arrived at the home shortly before 3:30 p.m. to order Davis to leave the residence. The man pulled out a knife during the encounter and was killed.</t>
  </si>
  <si>
    <t>A fugitive who was fatally shot by sheriff's deputies this week had led a criminal organization, made up mostly of teenagers, that was involved in a string of crimes across Hidalgo County, authorities said Thursday</t>
  </si>
  <si>
    <t>Deputies responded to a report of a man barricaded in his home and threatening to blow it up. At one point he allegedly started a fire inside. Reports say, "It's unclear exactly why deputies opened fire." The man died at the hospital.</t>
  </si>
  <si>
    <t>Detectives attempted a vehicle stop of Mr. Willis on suspicion of drug dealing. Willis initially stopped but drove away. Detectives chased. Willis drove to an area of retail businesses, wrecked his vehicle and fled on foot. Witnesses say Willis pointed a gun at deputies and fired. A gun battle ensued. Willis was eventually killed. A gun was found near Willis' body with another gun in his pocket.</t>
  </si>
  <si>
    <t>Frederick County Sheriff's Office responded to a 911 call from a residence in the 100 block of Gregory Place in the Regency Lakes subdivision. The emergency call was for a domestic situation. When the sheriff's deputy arrived on scene and entered the residence, he encountered a male subject who was subsequently shot.</t>
  </si>
  <si>
    <t>North Carolina Alcohol Law Enforcement, Homeland Security,Transylvania County Sheriff's Department</t>
  </si>
  <si>
    <t>Charles County Sheriff's Office</t>
  </si>
  <si>
    <t>Dorsey lost control of the car. It came to rest against a tree in a median. Witnesses who called 911 said Dorsey was “flopping like a fish.”
The Charles County Mobile Intensive Care Unit responded to the scene “for the motor vehicle accident with a person having seizures,” according to sheriff's records.
“He had just gotten off the phone with his girlfriend,” said attorney Timothy F. Maloney, who is representing the family in the Justice Department matter. Maloney said it was Dorsey's second seizure in two months. He had not been prescribed anti-seizure medication, Maloney said.
In a police report prepared days after the accident and Tasering, Dorsey's girlfriend told investigators he had texted her and said, “I'm ready to pass out behind the wheel.</t>
  </si>
  <si>
    <t>Boone County Sheriff's Office</t>
  </si>
  <si>
    <t>Cobb County Sheriff's Office, Paulding County Sheriff's Office, US Marshals</t>
  </si>
  <si>
    <t>Tewksbury Police Department received 911 calls about the possible stabbing of two individuals at the Salter School, 515 Woburn St. Officers responding to the call saw a man matching the description of the stabbing suspect in the area of 55 Forest Ave. Ryan said when officers approached the suspect, they saw the Sparks holding a handgun. Sparks refused to comply with the officers' orders and shots were fired by the officers. He was transported to Saints Memorial Hospital in Lowell where he was pronounced dead.</t>
  </si>
  <si>
    <t>A stun gun was used on McKenna on Tuesday after she refused to comply with deputies' commands and physically resisted them as they prepared her for transport to Alexandria to face charges there, the sheriff's office said.</t>
  </si>
  <si>
    <t>Reports say they tried to take him into custody, but he refused. Hill then flashed a firearm at the five officers and proceeded to shoot. That's when the officers returned fire, killing the suspect.</t>
  </si>
  <si>
    <t>Police believe Robinson was responsible for at least five local store robberies that occurred within a week of Wednesday's chase. The chase ended with Robinson being shot and killed.</t>
  </si>
  <si>
    <t>Lynn County Sheriff's Office</t>
  </si>
  <si>
    <t>The Star-Telegram reported that officers went to King's home to conduct a welfare check. King's mother told dispatchers that her son was locked inside his bedroom, not making any noise, and that she feared he might have a medical emergency. But as officers went to check, police say King opened fire, striking Sgt. S. Drake in the lower abdomen, and prompting officers to return fire, killing him.</t>
  </si>
  <si>
    <t>An officer responded to a residence after Toto's wife called 9-1-1 to report her husband as “depressed” and “suicidal.” She reported that he left their home with a shotgun. The officer started toward the residence but found Toto by his truck before arriving there. Toto shot at the officer from about 150 feet away. The officer shot back, killing him.</t>
  </si>
  <si>
    <t>Gorman was shot during at the Mississippi Gaming Commission office during a training exercise when another agent's gun discharged accidentally. The agent involved in the shooting has been suspended with pay during the investigation into the shooting. Gorman had been with the MGC for 22 years and had been promoted to Director of Investigations the day before he was killed.</t>
  </si>
  <si>
    <t>Police were called at 4:45 p.m. to the 2000 block of San Mateo NE on a report of two suspicious men, with possibly stolen property, on the north side of a business. Responding officers arrived and spotted the two. One was quickly arrested, and Okeefe took off running, according to APD's report of the events. During the foot chase, he fired at police, who took cover and didn't return fire. He then started running east across San Mateo, and when he started shooting at officers again they returned fire, fatally wounding him, according to police</t>
  </si>
  <si>
    <t>Officers were called to a robbery at a credit union where Brickman had pointed a gun at a teller and took off with cash. While police were heading to the scene, one officer spotted the Brickman's vehicle and began to pursue him. Brickman abandoned his car and carjacked another. Officers continued pursuing him until Brickman hit a car parked on the street. He left his stolen car behind and ran on foot. Officers continued after him. He pointed a gun at an officer pursuing him and another officer shot him.</t>
  </si>
  <si>
    <t>Authorities on Thursday identified Eric Tyrone Forbes, 28, as the man they say fired a gun at police officers in a residential block of Miami's Liberty City. At least two Miramar officers — who had chased him from Broward County — returned fired and killed Forbes.</t>
  </si>
  <si>
    <t>Upon hearing shots, Davis became alarmed that his girlfriend's assailant might have returned with a gun. He retrieved his own gun, proceeded to the front room of his home and was shot twice by Officer Pitts.</t>
  </si>
  <si>
    <t xml:space="preserve">Butte County Sheriff's Office </t>
  </si>
  <si>
    <t>A deputy and a Utah Highway Patrol trooper went to a Stansbury Park home on a report that McGehee had cut his foot and needed medical help. But through a window they saw a man holding a shotgun, investigators said. At some point, McGehee's wife came out of the house. McGehee followed, holding a handgun, investigators said. After ignoring two or three commands to put the gun down, McGehee allegedly pointed the gun at the deputy, who fired three times on McGehee, killing him. McGehee, a U.S. Army staff sergeant, was awarded a Purple Heart after twice being hit by IEDs in Iraq. He suffered from post-traumatic stress disorder, his family said.</t>
  </si>
  <si>
    <t>As agents attempted to take the male into custody, he jumped over the processing counter and attacked an agent. One agent used his Taser in an attempt to stop the male's combative behavior. The male became unresponsive and stopped breathing.</t>
  </si>
  <si>
    <t>A caller said an unknown man was inside her garage and was trying to break a window to get inside her home. The officer arrived at the home and found 35-year-old Dennis Grigsby, a mentally-ill man, inside the woman's garage. Police allege that Grigsby made an “aggressive” move toward the officer while carrying a spoon, prompting the officer to shoot Grigsby.</t>
  </si>
  <si>
    <t>Riverside sheriff's deputies began a chase at Lakeshore and Riverside drives in the Lake Elsinore area after attempting to pull over a man in a stolen vehicle. He fled and traveled south on I-15 to the Baxter Road offramp in Wildomar. The pursuit ended at the dead end of Killarney Lane roughly a half-mile northeast of I-15 and Baxter Road. It was unclear what prompted the gunfire, but officers claim they feared for their lives.</t>
  </si>
  <si>
    <t>Faison was being a served a warrant for his arrest. After a short scuffle Fasion was shot and killed. Police allege Faison had a gun, but didn't say whether he was holding it at the time or if it was being pointed at officers. “It's got to stop. Got to stop. It happened in our small town," said Faison's cousin. Shatara Farrow, another cousin said, "Cops just shot him for no reason. We don't understand why at all.”</t>
  </si>
  <si>
    <t>97119 Pirate's Way</t>
  </si>
  <si>
    <t>Lake County Sheriff's Office, Eustis Police Department</t>
  </si>
  <si>
    <t>Police said they were conducting a narcotics investigation near Martinez's house when they spotted his car and tried to stop it. Martinez kept driving until he reached his driveway, pulled in and got out of the car, then led officers on a foot chase before pulling a loaded gun. Martinez died in a neighbor's backyard.</t>
  </si>
  <si>
    <t>Chippewa County Sheriff's Department</t>
  </si>
  <si>
    <t>Fuentes was shot and killed by Los Angeles Police Department West Valley Division officers after they responded to a radio call of a man cutting himself with a knife. Police saw a man holding a knife to his own neck. They said he ignored officers' commands to stop cutting himself and to drop the knife. At one point, the man “became aggressive” toward the officers, police have said, so they shot and killed him.</t>
  </si>
  <si>
    <t>Police responded to a robbery at 7-Eleven and an officer found Sherbon, who fit the robber's description. He attempted to detain him. They fought and Sherbon took Hynd's gun and fired at the officer, missing him. Other officers arrived, and a gunfight took place, with Sherbon being shot and killed.</t>
  </si>
  <si>
    <t>Jerome County Sheriff's Office</t>
  </si>
  <si>
    <t>Deputies received a call of a possibly suicidal man with a gun, according to a news release from the sheriff's office. When deputies arrived, Spargur allegedly pointed a gun at them and a deputy shot and killed him.</t>
  </si>
  <si>
    <t>Santa Fe County Sheriff's deputy, Tai Chan, and Sheriff's Deputy Jeremy Martin were involved in an altercation in a Las Cruces hotel after visiting several restaurants where they had been drinking.</t>
  </si>
  <si>
    <t>Dartmouth police officers responded to a 911 caller who told operators a man had entered his ex-girlfriend's apartment and damaged her television and computer. When Roman arrived at the apartment complex, officers said he was ordered to get out of his vehicle with his hands up. However, police said he grabbed one of two guns he was carrying and fired two shots. At that point, officers said they shot Roman.</t>
  </si>
  <si>
    <t>State troopers had gone to the home of Alan Gillotti Sr., 52, to investigate an armed home invasion that occurred in Bridgewater earlier that day. Sgt. Joshua Haines responded and was outside Gillotti's house when he shot Gillotti.</t>
  </si>
  <si>
    <t>Police responding to a complaint found Elliott covered in blood. After officers made contact, the man “presented a weapon (a sharp object of some kind) and attacked the officers," according to a police spokesman. Elliott died of “multiple gunshot wounds,” according to the medical examiner's office."</t>
  </si>
  <si>
    <t>An off-duty DeKalb officer was working security at a shopping plaza when an armed man approached a woman from behind and attempted to steal her vehicle, police said. The victim got the attention of the officer, who found Whitfield in the woman's vehicle, approached him and ordered him to drop his handgun. Whitfield instead pointed the gun at the officer, and was shot and killed, police said.</t>
  </si>
  <si>
    <t>McLennan County Sheriff's Office</t>
  </si>
  <si>
    <t>O'Shaine Evans</t>
  </si>
  <si>
    <t>D.C. police were helping U.S. marshals execute an arrest warrant, when a man brandished a handgun and refused to comply with orders to drop it. One member of the Marshal's Service and one police officer shot and killed the suspect.</t>
  </si>
  <si>
    <t>A Georgia man was killed by police executing a search warrant obtained after a car thief told police he stole methamphetamine from the dead man's vehicle, media reports say. The sheriff says Hooks, age 59, got a firearm and "demonstrated aggression" toward officers.</t>
  </si>
  <si>
    <t>Lee, 32, who was wanted on warrants in Elkhart and St. Joseph counties, was killed after he raised a gun towards Elkhart police officers on Tuesday, Sept. 23, in the Washington Gardens apartment complex, according to an Indiana State Police account of the incident. The investigation into Lee's death and the officers' actions is ongoing, but witness accounts and evidence at the scene do not match the official sequence of events provided by the state police, which was asked to handle the case.</t>
  </si>
  <si>
    <t>Polk County sheriff's Department</t>
  </si>
  <si>
    <t>Police had arrested Smith on outstanding warrants and put him in a patrol car with his hands cuffed behind his back, Police said in a written statement. Smith was able to move his hands to the front of his body and kick out a window of the patrol car. According to the police, officers noticed that Smith had a gun when he tried exiting the patrol car, and he was shot by an officer. A gun was found under Smith's body.</t>
  </si>
  <si>
    <t>Mohave County Sheriff's Office Arizona Department of Public Safety</t>
  </si>
  <si>
    <t>Sebastian County Sheriff's Office</t>
  </si>
  <si>
    <t>Officers went to Morrell's house to check on him at the request of a family member. Morrell was not home but soon arrived. He went around the police cruiser. Officers tried to stop Morrell, but he went inside. Deputies knew Morrell's wife was inside the home and thought the situation had developed into a hostage incident. Negotiations started immediately. The woman eventually left the house. Officers obtained an emergency custody order and deployed tear gas. When Morrell finally came out, police shot him with bean bags, but they had no effect on him. When Morrell pointed his weapon at one of the deputies, police shot him. He later died at Bristol Regional Medical Center.</t>
  </si>
  <si>
    <t>Conlogue was armed and held police at bay for about 3 hours outside the former Highland Farm restaurant along Route 16, through McCausland didn't say what weapon he was armed with. Conlogue was shot and killed.</t>
  </si>
  <si>
    <t>Two 15th District officers responded to a tripped security alarm at a home on the 900 block of Wakeling Street. When they knocked on the door a man answered and told them everything was OK with him, the other man in the home and a woman in the home. Since the man wasn't the homeowner, the officers asked to speak to a female resident who said everything was OK but signaled to the officers that that wasn't the case. Police said that the man then pointed a gun at the officer's head. The suspect shot three times, said investigators. Police returned fire, killing him.</t>
  </si>
  <si>
    <t>Cass County Sheriff's Department</t>
  </si>
  <si>
    <t>Bell County sheriff's deputies shot and killed a man with a shotgun Thursday evening after a 911 caller said the man was threatening to kill himself, sheriff's spokesman Donnie Adams said. After arriving, the deputies encountered Allen Jay Foste, 49, and fired their weapons after he pointed the shotgun at them, Adams said.</t>
  </si>
  <si>
    <t>An officer responded to a parking complaint from Farlow's neighbor. Police says Farlow pointed a gun at the officer when he approached Farlow's home. The officer shot Farlow who died in the hospital later.</t>
  </si>
  <si>
    <t>Georgetown County Sheriff's Office</t>
  </si>
  <si>
    <t>Police says a family member called the authorities to conduct a welfare check on Harrington. Deputies were told she was in the bathroom with a knife threatening to harm herself. The police was unable to make contact with anyone at the residence and located the property manager who unlocked the door. When sheriff's deputies were clearing the residence, Harrington allegedly charged the deputies with a knife. One of the officers shot her. Harrington died of multiple gunshot wounds at Waccamaw Hospital.</t>
  </si>
  <si>
    <t>Lake County Sheriff's office</t>
  </si>
  <si>
    <t>Racine County Sheriff's Office</t>
  </si>
  <si>
    <t>A Pine Lawn police officer pulled over a car for a wanted person alert along westbound I-70 and Jennings Station Road. The suspect took off in his vehicle. The officer pursued the suspect who crashed on Interstate 170 at the 70 interchange and then took off on foot. When the officer caught the man, a struggle occurred and that's when the officer shot and killed the suspect.</t>
  </si>
  <si>
    <t>Carson City Sheriff's Office, Nevada Highway Patrol</t>
  </si>
  <si>
    <t>On Friday night, family friend Michael Muhammad said Latham was arguing with his brother at the house. His mother called 911, and according to family members and Muhammad, she reported Latham was ill and needed help. Family members said one of the children in the house also called 911 and asked police dispatchers to “hurry up.” Family members said Latham answered the door when police arrived. They said Latham wouldn't drop the knife, however, he did not threaten the officer. Latham was shot at least three times while in the doorway, according to the family. They also said he was shot once when he was on the ground.</t>
  </si>
  <si>
    <t>Portage County Sheriff's Department</t>
  </si>
  <si>
    <t>SWAT team officer Daniel Hughes shot and killed 50-year-old Armand Martin after police said Martin threatened his wife and children with a gun. Police said Martin fired into the neighborhood from his home, and came out of the house ‘actively shooting with two handguns' before he was fatally shot</t>
  </si>
  <si>
    <t>The Oregon State Police is investigating a fatal shooting by an Athena police officer who killed a suspect Monday involved in an earlier eluding incident. Athena police Sgt. Erik Palmer shot and killed Tere David King, 55, of Athena on Pambrun Road just east of town. Primus said Palmer had spotted King's vehicle and was going to arrest him for an eluding incident from Saturday. Palmer was waiting for backup when King drove toward him to leave the scene. Palmer then disabled King's vehicle by shooting the tires, Primus said. After King's vehicle was disabled, Palmer reported the suspect got out of his vehicle with a firearm, which is when the officer shot and killed him.</t>
  </si>
  <si>
    <t>Imperial County Sheriff's Office</t>
  </si>
  <si>
    <t>Monterey County Sheriff's Office</t>
  </si>
  <si>
    <t>Avery County Sheriff's Department</t>
  </si>
  <si>
    <t>Officers initially responded to Mr. Weipert's home in reference to a disturbance that involved an alleged armed, intoxicated man who was threatening suicide. Witnesses said several officers surrounded the house and took cover, with guns drawn. A police negotiator made contact with Mr. Weipert, who refused to comply with officers. “Threatening acts toward officers present resulted in shots being fired by one officer,” police wrote in a press release.</t>
  </si>
  <si>
    <t>Kenny Clinton Walker, a 23-year-old black male, was shot to death by a Los Angeles police officer March 6 behind a home in the 9600 block of South San Pedro Street in Broadway-Manchester, according to the Los Angeles County coroner's office.</t>
  </si>
  <si>
    <t>D'Andre Berghardt Jr.</t>
  </si>
  <si>
    <t>Euharlee police said 17-year-old Christopher Roupe pointed a gun at one of their officers on Feb. 14, when officers knocked on the door of the family's home to serve a probation warrant for Roupe's father. Family members, however, said the teen was holding a Nintendo Wii controller.</t>
  </si>
  <si>
    <t>Sheriff's Homicide Bureau Lt. Steve Jauch told reporters at the scene a man in the home reported the suspect had been inside the residence, demanding money from his mother. Jauch said that as deputies arrived at the scene, a black compact sedan driven by the suspect sped toward them. Jauch said the pursuit led deputies to the parking lot of the Bestway Supermarket in the 19000 block of La Puente Road and ran through the market. Jauch said the suspect ran east through neighborhood backyards before encountering deputies at a residence on the corner of Elberland Street and Abelian Avenue.</t>
  </si>
  <si>
    <t>A Kona patrol officer made a traffic stop at a gas station in a shopping center on Palani Road. Following the stop, police arrested the vehicle's driver on a bench warrant for contempt of court. Alvarez's passenger, Randall Hatori, fled on foot. An officer ran after Hatori, and a struggle ensued while he attempted to arrest him. Other officers responded to the scene, and Hatori became unresponsive after he was placed in custody and arrested. Fire department paramedics arrived and took Hatori to Kona Community Hospital where he was pronounced dead.</t>
  </si>
  <si>
    <t>Sanchez, a sinewy 5-foot-9 car mechanic who spoke English well after spending 15 years in the United States, had allegedly leapt from under a mesquite bush and lunged to seize the agent's firearm, forcing him to shoot.</t>
  </si>
  <si>
    <t>Martinez shot a relative during an argument at his home. The relative escaped and called police. The SWAT team went to Martinez' home, where they found him violent, suicidal and pressing a gun to his head. Police tried to talk Martinez down, but instead he pointed the gun at them. They opened fire, killing him on the spot. The 10th Judicial District Attorney's Office declared the shooting justified.</t>
  </si>
  <si>
    <t>An officer was checking on a suspicious vehicle in the car wash's parking lot. During the contact, the officer shot Arias, the sole occupant of the vehicle. He was pronounced dead at the scene.</t>
  </si>
  <si>
    <t>Lytle was shot and killed after she failed to drop a dagger. She was threatening Kern County Sheriff's Department deputies. Lytle had an active no bail arrest warrant for a Sheriff's parole violation. Deputies were sent to her home in response to a call indicating Lytle was brandishing a knife, breaking picture frames and other household items. Deputies found Lytle sitting inside and speaking incoherently.</t>
  </si>
  <si>
    <t>Antoine and Veteran's Memorial</t>
  </si>
  <si>
    <t>D'Angelo Davis</t>
  </si>
  <si>
    <t>According to police, Carter pulled out his handcuffs after ordering Redus to put his hands on his vehicle. A scuffle then began between the two, with Redus grabbing Carter's baton and hitting him. “He warned Robert Redus four times, 'Stop or I'll shoot,''' Alamo Heights Chief Richard Pruitt told TODAY. “Officer Carter stated that Robert Redus then charged at him with his arm raised as if to strike him, and that's when he fired his weapon six times, striking Robert Redus five times.”</t>
  </si>
  <si>
    <t>Bois D'Arc</t>
  </si>
  <si>
    <t>Azusa Police Department officers tried to pull over a person suspected of drunk driving. The driver, later identified as Aguilar, didn't stop the car, and “evaded officers for a brief time.” Officers were able to find the car again and the driver stopped. Right after Aguilar pulled over, he exited the car, allegedly armed with a handgun and began to walk away from the officers. Aguilar allegedly “failed to comply with orders,” and turned toward the officers with the gun in hand, at which time, they shot and killed him.</t>
  </si>
  <si>
    <t>Charles Eimers drove his car onto Key West's Southernmost Beach after a short pursuit by several police cars. He was ordered to leave his vehicle and lie down in the sand. While cuffing Eimers' left hand, officer Garrido got his finger stuck in the handcuff and began screaming in pain for other officers to come to his rescue. Eimers, finding himself in the same painful predicament, began kicking his feet. Within less than 5 minutes, Eimers stopped breathing and turned “blue in the face.”  He was later pronounced dead.</t>
  </si>
  <si>
    <t>Officer Aaron Johns, age 40 and a 15-year veteran of the Eugene Police Department, stopped a red Honda mini-bike at the Fire Station driveway on Bailey Hill Road. During the initial encounter, the officer removed a large knife and a hatchet from the mini-bike's rider, Christopher Lee Koziatek, age 44, of Eugene. During the officer's initial contact with the suspect, the suspect ran from the officer and the officer gave chase on foot to the southeast side of Churchill High School. The officer called for emergency back-up and a lockdown of Churchill High School. The officer caught the suspect, who physically resisted and assaulted the officer while also armed with a handgun. The suspect was shot by the officer. Responding officers provided emergency medical aid, and Fire/EMS arrived. The suspect died on scene.</t>
  </si>
  <si>
    <t>Tipton County Sheriff's Office</t>
  </si>
  <si>
    <t>Caudill's husband had called police from out of town to ask for a well-being check. Neighbors reported seeing the woman in her yard, bleeding with cuts to her wrists. When police arrived, they say Caudill opened the front door, holding a handgun.A veteran police sergeant fired multiple rounds, hitting the woman in the chest.</t>
  </si>
  <si>
    <t>Monroe County Sheriff's Department</t>
  </si>
  <si>
    <t>Siskiyou County Sheriff's Department</t>
  </si>
  <si>
    <t>Police were called after an act of arson was committed by a man in front of a bus station. When police made contact with the suspect, Steven Henning, he refused to extinguish the fire acted aggressively and violently resisted arrest. Henning attempted to steal the officers' police car, and was subdued by pepper spray. Afterward, he violently resisted arrest again, grabbed an officer's Taser, and then fled on foot. The Weed Police, Siskiyou Sheriff's office and California Highway Patrol searched for Henning and found him near a freeway overpass. After an attempt to subdue him with a law enforcement canine unit, Henning continued to violently resist arrest and attempted to injure the canine. The officer and deputy discharged their firearms and Henning was killed.</t>
  </si>
  <si>
    <t>Sheriff's deputies shot and killed a 13-year-old boy who was carrying a replica assault rifle they mistook for the real thing.</t>
  </si>
  <si>
    <t>Taemarr Walker, 24, was shot and killed by Officer Michael Krafcik after allegedly pulling a gun and refusing to obey the officer's orders to drop the weapon, according to WFMJ. One officer said, "I saw the rifle, he was in the backseat. All this time he was in the backseat and then he dove over the front seat and pulled a handgun from under the front seat. When I saw the gun, I told him if he grabbed the rifle I would shoot him."</t>
  </si>
  <si>
    <t>Baltimore City police say 40-year-old Shawn Dean was pulled over for running through a stop sign. “When an officer on the driver side stepped away from the car, the suspect started the vehicle and drove off,” said Commissioner Anthony Batts, Baltimore City Police Department.Baltimore City police say the officer was dragged from Mannasota and Dudley Avenue two blocks away to Shannon Drive. The suspect's vehicle actually jumped the curb after he was shot.</t>
  </si>
  <si>
    <t>Buncombe County Sheriff's Office</t>
  </si>
  <si>
    <t>It was about 11:15 Monday night when police say the 36-year-old off duty deputy and a female friend, 23, were jogging near the Grand Basin in Forest Park. Police say three men wearing hoodies with bandanas covering their mouths and noses approached, pulled at least one gun, and threatened the lives of their would-be victims. That's when the deputy pulled his service weapon and opened fire. One of the suspects, 18-year-old Antonio Nash, was hit three times in the lower abdomen. He was pronounced dead at the scene.</t>
  </si>
  <si>
    <t>Tulare County Sheriff's Department</t>
  </si>
  <si>
    <t>RPD's Communications Bureau received a 911 call about a man, in the front yard of a residence, who had a knife and appeared to be suicidal. Patrol officers responded to the location and found Jimenez frantically waving a knife and cutting himself. Officers tried to get him to drop the knife. While the officers were talking to Mr. Jimenez, he charged them with the knife still in his hand, and officers shot and killed him.</t>
  </si>
  <si>
    <t>115 O'Callaghan Way</t>
  </si>
  <si>
    <t>Deputy Brian Hensley arrived at a home on Orleans Circle. Hensley was at the home's front door when he heard a gunshot. Hensley entered the home and Jeffery S. Frump, 44, of Gray, fired shots at Hensley. Hensley, who was struck in the leg, went out of the home seeking cover as Frump followed. Once on the front porch, Frump again aimed his weapon at Hensley, who returned fire, fatally wounding Frump.</t>
  </si>
  <si>
    <t>Columbia County Sheriff's Department</t>
  </si>
  <si>
    <t>East Fishkill Police Department, Dutchess County Sheriff's Office, New York State Police</t>
  </si>
  <si>
    <t>Seth Beckham broke into a 7-11, a McDonald's, and a gas station, while displaying aggressive and bizarre behavior. After the police officers drew their guns, Beckham reportedly tried to attack the officers. Seth Beckham was shot by a Harford County sheriff's deputy.</t>
  </si>
  <si>
    <t>Crow Wing County Sheriff's Office</t>
  </si>
  <si>
    <t>The incident began with a 911 call from someone at Schenck's home, claiming there had been an assault. Shortly after Yellow Springs police arrived at the residence, they reported shots fired on the property. Police requested assistance from the Greene County Combined SWAT Team. They soon received aid from about 63 units from 10 jurisdictions in the area. Greene County Coroner confirmed that Paul E. Schenck had died in his home during the standoff.</t>
  </si>
  <si>
    <t>Ellett, who was known to be mentally ill, confronted the officer at the officer's home … the suspect fired shots at the officer's residence, with the officer shooting and killing the suspect.”</t>
  </si>
  <si>
    <t>Police attempted to stop Wilkerson's 1997 Mercury Mountaineer for an unspecified traffic violation, police said. Wilkerson refused to stop and drove through several neighborhoods as police pursued him. Two off-duty officers were trying to help other officers stop Wilkerson at South Eugene and Louisiana when Wilkerson sped straight at them. One of the officers fired multiple shots into the front windshield, striking Wilkerson in the head. Wilkerson died at the scene.</t>
  </si>
  <si>
    <t>Albany Police Department, Shackelford County Sheriff's Office</t>
  </si>
  <si>
    <t>From the Arizona Republic: Tempe Narcotics officers were issuing a search warrant at a home in the 2100 block east Cairo when Wheelihan reportedly pointed an air rifle at officers from his backyard, Sgt. Mike Pooley said in a statement Thursday. After Wheelihan didn't obey orders to put down the rifle, officers shot him.</t>
  </si>
  <si>
    <t>Nicholas County Sheriff's Office</t>
  </si>
  <si>
    <t>Members of a sheriff's gang task force, along with a probation officer, tried to stop the driver of a silver Toyota for a traffic violation. Deputies said McCullough took off. Four minutes later, McCullough stopped, got out of his car, and allegedly took out a weapon. Police shot and killed him.</t>
  </si>
  <si>
    <t>Police opened fire on Gonzalez after an officer encountered her in an alley and saw her with what appeared to be a gun. A replica firearm was found near Gonzalez's body after the shooting. Gonzalez had been wanted by police in the city of Orange in connection with the murder of her longtime partner, Jennifer Solario, after shouting was heard inside their shared home.</t>
  </si>
  <si>
    <t>A robbery in progress at a burger restaurant was interrupted when sheriff's deputies shot and killed the suspect.</t>
  </si>
  <si>
    <t>The Kootenai County Sheriff's Office said the shooting occurred after Shoshone County dispatch received a call for a welfare check on an orange Scion parked peculiarly in an eastbound about a mile west of Lookout Pass. A Shoshone deputy arrived at the scene with the ISP officer as backup, and while talking Mandarino, the two officers discovered the driver was in possession of a handgun. A struggle to take the gun ensued, and the ISP officer shot and killed Mandarino.</t>
  </si>
  <si>
    <t>Two officers were responding to a report of a man urinating in public. An officer talked to the homeless Bayne, who was muttering and incoherent. As an officer checked the man's identification, Bayne pulled a folding knife from his pocket and charged the officer. An officer shot and missed, so they chased him a couple blocks, and when he wouldn't put down his knife, shot and killed him.</t>
  </si>
  <si>
    <t>Hudson County Prosecutor's Office</t>
  </si>
  <si>
    <t>Zawahri rampaged through a mile-long stretch of Santa Monica, dressed head to toe in black and carrying an AR-15 assault rifle. He killed six people near a community college campus, before being fatally shot himself by police in the school's library.</t>
  </si>
  <si>
    <t>Sheriff's officials say that as two deputies approached his property, Skelly fired his semi-automatic rifle. One deputy returned fire with his department-issued AR15 rifle, striking Skelly. He died of multiple gunshot wounds from the AR15.</t>
  </si>
  <si>
    <t>Jefferson County deputies responded along with medical personnel to 30438 Sunset Trail in Conifer after it was reported that the man was under the influence of drugs, and making suicidal statements. Guthrie's brother contacted police to report his sibling was walking around their property carrying a gun. At 6:49 a.m. deputies made contact with Guthrie and determined he was carrying a BB gun. A Taser was deployed after Guthrie refused deputy instructions to drop the weapon. He was then arrested and placed into custody without incident. While being escorted to the patrol car, Guthrie appeared to have difficulty breathing. On-hand medical personnel promptly began evaluating his condition, which took a bad turn when he stopped breathing. After unsuccessful attempts to administer life saving measures, Guthrie was pronounced dead at 7:57 a.m.</t>
  </si>
  <si>
    <t>According to police, an officer stopped in the city's Germantown section to check on curfew violations. While the officer sat in his car two men got out of the Nissan and began running north up Wayne Avenue. The driver of the car got out and started shooting at the fleeing men. The startled officer responded by jumping out of his vehicle and ordering the suspect to drop the gun. Police say the suspect apparently didn't know it was a police car that pulled in behind him, and continued to shoot at the men running from the car. The officer then opened fire on the gunman, killing him.</t>
  </si>
  <si>
    <t>William Dupree was shot during an altercation in front of Dupree's house. The shooting happened when off-duty Pagedale officer James Little came to the house to drop off a child he shares with Dupree's fiancée. The two men got in an argument, police said, which turned physical. Little then shot Dupree multiple times in the head, according to police. Dupree died at the scene.</t>
  </si>
  <si>
    <t>The Upper Darby police department said Galla broke into the residence of a former girlfriend and fired seven rounds at a man, hitting him in the foot. A U.S. Marshals task force including state police troopers located him in the area of the Summit Inn in Upper Darby, where he was seen with another man and woman. Members of the task force chased the man who was with Galla to a second-floor room, where gunfire resulted in Galla's death.</t>
  </si>
  <si>
    <t>Investigators say officers were called to a home around by the man's mother. It was the second time that day she called to report he had a weapon. Authorities say he refused to put down the gun and threatened the officers, who fired back, killing him.</t>
  </si>
  <si>
    <t>Apparently distraught, Jeff Foote called police and told a dispatcher that he planned to shoot himself, the sheriff's office said in a news release. Officers from multiple police agencies went to the home Foote shared with his to find him standing in the front yard, brandishing a small handgun. One deputy tried to calm Foote. As they spoke, however, Foote apparently discharged his gun and an officer returned fire killing Foote.</t>
  </si>
  <si>
    <t>Evanston Police Department, Uinta County Sheriff's Office</t>
  </si>
  <si>
    <t>Dalton Smith entered a home, occupied by four college students to commit a robbery. One of the students placed a 911 call to report the robbery. Numerous members of the Nassau County Police Department responded to the location. Police Officer Nikolas Budimlic was one of the first officers to arrive on the scene. As he approached the residence, Andrea Rebello's sister ran out of the front door and indicated that an intruder was upstairs and armed with a gun. Inside the residence, Officer Budimlic was confronted by the intruder. Smith was armed with a gun and was physically restraining Andrea Rebello. Smith ignored numerous commands to drop his weapon. During the confrontation, Officer Budimlic fired eight shots at Smith, killing him. One of the bullets struck Andrea Rebello in the head, killing her.</t>
  </si>
  <si>
    <t>Rigoberto Arceo was killed by a Sheriff deputy in the city of Cudahy, on May 11, 2013, Mothers Day. The engaged 34 year old young father was returning home from a party, celebrating Mother's Day, when a Los Angeles County Sheriff's Deputy, L Mendoza, ordered Rigo to the ground. Rigo with his hands raised in the air, was telling Deputy Mendoza that he did not have to do anything, when the deputy shot him once in the chest. In order to try and justify the shooting Deputy Mendoza is claiming that Rigo was trying to grab his gun. However, independent percipient witnesses who saw the shooting, describe Rigo as having his hands raised over his head when he was shot and that he was approximately 10 feet away from the deputy when the deputy shot and killed him.</t>
  </si>
  <si>
    <t>Cascade County Sheriff's Office</t>
  </si>
  <si>
    <t>Paris Police Department, Lamar County Sheriff's Office</t>
  </si>
  <si>
    <t>A Paris police officer shot Nash after he rammed a police vehicle with his truck as officers moved in to arrest him during a joint investigation by the Paris Police Department and Lamar County Sheriff's Office into a large amount of illicit drugs being delivered to the Paris area.</t>
  </si>
  <si>
    <t>Christopher Todd Jones was killed in an incident that police described as a "suicide by cop." It began with a domestic dispute between Jones and his stepfather, Elbert Lilley, who wanted Jones to move out of the home where he had lived with his mother who died of cancer. The home was owned by Lilley, who arrived one evening to an apparent ambush by Jones with a homemade spear that punctured his chest, police said. Lilley was able to escape to a neighbor's house to call 911. He told the first arriving officer that Jones said he was armed with a .45-caliber pistol. After a two-hour standoff, Jones came out charging the officers while carrying what turned out to be a pellet gun. Officers fired at Jones with rifles. Jones kept going before falling to the ground amid more gunfire. Sgt. Joel Weeks and Officers Robert Holmes and Angel Santiago fired 21 shots, hitting Jones at least 11 times.</t>
  </si>
  <si>
    <t>Knox County Sheriff's Department</t>
  </si>
  <si>
    <t>Officers from the San Fernando Police Department were responding to a call regarding a possible battery assault call for service. Police say Corrales attacked at least one of them with a tree branch, instead hitting the officer's patrol vehicle. The officer attempted to use a Taser but it had no effect due to the layers of clothing the suspect was wearing. The man again approached the police officer, who shot and killed him.</t>
  </si>
  <si>
    <t>Officers were dispatched to Herbert Babelay's home after receiving a report of a suicidal man. Babelay appeared on the street on a motorcycle after they arrived, and retreated to the shed at the rear of the house. When he emerged from the shed armed, he told police to get off his property. They told him to put his weapon down Babelay said they'd have to shoot him so they did.</t>
  </si>
  <si>
    <t>Shot to death. Police claim that when they stopped Brock for an alleged incident of “road rage,” they shot him because they thought he had a gun as he was approaching them. Brock's son said his father had a mental illness and was taking medication for it.</t>
  </si>
  <si>
    <t>Security guards at Carrs-Safeway grocery store reported Wulf slumped over the wheel of a Ford SUV in the store's parking lot. Called police. Police approached the vehicle and rapped on the window to try and get Wulf's attention. It was then officers saw Wulf had a pistol. He pulled it. They shot him.</t>
  </si>
  <si>
    <t>Wilson had taken an 18-year-old male high school student hostage after walking into Petco with a handgun. It was reported at the scene that one fatal shot was fired by the Bannock County Sheriff's sergeant and it hit Wilson in the neck ending an episode that began about 8 p.m.</t>
  </si>
  <si>
    <t>20-year-old Willie Lee Bingham Jr. was shot and killed as he and his friends allegedly attempted to flee the scene of a vandalized vehicle. Bingham allegedly resisted arrest; in fact was running away and was shot in the back of the head. The shooting was ruled "unnecessary" by the attorney general's office. Former deputy Walter Grant was indicted on manslaughter charges and arrested in March of 2015. NAACP said the family is also pursuing a civil suit against the department and Grant.</t>
  </si>
  <si>
    <t>Deputies responded to Glover's residence after a 911 call from his girlfriend stating that Glover had threatened to kill her and that he was armed with a handgun. When deputies arrived on the scene they found Glover in his truck in the driveway. When he exited the vehicle, he allegedly raised a hand gun and pointed it at deputies, refusing to drop it. A deputy shot and hit him twice; Glover died the next day. Glover was an Iraq War Veteran who had earned a purple heart for his service, and was having trouble readjusting.</t>
  </si>
  <si>
    <t>Deputies had gone to Charles Porter II's home after neighbors called 911 and asked them to check on a man who lived there who was acting strange. Sheriff Skipper said deputies went to the home to try to persuade the man not to harm himself. According to reports, the man was being uncooperative and had a gun near him. When he made a threatening two Anderson County Sheriff's deputies shot the him.</t>
  </si>
  <si>
    <t>The trooper pulled the vehicle over and the driver initially was falsely identified as Timothy Johnson. Several field sobriety tests were conducted in and outside of his patrol vehicle on the subject described as weighing nearly 300 pounds and standing 6-feet, 6-inches tall. “Trooper Sullivan stated the final test was a preliminary breath test, which was done,” stated the report. “The reading on the instrument was .12 percent and rising.” The trooper told the subject he was under arrest for driving while intoxicated as the subject told him that “he wasn't drunk” and became combative. An altercation ensued between the two. “Trooper Sullivan stated ... he was scared the subject was going to kill him and if he was struck one more time he might get knocked out and killed.” Mr. Sullivan fired three shots that caused the motorist, who was outside the vehicle at that point, to fall to the ground. Mr. Sullivan retrieved his first-aid kit to render aid to the man and repositioned his patrol vehicle to protect the subject and himself until additional help arrived, the report said.</t>
  </si>
  <si>
    <t>Shot to death after falling asleep in his car waiting for his girlfriend to come home from work. Two police officers, who were called to the area on another matter, claimed that when they approached Askew's car, he pointed a gun at them, and they killed him. Askew was licensed to carry a gun. A video of the incident disputes the police version of events.</t>
  </si>
  <si>
    <t>Officers responded to a call of a home burglary and observed the suspect running from the house on arriving. Suspect allegedly pointed a gun at the officers and officers opened fire killing him on the scene. The suspect's gun is believed to have been a realistic-looking pellet gun. Maricopa County Attorney's Office has cleared four officers of any wrongdoing.</t>
  </si>
  <si>
    <t>Adams County Sheriff's</t>
  </si>
  <si>
    <t>On January 14, 2013, the Adams County Sheriff's Office received a call of a suspected driving under the influence accident. Adams County Sheriff's Office patrol deputies Manual Aragon and Shawn Billings were dispatched to the scene. While en route, ADCOM dispatch updated that there were other reports of a possible roll- over accident in the area of 156th Avenue and Quebec. A civilian named witness Elise Cornett had called 911 after observing a car high~centered in a field off of Quebec Street. At approximately 6:06 Deputy 'Manual Aragon arrived first on scene and aired his arrival over the radio. Within a minute of his arrival, Deputy Aragon aired over the radio "shots fired" and requested medical units to respond to the scene.</t>
  </si>
  <si>
    <t>Police responded to 911 call from suspect's neighbor, when suspect's wife and child ran into her house for help. Wife had been stabbed by Guzman. When police arrived, Guzman was in the neighbor's garage and threatened them with the knife and hedge clippers. Guzman was shot eight times by two officers. Shooting was ruled a justifiable homicide by the Santa Barbara County District Attorney's Office.</t>
  </si>
  <si>
    <t>Police responded to a possible burglary in progress. Department's Special Investigations Division and property crimes detectives searched the area, at which time two suspects fled in a vehicle. Police attempted to pull it over. They stopped and tried to flee on foot, at one point Daniel allegedly struggled with a detective and tried to take his gun. A second detective arrived and shot Daniel dead at the scene.</t>
  </si>
  <si>
    <t>Hamlin was pulled over after report of domestic violence. He allegedly exited vehicle with a rifle, pointing it at himself and then police in a threatening gesture. Officers shot, killing Hamlin on the scene. Shooting was described by police as suicide by police officer. Greenbrier County Sheriff's Department and officers with the Alderson Police Department and the Ronceverte Police Department were also on the scene.</t>
  </si>
  <si>
    <t>Police responded to a report by a neighbor (part of an ongoing dispute) that flammable liquid might have been poured down a chimney. On arrival, the Madison County Sheriff's Office alleges that the suspect pointed a shotgun in Sgt. Bill Marconi's direction and refused to drop it. Marconi fired several shots, suspect ran and was later found dead behind his house. Cloninger's widow filed lawsuit stating that Marconi did not identify himself as a sheriff's deputy and no cause to suspect him of wrongdoing.</t>
  </si>
  <si>
    <t>Deputies were responding to calls of a fight in the parking lot of Cadillac Jack's on US-41 near Island Park Road. They arrived to find 25-50 people fighting and heard a report of a vehicle fleeing the scene. Deputies pursued, caught up with suspects at US-41 and Alico Road. Joseph Blake Powell allegedly exited the vehicle with a gun in his hand and started firing at deputies. Witnesses reported hearing over a dozen gunshots from Powell and deputies. Powell was killed, no officers were injured. Powell had a warrant for probation violation. Deputy Jeff Pierot, Lee County Sheriff's Office and Deputy Russell Park, Lee County Sheriff's Office were awarded 2013 Officers of the Year Award.</t>
  </si>
  <si>
    <t>Coweta County Sheriff's Department</t>
  </si>
  <si>
    <t>Maggie Valley Police Department, Haywood County Sheriff's Office, Waynesville Police Department</t>
  </si>
  <si>
    <t>Lea County Sheriff's Office, Hobbs Police Department</t>
  </si>
  <si>
    <t>Bonner County Sheriff's Office, Sandpoint Police Department</t>
  </si>
  <si>
    <t>Ellis County Sheriff's Department, Texas Department of Public Safety</t>
  </si>
  <si>
    <t>Eagar Police Department, Apache County Sheriff's Office</t>
  </si>
  <si>
    <t>Owensboro Police Department, Kentucky State Police</t>
  </si>
  <si>
    <t>Lonoke County Sheriff's Office, Arkansas Department of Community Correction</t>
  </si>
  <si>
    <t>Michigan State Police Department, Kalamazoo County Sheriff's Office, Portage Police Department</t>
  </si>
  <si>
    <t>Greensville County Sheriff's Office, Virginia State Police</t>
  </si>
  <si>
    <t>Grady County Sheriff's Department, Chickasha Police Department</t>
  </si>
  <si>
    <t>Choctaw County Sheriff's Office, Hugo Police Department</t>
  </si>
  <si>
    <t>Marion Police Department, Illinois State Police, Williamson County Sheriff's Department</t>
  </si>
  <si>
    <t>Riverside County Sheriff's Department, California Highway Patrol</t>
  </si>
  <si>
    <t>Columbia Police Department, University of Missouri Police</t>
  </si>
  <si>
    <t>Creek County Sheriff's Department, Bristow Police Department</t>
  </si>
  <si>
    <t>Bladen County Sheriff's Office, Bladenboro Police Department</t>
  </si>
  <si>
    <t>Greenlee County Sheriff's Office, Clifton Police Department</t>
  </si>
  <si>
    <t>Klamath County Sheriff's Department, Klamath Falls Police Department, Oregon State Police</t>
  </si>
  <si>
    <t>Searcy County Sheriff's Department, Arkansas State Troopers</t>
  </si>
  <si>
    <t>Trumbull County Sheriff's Office, Weathersfield Police, Ohio State Highway Patrol</t>
  </si>
  <si>
    <t>New Jersey State Police, Lyndhurst Police Department</t>
  </si>
  <si>
    <t>Johnson County Sheriff's Office, Missouri Highway Patrol</t>
  </si>
  <si>
    <t>Providence Police Department, Rhode Island State Police</t>
  </si>
  <si>
    <t>New Hampshire Department of Corrections Probation/Parole Officers, Strafford County Sheriff's Department</t>
  </si>
  <si>
    <t>Pierre Police Department, Hughes County Sheriff's Office, US Marshals Service, Bureau of Indian Affairs</t>
  </si>
  <si>
    <t>U.S. Capitol Police, U.S. Secret Service</t>
  </si>
  <si>
    <t>Wilson County Sheriff's Office, Johnston County Sheriff's Office</t>
  </si>
  <si>
    <t>Sewickley Police Department, Allegheny County Police Department</t>
  </si>
  <si>
    <t>California Highway Patrol, Yuba County Sheriff's Department, Yuba City Police Department, Wheatland Police Department</t>
  </si>
  <si>
    <t>Texas Department of Public Safety Highway Patrol, Texas Parks and Wildlife</t>
  </si>
  <si>
    <t>Missouri State Highway Patrol, St. Louis County Police Department, Eureka Police Department, Franklin County Sheriff's Department</t>
  </si>
  <si>
    <t>Roswell Police Department, Alpharetta Police Department</t>
  </si>
  <si>
    <t>North Carolina Highway Patrol, Edgecombe County Sheriff's Office, Martin County Sheriff's Office, Robersonville Police Department</t>
  </si>
  <si>
    <t>Greenfield Police Department, Peterborough Police Department, New Hampshire State Police</t>
  </si>
  <si>
    <t>Tiverton Police Department, Fall River Police Department</t>
  </si>
  <si>
    <t>New Castle County Police Department, Philadelphia Police Department</t>
  </si>
  <si>
    <t>New Castle County Sheriff's Office</t>
  </si>
  <si>
    <t>Ottawa Police Department, Franklin County Sheriff's Office</t>
  </si>
  <si>
    <t>Connecticut State Police, Manchester Police Department</t>
  </si>
  <si>
    <t>Stark County Sheriff's Office</t>
  </si>
  <si>
    <t>Violent crimes 2014 (if reported by agency)</t>
  </si>
  <si>
    <t>Violent crimes 2013 (if reported by agency)</t>
  </si>
  <si>
    <t>Violent crimes 2015 (if reported by agency)</t>
  </si>
  <si>
    <t>Violent crimes 2016 (if reported by agency)</t>
  </si>
  <si>
    <t>Violent crimes 2017 (if reported by agency)</t>
  </si>
  <si>
    <t>Average Violent Crimes Reported (2013-17)</t>
  </si>
  <si>
    <t>Violent crimes 2018 (if reported by agency)</t>
  </si>
  <si>
    <t>Martin Arturo Rivera</t>
  </si>
  <si>
    <t>Frederick H. Hall</t>
  </si>
  <si>
    <t>Jimme Knight Smith</t>
  </si>
  <si>
    <t>Haraesheo Rice</t>
  </si>
  <si>
    <t>Matthew Jonathan Luis Hurtado</t>
  </si>
  <si>
    <t>Brandon Lee Flowers</t>
  </si>
  <si>
    <t>Christopher Louis Willard</t>
  </si>
  <si>
    <t>Joshua Paul Spottedhorse</t>
  </si>
  <si>
    <t>Travis Griffin</t>
  </si>
  <si>
    <t>Jordan Keckhut</t>
  </si>
  <si>
    <t>Billy Ray Riggs</t>
  </si>
  <si>
    <t>Randall Beymer</t>
  </si>
  <si>
    <t>Ernesto Michel</t>
  </si>
  <si>
    <t>Joel Jacobo</t>
  </si>
  <si>
    <t>Amelia Huron-Macias</t>
  </si>
  <si>
    <t>Hieu Than</t>
  </si>
  <si>
    <t>Angel Uolla</t>
  </si>
  <si>
    <t>Junior Davis Lopez</t>
  </si>
  <si>
    <t>James Matthew Rogers</t>
  </si>
  <si>
    <t>Joseph L. Hoffman</t>
  </si>
  <si>
    <t>Christopher A. Wolfe</t>
  </si>
  <si>
    <t>Savannah Hill</t>
  </si>
  <si>
    <t>Lisa Rivera</t>
  </si>
  <si>
    <t>Kelly G. Abbott</t>
  </si>
  <si>
    <t>Benjamin Lee Sellers</t>
  </si>
  <si>
    <t>James Collins</t>
  </si>
  <si>
    <t>Detandel Pickens Devon</t>
  </si>
  <si>
    <t>Millard Clark</t>
  </si>
  <si>
    <t>Tracy A. Richards</t>
  </si>
  <si>
    <t>William T. McCollum</t>
  </si>
  <si>
    <t>Gavalynn Mahuka</t>
  </si>
  <si>
    <t>Roderick McDaniel</t>
  </si>
  <si>
    <t>Matthew Lorenzen</t>
  </si>
  <si>
    <t>Shane Lyons</t>
  </si>
  <si>
    <t>Kerry D. Blake</t>
  </si>
  <si>
    <t>Jesus Ramos</t>
  </si>
  <si>
    <t>Haughton</t>
  </si>
  <si>
    <t>Fountain Inn</t>
  </si>
  <si>
    <t>https://www.fatalencounters.org/wp-content/uploads/2018/06/RandallBeymer.jpg</t>
  </si>
  <si>
    <t>https://www.fatalencounters.org/wp-content/uploads/2018/06/Ernesto-Michel-Jr.jpg</t>
  </si>
  <si>
    <t>https://www.fatalencounters.org/wp-content/uploads/2018/04/JoelJacobo.jpg</t>
  </si>
  <si>
    <t>https://www.fatalencounters.org/wp-content/uploads/2018/06/Amelia-Huron-Macias.jpeg</t>
  </si>
  <si>
    <t>https://www.fatalencounters.org/wp-content/uploads/2018/04/JuniorDavidLopez.jpg</t>
  </si>
  <si>
    <t>https://www.fatalencounters.org/wp-content/uploads/2018/07/Savannah-Hill.jpg</t>
  </si>
  <si>
    <t>6918 Park Rd</t>
  </si>
  <si>
    <t>151 Williams Road</t>
  </si>
  <si>
    <t>851 W Ajo Way</t>
  </si>
  <si>
    <t>97 Griggs Ave.</t>
  </si>
  <si>
    <t>1020 W South St</t>
  </si>
  <si>
    <t>1000 Church Street</t>
  </si>
  <si>
    <t>1500 S Nevada Ave</t>
  </si>
  <si>
    <t>5900 Blue Hills Road</t>
  </si>
  <si>
    <t>1400 W. 11th St.</t>
  </si>
  <si>
    <t>9200 Saddle Trail</t>
  </si>
  <si>
    <t>200 Madge Lane</t>
  </si>
  <si>
    <t>300 James Lane</t>
  </si>
  <si>
    <t>1200 South 9th Street</t>
  </si>
  <si>
    <t>Orwell</t>
  </si>
  <si>
    <t>Alamosa Police Department</t>
  </si>
  <si>
    <t>Pima County Adult Probation Department</t>
  </si>
  <si>
    <t>Bossier Parish Sheriff's Office</t>
  </si>
  <si>
    <t>A man's sister called police to say her brother was threatening to kill himself. Deputies responded about an hour later to find that man, described as a 56 year-old white male, in the yard with a rifle in hand. Police said the man was combative, and when deputies asked him to put down the rifle, he refused, and ran. Deputies shot him when he allegedly turned around and pointed his rifle at them.</t>
  </si>
  <si>
    <t>http://www.wkyc.com/news/local/ashtabula-county/man-dies-after-ashtabula-county-sheriff-deputy-involved-shooting/431620055</t>
  </si>
  <si>
    <t>New Castle Police responded to neighbors' reports of a man chasing a woman with a large knife. When police arrived, they confronted Flowers, who was standing over a female victim on the ground. Police said Flowers continued to stab the woman in the neck, and police shot and killed him. He died on November 7.</t>
  </si>
  <si>
    <t>http://www.thestarpress.com/story/news/local/2017/11/07/new-castle-man-shot-police-dies-injuries/839250001/</t>
  </si>
  <si>
    <t>Police attempted to arrest a man on an outstanding warrant for an unspecified misdemeanor. He allegedly fought them and pulled a gun and was shot and killed.</t>
  </si>
  <si>
    <t>Police stopped a vehicle for an alleged traffic violation at about 6 p.m. The driver fled on foot, police said. Two occupants remained in the vehicle. An officer tried to use a Taser to stop the driver in the foot pursuit but was unsuccessful. The driver allegedly turned toward the officers, showed a handgun, and officers shot and killed him.</t>
  </si>
  <si>
    <t>http://www.kansascity.com/news/local/crime/article193662789.html</t>
  </si>
  <si>
    <t>Randall Beymer was shot and killed when he allegedly made threatening gestures to them with an item in his hand that they said they perceived as a weapon. It was a paint sprayer.</t>
  </si>
  <si>
    <t>http://www.wboy.com/news/emergencies/update-deputies-release-more-information-regarding-fatal-standoff-with-62-year-old-man/991698375</t>
  </si>
  <si>
    <t>Ernesto Michel was shot and killed around 10 p.m. when he allegedly threatened police with undisclosed weapons.</t>
  </si>
  <si>
    <t>https://drive.google.com/file/d/1WucdyuFcAg5gMXNGHhcFowBm8BiqoNl5/view?usp=sharing</t>
  </si>
  <si>
    <t>Joel Jacobo was on probation for trafficking stolen property in the second degree when he was shot and killed by a probation officer. Police said he was being a served a warrant for probation violation, and he allegedly had a weapon when he was killed.</t>
  </si>
  <si>
    <t>http://www.tucsonnewsnow.com/story/37628699/man-shot-by-probation-officer-while-being-served-a-warrant</t>
  </si>
  <si>
    <t>Police shot and killed Amelia Huron-Macias during a standoff during which they were trying to take her son into custody for mental-health reasons.</t>
  </si>
  <si>
    <t>https://www.ksat.com/news/defenders/report-on-march-standoff-doesnt-say-who-killed-elderly-hostage</t>
  </si>
  <si>
    <t>Shortly before 5 a.m. officers stopped Junior Davis Lopez. He allegedly got out of the car with a gun in his hand that he dropped to the ground but picked it up and pointed it at officers, who shot and killed him. Kimberly Gonzalez, Lopez's friend, and his fiancee, Amber Bustillos, were in the vehicle.</t>
  </si>
  <si>
    <t>http://www.lasvegasnow.com/news/metro-officer-shoots-man-on-citys-east-side/1104333447</t>
  </si>
  <si>
    <t>Police were called to Griggs Avenue around 9:22 p.m. after a woman called 911 saying that Joseph Hoffman had a gun and was outside her home arguing with her husband. The man Hoffman was arguing with once had an affair with Hoffman's wife. Officer Zachary Price and Officer Thomas Graffy arrived and told Hoffman to drop his weapon, but Hoffman refused and then shot at the victim as he was running toward officers for safety. Both officers shot and killed Hoffman.</t>
  </si>
  <si>
    <t>https://www.clickorlando.com/news/man-shot-by-officers-after-fight-over-affair-dies-casselberry-police-say</t>
  </si>
  <si>
    <t>Mason Farris was wanted for a parole violation, and Savannah Hill was cooperating with Aurora police to arrest him during a traffic stop. When police pulled over Hill as planned, Farris allegedly pushed down on Hill's leg, causing the car to lurch backward and strike an officer. Officer David Chatman shot and killed Hill. Mason L. Farris, of Aurora, Missouri, was charged with second-degree murder, two counts of first-degree assault, armed criminal action and resisting arrest.</t>
  </si>
  <si>
    <t>Justified by County Prosecutor</t>
  </si>
  <si>
    <t>https://www.news-leader.com/story/news/crime/2018/05/07/father-woman-shot-aurora-police-says-wound-fatal/586815002/</t>
  </si>
  <si>
    <t>Benjamin Lee Sellers was shot and killed by Lt. Josh Cathcart, who said Sellers was approaching him with a knife.</t>
  </si>
  <si>
    <t>https://www.shreveporttimes.com/story/news/2018/05/14/bossier-police-release-details-officer-involved-shooting/609788002/</t>
  </si>
  <si>
    <t>Police said a man was stabbed while trying to intervene in an aggravated assault on a woman by Detandel Devon Pickens. Police arrived and found Pickens holding two knives to a woman's neck. Police ordered him to drop the knives, then used a Taser to try and incapacitate him, but that did not stop Pickens, and police shot and killed him.</t>
  </si>
  <si>
    <t>https://www.arklatexhomepage.com/news/local-news/lsp-investigate-officer-involved-fatal-shooting/1260606360</t>
  </si>
  <si>
    <t>https://www.fox21news.com/news/crime/police-release-body-worn-cam-footage-of-fatal-shooting-on-south-nevada-avenue/</t>
  </si>
  <si>
    <t>Diggs was killed by her fiance, an Baltimore City police officer. He later committed suicide in jail.</t>
  </si>
  <si>
    <t>https://www.hawaiinewsnow.com/story/25326725/big-island-taser-death-ruled-homicide/</t>
  </si>
  <si>
    <t>But just before 3:15 a.m. Friday, officers found Celestine and a second man sitting in a white Buick parked at the dead end of East 6th Street, near McElheny Road. While officers tried to arrest Celestine, he allegedly scuffled with officers during a confrontation that ended in his death due to the use of a police carotid neck restraint.</t>
  </si>
  <si>
    <t>https://www.eastbaytimes.com/2016/10/06/antioch-man-put-in-police-neck-hold-died-of-asphyxiation-jury-rules-it-an-accident/</t>
  </si>
  <si>
    <t>A deputy was dispatched after a report of an unwanted subject, police said. The deputy found a man matching the description, Jonathan Barrio, 35, of Trona, who appeared to be under the influence of an unspecified substance. Barrio fought when the deputy tried to arrest and handcuff him, but eventually was placed in the back seat of the patrol car and hobbled, leading to his asphyxiation.</t>
  </si>
  <si>
    <t>https://www.azcentral.com/story/news/local/phoenix/2017/12/19/excessive-force-lawsuit-filed-over-mans-death-struggle-phoenix-cops/966954001/</t>
  </si>
  <si>
    <t>https://www.wltz.com/2019/02/22/deadly-police-encounter-prompts-civil-lawsuit/</t>
  </si>
  <si>
    <t>https://www.hawaiinewsnow.com/story/35071920/mother-of-man-who-died-after-breaching-airport-security-raises-issue-with-investigation/</t>
  </si>
  <si>
    <t>Charles Kosi Jr. was killed after breaching a TSA security checkpoint at the Honolulu International Airport. He apparently tried to skip the line and fought when "detained."</t>
  </si>
  <si>
    <t>Police say two officers were approached by a man inside the Venetian Hotel. He was acting erratic and told officers someone was chasing him, police said. He took off toward the back of the building and police followed. One officer tasered the man when he reportedly tried to get into a nearby truck. He was punched multiple times and put in a choke-hold. He died an hour later.</t>
  </si>
  <si>
    <t>https://www.themonitor.com/2019/11/24/family-disputes-police-report-edinburg-mans-death-police-custody/</t>
  </si>
  <si>
    <t>Deputies responded to reports of a man threatening neighbors. Deputies said the man was under the influence of drugs and he was touching himself inappropriately. When deputies tried to arrest him, he started to resist, and once the man was handcuffed, they realized he was dead. His family alleges police held a baton against his neck prior to his death.</t>
  </si>
  <si>
    <t>County police were called on Howard for his erratic behavior, standing in the bed of a pickup, throwing rocks, yelling obscenities, taunting officers, spinning, swaying. Police fired their Tasers at Howard nine times for a total of 37 seconds, data shows — far above the recommended limit of 15 seconds. He stopped breathing and died shortly afterward.</t>
  </si>
  <si>
    <t>Officers were executing a search warrant on Darden for narcotics, Darden resisted, was tasered, and died. The use of a taser and physical restraints were cited as contributing factors in his death.</t>
  </si>
  <si>
    <t>https://www.star-telegram.com/news/local/fort-worth/article219303070.html</t>
  </si>
  <si>
    <t>Smith died shortly after he was found unconscious and handcuffed while in the custody of special police officers, according to authorities. Special police officers are armed security guards licensed by the city. The death was ruled a homicide.</t>
  </si>
  <si>
    <t>Police wanted Shriver for questioning regarding a murder. They found him under a house, sicced a dog on him and used chemical weapons to bring him out.</t>
  </si>
  <si>
    <t>Robert ‘Ethan' Saylor, 26, died from asphyxia after three Frederick County Sheriff's deputies handcuffed the flailing, 294-pound man who had Downs syndrome as he screamed, cursed and cried for his mother. Saylor had not purchased a ticket for a repeat viewing of the movie Zero Dark Thirty.</t>
  </si>
  <si>
    <t>Taser, Pepper Spray, Beaten</t>
  </si>
  <si>
    <t>Administrative discipline</t>
  </si>
  <si>
    <t>Grand Island</t>
  </si>
  <si>
    <t>Brackettville</t>
  </si>
  <si>
    <t>Kinney</t>
  </si>
  <si>
    <t>Flint Police Department</t>
  </si>
  <si>
    <t>Byron Williams</t>
  </si>
  <si>
    <t>https://fatalencounters.org/wp-content/uploads/2019/09/ByronWilliams.jpg</t>
  </si>
  <si>
    <t>1500 W Bonanza Rd</t>
  </si>
  <si>
    <t>Byron Williams was reportedly stopped for riding a bicycle without safety lights. He fled on foot, and police restrained him with at least one officer putting weight on his back while he complained about not being able to breathe, killing him.</t>
  </si>
  <si>
    <t>https://www.forcedtrajectory.com/blog/cycling-while-black-the-death-of-byron-williams</t>
  </si>
  <si>
    <t>Eugene Horn</t>
  </si>
  <si>
    <t>47th Ave and Camelback Rd</t>
  </si>
  <si>
    <t>Calvin Mejia, 24, along with Eugene Horn and another unidentified person allegedly cut the chain on the gate of a Walmart, entered the fenced enclosure of the tire-storage cage outside the automotive-maintenance area and stole 20 automotive battery cores, police said. An officer saw a vehicle exiting the Walmart parking lot with its lights off. The officer attempted to stop the vehicle, and the vehicle's occupants fled on foot to a nearby alley. Mejia was taken into custody in the alley. The driver of the vehicle, Horn, was stopped by an officer in the driveway of a nearby home. Horn pointed a gun at the officer, and the officer shot and killed him. Mejia was charged with murder in Horn's death.</t>
  </si>
  <si>
    <t>https://www.azcentral.com/story/news/local/phoenix-breaking/2019/03/29/phoenix-police-shot-man-after-burglary-now-another-man-faces-murder-charges/3310442002/?fbclid=IwAR1DUFufgDWWcNcdDA8avuQrHjC33Ep2Hvs5SiZBODG_m_PsTsOnI5H2wp4</t>
  </si>
  <si>
    <t>Michael Ann Godsey</t>
  </si>
  <si>
    <t>W Doolin Ave &amp; N 13th St</t>
  </si>
  <si>
    <t>Blackwell</t>
  </si>
  <si>
    <t>Blackwell Police Department</t>
  </si>
  <si>
    <t>Following shots fired and a pursuit and an exchange of gunfire during the vehicle pursuit, Michael Godsey was shot and killed.</t>
  </si>
  <si>
    <t>https://www.news9.com/story/40503216/osbi-investigates-officer-involved-shooting-in-blackwell</t>
  </si>
  <si>
    <t>Atatiana Jefferson</t>
  </si>
  <si>
    <t>https://fatalencounters.org/wp-content/uploads/2019/10/Atatiana-Jefferson-2.jpg</t>
  </si>
  <si>
    <t>1203 E Allen Ave</t>
  </si>
  <si>
    <t>Officer Aaron Dean went with several officers to investigate an open door at Atatiana Jefferson's house. Dean allegedly murdered Jefferson when she came to a window to see if someone was in her yard.</t>
  </si>
  <si>
    <t>https://www.nbcdfw.com/news/local/Fort-Worth-Police-to-Hold-Press-Conference-After-Shooting-Killing-Woman-in-Home-563004851.html</t>
  </si>
  <si>
    <t>Katlyn Alix</t>
  </si>
  <si>
    <t>https://www.fatalencounters.org/wp-content/uploads/2019/01/KatlynAlix.jpg</t>
  </si>
  <si>
    <t>700 Dover Place</t>
  </si>
  <si>
    <t>Saint Louis City</t>
  </si>
  <si>
    <t>Officers Nathaniel Hendren, 29, and Katlyn Alix, 24, were reportedly playing some version of Russian roulette when Hendren shot and killed Aliz. The St. Louis police officer has been charged with involuntary manslaughter and armed criminal action following the shooting death of his fellow officer.</t>
  </si>
  <si>
    <t>https://people.com/crime/cop-charged-involuntary-manslaughter-fatally-shooting-cop/</t>
  </si>
  <si>
    <t>Mario Clark</t>
  </si>
  <si>
    <t>https://www.fatalencounters.org/wp-content/uploads/2019/03/Mario-Clark.jpg</t>
  </si>
  <si>
    <t>2738 Pinedale Street</t>
  </si>
  <si>
    <t>Shelia Ragland called 911 because her son, Mario Clark, was having a psychotic episode. When officers arrived, they restrained Clark. At some point, Clark ended up on the floor, his hands and feet handcuffed, she said. Ragland alleged officers beat Clark on his legs and kicked and hit her son in the head while she pleaded with them to stop. Clark was transported to an area hospital and was placed on life support and died days later.</t>
  </si>
  <si>
    <t>https://www.clarionledger.com/story/news/2019/02/21/jackson-officers-on-leave-fbi-investigating-mario-clark-death-jpd/2942634002/</t>
  </si>
  <si>
    <t>George Robinson</t>
  </si>
  <si>
    <t>Jones Avenue and Washington Avenue</t>
  </si>
  <si>
    <t>Beaten/Bludgeoned with instrument</t>
  </si>
  <si>
    <t>Officers came in contact with George Robinson while searching for the men suspected of killing a Jackson pastor outside his church, police said. Two men have since been charged with Rev. Anthony Longino's murder. Witnesses said police hit Robinson in the head with a flashlight and body slam him. He was released and died the next day. Three Jackson police officers and their supervisor were fired.</t>
  </si>
  <si>
    <t>https://www.clarionledger.com/story/news/2019/01/18/excessive-police-force-investigation-who-man-who-died-jackson/2604283002/</t>
  </si>
  <si>
    <t>Shaharah Coggins</t>
  </si>
  <si>
    <t>https://fatalencounters.org/wp-content/uploads/2019/09/Shaharah-Coggins.jpg</t>
  </si>
  <si>
    <t>742 Romie Hill Ave</t>
  </si>
  <si>
    <t>Shannon</t>
  </si>
  <si>
    <t>Shannon Police Department</t>
  </si>
  <si>
    <t>Police responded to a call at Griggs Store about 6 p.m. when Shaharah Coggins, 38, ran into the store saying she was scared someone would hurt her. Shortly after, Kentorrey Sims, 32, came in and fatally shot her. A Shannon police officer, who was on duty at the store, fatally shot Sims. It was not disclosed how Sims was able to reach Coggins with an armed officer in the store.</t>
  </si>
  <si>
    <t>https://www.wtva.com/content/news/Lee-County-Sheriff-Two-dead-after-Shannon-shooting-560767381.html</t>
  </si>
  <si>
    <t>Albert Thomas Dashow</t>
  </si>
  <si>
    <t>https://fatalencounters.org/wp-content/uploads/2019/09/Albert-Thomas-Dashow.jpg</t>
  </si>
  <si>
    <t>1021 15th Ave SE</t>
  </si>
  <si>
    <t>Olmsted</t>
  </si>
  <si>
    <t>An officer tried pulling over a man in a Cub Foods parking lot. He was tasered and died. The autopsy report listed obesity as a significant condition contributing to death, but listed restraint by law enforcement as the main cause of death.</t>
  </si>
  <si>
    <t>Justified by County Attorney</t>
  </si>
  <si>
    <t>https://www.kimt.com/content/news/Authorities-ID-39-year-old-Rochester-man-who-died-in-police-custody-507838501.html</t>
  </si>
  <si>
    <t>David Glen Ward</t>
  </si>
  <si>
    <t>https://fatalencounters.org/wp-content/uploads/2019/12/david-glen-ward.jpg</t>
  </si>
  <si>
    <t>Sutton Road</t>
  </si>
  <si>
    <t>David Glen Ward apparently fled a police stop in a car he'd previously reported stolen. When police stopped him, they strangled and restrained him, killing him.</t>
  </si>
  <si>
    <t>https://www.pressdemocrat.com/news/10406101-181/petaluma-man-identified-as-person</t>
  </si>
  <si>
    <t>Brian Simonsen</t>
  </si>
  <si>
    <t>https://www.fatalencounters.org/wp-content/uploads/2019/03/Brian-Simonsen.jpg</t>
  </si>
  <si>
    <t>9162 120th St</t>
  </si>
  <si>
    <t>Richmond Hill</t>
  </si>
  <si>
    <t>Officer Brian Simonsen was fatally shot in a T-Mobile store, and Officer Matthew Gorman was wounded in the leg. Police said the officers were believed to have been shot when other officers arrived at the scene and began shooting. The suspect was taken into custody and reported to be in critical condition, police said. He reportedly had been wielding an imitation gun. Christopher Ransom and Jagger Freeman, who were not police officers, were charged with Simonsen's murder.</t>
  </si>
  <si>
    <t>https://www.foxnews.com/us/nypd-officer-shot-in-queens-while-on-duty-police-say</t>
  </si>
  <si>
    <t>BB gun</t>
  </si>
  <si>
    <t>Paola Minero</t>
  </si>
  <si>
    <t>Date Palm Dr and McCallum Way</t>
  </si>
  <si>
    <t>An officer was responded to a disturbance about 4:45 p.m. near Big 5 Sporting Goods, and saw a man shoot and kill a woman. He opened fire on the officer and struck his vehicle several times. The officer shot and killed the man.</t>
  </si>
  <si>
    <t>https://www.kesq.com/news/police-investigating-shooting-incident-in-cathedral-city/974669084</t>
  </si>
  <si>
    <t>Wally Adam McCurdy</t>
  </si>
  <si>
    <t>https://fatalencounters.org/wp-content/uploads/2019/05/Wally-A.-McCurdy.jpeg</t>
  </si>
  <si>
    <t>East Kearney Street &amp; Glenstone Avenue</t>
  </si>
  <si>
    <t>An off-duty officer working at Walmart was told two shoplifting suspects, Wally McCurdy and a woman, left the store and ran to a nearby restaurant. The off-duty officer called for backup and went to Culver's. The officer arrested a woman at the restaurant. Backup officers pursued McCurdy as he left the restaurant. One officer in the pursuit shocked him with his stun gun, killing him.</t>
  </si>
  <si>
    <t>https://www.ky3.com/content/news/Man-dies-after-officers-make-arrest-in-Springfield-507980731.html</t>
  </si>
  <si>
    <t>Johnathan D. Liddell</t>
  </si>
  <si>
    <t>1100 Thornton Rd</t>
  </si>
  <si>
    <t>Lithia Springs</t>
  </si>
  <si>
    <t>An off-duty U.S. Immigration and Customs Enforcement officer shot and killed Johnathan Liddell in a Walmart parking lot, police said. Police said Agent Othello Lamar Jones shot Johnathan Liddell, of Austell, outside the Walmart about 1 p.m. Police found Liddell dead inside his car. Witnesses said Liddell never got out of his car. Jones claimed he removed an airsoft gun from the back seat and placed it on top of the vehicle after he killed the man.</t>
  </si>
  <si>
    <t>https://www.ajc.com/news/crime--law/man-killed-ice-agent-had-plastic-gun-police-say/1FSbrm4E4wdQD6TntohlLK/</t>
  </si>
  <si>
    <t>200 Ashley Hollow Rd</t>
  </si>
  <si>
    <t>Clay City</t>
  </si>
  <si>
    <t>Powell County Sheriff's Office</t>
  </si>
  <si>
    <t>Around 8 p.m., officers were looking for a vehicle that had been in a pursuit. An off-duty Powell County deputy found the driver, and during a reported struggle, the man allegedly tried to unarm the deputy, who shot and killed him.</t>
  </si>
  <si>
    <t>https://www.wave3.com/2019/07/10/dead-officer-involved-shooting-powell-county/</t>
  </si>
  <si>
    <t>Luis Vasquez</t>
  </si>
  <si>
    <t>6200 W Grand Ave</t>
  </si>
  <si>
    <t>Luis Vasquez was shot and killed by police in a North Side apartment after two people told an off-duty Chicago police officer they were kidnapped, police said. Details as to what precipitated the killing were withheld by police.</t>
  </si>
  <si>
    <t>https://chicago.suntimes.com/crime/2019/7/9/20687362/luis-vasquez-suspected-kidnapper-killed-police-belmont-central-identified</t>
  </si>
  <si>
    <t>Kenneth French</t>
  </si>
  <si>
    <t>https://fatalencounters.org/wp-content/uploads/2019/06/kenneth-french.jpg</t>
  </si>
  <si>
    <t>1130 Broadway</t>
  </si>
  <si>
    <t>Kenneth French, a mentally disabled man, allegedly got in an argument with an off-duty LAPD officer, Salvador Sanchez, in a samples line. French allegedly knocked out the officer, who woke up and allegedly shot and killed French, and shot and seriously wounded French's parents, Russell and Paola French.</t>
  </si>
  <si>
    <t>https://www.latimes.com/local/lanow/la-me-costco-shooting-parents-lapd-20190624-story.html?fbclid=IwAR0q4lwpOMDLOIGqRcceREp8qtIHbdkjpU6pLC_ZZt3SGUydO2wGCrlfa0c</t>
  </si>
  <si>
    <t>Cody Guy Wrathall</t>
  </si>
  <si>
    <t>https://fatalencounters.org/wp-content/uploads/2019/06/Cody-Guy-Wrathall.jpg</t>
  </si>
  <si>
    <t>4730 Pan American Fwy NE</t>
  </si>
  <si>
    <t>Police said they received a call from a woman, saying she was being stalked by her ex-boyfriend inside the Nexus Brewery. Shortly after, police said an off-duty federal agent at Nexus Brewery saw a man, Cody Wrathall, enter the brewery with a gun, and the agent shot and killed Wrathall.</t>
  </si>
  <si>
    <t>https://www.koat.com/article/police-activity-reported-at-nexus-brewery-in-ne-abq/27853311</t>
  </si>
  <si>
    <t>Athens Christopher Trey Mahrt</t>
  </si>
  <si>
    <t>https://www.fatalencounters.org/wp-content/uploads/2019/03/ChristopherMahrt.jpg</t>
  </si>
  <si>
    <t>4028 Goodman Rd W</t>
  </si>
  <si>
    <t>Desoto</t>
  </si>
  <si>
    <t>After an alleged road rage incident, Athens Mahrt allegedly stabbed another man near the neck. The second man, an unidentified, off-duty Memphis police officer, shot and killed him.</t>
  </si>
  <si>
    <t>http://www.wmcactionnews5.com/2019/02/20/officials-identify-man-killed-horn-lake-road-rage-shooting/</t>
  </si>
  <si>
    <t>Darion "Paid N Full Rocky" Jones</t>
  </si>
  <si>
    <t>2522 Candler Rd</t>
  </si>
  <si>
    <t>Clarkston Police Department</t>
  </si>
  <si>
    <t>An off-duty Clarkston officer was working at the Red Lobster when he saw a man being robbed in the parking lot. When the officer went to help, the four alleged robbers got into another car and shot at the officer and victim as they drove off. The officer shot at the alleged robbers, hitting two of them, killing one.</t>
  </si>
  <si>
    <t>https://www.11alive.com/article/news/local/2-shot-off-candler-road-in-dekalb-county-officer-involved-shooting/85-20d01d2d-18f6-4622-bc39-a4b683e99e53</t>
  </si>
  <si>
    <t>Jesse Bennett Jenson</t>
  </si>
  <si>
    <t>https://www.fatalencounters.org/wp-content/uploads/2019/01/Jesse-Jenson.png</t>
  </si>
  <si>
    <t>42nd St and CanAm Hwy</t>
  </si>
  <si>
    <t>La Salle Police Department</t>
  </si>
  <si>
    <t>Off-duty Adams County sheriff's deputy Jesse Jenson was shot and killed by LaSalle officer Caroline Persichetti after she confronted the plain-clothed deputy at the conclusion of a high-speed pursuit of two vehicles that began in Platteville.</t>
  </si>
  <si>
    <t>https://www.denverpost.com/2019/01/18/adams-county-deputy-police-shooting-dead/</t>
  </si>
  <si>
    <t>7111 Martin Luther King Blvd</t>
  </si>
  <si>
    <t>Houston Police Department, Pasadena Police Department</t>
  </si>
  <si>
    <t>During a traffic stop, police discovered that the red Toyota the men were in had reportedly been stolen during an aggravated robbery two days prior. The people in the car took off, and police chased the car out of Pasadena and into Houston, where Houston police joined. The chase ended 15 minutes later when the car crashed with a Pasadena police car. After the crash, three men ran from the car. As they were running, four officers shot and killed one person who reportedly had a gun.</t>
  </si>
  <si>
    <t>https://abc13.com/chase-ends-with-4-officers-firing-shots-killing-man/5798254/</t>
  </si>
  <si>
    <t>Mark Leo Gregory Gago</t>
  </si>
  <si>
    <t>https://www.fatalencounters.org/wp-content/uploads/2019/01/MarkGago.jpg</t>
  </si>
  <si>
    <t>32401 S Barlow Rd</t>
  </si>
  <si>
    <t>Mark Gago killed his girlfriend, mother, stepfather and infant daughter in their rural home, then was shot and killed by sheriff's deputies while attacking an 8-year-old girl, police said.</t>
  </si>
  <si>
    <t>https://www.oregonlive.com/pacific-northwest-news/2019/01/four-killed-in-domestic-violence-incident-near-canby.html</t>
  </si>
  <si>
    <t>Lane Christopher Martin</t>
  </si>
  <si>
    <t>https://fatalencounters.org/wp-content/uploads/2019/08/Lane-Christopher-Martin.jpg</t>
  </si>
  <si>
    <t>SE 122nd Ave and Ankeny St</t>
  </si>
  <si>
    <t>About 4:30 p.m., officers were called to a Safeway for a report of a man with a weapon, breaking into a car. When police confronted Lane Martin, they reported that they first fired non-lethal rounds. Martin got up and ran after being hit by the bean-bag rounds. Officer Gary Doran then shot and killed Martin.</t>
  </si>
  <si>
    <t>https://katu.com/news/local/police-release-identify-of-man-shot-and-killed-by-officer</t>
  </si>
  <si>
    <t>Ricardo Myers</t>
  </si>
  <si>
    <t>3000 Kaylyn St</t>
  </si>
  <si>
    <t>Around 7 a.m., Lancaster Sheriff's Station deputies responded to a family-disturbance call. While inside the home, deputies allegedly were confronted by a man with an ax and shot and killed him.</t>
  </si>
  <si>
    <t>http://theavtimes.com/2019/10/30/ax-wielding-man-killed-in-deputy-involved-shooting-in-lancaster/</t>
  </si>
  <si>
    <t>Oliver Hernandez</t>
  </si>
  <si>
    <t>5158 N 9th St</t>
  </si>
  <si>
    <t>Oliver Hernandez was at his mother's apartment at 1 a.m., when he locked himself in the bathroom. Family members said he might have been under the influence of alcohol or drugs. Police arrived at 4 a.m. where a standoff began. The family—a mother, three children, and three other adults— left the apartment safely. Police entered the apartment and shot and killed the man when he allegedly threatened officers with an ax.</t>
  </si>
  <si>
    <t>https://abc7news.com/police-standoff-escalates-to-deadly-shooting-near-fresno-state/5021824/</t>
  </si>
  <si>
    <t>141 I-45</t>
  </si>
  <si>
    <t>Officers said they approached the man in a Walmart parking lot at around 8:45 p.m. in an attempt to get him to drop a hatchet. Police said officers tasered him when the man started coming toward them to no effect. The man allegedly continued to walk toward them, and one officer shot and killed him.</t>
  </si>
  <si>
    <t>https://abc13.com/officer-shoots-suspect-carrying-hatchet-hatchet-at-walmart-police/5062658/</t>
  </si>
  <si>
    <t>David Novak</t>
  </si>
  <si>
    <t>623 W Montgomery Ave</t>
  </si>
  <si>
    <t>David M. Novak was shot and killed because a neighbor reported he had a gun and was firing shots. Police reported a gunshot when they arrived. No gun was found. Novak may have been hitting a vehicle with a baseball bat.</t>
  </si>
  <si>
    <t>http://www.spokesman.com/stories/2019/jan/08/man-suspected-of-shooting-at-neighbors-in-north-sp/</t>
  </si>
  <si>
    <t>Mauro Carrillo</t>
  </si>
  <si>
    <t>15000 Mojave Street</t>
  </si>
  <si>
    <t>Mauro Carrillo allegedly invaded a home and attacked residents and neighbors with a baseball bat. Police shot and killed him when he reportedly threatened them with the bat.</t>
  </si>
  <si>
    <t>https://local.nixle.com/alert/7698405/</t>
  </si>
  <si>
    <t>CA-86 &amp; Carey Rd</t>
  </si>
  <si>
    <t>At around 5:39 p.m., deputies were dispatched where a man allegedly was threatening to hit another man with a baseball bat. The man ran into a nearby open field to flee from the man with the bat. A little before 6 p.m., a uniformed deputy found the man, reportedly still holding the bat. The man reportedly threatened the deputy with the bat, and the deputy shot and killed him.</t>
  </si>
  <si>
    <t>https://kyma.com/news/2019/10/27/update-one-suspect-dead-in-imperial-county-officer-involved-shooting/</t>
  </si>
  <si>
    <t>Emilio Mojica</t>
  </si>
  <si>
    <t>4300 Brentwood Dr</t>
  </si>
  <si>
    <t>Around 11 p.m., police called regarding a disturbance involving a man with a baseball bat. When officers arrived, they made contact with Emilio Mojica, who they said didn't follow orders. Officers reportedly attempted to use Tasers four times, but they were ineffective. Police said the Mojica continued to make threats with the baseball bat, and officers shot and killed him.</t>
  </si>
  <si>
    <t>https://www.kiiitv.com/article/news/local/man-shot-killed-by-ccpd-officers-on-brentwood-drive-identified/503-73ce29f8-dee0-4609-9aba-bd162392f6fe</t>
  </si>
  <si>
    <t>Crederick Joseph</t>
  </si>
  <si>
    <t>2640 I-10 Frontage Rd</t>
  </si>
  <si>
    <t>Beaumont Police received a call at about midnight from the the Merit Inn regarding a trespasser. While they were going to the Inn, police received information a man was assaulting and robbing the clerk. When confronted by the officer, Crederick Joseph reportedly began assaulting the officer. The officer shot and killed him.</t>
  </si>
  <si>
    <t>https://kfdm.com/news/local/beaumont-officer-shoots-kills-man-who-assaulted-him-after-attacking-robbing-motel-clerk</t>
  </si>
  <si>
    <t>Jerald Wilson</t>
  </si>
  <si>
    <t>I-20 Frontage Rd &amp; N County Rd 1120</t>
  </si>
  <si>
    <t>Deputies were called to railroad tracks when 911 callers reported seeing a man walking along the highway and the tracks. When deputies arrived, they saw Jerald Wilson appeared to be cutting himself. A deputy reportedly tried to use his Taser to incapacitate Wilson, but was unsuccessful. Wilson alleedly lunged at the deputy with the item he had been cutting himself with, a broken bottle, and the deputy shot and killed him.</t>
  </si>
  <si>
    <t>http://www.kcbd.com/2019/01/08/texas-rangers-investigating-officer-involved-shooting-midland/</t>
  </si>
  <si>
    <t>Jose Gallegos</t>
  </si>
  <si>
    <t>5170 Table Mesa Dr</t>
  </si>
  <si>
    <t>At approximately 3:15 p.m., Boulder police received a request to check on the welfare of a woman who lived in an apartment. A second call reported that the husband was leaving the residence with two children, ages 6 and 12, and possibly armed with a gun. While other officers were searching for the suspect, Boulder police officers located a deceased woman inside the apartment. Police spotted the vehicle and followed it to the Table Mesa Park and Ride. The man was contacted on the top level of the parking structure with two children still inside a vehicle. Officers attempted to negotiate. One or more officers fired a gunshot. it was not immediately known if the man was shot before he fell from the top story of the parking structure. The children were not physically harmed.</t>
  </si>
  <si>
    <t>https://bouldercolorado.gov/newsroom/boulder-police-investigating-a-homicide</t>
  </si>
  <si>
    <t>Corey Johnson</t>
  </si>
  <si>
    <t>https://www.fatalencounters.org/wp-content/uploads/2019/02/coreyJohnson.png</t>
  </si>
  <si>
    <t>1536 Cumberland Rd</t>
  </si>
  <si>
    <t>Farmville</t>
  </si>
  <si>
    <t>Prince Edward</t>
  </si>
  <si>
    <t>Police were executing a search warrant at a home. When they broke into the home shortly before 10 p.m., a man inside the residence began shooting at them, killing Trooper Lucas B. Dowell, 28. Corey Johnson was shot and killed by police.</t>
  </si>
  <si>
    <t>http://www.nbc12.com/2019/02/05/virginia-state-police-trooper-suspect-dead-after-shooting-drug-raid/</t>
  </si>
  <si>
    <t>James Scott Reed</t>
  </si>
  <si>
    <t>https://www.fatalencounters.org/wp-content/uploads/2019/03/James-Scott-Reed.jpg</t>
  </si>
  <si>
    <t>215 West Hallmark Ave</t>
  </si>
  <si>
    <t>James Scott Reed was shot and killed in an exchange of gunfire with police after Killeen officers executed a no-knock search and arrest warrant at around 6 a.m. Officers allegedly were met by gunfire as they entered the residence, police said.</t>
  </si>
  <si>
    <t>https://www.kwtx.com/content/news/506430812.html</t>
  </si>
  <si>
    <t>Jamal Muhammad</t>
  </si>
  <si>
    <t>South Lancaster Road and Simpson Stuart Road</t>
  </si>
  <si>
    <t>Dallas police responded to a call of an armed man waving a gun in an intersection at 10:09 p.m. When officers arrived, the man fired his weapon, police said. Officers shot and killed him.</t>
  </si>
  <si>
    <t>https://www.wfaa.com/article/news/local/dallas-police-shoot-kill-man-after-altercation-in-south-dallas/287-9cbfa3a9-08c1-4913-a6e1-6608a873b859</t>
  </si>
  <si>
    <t>Aric Rashaad Moody</t>
  </si>
  <si>
    <t>14887 Woodford Drive</t>
  </si>
  <si>
    <t>A deputy was chasing an alleged carjacker on foot when the person allegedly began hitting a police dog with a gun. The deputy shot and killed the person.</t>
  </si>
  <si>
    <t>https://abc13.com/carjacking-suspect-killed-by-deputy-after-pistol-whipping-k-9/5426898/</t>
  </si>
  <si>
    <t>Eric DeWayne Curtis</t>
  </si>
  <si>
    <t>9393 Skillman Street</t>
  </si>
  <si>
    <t>Around 12:30 a.m., officers were called to an apartment complex to execute a warrant on suspects for a murder at a cafe in Dallas. As the officers were approaching a vehicle that the suspects were in, the men got out and started running away. Police said one of the suspects was carrying a rifle. During a foot chase, police said an officer shot and killed the man who had the rifle.</t>
  </si>
  <si>
    <t>https://dfw.cbslocal.com/2019/09/26/dallas-police-shoot-kill-suspect-capital-murder-dallas-cafe/</t>
  </si>
  <si>
    <t>Anthony Lonnie White</t>
  </si>
  <si>
    <t>10700 S Gessner</t>
  </si>
  <si>
    <t>Two officers were flagged down by a person who saw a man brandishing a weapon in a threatening manner. The officers responded to the scene and spotted the man. After ordering the man to disarm, officers said he turned toward them and fired a gun. They shot and killed him.</t>
  </si>
  <si>
    <t>https://abc13.com/suspect-dies-after-officer-involved-shooting-in-sw-houston/5542622/</t>
  </si>
  <si>
    <t>Juston Joseph Landry</t>
  </si>
  <si>
    <t>1213 N Martin Luther King Hwy</t>
  </si>
  <si>
    <t>Calcasieu</t>
  </si>
  <si>
    <t>Police responded to a complaint about a man threatening another with a gun at the RaceWay gas station. The officer found Juston Landry about a block away and shot and killed him, although details as to what precipitated the killing were withheld.</t>
  </si>
  <si>
    <t>http://www.wafb.com/2019/01/11/state-police-release-name-man-shot-killed-by-lake-charles-police-officer/</t>
  </si>
  <si>
    <t>Johnny Lee Burney</t>
  </si>
  <si>
    <t>Mosley Dr</t>
  </si>
  <si>
    <t>Eclectic</t>
  </si>
  <si>
    <t>Johnny Burney was killed after officers entered a home to serve a search warrant. Police had reportedly bought drugs inside the house earlier in the day.</t>
  </si>
  <si>
    <t>https://www.montgomeryadvertiser.com/story/news/2019/01/11/man-shot-killed-elmore-deputies-identified/2550026002/</t>
  </si>
  <si>
    <t>Jahmal Derrick Stewart</t>
  </si>
  <si>
    <t>https://www.fatalencounters.org/wp-content/uploads/2019/01/jahmal-derrick-stewart.jpg</t>
  </si>
  <si>
    <t>1480 N Beale Rd</t>
  </si>
  <si>
    <t>Deputies got a call about altercation near SuperX market. A man said his 72-year-old father was the victim of an assault. When deputies arrived, they found Jahmal Derrick Stewart with a weapon and within minutes, Stewart was shot and killed.</t>
  </si>
  <si>
    <t>https://sacramento.cbslocal.com/2019/01/15/assault-suspect-shot-officer-shooting/</t>
  </si>
  <si>
    <t>Treshun Symone Miller</t>
  </si>
  <si>
    <t>1700 W Randol Mill Rd</t>
  </si>
  <si>
    <t>Treshun Symone Miller allegedly shot an officer while fleeing during a traffic stop. Officers shot and killed him.</t>
  </si>
  <si>
    <t>https://www.star-telegram.com/news/local/crime/article224377460.html</t>
  </si>
  <si>
    <t>Anthony Dewayne Childs</t>
  </si>
  <si>
    <t>https://www.fatalencounters.org/wp-content/uploads/2019/02/AnthonyChilds.jpg</t>
  </si>
  <si>
    <t>Hollywood Ave and Kennedy Dr</t>
  </si>
  <si>
    <t>Around 5 p.m., Anthony Childs reportedly saw an officer and ran away. The officer ran after him, and there allegedly was an exchange of gunfire. Childs was shot and killed. The officer was not injured.</t>
  </si>
  <si>
    <t>http://www.ksla.com/2019/02/05/shooting-reported-near-intersection-hollywood-kennedy/</t>
  </si>
  <si>
    <t>Willie McCoy</t>
  </si>
  <si>
    <t>https://www.fatalencounters.org/wp-content/uploads/2019/02/williemccoy.png</t>
  </si>
  <si>
    <t>974 Admiral Callaghan Ln</t>
  </si>
  <si>
    <t>Around 10:36 p.m., a Taco Bell employee called 911 to report a man slumped over the driver's seat of a Silver Mercedes was parked in the drive through. As the officers approached the Mercedes, they could see that the driver was unresponsive and had a handgun on his lap. The driver of the vehicle began to move. The officers reportedly told the driver to keep his hands visible, but he allegedly reached for the handgun on his lap, and the police shot and killed him.</t>
  </si>
  <si>
    <t>https://sanfrancisco.cbslocal.com/2019/02/11/officer-involved-shooting-suspect-had-gun-stolen-in-oregon/</t>
  </si>
  <si>
    <t>Ty'rell Pounds</t>
  </si>
  <si>
    <t>https://www.fatalencounters.org/wp-content/uploads/2019/02/Tyrell-Pounds.png</t>
  </si>
  <si>
    <t>7311 Hwy 329</t>
  </si>
  <si>
    <t>Crestwood</t>
  </si>
  <si>
    <t>Skylar Williams, a 20-year-old student taken from a branch campus of Ohio State University and her suspected abductor, Ty'rell Pounds, 24, were killed after a police chase ended. Williams died after reportedly being shot by Pounds who in turn was shot by a Kentucky trooper.</t>
  </si>
  <si>
    <t>https://www.courier-journal.com/story/news/crime/2019/02/12/skylar-williams-ohio-state-abduction-kentucky-shooting-possibly-linked/2850257002/</t>
  </si>
  <si>
    <t>Michael Elam</t>
  </si>
  <si>
    <t>https://www.fatalencounters.org/wp-content/uploads/2019/02/Michael-Elam.jpg</t>
  </si>
  <si>
    <t>2100 S Keeler Ave</t>
  </si>
  <si>
    <t>About 8:30 p.m., Michael Elam was shot and killed during an "armed confrontation" after he allegedly got out of a car that crashed during a police pursuit, police said.</t>
  </si>
  <si>
    <t>https://chicago.suntimes.com/news/lawndale-police-involved-shooting-2/</t>
  </si>
  <si>
    <t>Reginald Romero Bursey</t>
  </si>
  <si>
    <t>https://www.fatalencounters.org/wp-content/uploads/2019/02/RginaldBursey.png</t>
  </si>
  <si>
    <t>Tulane Ave and Elk Pl</t>
  </si>
  <si>
    <t>New Orleans Police Department, Louisiana State Police</t>
  </si>
  <si>
    <t>Officers confronted a person of interest in an armed robbery investigation around 6:43 p.m. Police say Reginald Romero Bursey pulled out a gun and started shooting at the officers. Five people waiting at a nearby bus stop were wounded, police said. Bursey was shot and killed.</t>
  </si>
  <si>
    <t>https://www.khou.com/article/news/nation-world/5-bystanders-shot-after-shootout-between-cops-robber-in-new-orleans/289-66496ed6-978a-4719-bbb8-90c219b6dcfe</t>
  </si>
  <si>
    <t>Gary Martin</t>
  </si>
  <si>
    <t>https://www.fatalencounters.org/wp-content/uploads/2019/02/Gary-Martin.jpg</t>
  </si>
  <si>
    <t>641 Archer Ave</t>
  </si>
  <si>
    <t>Gary Martin shot and killed several co-workers at his place of employment when he was fred. Police later shot and killed him.</t>
  </si>
  <si>
    <t>https://chicago.suntimes.com/crime/aurora-shooting-victims-identified-gary-martin/</t>
  </si>
  <si>
    <t>Mikyas Mehary Tegegne</t>
  </si>
  <si>
    <t>https://www.fatalencounters.org/wp-content/uploads/2019/01/MikyasTegegne.jpg</t>
  </si>
  <si>
    <t>1100 Wayne Ave</t>
  </si>
  <si>
    <t>Christopher LaPointe shot and killed Mikyas Mehary Tegegne after he attempted to rob a bank in Silver Spring. Police said Tegegne was attempting to flee when the officer responding to the armed bank robbery found him in a parking garage behind the BB&amp;T Bank.</t>
  </si>
  <si>
    <t>https://wjla.com/news/local/silver-spring-bank-robbery-suspect-killed-police-identified</t>
  </si>
  <si>
    <t>Quency Chavez Floyd</t>
  </si>
  <si>
    <t>https://www.fatalencounters.org/wp-content/uploads/2019/01/Quency-Floyd.jpg</t>
  </si>
  <si>
    <t>3431 Union Blvd</t>
  </si>
  <si>
    <t>Quency Floyd was shot and killed by police following an attempted carjacking arrest, during which Floyd fled on foot and was killed when he allegedly fired at police.</t>
  </si>
  <si>
    <t>https://www.stltoday.com/news/local/crime-and-courts/carjacking-suspect-killed-in-gunfight-with-st-louis-police-was/article_7ac07ffc-a33b-59a3-b89d-f57e2760b9b0.html?fbclid=IwAR3OLUZdQX1q_CVtFBSz8rtHHU-Hm3WrC0Oxc19_Ve80TJT1JVKxJ1y-Hss</t>
  </si>
  <si>
    <t>William Owens</t>
  </si>
  <si>
    <t>https://www.fatalencounters.org/wp-content/uploads/2019/01/Williamowens.jpeg</t>
  </si>
  <si>
    <t>200 Birch Creek Rd</t>
  </si>
  <si>
    <t>Swedesboro</t>
  </si>
  <si>
    <t>Gloucester County Sheriff's Office</t>
  </si>
  <si>
    <t>William Owens was shot and killed by police at a UPS warehouse after he took two woman hostage, police said. He was killed when he and the hostages came out of the facility. It wan not immediately clear why Owens took the hostages, or why he held the standoff at the facility instead of elsewhere, but he was formerly employed there.</t>
  </si>
  <si>
    <t>https://www.nj.com/expo/news/g66l-2019/01/5341b625607083/gunman-shot-dead-during-hostage-standoff-was-a-former-ups-employee.html</t>
  </si>
  <si>
    <t>Luke Anthony Swann</t>
  </si>
  <si>
    <t>https://www.fatalencounters.org/wp-content/uploads/2019/03/Luke-Anthony-Swann.png</t>
  </si>
  <si>
    <t>831 East Kirkwood Avenue</t>
  </si>
  <si>
    <t>Around 4 a.m., officers responded to a shooting. The victim told officers that two men stole his sport utility vehicle and that one of the men shot him in the leg. Officers found the stolen vehicle and followed it until it parked in a driveway on a dead-end street, police said. Three people in the stolen vehicle fled on foot as officers approached. A man and a woman were taken into custody, but Luke Swann went out of sight, police said. Officers Brian Buck, Brian Minnehan and Ryan Steinkamp found Swann hiding near a garage and told them to show his hands. Swann allegedly shot at the officers, and they shot and killed him.</t>
  </si>
  <si>
    <t>https://www.desmoinesregister.com/story/news/crime-and-courts/2019/03/04/des-moines-police-officer-involved-shooting-one-person-dead-two-people-in-custody-vehicle-theft/3053131002/</t>
  </si>
  <si>
    <t>Dai'Shawn Brown</t>
  </si>
  <si>
    <t>Carver Rd and Teresa St</t>
  </si>
  <si>
    <t>Dai'Shawn Brown was shot by Deputies David Corder and Christopher Gallo during a robbery and carjacking investigation. Police reported that a gun was recovered but withheld where it was located or if Brown threatened deputies with it.</t>
  </si>
  <si>
    <t>https://www.modbee.com/news/local/crime/article228278949.html</t>
  </si>
  <si>
    <t>Thomas Johnson</t>
  </si>
  <si>
    <t>https://www.fatalencounters.org/wp-content/uploads/2019/03/Thomas-Johnson.jpg</t>
  </si>
  <si>
    <t>800 Kammell St</t>
  </si>
  <si>
    <t>Morehouse</t>
  </si>
  <si>
    <t>Bastrop Police Department</t>
  </si>
  <si>
    <t>Someone called the Bastrop Police Department about a man with a gun in an SUV. Around 3:20 p.m., police found a matching vehicle with a driver sitting inside. At some point, Thomas Johnson got out of the car and was shot and killed.</t>
  </si>
  <si>
    <t>https://www.knoe.com/content/news/Family-friends-heartbroken-after-a-man-is-shot-and-killed-by-police--507393921.html</t>
  </si>
  <si>
    <t>Pierre Cherfrere</t>
  </si>
  <si>
    <t>https://www.fatalencounters.org/wp-content/uploads/2019/04/PierreCherfrere.jpg</t>
  </si>
  <si>
    <t>NE 2nd Ave &amp; NE 123rd St</t>
  </si>
  <si>
    <t>North Miami Police Department, Miami-Dade Police Department</t>
  </si>
  <si>
    <t>Around 2:30 p.m., North Miami and Miami-Dade police officers responded to a call about a man with a gun, surrounded Pierre Cherfrere and tried to get him to drop the shotgun. Officers reportedly fired less-lethal bean bags at him, to no avail. Police said he pointed the shotgun at officers, and they shot and killed him.</t>
  </si>
  <si>
    <t>https://www.miamiherald.com/news/local/crime/article228681769.html</t>
  </si>
  <si>
    <t>Veltavious Griggs</t>
  </si>
  <si>
    <t>https://www.fatalencounters.org/wp-content/uploads/2019/04/Veltavious-Griggs.jpg</t>
  </si>
  <si>
    <t>6238 Highpoint Rd</t>
  </si>
  <si>
    <t>Officer Jerome Turner Jr. had been dispatched to investigate a reported fight. As he followed up on that report, he spotted a person running and began to follow. Turner told dispatch that he was chasing a teen, and at some point, Veltavious Griggs allegedly pulled out a gun. Backup arrived to find both the officer and Griggs with gunshot wounds. Griggs' wounds were fatal.</t>
  </si>
  <si>
    <t>https://www.11alive.com/article/news/local/union-city/thankful-for-bullet-proof-vests-officer-undergoes-surgery-after-being-shot-multiple-times/85-091d820d-d48e-442c-b3b9-8252d1e83863</t>
  </si>
  <si>
    <t>Anthony Orlando Bowers</t>
  </si>
  <si>
    <t>https://www.fatalencounters.org/wp-content/uploads/2019/04/AnthonyBowers.jpg</t>
  </si>
  <si>
    <t>144 Mason St</t>
  </si>
  <si>
    <t>Greeneville</t>
  </si>
  <si>
    <t>Greeneville Police Department</t>
  </si>
  <si>
    <t>Police were chasing a man who ran from a traffic stop into an apartment complex. Anthony Bowers, not the man they were seeking, allegedly became combative, pulled a gun on the officers, and shot at them. Two of the officers were struck. The two officers shot and killed Anthony Bowers.</t>
  </si>
  <si>
    <t>https://www.thedailytimes.com/news/man-dead-police-officers-wounded-in-shooting/article_8d71c9bc-2425-5792-b68b-910bc7ed7e76.html</t>
  </si>
  <si>
    <t>Terry Davis</t>
  </si>
  <si>
    <t>https://www.fatalencounters.org/wp-content/uploads/2019/04/TerryDavis.jpg</t>
  </si>
  <si>
    <t>4419 Gills Ct</t>
  </si>
  <si>
    <t>Terry Davis allegedly pulled a man from a car and beat and shot and wounded him. Police shot and killed Davis when he allegedly pointed a gun at them.</t>
  </si>
  <si>
    <t>http://www.wave3.com/2019/04/10/family-says-victim-tuesdays-shooting-is-doing-better/</t>
  </si>
  <si>
    <t>Harold Vincent Robinson</t>
  </si>
  <si>
    <t>https://www.fatalencounters.org/wp-content/uploads/2019/04/Harold-Vincent-Robinson.jpg</t>
  </si>
  <si>
    <t>150 W 500 S</t>
  </si>
  <si>
    <t>Salt Lake City Police Department, Utah Highway Patrol, Unified Police Department of Greater Salt Lake</t>
  </si>
  <si>
    <t>Harold Robinson allegedly robbed two convenience stores at gunpoint, fired multiple shots at a downtown hotel, then began firing indiscriminately in Salt Lake City as police chased him, pointing an assault rifle out the window at officers, who eventually shot and killed him. His family said he was mentally ill.</t>
  </si>
  <si>
    <t>https://www.sltrib.com/news/2019/04/09/officers-leave-utah/</t>
  </si>
  <si>
    <t>Myron Flowers</t>
  </si>
  <si>
    <t>https://www.fatalencounters.org/wp-content/uploads/2019/04/MyronFlowers.jpg</t>
  </si>
  <si>
    <t>11990 Jackson St</t>
  </si>
  <si>
    <t>East Feliciana</t>
  </si>
  <si>
    <t>East Feliciana Parish Sheriff's Office, Clinton Police Department</t>
  </si>
  <si>
    <t>Myron Flowers was reportedly an uncooperative passenger in a vehicle who went for a gund when Deputy Cullen Wilson, who made the initial traffic stop, and Clinton police officer Richard Boudoin shot and killed him.</t>
  </si>
  <si>
    <t>https://www.theadvocate.com/baton_rouge/news/communities/east_feliciana/article_f19fdefe-5f96-11e9-8310-7fdcd4315d17.html</t>
  </si>
  <si>
    <t>Trivenskey O. Odom</t>
  </si>
  <si>
    <t>Greenwood Rd. and Jewella Ave</t>
  </si>
  <si>
    <t>Shreveport Police Department, Caddo Parish Sheriff's Office, Louisiana State Police</t>
  </si>
  <si>
    <t>Trivenskey O. Odom allegedly shot a man and stole a vehicle before leading police on a pursuit. After a half-hour pursuit, during which Odom allegedly brandished a gun and shot randomly, Officers Brian Skinner, Steve Mckenna, and James Leclare shot and killed him.</t>
  </si>
  <si>
    <t>https://www.shreveporttimes.com/story/news/2019/04/10/one-dead-following-officer-involved-shooting-police-chase/3431867002/?fbclid=IwAR33Q9Zd4JJ-Krq_afMty1F6ZCxl1M6eJXtqMNO3NVQvQ5reiTTAp4kKHJM</t>
  </si>
  <si>
    <t>Demetrious Brooks</t>
  </si>
  <si>
    <t>https://www.fatalencounters.org/wp-content/uploads/2019/04/DemetriousBrooks.jpg</t>
  </si>
  <si>
    <t>3400 Virginia Ave</t>
  </si>
  <si>
    <t>Two officers were in a squad car doing a suspicious-vehicle check. When they approached a car, a passenger got out and ran, and one of the officers chased after him. Police said Demetrious Brooks hopped a fence, and the officer followed. Brooks and the officer got into a struggle over a gun and the officer shot and killed him.</t>
  </si>
  <si>
    <t>https://www.kmov.com/news/st-charles-man-killed-in-st-louis-officer-involved-shooting/article_7362da1c-5cbe-11e9-9892-a39931c2d942.html</t>
  </si>
  <si>
    <t>Ondrae Levado Hutchinson</t>
  </si>
  <si>
    <t>https://www.fatalencounters.org/wp-content/uploads/2019/04/OndraeHutchinson.jpg</t>
  </si>
  <si>
    <t>2-10 Bevel Ct</t>
  </si>
  <si>
    <t>Around 5 a.m., police responded to a domestic incident at a home. Police said they found a man and a woman arguing, and things got physical. Police said the man wouldn't cooperate and became aggressive. There was a struggle and Officers Richard Jimenez, Jerry Lanier, Elizabeth Masnik, and Blake Mouzon, shot and killed Ondrae Hutchinson.</t>
  </si>
  <si>
    <t>https://www.wfmynews2.com/article/news/local/durham-police-shoot-kill-man-during-struggle-at-domestic-situation-officials-say/83-c476494e-cb31-4259-be51-c9af4585d20a</t>
  </si>
  <si>
    <t>Donquale Maurice Gray</t>
  </si>
  <si>
    <t>https://www.fatalencounters.org/wp-content/uploads/2019/03/Donqualeagray.jpg</t>
  </si>
  <si>
    <t>1133 College Ave</t>
  </si>
  <si>
    <t>Donquale "DJ" Gray was shot and killed after allegedly firing at U.S. Marshals as they attempted to apprehend him. Gray had been the focus of a manhunt after he allegedly shot a 29-year-old Bluefield, Va., police officer Feb. 16 during a traffic stop.</t>
  </si>
  <si>
    <t>https://www.bdtonline.com/news/gray-dies-in-shootout-police-confirm-man-wanted-in-officer/article_db6f6d78-4085-11e9-b9df-eb8e3ba4379d.html</t>
  </si>
  <si>
    <t>Sharrell Brown</t>
  </si>
  <si>
    <t>1421 S Lawndale Ave</t>
  </si>
  <si>
    <t>Police officials said officers approached Sharrell Brown shortly after 3:30 p.m. Police did not immediately disclose the reason the approached Brown. The officers started chasing him, shooting him in a gangway during the second of two confrontations during the pursuit. Police said Brown was shot multiple times after he allegedly pointed a gun at the officers.</t>
  </si>
  <si>
    <t>https://chicago.suntimes.com/news/sharrell-brown-man-shot-by-chicago-police-officer-lanwdale-identified/</t>
  </si>
  <si>
    <t>Edward Fuller</t>
  </si>
  <si>
    <t>https://fatalencounters.org/wp-content/uploads/2019/05/Edward-Fuller-III.jpg</t>
  </si>
  <si>
    <t>2300 Bull St</t>
  </si>
  <si>
    <t>Officers responded around 8:10 p.m. regarding a robbery call after a person claimed they were robbed leaving the Boyz II Men barbershop. According to police, Edward Fuller stole money and other items before striking the victim with a weapon. Officer Kelvin Ansari and a second officer walked near Fuller's vehicle, unaware that he was inside. Fuller allegedly got out of the vehicle and fired at the officers, killing Ansari. He then fled into the backyard of a nearby home. Other officers found Fuller, who came out of an outdoor shed with his gun raised. One officer shot and killed Fuller.</t>
  </si>
  <si>
    <t>https://www.wbtv.com/2019/05/12/savannah-officer-dies-after-shooting-incident-bull-street/?fbclid=IwAR3Jlg4AgjCHq3MHInVkduHMr_PORDnFCYlsAlc8Rb2MPpotvMRxacVQri8</t>
  </si>
  <si>
    <t>Donald Davis Jr.</t>
  </si>
  <si>
    <t>6800 Parc Brittany Blvd</t>
  </si>
  <si>
    <t>Police said Donald Davis shot at three NOPD officers responding to calls of an aggravated assault with a firearm. Police shot and killed Davis.</t>
  </si>
  <si>
    <t>https://www.wwltv.com/article/news/man-killed-in-shootout-with-police-shot-at-them-first-nopd-chief-says/289-3ddbe873-6a8a-42da-85b7-938734a58d00</t>
  </si>
  <si>
    <t>Terrance Bridges</t>
  </si>
  <si>
    <t>7000 Bellefontaine Ave</t>
  </si>
  <si>
    <t>Terrance Bridges was shot and killed after allegedly participating in an assault and fighting with an officer.</t>
  </si>
  <si>
    <t>https://fox4kc.com/2019/05/26/suspect-in-armed-disturbance-shot-killed-by-kcpd-officer/</t>
  </si>
  <si>
    <t>Nakia Smith</t>
  </si>
  <si>
    <t>1200 Justice Lake Dr</t>
  </si>
  <si>
    <t>Joliet officers were called about 4:10 a.m. for reports of a domestic battery in progress. Officers arrived to find Kimiki Truss' home on fire. Police entered the residence and were confronted with a hostage situation. Nakia Smith, 44, allegedly shot at the officers, and one officer shot him. The identity of the owner of the bullet that killed Truss, 43, has been withheld by police.</t>
  </si>
  <si>
    <t>https://chicago.suntimes.com/crime/2019/5/27/18641525/joliet-police-shooting-suspect-killed-hostage-justice-lake-drive</t>
  </si>
  <si>
    <t>Curtis Stagger</t>
  </si>
  <si>
    <t>https://fatalencounters.org/wp-content/uploads/2019/06/Curtis-Stagger.jpg</t>
  </si>
  <si>
    <t>8100 S Chappel Ave</t>
  </si>
  <si>
    <t>Officers with the fugitive apprehension unit attempted to arrest a man about 1:45 p.m. in a driveway. Curtis Stagger allegedly pulled out a handgun when officers went to take him into custody while he sat in a vehicle. An officer then shot and killed him. The officer was attempting to arrest the wrong person.</t>
  </si>
  <si>
    <t>https://www.nbcchicago.com/news/local/Man-Critically-Hurt-in-Exchange-of-Gunfire-with-Cops-in-South-Chicago-Police-Say-510526251.html</t>
  </si>
  <si>
    <t>Samuel Galberth</t>
  </si>
  <si>
    <t>https://fatalencounters.org/wp-content/uploads/2019/06/Samuel-Galberth.jpg</t>
  </si>
  <si>
    <t>560 Saw Mill River Rd</t>
  </si>
  <si>
    <t>Ardsley</t>
  </si>
  <si>
    <t>FBI agents were executing a search warrant, assisted by Ardsley police and other departments. Samuel Galberth was wanted in connection with an investigation in Connecticut where his girlfriend was found dead a few months ago. Galberth was killed, and two officers were wounded.</t>
  </si>
  <si>
    <t>https://abc7ny.com/2-officers-shot-suspect-killed-in-ardsley-motel-drug-arrest/5329397/</t>
  </si>
  <si>
    <t>JaQuavion Slaton</t>
  </si>
  <si>
    <t>https://fatalencounters.org/wp-content/uploads/2019/06/JaQuavion-Slaton.jpg</t>
  </si>
  <si>
    <t>5200 E Berry St</t>
  </si>
  <si>
    <t>Police reportedly were trying to arrest JaQuavion Slaton on an aggravated assault warrant when he was shot and killed. As officers tried to break the glass on the truck where he was hiding, Slaton allegedly "made an overt action placing the officers in fear for their lives," and they shot and killed him.</t>
  </si>
  <si>
    <t>https://www.star-telegram.com/news/local/community/fort-worth/article231402508.html</t>
  </si>
  <si>
    <t>Bryan Bernard Wallace</t>
  </si>
  <si>
    <t>https://fatalencounters.org/wp-content/uploads/2019/06/Bryan-Bernard-Wallace.jpg</t>
  </si>
  <si>
    <t>North Martin Luther King Jr Ave and LaSalle St</t>
  </si>
  <si>
    <t>Police responded around 6:27 p.m. on a report that a man was waving a gun in a threatening manner in the area of a crowd. When officers arrived, they could not locate the man said to be waving a gun. Shortly thereafter, the two officers saw a man matching the description they received. Officers said a gun fell from Bryan Bernard Wallace's waistband. Wallace reportedly began to bend over and reach for the gun ignoring the officers instructions to stop, and the officers shot and killed him.</t>
  </si>
  <si>
    <t>https://www.clickorlando.com/news/1-dead-after-officer-involved-shooting-in-clearwater</t>
  </si>
  <si>
    <t>Edtwon Stamps</t>
  </si>
  <si>
    <t>Imperial Hwy and Prairie Ave</t>
  </si>
  <si>
    <t>About 10:30 p.m., deputies made contact with a man and shot and killed him. Details as to what precipitated the killing were withheld by police. The decedent's mother publicly identified the Edtwon Stamps as the person killed.</t>
  </si>
  <si>
    <t>https://ktla.com/2019/06/07/man-shot-by-deputies-in-inglewood/</t>
  </si>
  <si>
    <t>Vincense DeWayne Williams Jr.</t>
  </si>
  <si>
    <t>https://fatalencounters.org/wp-content/uploads/2019/08/Vincense-Williams.jpg</t>
  </si>
  <si>
    <t>I-35 and NE 10th St</t>
  </si>
  <si>
    <t>A man with a gun who shot at vehicles on Interstate 35 was shot and killed by two Oklahoma City officers, Officers Wesley Parsons and Dustin Fulton.</t>
  </si>
  <si>
    <t>https://oklahoman.com/article/5633562/shooting-reported-on-i-35-at-ne-10-in-oklahoma-city-monday</t>
  </si>
  <si>
    <t>Jaymil Ellerbe</t>
  </si>
  <si>
    <t>https://fatalencounters.org/wp-content/uploads/2019/06/Jaymil-Ellerbe.jpg</t>
  </si>
  <si>
    <t>10 Penhallow St</t>
  </si>
  <si>
    <t>At around 5:16 p.m., police received a call for a report of person shot at Town Field. Two officers riding bicycles saw two men fleeing on foot from Town Field. One person fled straight down Mather Street, while the other turned onto Penhallow Street. Both officers pursued the person who fled onto Penhallow Street. The one who fled down Mather Street was still at large, at the time of this writing. When officer pursued on foot, while the other officer continued to pursue the man on his bicycle. He allegedly shot at the officers and was shot and killed.</t>
  </si>
  <si>
    <t>https://www.wcvb.com/article/19-year-old-killed-in-officer-involved-shooting-in-dorchester-boston-police-say/28173912#</t>
  </si>
  <si>
    <t>Marvin Green</t>
  </si>
  <si>
    <t>https://fatalencounters.org/wp-content/uploads/2019/07/Marvin-Wayne-Green.jpg</t>
  </si>
  <si>
    <t>Bob Little Rd</t>
  </si>
  <si>
    <t>Officers responded to a disturbance after getting a 911 call. When they arrived, police said, a woman was screaming for help. Sgt. Kenneth Crawford opened the front door of the home. As the door opened, Marvin Green, in the apartment, reportedly began to raise a semi automatic pistol, and Crawford shot and killed Green.</t>
  </si>
  <si>
    <t>https://www.mypanhandle.com/news/crime/shooting/one-dead-in-officer-involved-shooting-in-springfield/</t>
  </si>
  <si>
    <t>Rodnell Cotton</t>
  </si>
  <si>
    <t>https://fatalencounters.org/wp-content/uploads/2019/06/Rodnell-Cotton.jpg</t>
  </si>
  <si>
    <t>Delmar Blvd and Josephine Baker Blvd</t>
  </si>
  <si>
    <t>St. Louis Metropolitan Police Department, U.S. Marshals Service</t>
  </si>
  <si>
    <t>U.S. Marshals Service asked police to help capture Cotton, who was also wanted on a parole violation. He was on parole for voluntary manslaughter and armed criminal action. Officers converged on Cotton's car, and he ran. Police said Cotton turned and fired a gun, striking an officer in the right thigh. Cotton was shot and killed.</t>
  </si>
  <si>
    <t>https://fox2now.com/2019/06/07/police-id-man-fatally-shot-by-st-louis-officer/</t>
  </si>
  <si>
    <t>Isaiah Robinson</t>
  </si>
  <si>
    <t>https://fatalencounters.org/wp-content/uploads/2019/07/Isaiah-Robinson.jpg</t>
  </si>
  <si>
    <t>1425 East Ave</t>
  </si>
  <si>
    <t>Elyria</t>
  </si>
  <si>
    <t>Lorrain</t>
  </si>
  <si>
    <t>Elyria Police Department</t>
  </si>
  <si>
    <t>About 4 p.m., Elyria police received a shots-fired call from Park Meadow Lane. Officers caught up to a vehicle matching the description and pulled it over at a gas station. Officers, with guns drawn, ordered the individuals inside to step out with their hands in the air. One person got out and allegedly fired on officers who fired on him and the car. Isaiah Robinson was killed, and Damon Battles, 39, was injured.</t>
  </si>
  <si>
    <t>http://www.chroniclet.com/cops-and-courts/2019/07/03/Susp.html?fbclid=IwAR0DrCXzM3FN8D92qbC0d28-Kbs2lMe8Yn6TjWhxzfRoB3w62eIbVz4syVo</t>
  </si>
  <si>
    <t>Tymar Crawford</t>
  </si>
  <si>
    <t>https://fatalencounters.org/wp-content/uploads/2019/07/Tymar.jpg</t>
  </si>
  <si>
    <t>North C St and West Brainerd St</t>
  </si>
  <si>
    <t>Tymar Crawford allegedly failed to immediately pull over when police said they smelled cannabis coming from his vehicle. He allegedly disarmed an officer in a fight in Crawford's yard, and police shot and killed him.</t>
  </si>
  <si>
    <t>https://weartv.com/news/local/family-of-man-killed-in-officer-involved-shooting-speaks-out</t>
  </si>
  <si>
    <t>Sean Rambert</t>
  </si>
  <si>
    <t>https://fatalencounters.org/wp-content/uploads/2019/07/Sean-RambertJr.jpg</t>
  </si>
  <si>
    <t>2200 Brookville Dr</t>
  </si>
  <si>
    <t>Officer David Johnson shot and killed Sean Rambert after Rambert allegedly had tried to break into a townhome. Police said people inside the home heard what sounded like a break-in and a man's voice. When Johnson arrived, he encountered Rambert in the street. They reportedly fought.</t>
  </si>
  <si>
    <t>https://www.witn.com/content/news/BREAKING-OVERNIGHT-Shooting-under-investigation-512458491.html</t>
  </si>
  <si>
    <t>Ashanti Pinkney</t>
  </si>
  <si>
    <t>https://fatalencounters.org/wp-content/uploads/2019/07/Ashanti-Pinkney.jpg</t>
  </si>
  <si>
    <t>2117 Maryland Ave</t>
  </si>
  <si>
    <t>Police responded to a fatal shooting at a methadone clinic. Ashanti Pinkney allegedly shot at officers and was shot and killed.</t>
  </si>
  <si>
    <t>https://www.wbaltv.com/article/baltimore-police-shooting-maryland-avenue/28394864</t>
  </si>
  <si>
    <t>Blige Sean Christopher Cypress</t>
  </si>
  <si>
    <t>https://fatalencounters.org/wp-content/uploads/2019/07/BligeCypress.jpg</t>
  </si>
  <si>
    <t>North 70th Terrace and Harding Street</t>
  </si>
  <si>
    <t>Blige Sean Christopher Cypress allegedly shot at a van before he was shot and killed by police.</t>
  </si>
  <si>
    <t>https://www.local10.com/news/florida/hollywood/2-investigations-underway-into-fatal-police-involved-shooting-in-hollywood</t>
  </si>
  <si>
    <t>Onaje Dickinson</t>
  </si>
  <si>
    <t>https://fatalencounters.org/wp-content/uploads/2019/07/OnajeDickenson.jpg</t>
  </si>
  <si>
    <t>9200 Frankstown Road</t>
  </si>
  <si>
    <t>Police were investigating a murder. When they went to a house, Onaje Dickinson allegedly rushed them with a gun and was shot and killed.</t>
  </si>
  <si>
    <t>https://pittsburgh.cbslocal.com/2019/07/15/penn-hills-officer-involved-fatal-shooting-sharon-court/</t>
  </si>
  <si>
    <t>Leo Brooks</t>
  </si>
  <si>
    <t>https://fatalencounters.org/wp-content/uploads/2019/07/LeoBrooks.jpg</t>
  </si>
  <si>
    <t>2200 Cleary Ave</t>
  </si>
  <si>
    <t>Investigators were attempting to arrest Leo Brooks on a warrant stemming from a July 9 shootout in which no one was injured. Deputies shot Brooks as he reportedly was reaching for a pistol in a second-floor unit of Grand Vida apartments.</t>
  </si>
  <si>
    <t>https://www.nola.com/news/crime_police/article_1d190778-aa5f-11e9-88a4-c38b3f520ac2.html</t>
  </si>
  <si>
    <t>Roderick Wilson</t>
  </si>
  <si>
    <t>https://fatalencounters.org/wp-content/uploads/2019/07/Roderick-Wilson.jpg</t>
  </si>
  <si>
    <t>598-550 22nd St N</t>
  </si>
  <si>
    <t>Roderick Wilson allegedly robbed a mom-n-pop supermarket and then engaged officers in a running gun battle before he was shot and killed in a row of hedges along 22nd Street North.</t>
  </si>
  <si>
    <t>https://www.al.com/news/birmingham/2019/07/man-killed-in-shootout-that-injured-cullen-stafford-had-history-of-threatening-police.html</t>
  </si>
  <si>
    <t>Omari Thompson</t>
  </si>
  <si>
    <t>4717 McKnight Rd</t>
  </si>
  <si>
    <t>Bureau of Narcotics Investigations of the Office of Attorney General</t>
  </si>
  <si>
    <t>Two undercover state agents arranged to meet Omari Thompson in the parking lot of a Big Lots store to buy drugs from him and then arrest him in a "buy-bust." Thompson reportedly grew suspicious and began firing, hitting one agent in the shoulder and leg. The other agent shot and killed Thompson.</t>
  </si>
  <si>
    <t>https://pittsburgh.cbslocal.com/2019/07/24/omari-thompson-was-killed-after-firing-at-police-during-a-drug-bust-on-mcknight-road/</t>
  </si>
  <si>
    <t>Shawan F. Allen</t>
  </si>
  <si>
    <t>https://fatalencounters.org/wp-content/uploads/2019/07/Shawan-F.-Allen.jpg</t>
  </si>
  <si>
    <t>Bahalia Rd NE</t>
  </si>
  <si>
    <t>Wesson</t>
  </si>
  <si>
    <t>Copiah County Sheriff's Office</t>
  </si>
  <si>
    <t>Shawan F. Allen was a suspect in a home invasion and murder. He allegedly fired on approaching officers, and they shot and killed him.</t>
  </si>
  <si>
    <t>https://www.wlbt.com/2019/07/22/brookhaven-deadly-home-invasion-suspects-dead-copiah-county-sheriffs-deputy-shot-exchange-gunfire/</t>
  </si>
  <si>
    <t>Deshon Downing</t>
  </si>
  <si>
    <t>https://fatalencounters.org/wp-content/uploads/2019/08/deshon_downing.jpg</t>
  </si>
  <si>
    <t>E 42nd St and Richelieu Rd</t>
  </si>
  <si>
    <t>Around 8 p.m., during a traffic stop, a passenger, Deshon Denning, allegedly produced a gun, and officers shot and killed him.</t>
  </si>
  <si>
    <t>https://fox59.com/2019/08/02/officer-involved-shooting-leaves-male-suspect-dead-on-indys-northeast-side/</t>
  </si>
  <si>
    <t>Jamaal Michael Simpson</t>
  </si>
  <si>
    <t>Brynhurst Ave and 71st St</t>
  </si>
  <si>
    <t>An officer pulled over a vehicle for some type of moving violation around 1 a.m., police said. After the driver stopped, the man in the front passenger seat got out of the vehicle and started walking away. The deputy told him to stop and show his hands, but the man continued, took out a firearm and shot at the officer, who shot and killed him.</t>
  </si>
  <si>
    <t>https://ktla.com/2019/08/01/1-hurt-in-hyde-park-after-shooting-breaks-out-during-deputys-encounter-with-motorist-lasd/</t>
  </si>
  <si>
    <t>Detravian Allison</t>
  </si>
  <si>
    <t>https://fatalencounters.org/wp-content/uploads/2019/08/Detravian-Allison.jpg</t>
  </si>
  <si>
    <t>1600 Pine Tree Rd</t>
  </si>
  <si>
    <t>Around 10:40 a.m., officers responded to a report regarding a criminal trespass at an unspecified business. When police ran the vehicle's plates, they found the vehicle had been stolen during an aggravated robbery. Police responded to Longview Square Apartments after receiving a report of the same vehicle being at the complex. According to Longview police, one of the suspects, Detravian Allison, was armed with a handgun. Police said Allison raised the gun at the officers, who shot and killed him.</t>
  </si>
  <si>
    <t>https://www.cbs19.tv/article/news/local/suspect-killed-in-longview-officer-involved-shooting-texas-rangers-investigating/501-85f5495a-bfbb-482e-9713-4fe4ecf08bde</t>
  </si>
  <si>
    <t>Toussaint Diamon Sims</t>
  </si>
  <si>
    <t>https://fatalencounters.org/wp-content/uploads/2019/08/Toussaint-Diamon-Sims.jpg</t>
  </si>
  <si>
    <t>Martin Luther King Jr Blvd and 2nd St</t>
  </si>
  <si>
    <t>Following a vehicle chase, then a foot pursuit, Toussaint Sims reportedly displayed a firearm in a threatening manner, and police shot and killed him. Sims reportedly was wanted on multiple felony warrants.</t>
  </si>
  <si>
    <t>https://www.wlox.com/2019/08/12/community-gathers-call-justice-fatal-officer-involved-shooting/</t>
  </si>
  <si>
    <t>Kaizen Crossen</t>
  </si>
  <si>
    <t>https://fatalencounters.org/wp-content/uploads/2019/08/Crossen.jpg</t>
  </si>
  <si>
    <t>300 Myrtle Ave</t>
  </si>
  <si>
    <t>Kaizen Crossen shot and killed an unidentified 20-year-old man at about 11:30 a.m. Crossen had a rifle and exchanged gunfire with the first Irvington officer to arrive, striking him in the leg. More police arrived and two more officers were wounded by gunfire before Crossen was shot and killed.</t>
  </si>
  <si>
    <t>https://www.northjersey.com/story/news/new-jersey/2019/08/08/irvington-nj-police-officer-shot/1955336001/</t>
  </si>
  <si>
    <t>Rashad Cunningham</t>
  </si>
  <si>
    <t>Kentucky St and E 23rd Ave</t>
  </si>
  <si>
    <t>Gary police officers were conducting a traffic stop about 3 a.m. when they shot and killed Rashad Cunningham. Details as to what precipitated the killing were withheld b police.</t>
  </si>
  <si>
    <t>https://www.nwitimes.com/news/local/crime-and-courts/update-man-identified-after-police-fire-shots-during-traffic-stop/article_5a16089c-66ee-5485-8268-08ae353e3b8f.html#tracking-source=home-top-story-1</t>
  </si>
  <si>
    <t>Schaston Theodore Lamarr Hodge</t>
  </si>
  <si>
    <t>https://fatalencounters.org/wp-content/uploads/2019/08/Schaston-Theodore-Lamarr-Hodge.jpg</t>
  </si>
  <si>
    <t>Lagow St and Jamaica St</t>
  </si>
  <si>
    <t>Around 11 p.m., two troopers tried to stop a driver for a traffic violation, but the driver fled. About five minutes later, the driver pulled into a residential driveway. The driver pulled a handgun on the troopers as they approached him. The troopers shot and killed him.</t>
  </si>
  <si>
    <t>https://dfw.cbslocal.com/2019/08/18/troopers-fatally-shoot-driver-who-pulled-out-gun-after-fleeing-traffic-stop-in-dallas/</t>
  </si>
  <si>
    <t>Amari Malone</t>
  </si>
  <si>
    <t>5900 Boca Raton Blvd</t>
  </si>
  <si>
    <t>Amari Malone was being sought as a person of interest in an August murder when officers found him around 5:45 p.m. Malone reportedly ran from the officers, and reportedly aimed a pistol at police. Four officers shot at Malone, and he was hit once, killing him.</t>
  </si>
  <si>
    <t>https://www.mysanantonio.com/news/texas/article/Texas-police-fatally-shoot-18-year-old-incident-14371214.php</t>
  </si>
  <si>
    <t>Raymond Lewis Williams</t>
  </si>
  <si>
    <t>https://fatalencounters.org/wp-content/uploads/2019/09/Raymond-Williams-Jr.jpg</t>
  </si>
  <si>
    <t>202 N Washington St</t>
  </si>
  <si>
    <t>Officers responded to a home in response to a report of a shooting. When officers arrived, they found 40-year-old Christine Fulmer and 28-year-old Deanna Thomas Banks dead in the front yard. As officers approached the front door of the home, Raymond Lewis Williams Jr. came out of the front door holding a rifle. When officers took cover, Williams went back into the home, where he barricaded himself. After attempts to communicate, tear gas was deployed into the home. Soon after, Williams appeared on the front porch with the rifle and fired at officers who shot and killed him.</t>
  </si>
  <si>
    <t>https://katv.com/news/local/arkansas-state-police-investigating-officer-involved-shooting-homicide</t>
  </si>
  <si>
    <t>Terry Tillman</t>
  </si>
  <si>
    <t>https://fatalencounters.org/wp-content/uploads/2019/09/TerryTillman.jpg</t>
  </si>
  <si>
    <t>8151 Clayton Rd</t>
  </si>
  <si>
    <t>After a foot chase that started in the St. Louis Galleria, three officers—two Richmond Heights officers and an Overland, Missouri, officer who was working security at the mall—a Richmond Heights officer shot and killed Terry Tillman. The officers reported Tillman had raised and pointed a gun in the direction of one Richmond Heights officer when the other Richmond Heights officer killed him.</t>
  </si>
  <si>
    <t>https://www.ksdk.com/article/news/local/police-release-new-information-in-officer-involved-shooting-of-terry-tillman/63-e1d6bb70-bd86-4968-abb4-20f2b83b98e3</t>
  </si>
  <si>
    <t>Daniel Warren</t>
  </si>
  <si>
    <t>https://fatalencounters.org/wp-content/uploads/2019/05/Daniel-Warren.jpg</t>
  </si>
  <si>
    <t>1500 Glen Avenue</t>
  </si>
  <si>
    <t>Police responded to a call of a man with a gun at 6:30 p.m. and spotted Daniel Warren standing in the yard of a home, wearing a ballistic bullet proof vest and holding a firearm, police said. Warren allegedly yelled at officers, then pointed the weapon at them and was shot and killed.</t>
  </si>
  <si>
    <t>https://www.pasadenastarnews.com/2019/05/18/police-open-fire-on-armed-man-wearing-bullet-proof-vest/</t>
  </si>
  <si>
    <t>Cortez Shepherd</t>
  </si>
  <si>
    <t>https://fatalencounters.org/wp-content/uploads/2019/09/CortezShepherd.jpg</t>
  </si>
  <si>
    <t>3900 Garfield Ave</t>
  </si>
  <si>
    <t>About 1 a.m., police pulled Cortez Shepherd from his car to conduct a pedestrian check on him. During a struggle, Shepherd allegedly tried to pull a gun from his pocket when he was shot and killed. During the struggle, one of the officers reportedly deployed a Taser, but it had no effect.</t>
  </si>
  <si>
    <t>https://www.kmov.com/news/police-identify-man-killed-in-officer-involved-shooting-in-north/article_01669c1c-cfac-11e9-92d8-bbbc7f0e6398.html</t>
  </si>
  <si>
    <t>Quentin Broadus</t>
  </si>
  <si>
    <t>https://fatalencounters.org/wp-content/uploads/2019/09/Quentin-Broadus.jpg</t>
  </si>
  <si>
    <t>NW 122nd St and N MacArthur Blvd</t>
  </si>
  <si>
    <t>Quentin Broadus allegedly killed his wife and led police on a three-mile chase at around 3:15 p.m. At the end of the pursuit, Broadus got out of the vehicle while it was still moving and pointed a gun at officers and was shot and killed.</t>
  </si>
  <si>
    <t>https://oklahoman.com/article/5640953/domestic-homicide-leads-to-chase-officer-involved-shooting</t>
  </si>
  <si>
    <t>Brandon Bell</t>
  </si>
  <si>
    <t>5820 Scott St</t>
  </si>
  <si>
    <t>Brandon Bell was shot and killed during an alleged crime spree involving assaults, carjackings and burglaries with three other people.</t>
  </si>
  <si>
    <t>https://abc13.com/teen-who-shot-hpd-officer-was-out-on-bond-police/5536540/</t>
  </si>
  <si>
    <t>2200 Savannah Terrace SE</t>
  </si>
  <si>
    <t>At approximately 7:03 pm, officers responded to the report of the sounds of gunshots inside of a residence. Upon arrival, the Eric Carter came out of the home, brandished a handgun and fired at officers. Officers shot and killed him.</t>
  </si>
  <si>
    <t>https://mpdc.dc.gov/release/mpd-officer-involved-shooting-2200-block-savannah-terrace-southeast</t>
  </si>
  <si>
    <t>Eric Carter</t>
  </si>
  <si>
    <t>https://fatalencounters.org/wp-content/uploads/2019/09/Eric-Carter.jpg</t>
  </si>
  <si>
    <t>Antonio Lavance Williams</t>
  </si>
  <si>
    <t>https://fatalencounters.org/wp-content/uploads/2019/10/antonio-lavance-williams.png</t>
  </si>
  <si>
    <t>1145 E 229th St</t>
  </si>
  <si>
    <t>Officer Brian Mulkeen, 33, was shot and killed by other NYPD officers while grappling with Antonio Williams, 27, who was then also killed by responding officers, police said. Williams' gun had not discharged a shot.</t>
  </si>
  <si>
    <t>https://www.nytimes.com/2019/09/30/nyregion/bronx-officer-brian-mulkeen-nypd.html?fbclid=IwAR1c6wFGvlx_gLOh48akcQ1qsJz6Zaco3dZbXTncB5nekEKjwey15Ni9v2s#click=https://t.co/2B5cLmbuyD</t>
  </si>
  <si>
    <t>Michael John</t>
  </si>
  <si>
    <t>208 NW 120th St</t>
  </si>
  <si>
    <t>Police were investigating a stolen van and a vehicular assault on police. When they arrived at a home, Michael John allegedly pointed a handgun at them, and police shot and killed John.</t>
  </si>
  <si>
    <t>https://kfor.com/2019/10/11/man-identified-after-deadly-officer-involved-shooting/</t>
  </si>
  <si>
    <t>Leo Craig</t>
  </si>
  <si>
    <t>3041 NW 41st St</t>
  </si>
  <si>
    <t>A man was reportedly involved in a domestic dispute in which he shot his wife's car window out. He was shot and killed by police when he failed to follow orders to disarm.</t>
  </si>
  <si>
    <t>https://www.news9.com/story/41161620/1-dead-after-an-officerinvolved-shooting-at-apartments-in-nw-okc</t>
  </si>
  <si>
    <t>Sawandi Toussaint</t>
  </si>
  <si>
    <t>3501 Santa Anita Ave</t>
  </si>
  <si>
    <t>Police received a call about shots fired at a bus station. When officers arrived, they found a man suspected to be the shooter. He began to run away, and as officers chased him, he reportedly took out a handgun, police shot and killed him.</t>
  </si>
  <si>
    <t>https://www.sgvtribune.com/2019/10/12/person-killed-in-officer-involved-shooting-in-el-monte/</t>
  </si>
  <si>
    <t>Victor Ervin Jarvis</t>
  </si>
  <si>
    <t>https://fatalencounters.org/wp-content/uploads/2019/10/Victor-Ervin-Jarvis.jpg</t>
  </si>
  <si>
    <t>4014 Braddock Rd</t>
  </si>
  <si>
    <t>High Point</t>
  </si>
  <si>
    <t>Around 8:30 a.m., a deputy came to a home to serve civil papers. Victor Jarvis allegedly shoved the deputy and retreated inside and barricaded himself in the home. Police broke into the home around 7 p.m. Two deputies and the man barricaded inside were hit by gunfire. Jarvis was killed.</t>
  </si>
  <si>
    <t>https://myfox8.com/2019/10/14/standoff-on-braddock-road-in-high-point-ends-with-suspect-dead-2-deputies-shot/</t>
  </si>
  <si>
    <t>Nasheem Prioleau</t>
  </si>
  <si>
    <t>https://fatalencounters.org/wp-content/uploads/2019/10/Nasheem-Prioleau.jpg</t>
  </si>
  <si>
    <t>Baltic St and Hoyt St</t>
  </si>
  <si>
    <t>Police were reportedly on patrol near the Gowanus Houses just before 8 p.m. when they heard gunfire. They responded to the area, where Nasheem Prioleau allegedly shot at them, and they shot and killed Prioleau.</t>
  </si>
  <si>
    <t>https://nypost.com/2019/10/15/nypd-cops-shoot-man-in-gunfight-near-brooklyn-housing-complex/</t>
  </si>
  <si>
    <t>Lazzeri James Frazier</t>
  </si>
  <si>
    <t>5400 Kester Ave</t>
  </si>
  <si>
    <t>Sherman Oaks</t>
  </si>
  <si>
    <t>Police had been following Lazzeri James Frazier Jr. after identifying him as a suspect in the fatal shooting of a man in Sherman Oaks, as well as the robbery of a Van Nuys liquor store. He was shot and killed by police about 10:20 a.m., but details as to what precipitated the killing were withheld by police.</t>
  </si>
  <si>
    <t>https://ktla.com/2019/10/17/murder-and-robbery-suspect-killed-in-van-nuys-police-shooting-identified/</t>
  </si>
  <si>
    <t>Steven Day</t>
  </si>
  <si>
    <t>https://fatalencounters.org/wp-content/uploads/2019/10/StevenDay.jpg</t>
  </si>
  <si>
    <t>1207 Bristol Ln</t>
  </si>
  <si>
    <t>Around 5 a.m., following a vehicle chase and a foot chase, Steven Day was reportedly tasered, produced a gun and was shot and killed.</t>
  </si>
  <si>
    <t>https://www.kmov.com/news/man-killed-after-pointing-gun-at-officers-in-north-st/article_3d3310e6-f323-11e9-b164-7fe28a52eed9.html</t>
  </si>
  <si>
    <t>Dana Sherrod Fletcher</t>
  </si>
  <si>
    <t>8050 Hwy 72 W</t>
  </si>
  <si>
    <t>Police were called to a "check a subject" call outside the Planet Fitness at 5 p.m. The officers arrived and made contact with the person who fit the caller's description. During the course of the check, Dana Sherrod Fletcher reportedly did not comply with police orders, and he was shot and killed. The man's wife and 8-year-old daughter were apparently removed from the vehicle before he was killed.</t>
  </si>
  <si>
    <t>https://whnt.com/2019/10/27/officer-involved-shooting-at-planet-fitness-in-madison/</t>
  </si>
  <si>
    <t>Earnest Easterling</t>
  </si>
  <si>
    <t>5800 Angelina Ave</t>
  </si>
  <si>
    <t>Around 12:30 a.m. someone called police about a car that had crashed into a tree. A man was reportedly waving a gun near a woman, who had been a passenger in the car. Additional callers told the sheriff's office that a man and woman were seen arguing and walking back and forth between the car crash and a nearby apartment complex. Deputies arrived around 12:40 a.m. As they approached a woman standing near an apartment, a man shot the woman, killing her, and three deputies shot and killed the man.</t>
  </si>
  <si>
    <t>https://www.kcra.com/article/man-woman-killed-deputy-involved-shooting-carmichael/29602765#</t>
  </si>
  <si>
    <t>Delfon Garnell Kinney Sr.</t>
  </si>
  <si>
    <t>1739 E Artesia Blvd</t>
  </si>
  <si>
    <t>A patrol officer at around 12:20 a.m. was flagged down by someone who said there was a shooting at the Bottoms Up Sports Bar. The officer heard shots being fired as he got closer to the bar. The officer could see into the business and saw a man with a gun and shot and killed him.</t>
  </si>
  <si>
    <t>https://www.presstelegram.com/2019/10/23/2-dead-another-wounded-in-long-beach-bar-shooting/</t>
  </si>
  <si>
    <t>John Feggins</t>
  </si>
  <si>
    <t>https://fatalencounters.org/wp-content/uploads/2019/11/John-Feggins.jpeg</t>
  </si>
  <si>
    <t>6300 York Rd</t>
  </si>
  <si>
    <t>Police reportedly spotted a vehicle matching a description of a car wanted in connection with an Oct. 9 robbery at the Horseshoe Casino. The officer ordered the driver out of the car and learned the driver was a person of interest in the Oct. 9 robbery. John Feggins allegedly lunged at the officer with a gun in his hand. A fight began and Officers Ryan Glass and Joel Hawk shot and killed Feggins.</t>
  </si>
  <si>
    <t>https://www.wbaltv.com/article/breaking-police-involved-shooting-in-north-baltimore-authorities-say/29637604</t>
  </si>
  <si>
    <t>Michael Austin</t>
  </si>
  <si>
    <t>https://fatalencounters.org/wp-content/uploads/2019/11/Michael-Austin.jpg</t>
  </si>
  <si>
    <t>S 28th St and E Roeser Road</t>
  </si>
  <si>
    <t>Michael Austin was shot and killed during a standoff with police that included hostages.</t>
  </si>
  <si>
    <t>https://www.azcentral.com/story/news/local/phoenix-breaking/2019/11/03/2-police-officers-injured-suspect-shot-south-phoenix/4148571002/</t>
  </si>
  <si>
    <t>Eddie Ray Maxwell</t>
  </si>
  <si>
    <t>https://fatalencounters.org/wp-content/uploads/2019/11/Eddie-Ray-Maxwell.png</t>
  </si>
  <si>
    <t>Pamela St and Park Hill Rd</t>
  </si>
  <si>
    <t>Eddie Ray Maxwell Sr. allegedly shot his ex-wife before a standoff and a exchange of gunfire with police. He was shot and killed.</t>
  </si>
  <si>
    <t>https://ktul.com/news/local/tahlequah-police-1-killed-in-domestic-shooting-another-in-officer-involved-shooting</t>
  </si>
  <si>
    <t>Maurice Brown</t>
  </si>
  <si>
    <t>3800 Superior Rd</t>
  </si>
  <si>
    <t>Maurice Brown allegedly shot a woman inside her apartment then followed her outside and refused officers' orders to drop the gun, and was shot and killed by police as he raised the gun to the woman's head.</t>
  </si>
  <si>
    <t>https://www.news5cleveland.com/news/local-news/oh-cuyahoga/man-shot-by-east-cleveland-police-recently-released-from-prison</t>
  </si>
  <si>
    <t>Treva Smutherman</t>
  </si>
  <si>
    <t>https://fatalencounters.org/wp-content/uploads/2019/11/Treva-Smutherman.jpg</t>
  </si>
  <si>
    <t>1638 Owen Dr</t>
  </si>
  <si>
    <t>About 8:22 a.m. in the Emergency Department of the Cape Fear Valley Medical Center, Treva Smutherman allegedly tried to get a deputy's gun, they scuffled, it fired, and a Fayetteville police detective who happened to be at the hospital for an unrelated matter shot and killed Smutherman.</t>
  </si>
  <si>
    <t>https://www.fayobserver.com/news/20191106/lsquoall-i-heard-was-yellingrsquo-mdash-deputy-shot-suspect-killed-at-fayetteville-hospital</t>
  </si>
  <si>
    <t>Shelby Gazaway</t>
  </si>
  <si>
    <t>https://fatalencounters.org/wp-content/uploads/2019/11/Shelby-Gazaway.jpg</t>
  </si>
  <si>
    <t>520 N 35th St</t>
  </si>
  <si>
    <t>Shelby Gazaway, 32, was shot and killed by LMPD officers Patrick Norton and Alex Dugan around 6:20 p.m. in front of a Kroger where he had allegedly fired shots inside the store.</t>
  </si>
  <si>
    <t>https://www.wdrb.com/news/coroner-identifies-man-shot-and-killed-by-lmpd-officers-after/article_84400886-0336-11ea-b518-1b46f50eeb4d.html</t>
  </si>
  <si>
    <t>Dante Redmond Jones</t>
  </si>
  <si>
    <t>https://fatalencounters.org/wp-content/uploads/2019/11/DanteJones.jpg</t>
  </si>
  <si>
    <t>Sagehill Rd and Hollingsworth Rd</t>
  </si>
  <si>
    <t>Dante Redmon Jones was killed by deputies following a high-speed chase and a crash. Details as to what precipitated the killing were withheld by police.</t>
  </si>
  <si>
    <t>https://www.tri-cityherald.com/news/local/crime/article237514189.html</t>
  </si>
  <si>
    <t>Ariane Lamont McCree</t>
  </si>
  <si>
    <t>1691 J A Cochran Bypass</t>
  </si>
  <si>
    <t>Ariane Lamont McCree was suspected to have shoplifted in a Walmart. The encounter with police started inside the store and moved outside, where he was shot and killed. He allegedly "presented" a firearm.</t>
  </si>
  <si>
    <t>https://www.wjcl.com/article/shots-fired-walmart-shoplifting-turns-deadly-at-south-carolina-store/29990018</t>
  </si>
  <si>
    <t>Akinyia Malik Jerome Gray</t>
  </si>
  <si>
    <t>https://fatalencounters.org/wp-content/uploads/2019/10/Akinyia-Malik-Jerome-Gray.jpg</t>
  </si>
  <si>
    <t>Central Dr &amp; N Hairston Rd</t>
  </si>
  <si>
    <t>Police spotted Akinyia Malik Jerome Gray walking toward a convenience store. When they approached him, he ran into the Hidden Meadows townhome community behind the store. As officers approached him, he allegedly shot a police dog, and police shot and killed him.</t>
  </si>
  <si>
    <t>https://www.ajc.com/news/crime--law/dekalb-has-successful-surgery-after-being-shot-another-procedure-scheduled/lNNPOvBCpdieLP1cOJpnLI/</t>
  </si>
  <si>
    <t>Lance Edward Smith</t>
  </si>
  <si>
    <t>Broad St and Owen St</t>
  </si>
  <si>
    <t>Bladen County Sheriff's Office, Elizabethtown Police Department</t>
  </si>
  <si>
    <t>Around 11 a.m., the Bladen County Sheriff's Office was alerted to a domestic-related incident. When officers arrived, they found a man and a woman sitting in a car. The ,man had a revolver pointed at the woman's head. Hostage negotiators and multiple law enforcement agencies worked for three hours to resolve the conflict. The woman was released moments before the man, Lance Smith, fired on officers, who shot and killed him.</t>
  </si>
  <si>
    <t>https://www.wect.com/2019/11/22/law-enforcement-scene-possible-hostage-situation-elizabethtown/</t>
  </si>
  <si>
    <t>Jimmie Phillips</t>
  </si>
  <si>
    <t>6400 Katie Ln</t>
  </si>
  <si>
    <t>Morrow</t>
  </si>
  <si>
    <t>Officers responded to a home where a man was allegedly holding family members inside the house. Jimmie Phillips allegedly brandished a gun, and police shot and killed him.</t>
  </si>
  <si>
    <t>https://www.ajc.com/news/crime--law/man-killed-clayton-county-police-responding-domestic-dispute/L2vQKiMHxmrMsfOKy5BxxJ/</t>
  </si>
  <si>
    <t>Jerric Harris</t>
  </si>
  <si>
    <t>https://fatalencounters.org/wp-content/uploads/2019/12/Jerric-Harris.jpg</t>
  </si>
  <si>
    <t>Hollywood St</t>
  </si>
  <si>
    <t>Daytona Beach Police Department</t>
  </si>
  <si>
    <t>Jerric Harris fatally shot neighbor, Jamauri Burks, 21, during an argument and was killed in an exchange of gunfire with two officers, police said.</t>
  </si>
  <si>
    <t>https://www.news-journalonline.com/news/20191202/chief-daytona-man-guns-down-neighbor-then-shot-dead-by-police</t>
  </si>
  <si>
    <t>Derrick Everett</t>
  </si>
  <si>
    <t>200 E Cluster Ave</t>
  </si>
  <si>
    <t>Officers Felicia Pecora and Hope Dauphin responded to a call about gunfire shot and killed Derrick Everett as he wrestled with a woman over a handgun and then pointed it toward the officers, police said. The shooting occurred about 1:45 p.m. Thanksgiving Day in a building behind a home.</t>
  </si>
  <si>
    <t>https://www.theledger.com/news/20191129/officers-shoot-and-kill-man-who-pointed-handgun-at-them-tampa-police-say</t>
  </si>
  <si>
    <t>Gregory Edwards</t>
  </si>
  <si>
    <t>https://fatalencounters.org/wp-content/uploads/2019/09/Gregory-Edwards.jpg</t>
  </si>
  <si>
    <t>20 Prince St</t>
  </si>
  <si>
    <t>During a domestic violence call, Gregory Edwards allegedly shot and wounded an officer and was shot and killed.</t>
  </si>
  <si>
    <t>https://nypost.com/2019/09/17/female-nypd-officer-shot-on-staten-island/</t>
  </si>
  <si>
    <t>Cameron Lamb</t>
  </si>
  <si>
    <t>https://fatalencounters.org/wp-content/uploads/2019/12/Cameron-Lamb.jpg</t>
  </si>
  <si>
    <t>4100 College Ave</t>
  </si>
  <si>
    <t>A disturbance between two vehicles was reported near 35th Street and College Avenue. A police helicopter tracked one of the vehicles, which pulled behind a residence six blocks away. Officers approached a man in the vehicle and shot and killed him. Details as to what precipitated the killing were withheld by police.</t>
  </si>
  <si>
    <t>https://www.theroot.com/family-demands-justice-in-officer-involved-shooting-in-1840312733</t>
  </si>
  <si>
    <t>Alvern Donell Walker</t>
  </si>
  <si>
    <t>15 Sun Rd</t>
  </si>
  <si>
    <t>Colorado State Patrol, Avon Police Department, Eagle County Sheriff's Office</t>
  </si>
  <si>
    <t>A Colorado State Patrol trooper pulled over a U-Haul truck for a traffic violation around 8:15 p.m. The U-Haul driver pulled into a Walgreens parking lot. A passenger, Alvern Walker, got out and threatened police with a gun, reportedly pointing it at police, who shot and killed him.</t>
  </si>
  <si>
    <t>https://www.vaildaily.com/news/police-activity-at-walgreens-in-avon-avoid-the-area/</t>
  </si>
  <si>
    <t>Miguel Russo</t>
  </si>
  <si>
    <t>https://fatalencounters.org/wp-content/uploads/2019/12/MiguelRusso.jpg</t>
  </si>
  <si>
    <t>119 Fenton St</t>
  </si>
  <si>
    <t>Police responded to a home with reports that a 6-year-old child was shot inside. The officers arrived and saw the child inside, shot and incapacitated. Officers said they were confronted by Miguel Russo, who had a handgun, and Officer Matthew Tynan shot and killed him.</t>
  </si>
  <si>
    <t>https://cnycentral.com/news/local/syracuse-police-identify-officer-involved-in-deadly-shooting-on-fenton-street</t>
  </si>
  <si>
    <t>Lamar Alexander</t>
  </si>
  <si>
    <t>https://fatalencounters.org/wp-content/uploads/2019/12/Lamar-Alexander.jpg</t>
  </si>
  <si>
    <t>12000 Miramar Pkwy</t>
  </si>
  <si>
    <t>Miami-Dade Police Department, Miramar Police Department, Pembroke Pines Police Department</t>
  </si>
  <si>
    <t>Lamar Alexander, 41, and Ronnie Jerome Hill, 41, reportedly attempted an armed robbery of a Miracle Mile jewelry store in Coral Gables, Florida. The robbery turned into a hostage situation after Alexander and Hill carjacked a UPS truck. The police chase ended in a shootout on a busy highway with four dead, including the UPS driver Frank Ordonez, 27, and Richard Cutshaw, 70, a union representative.</t>
  </si>
  <si>
    <t>https://wsvn.com/news/local/fbi-4-dead-including-ups-driver-after-police-chase-ends-in-gunfire-after-coral-gables-armed-robbery/</t>
  </si>
  <si>
    <t>Ronnie Jerome Hill</t>
  </si>
  <si>
    <t>https://fatalencounters.org/wp-content/uploads/2019/12/Ronnie-Hill.jpg</t>
  </si>
  <si>
    <t>Antonio Nichols</t>
  </si>
  <si>
    <t>https://fatalencounters.org/wp-content/uploads/2019/12/Antonio-Nichols2.jpg</t>
  </si>
  <si>
    <t>102 Nichols Road</t>
  </si>
  <si>
    <t>St. Helena</t>
  </si>
  <si>
    <t>St. Helena Parish Sheriff's Office</t>
  </si>
  <si>
    <t>Deputies came to Antonio Nichols' home to arrest him. He allegedly met them at the door with a shotgun and was shot and killed when he failed to put the gun down.</t>
  </si>
  <si>
    <t>https://www.theadvocate.com/baton_rouge/news/communities/st_helena/article_c380f2be-1c61-11ea-a78d-3b7fec2df5fd.html</t>
  </si>
  <si>
    <t>Kreen Cornell Bateman</t>
  </si>
  <si>
    <t>183 Gator Ln</t>
  </si>
  <si>
    <t>Andrews</t>
  </si>
  <si>
    <t>Deputies responding to a report of a domestic disturbance shot and killed Kreen Cornell Bateman during an exchange of gunfire.</t>
  </si>
  <si>
    <t>https://wpde.com/news/local/deadly-deputy-involved-shooting-in-georgetown-county</t>
  </si>
  <si>
    <t>Montay Steven Penning</t>
  </si>
  <si>
    <t>https://fatalencounters.org/wp-content/uploads/2019/12/Montay-Steven-Penning.jpg</t>
  </si>
  <si>
    <t>1800 Harrison Ave</t>
  </si>
  <si>
    <t>Montay Penning reportedly was spotted driving a stolen car around noon. Following a short chase, three officers shot and killed Penning. Police said Penning had a gun.</t>
  </si>
  <si>
    <t>https://www.channel3000.com/news/crime/23-year-old-victim-identified-in-officer-involved-shooting-in-beloit/1150819308</t>
  </si>
  <si>
    <t>Francine Graham</t>
  </si>
  <si>
    <t>https://fatalencounters.org/wp-content/uploads/2019/12/Francine-Graham.png</t>
  </si>
  <si>
    <t>223 Martin Luther King Dr</t>
  </si>
  <si>
    <t>David N. Anderson, 47, and Francine Graham, 50, opened fire on the JC Kosher Supermarket with rifles immediately after arriving across the street in a white U-Haul van at 12:21 p.m., police said. Both suspects then entered the store, killing three and wounding one before being shot and killed by police.</t>
  </si>
  <si>
    <t>https://www.app.com/story/news/crime/jersey-mayhem/2019/12/11/jersey-city-shooting-may-worst-anti-semitic-incident-new-jersey/4020789002/</t>
  </si>
  <si>
    <t>David N. Anderson</t>
  </si>
  <si>
    <t>https://fatalencounters.org/wp-content/uploads/2019/12/David-N.-Anderson.png</t>
  </si>
  <si>
    <t>Louis Patrick Veal</t>
  </si>
  <si>
    <t>https://fatalencounters.org/wp-content/uploads/2019/12/Louis-Patrick-Veal.jpg</t>
  </si>
  <si>
    <t>8000 Woodlawn Ave</t>
  </si>
  <si>
    <t>Police responded to reports of shots fired. They arrived to find two women, Lysa Blake, 18, and Dania Phillips, 49, dead from gunshot wounds. After the shooting, police said Louis Veal fled in a stolen vehicle. The next day, police found the stolen vehicle, and Veal opened fire at officers, and they shot and killed him.</t>
  </si>
  <si>
    <t>https://www.detroitnews.com/story/news/local/wayne-county/2019/12/16/police-id-suspect-redford-homicide-killed-shootout-cops/2661987001/</t>
  </si>
  <si>
    <t>Cortez Bufford</t>
  </si>
  <si>
    <t>https://fatalencounters.org/wp-content/uploads/2019/12/Cortez-Bufford.jpg</t>
  </si>
  <si>
    <t>Bates St and Virginia Ave</t>
  </si>
  <si>
    <t>An officer stopped Cortez Bufford, who was walking. The reason the officer stopped him was withheld by police. Bufford reportedly ran away, and the officer pursued. Bufford and the officer ran into a gangway. There, he reportedly displayed a semi-automatic gun, and officers reportedly told him to drop the weapon, and when he failed to do so, the officer shot and killed him.</t>
  </si>
  <si>
    <t>https://www.kmov.com/news/second-officer-involved-shooting-in-hours-leaves-suspect-dead-in/article_6396dd1e-1d5b-11ea-8637-e380aa3165a7.html</t>
  </si>
  <si>
    <t>Romir Talley</t>
  </si>
  <si>
    <t>https://fatalencounters.org/wp-content/uploads/2019/12/Romir-Talley.jpg</t>
  </si>
  <si>
    <t>Center Street and Stoner Way</t>
  </si>
  <si>
    <t>Wilkinsburg Police Department</t>
  </si>
  <si>
    <t>A police officer fatally shot Romir Talley after firing at Wilkinsburg police during a foot chase. The pursuit began just after 1 a.m., when police responded to a 911 call about a man threatening another person with a gun</t>
  </si>
  <si>
    <t>https://triblive.com/local/pittsburgh-allegheny/man-killed-in-exchange-of-fire-while-fleeing-from-wilkinsburg-police/</t>
  </si>
  <si>
    <t>Steven DeWayne Haizlip</t>
  </si>
  <si>
    <t>https://fatalencounters.org/wp-content/uploads/2019/12/Steven-Dwayne-Haizlip-Jr.jpg</t>
  </si>
  <si>
    <t>2000 Lowery St</t>
  </si>
  <si>
    <t>Police said Steven Dewayne Haizlip, a City of Winston-Salem employee, opened fire at the Joycelyn V. Johnson Municipal building, killing Terry Lee Cobb Jr. Two other people were injured by gunfire. Haizlip was killed in a gunfight with police.</t>
  </si>
  <si>
    <t>https://myfox8.com/2019/12/20/shooter-deceased-victim-identified-in-shooting-at-winston-salem-sanitation-department/</t>
  </si>
  <si>
    <t>Elray Barber</t>
  </si>
  <si>
    <t>https://fatalencounters.org/wp-content/uploads/2019/12/Elray-Barber.jpg</t>
  </si>
  <si>
    <t>2315 N Martin Luther King Ave</t>
  </si>
  <si>
    <t>Around 3:30 p.m., police were called to a home after Elray Barber left his family's home intoxicated and carrying a gun. Minutes later, officers attempted to pull the vehicle over as Barber was turning into a Sonic restaurant. Barber was in a parked car with a 55-year-old woman and refused to get out of the vehicle. Negotiations lasted approximately two hours. Barber reportedly made several threats against the woman in his car and officers. Around 5:40 p.m., two officers shot and killed Barber.</t>
  </si>
  <si>
    <t>https://www.news9.com/story/41492867/police-suspect-dead-after-officerinvolved-shooting-at-okc-sonic</t>
  </si>
  <si>
    <t>Joey Duane Ramirez</t>
  </si>
  <si>
    <t>https://www.fatalencounters.org/wp-content/uploads/2019/02/Joey-Duane-Ramirez.jpg</t>
  </si>
  <si>
    <t>79 Warwick Ct</t>
  </si>
  <si>
    <t>Officers responded after receiving a 911 call about a domestic disturbance around 2:42 a.m. The caller, who was female, told dispatch that a man that she knew was outside her door and wouldn't leave. She also said that he was known to have a gun. When officers arrived, they saw Joey Ramirez running through the complex. One officer tracked Ramirez outside one of the buildings, and they exchanged gunfire, and Ramirez was shot and killed.</t>
  </si>
  <si>
    <t>https://www.wilx.com/content/news/Heavy-police-presence-in-a-Jackson-neighborhood-504959022.html</t>
  </si>
  <si>
    <t>Alphonso Zaporta</t>
  </si>
  <si>
    <t>https://fatalencounters.org/wp-content/uploads/2019/08/Alphonso-Zaporta.jpeg</t>
  </si>
  <si>
    <t>I-84 and Capitol Ave</t>
  </si>
  <si>
    <t>Alphonso Zaporta allegedly got control of an officer's gun during a fight that began after a police vehicle pursuit. Zaporta was shot and killed by another officer.</t>
  </si>
  <si>
    <t>Justified by State's Attorney</t>
  </si>
  <si>
    <t>https://fox61.com/2019/07/29/body-cam-footage-of-friday-nights-fatal-officer-involved-shooting-has-been-released/</t>
  </si>
  <si>
    <t>Ronnie Churches</t>
  </si>
  <si>
    <t>https://fatalencounters.org/wp-content/uploads/2019/05/Ronnie-Angelo-Churches.jpg</t>
  </si>
  <si>
    <t>NW 204th St and NW 23rd Ct</t>
  </si>
  <si>
    <t>Police shot and killed Ronnie Angelo Churches when he pulled a gun on them when they came to question him about a murder.</t>
  </si>
  <si>
    <t>https://miami.cbslocal.com/2019/05/20/police-involved-shooting-in-miami-gardens/?fbclid=IwAR2HMjDIKF3W6knyd7nAFl4FhJlz59Qm-dt_gTeIdI-LpqWo9yxnSZUhT4g</t>
  </si>
  <si>
    <t>Isak Abdirahman Aden</t>
  </si>
  <si>
    <t>https://fatalencounters.org/wp-content/uploads/2019/07/Isak-Abdirahman-Aden.jpg</t>
  </si>
  <si>
    <t>1900 Seneca Rd</t>
  </si>
  <si>
    <t>Isak Abdirahman Aden was shot and killed by police during a standoff with police outside a business. Aden reportedly was a domestic assault suspect armed with a gun, police said.</t>
  </si>
  <si>
    <t>https://www.twincities.com/2019/07/08/family-of-man-fatally-shot-by-police-in-eagan-seeks-answers/</t>
  </si>
  <si>
    <t>Kentrey Marquis Witherspoon</t>
  </si>
  <si>
    <t>2644 SW Norwood St.</t>
  </si>
  <si>
    <t>Police were conducting a traffic stop when Kentrey Marquis Witherspoon, got out of the vehicle, fired a gun and ran off. The officers involved were not injured, but a patrol car was struck during the shooting.</t>
  </si>
  <si>
    <t>https://www.wbtv.com/2019/12/19/manhunt-underway-after-deputy-fired-during-traffic-stop-caldwell-county/</t>
  </si>
  <si>
    <t>Phayvanh Inthavong</t>
  </si>
  <si>
    <t>Arizona St and Churn Creek Rd</t>
  </si>
  <si>
    <t>Police received a 911 call about a man who was possibly armed with a handgun and acting erratically. The caller said the man might have been under the influence of drugs due to his behavior. When police arrived, the man saw them and began running through the neighborhood. Police said he ran through several yards and then broke into an occupied home. Police said he came out with a handgun and was shot and killed.</t>
  </si>
  <si>
    <t>https://krcrtv.com/news/shasta-county/one-dead-after-officer-involved-shooting-in-redding</t>
  </si>
  <si>
    <t>Nam Quang Le</t>
  </si>
  <si>
    <t>https://www.fatalencounters.org/wp-content/uploads/2019/02/Nam-Le.jpg</t>
  </si>
  <si>
    <t>1214 Foxhill Dr</t>
  </si>
  <si>
    <t>Nam Le, 34, shot and killed four people he held hostage while police waited outside. Police then stormed the house and killed Nam Le. Two small children were released unharmed from the home several hours after the standoff began, police said. Killed were 30-year-old Lan Thi My Van, 28-year-old Le Thi My Van, 65-year-old Cho Thi Van, and Phung Minh Le, 28.</t>
  </si>
  <si>
    <t>https://www.clarionledger.com/story/news/2019/02/17/hostage-standoff-4-dead-clinton-ms-domestic-dispute/2899009002/</t>
  </si>
  <si>
    <t>Nan Ahao</t>
  </si>
  <si>
    <t>150 Royale Rd</t>
  </si>
  <si>
    <t>Athens-Clarke</t>
  </si>
  <si>
    <t>Athens-Clarke County Police Department</t>
  </si>
  <si>
    <t>Officers were sent to investigate a noise complaint call between two neighbors, police said. When police arrived, they were told one neighbor had threatened to shoot the other neighbor during the dispute. Officers found the neighbor and tried to question him. Nan Zhao reportedly pulled out a handgun and fired at the officers. Officers shot and killed him.</t>
  </si>
  <si>
    <t>https://www.wsbtv.com/news/local/athens-police-shoot-kill-man-who-they-say-pulled-gun-on-officers/1002056982</t>
  </si>
  <si>
    <t>Billy Kongphouthakhoun</t>
  </si>
  <si>
    <t>https://fatalencounters.org/wp-content/uploads/2019/11/billyK.jpg</t>
  </si>
  <si>
    <t>CA-41 and Manning Avenue</t>
  </si>
  <si>
    <t>Around 11:45 p.m., CHP received a call for a two-vehicle crash. Police said Billy Kongphouthakhoun was speeding and rear-ended a Chevy Tahoe, and the force caused it to overturn. Kongphouthakhoun wouldn't cooperate with troopers who believed he had been driving under the influence. Kongphouthakhoun reportedly pulled out a gun, and a CHP trooper shot and killed him.</t>
  </si>
  <si>
    <t>https://abc30.com/authorities-investigating-deadly-officer-involved-shooting-on-hwy-41/5661488/</t>
  </si>
  <si>
    <t>Michael Lee Nguyen</t>
  </si>
  <si>
    <t>20671 WI-27</t>
  </si>
  <si>
    <t>Monroe County Sheriff's Office, Sparta Police Department</t>
  </si>
  <si>
    <t>Police responded to The Cotter Pin, a restaurant and bar, for a domestic violence call. Patrons were barricaded inside the business, and police negotiated with an armed man outside the business before Deputies Ryan Oswald, Jason Rice, Ethan Young, and Sparta Officer Kyle Gurolski shot and killed him.</t>
  </si>
  <si>
    <t>https://lacrossetribune.com/news/local/crime-and-courts/update-man-shot-killed-by-officers-in-monroe-county-standoff/article_25822d80-e713-5ac3-974f-77720e329968.html</t>
  </si>
  <si>
    <t>Chiasher Fong Vue</t>
  </si>
  <si>
    <t>https://fatalencounters.org/wp-content/uploads/2019/12/Chiasher-Fong-Vue.jpg</t>
  </si>
  <si>
    <t>3100 Thomas Ave N</t>
  </si>
  <si>
    <t>Police were called to a home around 3 a.m. because someone had reported shots fired in the residence. Police shot and killed Chiasher Fong Vue after he allegedly came out of the home with a gun.</t>
  </si>
  <si>
    <t>https://www.mprnews.org/story/2019/12/16/wife-of-man-fatally-shot-by-mpls-police-downplays-threatening-behavior</t>
  </si>
  <si>
    <t>Dustin Spencer</t>
  </si>
  <si>
    <t>https://fatalencounters.org/wp-content/uploads/2019/12/DustinSpencer.jpg</t>
  </si>
  <si>
    <t>2295 N King St</t>
  </si>
  <si>
    <t>Around 11:30 a.m., police exchanged gunfire at a car lot. The gunfire came after a previous pursuit.</t>
  </si>
  <si>
    <t>https://www.khon2.com/local-news/heavy-police-presence-after-shots-fired-near-car-dealership/</t>
  </si>
  <si>
    <t>Joel David Kellay</t>
  </si>
  <si>
    <t>https://www.fatalencounters.org/wp-content/uploads/2019/03/Joel-D.-Kellay.jpeg</t>
  </si>
  <si>
    <t>150 Kimball Ave</t>
  </si>
  <si>
    <t>After alleged attacks on family members, including shooting two, police invaded the home, finding Joel Kellay in a bedroom. Kellay allegedly fired on officers and was shot and killed.</t>
  </si>
  <si>
    <t>https://www.woodtv.com/news/officer-involved-shooting-in-pennfield-township/1837266398</t>
  </si>
  <si>
    <t>Brandon Stacey</t>
  </si>
  <si>
    <t>https://www.fatalencounters.org/wp-content/uploads/2019/03/brandonstacy.png</t>
  </si>
  <si>
    <t>167 E Kalamazoo Ave</t>
  </si>
  <si>
    <t>Kalamazoo Public Safety</t>
  </si>
  <si>
    <t>Brandon Stacey, an employee at Grifols Biomat plasma donation center, was killed when shot by police responding to the business, police said. Officers responded to the center for a call of shots fired at 11:29 a.m.</t>
  </si>
  <si>
    <t>https://www.mlive.com/news/kalamazoo/2019/03/employee-killed-after-shooting-at-police-inside-kalamazoo-plasma-center.html</t>
  </si>
  <si>
    <t>William Lamb</t>
  </si>
  <si>
    <t>100 Chestnut St</t>
  </si>
  <si>
    <t>Police responded to a domestic disturbance call at a home. When an officer entered the home, William Lamb allegedly shot at the officer, who shot and killed him.</t>
  </si>
  <si>
    <t>https://www.wrcbtv.com/story/40724584/tennessee-officer-shoots-kills-man-in-return-fire</t>
  </si>
  <si>
    <t>Camine Fazzolari</t>
  </si>
  <si>
    <t>10100 Forum Park Dr</t>
  </si>
  <si>
    <t>Following a chase, a man shot and wounded an officer, and he was shot and killed.</t>
  </si>
  <si>
    <t>https://www.khou.com/article/news/crime/houston-police-officer-lucky-to-be-alive-after-deadly-shootout/285-59d0e714-a205-4579-bf49-19124117a5d7</t>
  </si>
  <si>
    <t>Robert Schneider</t>
  </si>
  <si>
    <t>3136 Geyer Woods Ln</t>
  </si>
  <si>
    <t>Westwood</t>
  </si>
  <si>
    <t>Green Township Police Department, Cheviot Police Department</t>
  </si>
  <si>
    <t>Richard Schneider was wanted for several felonies when Schneider fled police from Green Township, leading them into Westwood. An officer from Cheviot and one from Green Township shot and killed Schneider.</t>
  </si>
  <si>
    <t>https://www.cincinnati.com/story/news/2019/08/09/police-shooting-westwood-wont-result-charges-suspect-dies/1968438001/</t>
  </si>
  <si>
    <t>William Lloyd Jones</t>
  </si>
  <si>
    <t>https://fatalencounters.org/wp-content/uploads/2019/09/William-Lloyd-Jones.jpg</t>
  </si>
  <si>
    <t>361 Hillpoint Rd</t>
  </si>
  <si>
    <t>William Lloyd Jones barricaded himself inside a home and held a 9-year-old child hostage at gunpoint. He was shot and killed when police entered to rescue the child.</t>
  </si>
  <si>
    <t>https://5newsonline.com/2019/08/22/state-police-investigate-officer-involved-shooting-after-rescue-of-9-year-old-in-standoff/</t>
  </si>
  <si>
    <t>Jack Thomas "Sam" Naylor</t>
  </si>
  <si>
    <t>https://fatalencounters.org/wp-content/uploads/2019/10/Jack-Thomas-Sam-Naylor.jpg</t>
  </si>
  <si>
    <t>Key Road</t>
  </si>
  <si>
    <t>Drennen</t>
  </si>
  <si>
    <t>Troopers and the Nicholas County Sheriff's Office responded to a shots fired call at around 5:10 p.m. Upon in arrival troopers and deputies encountered Jack Thomas Naylor, who was reportedly armed. Police alleged Naylor pointed a rifle at them, and troopers shot and killed him.</t>
  </si>
  <si>
    <t>https://www.wowktv.com/news/local/state-police-fatally-shoots-suspect-in-nicholas-county/</t>
  </si>
  <si>
    <t>Mark Stoddard</t>
  </si>
  <si>
    <t>UT-31</t>
  </si>
  <si>
    <t>Emery</t>
  </si>
  <si>
    <t>Emery County Sheriff's Office, Utah Highway Patrol</t>
  </si>
  <si>
    <t>At approximately 5:15 p.m., an Emery County deputy pulled over a driver with the suspicion he was under the influence of alcohol. During the stop, the driver exited the vehicle and pointed a gun at the officer. The man re-entered his vehicle and drove off, and the deputy chased him. A Utah Highway Patrol trooper used spikes to stop the car. The driver then pointed his gun in the direction of the trooper and deputy, and both officers shot and killed the driver.</t>
  </si>
  <si>
    <t>https://kutv.com/news/local/one-deputy-one-trooper-involved-in-emery-county-shooting</t>
  </si>
  <si>
    <t>Bradley Rundle</t>
  </si>
  <si>
    <t>https://fatalencounters.org/wp-content/uploads/2019/07/BradleyRundle.jpg</t>
  </si>
  <si>
    <t>6000 McKinley Terrace</t>
  </si>
  <si>
    <t>Around 9 p.m., a call came into 911 that Bradley Rundle had fired his gun multiple times inside a home. The caller said Rundle was intoxicated and that other family members and children were at home. Deputies surrounded the home. They saw Rundle going in and out of the house several times while holding his gun and ordered him to drop his weapon and cooperate. Around 10 p.m., a sergeant spoke to Rundle by phone. Rundle reportedly told the sergeant that he would not be coming out, and he did not intend to leave the home peacefully. A few minutes later, Rundle left the home with his firearm in hand. Rundle allegedly lifted his gun toward deputies and fired one round and was shot and killed.</t>
  </si>
  <si>
    <t>https://www.mysuncoast.com/2019/06/25/man-dies-after-deputy-involved-shooting-englewood/</t>
  </si>
  <si>
    <t>Charles Roy Pearson</t>
  </si>
  <si>
    <t>https://fatalencounters.org/wp-content/uploads/2019/08/Charles-Roy-Pearson.jpg</t>
  </si>
  <si>
    <t>Village West Pkwy and State Ave</t>
  </si>
  <si>
    <t>Police were called at 9:42 a.m. to the Country Inn and Suites in Kansas CIty, Kansas, where the manager said that a heavily armed man came into the hotel and said that he had committed a crime. The officers found Charles Pearson, who allegedly fired at then and was shot and killed.</t>
  </si>
  <si>
    <t>https://fox4kc.com/2019/08/13/witness-identifies-man-shot-and-killed-by-kck-police-after-making-threats-near-legends-outlets/?fbclid=IwAR20Y-f1eyF3b_lf17HDaFBgSGDunaGZeRISNuW4WzmcHzdn9Vo2kopvw_8</t>
  </si>
  <si>
    <t>Joshua Vigil</t>
  </si>
  <si>
    <t>https://fatalencounters.org/wp-content/uploads/2019/08/josh-vigil.jpg</t>
  </si>
  <si>
    <t>3165 E Fountain Blvd</t>
  </si>
  <si>
    <t>About 6 p.m., police got a call about a man with a gun. Officers contacted the man, who got into his car, and fled. Officers reportedly did not pursue him. Officers said they found the car crashed. Three officers found Joshua Vigil at the Fountain Garden Apartments, where they shot and killed him. Details as to what precipitated the killing were withheld by police.</t>
  </si>
  <si>
    <t>https://www.krdo.com/news/family-member-identifies-suspect-killed-by-colorado-springs-police-officer/1099293650</t>
  </si>
  <si>
    <t>Dylan Michael Smith</t>
  </si>
  <si>
    <t>https://www.fatalencounters.org/wp-content/uploads/2019/01/dylansmith.jpg</t>
  </si>
  <si>
    <t>Badin Lake Rd and NC 49</t>
  </si>
  <si>
    <t>A deputy responded to a domestic disturbance call at a business. He reportedly saw a man in standing in the roadway "acting strange." The man approached the deputy got into an altercation, and the man took off running. The deputy pursued the man on foot into a wooded area. During another altercation, Dylan M. Smith allegedly choked the officer and tried to take the officer's firearm. The deputy shot and killed Smith.</t>
  </si>
  <si>
    <t>https://www.wfmynews2.com/article/news/local/man-killed-deputy-injured-after-deadly-encounter-in-davidson-county/83-36033fca-e2ac-4172-8f7a-3d97f0b8026f</t>
  </si>
  <si>
    <t>David John Engebretson</t>
  </si>
  <si>
    <t>https://www.fatalencounters.org/wp-content/uploads/2019/01/David-John-Engebretson.jpg</t>
  </si>
  <si>
    <t>14700 SE Rupert Dr</t>
  </si>
  <si>
    <t>Around 3:10 a.m., a patrolling deputy spotted "an occupied suspicious vehicle" in the driveway of a church. There was one person in the car, David John Engebretson. There was a warrant out for Engebretson's arrest, but he refused to get out of his car, so the deputy called for backup, police said. After a second deputy arrived, there was an exchange of gunfire between the deputies and Engebretson. Engebretson was shot and killed.</t>
  </si>
  <si>
    <t>https://www.koin.com/news/local/clackamas-county/clackamas-county-deputy-involved-shooting-oak-grove-january-5-2019/1687768410</t>
  </si>
  <si>
    <t>Shaun Adams Kennedy</t>
  </si>
  <si>
    <t>3471 Lafayette St</t>
  </si>
  <si>
    <t>A man was shot and killed by police after allegedly setting fire to the Rotten Robbie station in Cupertino, where he worked, and then "shooting indiscriminately" at people and passing cars at another Rotten Robbie station in Santa Clara.</t>
  </si>
  <si>
    <t>https://abc7news.com/one-dead-after-officer-involved-shooting-at-santa-clara-gas-station/5020116/</t>
  </si>
  <si>
    <t>Stanley Stepanski III</t>
  </si>
  <si>
    <t>https://www.fatalencounters.org/wp-content/uploads/2019/01/Stephen-Stepanski.jpg</t>
  </si>
  <si>
    <t>I-80 and Hwy 65</t>
  </si>
  <si>
    <t>Stanley Stepanski III was suspected of fatally shooting an elderly Penryn woman, injuring another man with gunfire and shooting a police dog. The man and dog are expected to be OK. The events began in Newcastle, when someone had reported a man driving erratically and brandishing a gun. Stepanski was shot and killed by officers.</t>
  </si>
  <si>
    <t>https://fox40.com/2019/01/17/suspected-gunman-in-placer-county-shooting-spree-identified/</t>
  </si>
  <si>
    <t>Chance Mavity</t>
  </si>
  <si>
    <t>https://www.fatalencounters.org/wp-content/uploads/2019/01/chancemavity.jpg</t>
  </si>
  <si>
    <t>2209 1st Ave N</t>
  </si>
  <si>
    <t>Police were called to a pawn shop where three people were attempting to sell stolen guns. When officers arrived, Chance Mavity took off on foot. Officers Kody Kaiser and Brad Mansur followed Mavity and ordered him to stop. Mavity did not comply with the officer's instructions and instead raised a 9mm semi-automatic handgun and fired at them. Kaiser fired 15 rounds, and Mansur fired 4 rounds, killing Mavity.</t>
  </si>
  <si>
    <t>https://ktvq.com/news/local-news/2019/01/21/billings-police-chief-shepherd-man-shot-and-killed-by-officers-had-violent-history/</t>
  </si>
  <si>
    <t>Dennis Tuttle</t>
  </si>
  <si>
    <t>https://www.fatalencounters.org/wp-content/uploads/2019/02/DennisTuttle.jpg</t>
  </si>
  <si>
    <t>7815 Harding St</t>
  </si>
  <si>
    <t>During the forced entry of their home with a no-knock drug warrant, husband and wife, Dennis Tuttle, 59, and Rhogena Nicholas, 58, allegedly fired on officers after police killed their dog. They were shot and killed.</t>
  </si>
  <si>
    <t>https://www.mysanantonio.com/news/houston-texas/article/We-are-so-sorry-Family-of-man-killed-in-drug-13571054.php</t>
  </si>
  <si>
    <t>Nicholas Patrick Philhower</t>
  </si>
  <si>
    <t>https://www.fatalencounters.org/wp-content/uploads/2019/02/Philhower_Nicholas.jpg</t>
  </si>
  <si>
    <t>NY-17 E &amp; I-81</t>
  </si>
  <si>
    <t>Binghamton</t>
  </si>
  <si>
    <t>Police got a report that Nicholas P. Philhower took his mom's car without her permission, and she asked police to arrest him. At around 6:20 p.m., Trooper Timothy S. Conklin saw the vehicle, police said. As the trooper approached in his vehicle, Philhower stopped his car. After he stopped, Philhower allegedly shot at the trooper through the rear window of his vehicle. The trooper shot through the windshield of his police vehicle. Philhower got out of his car and walked toward the trooper, still firing his rifle. Conklin reloaded his weapon, left his car and continued firing at Philhower. He shot and killed Philhower.</t>
  </si>
  <si>
    <t>https://www.syracuse.com/crime/2019/01/man-shot-by-nys-trooper-had-military-style-rifle-police-say.html</t>
  </si>
  <si>
    <t>Robert Matz</t>
  </si>
  <si>
    <t>1727 Hamill Ave</t>
  </si>
  <si>
    <t>Clarksburg</t>
  </si>
  <si>
    <t>Clarksburg Police Department</t>
  </si>
  <si>
    <t>Officers responded to a home to serve a domestic violence petition on 80-year-old Robert Matz. Police said Matz was disrespectful with the officer and threatened to kill him. The officer reportedly asked Matz if there were any guns in the home, and Matz said there weren't. Police said Matz took out a knife during the conversation and threatened to cut the officers. Matz allegedly got a gun and pointed it at the officers who shot and killed him.</t>
  </si>
  <si>
    <t>https://www.wdtv.com/content/news/Active-police-scene-in-Clarksburg--505308442.html</t>
  </si>
  <si>
    <t>Dylan Joseph Mark Cross</t>
  </si>
  <si>
    <t>https://www.fatalencounters.org/wp-content/uploads/2019/02/Dylan-Joseph-Mark-Cross.jpg</t>
  </si>
  <si>
    <t>1300 Blanding Blvd</t>
  </si>
  <si>
    <t>A deputy pulled over a vehicle about 11:30 p.m. The driver, Dylan Joseph Mark Cross, allegedly took out a weapon, and Deputy Andy McCrea shot and killed him.</t>
  </si>
  <si>
    <t>https://www.news4jax.com/news/florida/clay-county/armed-person-shot-killed-by-clay-county-deputy-authorities-say</t>
  </si>
  <si>
    <t>Jason Matthew Hill</t>
  </si>
  <si>
    <t>https://www.fatalencounters.org/wp-content/uploads/2019/02/Jason-Matthew-Hill.jpg</t>
  </si>
  <si>
    <t>6101 Shelby Oaks Dr</t>
  </si>
  <si>
    <t>Deputies were serving an arrest warrant for Jason Hill at the Garden Tree Hotel. Police said while outside the hotel, Hill fired at deputies and was shot and killed.</t>
  </si>
  <si>
    <t>https://www.localmemphis.com/news/local-news/tbi-investigating-fatal-deputy-involved-shooting-in-northeast-memphis/1763205125</t>
  </si>
  <si>
    <t>Seth Keo Mallard</t>
  </si>
  <si>
    <t>https://www.fatalencounters.org/wp-content/uploads/2019/02/SethMALLARD.jpg</t>
  </si>
  <si>
    <t>US-85 and Co Rd 394</t>
  </si>
  <si>
    <t>La Salle</t>
  </si>
  <si>
    <t>A LaSalle police officer shot Seth Keo Mallard at 2:42 a.m., police said. The officer, who has not been identified and was not injured, was responding to a call about a suspicious vehicle.</t>
  </si>
  <si>
    <t>https://www.denverpost.com/2019/02/07/lasalle-officer-involved-shooting-death/</t>
  </si>
  <si>
    <t>Johnny Carnell Mathis</t>
  </si>
  <si>
    <t>https://www.fatalencounters.org/wp-content/uploads/2019/02/Johnny-Carnell-Mathis.jpg</t>
  </si>
  <si>
    <t>1800 Lopes Ave</t>
  </si>
  <si>
    <t>Merced County Sheriff's Office, Merced Police Department</t>
  </si>
  <si>
    <t>Police were called to a chaotic scene around 10 p.m., where there was an officer-involved shooting, police said. The man who was killed was an off-duty Dos Palos police officer Johnny Mathis. Police followed Mathis in a non-patrol car to a home before he crashed the car into a garage. Police withheld details as to why they killed Mathis.</t>
  </si>
  <si>
    <t>https://www.mercedsunstar.com/news/local/crime/article226209655.html</t>
  </si>
  <si>
    <t>Mark Morasky</t>
  </si>
  <si>
    <t>https://www.fatalencounters.org/wp-content/uploads/2019/02/Mark-Morasky.jpg</t>
  </si>
  <si>
    <t>2579 N 1st St, San Jose</t>
  </si>
  <si>
    <t>After a chase and the alleged hijacking and hostage taking of a UPS truck and driver, Mark Morasky was killed and his alleged accomplice was arrested.</t>
  </si>
  <si>
    <t>https://www.nbcbayarea.com/news/local/UPS-Truck-Hijacker-Said-He-Wanted-to-Die-Call-505888211.html</t>
  </si>
  <si>
    <t>Greg Alyn Carlson</t>
  </si>
  <si>
    <t>https://www.fatalencounters.org/wp-content/uploads/2019/02/Greg-Alyn-Carlson.png</t>
  </si>
  <si>
    <t>901 Lufkin Rd</t>
  </si>
  <si>
    <t>Apex</t>
  </si>
  <si>
    <t>Greg Alyn Carlson was accused of multiple violent sexual assaults in Los Angeles was shot and killed by FBI agents. FBI agents tracked him to a hotel in Apex, North Carolina. When agents entered his hotel room, a fight over a gun allegedly began, and Carlson was shot and killed.</t>
  </si>
  <si>
    <t>https://edition.cnn.com/2019/02/13/us/fbi-ten-most-wanted-greg-alyn-carlson-killed/index.html</t>
  </si>
  <si>
    <t>Miles Dylan Cooper</t>
  </si>
  <si>
    <t>https://www.fatalencounters.org/wp-content/uploads/2019/02/Miles-Dylan-Cooper.png.jpg</t>
  </si>
  <si>
    <t>US 49</t>
  </si>
  <si>
    <t>An alleged attempted carjacking at a Harrison County gas station led to a pursuit into Stone County, where an exchange of gunfire killed the driver, Miles Dylan Cooper, and wounded his two passengers, police said.</t>
  </si>
  <si>
    <t>https://www.sunherald.com/latest-news/article225914200.html</t>
  </si>
  <si>
    <t>Charles L. Cook</t>
  </si>
  <si>
    <t>5400 Menlo Ct</t>
  </si>
  <si>
    <t>Barberton</t>
  </si>
  <si>
    <t>Barberton Police Department</t>
  </si>
  <si>
    <t>Police were called to a residence regarding domestic violence. During a standoff, Charles Cook shot and wounded an officer and was shot and killed.</t>
  </si>
  <si>
    <t>https://www.ohio.com/news/20190208/barberton-officer-shot-new-franklin-man-killed-after-8-hour-standoff-ends-in-gunfire</t>
  </si>
  <si>
    <t>Gabriel Lane Carter</t>
  </si>
  <si>
    <t>https://www.fatalencounters.org/wp-content/uploads/2019/02/Carter.jpg</t>
  </si>
  <si>
    <t>5401 Tinker Diagonal St</t>
  </si>
  <si>
    <t>Del City Police Department</t>
  </si>
  <si>
    <t>Police were called about 11:45 p.m. to Walmart in connection with a shoplifting complaint. The Del City officer tried to take the alleged shoplifter into custody when the suspect began to fight. During the struggle with the Del City and off-duty Amber police officers, Gabriel Carter reportedly fired a small semi-automatic pistol at the officers. The Del City officer shot and killed Carter.</t>
  </si>
  <si>
    <t>http://www.newson6.com/story/39943875/man-killed-in-del-city-officerinvolved-shooting-identified</t>
  </si>
  <si>
    <t>Sterling Durant Humbert</t>
  </si>
  <si>
    <t>https://www.fatalencounters.org/wp-content/uploads/2019/03/sterling-humbert.jpg</t>
  </si>
  <si>
    <t>1100 Walnut Ave</t>
  </si>
  <si>
    <t>According to police, at 5:30 p.m., officers were dispatched after a traffic stop turned into a short pursuit. Sterling Durant Humbert allegedly advanced on the officers and was armed with a gun. Humbert refused to drop his weapon and officers shot and killed him.</t>
  </si>
  <si>
    <t>https://www.nbcdfw.com/news/local/Armed-Man-Shot-Killed-By-Police-After-Short-Chase-Saturday-506290851.html</t>
  </si>
  <si>
    <t>Angel Burke</t>
  </si>
  <si>
    <t>1900 Batts Ln</t>
  </si>
  <si>
    <t>Police were called to a wrecked vehicle. Witnesses said a man and a woman walked away from the crash, and officers found two people nearby who matched their description. When officers approached, the man fled on foot. One officer followed; the other stayed with the woman. Angel Dean Burk was shot and killed. He was allegedly armed with a handgun, although news reports failed to note whether it was wielded.</t>
  </si>
  <si>
    <t>https://www.wrcbtv.com/story/40017356/tennessee-officer-fatally-shoots-man-during-foot-pursuit</t>
  </si>
  <si>
    <t>Tyler Schmidtbauer</t>
  </si>
  <si>
    <t>https://www.fatalencounters.org/wp-content/uploads/2019/03/Tyler-Schmidtbauer.jpg</t>
  </si>
  <si>
    <t>437 2nd Ave N</t>
  </si>
  <si>
    <t>Miltona</t>
  </si>
  <si>
    <t>Douglas County sheriff's deputies arrived at a Miltona home shortly before 5:30 a.m. following a 911 call about a domestic disturbance. When deputies arrived, Tyler Schmidtbauer came to the door holding a shotgun. He did not comply with orders to drop the shotgun, and Deputy Alexander Herzberg shot and killed him.</t>
  </si>
  <si>
    <t>https://www.duluthnewstribune.com/news/crime-and-courts/4578192-name-deputy-who-fatally-shot-man-central-minnesota-released-suspect</t>
  </si>
  <si>
    <t>Michael Joe Jolls</t>
  </si>
  <si>
    <t>https://www.fatalencounters.org/wp-content/uploads/2019/02/Michael-Joe-Jolls.jpg</t>
  </si>
  <si>
    <t>N 7th St and E Orangewood Ave</t>
  </si>
  <si>
    <t>Police said Michael Jolls was suspected of participating in a Phoenix home invasion. Jolls allegedly pointed a gun at officers and was shot and killed.</t>
  </si>
  <si>
    <t>https://www.abc15.com/news/region-phoenix-metro/north-phoenix/no-officers-injured-in-phoenix-officer-involved-shooting-wednesday</t>
  </si>
  <si>
    <t>Damon Murad Asad</t>
  </si>
  <si>
    <t>https://www.fatalencounters.org/wp-content/uploads/2019/01/damonAsad.jpg</t>
  </si>
  <si>
    <t>7321 Kentucky Ave</t>
  </si>
  <si>
    <t>Damon Asad was shot and killed after he reportedly opened fire on deputies who were there to serve a warrant.</t>
  </si>
  <si>
    <t>https://www.oaoa.com/news/crime_justice/law_enforcement/article_0d11e5e4-1a94-11e9-afc7-23daa14fa97c.html</t>
  </si>
  <si>
    <t>Brandon Schmitt</t>
  </si>
  <si>
    <t>https://www.fatalencounters.org/wp-content/uploads/2019/03/BrandonShmitt.jpg</t>
  </si>
  <si>
    <t>491 5th St</t>
  </si>
  <si>
    <t>Struthers</t>
  </si>
  <si>
    <t>Police shot and killed Brandon Schmitt after a standoff that lasted more than 12 hours and began with an alleged sexual assault on a child.</t>
  </si>
  <si>
    <t>https://www.vindy.com/news/2019/feb/28/brandon-schmitt-killed-struthers-standoff-had-crim/</t>
  </si>
  <si>
    <t>Eric Hagstrom</t>
  </si>
  <si>
    <t>https://www.fatalencounters.org/wp-content/uploads/2019/03/Eric-Hagstrom.jpg</t>
  </si>
  <si>
    <t>4200 E Wilshire Dr</t>
  </si>
  <si>
    <t>Around 7 p.m., the Phoenix Police Department received a call about a domestic violence situation. A woman told officers that she was involved in a physical altercation with Eric Hagstrom, who left her at the location and got away in her vehicle. Shortly later, officer found Hagstrom in a driveway and ordered him to drop a gun. Hagstrom allegedly pointed the gun at the officer and was shot and killed.</t>
  </si>
  <si>
    <t>https://www.azfamily.com/news/pd-man-detained-after-officer-involved-shooting-in-east-phoenix/article_2969065c-42dd-11e9-ac68-df3eee4d0930.html</t>
  </si>
  <si>
    <t>Michael Cohen</t>
  </si>
  <si>
    <t>https://www.fatalencounters.org/wp-content/uploads/2019/03/Cohen_Michael.jpg</t>
  </si>
  <si>
    <t>3600 S Las Vegas Blvd</t>
  </si>
  <si>
    <t>Michael Charles Cohen, a twice-convicted bank robber, was shot and killed exchanging gunfire with police while trying to flee a casino robbery.</t>
  </si>
  <si>
    <t>https://www.dothaneagle.com/news/ap/state/the-latest-vegas-man-killed-by-police-in-casino-heist/article_6413b8a0-b766-59cc-acea-7c9e776abd88.html?fbclid=IwAR3VQvycVW0oRZX7cKT5MPZIMfoZJIhqiHiczE8S0YhGZDF66AUbAeS97Bg</t>
  </si>
  <si>
    <t>Joseph David Durman</t>
  </si>
  <si>
    <t>https://www.fatalencounters.org/wp-content/uploads/2019/03/Joseph_D_Durman.jpg</t>
  </si>
  <si>
    <t>Ave A &amp; David Langston Dr</t>
  </si>
  <si>
    <t>Gulf County Sheriff's Office</t>
  </si>
  <si>
    <t>Following a pursuit that began in Bay County, a man was shot and killed by a deputy. Few details were released.</t>
  </si>
  <si>
    <t>https://www.starfl.com/news/20190324/tennessee-man-dead-after-officer-involved-shooting</t>
  </si>
  <si>
    <t>Stephen Marshall</t>
  </si>
  <si>
    <t>https://www.fatalencounters.org/wp-content/uploads/2019/04/stephenmarshall.jpg</t>
  </si>
  <si>
    <t>55 John E. Devine Drive</t>
  </si>
  <si>
    <t>U.S. Drug Enforcement Administration, Manchester Police Department</t>
  </si>
  <si>
    <t>A standoff began when police arrived at a Quality Inn around 7:30 p.m. for a wanted check on 51-year-old Stephen Marshall and another man. When officers approached the building, they said Marshall broke the window of a first-floor room from the inside. Marshall allegedly jumped out the window holding a semi-automatic gun and engaged the officers, who shot and killed him. Christian St. Cyr, 26, and Brandie Tarantino, 21, were both found dead in the Quality Inn after the standoff. Police said they did not die from gunshot wounds or internal injuries, and toxicology results were pending.</t>
  </si>
  <si>
    <t>https://boston.cbslocal.com/2019/03/29/st-cyr-tarantino-quality-in-manchester-standoff/</t>
  </si>
  <si>
    <t>Lianna Renee London</t>
  </si>
  <si>
    <t>700 E Prospect St</t>
  </si>
  <si>
    <t>LaFollette Police Department</t>
  </si>
  <si>
    <t>Officers received a report before 7 a.m. that a woman was trying to break into a home. When they got there, police said, they saw the woman, who reportedly had a handgun. They shot and killed her. Details as to what precipitated the killing were withheld by police.</t>
  </si>
  <si>
    <t>https://www.wbir.com/article/news/tbi-woman-dies-after-officer-involved-shooting-in-lafollette/51-c6fbb70a-dccb-41d8-b83f-50096986ac9e</t>
  </si>
  <si>
    <t>Barry Rucker</t>
  </si>
  <si>
    <t>https://www.fatalencounters.org/wp-content/uploads/2019/04/barryrucker.jpg</t>
  </si>
  <si>
    <t>200 W Walnut St</t>
  </si>
  <si>
    <t>Brownstown</t>
  </si>
  <si>
    <t>Brownstown Police Department</t>
  </si>
  <si>
    <t>Barry Rucker and a woman allegedly were involved in a domestic dispute outside of a police station. Two Brownstown police officers intervened and tried to arrest him. Rucker allegedly pulled a handgun, and the Brownstown officers shot and killed Rucker.</t>
  </si>
  <si>
    <t>https://www.wthr.com/article/1-dead-following-police-involved-shooting-brownstown</t>
  </si>
  <si>
    <t>Zachary Alexander Kinard</t>
  </si>
  <si>
    <t>https://www.fatalencounters.org/wp-content/uploads/2019/04/Zachary-Kinard.jpg</t>
  </si>
  <si>
    <t>216 Hilton Younce Rd</t>
  </si>
  <si>
    <t>Pelion</t>
  </si>
  <si>
    <t>Police chased an allegedly stolen car in an incident that began as a burglary report. After passing the chase along to several agencies, Zachary Kinard was shot and killed when the chase ended for some unreported reason.</t>
  </si>
  <si>
    <t>https://www.abccolumbia.com/2019/04/03/1-dead-in-officer-involved-shooting-on-hilton-yonce-road/</t>
  </si>
  <si>
    <t>Michael Wray Hensley</t>
  </si>
  <si>
    <t>https://www.fatalencounters.org/wp-content/uploads/2019/04/Micheal-Hensley.jpg</t>
  </si>
  <si>
    <t>2029 Acero Ave</t>
  </si>
  <si>
    <t>At approximately 11:30 p.m., two officers were on patrol and saw a man with a backpack reportedly acting in a suspicious manner. When the officers tried to stop and question him, he reportedly took off running. The officers chased him, and Michael Hensley then stopped and allegedly opened fire with a pistol. He was shot and killed. Hensley was on parole at the time of the shooting and had an active arrest warrant for absconding from parole.</t>
  </si>
  <si>
    <t>https://www.chieftain.com/news/20190410/pueblo-police-id-man-killed-in-tuesday-night-shootout</t>
  </si>
  <si>
    <t>Michael Gulley</t>
  </si>
  <si>
    <t>https://www.fatalencounters.org/wp-content/uploads/2019/04/MichaelGully.jpg</t>
  </si>
  <si>
    <t>New Lisbon</t>
  </si>
  <si>
    <t>The Henry County Sheriff's Office received a 911 call around 5:15 a.m. regarding a suspicious man wearing all black and walking in the median on I-70. A deputy responded to the area and contacted Michael Gulley, who allegedly pointed a gun at the deputy, who shot and killed him.</t>
  </si>
  <si>
    <t>https://fox59.com/2019/04/09/update-call-for-person-walking-on-wb-i-70-leads-to-officer-involved-shooting-suspect-died-at-hospital/</t>
  </si>
  <si>
    <t>William Crawford</t>
  </si>
  <si>
    <t>7th St and Hope St</t>
  </si>
  <si>
    <t>Two officers saw a "suspicious" man with a shotgun in the 7th Street/Metro Center station and started chasing him on foot, police said. The man did not comply with orders and the short chase ended with an officer shooting and killing the unidentified man.</t>
  </si>
  <si>
    <t>https://ktla.com/2019/04/14/police-responding-to-officer-involved-shooting-in-downtown-l-a/</t>
  </si>
  <si>
    <t>Michael Allen Felch</t>
  </si>
  <si>
    <t>http://www.fatalencounters.org/wp-content/uploads/2019/04/Michael-Allen-Felch.jpg</t>
  </si>
  <si>
    <t>39000 Civic Center Dr</t>
  </si>
  <si>
    <t>Michael Allen Felch allegedly fired at an officer at about 10:50 p.m., as he was driving his patrol vehicle on Civic Center Drive, striking the officer's vehicle at least once. The officer made a U-turn, stopped his car, grabbed his rifle and shot and hit Felch. Two other officers arrived and found the suspect shot but unwilling to surrender. Felch pointed the gun at officers, and both shot and killed him.</t>
  </si>
  <si>
    <t>https://sanfrancisco.cbslocal.com/2019/04/22/officers-suspect-fatal-fremont-police-shooting-identified/</t>
  </si>
  <si>
    <t>Brian Dellaann Butts</t>
  </si>
  <si>
    <t>https://www.fatalencounters.org/wp-content/uploads/2019/04/BrianButts.jpg</t>
  </si>
  <si>
    <t>1298-992 Spencer Creek Rd</t>
  </si>
  <si>
    <t>Kalama</t>
  </si>
  <si>
    <t>Brian Butts was suspected in the killing of Deputy Justin DeRosier, 29. He was shot and killed by police, but details as to what precipitated the killing were withheld.</t>
  </si>
  <si>
    <t>https://www.kptv.com/news/sheriff-ids-suspected-killer-of-cowlitz-co-deputy-suspect-shot/article_ab3e5aa6-5fbb-11e9-a4fe-fb2836932a5a.html</t>
  </si>
  <si>
    <t>David Wittman</t>
  </si>
  <si>
    <t>https://www.fatalencounters.org/wp-content/uploads/2019/04/David-Wittman.jpg</t>
  </si>
  <si>
    <t>7800 66th St N</t>
  </si>
  <si>
    <t>David Wittman allegedly went to his wife's workplace, forced her outside and shot her multiple times in the parking lot. He then drove away from the scene in the family car and went to his home in a nearby neighborhood. After a more than 6-hour standoff with police, two shot and killed Wittman.</t>
  </si>
  <si>
    <t>https://www.wfla.com/news/pinellas-county/pinellas-park-swat-team-responds-to-shooting-on-66th-st-n/1913676057?fbclid=IwAR3W3ph18KUT1PMi23lWgagE4lI3BG1lpmvtSqvEqaZ23uR3pii1KwbKPd8</t>
  </si>
  <si>
    <t>Lawrence Bottoms</t>
  </si>
  <si>
    <t>http://www.fatalencounters.org/wp-content/uploads/2019/04/Lawrence-Bottoms.jpg</t>
  </si>
  <si>
    <t>6022 East Neshoba St</t>
  </si>
  <si>
    <t>Bay St. Louis</t>
  </si>
  <si>
    <t>Hancock County Sheriff's Office</t>
  </si>
  <si>
    <t>Deputies went to serve a warrant on Lawrence Bottoms. Bottoms was wanted in East Baton Rouge Parish, Louisiana, for being a felon in possession of gun. Deputies had been tipped that Bottoms was in a house near Bay St. Louis. Deputies reportedly called out for Bottoms for 15 minutes or more at the door of the house, which like many in the coastal community is elevated on stilts. Deputies then fired three rounds of tear gas. A woman named Allison Rainey came out, and deputies later arrested her. Bottoms reportedly jumped from a window of the house and ran into the woods. Deputies pursued him, Adam said, and when Bottoms emerged, he pulled a handgun and deputies shot and killed him.</t>
  </si>
  <si>
    <t>https://www.clarionledger.com/story/news/2019/04/30/mississippi-coast-deputies-shoot-and-kill-man-they-tried-arrest/3626358002/</t>
  </si>
  <si>
    <t>Timothy Russell Majchrzak</t>
  </si>
  <si>
    <t>https://fatalencounters.org/wp-content/uploads/2019/05/Timothy-Russell-Majchrzak.jpg</t>
  </si>
  <si>
    <t>Stebner Road and Village Drive</t>
  </si>
  <si>
    <t>St. Louis County Sheriff's Office, Hermantown Police Department</t>
  </si>
  <si>
    <t>Two Hermantown police officers and a St. Louis County sheriff's deputy pursued a motorcyclist through Hermantown at speeds in excess of 100 miles per hour. St. Louis County sheriff's deputies spotted the motorcyclist a short time later. The motorcycle became stuck after a short pursuit, and he attempted to flee on foot. At one point during the encounter, shots were fired. At another point, the subject was struck by a squad car.</t>
  </si>
  <si>
    <t>https://www.duluthnewstribune.com/news/crime-and-courts/4608700-authorities-identify-man-fatally-shot-police-hermantown</t>
  </si>
  <si>
    <t>Timothy Manuel</t>
  </si>
  <si>
    <t>https://fatalencounters.org/wp-content/uploads/2019/05/TimothyManuel.jpg</t>
  </si>
  <si>
    <t>Canoe Trail Rd and Roberts Creek Road</t>
  </si>
  <si>
    <t>Hiltons</t>
  </si>
  <si>
    <t>Scott County Sheriff's Office, Washington County Sheriff's Office, Bristol Police Department, Virginia State Police</t>
  </si>
  <si>
    <t>Timothy Manuel allegedly shot at an officer during a traffic stop then fled into nearby woods. He was shot and killed during a multi-agency manhunt.</t>
  </si>
  <si>
    <t>https://www.heraldcourier.com/news/bristol-man-fatally-shot-after-multi-agency-manhunt/article_6990a9ac-acad-5a83-a06b-cd86ca48952f.html</t>
  </si>
  <si>
    <t>Jeremy Potwin</t>
  </si>
  <si>
    <t>https://fatalencounters.org/wp-content/uploads/2019/05/Jeremy-Potwin.jpg</t>
  </si>
  <si>
    <t>896 Gage Road</t>
  </si>
  <si>
    <t>Tunbridge</t>
  </si>
  <si>
    <t>Vermont State Police shot and killed Jeremy Potwin during a standoff after he emerged from a home with a hostage and allegedly pointed a weapon toward police. Potwin had been the subject of a manhunt, police said. The woman he was holding hostage was uninjured.</t>
  </si>
  <si>
    <t>https://vtdigger.org/2019/05/12/police-fatally-shoot-subject-bethel-area-manhunt-hostage-unharmed/</t>
  </si>
  <si>
    <t>Lori Markham</t>
  </si>
  <si>
    <t>https://fatalencounters.org/wp-content/uploads/2019/05/Lori-Markham.jpg</t>
  </si>
  <si>
    <t>300 Peachtree St</t>
  </si>
  <si>
    <t>Police responded to a home for a welfare check. Lori Markham allegedly came out armed with a pistol. Police say Markham did not cooperate with police and was walking in and out of the house with the gun, at times pointing it at her own head. She allegedly pointed the pistol at officers, and they shot and killed her.</t>
  </si>
  <si>
    <t>https://www.krqe.com/news/new-mexico/nmsp-investigates-carlsbad-officer-involved-shooting/2014479462</t>
  </si>
  <si>
    <t>Ryan Brett Thomas</t>
  </si>
  <si>
    <t>https://fatalencounters.org/wp-content/uploads/2019/05/Ryan-Brett-Thomas.jpg</t>
  </si>
  <si>
    <t>I-95 Mile Marker 152</t>
  </si>
  <si>
    <t>Police said Ryan Thomas fired at an unmarked patrol truck when the deputy blocked Thomas' pickup from escaping across the median. Two deputies shot and killed Thomas. Thomas reportedly was wanted in Brevard County for violation of probation on charges of felony drug possession from 2017.</t>
  </si>
  <si>
    <t>https://www.tcpalm.com/story/news/crime/indian-river-county/2019/05/28/ryan-brett-thomas-satellite-beach-killed-95-shootout-indian-river-deputies/1257876001/</t>
  </si>
  <si>
    <t>Joseph M. Tedrick</t>
  </si>
  <si>
    <t>314 Eighth St. W.</t>
  </si>
  <si>
    <t>Joseph M. Tedrick was shot and killed by federal marshals as he reportedly drew a gun after striking and pushing a U.S. Marshal vehicle with his SUV.</t>
  </si>
  <si>
    <t>https://www.apg-wi.com/ashland_daily_press/news/local/p-m-update-police-report-area-secure-allow-residents-to/article_26e9f7a4-7cd2-11e9-8819-ffdcd394e9cd.html</t>
  </si>
  <si>
    <t>Erik Gebauer</t>
  </si>
  <si>
    <t>https://fatalencounters.org/wp-content/uploads/2019/06/Erik-Gebauer.jpg</t>
  </si>
  <si>
    <t>200 Avenida De La Vista</t>
  </si>
  <si>
    <t>Deputy Paul Phillips responded around 8:30 p.m. because Gebauer was arguing with a neighbor about feral cats in the area. Gebauer reportedly became more irate until he armed himself with a rifle and opened fire, wounding Phillips. Gebauer was shot and killed.</t>
  </si>
  <si>
    <t>https://www.clickorlando.com/news/brevard-deputy-shot-3-times-has-long-road-to-recovery-sheriff-says</t>
  </si>
  <si>
    <t>Matthew Freeseha</t>
  </si>
  <si>
    <t>18000 Brennan Rd</t>
  </si>
  <si>
    <t>Escalon</t>
  </si>
  <si>
    <t>Escalon Police Department</t>
  </si>
  <si>
    <t>Officers responded to a call from a woman who said her ex was threatening to kill her and her children. Three officers were at the home only a few minutes when Matthew Freeseha Jr. pulled up, got out of his vehicle and fired at them. They shot and killed him.</t>
  </si>
  <si>
    <t>https://www.modbee.com/news/local/crime/article231247008.html</t>
  </si>
  <si>
    <t>Stephen D. Sloan</t>
  </si>
  <si>
    <t>Blankenship Rd</t>
  </si>
  <si>
    <t>Hazel Green</t>
  </si>
  <si>
    <t>Wolfe</t>
  </si>
  <si>
    <t>Troopers responded to a home to execute a search warrant. When troopers entered the home, they found Stephen D. Sloan holding a firearm, and they shot and killed him when he failed to drop the weapon.</t>
  </si>
  <si>
    <t>https://www.wbko.com/content/news/Coroner-identifies-man-shot-and-killed-by-state-troopers-in-Wolfe-County-511955322.html</t>
  </si>
  <si>
    <t>Jack Daniel West</t>
  </si>
  <si>
    <t>631 Boswell Crossing</t>
  </si>
  <si>
    <t>Denton County Sheriff's Office</t>
  </si>
  <si>
    <t>A 911 caller said that a man was threatening people inside a home with a shotgun while looking for someone. The sheriff's office said two deputies shot and killed the man when he allegedly raised and pointed his shotgun.</t>
  </si>
  <si>
    <t>https://dfw.cbslocal.com/2019/06/29/texas-rangers-called-after-armed-man-was-killed-by-police-in-denton-county/</t>
  </si>
  <si>
    <t>Jason Wayne Nash</t>
  </si>
  <si>
    <t>42 Crown Cir</t>
  </si>
  <si>
    <t>Officers arrived at a home shortly before 9:30 a.m. to serve a civil court order on Jason Wayne Nash. When the officers entered the home with Nash's wife, the owner, they were reportedly confronted by Nash who allegedly reached for a gun, and police shot and killed him.</t>
  </si>
  <si>
    <t>https://www.heraldcourier.com/news/he-reached-for-a-gun-officer-fatally-shoots-bristol-man/article_9fa7ad5b-944a-5d2d-b409-8dde921c9646.html</t>
  </si>
  <si>
    <t>William James Beck</t>
  </si>
  <si>
    <t>205 Hazel Ave</t>
  </si>
  <si>
    <t>Deputies responded to a house for a reported disturbance around 10:40 p.m. William James Beck allegedly began shooting at deputies. Deputies inside and outside of the residence shot and killed Beck.</t>
  </si>
  <si>
    <t>https://www.arkansasonline.com/news/2019/jun/10/arkansas-man-41-killed-shootout-deputies-officials/</t>
  </si>
  <si>
    <t>Terry Allen "Bubba" Payne</t>
  </si>
  <si>
    <t>https://fatalencounters.org/wp-content/uploads/2019/07/Terry-Allen-Bubba-Payne.jpg</t>
  </si>
  <si>
    <t>MS-9 and Deerfield Lane</t>
  </si>
  <si>
    <t>Mississippi Highway Patrol, Union County Sheriff's Office, Pontotoc Police Department, Pontotoc County Sheriff's Office</t>
  </si>
  <si>
    <t>Following an attempted traffic stop and a chase with shots exchanged between the police and the person being pursued, Terry Payne allegedly got out of the car, fired at police and was shot and killed.</t>
  </si>
  <si>
    <t>https://www.wcbi.com/officer-involved-shooting-under-investigation-in-pontotoc-county/</t>
  </si>
  <si>
    <t>Ryan Moody</t>
  </si>
  <si>
    <t>3127 Greenfield Rd</t>
  </si>
  <si>
    <t>Pearl</t>
  </si>
  <si>
    <t>Police were called to a trailer park around 6 p.m. for a domestic dispute between a man and a woman. When the officers arrived, they saw a man bleeding. Ryan Moody allegedly pointed a gun at an officer and fired. The officer shot and killed Moody.</t>
  </si>
  <si>
    <t>https://www.wapt.com/article/officer-involved-shooting-at-pearl-mobile-home-park/28226810</t>
  </si>
  <si>
    <t>James "Jim" Christopher Pinkston</t>
  </si>
  <si>
    <t>https://fatalencounters.org/wp-content/uploads/2019/07/Jim-Pinkston.jpg</t>
  </si>
  <si>
    <t>7596 State Hwy ZZ</t>
  </si>
  <si>
    <t>Mountain Grove</t>
  </si>
  <si>
    <t>Wright</t>
  </si>
  <si>
    <t>Wright County Sheriff's Office, Missouri State Highway Patrol, Mountain Grove Police Department</t>
  </si>
  <si>
    <t>James Pinkston allegedly shot at a deputy while his home was being searched. The deputy shot and killed him. The deputy suffered a gunshot wound to the leg.</t>
  </si>
  <si>
    <t>https://www.ky3.com/content/news/Officer-involved-shooting-kills-one-injures-deputy-in-Wright-County-Mo-512268601.html</t>
  </si>
  <si>
    <t>Grayson Schuessler</t>
  </si>
  <si>
    <t>https://fatalencounters.org/wp-content/uploads/2019/07/grayson-schuessler.jpg</t>
  </si>
  <si>
    <t>6000 Sunrise Blvd</t>
  </si>
  <si>
    <t>Grayson Schuessler allegedly shot at officers who were responding to reports of shots fired near a mall. During the gunfight, one bullet traveled through the windshield of a bystander's vehicle, and another pierced through the window of occupied Macy's.</t>
  </si>
  <si>
    <t>https://www.sacbee.com/news/local/crime/article232536522.html</t>
  </si>
  <si>
    <t>Willem Van Spronsen</t>
  </si>
  <si>
    <t>https://fatalencounters.org/wp-content/uploads/2019/07/Willem-Van-Spronsen.jpg</t>
  </si>
  <si>
    <t>1600 East J St</t>
  </si>
  <si>
    <t>Willem Van Spronsen was shot and killed when he was allegedly attacking an ICE concentration camp, Northwest Detention Center, carrying a long gun and attempting to light a propane tank.</t>
  </si>
  <si>
    <t>https://q13fox.com/2019/07/13/man-shot-and-killed-by-police-outside-tacoma-ice-detention-facility/</t>
  </si>
  <si>
    <t>Mark Anson Schoggins</t>
  </si>
  <si>
    <t>https://fatalencounters.org/wp-content/uploads/2019/07/mark-anson-schoggins.jpg</t>
  </si>
  <si>
    <t>301 E South Ave</t>
  </si>
  <si>
    <t>McAlester</t>
  </si>
  <si>
    <t>A high-speed pursuit began after officers responded to a local liquor store for an alleged shoplifting incident. The officers pursued down U.S. Highway 69 to the Indian Nation Turnpike before turning back toward McAlester, police said. Troopers took lead in the pursuit before it ended at an intersection where the vehicle crashed, and Mark Anson Schoggins was shot and killed.</t>
  </si>
  <si>
    <t>https://www.mcalesternews.com/news/officer-involved-shooting-being-investigated/article_f5723bca-a8f8-11e9-9060-935cfce25027.html</t>
  </si>
  <si>
    <t>Brian H. Benfield</t>
  </si>
  <si>
    <t>https://fatalencounters.org/wp-content/uploads/2019/07/BrianBenfield.png</t>
  </si>
  <si>
    <t>9301 E Warm Springs Ave</t>
  </si>
  <si>
    <t>Deputies responded to a home around 10:53 p.m. after a report of a physical disturbance. When deputies arrived, they reportedly found Brian Benfield armed with a shotgun. Benfield had allegedly attacked two family members with a knife. As deputies walked toward the house, Benfield reportedly showed a shotgun. Benfield failed to drop the shotgun and allegedly it toward one of the deputies. Two deputies shot and killed him.</t>
  </si>
  <si>
    <t>https://www.clickorlando.com/news/1-dead-after-deputy-involved-shooting-in-sumter-county</t>
  </si>
  <si>
    <t>Todd Messner</t>
  </si>
  <si>
    <t>https://fatalencounters.org/wp-content/uploads/2019/08/todd-messnerp.png</t>
  </si>
  <si>
    <t>7500 Woodbury Pike</t>
  </si>
  <si>
    <t>Roaring Spring</t>
  </si>
  <si>
    <t>Blair</t>
  </si>
  <si>
    <t>Roaring Spring Police Department</t>
  </si>
  <si>
    <t>Todd Messner reportedly pulled a gun on a Roaring Spring police officer who responded to the parking lot of True Value Hard­ware after multiple calls about a man acting strangely and causing a disturbance. The officer shot and killed him.</t>
  </si>
  <si>
    <t>http://www.altoonamirror.com/news/local-news/2019/07/family-reeling-from-shooting/</t>
  </si>
  <si>
    <t>Cortney Ronald Staley</t>
  </si>
  <si>
    <t>https://fatalencounters.org/wp-content/uploads/2019/08/CortneyRonaldStaley.jpg</t>
  </si>
  <si>
    <t>1500 Edmonds Drive</t>
  </si>
  <si>
    <t>At 4:17 p.m. deputies responded to a domestic dispute call. Upon arrival deputies found a woman and two children had evacuated the home, where an infant, and Cortney Ronald Staley remained. After five hours of discussion, police entered the home and exchanged gunfire with Staley, killing him.</t>
  </si>
  <si>
    <t>https://www.nevadaappeal.com/news/man-dead-after-hostage-situation-involving-an-infant-in-carson-city/</t>
  </si>
  <si>
    <t>Eric Allen Toon</t>
  </si>
  <si>
    <t>https://fatalencounters.org/wp-content/uploads/2019/08/Eric-Allen-Toon.jpg</t>
  </si>
  <si>
    <t>Lotus Dr and Falcon Dr</t>
  </si>
  <si>
    <t>Police had been searching for two people who'd fled police on a motorcycle. When police caught up with them, Eric Toon allegedly had a gun and was shot and killed.</t>
  </si>
  <si>
    <t>https://wchstv.com/news/local/search-underway-for-suspects-after-motorcycle-pursuit-in-kanawha</t>
  </si>
  <si>
    <t>Donald Babbit</t>
  </si>
  <si>
    <t>https://fatalencounters.org/wp-content/uploads/2019/08/Don-Babbit.png</t>
  </si>
  <si>
    <t>827 Spencer Grove Ln</t>
  </si>
  <si>
    <t>Glenshaw</t>
  </si>
  <si>
    <t>Allegheny County Police Department</t>
  </si>
  <si>
    <t>Police responding to a 911 call were told by Donald Babbit's wife that he was "behaving erratically" and had access to weapons. Police formed a perimeter around Babbit's home and used a public address system to talk to him. When Babbit came outside, he was armed with a handgun, and walked toward the officers waving the gun and pointing the weapon at one officer. Officers reportedly ordered Babbit to drop his weapon. Three officers–two from Shaler Township and one from Hampton Township–shot and killed him.</t>
  </si>
  <si>
    <t>https://abcnews.go.com/US/high-school-math-teacher-pennsylvania-shot-killed-confrontation/story?id=64828155&amp;fbclid=IwAR1hCaUYUik4MHNdRfUUdCqmVER2v3ZGWrUaKxgEjMuZip0FMYnXGmYw_6Y</t>
  </si>
  <si>
    <t>Freddrick Andrews Hadden</t>
  </si>
  <si>
    <t>https://fatalencounters.org/wp-content/uploads/2019/08/Freddrick-Andrews-Hadden.jpg</t>
  </si>
  <si>
    <t>Farmers Bridge Rd and Springhill Church Rd</t>
  </si>
  <si>
    <t>Hephzibah</t>
  </si>
  <si>
    <t>Freddrick Andrews Hadden Jr. was accused of kidnapping a woman at gunpoint in Richmond County and driving her into Burke County. Deputies were searching for a burgundy Toyota Camry, which Deputy Eric Madison spotted just after 4:30 p.m. The deputy followed the vehicle to a driveway. When the car parked, the woman tried to run away and hide behind the deputy's patrol car, but Hadden shot her twice. The patrol car was also hit by gunfire, but the deputy was not struck. Madison shot and killed Hadden.</t>
  </si>
  <si>
    <t>https://www.ajc.com/news/crime--law/cops-kidnapper-shot-woman-twice-before-was-killed-east-georgia-deputy/MXkTHAfLKQZ7KN61zv3xhP/</t>
  </si>
  <si>
    <t>Anthony Wayne French</t>
  </si>
  <si>
    <t>https://fatalencounters.org/wp-content/uploads/2019/08/Antony-French.jpg</t>
  </si>
  <si>
    <t>2600 Greenwood Ave</t>
  </si>
  <si>
    <t>Officers Carlyn Alexander and Lenert Elzy shot and killed Anthony Wayne French Sr. when he refused to put down a gun he was pointing at them when they responded to a report of an active domestic assault around 9:30 p.m. at a home</t>
  </si>
  <si>
    <t>https://www.wdrb.com/news/video-lmpd-releases-body-camera-footage-of-man-fatally-shot/article_47a4c63e-bec9-11e9-a4b5-3fcab79ec8af.html</t>
  </si>
  <si>
    <t>Aaron Luther</t>
  </si>
  <si>
    <t>https://fatalencounters.org/wp-content/uploads/2019/08/Aaron-Luther.jpg</t>
  </si>
  <si>
    <t>I-215 and Eastridge Ave</t>
  </si>
  <si>
    <t>Aaron Luther engaged officers in a gun battle during a traffic stop in Riverside, killing one California Highway Patrol officer and wounding two others, before being shot and killed.</t>
  </si>
  <si>
    <t>https://www.latimes.com/california/story/2019-08-13/deadly-shootout-near-215-freeway-in-riverside-motive-unknown</t>
  </si>
  <si>
    <t>Troy Petersen</t>
  </si>
  <si>
    <t>https://fatalencounters.org/wp-content/uploads/2019/08/Troy-Petersen1.jpg</t>
  </si>
  <si>
    <t>1400 Indian Hills Road</t>
  </si>
  <si>
    <t>Council Bluffs</t>
  </si>
  <si>
    <t>Pottawattamie</t>
  </si>
  <si>
    <t>Council Bluffs Police Department</t>
  </si>
  <si>
    <t>Troy Petersen was wanted for questioning regarding a murder. When police caught up with him, he took April Montello-Roberts hostage. During a standoff, Petersen was shot and killed. Montello-Roberts became a suspect in the first murder, and one that was subsequently discovered after the standoff.</t>
  </si>
  <si>
    <t>https://whotv.com/2019/08/08/police-deceased-gunman-and-hostage-in-wednesday-shootout-in-council-bluffs-accused-of-two-murders/</t>
  </si>
  <si>
    <t>William Biggs</t>
  </si>
  <si>
    <t>Edray</t>
  </si>
  <si>
    <t>At approximately 6 p.m., Pocahontas County Sheriff J.P. Barlow was investigating a single-vehicle crash when he was fired upon by William Biggs with a rifle. Numerous police from other counties responded and began searching a wooded area for him. Trooper J.M. Tallman encountered Biggs in the wooded area, at which time Biggs shot and wounded Tallman in his abdomen. Tallman shot and killed Biggs.</t>
  </si>
  <si>
    <t>https://www.wboy.com/news/crime/suspect-dead-after-officer-involved-shooting-in-pocahontas-county-trooper-flown-to-hospital/</t>
  </si>
  <si>
    <t>Mike Parsley</t>
  </si>
  <si>
    <t>https://fatalencounters.org/wp-content/uploads/2019/08/mike-parsley-2.jpg</t>
  </si>
  <si>
    <t>271 Greer Lane</t>
  </si>
  <si>
    <t>Springville</t>
  </si>
  <si>
    <t>Police received a 911 call around 8:30 p.m. that a man named Mike Parsley was screaming profanities and threatening the caller. The caller said Parsley was in the road, armed and had fired shots. Two Lawrence County deputies and a Mitchell police officer responded to the call. They found Parsley near a camper where he was apparently living. He reportedly threatened police with a gun, ignored multiple orders to disarm and walked in the direction of the officers who shot and killed him.</t>
  </si>
  <si>
    <t>https://fox59.com/2019/08/19/police-deputy-shoots-kills-armed-man-in-lawrence-county/</t>
  </si>
  <si>
    <t>Sidney Holst</t>
  </si>
  <si>
    <t>15000 Yoder Ave</t>
  </si>
  <si>
    <t>Canyon County Sheriff's Office</t>
  </si>
  <si>
    <t>Canyon County Sheriff's deputies responded about 8:22 a.m. on a report of a domestic disturbance. During the course of the call, Sidney Holst barricaded himself in the residence. About 1:30 p.m., the man left the back of the home with a handgun. Holst reportedly failed to obey commands and a police dog was sicced on him. He allegedly pointed the gun at officers, and two deputies shot and killed him.</t>
  </si>
  <si>
    <t>https://www.idahopress.com/news/local/one-man-dead-after-caldwell-officer-involved-shooting/article_33833f8c-a5f2-5fcf-b1b7-e87e372327b7.html</t>
  </si>
  <si>
    <t>Attilio "Tony" A. Gilmartin</t>
  </si>
  <si>
    <t>https://fatalencounters.org/wp-content/uploads/2019/09/Attilio.jpg</t>
  </si>
  <si>
    <t>900 Silver Grove Rd</t>
  </si>
  <si>
    <t>Sullivan County Sheriff's Office, Bluff City Police Department</t>
  </si>
  <si>
    <t>At about 1 p.m., deputies initiated a traffic stop of Attilio A. Gilmartin on unidentified outstanding warrants. He fled, and after a chase and reported gunfight, Gilmartin was shot and killed.</t>
  </si>
  <si>
    <t>https://www.timesnews.net/Law-Enforcement/2019/09/03/TBI-investigating-officer-involved-shooting-in-Bluff-City.html</t>
  </si>
  <si>
    <t>Caleb Daniel Peterson</t>
  </si>
  <si>
    <t>https://fatalencounters.org/wp-content/uploads/2019/09/Caleb-Daniel-Peterson.png</t>
  </si>
  <si>
    <t>900 Summer St</t>
  </si>
  <si>
    <t>Following a response to shots fired, a vehicle chase, and a foot chase, Burlington Officers Tyler Henning and Nathan Crooks and Des Moines County Deputy Kevin Glendening shot and killed Caleb Peterson.</t>
  </si>
  <si>
    <t>https://www.kwqc.com/content/news/Burlington-Police-investigating-active-crime-scene-witnesses-report-hearing-several-gunshots--560010421.html</t>
  </si>
  <si>
    <t>Kristopher "Kris" Fitzpatrick</t>
  </si>
  <si>
    <t>https://fatalencounters.org/wp-content/uploads/2019/09/Kristopher-Fitzpatrick.jpg</t>
  </si>
  <si>
    <t>S Broadway St and W Heron St</t>
  </si>
  <si>
    <t>Aberdeen Police Department</t>
  </si>
  <si>
    <t>Police spotted Kristopher Fitzpatrick who had multiple warrants out for his arrest. Police said Fitzpatrick told them he wasn't going back to prison, ran, and then pulled out a gun, and he was shot and killed.</t>
  </si>
  <si>
    <t>https://www.kiro7.com/news/south-sound-news/officer-involved-shooting-monday-in-aberdeen/984539556</t>
  </si>
  <si>
    <t>Robert E. Domine</t>
  </si>
  <si>
    <t>https://fatalencounters.org/wp-content/uploads/2019/09/Robert-Domine.png</t>
  </si>
  <si>
    <t>107 East Mill Street</t>
  </si>
  <si>
    <t>Loyal</t>
  </si>
  <si>
    <t>Police learned that Robert Domine was holed up in a house. When police approached his home, Domine reportedly fired at officers. When police entered the residence, Domine fired on them, and they shot and killed him.</t>
  </si>
  <si>
    <t>https://www.leadertelegram.com/news/daily-updates/officer-shoots-and-kills-loyal-man-during-standoff-with-police/article_8061ae75-d5c8-5ae8-85b1-ebb9be6a7554.html</t>
  </si>
  <si>
    <t>Jeffrey Michael Gibble</t>
  </si>
  <si>
    <t>https://fatalencounters.org/wp-content/uploads/2019/09/jeffrey-michael-gibble.png</t>
  </si>
  <si>
    <t>200 Academy St</t>
  </si>
  <si>
    <t>An officer on routine patrol saw suspicious activity. Officers tried to talk to Jeffrey Michael Gibble before he ran on foot, police said.Gibble allegedly fired a shot at officers before the officers shot and killed him.</t>
  </si>
  <si>
    <t>https://wcyb.com/news/local/tbi-suspect-dead-fired-at-officers-first-in-elizabethton-shooting</t>
  </si>
  <si>
    <t>Scott Gabriel Spangler</t>
  </si>
  <si>
    <t>https://fatalencounters.org/wp-content/uploads/2019/09/Scott-Gabriel-Spangler.png</t>
  </si>
  <si>
    <t>585 Edgewater St NW</t>
  </si>
  <si>
    <t>Police were supposed to buy drugs from Scott Gabriel Spangler and arrest him. He allegedly fled and may have fired a shot. Police shot and killed him inside a Goodwill store.</t>
  </si>
  <si>
    <t>https://katu.com/news/local/police-identify-man-killed-in-officer-involved-shooting-inside-west-salem-goodwill-store</t>
  </si>
  <si>
    <t>Jeffery Tyler Aycock</t>
  </si>
  <si>
    <t>https://fatalencounters.org/wp-content/uploads/2019/09/Jefferey-Tyler-Aycock.jpg</t>
  </si>
  <si>
    <t>400 Chulio Rd SE</t>
  </si>
  <si>
    <t>Jefferey Tyler Aycock was shot and killed in a shootout with police in an abandoned cabin in a remote part of Floyd County. Police were reportedly trying to serve a warrant at the cabin.Aycock was wanted on charges of probation violation and contempt of court.</t>
  </si>
  <si>
    <t>https://www.wsbtv.com/news/local/breaking-suspect-shot-by-police-in-floyd-county-gbi-investigating/989155901</t>
  </si>
  <si>
    <t>Fred Louis Babcock</t>
  </si>
  <si>
    <t>2100 E Anderson Ln</t>
  </si>
  <si>
    <t>Police responded to a domestic disturbance. A man barricaded himself in a bathroom and reportedly came out and shot at police, who shot and killed him.</t>
  </si>
  <si>
    <t>https://patch.com/texas/downtownaustin/police-swat-team-dispatched-east-austin</t>
  </si>
  <si>
    <t>Daryl Jennings Strickland</t>
  </si>
  <si>
    <t>https://fatalencounters.org/wp-content/uploads/2019/10/Daryl-Jennings-Strickland.jpg</t>
  </si>
  <si>
    <t>Golf Course Rd and New Market Rd</t>
  </si>
  <si>
    <t>Deputies responded on reports of a man walking with a gun about 6:50 p.m. Four deputies approached Daryl Stickland and ordered him to drop his weapon, which he reportedly ignored. He kept walking and then turned toward deputies, reportedly saying something the deputies couldn't hear. He was shot and killed.</t>
  </si>
  <si>
    <t>https://wpde.com/news/local/deputies-on-scene-of-an-officer-involved-shooting-in-darlington-county</t>
  </si>
  <si>
    <t>Chad Willis Huggins</t>
  </si>
  <si>
    <t>https://fatalencounters.org/wp-content/uploads/2019/10/ChadHuggins.jpg</t>
  </si>
  <si>
    <t>2656 Ben Franklin Rd</t>
  </si>
  <si>
    <t>Leesville</t>
  </si>
  <si>
    <t>Chad Willis Huggins allegedly was wanted for domestic violence when he fled police and then shot at them. He was shot and killed.</t>
  </si>
  <si>
    <t>https://www.wistv.com/2019/09/27/man-shot-killed-shootout-with-lexington-co-deputies-identified/</t>
  </si>
  <si>
    <t>Haywood Allan Cannon</t>
  </si>
  <si>
    <t>161 Booth Lane</t>
  </si>
  <si>
    <t>Richlands</t>
  </si>
  <si>
    <t>Onslow</t>
  </si>
  <si>
    <t>Onslow County Sheriff's Office, North Carolina Highway Patrol, Jacksonville Police Department, North Carolina State Bureau of Investigation</t>
  </si>
  <si>
    <t>Haywood Allan Cannon allegedly fired a weapon at police after barricading himself inside his home for more than seven hours. Police shot and killed Cannon.</t>
  </si>
  <si>
    <t>https://www.jdnews.com/news/20190926/sbi-investigating-officer-involved-shooting</t>
  </si>
  <si>
    <t>Roy Tucker</t>
  </si>
  <si>
    <t>https://fatalencounters.org/wp-content/uploads/2019/10/Roy-Tucker.jpg</t>
  </si>
  <si>
    <t>401 E Main St</t>
  </si>
  <si>
    <t>Elkton Police Department</t>
  </si>
  <si>
    <t>Roy Tucker was driving a pickup truck when he was stopped by an Elkton Police officer for an unspecified traffic-related reason. During that traffic stop Tucker is said to have drawn a gun, at which point Elkton Police Chief Robert Toombs and Todd County Deputy Sheriff David Hutcheson exchanged gunfire with Tucker, killing him.</t>
  </si>
  <si>
    <t>https://www.wsmv.com/news/individual-identified-in-fatal-kentucky-officer-involved-shooting/article_21f41248-e6d6-11e9-ae63-7762cabdac6a.html</t>
  </si>
  <si>
    <t>Christopher G. Louras</t>
  </si>
  <si>
    <t>108 Wales St</t>
  </si>
  <si>
    <t>Rutland City Police Department, Rutland Town Police Department</t>
  </si>
  <si>
    <t>Police suspected Christopher Louras had fired two shots at the police station around 5:30 a.m. After the shooting, police used video surveillance to identify the car. He was spotted near the Rutland Shopping Plaza around 7 a.m. Police began a short pursuit with Louras that ended near the Amtrak station. Louras reportedly exchanged gunfire with officers using a rifle. He was shot and killed by Officers Adam Lucia, Kenneth Mosher, and Elias Anderson.</t>
  </si>
  <si>
    <t>https://www.rutlandherald.com/news/police-who-fired-fatal-shots-identified/article_1dee2669-b0a3-5e62-b748-de1aaf56a878.html#tncms-source=article-nav-next</t>
  </si>
  <si>
    <t>Sayven Lane Rowland</t>
  </si>
  <si>
    <t>https://fatalencounters.org/wp-content/uploads/2019/10/Sayven-Lane-Rowland.jpg</t>
  </si>
  <si>
    <t>Staples Rd and E1390 Rd</t>
  </si>
  <si>
    <t>Pittsburg County Sheriff's Office</t>
  </si>
  <si>
    <t>Deputies were patrolling in the Pittsburg area due to complaints of all-terrain vehicles driving erratically and that the ATV's were possibly being used to commit burglaries and theft. After deputies observed Sayven Rowland operating an ATV illegally on a county road, they attempted to stop him, but he reportedly fled. After the man crashed, he brandished a firearm, and a deputy reportedly unsuccessfully used a less lethal pepper gun on the man before another deputy shot and killed him.</t>
  </si>
  <si>
    <t>https://www.mcalesternews.com/news/man-fatally-shot-by-deputy-identified/article_be858e4a-ec9c-11e9-b40c-c312185a0074.html</t>
  </si>
  <si>
    <t>Chase Andrew Austin</t>
  </si>
  <si>
    <t>https://fatalencounters.org/wp-content/uploads/2019/10/Chase-Andrew-Austin.jpg</t>
  </si>
  <si>
    <t>1625 Hershberger Rd NW</t>
  </si>
  <si>
    <t>Police were called by employees at Krispy Kreme, who reported that Austin was trespassing after previously being banned from the restaurant. Chase Andrew Austin reportedly became confrontational with the officer and produced a black semi-automatic pistol and pointed it at the officer, who shot and killed him.</t>
  </si>
  <si>
    <t>https://www.wfxrtv.com/news/person-shot-and-killed-by-roanoke-police-identified/</t>
  </si>
  <si>
    <t>David James Bamber</t>
  </si>
  <si>
    <t>https://fatalencounters.org/wp-content/uploads/2019/10/David-James-Bamber.jpg</t>
  </si>
  <si>
    <t>Wendell</t>
  </si>
  <si>
    <t>Elmore County Sheriff's Office, Idaho State Police, Gooding County Sheriff's Office</t>
  </si>
  <si>
    <t>David Bamber had multiple felony warrants out for his arrest in California and was the suspect in kidnappings in Pleasanton and Nevada. He was shot and killed during a high-speed police chase.</t>
  </si>
  <si>
    <t>https://pleasantonweekly.com/news/2019/10/18/pleasanton-man-killed-in-officer-involved-shooting-in-idaho</t>
  </si>
  <si>
    <t>Joseph Bernhard-William Kiser</t>
  </si>
  <si>
    <t>https://fatalencounters.org/wp-content/uploads/2019/10/JosephKiser.jpg</t>
  </si>
  <si>
    <t>OH 49 and Salem Ave</t>
  </si>
  <si>
    <t>Around 1:15 a.m., a trooper was on patrol when a red 2014 Hyundai Veloster sped past the trooper. The trooper tried to pull the Hyundai over, but the driver did not stop. The trooper pursued for about nine minutes. The driver of the vehicle, Joseph Bernhard-William Kiser, got out of the vehicle with a .357 revolver and began walking toward the trooper. The trooper took cover behind the patrol vehicle and reportedly ordered Kiser to drop the weapon. Kiser did not follow the trooper's instructions, and the trooper then shot three times, killing Kiser.</t>
  </si>
  <si>
    <t>https://www.10tv.com/article/trooper-shoots-kills-21-year-old-granville-man-after-high-speed-chase-near-dayton-2019-oct</t>
  </si>
  <si>
    <t>Michael Allen Babcock</t>
  </si>
  <si>
    <t>https://fatalencounters.org/wp-content/uploads/2019/10/Michael-Allen-Babcock.jpg</t>
  </si>
  <si>
    <t>4515 E. 10th St</t>
  </si>
  <si>
    <t>Michael Babcock was reportedly harassing customers at the Aldi Grocery Store about 3 p.m. Officer Brian Neague found Babcock with a gun. Neague shot and killed Babcock. A bystander, Walter Murphy, 79, was also hit by the gunfire.</t>
  </si>
  <si>
    <t>https://www.witn.com/content/news/Two-shot-outside-Greenville-Aldi-Grocery-Store-563797091.html</t>
  </si>
  <si>
    <t>Jason Alan Livengood</t>
  </si>
  <si>
    <t>https://fatalencounters.org/wp-content/uploads/2019/11/Jason-Alan-Livengood.jpg</t>
  </si>
  <si>
    <t>250 SE 10th Ave</t>
  </si>
  <si>
    <t>Officers were in the parking lot investigating suspicious behavior between two men who were standing outside their cars in the police station parking lot about 6 p.m. One of the drivers was armed with a handgun and refused to drop it during the encounter, and Officer Bobby Voth shot and killed Jason Livengood.</t>
  </si>
  <si>
    <t>https://www.kezi.com/content/news/Man-shot-killed-by-Hillsboro-police-in-parking-lot-IDd-563831361.html</t>
  </si>
  <si>
    <t>Dean Thomas</t>
  </si>
  <si>
    <t>6500 Raymond Rd</t>
  </si>
  <si>
    <t>Officers responded to reports of a man shooting a gun in a front yard around 9:15 p.m. He allegedly shot at officers who shot and killed him.</t>
  </si>
  <si>
    <t>https://www.nbc15.com/content/news/Man-dead-after-officer-involved-shooting-in-Madison-563963901.html</t>
  </si>
  <si>
    <t>Clayton Floyd Andrews</t>
  </si>
  <si>
    <t>57000 S 603 Rd</t>
  </si>
  <si>
    <t>Grove</t>
  </si>
  <si>
    <t>Delaware County Sheriff's Office, Kansas Police Department, West Siloam Springs Police Department, Cherokee Nation Marshals Service</t>
  </si>
  <si>
    <t>Around 11 p.m., police said they responded to a call of a disturbance, and while they were there, they shot and killed Clayton Andrews. Details as to what precipitated the killing were withheld by police.</t>
  </si>
  <si>
    <t>https://www.joplinglobe.com/news/crime_and_courts/agencies-investigating-officer-involved-shooting-in-delaware-county/article_d445c4ac-8cc1-5776-a1ac-0aa94232fa4e.html</t>
  </si>
  <si>
    <t>Michael Pinkerman</t>
  </si>
  <si>
    <t>4036 Blue Sulphur Rd</t>
  </si>
  <si>
    <t>Ona</t>
  </si>
  <si>
    <t>Cabell County Sheriff's Office</t>
  </si>
  <si>
    <t>Police attempted to serve a search warrant and shot and killed Michael Pinkerman when he reportedly shot at them.</t>
  </si>
  <si>
    <t>http://wvmetronews.com/2019/10/31/sheriff-man-shot-and-killed-by-deputies-was-under-investigation-for-ona-vfd-shooting/</t>
  </si>
  <si>
    <t>Danny James Hall</t>
  </si>
  <si>
    <t>https://fatalencounters.org/wp-content/uploads/2019/11/Danny-James-Hall.jpg</t>
  </si>
  <si>
    <t>Hummingbird Rd and Basswood Rd</t>
  </si>
  <si>
    <t>Bascom</t>
  </si>
  <si>
    <t>Deputies attempted to pull over Danny Hall in Marianna after Hall allegedly didn't stop at a stop sign. Hall reportedly then refused to pull over and fled. Deputies forced Hall's vehicle off the road. Hall reportedly pointed a firearm toward the deputies, who shot and killed him.</t>
  </si>
  <si>
    <t>https://www.mypanhandle.com/news/man-identified-in-jackson-county-officer-involved-shooting/</t>
  </si>
  <si>
    <t>Nash Fiske</t>
  </si>
  <si>
    <t>https://fatalencounters.org/wp-content/uploads/2019/11/NashFiske.jpg</t>
  </si>
  <si>
    <t>1421 Washington St</t>
  </si>
  <si>
    <t>Two Rivers</t>
  </si>
  <si>
    <t>Two Rivers Police Department</t>
  </si>
  <si>
    <t>Officer Dakota Gamez fatally shot Nash W. Fiske. Fiske was in a vehicle that officers stopped on Washington Street. Details as to what precipitated the killing were withheld b police.</t>
  </si>
  <si>
    <t>https://fox11online.com/news/local/doj-identifies-two-rivers-officer-in-fatal-shooting</t>
  </si>
  <si>
    <t>Christopher Mills</t>
  </si>
  <si>
    <t>https://fatalencounters.org/wp-content/uploads/2019/11/Christopher-Mills.jpg</t>
  </si>
  <si>
    <t>1900 E 39th St</t>
  </si>
  <si>
    <t>Christopher Mills allegedly shot his way into a home of an ex-girlfriend. He wearing a bullet-proof vest, and had a shotgun, a handgun and a knife, and he allegedly failed to comply with officers' orders to disarm when he was shot and killed.</t>
  </si>
  <si>
    <t>https://www.starbeacon.com/news/local_news/man-dead-in-ashtabula-township-deputy-involved-shooting/article_3c9975bf-aafa-52d0-bcdb-3a731e70d3c5.html</t>
  </si>
  <si>
    <t>Garrett Ryberg</t>
  </si>
  <si>
    <t>https://fatalencounters.org/wp-content/uploads/2019/11/Garrett-Ryberg.jpg</t>
  </si>
  <si>
    <t>1564 Alma School Rd</t>
  </si>
  <si>
    <t>Officers received a call at 8:10 a.m. from employees at Johnson-Stewart Materials, a commercial truck repair shop. The employees told police a person they did not recognize was walking around the work site peeking into vehicles. When officers arrived at the recycling plant at 8:14 a.m., they saw the suspect looking into vehicles. Officers approached the person and gave orders, but Mesa police say the man did not comply officer's commands and allegedly pointed his weapon at Mesa officers, and officers shot and killed him.</t>
  </si>
  <si>
    <t>https://www.abc15.com/news/region-southeast-valley/mesa/mesa-pd-investigating-officer-involved-shooting-near-l-202-alma-school-road</t>
  </si>
  <si>
    <t>Joel Avery</t>
  </si>
  <si>
    <t>5600 Winterwood Dr</t>
  </si>
  <si>
    <t>Horn Lake Police responded to a shooting after a child called 911, saying "daddy shot mom." Joel Avery refused orders from two officers to drop his gun. He was shot and killed. The wounded woman was taken to a hospital.</t>
  </si>
  <si>
    <t>https://www.gwcommonwealth.com/state_news/article_c6d1887f-a753-5bf3-b28c-184c32dbd927.html</t>
  </si>
  <si>
    <t>Cody McClintick</t>
  </si>
  <si>
    <t>https://fatalencounters.org/wp-content/uploads/2019/11/Cody-R.-McClintick.jpg</t>
  </si>
  <si>
    <t>3636 N Randolph Rd</t>
  </si>
  <si>
    <t>A Clay County deputy shot and killed a man during an altercation in a Northland motel parking lot. The deputy was reportedly conducting a car check at a Motel 6 parking lot about 4:15 p.m. Details as to what precipitated the killing were withheld by police.</t>
  </si>
  <si>
    <t>https://www.kctv5.com/news/local_news/police-dead-after-a-clay-county-sheriff-s-deputy-involved/article_9f6ef0b2-0a62-11ea-aa20-cbfeedf6d4a1.html</t>
  </si>
  <si>
    <t>Jacob Cato</t>
  </si>
  <si>
    <t>53500 Cactus Flower Rd</t>
  </si>
  <si>
    <t>Morongo Valley</t>
  </si>
  <si>
    <t>Following a standoff with police, Jacob Cato allegedly came out of the home and pointed a gun at deputies who shot and killed him.</t>
  </si>
  <si>
    <t>https://kesq.com/news/2019/11/20/barricaded-suspect-situation-turns-into-deputy-involved-shooting-in-morongo-valley-2/</t>
  </si>
  <si>
    <t>Steven Forrest Saucier</t>
  </si>
  <si>
    <t>4600 100th St</t>
  </si>
  <si>
    <t>Caledonia</t>
  </si>
  <si>
    <t>Deputies responded to a home around 4 a.m. for a domestic disturbance. Steven Saucier met police at the door with a gun. The sheriff's office said he pointed the weapon at deputies, and one deputy shot and killed him.</t>
  </si>
  <si>
    <t>https://www.wzzm13.com/article/news/officer-involved-shooting-gaines-township/69-bcfd644d-d01d-44c5-a1bb-518d01f4feca</t>
  </si>
  <si>
    <t>Jeremy Pelican</t>
  </si>
  <si>
    <t>https://fatalencounters.org/wp-content/uploads/2019/12/Jeremy-Pelican.jpg</t>
  </si>
  <si>
    <t>State Line Ln and SW 80th Rd</t>
  </si>
  <si>
    <t>South West Township</t>
  </si>
  <si>
    <t>Jeremy Pelican fled from police during a two-state pursuit on Thanksgiving night and was fatally shot by a Pittsburg police officer after he allegedly exited the vehicle with a gun and ran across a street into Missouri.</t>
  </si>
  <si>
    <t>https://www.joplinglobe.com/news/pittsburg-man-killed-in-officer-involved-shooting/article_486a6a56-12e3-11ea-befd-7b8774f8a4b5.html</t>
  </si>
  <si>
    <t>Keith Alan Bruce</t>
  </si>
  <si>
    <t>E Colfax Ave and Peterson Rd</t>
  </si>
  <si>
    <t>Around 7:10 a.m., deputies were trying to stop a stolen vehicle near a Shell truck stop. Deputies began pursuing a man, when he started firing at deputies. Deputies shot and killed the man.</t>
  </si>
  <si>
    <t>https://kdvr.com/2019/11/29/officer-involved-shooting-near-watkins-sheriffs-office-says/</t>
  </si>
  <si>
    <t>Jason Quincey Niccum</t>
  </si>
  <si>
    <t>https://fatalencounters.org/wp-content/uploads/2019/12/Jason-Quincey-Niccum.jpg</t>
  </si>
  <si>
    <t>13th St NW and 3rd Ave NW</t>
  </si>
  <si>
    <t>A no-bond warrant had been issued for the arrest of Jason Niccum for violating conditions of parole. At approximately 3:45 p.m., Niccum allegedly pointed a gun at police who found him in a vehicle, and a deputy marshal shot and killed him.</t>
  </si>
  <si>
    <t>https://www.abcfoxmontana.com/great-falls/officer-involved-shooting-on-west-end-of-town/article_6199b0ac-0fd9-11ea-8aa9-d36e486ba5f5.html</t>
  </si>
  <si>
    <t>Hollis Lewis</t>
  </si>
  <si>
    <t>https://fatalencounters.org/wp-content/uploads/2019/12/Hollis-Lewis.jpg</t>
  </si>
  <si>
    <t>1600 TN-70 Bypass</t>
  </si>
  <si>
    <t>Hollis Lewis was shot by Greeneville Police responded to a reported disturbance at 7 p.m. Officers made contact with Hollis Lewis, who reportedly was trying to gain entry into the apartment of his former girlfriend by firing shots at the door. Officers reportedly ordered the man to drop the weapon, but he failed to comply, and he was shot and killed.</t>
  </si>
  <si>
    <t>https://www.wate.com/news/tbi-confirms-man-suspect-in-greeneville-pd-officer-involved-shooting-has-died/</t>
  </si>
  <si>
    <t>Thomas Cole Thompson</t>
  </si>
  <si>
    <t>https://fatalencounters.org/wp-content/uploads/2019/12/thomasThompson.jpg</t>
  </si>
  <si>
    <t>815 W 12th St</t>
  </si>
  <si>
    <t>Ada Police Department</t>
  </si>
  <si>
    <t>About 10 a.m., Ada police officers tried to serve felony warrants at a residence. When officers arrived, a man was outside and reportedly opened fire on the officers. One Ada police officer was hit and officers shot and killed Thomas Cole Thompson.</t>
  </si>
  <si>
    <t>https://www.news9.com/story/41400865/officerinvolved-shooting-reported-in-ada</t>
  </si>
  <si>
    <t>Hunter Steven James Lowry</t>
  </si>
  <si>
    <t>W 92nd Ave and N Federal Blvd</t>
  </si>
  <si>
    <t>Westminster Police Department, Thornton Police Department, Federal Heights Police Department</t>
  </si>
  <si>
    <t>According to police, a man was suspected of having committed multiple armed robberies with a knife throughout the north metro area. He was targeting auto part stores. He fled when he spotted an officer and crashed. As he tried to run away on foot, police sicced a dog on him, and he may have shot at it—police reportedly heard shots—although no injury was reported. Police shot and killed him as he climbed a fence.</t>
  </si>
  <si>
    <t>https://kdvr.com/2019/12/06/at-least-one-officer-involved-in-shooting-near-92nd-and-federal/</t>
  </si>
  <si>
    <t>London T. Phillips</t>
  </si>
  <si>
    <t>https://fatalencounters.org/wp-content/uploads/2019/12/london-phillips.jpg</t>
  </si>
  <si>
    <t>100 W Rock St</t>
  </si>
  <si>
    <t>Shots were fired in the back parking lot of the Fayetteville Police station. Several officers were inside the department at the time and came out to find Officer Stephen Carr down next to a police cruiser in an alley behind the station. Officers engaged with London Phillips in the alley, and Phillips was shot and killed.</t>
  </si>
  <si>
    <t>https://5newsonline.com/2019/12/07/heavy-police-presence-in-downtown-fayetteville-reports-of-shots-fired/</t>
  </si>
  <si>
    <t>Robert Allen Elfgen</t>
  </si>
  <si>
    <t>https://fatalencounters.org/wp-content/uploads/2019/12/Robert-Allen-Elfgen1.jpg</t>
  </si>
  <si>
    <t>1910 48th St</t>
  </si>
  <si>
    <t>Police responded to a report of him being armed with a gun at a local manufacturing warehouse about 11 p.m. Once officers arrived police encountered Robert Allen Elfgen who was shot and killed by a Fort Madison police officer. Police said Elfgen was wanted for a shooting that happened 45 minutes earlier.</t>
  </si>
  <si>
    <t>https://www.kwqc.com/content/news/Man-fatally-shot-by-officer-after-report-of-man-armed-with-gun-in-Fort-Madison-566085361.html</t>
  </si>
  <si>
    <t>Kean Walker</t>
  </si>
  <si>
    <t>https://fatalencounters.org/wp-content/uploads/2019/12/Kean-Walker.jpg</t>
  </si>
  <si>
    <t>W Hampton Ave and N 47th St</t>
  </si>
  <si>
    <t>Officers tried to stop a vehicle for reckless driving around 8 p.m. Police pursued the vehicle around the block before it crashed into a light pole in the same area where it began fleeing. Kean Walker reportedly got out of the vehicle and immediately fired at officers, who shot and killed him.</t>
  </si>
  <si>
    <t>http://www.wtmj.com/news/purusit-leads-to-officer-involved-shooting-near-47th-and-hampton/1151646086</t>
  </si>
  <si>
    <t>Victor A. Parsons</t>
  </si>
  <si>
    <t>https://fatalencounters.org/wp-content/uploads/2019/12/Victor-A.-Parsons.jpg</t>
  </si>
  <si>
    <t>201 E Yavapai Rd</t>
  </si>
  <si>
    <t>Officers were called around 2:30 p.m. for a call about aggravated assault. Upon arrival neighbors told officers Victor Parsons was walking around outside with a shotgun and yelling. After a standoff, Parsons came out with a shotgun, and Officer Bradley Katherman shot and killed him.</t>
  </si>
  <si>
    <t>https://www.kgun9.com/news/local-news/tucson-police-dealing-with-barricaded-subject</t>
  </si>
  <si>
    <t>Kyle Horton</t>
  </si>
  <si>
    <t>https://fatalencounters.org/wp-content/uploads/2019/12/KyleHorton.jpg</t>
  </si>
  <si>
    <t>2505 Briarcliff Cir</t>
  </si>
  <si>
    <t>Police received information that Kyle Horton, who was wanted in Charlotte and Myrtle Beach, S.C., on kidnapping, carjacking, and armed-robbery charges, was possibly headed to the Wilmington area. Deputies saw Horton pull into the Briarcliff Villas Apartments just before 9 p.m. and attempted to capture him. Horton allegedly drew a gun on the officers who shot and killed him.</t>
  </si>
  <si>
    <t>https://www.wect.com/2019/12/18/suspect-killed-officer-involved-shooting-connected-charlotte-incident/</t>
  </si>
  <si>
    <t>Clyde Jacob Sullivan</t>
  </si>
  <si>
    <t>https://fatalencounters.org/wp-content/uploads/2019/12/CLYDE-JACOB-SULLIVAN.jpg</t>
  </si>
  <si>
    <t>Timberlake Trailhead</t>
  </si>
  <si>
    <t>Clyde Sullivan fatally shot a female coworker outside a Fort Walton Beach insurance office. A short time later, after fleeing from the shooting scene in a gold Toyota SUV, Sullivan allegedly shot at Okaloosa County deputies, who shot and killed Sullivan as he sat in the SUV, parked inside the entrance to the Timberlake Pond Recreation Area.</t>
  </si>
  <si>
    <t>https://www.crestviewbulletin.com/news/20191218/ocso-suspect-stole-handgun-from-dadrsquos-safe-before-fatal-shooting</t>
  </si>
  <si>
    <t>John Resetar</t>
  </si>
  <si>
    <t>https://fatalencounters.org/wp-content/uploads/2019/12/John-Resetar.jpg</t>
  </si>
  <si>
    <t>817 W Church St</t>
  </si>
  <si>
    <t>Randolph County Sheriff's Department, Lynn Town Marshal's Office</t>
  </si>
  <si>
    <t>Police were called to a domestic situation, and while speaking to John Resetar's wife, officers exchanged gunfire with a person inside the house. About five hours later, police entered the home and found Resetar unconscious and dying from a gunshot.</t>
  </si>
  <si>
    <t>https://www.wishtv.com/news/crime-watch-8/isp-gunman-dies-after-randolph-county-shooting-swat-standoff/</t>
  </si>
  <si>
    <t>Stevie Garcia</t>
  </si>
  <si>
    <t>http://www.fatalencounters.org/wp-content/uploads/2019/04/SteveGarcia.jpg</t>
  </si>
  <si>
    <t>North 9th Street and East Bonanza Road</t>
  </si>
  <si>
    <t>Officers responded to reports of a domestic disturbance. Police were told that a man was chasing his father with a gun. Police arrived and the armed man, Steve Garcia, was there. The officers ordered Garcia to drop the gun, but he reportedly did not. Garcia allegedly pointed the firearm at the officers who shot and killed him.</t>
  </si>
  <si>
    <t>https://www.ktnv.com/news/watch-lvmpd-shares-new-details-on-march-19-police-involved-shooting</t>
  </si>
  <si>
    <t>Christopher Michael Alderete</t>
  </si>
  <si>
    <t>Third St and Talbot Ave</t>
  </si>
  <si>
    <t>Canutillo</t>
  </si>
  <si>
    <t>Three deputies responded at about 12:45 p.m. to a verbal disturbance call at a home. An unidentified man, 20, approached deputies with a shotgun inside the home, and they shot and killed him.</t>
  </si>
  <si>
    <t>https://www.ktsm.com/crime/epcso-responds-to-deputy-involved-shooting-in-canutillo/1918919348</t>
  </si>
  <si>
    <t>Casiano Coronel</t>
  </si>
  <si>
    <t>Central Ave SE and Wyoming Blvd NE</t>
  </si>
  <si>
    <t>Police were reportedly watching something when someone walked up to the vehicle, and there was an exchange of gunfire. Police shot and killed a person who wasn't immediately identified. Reportedly, the individual may have been concerned that there was a strange vehicle parked in his neighborhood.</t>
  </si>
  <si>
    <t>https://www.krqe.com/news/albuquerque-metro/suspect-hospitalized-following-officer-involved-shooting-in-southeast-albuquerque/</t>
  </si>
  <si>
    <t>Michael Lopez</t>
  </si>
  <si>
    <t>1900 S Casino Dr</t>
  </si>
  <si>
    <t>After an aborted attempt to rob a casino, a man was surrounded in his car and refused police orders to get out of the car until about 7:30 a.m., when he abruptly emerged with his weapon drawn and ran toward officers, who shot and killed him.</t>
  </si>
  <si>
    <t>https://www.reviewjournal.com/crime/homicides/suspect-dead-after-standoff-with-police-at-laughlin-casino-1829511/</t>
  </si>
  <si>
    <t>Eric Portillo</t>
  </si>
  <si>
    <t>S Garnett Rd &amp; E 28th St</t>
  </si>
  <si>
    <t>Eric Portillo was suspected in a shooting and pistol-whipping at a gas station. Police said Portillo's bullets didn't hit their target. Portillo was shot by police following a slow-speed pursuit and crash.</t>
  </si>
  <si>
    <t>https://ktul.com/news/local/tulsa-police-man-shot-by-officer-this-weekend-has-died</t>
  </si>
  <si>
    <t>Jason Paul De La Rosa</t>
  </si>
  <si>
    <t>24003 Wassail Way</t>
  </si>
  <si>
    <t>Police received 911 calls around 5 p.m. about a disturbance between a husband and wife. There were reports that the man was intoxicated and shots were fired. When deputies arrived they made sure that the woman was safe. The man then fled and began jumping over fences when he came across an officer who was setting up a perimeter.The man allegedly showed a pistol and the deputy shot and killed the man.</t>
  </si>
  <si>
    <t>https://www.click2houston.com/news/man-killed-in-officer-involved-shooting-in-katy-area-deputies-say</t>
  </si>
  <si>
    <t>Daniel James Wood</t>
  </si>
  <si>
    <t>https://fatalencounters.org/wp-content/uploads/2020/01/Daniel-James-Wood.jpg</t>
  </si>
  <si>
    <t>425 Tennessee St NE</t>
  </si>
  <si>
    <t xml:space="preserve">Officers responded regarding a domestic dispute around 2 a.m. After arriving, officers were confronted by a man armed with a gun inside the apartment, and police said SWAT teams were called in around 4:30 a.m. Daniel Wood was shot and killed by Officers Justin Jones and Damian Lujan  around 6:30 a.m. </t>
  </si>
  <si>
    <t>https://www.krqe.com/news/albuquerque-metro/apd-investigates-officer-involved-shooting/</t>
  </si>
  <si>
    <t>Raymond V. Tahod</t>
  </si>
  <si>
    <t>https://fatalencounters.org/wp-content/uploads/2020/01/Raymond-V.-Tahod.jpg</t>
  </si>
  <si>
    <t>Menaul Blvd NE and Morningside Dr NE</t>
  </si>
  <si>
    <t>Officers responded to a call of an attempted carjacking around 5:40 p.m. Officers caught up with the men a block away near Menaul and Morningside. The responding officers found the two men in a different car than the one they were accused of trying to steal. When officers tried to stop that car, the passenger reportedly got out and "confronted" officers. That passenger was shot and killed by Officers Tomas Urioste and Jacob Perea.</t>
  </si>
  <si>
    <t>https://www.krqe.com/top-stories/police-activity-reported-near-menaul-carlisle/</t>
  </si>
  <si>
    <t>1200 McNutt Rd</t>
  </si>
  <si>
    <t>Sunland Park</t>
  </si>
  <si>
    <t>About 6 a.m., a border patrol agent encountered four people. A foot pursuit took place with one suspect and two agents. At some point during the foot pursuit, the man reportedly fired a weapon at the two Border Patrol agents, and the agents shot and killed him.</t>
  </si>
  <si>
    <t>https://www.elpasotimes.com/story/news/2019/11/04/sunland-park-shooting-border-patrol-agent-involved-nm/4155120002/</t>
  </si>
  <si>
    <t>https://fatalencounters.org/wp-content/uploads/2019/10/Victor-hernandez.jpg</t>
  </si>
  <si>
    <t>Frederick Douglass Blvd and W 148th St</t>
  </si>
  <si>
    <t>Manhattan</t>
  </si>
  <si>
    <t>About 2 a.m., eight uniformed officers responded to a 911 call from a resident at a Harlem apartment building, saying a male neighbor was harassing her, banging on doors and breaking glass. As responding officers searched for the man, one of the officers encountered him, standing naked and pointing a 9mm semi-automatic handgun at him. Officer Christopher Wintermute shot and killed him.</t>
  </si>
  <si>
    <t>https://pix11.com/2019/10/23/nypd-officer-and-suspect-shot-in-harlem-shootout-officials/</t>
  </si>
  <si>
    <t>Samuel Garcia</t>
  </si>
  <si>
    <t>https://www.fatalencounters.org/wp-content/uploads/2019/01/Samuel-Garcia.jpg</t>
  </si>
  <si>
    <t>1400 Pleasanton Rd</t>
  </si>
  <si>
    <t>Samuel Garcia was allegedly shooting at random people when Officers Nicholas Valera and Miguel Saucedo shot and killed him.</t>
  </si>
  <si>
    <t>https://www.ksat.com/news/breaking-news-sapd-involved-in-second-officer-involved-shooting-in-two-days</t>
  </si>
  <si>
    <t>Miguel Barraza-Lugo</t>
  </si>
  <si>
    <t>9500 Canyon Dr</t>
  </si>
  <si>
    <t>A man allegedly hit a vehicle and left, then fled from police, who pursued. His vehicle was knocked off the road, and he allegedly shot at police and was shot and killed.</t>
  </si>
  <si>
    <t>https://www.kiro7.com/news/local/suspect-dead-in-officer-involved-shooting-in-kent/900500376</t>
  </si>
  <si>
    <t>Adolfo Gonzalez</t>
  </si>
  <si>
    <t>7060 Broadway</t>
  </si>
  <si>
    <t>Deputies were dispatched at 8:30 p.m., in response to a 911 call from a customer at a Del Taco, who reported that a man had just pointed a handgun at him while inside the restaurant. The deputies attempted to speak to the man inside the Del Taco, and the man allegedly produced a handgun and was shot and killed.</t>
  </si>
  <si>
    <t>http://www.cbs8.com/story/39740142/san-diego-deputies-fatally-wound-armed-suspect-inside-lemon-grove-eatery</t>
  </si>
  <si>
    <t>Roberto Tapia</t>
  </si>
  <si>
    <t>Charles Frederick Landeros</t>
  </si>
  <si>
    <t>https://www.fatalencounters.org/wp-content/uploads/2019/01/CharlesLanderodsleft.jpg</t>
  </si>
  <si>
    <t>1525 Echo Hollow Rd</t>
  </si>
  <si>
    <t>Officers responded to a custody dispute at Cascade Middle School, according to police. As two police officers were escorting Charles Landeros from the building, Landeros allegedly pulled out a gun and struggled with the officers. During the struggle, Landeros was shot and killed by officers.</t>
  </si>
  <si>
    <t>https://www.registerguard.com/news/20190112/eugene-man-killed-in-officer-involved-shooting-identified</t>
  </si>
  <si>
    <t>Louis Jose Burrus</t>
  </si>
  <si>
    <t>https://www.fatalencounters.org/wp-content/uploads/2019/01/louis-burrus.jpg</t>
  </si>
  <si>
    <t>2990 Trawood Dr</t>
  </si>
  <si>
    <t>About 5 a.m., officers were called to an apartment complex to investigate multiple "shots fired" calls. As the officers approached the complex, they saw a vehicle matching the description of the one in the shots-fired calls and attempted to pull it over. The driver of the vehicle refused to stop and instead drove into the parking lot of the Wind Tree Apartments. As he entered the parking lot, he crashed into a parked vehicle inside the complex, police said. When officers approached him, he allegedly tried running away before pulling out a weapon. Louis Jose Burrus was shot and killed.</t>
  </si>
  <si>
    <t>https://www.kvia.com/crime/eppd-shots-fired-suspect-crashed-into-vehicles-shot-by-police-as-he-exited-vehicle-with-gun/975178354?fbclid=IwAR26C0w7W1A1d346YJ8YsWs2RtMnIm354QxPednE3Jy-Hm3cfV4fxJzSB_4</t>
  </si>
  <si>
    <t>Marcus Gishal</t>
  </si>
  <si>
    <t>https://www.fatalencounters.org/wp-content/uploads/2019/01/Marcus-Gishal.jpg</t>
  </si>
  <si>
    <t>W Topeka Ave and Railroad Spring Blvd</t>
  </si>
  <si>
    <t>Two men fled a traffic stop initiated by DPS officers at a Maverik gas station. Once the two suspects were found, DPS alleged that Marcus Gishal, 20, shot at officers, leading to the four officers shooting and killing Gishal and Preston Oszust, 20.</t>
  </si>
  <si>
    <t>https://azdailysun.com/news/second-suspect-dead-following-railroad-springs-shooting-family-says/article_da73d638-990f-5358-bfed-70115c47e707.html#tracking-source=home-top-story-1</t>
  </si>
  <si>
    <t>Jonathan Ramirez</t>
  </si>
  <si>
    <t>1274 Maudis Rd</t>
  </si>
  <si>
    <t>Nash</t>
  </si>
  <si>
    <t>Nash County Sheriff's Office</t>
  </si>
  <si>
    <t>Jonathan Ramirez was shot and killed in his front yard when he allegedly pulled out an AR-style weapon in the presence of deputies.</t>
  </si>
  <si>
    <t>https://www.wsoctv.com/news/north-carolina/police-man-dead-after-encounter-with-nc-sheriff-s-deputies/917324352</t>
  </si>
  <si>
    <t>Javier Hernandez Morales</t>
  </si>
  <si>
    <t>1100 Henry Rd</t>
  </si>
  <si>
    <t>Napa County Sheriff's Office</t>
  </si>
  <si>
    <t>A deputy was patrolling around 10:59 p.m. when she contacted a vehicle with a male driver, police said. The deputy shot and killed the man, but details as to what precipitated the killing were withheld.</t>
  </si>
  <si>
    <t>https://abc7news.com/napa-co-sheriff-investigating-deadly-officer-involved-shooting/5143430/</t>
  </si>
  <si>
    <t>Kenneth Joseph Sisneros</t>
  </si>
  <si>
    <t>https://www.fatalencounters.org/wp-content/uploads/2019/03/Kenneth-Joseph-Sisneros.jpg</t>
  </si>
  <si>
    <t>8455 Park Meadows Center Dr</t>
  </si>
  <si>
    <t>Lone Tree Police Department</t>
  </si>
  <si>
    <t>Lone Tree police responded to reports of a theft at the Macy's at Park Meadows around 8:20 p.m. Officers were chasing two suspects on foot outside the mall when Kenneth Sisneros allegedly pulled out a handgun, and police shot and killed him.</t>
  </si>
  <si>
    <t>https://www.thedenverchannel.com/news/local-news/suspect-who-died-in-officer-involved-shooting-at-park-meadows-mall-identified-by-coroners-office</t>
  </si>
  <si>
    <t>Brenda Rodriguez Mendoza</t>
  </si>
  <si>
    <t>1000 E Laurel Dr</t>
  </si>
  <si>
    <t>Officers responded to reports of a disturbance involving weapons. Brenda Mendoza barricaded herself in a car. Officers Bryan McKinley, Carlo Calupad and Robert Miller shot and killed her when she allegedly brandished a gun.</t>
  </si>
  <si>
    <t>https://www.thecalifornian.com/story/news/2019/03/01/east-salinas-shots-fired-police-standoff/3032488002/</t>
  </si>
  <si>
    <t>Daniel Moncada</t>
  </si>
  <si>
    <t>https://www.fatalencounters.org/wp-content/uploads/2019/03/Daniel-Moncada-27.jpg</t>
  </si>
  <si>
    <t>11707 Spring Dale Dr</t>
  </si>
  <si>
    <t>Daniel Moncada's parents called police to report that he was throwing items around the house and causing a disturbance. Moncada allegedly shot at arriving officers from a bedroom and was shot and killed.</t>
  </si>
  <si>
    <t>https://www.ksat.com/news/second-sapd-officer-involved-in-shooting-in-12-hours</t>
  </si>
  <si>
    <t>Jeremy Ponce</t>
  </si>
  <si>
    <t>https://www.fatalencounters.org/wp-content/uploads/2019/03/Jeremy-Ponce-Jr.jpg</t>
  </si>
  <si>
    <t>Westfall Ave &amp; S Olive St</t>
  </si>
  <si>
    <t>About 2 p.m., police responded to a separate call about a robbery, where they found a man with a gunshot wound to the leg. Officers saw Ponce driving a black Honda Accord nearby and attempted pulling him over. According to police, he eventually stopped the car in a residential area. When he pulled over, he allegedly ran from the car and fired at officers. One bullet struck the police cruiser's windshield, while another struck the passenger door. Both officers in the cruiser shot and killed Ponce.</t>
  </si>
  <si>
    <t>Carlos Hunter</t>
  </si>
  <si>
    <t>https://www.fatalencounters.org/wp-content/uploads/2019/03/CarlosHunter.jpg</t>
  </si>
  <si>
    <t>NE 78th St and 25th Ave</t>
  </si>
  <si>
    <t>Hazel Dell South</t>
  </si>
  <si>
    <t>Police spotted an alleged gang member, Carlos Hunter, linked to a drug trafficking case shortly before 2 p.m. and pulled over the vehicle. Hunter, who police allege had a handgun, was "uncooperative," and the officers shot and killed him.</t>
  </si>
  <si>
    <t>https://katu.com/news/local/officer-involved-shooting-in-hazel-dell</t>
  </si>
  <si>
    <t>Jorge Luis Rivera-Melendez</t>
  </si>
  <si>
    <t>https://www.fatalencounters.org/wp-content/uploads/2019/03/Jorge-Luis-Rivera-Melendez.jpg</t>
  </si>
  <si>
    <t>16803 Sarahs Pl</t>
  </si>
  <si>
    <t>Jorge Rivera-Melendez allegedly had been involved in a domestic dispute with a woman before he was cornered near a fence by police. He allegedly pulled out a handgun and was shot and killed by a deputy.</t>
  </si>
  <si>
    <t>https://www.clickorlando.com/news/lake-county-deputy-shoots-kills-man-involved-in-domestic-dispute</t>
  </si>
  <si>
    <t>Juan Manuel Flores Del Toro</t>
  </si>
  <si>
    <t>https://www.fatalencounters.org/wp-content/uploads/2019/03/Juan-Manuel-Flores-Del-Toro.jpg</t>
  </si>
  <si>
    <t>Pierce St and 6th Ave</t>
  </si>
  <si>
    <t>Kittitas County Sheriff's Office</t>
  </si>
  <si>
    <t>Around 7:30 p.m., Deputy Thompson and Office Chavez tried to stop a vehicle. After a short chase, Juan Manuel Flores Del Toro's vehicle came to a stop. He allegedly got out and fired at the deputy and officer, who shot at him. Deputy Thompson suffered a fatal gunshot. The bullet that hit Chavez shattered his femur. Del Toro was shot and killed.</t>
  </si>
  <si>
    <t>https://www.king5.com/article/news/local/surveillance-video-shows-moments-before-deadly-shooting-of-kittitas-deputy/281-69159855-3045-456d-8977-ce2a7e003d60</t>
  </si>
  <si>
    <t>Leonardo Gallegos</t>
  </si>
  <si>
    <t>https://www.fatalencounters.org/wp-content/uploads/2019/04/Leonardo-Gallegos-jr.jpg</t>
  </si>
  <si>
    <t>TX-114</t>
  </si>
  <si>
    <t>At approximately 4:16 p.m., police attempted to stop a pickup in Levelland for a traffic violation. The vehicle reportedly refused to stop, and the driver, Leonardo Gallegos Jr., fled. Troopers pursued and attempted to stop the vehicle by deploying spikes. The vehicle was eventually spiked but continued to evade police into a field northwest of Whiteface. The driver reportedly shot at law enforcement, and they shot and killed him.</t>
  </si>
  <si>
    <t>https://www.lubbockonline.com/news/20190328/1-dead-after-pursuit-officer-involved-shooting-in-cochran-county</t>
  </si>
  <si>
    <t>Augustine Gutierrez</t>
  </si>
  <si>
    <t>https://www.fatalencounters.org/wp-content/uploads/2019/04/Augustine-Gutierrez.jpg</t>
  </si>
  <si>
    <t>I-10 &amp; FM 464</t>
  </si>
  <si>
    <t>Seguin</t>
  </si>
  <si>
    <t>Augustine Gutierrez led police on a chase exceeding 100 mph in a car he allegedly carjacked. Police said when the car crashed, Gutierrez threatened police with a gun, and SAPD Officer Timur Tilvaldiev shot and killed him.</t>
  </si>
  <si>
    <t>https://www.ksat.com/news/man-killed-in-officer-involved-shooting-after-chase-identified-by-sapd?fbclid=IwAR26_8cKwhVIUDRBaYtx95jDxfeD_wBs00YXO9aC5_D8bLIkKiIRMUCNvfQ</t>
  </si>
  <si>
    <t>Alfonso Cervantes</t>
  </si>
  <si>
    <t>100 W Calle Primera</t>
  </si>
  <si>
    <t>San Ysidro</t>
  </si>
  <si>
    <t>Officers were called to a park at around 1:30 p.m. after witnesses reported seeing a man with a rifle running through the complex. The man allegedly fired two shots inside the complex before police arrived. Officers arrived and as they tried to make contact with the man, he reportedly pointed his rifle at officers, and an officer shot and killed him.</t>
  </si>
  <si>
    <t>https://www.nbcsandiego.com/news/local/officer-involved-shooting-san-ysidro-san-diego-police-department-mobile-home-508071901.html</t>
  </si>
  <si>
    <t>Jeffrey Garner</t>
  </si>
  <si>
    <t>https://www.fatalencounters.org/wp-content/uploads/2019/04/Jeffrey-Nicholas-Garner.jpg</t>
  </si>
  <si>
    <t>1632 N. Federal Hwy.</t>
  </si>
  <si>
    <t>Boynton Beach Police Department</t>
  </si>
  <si>
    <t>Jeffrey Nicholas Garner shot and killed his girlfriend, Gabriella Marino, 51, at the Manatee Bay apartments. Boynton Beach police said Garner, still waving a gun, confronted city police officers as they arrived, and they fatally shot him.</t>
  </si>
  <si>
    <t>https://www.palmbeachpost.com/news/20190406/woman-fatally-shot-in-boynton-taught-second-grade-in-palm-springs</t>
  </si>
  <si>
    <t>Luiz Leizado</t>
  </si>
  <si>
    <t>http://www.fatalencounters.org/wp-content/uploads/2019/04/Luis-Leizado.jpg</t>
  </si>
  <si>
    <t>W 187th St and Wadsworth Ave</t>
  </si>
  <si>
    <t>Luiz Leizado was allegedly firing into the air at about 4:30 p.m. when he ran into a parking lot as police arrived. As Officer Justin Vartanian sought cover behind a car in the lot, Leizado fired three rounds at him, hitting him in the armpit. Vartanian shot and killed Leizado.</t>
  </si>
  <si>
    <t>https://www.nydailynews.com/new-york/nyc-crime/ny-cop-shot-by-gang-member-washington-heights-leaves-hospital-20190419-wqhv576rvngjtosjwlt4wzwevm-story.html</t>
  </si>
  <si>
    <t>David Flores Ramos</t>
  </si>
  <si>
    <t>http://www.fatalencounters.org/wp-content/uploads/2019/04/David-Flores-Ramos.jpg</t>
  </si>
  <si>
    <t>S Figueroa St &amp; W Gardena Blvd</t>
  </si>
  <si>
    <t>At least two officers responded to a radio call about a family dispute at about 6:40 a.m., police said. Police later learned that a man had opened fire inside and outside of a home before heading to Figueroa Street and Gardena Boulevard, which is where at least one of the officers found and shot and killed David Ramos. Police withheld most details regarding the killing.</t>
  </si>
  <si>
    <t>https://ktla.com/2019/04/22/police-open-fire-while-responding-to-report-of-armed-man-in-harbor-gateway-lapd/</t>
  </si>
  <si>
    <t>Emilio Luis Robles</t>
  </si>
  <si>
    <t>E 113th St and Wilmington Ave</t>
  </si>
  <si>
    <t>About 11 p.m., man who was hiding near a parked car in a driveway, was shot and killed by police. Police said he was holding a handgun and opened fire on officers, moved from the area, and was shot and killed.</t>
  </si>
  <si>
    <t>https://abc7.com/man-killed-in-officer-involved-shooting-in-south-los-angeles/5279335/</t>
  </si>
  <si>
    <t>Isaac Pineda</t>
  </si>
  <si>
    <t>https://fatalencounters.org/wp-content/uploads/2019/05/Isaac-Pineda.jpg</t>
  </si>
  <si>
    <t>682 Meadowlake Rd</t>
  </si>
  <si>
    <t>Around 12 a.m., the sheriff's office was received a report about someone stealing a gun. When deputies arrived, the suspected gun thief, Isaac Pineda, announced that he had a rifle pointed at them. Deputies retreated, and Pineda's family got out of the home. Pineda came out of the home and reportedly pointed the gun at the deputies, who shot and killed him.</t>
  </si>
  <si>
    <t>https://www.kob.com/albuquerque-news/state-police-investigate-deadly-deputy-involved-shooting-in-valencia-county/5336721/?cat=516&amp;utm_source=feedburner&amp;utm_medium=feed&amp;utm_campaign=Feed%3A+Kobcom-AlbuquerqueMetro+%28KOB.com+-+Albuquerque+Metro+News%29&amp;utm</t>
  </si>
  <si>
    <t>Pedro Colazo-Villa</t>
  </si>
  <si>
    <t>https://fatalencounters.org/wp-content/uploads/2019/08/Pedro-Colazo-Villa.jpg</t>
  </si>
  <si>
    <t>E Main St &amp; S Crismon Rd</t>
  </si>
  <si>
    <t>Deputies received a call of a man making threats about 4 p.m. Deputies found Colazo-Volla armed with a rifle and ordered him to put down his weapon, but he did not comply. He was shot and killed by at least one deputy.</t>
  </si>
  <si>
    <t>https://www.azcentral.com/story/news/local/mesa-breaking/2019/05/10/man-killed-mesa-deputy-involved-shooting-identified-pedro-colazo-villa/1172856001/</t>
  </si>
  <si>
    <t>Jorge Albert Merino</t>
  </si>
  <si>
    <t>https://fatalencounters.org/wp-content/uploads/2019/05/Jorge-Albert-Merino.jpg</t>
  </si>
  <si>
    <t>N Hwy 67 &amp; W Belt Line Rd</t>
  </si>
  <si>
    <t>A Grand Prairie officer was attempting to stop a vehicle for a traffic violation when the driver, Jorge Albert Merino, fled. The vehicle continued into nearby Cedar Hill where it came to an abrupt stop. Merino was alone in the vehicle and displayed a handgun, and he was shot and killed by police.</t>
  </si>
  <si>
    <t>https://www.chron.com/news/texas/article/North-Texas-police-fatally-shoot-motorist-13816485.php</t>
  </si>
  <si>
    <t>Luis Quinones Rosa</t>
  </si>
  <si>
    <t>https://fatalencounters.org/wp-content/uploads/2019/05/Luis-Quinones-Rosa.jpg</t>
  </si>
  <si>
    <t>1313 Dakota Ave</t>
  </si>
  <si>
    <t>South Sioux City</t>
  </si>
  <si>
    <t>South Sioux City Police Department</t>
  </si>
  <si>
    <t>Luis Quinones Rosa was wanted in Missouri on an arrest warrant for violating terms of his probation for a drive-by shooting conviction. Rosa was killed while exchanging gunfire with Officer Brian Van Berkum, who was shot and wounded.</t>
  </si>
  <si>
    <t>https://siouxcityjournal.com/news/local/crime-and-courts/man-killed-in-south-sioux-police-shooting-was-wanted-in/article_40963a17-0aef-5d03-960b-75f532d7869b.html#tracking-source=home-top-story-1</t>
  </si>
  <si>
    <t>Michael Nieto</t>
  </si>
  <si>
    <t>https://fatalencounters.org/wp-content/uploads/2019/05/Michael-Nieto.jpg</t>
  </si>
  <si>
    <t>4120 Union Square Blvd</t>
  </si>
  <si>
    <t>Michael Nieto allegedly opened fire on police as they tried to arrest him.</t>
  </si>
  <si>
    <t>https://cbs12.com/news/local/authorities-identify-gang-member-who-shot-pbso-agent-in-palm-beach-gardens</t>
  </si>
  <si>
    <t>Francisco Anthony Alcaraz</t>
  </si>
  <si>
    <t>https://fatalencounters.org/wp-content/uploads/2019/05/Francisco-Anthony-Alcaraz-Jr.jpg</t>
  </si>
  <si>
    <t>11 Camino De Vida</t>
  </si>
  <si>
    <t>Santa Barbara Police Department</t>
  </si>
  <si>
    <t>Police went to a home to carry out a "high-risk search and arrest warrant" for a wanted person shortly before 1 p.m., police said. During the warrant service, gunfire was exchanged between the man and police. He was later found dead in the home.</t>
  </si>
  <si>
    <t>https://ktla.com/2019/05/08/santa-barbara-man-dies-following-shootout-with-police/</t>
  </si>
  <si>
    <t>Carlvon Mayo</t>
  </si>
  <si>
    <t>Police responded to a complaint about a man with a gun. The man allegedly did not disarm when ordered to, and he was shot and killed.</t>
  </si>
  <si>
    <t>https://www.khou.com/article/news/crime/armed-man-shot-killed-by-hpd-officers-on-houstons-southside/285-5b297289-9881-4aca-826c-227334597bf2?fbclid=IwAR0MySIgaQcJSZiMJu-QNiqH0VjGqRSWq1-7AmqAr29EiU_klHRnplKYkTw</t>
  </si>
  <si>
    <t>Francisco Tarin</t>
  </si>
  <si>
    <t>https://fatalencounters.org/wp-content/uploads/2019/06/Francisco-Tarin.jpg</t>
  </si>
  <si>
    <t>225 N. Telshor Blvd</t>
  </si>
  <si>
    <t>Francisco "Paco" Tarin was reportedly being sought for suspicion of shooting and wounding an officer. When police caught up with him, he allegedly shot at an officer and was shot and killed.</t>
  </si>
  <si>
    <t>https://www.elpasotimes.com/story/news/2019/06/17/man-who-shot-and-wounded-las-cruces-nm-officer-later-shot-and-killed-police/1476201001/?utm_source=google&amp;utm_medium=amp&amp;utm_campaign=speakable</t>
  </si>
  <si>
    <t>Carlos Vale</t>
  </si>
  <si>
    <t>https://fatalencounters.org/wp-content/uploads/2019/06/Carlos-Vale.png</t>
  </si>
  <si>
    <t>5601 S 12th Ave</t>
  </si>
  <si>
    <t xml:space="preserve">Police reportedly went to an apartment looking for men who weren't there and then searched the apartment and found other men who were hiding. Officer Joshua Camacho shot Carlos Vale during a fight between Vale, Camacho and second officer. </t>
  </si>
  <si>
    <t>https://tucson.com/news/local/tucson-police-id-man-killed-in-officer-involved-shooting/article_330cb2e2-905a-11e9-aaf4-67841d1878f0.html?fbclid=IwAR0NSAH6-IEGlDKOwNCSVBla3jjIkvosQfz0gRZNyRytlKRsujQJ6M3AF9E</t>
  </si>
  <si>
    <t>Juan Carlos Chapa</t>
  </si>
  <si>
    <t>https://fatalencounters.org/wp-content/uploads/2019/06/JuanCarlosChapa.jpg</t>
  </si>
  <si>
    <t>S Stewart Rd and US-83 BUS</t>
  </si>
  <si>
    <t>At approximately 8:05 p.m., a woman reported that her son, Juan Carlos Chapa Jr., had fired into her car with a handgun. Mission police officer Jose Luis Espericueta arrived to assist in locating Chapa who was seen walking nearby. When Espericueta attempted to make contact, Chapa fled and began firing his gun at Espericueta, hitting and killing him. Chapa continued to exchange gunfire with several officers and was also shot and killed.</t>
  </si>
  <si>
    <t>https://www.brownsvilleherald.com/news/local/suspect-in-shooting-death-of-mission-police-officer-killed/article_418d600c-9427-11e9-93b8-a7dcd44a9bdc.html</t>
  </si>
  <si>
    <t>Jose Jesus Astorga</t>
  </si>
  <si>
    <t>200 Olivero Rd</t>
  </si>
  <si>
    <t>About 1:45 p.m., a man reportedly entered a home with a firearm and took a young resident as a hostage. The sheriff's Hostage Negotiation Team tried to contact the man for several hours without success. The man was killed as the hostage fled the home.</t>
  </si>
  <si>
    <t>https://www.modbee.com/news/local/crime/article231284628.html</t>
  </si>
  <si>
    <t>Kevin Alaniz</t>
  </si>
  <si>
    <t>Pfeiffer Big Sur Rd and Mount Manuel Trail</t>
  </si>
  <si>
    <t>According to a statement from California State Parks: "Earlier today State Park Rangers responded to reports of gun shots at Pfeiffer Big Sur State Park. A male possibly in his mid-20s yelled out and started shooting with a 10 millimeter Glock around the area. It was unclear who he was shooting at. No one was hurt in the suspect's fire." Rangers shot and killed the man. The statement gave no indication of why the rangers believed the person was shooting at people and no indication that they were threatened by the man with the gun.</t>
  </si>
  <si>
    <t>https://www.sfgate.com/bayarea/article/Man-fatally-shot-by-park-rangers-at-Pfeiffer-Big-14031502.php</t>
  </si>
  <si>
    <t>Eric Sandoval</t>
  </si>
  <si>
    <t>4700 Warren Vista Ave</t>
  </si>
  <si>
    <t>Yucca Valley</t>
  </si>
  <si>
    <t>Around 12:45 p.m., a woman contacted her family and said Sandoval was armed with a gun and holding her against her will. Her family notified police, who came to Sandoval's home. Police communicated with Sandoval throughout the night. Around 3 a.m., police heard gunshots inside the home. Police entered and found a woman with a gunshot wound. A deputy shot and killed Sandoval.</t>
  </si>
  <si>
    <t>https://www.desertsun.com/story/news/crime_courts/2019/06/27/yucca-valley-man-eric-sandoval-fatally-shot-police-after-standoff-woman-held-hostage/1590021001/</t>
  </si>
  <si>
    <t>Jose Salvador Meza</t>
  </si>
  <si>
    <t>https://fatalencounters.org/wp-content/uploads/2019/06/Jose-Salvador-Meza.jpg</t>
  </si>
  <si>
    <t>Saxon Ave and Brighton St</t>
  </si>
  <si>
    <t>At about 12:30 p.m., deputies responded to a call of an armed man causing a disturbance. The standoff began with an exchange of gunfire involving Jose Meza inside a home. Homes were started on fire and the freeway was shut down for hours during the standoff. Meza was shot and killed when he reportedly came out of a house with a long gun.</t>
  </si>
  <si>
    <t>https://abc7.com/san-gabriel-barricade-suspect-identified-as-35-year-old-man/5337613/</t>
  </si>
  <si>
    <t>Ysidro Osornio-Velasquez</t>
  </si>
  <si>
    <t>32000 Garland Lane</t>
  </si>
  <si>
    <t>Following several carjackings and a chase at 4:48 a.m., Ysidro Osornio-Velasquez allegedly produced a gun and was shot and killed by police.</t>
  </si>
  <si>
    <t>http://www.riversidesheriff.org/press/per19-0609.asp</t>
  </si>
  <si>
    <t>Sean Michael Collins</t>
  </si>
  <si>
    <t>https://fatalencounters.org/wp-content/uploads/2019/08/Sean-Michael-Collins.jpg</t>
  </si>
  <si>
    <t>4200 Forest Hill Road</t>
  </si>
  <si>
    <t>Sean Michael Collins allegedly shot at officers during a standoff that began as a domestic disturbance. Officers shot and killed him.</t>
  </si>
  <si>
    <t>https://gazette.com/news/authorities-identify-man-killed-in-gunbattle-with-colorado-springs-police/article_98b5a5dc-7da8-11e9-9e4c-633d71f35aa5.html</t>
  </si>
  <si>
    <t>Adalberto Wolmar Rodriguez</t>
  </si>
  <si>
    <t>https://fatalencounters.org/wp-content/uploads/2019/08/Adalberto-Wolmar-Rodriguez.jpg</t>
  </si>
  <si>
    <t>4770 N Congress Ave</t>
  </si>
  <si>
    <t>Officers shot and killed Adalberto Wolmar Rodriguez after he allegedly had robbed a Dollar Tree, then had walked across the street to a Publix supermarket, where officers told him not to reach for his gun, but he reportedly did.</t>
  </si>
  <si>
    <t>https://www.palmbeachpost.com/news/20190729/boynton-police-id-alleged-gunman-whom-officers-fatally-shot-sunday</t>
  </si>
  <si>
    <t>Riche Antonio Santiago</t>
  </si>
  <si>
    <t>https://fatalencounters.org/wp-content/uploads/2019/08/Riche-Antonio-Santiago.jpg</t>
  </si>
  <si>
    <t>350 East 700 South</t>
  </si>
  <si>
    <t>Officers were  called to an apartment complex to investigate a 911 hangup, meaning someone had dialed 911 but hung up after dispatchers answered without saying anything. Arriving officers found Riche Antonio Santiago who allegedly shot at officers and was shot and killed.</t>
  </si>
  <si>
    <t>https://www.deseretnews.com/article/900082858/man-killed-by-salt-lake-police-fired-gun-riche-antonio-santiago.html</t>
  </si>
  <si>
    <t>Oscar Ventura-Gonzalez</t>
  </si>
  <si>
    <t>Washington Ave and Sargent St</t>
  </si>
  <si>
    <t>Everett Police tried to make a traffic stop in their town but it turned into a pursuit. Oscar Ventura-Gonzalez allegedly shot at an officer, and the officer shot and killed him.</t>
  </si>
  <si>
    <t>https://boston.cbslocal.com/2019/08/04/police-officer-involved-shooting-revere-everett-washington-ave/</t>
  </si>
  <si>
    <t>Jose Baca-Olivares</t>
  </si>
  <si>
    <t>https://fatalencounters.org/wp-content/uploads/2019/08/Jose-Baca-Olivares.png</t>
  </si>
  <si>
    <t>2700 of San Luis Street</t>
  </si>
  <si>
    <t>Jose Baca-Olivares showed up at his ex-wife's house, just before 7 a.m. The woman was unloading groceries when her ex-husband allegedly opened fire.  Juan Carlos Tovar Soto, 48, tried to intervene and was shot and killed. Another woman was shot and wounded.  Baca-Olivares ran, and a police helicopter and dog were unable to find him over the weekend.  Police tracked him down, and he was shot and killed when he allegedly shot at officers.</t>
  </si>
  <si>
    <t>https://www.kens5.com/article/news/crime/sapd-man-who-tried-to-kill-ex-wife-was-shot-and-killed-by-officers/273-c5bbef4d-7aa9-48fe-95bc-437e33dce5d4</t>
  </si>
  <si>
    <t>Roberto Rene Gabriel</t>
  </si>
  <si>
    <t>Lombardy Blvd and Alhambra Ave</t>
  </si>
  <si>
    <t>At approximately 11:25 p.m. officers in a patrol unit were stopped at an intersection when their vehicle was fired upon by a man who then drove off. Officers found the man as he came out of an alley and a gunfight began. The man went eastbound on Alhambra Avenue and was confronted by other police officers who shot and killed him.</t>
  </si>
  <si>
    <t>https://abc7.com/suspect-dies-after-exchanging-gunfire-with-officers-in-el-sereno/5477837/</t>
  </si>
  <si>
    <t>Carlos Torres</t>
  </si>
  <si>
    <t>Ottoman St and Bartee Ave</t>
  </si>
  <si>
    <t>LAPD officers responded to a family disturbance sometime before 5 p.m. When they arrived, the officers made contact with an armed person and shots were fired. Police later said in a tweet that the man was armed with a handgun. The person then fled on foot to nearby homes and into an alley, at which point an officer shot and killed him.</t>
  </si>
  <si>
    <t>https://ktla.com/2019/08/19/man-apparently-dead-after-lapd-shooting-in-residential-area-of-arleta/</t>
  </si>
  <si>
    <t>Juan Carlos Macias</t>
  </si>
  <si>
    <t>1500 Central St.</t>
  </si>
  <si>
    <t>Police received two reports shortly after 10 p.m. from separate women about a man following and harassing them. One woman said the man fired a gun into the air. Police found Macias and talked with him for about a minute, and he was cooperative. When the officers began a warrant check on the Macias, he reportedly pulled a revolver from his waistband and fired at least one round at an officer. Macias was shot and killed.</t>
  </si>
  <si>
    <t>https://www.thedenverchannel.com/news/local-news/dpd-man-shot-by-police-had-fired-revolver-at-denver-officer-just-feet-away-from-him</t>
  </si>
  <si>
    <t>Raymond Hernandez</t>
  </si>
  <si>
    <t>1000 S Figueroa St</t>
  </si>
  <si>
    <t>About 6:30 p.m., officers received a shots-fired call at a mobile home park. Upon arrival they saw a man with a handgun, and they shot and killed him. Details as to what precipitated the killing were withheld.</t>
  </si>
  <si>
    <t>https://www.presstelegram.com/2019/09/23/officer-involved-shooting-reported-in-wilmington/</t>
  </si>
  <si>
    <t>Levy Isaac Madueno Santibanez</t>
  </si>
  <si>
    <t>https://fatalencounters.org/wp-content/uploads/2019/10/LevySantibaez.jpg</t>
  </si>
  <si>
    <t>6700 W Frier Dr</t>
  </si>
  <si>
    <t>Glendale police received reports of shots fired at a party in a Glendale industrial district. Shortly after arriving, a Glendale officer shot and killed a 17-year-old boy, Levy Santibanez, one of several people who police said were firing gunshots into a crowd. No other party goers were hit by gunfire.</t>
  </si>
  <si>
    <t>https://www.azcentral.com/story/news/local/glendale-breaking/2019/10/13/glendale-police-fatally-shoots-1-chaos-erupts-party/3968746002/</t>
  </si>
  <si>
    <t>Luis Arreguin-Lara</t>
  </si>
  <si>
    <t>E Pine St and N Harvard Ave</t>
  </si>
  <si>
    <t>Around 2:30 p.m., officers saw a vehicle with its hazard lights on. They reportedly went to see if they could help. Officers said there was a woman in the vehicle, and she said her boyfriend went to go get help. When the man came back he was on a bike, he saw officers and allegedly starting shooting at them. Officers shot and killed him.</t>
  </si>
  <si>
    <t>https://ktul.com/news/local/police-investigate-possible-officer-involved-shooting</t>
  </si>
  <si>
    <t>Raul Casas Campos</t>
  </si>
  <si>
    <t>https://fatalencounters.org/wp-content/uploads/2019/11/RaulCampos.jpg</t>
  </si>
  <si>
    <t>7239 SW Loop 410</t>
  </si>
  <si>
    <t>Officers with the Lone Star Fugitive Task Force were following Raul Campos regarding a sexual assault investigation when he pulled into the gas station at a Walmart. Police said Campos pulled out a rifle as officers approached the vehicle and a San Antonio officer shot and killed him.</t>
  </si>
  <si>
    <t>https://dfw.cbslocal.com/2019/11/09/sexual-assault-suspect-shot-killed-by-police-after-pulling-rifle-at-san-antonio-gas-station/</t>
  </si>
  <si>
    <t>Luis Fino Nabarrette</t>
  </si>
  <si>
    <t>E 12th St and N Jackson Ave</t>
  </si>
  <si>
    <t>Following a high-speed pursuit, a man exited his vehicle and pointed a gun at an ECSO deputy, who shot and killed him.</t>
  </si>
  <si>
    <t>https://www.newswest9.com/article/news/local/high-speed-chase-midland-odessa/513-33260688-f1d9-4eb9-9121-e25a1779ce1c</t>
  </si>
  <si>
    <t>Daniel Munoz</t>
  </si>
  <si>
    <t>2301 E. Lohman Ave</t>
  </si>
  <si>
    <t>Las Cruces police and federal marshals were attempting to arrest a man on a felony warrant when he pulled out a gun and opened fire. The officers shot and killed him.</t>
  </si>
  <si>
    <t>https://kvia.com/news/crime/2019/11/04/police-shooting-happens-along-busy-las-cruces-street/</t>
  </si>
  <si>
    <t>Jose Eduardo Flores</t>
  </si>
  <si>
    <t>W Lower Buckeye Rd &amp; S 223rd Ave</t>
  </si>
  <si>
    <t>Jose Eduardo Flores was reportedly being sought in relation to a shooting. He was shot and killed by police who withheld details as to what precipitated the killing.</t>
  </si>
  <si>
    <t>https://www.azcentral.com/story/news/local/southwest-valley/2019/10/13/buckeye-police-shoot-kill-person-suspected-shooting-incident/3972655002/</t>
  </si>
  <si>
    <t>Luis Cardona</t>
  </si>
  <si>
    <t>https://fatalencounters.org/wp-content/uploads/2019/11/LuisCardona.jpg</t>
  </si>
  <si>
    <t>E3725 County Rd L</t>
  </si>
  <si>
    <t>Kewaunee</t>
  </si>
  <si>
    <t>Kewaunee County County Sheriff's Office</t>
  </si>
  <si>
    <t>Luis Cardona kidnapped his wife, Babette Caraballo, from outside her workplace. As police closed in, Cardona shot Caraballo, and Deputy Aaron Schley shot and killed Cardona.</t>
  </si>
  <si>
    <t>https://www.wbay.com/content/news/Deputy-who-shot-Luis-Cardona-is-identified-565440502.html</t>
  </si>
  <si>
    <t>Kasim Kahrim</t>
  </si>
  <si>
    <t>https://www.fatalencounters.org/wp-content/uploads/2019/02/kasim-kahrim.jpg</t>
  </si>
  <si>
    <t>102 Gerard St</t>
  </si>
  <si>
    <t>After 2:20 a.m., officers pulled over a vehicle, and the driver, old Kasim Kahrim, reportedly opened fire on the officers, wounding an officer. Kahrim fled and was later found dead in the car.</t>
  </si>
  <si>
    <t>https://www.necn.com/news/new-england/Boston-Police-Officer-Shot-Department-Says-506203561.html</t>
  </si>
  <si>
    <t>Brandon Robertson</t>
  </si>
  <si>
    <t>2900 E Rockabye Lane</t>
  </si>
  <si>
    <t>Following a DUI stop and chase, a man allegedly pointed a gun at police and was shot and killed.</t>
  </si>
  <si>
    <t>https://www.redding.com/story/news/2019/03/11/police-shoot-armed-non-complaint-suspect-east-redding/3127557002/</t>
  </si>
  <si>
    <t>Kevin Ray McEnulty</t>
  </si>
  <si>
    <t>https://fatalencounters.org/wp-content/uploads/2019/05/KevinMcEnulty.jpg</t>
  </si>
  <si>
    <t>3905 Geist Rd</t>
  </si>
  <si>
    <t>Troopers and members of the Fairbanks Police Department responded to a report of shots fired at 8:30 p.m. Kevin Ray McEnulty left the area in a vehicle before police arrived. The vehicle was located soon after in a nearby Geist Road parking lot. Fairbanks police initiated a traffic stop. Troopers arrived a short time later; members of the University of Alaska Fairbanks police department also arrived. McEnulty brandished a firearm and was shot and killed by troopers at 8:51 p.m.</t>
  </si>
  <si>
    <t>https://www.adn.com/alaska-news/crime-courts/2019/04/01/suspect-killed-in-troopers-involved-shooting-in-fairbanks/</t>
  </si>
  <si>
    <t>John Duane Fairbanks</t>
  </si>
  <si>
    <t>http://www.fatalencounters.org/wp-content/uploads/2019/04/John-Duane-Fairbanks.jpeg</t>
  </si>
  <si>
    <t>9900 Foley Blvd NW</t>
  </si>
  <si>
    <t>Coon Rapids</t>
  </si>
  <si>
    <t>Coon Rapids Police Department, Anoka County Sheriff's Office</t>
  </si>
  <si>
    <t>John Duane Fairbanks allegedly pulled a gun during a routine traffic stop and exchanged gunfire with Coon Rapids police about 1:30 a.m. After fleeing on foot and shooting at officers, Fairbanks hid in a nearby neighborhood. Officers found Fairbanks and exchanged gunfire again, this time killing him. Coon Rapids police Officer Alex Hattstrom and Anoka County sheriff's Deputy Christopher Vitek Jr. both fired their guns, and Coon Rapids police Officer Geoff Neumann reportedly discharged his Taser.</t>
  </si>
  <si>
    <t>http://www.startribune.com/police-id-officers-suspect-in-fatal-coon-rapids-shooting/508932942/</t>
  </si>
  <si>
    <t>Jae Wesley Hardy</t>
  </si>
  <si>
    <t>AL-14 &amp; I-65</t>
  </si>
  <si>
    <t>Millbrook Police Department</t>
  </si>
  <si>
    <t>Jae Wesley Hardy was driving a 2008 Dodge 2500 pick up truck that was reported stolen from Prattville. Officers were told that there was a gun in the vehicle. Hardy abandoned the stolen vehicle and got into another vehicle after an officer tried to make contact with him. He reportedly led police on a a high speed chase that ended on Highway 14 when police said he showed a handgun and was shot and killed.</t>
  </si>
  <si>
    <t>https://www.alabamanews.net/2019/01/03/one-dead-after-officer-involved-shooting-in-elmore-county/</t>
  </si>
  <si>
    <t>Kevin Shawn Hanson</t>
  </si>
  <si>
    <t>Midland Trail and US-60</t>
  </si>
  <si>
    <t>Hurricane</t>
  </si>
  <si>
    <t>Hurricane Police Department, Putnam County Sheriff's Office</t>
  </si>
  <si>
    <t>Police chased a car for undisclosed reasons. The vehicle crashed and when Officer Phillip Armentrout approached, he was shot in the leg. Deputies and officers shot and killed the man.</t>
  </si>
  <si>
    <t>https://www.wdtv.com/content/news/Officer-shot-in-Putnam-County-identified-suspect-killed-503991341.html</t>
  </si>
  <si>
    <t>Harold Thompson</t>
  </si>
  <si>
    <t>119 Baber St</t>
  </si>
  <si>
    <t>Deputies responded to a home around 9:45 p.m., in reference to a man firing his gun into the air. When deputies arrived, they spoke to the 911 caller who said that Harold Thompson fired his gun into the air after their dog started barking at him. Police broke into the home, and Thompson reportedly came out of the back bedroom with a firearm, pointing the firearm at the deputies. Thompson allegedly shot at deputies before he was shot and killed.</t>
  </si>
  <si>
    <t>https://www.wyff4.com/article/deputies-fatally-shoot-81-year-old-upstate-man-when-he-fires-shot-at-them-sheriff-says/25760894</t>
  </si>
  <si>
    <t>James McDonald</t>
  </si>
  <si>
    <t>Rock Creek and Quanah Road</t>
  </si>
  <si>
    <t>Cache Police Department</t>
  </si>
  <si>
    <t>A man allegedly killed two people before police caught up with him. He and police engaged in a gunfight, and he was shot and killed.</t>
  </si>
  <si>
    <t>http://www.kswo.com/2019/01/07/early-morning-gun-battle-cache-leaves-two-dead-sends-one-comanche-county-deputy-hospital/</t>
  </si>
  <si>
    <t>Michael W. Mobley</t>
  </si>
  <si>
    <t>Leadwood</t>
  </si>
  <si>
    <t>St. Francois</t>
  </si>
  <si>
    <t>Police went to a home to serve a search warrant. When they arrived with emergency lights, sirens and a PA system, they reportedly approached the home and after no one answered the door, they broke in. They allegedly saw Michael W. Mobley move with a rifle moving toward the front door. They said he raised his rifle toward the officers and was shot and killed.</t>
  </si>
  <si>
    <t>http://www.kfvs12.com/2019/01/09/dead-after-officer-involved-shooting-st-francois-county-mo/</t>
  </si>
  <si>
    <t>Rodney Hamilton</t>
  </si>
  <si>
    <t>605 S Enota Dr NE</t>
  </si>
  <si>
    <t>A 911 caller at about 11 a.m. told police a man was waving a gun at Lanier Dermatology. When officers encountered the man, he had hostages in an office at gunpoint. Officers spoke to Rodney Hamilton, but he ignored their commands, and he was shot and killed by an officer.</t>
  </si>
  <si>
    <t>http://accesswdun.com/article/2019/1/753131/gunman-dead-after-incident-at-dermatology-office-in-gainesville</t>
  </si>
  <si>
    <t>Jeffrey Lynn Jones</t>
  </si>
  <si>
    <t>2-198 Honeysuckle Cove</t>
  </si>
  <si>
    <t>Dyersburg</t>
  </si>
  <si>
    <t>Dyer County Sheriff's Office</t>
  </si>
  <si>
    <t>Deputies and troopers responded to a domestic disturbance complaint at a house. Deputies said they could see through a window and saw a man carrying a long gun inside of the home. Once they heard a gunshot from inside of the house, one deputy approached the door. The man inside of the house allegedly appeared at the glass door, holding a long gun and a pistol. The man reportedly pointed the pistol at the deputy, and the deputy shot and killed him.</t>
  </si>
  <si>
    <t>https://wreg.com/2019/01/26/man-killed-in-dyersburg-officer-involved-shooting/</t>
  </si>
  <si>
    <t>Richard Moulton</t>
  </si>
  <si>
    <t>CA-162 &amp; Aguas Frias Rd</t>
  </si>
  <si>
    <t>Richvale</t>
  </si>
  <si>
    <t>Richard Moulton, suspected of shooting at his ex-wife in Red Bluff and fleeing, was shot and killed after a chase and allegedly raising a handgun toward deputies at around 12:43 p.m.</t>
  </si>
  <si>
    <t>https://www.chicoer.com/2019/01/28/butte-county-deputies-shoot-man-suspected-of-domestic-violence-attempted-murder-in-red-bluff/</t>
  </si>
  <si>
    <t>Johnny Weeks</t>
  </si>
  <si>
    <t>3700 Suwanee Mill Dr</t>
  </si>
  <si>
    <t>Officers were called to a home after receiving reports of a domestic dispute between Johnny Weeks and his wife. When police arrived, Weeks was standing outside with a knife in his hand, police said. He went inside and came back out with a handgun. The officers ordered him to drop the gun, but Weeks failed to comply and reportedly pointed his gun at several officers. One officer shot and killed him.</t>
  </si>
  <si>
    <t>https://www.gwinnettdailypost.com/local/suspect-killed-in-officer-involved-shooting-near-buford-following-domestic/article_aabbfc7a-7833-512b-a25f-70c052143081.html</t>
  </si>
  <si>
    <t>Myrtle Ave and Harrison St</t>
  </si>
  <si>
    <t>Police said they saw three people, two who appeared to have guns, around 11:30 p.m. Officers exited their car and confronted the men and fired their weapons, killing a 24-year-old man.</t>
  </si>
  <si>
    <t>https://abc7ny.com/1-shot-1-suspect-sought-in-apparent-passaic-police-involved-shooting/5116039/</t>
  </si>
  <si>
    <t>Christopher Brimsey</t>
  </si>
  <si>
    <t>Westheimer Parkway and South Mason Road</t>
  </si>
  <si>
    <t>Cinco Ranch</t>
  </si>
  <si>
    <t>After a series of robberies, culminating in a robbery at a Walgreens about 11 p.m., police chased four people before engaging in a shootout with the men. Christopher Brimsey, 20, died during the exchange of gunfire, and Patrick Reed, 19, died a bit later. Joshua Prater Jr., 21, and Dametric M. Hunter, 21, were charged with aggravated robbery.</t>
  </si>
  <si>
    <t>https://www.khou.com/article/news/crime/violent-robbery-suspects-in-cinco-ranch-shootout-identified/285-9e195196-7cca-410a-b399-94a18e3436c7</t>
  </si>
  <si>
    <t>Patrick Reed</t>
  </si>
  <si>
    <t>Garrett James Ebenal</t>
  </si>
  <si>
    <t>2999-2701 Elliott Hwy</t>
  </si>
  <si>
    <t>After two robberies and a police chase, Garrett Ebenal was shot and killed by Officers Ron Dupee, Dennis Benn, Lane Bonham and Tyler Larimer when he crashed and allegedly pointed a gun at the officers.</t>
  </si>
  <si>
    <t>https://www.ktva.com/story/39953981/suspect-struck-in-fairbanks-officerinvolved-shooting</t>
  </si>
  <si>
    <t>Elizabeth Ann Stropp</t>
  </si>
  <si>
    <t>Lone Mountain Rd and Leffew Ln</t>
  </si>
  <si>
    <t>Around 2 p.m., troopers tried to stop a vehicle that was under a "be on the lookout" advisory, police said. But the driver, Elizabeth Ann Stropp, did not immediately stop. She stopped the vehicle, got out of the car and fled on foot into a field. Troopers pursued her on foot. Stropp allegedly produced a handgun, and troopers shot and killed her.</t>
  </si>
  <si>
    <t>https://www.wbir.com/article/news/crime/tbi-identifies-sevierville-woman-killed-in-officer-involved-shooting-after-thp-car-chase/51-b3af76b4-d7df-480e-acd2-99fa48ea2999</t>
  </si>
  <si>
    <t>Joseph Hart</t>
  </si>
  <si>
    <t>930 Waterfowl Ln</t>
  </si>
  <si>
    <t>Huger</t>
  </si>
  <si>
    <t>Police received a call at 3:21 p.m. about a disturbance related to a speeding complaint between the suspect and a neighbor. Police said Joseph Hart pulled out a gun on the neighbor after being asked to slow down. Hart was shot and killed after engaging deputies in a nearly half-hour shootout.</t>
  </si>
  <si>
    <t>https://abcnews4.com/news/local/sheriff-offers-new-details-on-deadly-berkeley-county-standoff-officer-involved-shooting</t>
  </si>
  <si>
    <t>Steven Louis Goins</t>
  </si>
  <si>
    <t>4837-4861 Glenwood Rd</t>
  </si>
  <si>
    <t>Steven Louis Goins allegedly robbed a Family Dollar store just before it closed at 10 p.m. Goins allegedly ran away on Glenwood Road, where an officer tried to arrest him. Goins allegedly shot at the officer, and the officer shot and killed him.</t>
  </si>
  <si>
    <t>https://www.ajc.com/news/crime--law/breaking-suspect-with-serious-injuries-after-officer-involved-shooting-dekalb/F1MD9pwc2zjRnM85uZrjvJ/</t>
  </si>
  <si>
    <t>Jared D. Kelly</t>
  </si>
  <si>
    <t>2524 S Campbell Ave</t>
  </si>
  <si>
    <t>Around 11 a.m., officers were attempting to arrest Jared D. Kelly who was wanted on federal drug charges. They made contact with him outside of a MetroPCS store in the Old Town Centre shopping plaza. Police said he pulled out a weapon and was shot and killed.</t>
  </si>
  <si>
    <t>https://www.ky3.com/content/news/Police-arrest-man-in-deadly-shooting-at-Springfield-motel-506714731.html</t>
  </si>
  <si>
    <t>Rodney Fisher</t>
  </si>
  <si>
    <t>700 Curtview Street</t>
  </si>
  <si>
    <t>Police responding to a trespassing complaint said they recognized one of two men as Rodney Fisher. Fisher was wanted in connection to the death of David Marshall. Fisher allegedly pulled a handgun on the officers, and the officers shot and killed him.</t>
  </si>
  <si>
    <t>http://www.kait8.com/2019/03/07/jpd-responding-shots-fired-near-allen-park/</t>
  </si>
  <si>
    <t>David Litton</t>
  </si>
  <si>
    <t>1200 Galapago St</t>
  </si>
  <si>
    <t>Officers received a call around 10 p.m. regarding a person inside an apartment making threats to shoot another person, who was also inside the apartment, police said. When officers arrived, they set up a perimeter around the apartment building. About an hour later, a man came out and was armed with what officers believed to be a black handgun. Multiple officers shot and killed David Litton. It was not immediately reported whether Litton actually had a gun.</t>
  </si>
  <si>
    <t>https://www.9news.com/article/news/local/man-dies-after-being-shot-by-denver-officer-at-apartment-complex/73-2a7fb3a9-73a8-4bd9-8aef-8b496d1d8a4b</t>
  </si>
  <si>
    <t>Robert Mark Frady</t>
  </si>
  <si>
    <t>Hancock Mountain Trail</t>
  </si>
  <si>
    <t>Waleska</t>
  </si>
  <si>
    <t>Neighbors called 911 about 8:15 p.m. to report a domestic dispute at a mobile home, police said. When the first deputy arrived, he reportedly saw Frady holding the gun on the woman through an open door, ordered him to put down the gun and shot and killed him when he allegedly failed to comply.</t>
  </si>
  <si>
    <t>https://www.ajc.com/news/crime--law/just-man-holding-gun-wife-head-shot-killed-cherokee-county-deputy/diZIzyuqKurtEeFQ2kgXwN/</t>
  </si>
  <si>
    <t>1800 South 333rd Street</t>
  </si>
  <si>
    <t>Around 4:30 p.m., police pulled over a purple minivan. A 27-year-old man stepped out of the van with a gun and shot at Federal Way police. Three officers returned fire, killing the man. The man may have been suspected in a robbery, but police did not specifically say.</t>
  </si>
  <si>
    <t>https://komonews.com/news/local/federal-way-police-investigating-officer-involved-shooting</t>
  </si>
  <si>
    <t>Billy L. Walker</t>
  </si>
  <si>
    <t>5 Illini Dr</t>
  </si>
  <si>
    <t>Glen Carbon</t>
  </si>
  <si>
    <t>Billy L. Walker Jr. was shot and killed following a carjacking, a vehicle pursuit, and a foot pursuit. He allegedly shot and wounded a trooper during the gunfire exchange.</t>
  </si>
  <si>
    <t>https://www.wandtv.com/news/illinois-state-trooper-shot-after-chase/article_a632d646-483b-11e9-a5eb-4b75f08e2a5c.html</t>
  </si>
  <si>
    <t>James Young</t>
  </si>
  <si>
    <t>1921 East 10th St</t>
  </si>
  <si>
    <t>The Dalles Police Department</t>
  </si>
  <si>
    <t>James Young was allegedly shooting a rifle at his neighbor's house. When officers arrived, they said the man was still firing his gun, and they shot and killed him.</t>
  </si>
  <si>
    <t>https://www.koin.com/news/crime/the-dalles-police-kill-man-allegedly-shooting-at-neighbor/1856210771</t>
  </si>
  <si>
    <t>James Freeman</t>
  </si>
  <si>
    <t>6500 Wooddale Dr</t>
  </si>
  <si>
    <t>Watauga police were called to a home at about 10:30 a.m. over a reported violation of a protective order. Officers confronted a man they said was not supposed to be there. Police said James Freeman picked up a shotgun and exchanged fire with officers before he retreated inside. Police entered the residence to find Freeman dead from an apparent gunshot wound. Police also found the body of 49-year-old Emily Law inside the home.</t>
  </si>
  <si>
    <t>https://www.nbcdfw.com/news/local/Woman-Found-Dead-Inside-Watauga-Home-Man-Killed-in-Shootout-With-Police-508909291.html</t>
  </si>
  <si>
    <t>Anthony Lee Montoya</t>
  </si>
  <si>
    <t>6400 West Mexico Avenue</t>
  </si>
  <si>
    <t>Police responded to reports to 911 of several gunshots fired about 8:30 a.m. Police gathered outside of a home. Police said Montoya was firing shots from inside the home and hitting other homes in the neighborhood. Agents returned fire, fatally wounding him. He fled in a white truck, eventually crashing in the backyard of a home.</t>
  </si>
  <si>
    <t>https://denver.cbslocal.com/2019/03/11/lakewood-police-active-shooter-sanderson-creek/</t>
  </si>
  <si>
    <t>Jose German</t>
  </si>
  <si>
    <t>1419 Jackrabbit Trail</t>
  </si>
  <si>
    <t>Around 9 p.m., a trooper in a patrol vehicle was pursuing a minivan when the minivan rolled on its side. Two people got out of the car. One allegedly fired a handgun at the trooper, who shot and killed Jose German.</t>
  </si>
  <si>
    <t>https://azdailysun.com/news/state-and-regional/suspect-fatally-shot-after-firing-on-dps-officer-in-buckeye/article_bccfd07d-9294-54ae-aaeb-1e4699974251.html</t>
  </si>
  <si>
    <t>Paul Mcvicker</t>
  </si>
  <si>
    <t>N Parks Rd</t>
  </si>
  <si>
    <t>Parks</t>
  </si>
  <si>
    <t>Deputies responded to a report of domestic violence. A woman called deputies and said her ex-husband had pulled a gun on her during an argument at their home. Paul Mcvicker left in a white vehicle. While driving to the home, deputies spotted a vehicle matching the description of the man's car. When deputies stopped the vehicle, Mcvicker got out of the car holding a handgun. Despite commands to drop the gun by deputies, he advanced on deputies with a gun in his hand. A deputy shot and killed him.</t>
  </si>
  <si>
    <t>https://azdailysun.com/news/officer-involved-shooting-south-of-parks-leaves-man-dead/article_50e6bfc8-5959-58f4-b70f-0bb3bad8e2a7.html#tracking-source=home-the-latest</t>
  </si>
  <si>
    <t>Billy Wade Webber</t>
  </si>
  <si>
    <t>7200 Donatello St</t>
  </si>
  <si>
    <t>OPD received several shots fired calls and responded. When officers made contact with Billy Wade Webber, he allegedly did not comply with commands, and he was shot and killed.</t>
  </si>
  <si>
    <t>https://www.cbs7.com/content/news/FIRST-ON-CBS7-Texas-Rangers-investigating-officer-involved-shooting-in-Odessa-510460941.html</t>
  </si>
  <si>
    <t>Michael Sheridan</t>
  </si>
  <si>
    <t>S Alkire St and W Belleview Ave</t>
  </si>
  <si>
    <t>Friendly Hills</t>
  </si>
  <si>
    <t>Police were attempting to arrest Michael Sheridan due to a warrant for felony menacing, third-degree assault and possession of a weapon by a previous offender. He allegedly fired on police and was shot and killed.</t>
  </si>
  <si>
    <t>https://kdvr.com/2019/06/19/authorities-id-man-killed-after-firing-at-officers-in-jefferson-county/</t>
  </si>
  <si>
    <t>Samuel Fullerton</t>
  </si>
  <si>
    <t>2020 Flag Road</t>
  </si>
  <si>
    <t>Samuel Fullerton lived at the house in Leslie where Stone County Sheriff's deputy Sergeant Mike Stephen was responding to a domestic welfare check when gunfire erupted. Both Stephen and Fullerton were killed at the house.</t>
  </si>
  <si>
    <t>https://wvva.com/news/national-news-from-the-associated-press/2019/07/19/police-id-suspect-in-shooting-of-arkansas-sheriffs-deputy/</t>
  </si>
  <si>
    <t>Mario Philip Benjamin</t>
  </si>
  <si>
    <t>2400 N Emerson Ave</t>
  </si>
  <si>
    <t>About 2:49 a.m., police said officers encountered Mario Benjamin while responding to two ShotSpotter activations and a report of a person lying in the road. Benjamin allegedly shot and wounded a woman in a domestic violence incident. The officers shot and killed Benjamin after reportedly telling him to drop his weapon.</t>
  </si>
  <si>
    <t>http://www.startribune.com/minneapolis-police-shoot-kill-man-at-apparent-domestic-call/514155142/</t>
  </si>
  <si>
    <t>John Clark</t>
  </si>
  <si>
    <t>2300 Flanders Way</t>
  </si>
  <si>
    <t>Safety Harbor</t>
  </si>
  <si>
    <t>John Clark allegedly shot and killed his mother and fled. Police found him later, and after a vehicle pursuit, shot and killed him when he allegedly pointed a shotgun at them.</t>
  </si>
  <si>
    <t>https://www.abcactionnews.com/news/region-pinellas/homicide-leads-to-deadly-deputy-involved-shooting-in-safety-harbor</t>
  </si>
  <si>
    <t>Andre Leach</t>
  </si>
  <si>
    <t>N 5th St and Tilghman St</t>
  </si>
  <si>
    <t>Andre Leach was shooting a gun in the air, when he was confronted by police and reportedly pointed the gun at responding officers. Leach reportedly refused to drop the gun, and police shot and killed him.</t>
  </si>
  <si>
    <t>https://www.lehighvalleylive.com/allentown/2019/08/man-killed-by-multiple-gunshots-in-allentown-police-shooting-coroner-says.html</t>
  </si>
  <si>
    <t>John Michael George</t>
  </si>
  <si>
    <t>5800 Blue Ridge Dr</t>
  </si>
  <si>
    <t>Around 7:45 p.m., two officers responded to a domestic disturbance and arrived to an altercation between a man and a woman. Police said a man at the home had a gun and pointed it at the officers who shot and killed him.</t>
  </si>
  <si>
    <t>https://dfw.cbslocal.com/2019/08/12/fort-worth-police-investigate-officer-involved-shooting/</t>
  </si>
  <si>
    <t>Thomas Michael Reynolds</t>
  </si>
  <si>
    <t>900 Simpson Road</t>
  </si>
  <si>
    <t>Honea Path</t>
  </si>
  <si>
    <t>Around 4:45 p.m. deputies with the Anderson County sheriff's office were attempting to serve an arrest warrant. Thomas Michael Reynolds was allegedly "terrorizing the neighborhood" and had recently allegedly attempted to attack a female neighbor. Deputies were attempting to serve an arrest warrant for assault and battery against Reynolds related to that alleged assault at the time they shot and killed Reynolds.</t>
  </si>
  <si>
    <t>https://www.fitsnews.com/2019/08/14/fatal-officer-involved-shooting-in-belton-south-carolina/</t>
  </si>
  <si>
    <t>Scott Souders</t>
  </si>
  <si>
    <t>1100 Cherry St</t>
  </si>
  <si>
    <t>Chetopa</t>
  </si>
  <si>
    <t>Labette</t>
  </si>
  <si>
    <t>Chetopa Police Department</t>
  </si>
  <si>
    <t>Around 12:15 a.m., officers with the Chetopa Police Department served a search warrant after receiving information that there may be possible drug activity at the home. After knocking and announcing their presence, three officers entered the home. As the first officer inside the house made his way down the hallway, he encountered an armed man, and fired three shots, killing Scott Souders.</t>
  </si>
  <si>
    <t>http://www.kake.com/story/40907237/kansas-man-killed-in-officer-involved-shooting</t>
  </si>
  <si>
    <t>Jerome Michael Uzzle</t>
  </si>
  <si>
    <t>115 Ottis St</t>
  </si>
  <si>
    <t>Police were looking for a man who was wanted for murder. Officers converged, but Jerome Michael Uzzle wasn't there. He was in another apartment in the complex, and he snuck up on a police car parked nearby and opened fire. Both people inside—an officer and a civilian who taking part in a police ride-along—were wounded. Jerome Michael Uzzle was shot and killed by another police officer who confronted him after the gunfight.</t>
  </si>
  <si>
    <t>https://www.dailypress.com/news/crime/dp-nws-police-shooting-homicide-20190819-story.html</t>
  </si>
  <si>
    <t>Jamie Fernandez</t>
  </si>
  <si>
    <t>Around 11:40 p.m. behind a 7-Eleven, officers came to investigate a vehicle parked behind the building. According to police, when the two officers started talking to the man associated with the vehicle, a woman got out of the car and walked away. Police said she took out a gun and fired at the two uniformed officers, who shot and killed her.</t>
  </si>
  <si>
    <t>https://www.9news.com/article/news/crime/female-suspect-dies-after-exchanging-gunfire-with-denver-police/73-486415a7-2776-44c0-9a13-0814ebc99b45</t>
  </si>
  <si>
    <t>Collin Osborn</t>
  </si>
  <si>
    <t>9922 E Montgomery Dr</t>
  </si>
  <si>
    <t>Spokane Valley police officers were called at 9:08 a.m. by an employee at a business at the Montgomery Business Park. The worker reported that a person known to him was banging on the windows of the internet sales business and attempting to enter. The person, who was the ex-boyfriend of the victim's current girlfriend, was intoxicated and armed with a pistol. Deputies, who are contracted to work as Spokane Valley police officers, were responding to the call when the victim called dispatch to say that the man was now shooting a handgun. The two deputies engaged and shot and killed the man. They radioed at 9:14 that he had been shot and had crashed into a tree.</t>
  </si>
  <si>
    <t>https://www.spokesman.com/stories/2019/aug/16/suspect-dead-after-deputies-responded-to-shots-fir/</t>
  </si>
  <si>
    <t>Roger Schafer</t>
  </si>
  <si>
    <t>400 Eubank Blvd NE</t>
  </si>
  <si>
    <t>Around 3 p.m., police got a call about a man at a bus stop waving a gun at people driving by. Officers got to the scene, and there was some sort of fight, and multiple officers shot and killed a man. Details as to what precipitated the killing were withheld by police.</t>
  </si>
  <si>
    <t>https://www.koat.com/article/officer-involved-shooting-in-ne-abq/28790095</t>
  </si>
  <si>
    <t>Bobby Ray Moore</t>
  </si>
  <si>
    <t>2600 Florida Ave</t>
  </si>
  <si>
    <t>Deputies were called just after 7 a.m. to investigate reports of an armed man outside a home. When deputies arrived, the sheriff's office said Bobby Ray Moore pointed his gun at them, and they shot and killed him.</t>
  </si>
  <si>
    <t>https://www.kcra.com/article/east-stockton-officer-involved-shooting/28830496</t>
  </si>
  <si>
    <t>Stephen Gillard</t>
  </si>
  <si>
    <t>107-35 Sutphin Blvd</t>
  </si>
  <si>
    <t>Stephen Gillard, shot a 26-year-old man several times in the torso outside the Sanahy Deli &amp; Grocery bodega. When police caught up with him a half-hour later, he allegedly shot at their vehicle and was shot and killed.</t>
  </si>
  <si>
    <t>https://nypost.com/2019/08/30/murder-suspect-killed-in-gunfight-with-cops-in-queens/</t>
  </si>
  <si>
    <t>8000 Caddy Rd</t>
  </si>
  <si>
    <t>Deputies responded to a call about a disturbance. A person went into the woods, and then reportedly returned later with a gun. He locked himself in a car while police tried to get him out, including using chemical weapons. He allegedly pointed a gun at police and was shot and killed.</t>
  </si>
  <si>
    <t>https://www.cbs17.com/news/local-news/wake-county-news/investigation-underway-after-suspect-killed-in-deputy-involved-shooting/</t>
  </si>
  <si>
    <t>Brandon Clayton</t>
  </si>
  <si>
    <t>788 Howard Avenue</t>
  </si>
  <si>
    <t>Brandon Clayton, who was wearing a mask, allegedly shot at a marked police car around 2:30 a.m. The officers returned fire before Clayton fled on foot. Police say about 30 minutes later, Clayton tried breaking into a backyard, and police shot and killed him.</t>
  </si>
  <si>
    <t>http://brooklyn.news12.com/story/40990934/police-man-dead-in-policeinvolved-shooting-in-brownsville</t>
  </si>
  <si>
    <t>Ricardo Hylton</t>
  </si>
  <si>
    <t>2700 North Washington St</t>
  </si>
  <si>
    <t>Police arrived around 7:30 p.m. in response to a call of shots fired. Police said an armed man was actively firing when officers arrived. Two officers shot and killed Ricardo Hylton.</t>
  </si>
  <si>
    <t>https://www.delawareonline.com/story/news/crime/2019/08/31/man-shot-and-killed-wilmington-police-identified-fiancee-ricardo-hylton/2178575001/</t>
  </si>
  <si>
    <t>Sam Burt</t>
  </si>
  <si>
    <t>5000 Riverside Dr</t>
  </si>
  <si>
    <t>About 3 p.m., deputies and Lagrange police officers responded to a call about a woman shot at a home. When they arrived, officers found 68-year-old Sally Harrison dead outside the house. Her husband reported Harrison was outside with her brother, Sam Burt, when the husband heard three shots and saw Burt running into the woods with his three dogs. Officers found Burt on a boat dock and report he was holding a handgun and refused to comply with orders to drop it. Burt allegedly raised his handgun toward police, who shot and killed him.</t>
  </si>
  <si>
    <t>https://wgxa.tv/news/local/gbi-2-dogs-brother-sister-die-in-south-georgia-officer-involved-shooting</t>
  </si>
  <si>
    <t>Vondarrow Dewayne Fisher</t>
  </si>
  <si>
    <t>W Rte 66 and Forestdale Avenue</t>
  </si>
  <si>
    <t>Glendora</t>
  </si>
  <si>
    <t>Glendora Police Department</t>
  </si>
  <si>
    <t>Officers responded to a report of an armed robbery at a jewelry store. The incident was reported about 12:15 p.m. Officers found a woman in a waiting vehicle and took her into custody. A search began for two men. Police shot and killed Vondarrow Dewayne Fisher when he failed to follow orders. Details as to what precipitated the killing were withheld by police.</t>
  </si>
  <si>
    <t>https://abc7.com/glendora-robbery-suspect-killed-2nd-suspect-at-large/5520890/</t>
  </si>
  <si>
    <t>Michael E. Robbins</t>
  </si>
  <si>
    <t>4474 E 200 North</t>
  </si>
  <si>
    <t>Bonneville County Sheriff's Office</t>
  </si>
  <si>
    <t>At 8:50 p.m. deputies and state police responded in reference to a possible domestic disturbance. Michael E. Robbins allegedly brandished a loaded firearm and pointed the handgun at his wife and threatened to kill her. She left. When officers arrived, Robbins barricaded himself into his residence and communicated through a window to the officers. At 4:16 a.m. Robbins reportedly fired on the officers. Bonneville County Sheriff's Sergeant Tony Glenn shot and killed him.</t>
  </si>
  <si>
    <t>https://www.eastidahonews.com/2019/09/name-of-suspect-deputy-involved-in-fatal-shooting-released/</t>
  </si>
  <si>
    <t>Kristopher Adams</t>
  </si>
  <si>
    <t>4300 View Rd</t>
  </si>
  <si>
    <t>Sanger</t>
  </si>
  <si>
    <t>Kristopher Adams was allegedly being sought for warrants. He fled when police showed up, and in the course of the foot pursuit, dropped a gun, reportedly picked it up and pointed it at deputies and at least one shot and killed him.</t>
  </si>
  <si>
    <t>https://www.wfaa.com/article/news/local/denton-county-sheriffs-deputy-fatally-shoots-man-who-pointed-gun-at-deputies/287-fface6a7-0c26-4753-8a48-b93cb0a3bf5d</t>
  </si>
  <si>
    <t>Jarod Lee Smith</t>
  </si>
  <si>
    <t>826 8th St</t>
  </si>
  <si>
    <t>Around 6 a.m., Jarod Lee Smith allegedly committed an armed robbery, held a woman hostage and fired on officers before officers shot and killed him.</t>
  </si>
  <si>
    <t>https://www.wowktv.com/news/local/huntington-police-on-scene-of-shooting/</t>
  </si>
  <si>
    <t>Adam Paul English</t>
  </si>
  <si>
    <t>743 Spring St NE</t>
  </si>
  <si>
    <t>About 5 p.m. near Northeast Georgia Medical Center after officers responded to a report of an armed man. Police officers responded, found Adam Paul English, gave verbal commands to disarm. English reportedly failed to comply, and police shot and killed him.</t>
  </si>
  <si>
    <t>https://www.ajc.com/news/crime--law/breaking-officer-involved-shooting-confirmed-near-gainesville-hospital-police-say/qVhRupk4XlV7hgDQzZylZP/</t>
  </si>
  <si>
    <t>Richard Cabrera</t>
  </si>
  <si>
    <t>8960 SW 122nd Ave</t>
  </si>
  <si>
    <t>Richard Cabrera opened fire at officers from inside a home at the Waterford Point apartment complex. Police fired back and a standoff began. The standoff ended several hours later when Cabrera was found dead. Police did not immediately report whether Cabrera was shot by officers or if he killed himself.</t>
  </si>
  <si>
    <t>https://www.local10.com/news/florida/miami-dade/man-barricaded-inside-apartment-dies-after-exchanging-gunfire-with-police</t>
  </si>
  <si>
    <t>Isaac Rasheed Smith</t>
  </si>
  <si>
    <t>21 Wyman St</t>
  </si>
  <si>
    <t>Police were called to a home in response to a domestic violence report. Officers saw the man standing outside the building, but he went inside the house and reportedly shot at police. The man smashed a front window while holding a weapon. An officer shot and killed him.</t>
  </si>
  <si>
    <t>https://www.boston.com/news/local-news/2019/09/29/man-dies-after-shooting-toward-police-from-jamaica-plain-home</t>
  </si>
  <si>
    <t>Bradley Arning</t>
  </si>
  <si>
    <t>2800 Briarcote Ln</t>
  </si>
  <si>
    <t>Maryland Heights</t>
  </si>
  <si>
    <t>Maryland Heights Police Department</t>
  </si>
  <si>
    <t>Officers responded to a disturbance call around 10:30 a.m. Upon arrival, the officers allegedly were confronted by a man in the home, who drew a handgun. The three Maryland Heights officers shot and killed him.</t>
  </si>
  <si>
    <t>https://www.kmov.com/news/man-killed-by-officers-in-maryland-heights-identified-police-release/article_00f844d2-e87b-11e9-956e-775d55291c46.html</t>
  </si>
  <si>
    <t>65th Ave N and Wedgewood St</t>
  </si>
  <si>
    <t>About 2 a.m., two Myrtle Beach police officers shot and killed Matthew Graham. Details as to what precipitated the killing were withheld by police.</t>
  </si>
  <si>
    <t>https://www.live5news.com/2019/10/12/loris-man-dead-following-saturday-morning-shooting-with-myrtle-beach-police/</t>
  </si>
  <si>
    <t>Matthew Abrams</t>
  </si>
  <si>
    <t>S Michigan St</t>
  </si>
  <si>
    <t>At 6:45 p.m., a deputy on patrol in Pine Bluff saw a person he believed to be a suspect wanted in connection with recent crime. Matthew Abrams and another person got into a car and began to drive away with the deputy following. A vehicle pursuit began when Abrams refused to stop for the deputy and turned onto railroad tracks. A short distance later, the passenger fled on foot and was caught by another officer. Abrams reportedly got out of the vehicle and pointed a gun at the deputy who reportedly shot Abrams who fled on foot into a nearby wooded area. Multiple agencies sought Abrams, and Department of Corrections officers found Abrams in an area of dense brush. Abrams is reported to have pointed a gun at the officers, who ordered him to drop the gun. Abrams failed to comply with the orders and was shot and killed by the corrections officers.</t>
  </si>
  <si>
    <t>https://arktimes.com/arkansas-blog/2019/10/12/officers-kill-suspect-in-pine-bluff-chase</t>
  </si>
  <si>
    <t>Norbert Beyet</t>
  </si>
  <si>
    <t>2800 Rio Vista Ct</t>
  </si>
  <si>
    <t>Police received a call around 6:12 p.m. saying a man was threatening people with a gun. Officers and a sheriff's helicopter responded. Police said Norbert Beyet confronted them with a weapon, and when it allegedly was pointed at the officers, one officer shot and killed Norbert Beyet.</t>
  </si>
  <si>
    <t>https://www.krqe.com/news/new-mexico/farmington-police-dept-officer-involved-shooting-prompts-investigation/</t>
  </si>
  <si>
    <t>Christopher Dequan Crosby</t>
  </si>
  <si>
    <t>US 63 and Hwy 278</t>
  </si>
  <si>
    <t>Around 1:30 p.m., an Arkansas State Trooper attempted to make a traffic stop. The driver of the vehicle failed to stop and drove out of town. The driver crashed the vehicle. Christopher Dequan Crosby allegedly pointed a gun at the trooper, fired and hit the state police car. The trooper shot and killed Crosby.</t>
  </si>
  <si>
    <t>https://5newsonline.com/2019/10/17/1-dead-after-officer-involved-shooting-in-southern-arkansas/</t>
  </si>
  <si>
    <t>Gerald Newton Allen</t>
  </si>
  <si>
    <t>1800 Green St</t>
  </si>
  <si>
    <t>Conyers</t>
  </si>
  <si>
    <t>Rockdale</t>
  </si>
  <si>
    <t>Rockdale County Sheriff's Office</t>
  </si>
  <si>
    <t>Gerald Newton Allen was shot and killed during a police standoff when he allegedly fired at officers. He was a suspect in a fatal shooting.</t>
  </si>
  <si>
    <t>https://www.ajc.com/news/crime--law/developing-found-shot-prompting-swat-situation-neighborhood-near-conyers/y4WXfKFSPyvOzRUNSk5OZN/</t>
  </si>
  <si>
    <t>Tammy Pierce</t>
  </si>
  <si>
    <t>3376 Cuchara Ct</t>
  </si>
  <si>
    <t>Police were called to a residence following a report of a possible homicide' at 7:15 p.m. A Loveland police officer found Samuel Harding, 60, dead inside the garage. Loveland police entered the home and encountered a woman who was armed with a firearm. Tammy Pierce refused commands to disarm and gunfire was exchanged, killing Pierce.</t>
  </si>
  <si>
    <t>https://www.coloradoan.com/story/news/2019/11/13/two-dead-loveland-officer-involved-shooting-incident-identified/4178382002/</t>
  </si>
  <si>
    <t>James Aubrey</t>
  </si>
  <si>
    <t>W 820 S &amp; W Sunset Dr</t>
  </si>
  <si>
    <t>Cedar City</t>
  </si>
  <si>
    <t>Cedar City Police Department</t>
  </si>
  <si>
    <t>A woman called and reported to police that her husband, James Aubrey, was making threats toward her, toward himself and toward the woman's adult son. Four officers arrived and spoke with family members outside the home before announcing their presence and asking the man to come outside with his hands visible. The man emerged with a handgun pointed toward the officers, and one officer shot and killed him.</t>
  </si>
  <si>
    <t>https://www.thespectrum.com/story/news/2019/11/14/cedar-city-officer-leave-shooting-investigation-continues/4183456002/</t>
  </si>
  <si>
    <t>Andrew Joseph Roberts</t>
  </si>
  <si>
    <t>Hwy 85 between Saratoga Ave and Winchester</t>
  </si>
  <si>
    <t>Police said a man, who was wanted on an outstanding warrant, produced a handgun after police stopped the car he was riding in around 3:10 p.m. One officer shot and killed him.</t>
  </si>
  <si>
    <t>https://www.mercurynews.com/2019/11/09/one-dead-in-san-jose-officer-involved-shooting/</t>
  </si>
  <si>
    <t>1 Windsor Ridge Drive</t>
  </si>
  <si>
    <t>Westborough</t>
  </si>
  <si>
    <t>Westborough Police Department</t>
  </si>
  <si>
    <t>Police received a call for a domestic incident at about noon at Windsor Ridge apartments, and said when they arrived the incident was still in progress, and Officer Jonathan Kalagher shot and killed a man. Details as to what precipitated the killing were withheld by police.</t>
  </si>
  <si>
    <t>https://www.necn.com/news/new-england/Heavy-Police-Presence-at-Westboro-Housing-Development-564992422.html</t>
  </si>
  <si>
    <t>Mark Sheppard</t>
  </si>
  <si>
    <t>3700 E 142nd St</t>
  </si>
  <si>
    <t>A homicide suspect, Mark Sheppard, was holding a shotgun when a Cleveland officer shot and killed him in the driveway of an East Side home, police said. Neither Sheppard nor the officer's partner fired any shots during the incident.</t>
  </si>
  <si>
    <t>https://www.cleveland.com/crime/2019/11/police-union-homicide-suspect-was-holding-shotgun-when-cleveland-officer-fatally-shot-him.html</t>
  </si>
  <si>
    <t>Adam Martinez</t>
  </si>
  <si>
    <t>8th Ave and Zuni St</t>
  </si>
  <si>
    <t>Adam Martinez tried to steal a vehicle, then successfully stole an officer's car as police tried to track him down in relation to the original attempted carjacking. After stealing the car, Martinez drove to west Denver, allegedly pointing an officer's rifle at officers. Eventually, officers disabled the vehicle. Martinez reportedly pointed the rifle at officers, and they shot and killed him.</t>
  </si>
  <si>
    <t>https://www.thedenverchannel.com/news/local-news/man-shot-and-killed-by-denver-police-monday-after-allegedly-stealing-squad-car-identified</t>
  </si>
  <si>
    <t>Dominick Matt</t>
  </si>
  <si>
    <t>3610 SW Regional Airport Rd</t>
  </si>
  <si>
    <t>Bentonville</t>
  </si>
  <si>
    <t>Bentonville Police Department</t>
  </si>
  <si>
    <t>An officer was searching for a suspect involved in the attempted robbery at a nearby Kum and Go gas station. At 11:23 p.m., Dominick Matt was seen walking in the area of the store and was approached by the officer. Matt allegedly brandished a handgun, and the officer shot and killed him.</t>
  </si>
  <si>
    <t>https://www.4029tv.com/article/police-bentonville-officers-shoots-kills-suspected-robber/30156734</t>
  </si>
  <si>
    <t>Tyler Hall</t>
  </si>
  <si>
    <t>1202 W 23rd St S</t>
  </si>
  <si>
    <t>Tyler Hall walked into the QuikTrip around 2:30 a.m. He reportedly walked around the store then pulled out a gun. A QuikTrip security guard tried to talk to him, but Hall pointed the gun at him. Police arrived and saw Hall with his gun pointed at the guard. Three officers shot and killed him.</t>
  </si>
  <si>
    <t>https://ktul.com/news/local/tulsa-police-identify-man-killed-in-officer-involved-shooting</t>
  </si>
  <si>
    <t>Patrick Alden</t>
  </si>
  <si>
    <t>851 E Minnesota St</t>
  </si>
  <si>
    <t>Officers responded to a report of gunshots around 5 p.m. at an apartment complex. Patrick Alden allegedly shot at arriving officers with a rifle from the second floor. Officers entered the building and climbed to the second floor, where they met the alleged rifleman on the stairwell. RCPD officer Garrett Mastin shot and killed Alden.</t>
  </si>
  <si>
    <t>https://www.argusleader.com/story/news/crime/2019/12/30/2-dead-rapid-city-officer-involved-shooting/2774218001/</t>
  </si>
  <si>
    <t>Jacob Michael Harris</t>
  </si>
  <si>
    <t>N 91st Ave &amp; W Camelback Rd</t>
  </si>
  <si>
    <t>Jacob Michael Harris was shot and killed after he allegedly reached for a gun when confronted by police. He was suspected of participating in an armed robbery, police said.</t>
  </si>
  <si>
    <t>https://www.azcentral.com/story/news/local/phoenix-breaking/2019/01/11/phoenix-police-shooting-armed-robbery-suspect-shot/2545814002/</t>
  </si>
  <si>
    <t>Antonio Joseph Valentine</t>
  </si>
  <si>
    <t>49 S Arlington Rd</t>
  </si>
  <si>
    <t>A man who refused to get out of a pickup truck in a supermarket parking lot was shot and killed when six officers opened fire after reportedly spotting a gun in the vehicle.</t>
  </si>
  <si>
    <t>https://www.news4jax.com/news/local/jacksonville/jso-officer-involved-in-incident-on-arlington-road</t>
  </si>
  <si>
    <t>Oscar Cain</t>
  </si>
  <si>
    <t>510 Connell Ave SW</t>
  </si>
  <si>
    <t>An officer was flagged down by a person around 1 a.m. while patrolling outside the Goldrush Showbar. He was asked to look into a report of armed person near northbound I-85.  The officer made contact with Oscar Cain, and attempted to arrest him. Cain fled into a nearby wooded area behind the strip club. The officer pursued. Cain reportedly brandished a firearm and was shot and killed.</t>
  </si>
  <si>
    <t>https://www.ajc.com/news/crime--law/breaking-man-shot-killed-atlanta-officer-during-foot-chase-police-say/T2Bre2KTzASg4LaPrYZ2iK/</t>
  </si>
  <si>
    <t>Kaylon Robinson</t>
  </si>
  <si>
    <t>300 Walsh St</t>
  </si>
  <si>
    <t>A St. Louis police officer shot and killed a man after he allegedly ran from an apartment with pistols and pointed them in the direction of the officer, refusing police commands to stop. Police said the man had robbed and shot an acquaintance moments before police shot him.</t>
  </si>
  <si>
    <t>https://www.stltoday.com/news/local/crime-and-courts/armed-man-killed-by-officer-in-st-louis-had-just/article_89041f98-55bf-53ce-b050-3d580d86fd4f.html</t>
  </si>
  <si>
    <t>Jamarcus Dejun Moore</t>
  </si>
  <si>
    <t>3200 Allison-Bonnett Memorial Parkway</t>
  </si>
  <si>
    <t>Hueytown</t>
  </si>
  <si>
    <t>Birmingham police officers tried to conduct a traffic stop at 11:29 p.m. The driver refused to stop, and a pursuit ensued.  A running gun battle between the vehicle and Birmingham police on Interstate 20/59 left Jamarcus Dejun Moore dead and his female friend wounded.</t>
  </si>
  <si>
    <t>https://www.al.com/news/birmingham/2019/06/violent-weekend-countywide-leaves-5-dead-in-less-than-32-hours.html</t>
  </si>
  <si>
    <t>Gene Pool</t>
  </si>
  <si>
    <t>1901 Constitution Rd</t>
  </si>
  <si>
    <t>Gene Pool was shot and killed by police during a standoff in a trailer park. Police were reportedly seeking Pool for several days for unspecified reasons.</t>
  </si>
  <si>
    <t>https://www.kktv.com/content/news/Suspect-dead-after-officer-involved-shooting-in-Pueblo-511966232.html</t>
  </si>
  <si>
    <t>Kareem Omar Morgan</t>
  </si>
  <si>
    <t>7905 Pulaski Hwy</t>
  </si>
  <si>
    <t>Rosedale</t>
  </si>
  <si>
    <t>Kareem Omar Morgan was allegedly suspected of a domestic violence crime. Police reportedly caught up with him at a hotel, and they shot and killed him.</t>
  </si>
  <si>
    <t>https://baltimore.cbslocal.com/2019/07/06/baltimore-county-police-investigating-police-involved-shooting-at-the-dukes-motel/</t>
  </si>
  <si>
    <t>Treon McCoy</t>
  </si>
  <si>
    <t>210 E Trade St</t>
  </si>
  <si>
    <t>Around 2:15 a.m. in the Epicentre, two CMPD officers were working off-duty in uniform when they responded to reports of an altercation. Officers Kevin Lovell and Shane Mathews shot and killed Treon McCoy, and another was taken to the hospital with minor injuries. Details as to what precipitated the killing were withheld by police.</t>
  </si>
  <si>
    <t>https://www.wbtv.com/2019/11/15/one-dead-another-hurt-officer-involved-shooting-charlottes-epicentre/</t>
  </si>
  <si>
    <t>Kenneth Simeus</t>
  </si>
  <si>
    <t>Warm Springs Road and Marks Street</t>
  </si>
  <si>
    <t>Kenneth Simeus Jr. was an armed robbery suspect—believed to be behind of a recent series of commercial business robberies in Henderson—who was shot and killed by city police after he had reportedly opened fire on a fast food worker and officers.</t>
  </si>
  <si>
    <t>https://www.reviewjournal.com/crime/homicides/armed-robbery-suspect-fatally-shot-by-henderson-police-idd-1898740/</t>
  </si>
  <si>
    <t>Emanuel Johnson</t>
  </si>
  <si>
    <t>908 Suffolk Ave</t>
  </si>
  <si>
    <t>Brentwood</t>
  </si>
  <si>
    <t>Two officers were on patrol in a marked police vehicle when they pulled over a car in the parking lot of the Brentwood Long Island Railroad Station at 10:20 p.m. The driver, Emanuel Johnson, reportedly ran away from the officers while carrying a backpack. The officers chased him on foot to the backyard of a home where they reportedly tried to deployed a Taser that was ineffective, police said. Johnson reportedly displayed a handgun and was shot and killed.</t>
  </si>
  <si>
    <t>https://patch.com/new-york/brentwood-central-islip/man-killed-police-involved-shooting-brentwood-scpd</t>
  </si>
  <si>
    <t>Anthony Santana</t>
  </si>
  <si>
    <t>81871 Las Palmas Rd</t>
  </si>
  <si>
    <t>Officers were reportedly investigating an armed robbery when when they received a suspicious persons call at a nearby apartment. Anthony Santana allegedly pulled out a gun when officers were talking to him, and officers shot and killed him.</t>
  </si>
  <si>
    <t>https://www.kesq.com/news/officer-involved-shooting-confirmed-in-indio/1067815268</t>
  </si>
  <si>
    <t>Cesar Tomix Sarmiento-Molina</t>
  </si>
  <si>
    <t>W Maple St and S 7th St</t>
  </si>
  <si>
    <t>Cesar Tomix Sarmiento-Molina was shot and killed when he allegedly approached three undercover police allegedly with the intention of robbing them.</t>
  </si>
  <si>
    <t>https://fox6now.com/2019/05/13/officials-identify-34-year-old-man-killed-in-officer-involved-shooting-during-search-for-victor-cintron-jr/</t>
  </si>
  <si>
    <t>Eddie Herrera</t>
  </si>
  <si>
    <t>Victoria Ave and 2nd St</t>
  </si>
  <si>
    <t>Officers were dispatched at 1:30 p.m. to investigate a report of people who were possibly drunk and smoking marijuana. The first Montebello officer to arrive saw an individual walking with a shotgun. The officer shot and killed Eddie Herrera, although details as to what precipitated the killing were withheld by police.</t>
  </si>
  <si>
    <t>https://mynewsla.com/crime/2019/05/11/coroner-identifies-man-killed-in-officer-involved-shooting-in-montebello-2/</t>
  </si>
  <si>
    <t>Hector Lopez</t>
  </si>
  <si>
    <t>1602 S 7th Ave</t>
  </si>
  <si>
    <t>Hector Lopez was shot and killed when he struggled with and then pointed a gun at officers who had responded to a trespassing call. A woman who was with Lopez was arrested on an unrelated felony warrant. According to police, Police said a handgun fell to the ground when Lopez opened a car door as the officers approached and that a struggle began when Lopez dove toward the gun and grabbed it.</t>
  </si>
  <si>
    <t>https://www.kgun9.com/news/local-news/phoenix-police-release-id-of-man-fatally-shot-by-officers</t>
  </si>
  <si>
    <t>Robert Rabago</t>
  </si>
  <si>
    <t>N 14th St and E Portland St</t>
  </si>
  <si>
    <t>Officers Risa Magnuson and Greg Westover shot and killed Robert Rabago, after he shot at police, police said.</t>
  </si>
  <si>
    <t>https://www.azcentral.com/story/news/local/phoenix-breaking/2019/05/23/officials-identify-phoenix-officers-who-fatally-shot-teen-firing-police/1213275001/</t>
  </si>
  <si>
    <t>Isaac Ray Ruiz</t>
  </si>
  <si>
    <t>SE 10th Ave and S Johnson St</t>
  </si>
  <si>
    <t>Police were seeking Isaac Ray Ruiz regarding a shooting that involved random cars in a residential neighborhood. When police pulled over a vehicle that Ruiz was in, he allegedly began fleeing on foot while firing at police. He was shot and killed.</t>
  </si>
  <si>
    <t>https://www.newschannel6now.com/2019/05/29/amarillo-police-responding-officer-involved-shooting-near-maverick-boys-girls-club/</t>
  </si>
  <si>
    <t>Fabian Rivera</t>
  </si>
  <si>
    <t>201 Villa Elena Ln</t>
  </si>
  <si>
    <t>Police were called to an apartment around 9:30 a.m. for reports of shots fired. Officers confronted Fabian Rivera who allegedly was armed with a gun. Two officers shot and killed him, although details as to what precipitated the killing were withheld by police.</t>
  </si>
  <si>
    <t>https://www.krqe.com/news/new-mexico/suspect-injured-following-officer-involved-shooting-in-bernalillo/2054894300</t>
  </si>
  <si>
    <t>Christopher Barela</t>
  </si>
  <si>
    <t>E 11th Ave and Lincoln St</t>
  </si>
  <si>
    <t>About 7 a.m., Christopher Barela was allegedly firing a gun on a busy street. Police followed him several blocks, and then shot and killed him. It was not immediately reported if he threatened police with the gun.</t>
  </si>
  <si>
    <t>https://www.denverpost.com/2019/07/01/officer-involved-shooting-11th-lincoln-denver/</t>
  </si>
  <si>
    <t>Leonel Mendez</t>
  </si>
  <si>
    <t>Denver West Colorado Mills Parkway and Cole Boulevard</t>
  </si>
  <si>
    <t>Denver Police Department, Jefferson County Sheriff's Office</t>
  </si>
  <si>
    <t>Leonel Mendez was reportedly wanted for questioning regarding a murder. After a vehicle chase, he allegedly fled on foot and fired at officers before police shot and killed him.</t>
  </si>
  <si>
    <t>https://kdvr.com/2019/07/04/officer-involved-in-shooting-near-colorado-mills-mall/</t>
  </si>
  <si>
    <t>Claudia Nadia Rodriguez</t>
  </si>
  <si>
    <t>10701 S Eastern Ave</t>
  </si>
  <si>
    <t>Claudia Nadia Rodriguez had allegedly stabbed her 7-year-old child when police arrived. The mother fought with police and was shot and killed.</t>
  </si>
  <si>
    <t>https://www.fox5vegas.com/news/henderson-police-officer-shoots-kills-mother-suspected-of-stabbing-boy/article_364ea812-f44f-11e9-85d6-7bd58497c53c.html</t>
  </si>
  <si>
    <t>3600 4th St</t>
  </si>
  <si>
    <t>Around 5:30 p.m., deputies approached a pedestrian and made contact with him. He allegedly pulled a gun. Deputies shot and killed him.</t>
  </si>
  <si>
    <t>https://abc7.com/1-dead-in-east-los-angeles-after-deputy-involved-shooting/5761169/</t>
  </si>
  <si>
    <t>Timothy Rhodes</t>
  </si>
  <si>
    <t>Ambler Ridge Rd</t>
  </si>
  <si>
    <t>Roane County Sheriff's Office</t>
  </si>
  <si>
    <t>Deputies responded to a call about a car spinning its tires in a driveway, throwing rocks into a nearby home. The deputy ordered the man to stop when he drove off. Timothy Rhodes was ordered to get out of the car. Rhodes was shot and killed after he allegedly tried to get a deputy's firearm.</t>
  </si>
  <si>
    <t>https://www.wsaz.com/content/news/Suspect-injured-after-officer-involved-shooting-in-Roane-County-506239521.html</t>
  </si>
  <si>
    <t>Jackie Scott Pendergrass</t>
  </si>
  <si>
    <t>3606 US 11W</t>
  </si>
  <si>
    <t>Blountville</t>
  </si>
  <si>
    <t>During a welfare check, Jackie Scott Pendergrass allegedly fired a shot at deputies as they approached the house. Deputies reportedly retreated and tried to communicate with Pendergrass, but he opened fire on them a short time later. During an exchange of gunfire, a deputy was shot, and Pendergrass was killed.</t>
  </si>
  <si>
    <t>https://www.wjhl.com/local/breaking-news-sullivan-county-sheriff-s-officer-injured-in-shooting/1803512468</t>
  </si>
  <si>
    <t>Eric David Sauerhagen</t>
  </si>
  <si>
    <t>3172 Summer View Ln</t>
  </si>
  <si>
    <t>Bozeman</t>
  </si>
  <si>
    <t>Bozeman Police Department</t>
  </si>
  <si>
    <t>A man called 911 late and reported that his drunk roommate was assaulting him. Several officers responded at 11:44 p.m. The person who reported the assault was outside. His alleged assailant, Eric Sauerhagen, was inside. Police told him to come to the door and comply with officers. Sauerhagen, armed with a hatchet and a handgun, came toward officers at the front door, and he was shot and killed.</t>
  </si>
  <si>
    <t>https://www.bozemandailychronicle.com/news/crime/officer-shoots-kills-man-at-home-in-south-bozeman/article_c8d9ccce-aba2-517f-bab7-951c019920aa.html</t>
  </si>
  <si>
    <t>Dylan Aikey</t>
  </si>
  <si>
    <t>E 16th Ave and Columbine St</t>
  </si>
  <si>
    <t>At 2:11 a.m., officers responded in reference to a report of a vehicle prowler. As officers arrived in the area, they found a man who reportedly fled then shot at pursuing officers. Officers Steven Amnatkeolee, Brandon Schafer, Kyle Haskins and Matthew Choate shot and killed Dylan Aikey.</t>
  </si>
  <si>
    <t>https://www.ktva.com/story/40089756/man-killed-in-officerinvolved-shooting-in-airport-heights</t>
  </si>
  <si>
    <t>Phillip Wayne Outland</t>
  </si>
  <si>
    <t>1400 NC-45 S</t>
  </si>
  <si>
    <t>Cofield</t>
  </si>
  <si>
    <t>Hertford</t>
  </si>
  <si>
    <t>Hertford County Chief Deputy Will Liverman</t>
  </si>
  <si>
    <t>Police responded to a call regarding an individual described as "combative and irate" and armed with a handgun. Deputy Will Liverman shot and killed Phillip Wayne Outland, although details regarding the killing were withheld by police.</t>
  </si>
  <si>
    <t>https://www.roanoke-chowannewsherald.com/2019/03/11/officer-involved-in-fatal-shooting/</t>
  </si>
  <si>
    <t>Timothy John Beckwith</t>
  </si>
  <si>
    <t>4000 Karling Place</t>
  </si>
  <si>
    <t>Deputies were seeking Timothy John Beckwith on a warrant stemming from an assault case when they found him at his mobile home about 9:15 p.m. Beckwith pointed a gun at deputies, who shot at him. He barricaded himself inside the home. He emerged from the home after deputies threw a device into the trailer. Deputies shot at Beckwith a second time. Deputies broke into the home and found Beckwith dead from gunshot wounds.</t>
  </si>
  <si>
    <t>https://ktla.com/2019/03/18/man-fatally-shot-at-end-of-standoff-in-palmdale-identified/</t>
  </si>
  <si>
    <t>Augustus Combs</t>
  </si>
  <si>
    <t>1200 Strong Road</t>
  </si>
  <si>
    <t>Around 1 p.m. officers with the Dalhart Police Department made contact with Augustus Combs for an outstanding warrant. Combs fled and police chased him to a storage facility. As officers approached, Combs reportedly raised his shirt and pulled out a handgun, and officers shot and killed him.</t>
  </si>
  <si>
    <t>http://www.newschannel10.com/2019/04/14/dead-after-officer-involved-shooting-dalhart-2/</t>
  </si>
  <si>
    <t>Michael St. Clair</t>
  </si>
  <si>
    <t>2704 S Shackleford Rd</t>
  </si>
  <si>
    <t>Officers Ryan Stubenrauch and Chandler Taylor were called regarding a report of a suspicious person wearing a black hoodie and armed with a gun. The man allegedly fired the gun, and was seen walking toward Walmart. They found a man fitting the description and tried to talk with him. He reportedly ran away and then shot a semi-automatic handgun at them. Officers shot and killed Michael St. Clair.</t>
  </si>
  <si>
    <t>https://www.fox16.com/news/local-news/update-man-id-d-in-deadly-lr-officer-involved-shooting/1943362846?fbclid=IwAR2ikpnryftUbmMwqBmOVe7UexqascI3NFG9Nhuc4FPv_CcBatF6m5-POLQ</t>
  </si>
  <si>
    <t>John Darlington</t>
  </si>
  <si>
    <t>800 N 15th St</t>
  </si>
  <si>
    <t>Mexico Beach</t>
  </si>
  <si>
    <t>Mexico Beach Police Department</t>
  </si>
  <si>
    <t>John Darlington was shot and killed by Mexico Beach officers who went to arrest him on multiple warrants out of Pasco County. Darlington allegedly was armed when officers confronted him, and he was shot and killed.</t>
  </si>
  <si>
    <t>https://www.wjhg.com/content/news/Man-killed-in-Mexico-Beach-officer-involved-shooting-identified-508467761.html</t>
  </si>
  <si>
    <t>Stanley Edward Thompson</t>
  </si>
  <si>
    <t>3000 White Cloud Cir</t>
  </si>
  <si>
    <t>Apex Police Department</t>
  </si>
  <si>
    <t>Stanley Edward Thompson called police with a complaint about loud noise. He allegedly assaulted a party-goer and then pulled a gun on police when they tried to question him. He was shot and killed.</t>
  </si>
  <si>
    <t>https://www.heraldsun.com/news/local/article229812639.html?fbclid=IwAR3RYJl363dro6BkNYjqugXB9Z3J1MMlttWdjqGJcBq1NhZxiRZr-PbT78w</t>
  </si>
  <si>
    <t>Aubrey Manning</t>
  </si>
  <si>
    <t>102 E Main Ave</t>
  </si>
  <si>
    <t>Lumberton Police Department</t>
  </si>
  <si>
    <t>Police got several calls about a man exposing himself near Lumberton City Hall. He allegedly was waving a gun around 8 a.m. When Lumberton police arrived, he ran to the back of City Hall and and pointed a gun at the officer. The officer fired one round, and the man fatally shot himself in the chest.</t>
  </si>
  <si>
    <t>https://www.clarionledger.com/story/news/crime/2019/05/07/lumberton-man-exposing-himself-shoots-himself-officer-involved-shooting-mississippi/1128911001/</t>
  </si>
  <si>
    <t>Nikolai Landry</t>
  </si>
  <si>
    <t>400 Lodgepole Ave</t>
  </si>
  <si>
    <t>Police reportedly responded to a call regarding a suspicious person. When they arrived, a person allegedly showed them a gun and was shot and killed.</t>
  </si>
  <si>
    <t>https://www.redding.com/story/news/2019/06/01/officer-involved-shooting-leaves-one-man-dead-anderson-group-home/1318853001/</t>
  </si>
  <si>
    <t>Shawn Ray Wilson</t>
  </si>
  <si>
    <t>798 High Grade Wy</t>
  </si>
  <si>
    <t>Shawn Ray Wilson was shot and killed by Trooper Brian Hibbs when he reportedly pulled out a weapon as troopers attempted to take him into custody about 5 a.m.  The troopers were trying to serve a search warrant and a $100,000 arrest warrant on charges of forgery and theft.</t>
  </si>
  <si>
    <t>https://www.ktuu.com/content/news/Troopers-injured-and-one-person-dead-after-a-shooting-in-Fairbanks-511349622.html</t>
  </si>
  <si>
    <t>Scott William Robertson</t>
  </si>
  <si>
    <t>14000 N Blenheim Rd</t>
  </si>
  <si>
    <t>Baltimore County police said someone called 911 around 7:30 a.m. to report a domestic dispute on Bleinheim Road and that a man had a weapon. Police said officers responding to the call saw a person come out of the front door of a house with a gun. At least one officer shot and killed him.</t>
  </si>
  <si>
    <t>https://www.baltimorecountymd.gov/News/PoliceNews/iWatch/police-release-additional-details-in-officer-involved-shooting</t>
  </si>
  <si>
    <t>Jay P. Messer</t>
  </si>
  <si>
    <t>16000 Oak Point Road</t>
  </si>
  <si>
    <t>La Monte</t>
  </si>
  <si>
    <t>Pettis County Sheriff's Office, Missouri State Highway Patrol</t>
  </si>
  <si>
    <t>Deputies were called in reference to a verbal domestic disturbance. After making contact with the caller at a nearby residence, four deputies and a Missouri State Highway Patrol Trooper arrived at the home about 6:33 p.m. and were met by an intoxicated male with a shotgun. Officers ordered the man to put down the weapon, but he fired at them, and they shot and killed him.</t>
  </si>
  <si>
    <t>https://www.kmmo.com/2019/11/06/authorities-release-name-of-man-killed-in-officer-involved-shooting/</t>
  </si>
  <si>
    <t>John Luce</t>
  </si>
  <si>
    <t>1500 S Harlan St</t>
  </si>
  <si>
    <t>Police said they went to a home to find a man wanted on felony warrants. The 22-year-old man tried to get out of a basement window when he was confronted by an officer. He allegedly refused to drop a gun, and the officer shot and killed man.</t>
  </si>
  <si>
    <t>https://denver.cbslocal.com/2019/11/11/lakewood-police-officer-involved-shooting/</t>
  </si>
  <si>
    <t>Justin Anderson</t>
  </si>
  <si>
    <t>https://fatalencounters.org/wp-content/uploads/2019/11/Justin-Anderson.jpg</t>
  </si>
  <si>
    <t>10900 SW 33rd Street</t>
  </si>
  <si>
    <t>Yukon</t>
  </si>
  <si>
    <t>Officers responded to robbery call about 2:20 a.m. at a 7-Eleven. When officers arrived, they found 63-year-old Ross Garrett dead with apparent gunshot wounds. The killer fled before officers arrived. Shortly after, police received a tip that the robbery and murder suspect was at a home. When officers arrived at the home, Justin Anderson reportedly opened fire at the officers using a handgun. Officers shot and killed Anderson.</t>
  </si>
  <si>
    <t>https://www.newson6.com/story/41306088/suspect-on-the-run-following-deadly-shooting-at-sw-okc-gas-station</t>
  </si>
  <si>
    <t>William Harris</t>
  </si>
  <si>
    <t>3 North Ave</t>
  </si>
  <si>
    <t>Hampton Police Department</t>
  </si>
  <si>
    <t>William Harris was fatally shot by Hampton police after telling officers he was going to kill them and opening fire. Police came to the home for a wellness check.</t>
  </si>
  <si>
    <t>https://www.ajc.com/news/crime--law/man-dies-after-exchanging-gunfire-with-police-hampton-gbi-says/8OfHQIaTpjoEYi6tp5NnuK/</t>
  </si>
  <si>
    <t>Anthony Rosso</t>
  </si>
  <si>
    <t>98 Harmon Cove Tower</t>
  </si>
  <si>
    <t>Secaucus</t>
  </si>
  <si>
    <t>Secaucus Police Department</t>
  </si>
  <si>
    <t>Officers responded to a residence after a 911 call was received at approximately 5:41 p.m. reporting a domestic incident with a shot fired. Upon arrival, police encountered Rosso, who was outside the residence and reportedly was armed with a handgun. Rosso fired his gun and multiple police officers fired their weapons, killing Rosso.</t>
  </si>
  <si>
    <t>https://www.rlsmedia.com/article/update-68-year-old-man-shot-dead-police-after-firing-his-gun-officers-attorney-general-said</t>
  </si>
  <si>
    <t>Jessica Ann Beedles</t>
  </si>
  <si>
    <t>5000 Nora Lynn Dr</t>
  </si>
  <si>
    <t>Agents served a search warrant about 3:45 a.m. in relation to an ongoing narcotics investigation, police said. During the execution of the search warrant, agents encountered an armed woman inside the home and shot and killed her. Details as to what precipitated the killing were withheld by police.</t>
  </si>
  <si>
    <t>https://www.dailynews.com/2019/11/20/armed-woodland-hills-suspect-killed-when-dea-tries-to-serve-search-warrant/</t>
  </si>
  <si>
    <t>Akeen Brown</t>
  </si>
  <si>
    <t>Dennis Edwards</t>
  </si>
  <si>
    <t>Tyrone Domingo Banks</t>
  </si>
  <si>
    <t>https://fatalencounters.org/wp-content/uploads/2019/09/tyrone-banks.jpg</t>
  </si>
  <si>
    <t>N Caroline St and E Fayette St</t>
  </si>
  <si>
    <t>After multiple run-ins with police over a few days, Tyrone Banks allegedly shot at police and was shot and killed.</t>
  </si>
  <si>
    <t>https://www.wbaltv.com/article/police-involved-shooting-caroline-street-east-baltimore/28850962</t>
  </si>
  <si>
    <t>Jamee Christopher Deonte Johnson</t>
  </si>
  <si>
    <t>https://fatalencounters.org/wp-content/uploads/2019/12/Jamee-Christopher-Deonte-Johnson.jpg</t>
  </si>
  <si>
    <t>3000 Buckman St</t>
  </si>
  <si>
    <t>Officers J. Garriga and K. Graham were patrolling around 5 p.m. when they made a traffic stop. Garriga made contact with the driver, Jamee Christopher Deonte Johnson, and during their conversation, the officer reportedly realized the driver had a handgun. Johnson was ordered out of the vehicle, and a fight began. Waters said Johnson went back to his vehicle, accelerated toward one of the officers and reached for the gun. Garriga shot and killed him. Graham reportedly did not fire his gun.</t>
  </si>
  <si>
    <t>https://www.firstcoastnews.com/article/news/crime/officer-involved-shooting-reported-in-urban-core-neighborhood-2-officers-injured/77-290029bb-880a-4995-924a-0f25f3dc9523</t>
  </si>
  <si>
    <t>Anthony Watkins</t>
  </si>
  <si>
    <t>CA-62 and Pinion Drive</t>
  </si>
  <si>
    <t>At 9:39 p.m., deputies responded to a report of a possible burglary at a home. Deputies located the vehicle, the cab of a semi-truck. During an on-road, chaotic gunbattle, a man was shot and killed.</t>
  </si>
  <si>
    <t>https://www.kesq.com/news/chase-leads-to-deputy-involved-shooting-in-yucca-valley/1127095174</t>
  </si>
  <si>
    <t>Rene Enrique Ruiz</t>
  </si>
  <si>
    <t>9100 W Van Buren St</t>
  </si>
  <si>
    <t>Tolleson</t>
  </si>
  <si>
    <t>Police were watching Rene Enrique Ruiz, who reportedly was suspected of being involved in a homicide. During a pursuit, Ruiz allegedly tried to steal a car. An officer used his vehicle to force the suspect to the ground, then officers approached him. Ruiz drew a handgun and fired a shot at an approaching officer but missed. That officer shot and killed Ruiz.</t>
  </si>
  <si>
    <t>https://www.azcentral.com/story/news/local/phoenix-breaking/2019/08/30/officials-investigating-police-shooting-near-87th-avenue-and-van-buren/2164119001/</t>
  </si>
  <si>
    <t>Hector Miranda</t>
  </si>
  <si>
    <t>4300 W Dailey St</t>
  </si>
  <si>
    <t>A 911 caller reported a domestic violence incident on behalf of Hector Miranda's mother. The caller's husband took Miranda's mother to the hospital, where she was treated for a head wound. Police learned from the 911 caller that Miranda was armed. He approached two officers, wielding a handgun and long knife, and failed to comply with orders for him to drop his weapons. Police shot and killed him.</t>
  </si>
  <si>
    <t>https://www.azcentral.com/story/news/local/phoenix/2019/09/10/man-fatally-shot-phoenix-police-identified-hector-miranda/2277322001/</t>
  </si>
  <si>
    <t>Geoffrey Morris</t>
  </si>
  <si>
    <t>https://www.fatalencounters.org/wp-content/uploads/2019/01/Geoffrey-Morris.jpg</t>
  </si>
  <si>
    <t>905 N Main St.</t>
  </si>
  <si>
    <t>Two officers and a KDOC employee planned to arrest Geoffrey Morris on a felony warrant in a parking lot. When they told him to get out of the car, he allegedly failed to comply. Police said the man reversed, hitting a police vehicle, then drove forward, and officers shot and killed him.</t>
  </si>
  <si>
    <t>https://www.kwch.com/content/news/Wife-says-man-involved-in-officer-involved-shooting-taken-off-life-support-504277971.html</t>
  </si>
  <si>
    <t>Terry Countryman</t>
  </si>
  <si>
    <t>https://fatalencounters.org/wp-content/uploads/2019/10/Terry-Countryman.jpg</t>
  </si>
  <si>
    <t>29 Hickory Ridge</t>
  </si>
  <si>
    <t>At about 3:30 p.m., after allegedly stealing a company vehicle, Countryman shot and wounded Deputy Bradley Colman in a shoot-out at the Hickory Ridge Mobile Home Park. He then stole Colman's squad car and fled. After he reportedly rammed a Palestine Police Department vehicle near Montalba and shot at officers, he ran with a rifle taken from the deputy's squad car. Then he stole a blue SUV, crashed it, and ran into a woods. At about 5:30 p.m. a state trooper found Countryman, who allegedly pointed a rifle at the trooper, who shot and killed Countryman.</t>
  </si>
  <si>
    <t>https://www.palestineherald.com/news/his-life-crumbling-local-man-killed-by-state-trooper-after/article_38d23eda-f375-11e9-963c-0f69816a9f47.html</t>
  </si>
  <si>
    <t>S Coy St and Gilmore Ave</t>
  </si>
  <si>
    <t>Police said that Mendez assaulted a Kansas City, Missouri, police officer, prompting a chase that ended on the other side of the state line. He allegedly produced a gun during a foot pursuit and was shot and killed.</t>
  </si>
  <si>
    <t>https://www.kshb.com/news/crime/kck-police-identify-suspect-killed-in-officer-involved-shooting</t>
  </si>
  <si>
    <t>Yemerson Melendez</t>
  </si>
  <si>
    <t>https://fatalencounters.org/wp-content/uploads/2019/12/Yemerson-Melendez.jpg</t>
  </si>
  <si>
    <t>900 Boston Ave</t>
  </si>
  <si>
    <t>Deputies responded to a burglary call, and two deputies spotted a car leaving the area and pursued it. The driver, Yemerson Melendez, crashed the vehicle and then sped away, reportedly running over over a deputy's foot. The vehicle crashed again, and the driver and passenger attempted to flee. Melendez reportedly failed to comply with a deputy's orders and pulled a firearm. A deputy shot and killed him.</t>
  </si>
  <si>
    <t>https://www.wctv.tv/content/news/Florida-deputy-fatally-shoots-teen-burglary-suspect-565672372.html</t>
  </si>
  <si>
    <t>Richard Ruiz</t>
  </si>
  <si>
    <t>7611 W Thomas Rd</t>
  </si>
  <si>
    <t>Around 11 a.m., police were called for reports of shots fired and a subject with a gun outside of the Desert Sky Mall. He had reportedly tried to carjack two vehicles, shooting the occupants. Police shot and killed Richard L. Ruiz as he tried to escape in a pickup truck in the mall's parking lot.</t>
  </si>
  <si>
    <t>https://www.abc15.com/news/region-west-valley/officer-involved-in-shooting-at-desert-sky-mall</t>
  </si>
  <si>
    <t>Bill Akes</t>
  </si>
  <si>
    <t>https://www.fatalencounters.org/wp-content/uploads/2019/01/Bill-Akes-48.jpg</t>
  </si>
  <si>
    <t>340 Crestone Ln</t>
  </si>
  <si>
    <t>Police were investigating a report of a suspicious male in a stolen vehicle in the parking lot of the Elevate Apartment Homes just before 5:30 a.m. The man allegedly began struggling with officers and was shot and killed.</t>
  </si>
  <si>
    <t>https://gazette.com/news/man-dead-after-officer-involved-shooting-near-motor-city-in/article_c7d787c4-1672-11e9-a5f3-97bd2d409f58.html</t>
  </si>
  <si>
    <t>Jamaal Ramone Taylor</t>
  </si>
  <si>
    <t>https://fatalencounters.org/wp-content/uploads/2019/10/JamaalTaylor.jpg</t>
  </si>
  <si>
    <t>118 Shawan Rd</t>
  </si>
  <si>
    <t>About 1:30 p.m., Jamaal Taylor reportedly stabbed four people and beat one at the shops of Hunt Valley Towne Centre before he was shot and killed by police.</t>
  </si>
  <si>
    <t>https://www.baltimoresun.com/news/crime/bs-md-co-cr-hunt-valley-stabbing-20190928-sw2nwxf4x5ecpo7nvp2ukdbg5m-story.html</t>
  </si>
  <si>
    <t>Abdoulaye Thiam</t>
  </si>
  <si>
    <t>https://www.fatalencounters.org/wp-content/uploads/2019/01/Abdoulaye-Thiam.jpg</t>
  </si>
  <si>
    <t>1300 Timothy Dr</t>
  </si>
  <si>
    <t>Police were called to a home at 8 p.m. for a domestic disturbance. When officers arrived, a man confronted them with a knife. Abdoulaye Thiam was shot and killed.</t>
  </si>
  <si>
    <t>http://www.wmcactionnews5.com/2019/01/03/investigators-identify-man-killed-by-memphis-police-whitehaven/</t>
  </si>
  <si>
    <t>Dwight Delando Steward</t>
  </si>
  <si>
    <t>https://www.fatalencounters.org/wp-content/uploads/2019/01/Dwight-Delando-Steward.jpg</t>
  </si>
  <si>
    <t>3000 N Monroe St</t>
  </si>
  <si>
    <t>People reported Dwight Steward had a knife. Police said he refused to comply with commands and approached them, and they shot and killed him.</t>
  </si>
  <si>
    <t>https://www.kxly.com/news/man-shot-by-police-identified-naacp-working-with-police-because-man-was-black/988122511</t>
  </si>
  <si>
    <t>Alex Johnson</t>
  </si>
  <si>
    <t>632 Martin Ave</t>
  </si>
  <si>
    <t>Defiance</t>
  </si>
  <si>
    <t>Defiance Police Department</t>
  </si>
  <si>
    <t>Police responded at 7:45 a.m. to a 911 call at a residence, where they confronted Alex Johnson, who allegedly had a knife, and shot and killed him.</t>
  </si>
  <si>
    <t>https://www.toledoblade.com/local/police-fire/2019/02/12/person-killed-in-defiance-officer-involved-shooting/stories/20190212101</t>
  </si>
  <si>
    <t>Nathaniel Holland</t>
  </si>
  <si>
    <t>https://www.fatalencounters.org/wp-content/uploads/2019/01/nathaniel-holland.jpg</t>
  </si>
  <si>
    <t>1000 Mason St</t>
  </si>
  <si>
    <t>Nathaniel Holland was a suspect in a double stabbing and home arson. He was was found hiding in a heavily wooded creek around 10:45 p.m. by a Fairfield police dog. Holland allegedly attacked the dog with a knife and was shot and killed by an officer.</t>
  </si>
  <si>
    <t>https://sanfrancisco.cbslocal.com/2019/01/15/vacaville-suspect-stabbings-arson-shot-killed-by-police/?fbclid=IwAR0RAAiO1Xw5GWyIlPHCdfGoYP8TmW615Sj1bNTUBwBQjjzP7ZDpLqRnj7w</t>
  </si>
  <si>
    <t>Derek Smith</t>
  </si>
  <si>
    <t>https://www.fatalencounters.org/wp-content/uploads/2019/03/DerekSmith.jpg</t>
  </si>
  <si>
    <t>2107 Hampton St</t>
  </si>
  <si>
    <t>Walterboro</t>
  </si>
  <si>
    <t>Colleton</t>
  </si>
  <si>
    <t>Colleton County Sheriff's Office</t>
  </si>
  <si>
    <t>A deputy shot and killed Derek Smith after responding to Faith Assembly Church for a reported burglary. Police said Smith pulled a knife on the deputy in the church parking lot, and she shot and killed him.</t>
  </si>
  <si>
    <t>https://abcnews4.com/news/local/attorney-identifies-man-who-died-after-being-shot-by-deputy-during-reported-burglary</t>
  </si>
  <si>
    <t>Kawaski Trawick</t>
  </si>
  <si>
    <t>https://www.fatalencounters.org/wp-content/uploads/2019/04/KawaskiTrawick.jpg</t>
  </si>
  <si>
    <t>1616 Grand Ave</t>
  </si>
  <si>
    <t>Police shot and killed a man who allegedly approached them with a knife in one hand and a wooden stick in the other when Police responded to a Bronx apartment building for a report of harassment. They encountered Kawaski "Chaos" Trawick in a fourth-floor apartment when they arrived. One officer reportedly tried to stun him, but it didn't work, and he started walking toward them again. At that point, around 10:45 p.m., the officer shot and killed Trawick.</t>
  </si>
  <si>
    <t>https://www.nbcnewyork.com/news/local/Police-Involved-Shooting-Bronx-NYPD-Grand-Avenue-508583391.html</t>
  </si>
  <si>
    <t>Malik Ali Gresham</t>
  </si>
  <si>
    <t>1700 Rosecrans Ave</t>
  </si>
  <si>
    <t>At about 9:55 p.m., Gardena police responded to a report of a man with a knife. The officer reportedly first used a stun gun. The man armed with the knife allegedly lunged at an officer, and the officer shot and killed him.</t>
  </si>
  <si>
    <t>https://www.dailynews.com/2019/05/13/armed-suspect-wounded-in-officer-involved-shooting-in-gardena/</t>
  </si>
  <si>
    <t>Ensoa Strickland Jr.</t>
  </si>
  <si>
    <t>7101 Lindsay Ave SE</t>
  </si>
  <si>
    <t>An argument between Ensoa Strickland Jr. and a woman prompted neighbors in the Palermo Apartments to call 911 about 12:45 a.m. Police responded and spoke with Strickland in the parking lot. The conversation turned into a physical fight, and Strickland wielded a knife, police said. Two officers shot and killed Strickland when he reportedly failed to comply with orders.</t>
  </si>
  <si>
    <t>https://www.thenewstribune.com/news/local/crime/article230629014.html</t>
  </si>
  <si>
    <t>Jaquan Derrick Diijon Thompson</t>
  </si>
  <si>
    <t>1200 N Broadway St</t>
  </si>
  <si>
    <t>Poteau</t>
  </si>
  <si>
    <t>LeFlore</t>
  </si>
  <si>
    <t>Poteau Police Department, LeFlore County Sheriff's Office</t>
  </si>
  <si>
    <t>At 4:45 a.m., a Poteau police officer and LeFlore County Sheriff's deputy were dispatched to a 911 call at the E-Z Mart where a man, Jaquan Derrick Diijon Thompson, was reported to be holding a clerk at knifepoint. When police arrived, Thompson was ordered to release the clerk and drop the knife, but he refused. Each of the officers fired a shot at Thompson who was killed.</t>
  </si>
  <si>
    <t>https://okcfox.com/news/local/osbi-suspect-shot-killed-after-holding-store-clerk-hostage-in-poteau</t>
  </si>
  <si>
    <t>Eric Jack Logan</t>
  </si>
  <si>
    <t>https://fatalencounters.org/wp-content/uploads/2019/06/EricLogan.jpeg</t>
  </si>
  <si>
    <t>330 W Colfax Ave</t>
  </si>
  <si>
    <t>Around 3:25 a.m., officers were called regarding reports of a man going through vehicles. Police said Eric Jack Logan was rifling through a car when a South Bend Police officer confronted him. Logan reportedly got out, and approached the cop with a knife. The officer shot and killed him.</t>
  </si>
  <si>
    <t>https://www.abc57.com/news/shooting-occurs-in-south-bend</t>
  </si>
  <si>
    <t>Darrell Allen</t>
  </si>
  <si>
    <t>https://fatalencounters.org/wp-content/uploads/2019/07/DarrellAllen.jpg</t>
  </si>
  <si>
    <t>18100 Poinciana Rd</t>
  </si>
  <si>
    <t>Adelanto</t>
  </si>
  <si>
    <t>Deputies responding to a domestic battery call shot and the killed Darrell Allen when he reportedly came at them with a knife in a laundry room, police said.</t>
  </si>
  <si>
    <t>https://losangeles.cbslocal.com/2019/07/11/domestic-battery-suspect-brandishing-knife-shot-killed-by-deputies-in-adelanto/</t>
  </si>
  <si>
    <t>James Lee Kirkwood</t>
  </si>
  <si>
    <t>4th St and Poplar Ave</t>
  </si>
  <si>
    <t>A deputy was called to a reported sexual assault when he saw a man believed to be involved. The deputy pursued James Lee Kirkwood, who stabbed the deputy, police said. The deputy shot and killed Kirkwood.</t>
  </si>
  <si>
    <t>https://wreg.com/2019/08/05/deputy-injured-during-shooting-in-downtown-memphis/</t>
  </si>
  <si>
    <t>Ronald Davis</t>
  </si>
  <si>
    <t>https://fatalencounters.org/wp-content/uploads/2019/09/Ronald-Davis.jpg</t>
  </si>
  <si>
    <t>W Thomas Ave and N Griggs St</t>
  </si>
  <si>
    <t>Ronald Davis crashed his car into the back of a squad car that was at a stop sign. Davis reportedly got out of the car and threatened an officer with a knife. The officer shot and killed him within five seconds.</t>
  </si>
  <si>
    <t>https://minnesota.cbslocal.com/2019/09/16/its-our-harsh-reality-bca-investigates-st-paul-officer-involved-shooting/</t>
  </si>
  <si>
    <t>Leonard Shand</t>
  </si>
  <si>
    <t>https://fatalencounters.org/wp-content/uploads/2019/10/Shand-Leonard.jpeg</t>
  </si>
  <si>
    <t>Belcrest Rd and Toledo Rd</t>
  </si>
  <si>
    <t>Prince George's County Police Department, Hyattsville Police Department, Mount Rainier Police Department</t>
  </si>
  <si>
    <t>Hyattsville police received a call at 7:14 a.m. about an armed man at a coffee shop. Hyattsville officers responded four minutes later. Officers from the Prince George's, Hyattsville and Mount Rainier police departments fired at the man after he allegedly charged at an officer.</t>
  </si>
  <si>
    <t>https://www.nbcwashington.com/news/local/Prince-Georges-Police-Investigating-Officer-Involved-Shooting-561423731.html</t>
  </si>
  <si>
    <t>Romello Barnes</t>
  </si>
  <si>
    <t>8024 Hidden River Dr</t>
  </si>
  <si>
    <t>Around 10 a.m., deputies responded to a 911 call from a mother reporting her son had stabbed her. Deputies arrived to find the woman with a cut hand. Deputies found her son, Romello Barnes outside an apartment with an undisclosed weapon. Barnes reportedly ran back into his apartment and deputies followed, including one with a dog. Barnes failed to comply with their commands to drop the weapon, even after the officer sicced the dog on him. Deputies Deputies Matthew Moyer, Miguel Guerra and Jamar Colon shot and killed Barnes.</t>
  </si>
  <si>
    <t>https://www.baynews9.com/fl/tampa/news/2019/12/12/sheriff--deputies-shoot--kill-man-after-he-stabbed-his-mother</t>
  </si>
  <si>
    <t>Clayton Joseph</t>
  </si>
  <si>
    <t>https://www.fatalencounters.org/wp-content/uploads/2019/02/Clayton-Joseph.jpg</t>
  </si>
  <si>
    <t>1200 SE Ellsworth Rd</t>
  </si>
  <si>
    <t>Around 11 p.m., after police were dispatched to a report of a disturbance between a male and female at an apartment complex. Witnesses reported that two males, both possibly armed, had then become involved in a fight in the parking lot. Police said that Joseph brandished a knife when approached by officers and refused commands to drop the weapon before he was shot. Officer Roger Evans shot and killed Clayton Joseph.</t>
  </si>
  <si>
    <t>https://www.columbian.com/news/2019/feb/21/vancouver-police-id-officer-who-fatally-shot-boy-16/?utm_source=feedburner&amp;utm_medium=feed&amp;utm_campaign=Feed%3A+the-columbian-local-headlines+%28The+Columbian%3A+Local+Headlines%29</t>
  </si>
  <si>
    <t>Luc Ciel</t>
  </si>
  <si>
    <t>https://www.fatalencounters.org/wp-content/uploads/2019/04/Luc-Ciel.jpg</t>
  </si>
  <si>
    <t>900 Wilson Ave</t>
  </si>
  <si>
    <t>As officers arrived around 3 a.m., Luc Ciel was allegedly stabbing two family members, including his son. Police shot and killed him after he reportedly refused their commands. The family members survived.</t>
  </si>
  <si>
    <t>https://www.eastbaytimes.com/2019/04/12/he-threatened-my-life-while-holding-knives-in-both-hands-man-killed-by-east-bay-cops-had-history-of-abuse/</t>
  </si>
  <si>
    <t>Dai Phuoc Nguyen</t>
  </si>
  <si>
    <t>9800 Cortada St</t>
  </si>
  <si>
    <t>Officers responded about 12:30 p.m. after someone called 911 and hung up, police said. Upon arrival, the officers were encountered by a man armed with a bladed weapon, at which police shot and killed him.</t>
  </si>
  <si>
    <t>https://ktla.com/2019/12/02/officers-shoot-and-kill-man-armed-with-blade-in-el-monte/</t>
  </si>
  <si>
    <t>Dana Brown</t>
  </si>
  <si>
    <t>https://fatalencounters.org/wp-content/uploads/2019/12/DanaBrown.jpg</t>
  </si>
  <si>
    <t>Malakole Street</t>
  </si>
  <si>
    <t>An officer following a man riding the wrong way on a stolen moped in the Campbell Industrial Park area. The officer yelled for the man to drop a knife. The officer reportedly shot twice with a Taser, but failed to incapacitate the man, and the officer shot and killed him.</t>
  </si>
  <si>
    <t>https://www.staradvertiser.com/2019/12/17/breaking-news/man-27-in-extremely-critical-condition-after-police-shooting-in-campbell-industrial-park/</t>
  </si>
  <si>
    <t>Terry Wayne Phipps Jr.</t>
  </si>
  <si>
    <t>TX-103 &amp; FM226</t>
  </si>
  <si>
    <t>Etoile</t>
  </si>
  <si>
    <t>After several alleged assaults and carjackings, when deputies caught up with Terry Phipps, he failed to comply with unspecified orders, and deputies shot and killed him.</t>
  </si>
  <si>
    <t>https://www.easttexasmatters.com/crime/nacogdoches-man-arrested-after-stabbing-carjacking-incidents/</t>
  </si>
  <si>
    <t>Frankie Feliciano</t>
  </si>
  <si>
    <t>https://fatalencounters.org/wp-content/uploads/2019/07/Frankie-Feliciano.jpg</t>
  </si>
  <si>
    <t>700 W State St</t>
  </si>
  <si>
    <t>Officer Tyler Landreville was the first to respond to where an armed aggravated assault had been reported. Frankie Feliciano allegedly was holding a knife to the neck of a man in a wheelchair. Landreville reportedly told Feliciano to drop the knife. When he failed to drop it, Landreville shot and killed Feliciano.</t>
  </si>
  <si>
    <t>https://www.wokv.com/news/local/jso-officer-involved-lavilla-shooting-was-cleared-prior-fatal-shooting/hgkAsj8SrX6PebSeDl8TVM/</t>
  </si>
  <si>
    <t>Michael "Danny" Daniel Kelley</t>
  </si>
  <si>
    <t>https://www.fatalencounters.org/wp-content/uploads/2019/01/Michael-Daniel-Kelley.png</t>
  </si>
  <si>
    <t>1520 West Blvd</t>
  </si>
  <si>
    <t>Around 4:30 p.m., officer Timothy Kiefer reportedly found a man fitting the description of a suspect who was wanted in two armed robberies. Police said Kiefer perceived an "imminent deadly threat" after he got out of his car and made contact with Michael Daniel Kelley, and Kiefer shot and killed Kelley.</t>
  </si>
  <si>
    <t>https://www.wcnc.com/article/news/local/cmpd-identifies-suspect-officer-in-deadly-police-shooting-in-west-charlotte/275-6feb0c50-f41d-42a9-b4e3-1a3aed3c59e1</t>
  </si>
  <si>
    <t>Michael Wade Drayer</t>
  </si>
  <si>
    <t>Aspers Bendersville Road and Carlisle Road</t>
  </si>
  <si>
    <t>Menallen Township</t>
  </si>
  <si>
    <t>Troopers were called to a domestic dispute between the two brothers around 5 p.m., police said. Michael Drayer was allegedly attacking his brother Jesse Lynn Drayer, 40, with a knife. Jesse Drayer got into a police vehicle, but Michael followed him inside the cruiser, knife still in hand, and when Michael continued his attack, a trooper shot and killed him.</t>
  </si>
  <si>
    <t>https://www.pennlive.com/news/2019/02/trooper-fatally-shot-man-trying-to-stab-his-brother-police.html</t>
  </si>
  <si>
    <t>Jeremy Dale Edmonds</t>
  </si>
  <si>
    <t>35 North Louisville Ave</t>
  </si>
  <si>
    <t>U.S. Marshals were serving a felony domestic strangulation warrant when officials said Jeremy Edmonds allegedly refused to come out of a house, became violent, attempted to attack officers with a knife and was shot and killed.</t>
  </si>
  <si>
    <t>https://www.kjrh.com/news/local-news/police-respond-to-reports-of-shots-fired-in-northeast-tulsa</t>
  </si>
  <si>
    <t>Danny Brogdon</t>
  </si>
  <si>
    <t>https://www.fatalencounters.org/wp-content/uploads/2019/03/Danny-Brogdon.jpg</t>
  </si>
  <si>
    <t>1500 N 18th St</t>
  </si>
  <si>
    <t>Police were responding to a stabbing when they found Danny Brogdon was assaulting his partner and her daughter. Eight officers shot and killed him.</t>
  </si>
  <si>
    <t>https://ktul.com/news/local/hours-before-deadly-officer-involved-shooting-stabbing-victim-files-protective-order</t>
  </si>
  <si>
    <t>Beth Plant</t>
  </si>
  <si>
    <t>https://www.fatalencounters.org/wp-content/uploads/2019/03/BethPlant.png</t>
  </si>
  <si>
    <t>New Hope Rd and US 41 ALT</t>
  </si>
  <si>
    <t>Joelton</t>
  </si>
  <si>
    <t>Cheatham County Sheriff's Office</t>
  </si>
  <si>
    <t>A 911 caller said an Ashland City woman needed to go to the hospital. Enroute to the hospital, the woman, Beth Plant, allegedly became combative and pulled a knife from her backpack. The ambulance driver pulled over and called for help. When a deputy arrived, the woman brandished a knife, and the deputy shot and killed her.</t>
  </si>
  <si>
    <t>https://www.wkrn.com/news/tbi-investigates-officer-involved-shooting-that-leaves-woman-dead/1837400986</t>
  </si>
  <si>
    <t>Tommy Wayne Welch</t>
  </si>
  <si>
    <t>https://www.fatalencounters.org/wp-content/uploads/2019/03/TommyWelch.png</t>
  </si>
  <si>
    <t>400 W 12th Street</t>
  </si>
  <si>
    <t>Quanah</t>
  </si>
  <si>
    <t>Hardeman</t>
  </si>
  <si>
    <t>Hardeman County Sheriff's Office</t>
  </si>
  <si>
    <t>A family friend said Tommy Wayne Welch was threatening to commit suicide while holding a knife. He was shot and killed.</t>
  </si>
  <si>
    <t>http://www.newschannel6now.com/2019/03/10/dps-investigation-underway-following-officer-involved-shooting-quanah/</t>
  </si>
  <si>
    <t>Charles Bradley "Brad" Payne</t>
  </si>
  <si>
    <t>https://www.fatalencounters.org/wp-content/uploads/2019/04/Charles-Bradley-Payne.jpg</t>
  </si>
  <si>
    <t>9109 Broyles Drive</t>
  </si>
  <si>
    <t>Deputies responding to a disturbance call found Charles Bradley Payne was armed with a baseball bat. During an exchange with deputies, Payne reportedly dropped the bat and took out a knife. One of the deputies shot and killed Payne.</t>
  </si>
  <si>
    <t>https://www.wrcbtv.com/story/40274278/update-one-dead-in-officerinvolved-shooting</t>
  </si>
  <si>
    <t>Soheil Antonio Mojarrad</t>
  </si>
  <si>
    <t>http://www.fatalencounters.org/wp-content/uploads/2019/04/soheilAntonioMojarrad.jpg</t>
  </si>
  <si>
    <t>1030 N Rogers Lane</t>
  </si>
  <si>
    <t>Raleigh Police Department Officer W.B. Edwards shot and killed Soheil Antonio Mojarrad at the Food Lion shopping center mall on North Rogers Lane on Saturday. Details regarding the killing, including the reason the body camera was not turned on, were withheld by police.</t>
  </si>
  <si>
    <t>https://www.newsobserver.com/news/local/article229513399.html</t>
  </si>
  <si>
    <t>Jeb Colin Brock</t>
  </si>
  <si>
    <t>13136 SE Center St</t>
  </si>
  <si>
    <t>Officers were dispatched to a residence after a stabbing was reported around 4:14 a.m. Officers found two of the stabbing victims outside the home, while the other two were later found inside the residence with the suspect. Inside the house, officers found a woman being held at knife point. A baby was in the same room with the female victim and the suspect. Officers removed the baby, then they reportedly were confronted by the man and shot and killed him.</t>
  </si>
  <si>
    <t>https://pamplinmedia.com/pt/9-news/426816-333669-police-investigating-officer-involved-shooting</t>
  </si>
  <si>
    <t>April Robertson</t>
  </si>
  <si>
    <t>8283 Old US 52</t>
  </si>
  <si>
    <t>Welcome</t>
  </si>
  <si>
    <t>Around 10:30 p.m., April Robertson was holding a Sheetz employee hostage at knifepoint when deputies arrived. A Davidson County deputy confronted her and shot and killed her when she did not comply with orders.</t>
  </si>
  <si>
    <t>https://spectrumlocalnews.com/nc/triad/news/2019/05/01/davidson-officer-involved-shooting</t>
  </si>
  <si>
    <t>Martin Allen Goodier</t>
  </si>
  <si>
    <t>US-50 and MD-424</t>
  </si>
  <si>
    <t>Davidsonville</t>
  </si>
  <si>
    <t>Martin Allen Goodier allegedly threatened Fire and EMS crews who responded to a crash call. Arriving officers, including Officer R. Heller, confronted Goodier and ordered him to drop a knife he was holding. He allegedly failed to comply, and Heller shot and killed him.</t>
  </si>
  <si>
    <t>https://www.wmar2news.com/news/region/anne-arundel-county/suspect-involved-in-davidsonville-police-involved-shooting-dies</t>
  </si>
  <si>
    <t>David Wayne Downs</t>
  </si>
  <si>
    <t>https://fatalencounters.org/wp-content/uploads/2019/06/David-Wayne-Downs.jpg</t>
  </si>
  <si>
    <t>1331 NW Lovejoy St</t>
  </si>
  <si>
    <t>Officers responded just before 10 a.m. to a report of a disturbance involving a man with a knife and an explosive device. They confronted a man in the stairwell of an office and parking building, where an allegedly altercation broke out. Officers reportedly used less-lethal weapons before shooting and killing David Downs.</t>
  </si>
  <si>
    <t>https://www.oregonlive.com/portland/2019/06/officer-involved-shooting-reported-in-nw-portland.html</t>
  </si>
  <si>
    <t>Shawn D. Blowers</t>
  </si>
  <si>
    <t>900 Tayco Street</t>
  </si>
  <si>
    <t>Police were executing the warrant, which was related to a possible internet crime against children, when Shawn Blowers allegedly confronted officers with a knife. Neenah police officer Christopher Gorden shot and killed Blowers.</t>
  </si>
  <si>
    <t>https://www.postcrescent.com/story/news/2019/06/28/menasha-police-shooting-doj-identifies-officer-suspect-involved/1601301001/</t>
  </si>
  <si>
    <t>Jonathan Patzel</t>
  </si>
  <si>
    <t>http://www.fatalencounters.org/wp-content/uploads/2019/04/Jonathan-Patzel.jpg</t>
  </si>
  <si>
    <t>2475 Hancock Expy</t>
  </si>
  <si>
    <t>Jonathan Patzel allegedly started an apartment on fire when police were called about a domestic assault. He was shot and killed, but details as to what precipitated the killing were withheld.</t>
  </si>
  <si>
    <t>https://gazette.com/news/man-fatally-shot-after-he-allegedly-brandished-weapon-approached-officers/article_2b63024a-686d-11e9-992b-efb8089b08a1.html</t>
  </si>
  <si>
    <t>Jeremy "Jeremiah" Paul Connolly</t>
  </si>
  <si>
    <t>https://fatalencounters.org/wp-content/uploads/2019/09/Jeremy-Connolly.jpg</t>
  </si>
  <si>
    <t>2092 Harold Ave</t>
  </si>
  <si>
    <t>Salina</t>
  </si>
  <si>
    <t>Salina Police Department</t>
  </si>
  <si>
    <t>After reportedly killing his grandmother, Jeremy Connolly was found in the basement of the home. Police introduced teargas, and Connolly allegedly threatened officers with a knife when he was shot and killed.</t>
  </si>
  <si>
    <t>http://www.kake.com/story/40975578/kbi-investigates-officer-involved-shooting-in-salina</t>
  </si>
  <si>
    <t>Fares J. Al Samno</t>
  </si>
  <si>
    <t>https://fatalencounters.org/wp-content/uploads/2019/09/fares_t1200.jpg</t>
  </si>
  <si>
    <t>N Pinegrove Dr and W Canfield Ave</t>
  </si>
  <si>
    <t>Police responded to the report of a disorderly man acting erratically at about 9:50 a.m. Al Samno was reportedly armed with a knife. Officers reportedly tried less lethal force, including a Taser and beanbags, before shooting and killing Al Samno.</t>
  </si>
  <si>
    <t>https://www.krem.com/article/news/local/kootenai-county/shooting-in-coeur-d-alene-idaho-near-silver-lake-mall/293-5e59a20f-a2e1-4472-8f6c-a7af1a96904d</t>
  </si>
  <si>
    <t>Joshua Chase Conner</t>
  </si>
  <si>
    <t>https://fatalencounters.org/wp-content/uploads/2019/10/Joshua-Chase-Conner.jpg</t>
  </si>
  <si>
    <t>2100 Villa Rd</t>
  </si>
  <si>
    <t>Kountze</t>
  </si>
  <si>
    <t>Hardin County Sheriff's Office</t>
  </si>
  <si>
    <t>Joshua Chase Conner allegedly assaulted his mother to take her car keys and then stole her car. The deputy was taking a report from her when Conner returned to the house. Conner allegedly confronted the deputy in the front yard with a knife and tree limb, and he ignored orders from the deputy, and the deputy shot and killed him.</t>
  </si>
  <si>
    <t>https://kfdm.com/news/local/sheriff-says-deputy-forced-to-kill-a-man-who-confronted-him-with-a-knife-and-tree-limb</t>
  </si>
  <si>
    <t>Bonny Marie Thomas</t>
  </si>
  <si>
    <t>100 Chalfont Dr</t>
  </si>
  <si>
    <t>Athens Police Department</t>
  </si>
  <si>
    <t>Officer Lamar Glenn shot Bonny Thomas after she allegedly raised a knife at him and refused to put it down, police said.</t>
  </si>
  <si>
    <t>https://www.ajc.com/news/crime--law/breaking-gbi-investigating-officer-involved-shooting-athens/r6cavC3efadgrSKYcjWl0K/#</t>
  </si>
  <si>
    <t>Charles Tsakiris</t>
  </si>
  <si>
    <t>https://fatalencounters.org/wp-content/uploads/2019/10/Charles-Chuck-Tsakiris.jpg</t>
  </si>
  <si>
    <t>59 Walnut St</t>
  </si>
  <si>
    <t>Farmingdale</t>
  </si>
  <si>
    <t>Howell Police Department</t>
  </si>
  <si>
    <t>Police came to the Farmingdale home about 10:30 p.m. after 911 operators received a call from someone who said he had been stabbed by his brother and was dying. Tsakiris answered the door and then refused commands by police to drop a bladed weapon. He then approached and challenged officers, who shot and killed him.</t>
  </si>
  <si>
    <t>https://www.app.com/story/news/crime/2019/10/20/farmingdale-police-shooting-woman-found-dead-home/4047521002/</t>
  </si>
  <si>
    <t>Donald J. Eversen</t>
  </si>
  <si>
    <t>954 Oasis Dr</t>
  </si>
  <si>
    <t>Officers Josh Graham and Oscar Rodriguez reportedly saw Donald Eversen assaulting his elderly mother and shot and killed him.</t>
  </si>
  <si>
    <t>https://www.eastbaytimes.com/2019/12/01/concord-police-investigate-officer-involved-shooting/</t>
  </si>
  <si>
    <t>Cade Humphrey</t>
  </si>
  <si>
    <t>https://fatalencounters.org/wp-content/uploads/2019/12/Cade-Humphrey.jpg</t>
  </si>
  <si>
    <t>US-183 and E1220 Rd</t>
  </si>
  <si>
    <t>New Cordell</t>
  </si>
  <si>
    <t>Washita County Sheriff's Office</t>
  </si>
  <si>
    <t>At approximately 9 p.m., the Cordell Police Department and the Washita Sheriff's officer located a vehicle believed to be driven by Cade Humphrey, who was suspected of kidnapping a woman. Humphrey attempted to ram a county vehicle, but was stopped when he crashed into a police vehicle. Cade Humphrey exited his vehicle with a knife and allegedly attacked an officer. The officer shot and killed Humphrey.</t>
  </si>
  <si>
    <t>https://www.news9.com/story/41448229/update-garvin-county-woman-found-alive-mother-says</t>
  </si>
  <si>
    <t>Gary Wayne Madewell</t>
  </si>
  <si>
    <t>https://fatalencounters.org/wp-content/uploads/2019/12/Gary-Wayne-Madewell.jpg</t>
  </si>
  <si>
    <t>5 Boyd Ln</t>
  </si>
  <si>
    <t>Smith County Sheriff's Office</t>
  </si>
  <si>
    <t>About 6 a.m., deputies responded to a report of a stabbing earlier in the morning where Gary Wayne Madewell allegedly attacked a woman. When deputies arrived at the home, they saw Madewell carrying a knife, and at least one deputy shot and killed Madewell.</t>
  </si>
  <si>
    <t>http://herald-citizen.com/stories/tbi-investigates-officer-involved-shooting-in-smith-co,39267</t>
  </si>
  <si>
    <t>Michael DeCastro</t>
  </si>
  <si>
    <t>https://fatalencounters.org/wp-content/uploads/2019/12/DeCastro-Michael.jpg</t>
  </si>
  <si>
    <t>120 E Clinton St</t>
  </si>
  <si>
    <t>Ithaca</t>
  </si>
  <si>
    <t>Tompkins</t>
  </si>
  <si>
    <t>Ithaca Police Department</t>
  </si>
  <si>
    <t>Michael DeCastro allegedly attacked an officer with a knife inside the Ithaca Police Department headquarters around 6:30 a.m. He was shot and killed.</t>
  </si>
  <si>
    <t>https://13wham.com/news/local/police-man-shot-and-killed-after-attacking-officer-with-large-knife-in-ithaca-12-21-2019</t>
  </si>
  <si>
    <t>Manuel Gonzales Verdugo</t>
  </si>
  <si>
    <t>1501 Main St.</t>
  </si>
  <si>
    <t>El Centro Police Department</t>
  </si>
  <si>
    <t>Around 7 a.m., Manuel Gonzales Verdugo walked into a Rite Aid and stole several knives. He reportedly told employees to call the police and said he was going to kill an officer. When police arrived, they reportedly ordered Verdugo to drop the knife. Verdugo failed to comply and charged at officers with the knife in his hand, and he was shot and killed.</t>
  </si>
  <si>
    <t>https://kyma.com/news/imperial-county/2019/12/29/officer-involved-shooting-leaves-one-person-dead-in-el-centro/</t>
  </si>
  <si>
    <t>Danny Rodriguez</t>
  </si>
  <si>
    <t>10500 Midvale Avenue North</t>
  </si>
  <si>
    <t>Officers responded to reports of a woman's death in a domestic-violence incident when they entered an apartment and were confronted by a man who picked up a knife, police said. They shot and killed him.</t>
  </si>
  <si>
    <t>https://www.seattletimes.com/seattle-news/crime/man-fatally-shot-by-officers-after-stabbing-woman-to-death-in-north-seattle-police-way/</t>
  </si>
  <si>
    <t>Wilfredo Hernandez</t>
  </si>
  <si>
    <t>S Flower St &amp; 7th St</t>
  </si>
  <si>
    <t>Around 7 a.m., officers shot and killed a man with a knife in the 7th Street/Metro Center station in downtown Los Angeles. Police withheld most details as to what precipitated the killing.</t>
  </si>
  <si>
    <t>https://abc7.com/suspect-killed-in-officer-involved-shooting-at-dtla-metro-station/5138530/</t>
  </si>
  <si>
    <t>Felipe Martinez</t>
  </si>
  <si>
    <t>Rutledge Rd</t>
  </si>
  <si>
    <t>Poteet</t>
  </si>
  <si>
    <t>A man allegedly stabbed two people in separate cities before pulling a knife on a state trooper who shot and killed him.</t>
  </si>
  <si>
    <t>https://www.ksat.com/news/man-shot-killed-by-dps-trooper-in-poteet-after-stabbing-2-people-officials-say</t>
  </si>
  <si>
    <t>Benjamin Melendez</t>
  </si>
  <si>
    <t>https://www.fatalencounters.org/wp-content/uploads/2019/03/Benjamin-J.-Melendez.jpg</t>
  </si>
  <si>
    <t>1500 N St Paul Rd</t>
  </si>
  <si>
    <t>Grand Island Police Department</t>
  </si>
  <si>
    <t>After responding to an address for the second time in the evening, an officer was allegedly assaulted with a knife around 9 p.m. The officer shot and killed the 29-year-old Hispanic male suspect;.</t>
  </si>
  <si>
    <t>https://www.1011now.com/content/news/Suspect-dead-officer-stabbed-in-officer-involved-shooting-in-Grand-Island-507129991.html</t>
  </si>
  <si>
    <t>Juan Padilla</t>
  </si>
  <si>
    <t>https://www.fatalencounters.org/wp-content/uploads/2019/04/Juan_Padilla.jpg</t>
  </si>
  <si>
    <t>7400 West Crimson Ridge Dr</t>
  </si>
  <si>
    <t>A police officer shot and killed Juan Padilla at a home following a fight. Police received a 911 call regarding "unknown trouble" about 8 a.m. Police withheld details regarding the killing.</t>
  </si>
  <si>
    <t>http://www.fox10phoenix.com/news/arizona-news/marana-police-officer-fatally-shoots-man-after-confrontation-1</t>
  </si>
  <si>
    <t>Reinaldo Gonzalez</t>
  </si>
  <si>
    <t>https://fatalencounters.org/wp-content/uploads/2019/05/Reinaldo-GonzalezJPG.jpg</t>
  </si>
  <si>
    <t>3200 SW 154th Ct</t>
  </si>
  <si>
    <t>A 911 caller said that their father, Reinaldo Gonzalez, was killing their mother, Marays Morejon, with a knife. When entering the home, an officer found Morejon dead. The officer then encountered Gonzalez, who was armed with a knife. The officer shot and killed him.</t>
  </si>
  <si>
    <t>https://wsvn.com/news/local/fdle-investigates-after-officer-shoots-man-who-allegedly-killed-wife-in-sw-miami-dade/</t>
  </si>
  <si>
    <t>George Herrera</t>
  </si>
  <si>
    <t>14 Mountain Lake Terrace</t>
  </si>
  <si>
    <t>Angel Fire</t>
  </si>
  <si>
    <t>Angel Fire Police Department</t>
  </si>
  <si>
    <t>An officer was dispatched to a fire and reportedly encountered a man with a knife. During the encounter, the Angel Fire Police officer shot and killed the man.</t>
  </si>
  <si>
    <t>https://www.krwg.org/post/state-police-village-police-officer-kills-man-house-fire</t>
  </si>
  <si>
    <t>Ronny Rodriguez</t>
  </si>
  <si>
    <t>7907 Catalina Cir</t>
  </si>
  <si>
    <t>Ronny Rodriguez reportedly stabbed and killed his ex-girlfriend, 44-year-old Rosa Martinez. When police arrived, he allegedly threatened them with the knife and was shot and killed.</t>
  </si>
  <si>
    <t>https://miami.cbslocal.com/2019/05/15/broward-sheriffs-deputy-involved-in-deadly-tamarac-shooting/</t>
  </si>
  <si>
    <t>Luis Lomante</t>
  </si>
  <si>
    <t>https://fatalencounters.org/wp-content/uploads/2019/05/Luis-Lomante.jpg</t>
  </si>
  <si>
    <t>Griffin Rd and SW 73rd Ave</t>
  </si>
  <si>
    <t>Davie</t>
  </si>
  <si>
    <t>Davie Police Department</t>
  </si>
  <si>
    <t>Neighbors called police when Luis Lomante allegedly threatened them over a loudspeaker. Police said Lomante then refused to come outside when officers arrived. When officers made contact with Lomante, one of the officers shot and killed him.</t>
  </si>
  <si>
    <t>https://www.local10.com/news/florida/broward/man-killed-in-police-involved-shooting-in-davie</t>
  </si>
  <si>
    <t>Alfredo Chino</t>
  </si>
  <si>
    <t>https://fatalencounters.org/wp-content/uploads/2019/06/alfredo-chino.jpg</t>
  </si>
  <si>
    <t>400 N Chestnut Ave</t>
  </si>
  <si>
    <t>Toppenish</t>
  </si>
  <si>
    <t>Toppenish Police Department</t>
  </si>
  <si>
    <t>The Yakima County Sheriff's Office responded for a report of a domestic violence situation between a mother and son in the afternoon. Deputies said they found Chino armed with a knife. Toppenish Officers Joshua Rosenow and Casey Briggs shot and killed him.</t>
  </si>
  <si>
    <t>https://www.yaktrinews.com/news/man-fatally-shot-by-police-in-toppenish-identified/1087375565</t>
  </si>
  <si>
    <t>Joshua Florez</t>
  </si>
  <si>
    <t>https://fatalencounters.org/wp-content/uploads/2019/06/Joshua-Florez.jpg</t>
  </si>
  <si>
    <t>1400 Logan St</t>
  </si>
  <si>
    <t>Officers responded just before 5 a.m. to a reports of a burglary in progress. Officers were told the man was armed. When they arrived, they found a man matching the description armed with a knife. Josh Flores allegedly continued to approach police after they told him to stop, and he was shot and killed.</t>
  </si>
  <si>
    <t>https://q13fox.com/2019/06/18/centralia-police-officer-shoots-burglary-suspect-after-responding-to-reports-of-armed-man/</t>
  </si>
  <si>
    <t>Angel Ramos Otero</t>
  </si>
  <si>
    <t>https://fatalencounters.org/wp-content/uploads/2019/07/Angel-Ramos-Otero.jpg</t>
  </si>
  <si>
    <t>300 Shell Manor Dr</t>
  </si>
  <si>
    <t>Ruskin</t>
  </si>
  <si>
    <t>Deputies responded to a home after receiving a domestic violence call around 1:30 a.m. Angel Ramos Otero was reportedly in front of the house with a knife and two deputies, Jessica Ennis and Daniel DeLima, shot and killed him.</t>
  </si>
  <si>
    <t>https://www.abcactionnews.com/news/region-hillsborough/sheriffs-office-investigating-deputy-involved-shooting-in-ruskin</t>
  </si>
  <si>
    <t>Jose Javier Gonzalez</t>
  </si>
  <si>
    <t>https://fatalencounters.org/wp-content/uploads/2019/07/Jose-Javier-Gonzalez.jpg</t>
  </si>
  <si>
    <t>Descanso Avenue and Pipeline Avenue</t>
  </si>
  <si>
    <t>Jose Javier Gonzalez was reportedly yelling and walking into traffic about 7:47 p.m. when he was shot and killed by a sheriff's deputy after Gonzalez ran at the deputy with two knives, police said.</t>
  </si>
  <si>
    <t>https://www.sbsun.com/2019/07/16/man-with-knife-sent-to-hospital-after-deputy-involved-shooting-in-chino-hills/</t>
  </si>
  <si>
    <t>Jovany Mercado-Bedolla</t>
  </si>
  <si>
    <t>https://fatalencounters.org/wp-content/uploads/2019/08/Jovany-Mercado-Bedolla.jpg</t>
  </si>
  <si>
    <t>32nd St and Gramercy Ave</t>
  </si>
  <si>
    <t>About 9 p.m. police were called to where Jovany Mercado-Bedolla was wielding a knife and approached a group of people. The person who called police said the man appeared disoriented. Four Ogden Police officers in three patrol cars arrived shortly after. When they approached Mercado-Bedolla, he showed the knife and ignored officers' repeated orders to drop it, and then started approaching the officers in a threatening manner. They shot and killed him.</t>
  </si>
  <si>
    <t>https://www.ksl.com/article/46621173/police-identify-man-killed-friday-in-ogden-officer-involved-shooting?fbclid=IwAR3DypoebpYsmALoZYgftEicWiwwhNVRG_yWgxvZ_blcaj76ubBKXrQVu7k</t>
  </si>
  <si>
    <t>Brian Quinones</t>
  </si>
  <si>
    <t>https://fatalencounters.org/wp-content/uploads/2019/09/BrianQuinones.jpg</t>
  </si>
  <si>
    <t>77th St E and Chicago Ave</t>
  </si>
  <si>
    <t>Richfield</t>
  </si>
  <si>
    <t>Edina Police Department, Richfield Police Department</t>
  </si>
  <si>
    <t>Following a pursuit, officers shot and killed Brian Quinones, who was allegedly armed with a knife.</t>
  </si>
  <si>
    <t>https://www.kare11.com/article/news/local/police-pursuit-ends-in-officer-involved-shooting/89-256a8af9-779a-4af1-bde8-f182f44e6e2a</t>
  </si>
  <si>
    <t>Alex Flores</t>
  </si>
  <si>
    <t>28th St and S Central Ave</t>
  </si>
  <si>
    <t>At about 8 a.m., an officer was flagged down by a person who said a man with a knife was walking northbound on Central. The officer spotted the shirtless man armed with a knife. Officers who responded reportedly saw the man confront a person with the knife, prompting that person to run away. Police made contact with the man, who was being "confrontational," and police shot and killed him.</t>
  </si>
  <si>
    <t>https://ktla.com/2019/11/19/police-shoot-kill-shirtless-man-wielding-a-knife-in-south-l-a/</t>
  </si>
  <si>
    <t>Raul Antonio Menjivar Saabedra</t>
  </si>
  <si>
    <t>285 US-91</t>
  </si>
  <si>
    <t>Preston</t>
  </si>
  <si>
    <t>Preston Police Department, Franklin County Sheriff's Office</t>
  </si>
  <si>
    <t>Officers with the Preston Police Department and deputies with the Franklin County sheriff's office responded at about 8:30 p.m. to a report of a suspicious man at Stokes Grocery. Officers escorted Raul Antonio Menjivar Saabedra outside where he allegedly pulled a knife and was shot after a Taser reportedly failed to incapacitate him.</t>
  </si>
  <si>
    <t>Justified by Prosecuting Attorney</t>
  </si>
  <si>
    <t>https://www.ktvb.com/article/news/crime/police-shooting-man-with-knife-preston-idaho/277-dceaece5-cc9e-471a-b632-605d7e03f2fc</t>
  </si>
  <si>
    <t>Alejandro Betancourt Mendoza</t>
  </si>
  <si>
    <t>18th Avenue and Pearl Street</t>
  </si>
  <si>
    <t>Police shot and killed Alejandro Betancourt-Mendoza after he allegedly stabbed two officers while they were responding to a property theft call.</t>
  </si>
  <si>
    <t>https://www.yaktrinews.com/news/man-killed-in-pasco-officer-involved-shooting-identified-as-18-year-old/1151557097</t>
  </si>
  <si>
    <t>Shawn Taylor Watie</t>
  </si>
  <si>
    <t>https://www.fatalencounters.org/wp-content/uploads/2019/03/Shawn-Taylor-Watie.jpg</t>
  </si>
  <si>
    <t>US-59 &amp; I-40</t>
  </si>
  <si>
    <t>Police said they received a call around 9 a.m. reporting a suspicious person walking along the highway. The caller said the person appeared to match the description of an inmate that had escaped from Missouri. Sallisaw officers Devin Harriman and Coty Biles made contact with Shawn Taylor Watie of Stillwell. Watie allegedly came after the officers with a knife, and they shot and killed him. He was not the person they said they were seeking.</t>
  </si>
  <si>
    <t>https://okcfox.com/news/local/osbi-investigating-officer-involved-shooting-in-sequoyah-county</t>
  </si>
  <si>
    <t>Clarence Leading Fighter</t>
  </si>
  <si>
    <t>http://www.fatalencounters.org/wp-content/uploads/2019/04/Clarence-Isadore-Leading-Fighter.jpg</t>
  </si>
  <si>
    <t>606 Church St</t>
  </si>
  <si>
    <t>Rushville</t>
  </si>
  <si>
    <t>Sheridan County Sheriff's Office</t>
  </si>
  <si>
    <t>A sheriff's deputy fatally shot Clarence Leading Fighter inside Immaculate Conception Catholic Church during Palm Sunday services. Reasons for the killing were withheld by police.</t>
  </si>
  <si>
    <t>https://www.1011now.com/content/news/Deputy-fatally-shoots-man-at-church-during-Palm-Sunday-Mass-508588881.html</t>
  </si>
  <si>
    <t>17300 Kaison Circle</t>
  </si>
  <si>
    <t>About 9:52 p.m., a deputy responded to a report of an assault with a deadly weapon. The deputy contacted the suspect, a man, in front of the home. The man, allegedly armed with a knife, reportedly advanced toward the deputy and was shot and killed.</t>
  </si>
  <si>
    <t>http://www.riversidesheriff.org/press/chu19-0105.asp</t>
  </si>
  <si>
    <t>Carl Thayer</t>
  </si>
  <si>
    <t>17985 Jellys Ferry Rd</t>
  </si>
  <si>
    <t>Police responded to a domestic violence call and shot and killed Carl Thayer when he allegedly threatened deputies with a knife.</t>
  </si>
  <si>
    <t>https://krcrtv.com/news/tehama-county/one-dead-after-officer-involved-shooting-in-tehama-county</t>
  </si>
  <si>
    <t>Joshua Rember Williams</t>
  </si>
  <si>
    <t>227 Cherry St</t>
  </si>
  <si>
    <t>As police were arresting Joshua Williams, he attacked his wife with a knife and police shot and killed him.</t>
  </si>
  <si>
    <t>https://www.nydailynews.com/new-york/nyc-crime/ny-metro-police-shooting-lower-east-side-20190208-story.html</t>
  </si>
  <si>
    <t>Isaiah Thomas</t>
  </si>
  <si>
    <t>2900 Plymouth Ct</t>
  </si>
  <si>
    <t>Officer Vincent Faso was on an unrelated call around 3:30 p.m. when he "heard a woman screaming and then saw a man was attacking and assaulting her with a knife," police said. Faso ordered the man to drop the knife, but he didn't and continued to stab the woman. Faso shot and killed him.</t>
  </si>
  <si>
    <t>https://www.kcra.com/article/man-who-stabbed-woman-dies-after-shot-by-stockton-police/26122222</t>
  </si>
  <si>
    <t>Lorne Kyle Ashmore</t>
  </si>
  <si>
    <t>Speight Avenue and South 15th Street</t>
  </si>
  <si>
    <t>Police were called to a disturbance call at the Deluxe Inn around 9:40 p.m. regarding a man trying to force his way into someone's room. When an officer arrived, he saw a man with a knife. The officer ordered him to drop the knife, but the man allegedly refused and fled. The officer chased the man with the help of a bystander, and they found him trying to get into a car that had a woman and children inside. The bystander tackled the suspect. Police say that is when man stabbed volunteer bystander several times. Officer Claire Van Wolfe shot and killed the man with the knife, Lorne Ashmore.</t>
  </si>
  <si>
    <t>https://www.bigcountryhomepage.com/news/main-news/fleeing-suspect-stabs-good-samaritan-gets-shot-killed-by-waco-officer/1825876937</t>
  </si>
  <si>
    <t>Julius Glover</t>
  </si>
  <si>
    <t>Chippendale Ln and Mill Pond Dr</t>
  </si>
  <si>
    <t>Glendale Heights</t>
  </si>
  <si>
    <t>Bloomingdale Police Department</t>
  </si>
  <si>
    <t>Police were called to a Walmart for the report of a subject with a knife. Officers said when they arrived, a woman told them her car was stolen by the man. The man fled in the car, eventually getting out and allegedly brandishing a knife at the officers. Despite being to told not to, Julius Glover allegedly moved rapidly toward the officers, holding the knife in a threatening manner. Police shot and killed him.</t>
  </si>
  <si>
    <t>https://chicago.cbslocal.com/2019/04/05/large-police-presence-in-glendale-heights/</t>
  </si>
  <si>
    <t>1800 El Nido Ave</t>
  </si>
  <si>
    <t>About 8:32 p.m., deputies from the Riverside County Sheriff Department, assigned to the contract city of Perris, responded to an assault with a deadly weapon. Deputies arrived and contacted a male armed with a knife. The man failed to comply with deputies commands and a deputy shot and killed him.</t>
  </si>
  <si>
    <t>http://www.riversidesheriff.org/press/per19-0430.asp</t>
  </si>
  <si>
    <t>4100 FL-20 E</t>
  </si>
  <si>
    <t>A deputy shot and killed a man who allegedly threatened him with a knife. Details of this killing were withheld by police.</t>
  </si>
  <si>
    <t>https://www.mypanhandle.com/news/fdle-investigating-officer-involved-shooting-in-walton-county/1970299679</t>
  </si>
  <si>
    <t>300 Southwest 37th Avenue</t>
  </si>
  <si>
    <t>About 9:30 a.m., officers responded to a reported stabbing. They shot and killed a man, although details as to what precipitated the killing were withheld.</t>
  </si>
  <si>
    <t>https://wsvn.com/news/local/man-fatally-shot-by-officers-after-allegedly-stabbing-woman-in-miami/</t>
  </si>
  <si>
    <t>Jason Harris</t>
  </si>
  <si>
    <t>Bob Hope Dr and Ramon Rd</t>
  </si>
  <si>
    <t>Rancho Mirage</t>
  </si>
  <si>
    <t>Around 7:30 p.m. near the Agua Caliente Casino in Rancho Mirage, police shot and killed a man. A witness reportedly said he was armed with a knife.</t>
  </si>
  <si>
    <t>https://www.kesq.com/news/deputy-involved-shooting-in-rancho-mirage/1093588802</t>
  </si>
  <si>
    <t>Aigon Andrew Wallace</t>
  </si>
  <si>
    <t>910 Atlanta Hwy</t>
  </si>
  <si>
    <t>Braselton Police Department</t>
  </si>
  <si>
    <t>A Braselton officer shot and killed Aigon Andrew Wallace in the parking lot of a Kroger. Braselton police reportedly had been looking for Wallace, and he was wanted on charges of alleged kidnapping, aggravated assault and aggravated stalking. He allegedly reached for some knives when he was killed.</t>
  </si>
  <si>
    <t>https://www.gwinnettdailypost.com/local/gbi-identifies-suspect-fatally-shot-by-braselton-cop-in-snellville/article_c465d98e-b6e4-11e9-b98c-e7c297e9d81e.html</t>
  </si>
  <si>
    <t>Manuel Charles Carter</t>
  </si>
  <si>
    <t>2865 McDaris Cir SE</t>
  </si>
  <si>
    <t>Around 12:05 a.m., deputies from the Bradley County Sheriff's Office responded to on a call of an unwanted armed subject at a home. While deputies were on their way, the call was updated to a stabbing incident. Manuel Charles Carter was killed when a deputy shot him after reportedly shocking him with a taser, which did not incapacitate him. Carter reportedly was armed with a knife at the time.</t>
  </si>
  <si>
    <t>https://www.wbir.com/article/news/man-dead-after-officer-involved-shooting-in-bradley-county/51-369cfb38-bb9d-44aa-860c-a3ea9738fd5f</t>
  </si>
  <si>
    <t>600 Michigan Ave</t>
  </si>
  <si>
    <t>Beaumont police responded around 6:30 p.m. after receiving a 911 call from a distressed person. At least one police officer shot and killed a man holding two knives at a shared parking area between two homes, police said. The man was taken to a hospital, where he was pronounced dead.</t>
  </si>
  <si>
    <t>https://ktla.com/2019/08/10/armed-man-killed-in-police-shooting-in-beaumont-sheriffs-department/</t>
  </si>
  <si>
    <t>Tommy Luke Hranicky</t>
  </si>
  <si>
    <t>900 Sidney Baker St</t>
  </si>
  <si>
    <t>Police responded to a man waving a knife. Tommy Luke Hranicky allegedly advanced on an officer. The officer retreated and ordered Hranicky to stop and drop the knife. Hranicky reportedly continued to advance, and the officer shot and killed him.</t>
  </si>
  <si>
    <t>https://news4sanantonio.com/news/local/teenager-shot-killed-by-kerrville-pd-for-allegedly-threatening-officer-with-knife-idd</t>
  </si>
  <si>
    <t>Ronald Michael McCrary</t>
  </si>
  <si>
    <t>2000 S Horner Blvd</t>
  </si>
  <si>
    <t>Ronald Michael McCrary was a suspect in an armed robbery at the Dollar Tree. Officers were called to the Dollar Tree in Sanford around 4:30 p.m. The clerk said a man armed with a knife came into the store and demanded money. The man fled the store on foot with an undisclosed amount of money. Officers found McCrary in a wooded area next to the store. Police said he was armed with a knife, and he was shot and killed by 36-year-old Officer Samuel McLeod. Details as to what precipitated the killing were withheld by police.</t>
  </si>
  <si>
    <t>https://www.cbs17.com/news/local-news/officer-and-robbery-suspect-identified-in-sanford-officer-involved-shooting/</t>
  </si>
  <si>
    <t>Daniel Thomas Childers</t>
  </si>
  <si>
    <t>3600 Jonesville Lockhart Hwy</t>
  </si>
  <si>
    <t>Deputies were called to a house on Jonesville Lockhart Highway when a man came out of the house with a knife and threatened EMS workers. When a deputy arrived, the man went toward him with a knife, and the deputy shocked him with a stun gun, which did not incapacitate him, and the deputy shot and killed him.</t>
  </si>
  <si>
    <t>https://www.wspa.com/news/local-news/sled-investigating-deputy-involved-shooting-in-union-co/</t>
  </si>
  <si>
    <t>Troy Kirk</t>
  </si>
  <si>
    <t>914 Pierce Ave</t>
  </si>
  <si>
    <t>Lancaster Police shot and killed suspect Troy Kirk as he held a restaurant manager at knifepoint and threatened to kill her. He had stormed into Cristy’s around 12:30 p.m. Kirk did not know the woman.</t>
  </si>
  <si>
    <t>https://myfox28columbus.com/news/local/cristys-pizza-hails-heroic-actions-by-manager-who-was-held-hostage</t>
  </si>
  <si>
    <t>Marcus Boles</t>
  </si>
  <si>
    <t>315 Clyde Fant Pkwy</t>
  </si>
  <si>
    <t>Marcus Boles was shot and killed while allegedly trying to take a gun from a Shreveport Police officer during a confrontation in the parking garage of Sam's Town Casino.</t>
  </si>
  <si>
    <t>https://www.ksla.com/2019/06/02/suspect-killed-officer-involved-shooting-shreveport-casino-identified/</t>
  </si>
  <si>
    <t>Ben Fields</t>
  </si>
  <si>
    <t>3200 SW Constellation Rd</t>
  </si>
  <si>
    <t>Ben Fields called police at about 4 p.m., saying he was thinking about killing his wife. Port St. Lucie police responded and found him with a knife. Police said they ordered him to drop the knife, but he advanced on them. Officers Peter Chunn and Dylan Krecic shot and killed him as he advanced toward them, police said.</t>
  </si>
  <si>
    <t>https://heavy.com/news/2019/07/ben-fields/</t>
  </si>
  <si>
    <t>Carlos Javier Roman Santiago</t>
  </si>
  <si>
    <t>5783 Zelma Blvd</t>
  </si>
  <si>
    <t>Randolph County Sheriff's Office</t>
  </si>
  <si>
    <t>Around 12:10 a.m., a deputy was sent to a home for undisclosed reasons. When the deputy arrived, he encountered the suspect armed with a knife inside the home. The deputy shot and killed Carlos Javier Roman Santiago for reasons which were withheld by police.</t>
  </si>
  <si>
    <t>https://www.courier-tribune.com/news/20190520/suspect-killed-in-officer-involved-shooting</t>
  </si>
  <si>
    <t>Patrick David Martinez</t>
  </si>
  <si>
    <t>1700 E 5th St</t>
  </si>
  <si>
    <t>About 8 p.m., police responded to a domestic disturbance call. Responding officers were reportedly attacked by a man with a knife when they arrived at the home. Four Pueblo Police Department officers shot and killed Patrick David Martinez.</t>
  </si>
  <si>
    <t>https://www.thedenverchannel.com/news/covering-colorado/one-person-dead-after-officer-involved-shooting-in-pueblo</t>
  </si>
  <si>
    <t>Kevin Samuel Capers</t>
  </si>
  <si>
    <t>S 7th St and W Texas Ave</t>
  </si>
  <si>
    <t>Police responded to a domestic disturbance call. Kevin Samuel Capers allegedly threatened his girlfriend with a knife, police said.  When officers arrived, they found a couple arguing. Capers  allegedly threatened the officers and refused to put his knife down, and they shot and killed him.</t>
  </si>
  <si>
    <t>http://www.news9.com/story/40209211/1-dead-in-chickasha-officerinvolved-shooting</t>
  </si>
  <si>
    <t>Michael J. D'Angelo</t>
  </si>
  <si>
    <t>600 Washington Rd</t>
  </si>
  <si>
    <t>Trooper First Class Tyler Michael was stabbed while he was responding to a call about vandalism. He then fatally shot Michael J. D'Angelo.</t>
  </si>
  <si>
    <t>https://baltimore.cbslocal.com/2019/03/13/maryland-state-police-trooper-fatal-shooting/</t>
  </si>
  <si>
    <t>Christopher Allan Noe</t>
  </si>
  <si>
    <t>14400 Enchanted Waters Dr</t>
  </si>
  <si>
    <t>A deputy on patrol saw a white Ford Expedition traveling at 70 miles per hour in a 55 mile an hour zone. The Expedition sped away and the deputy pursued. The suspect vehicle was lost, but police got the license plate number. The owner was identified as 45-year-old Christopher Allan Noe who reportedly had an active felony warrant. Officers checked the home for Noe, but did not find him. Shortly after they left, they received information that Noe was inside the home, and they returned. They saw a man through a window who looked like Noe. Police entered the home and ordered Noe to surrender, at which time he reportedly produced a knife. A Taser reported was discharged, and Noe began advancing toward the officers, who shot and killed him.</t>
  </si>
  <si>
    <t>http://www.mctxsheriff.org/news_detail_T6_R594.php</t>
  </si>
  <si>
    <t>Paul Emory Cheek</t>
  </si>
  <si>
    <t>1851 Black Mountain Rd</t>
  </si>
  <si>
    <t>Dahlonega</t>
  </si>
  <si>
    <t>Lumpkin County Sheriff's Office</t>
  </si>
  <si>
    <t>Paul Cheek was shot and killed when he reportedly attempted to attack a deputy who was responding to a domestic disturbance report at the man's home. Cheek was allegedly armed with a knife. The deputy had responded to a 911 call from Cheeks' wife.</t>
  </si>
  <si>
    <t>https://www.thedahloneganugget.com/local/breaking-news-update-dahlonega-man-dies-officer-involved-shooting</t>
  </si>
  <si>
    <t>Shamikle Jackson</t>
  </si>
  <si>
    <t>https://fatalencounters.org/wp-content/uploads/2019/08/Shamikle-Jackson.jpg</t>
  </si>
  <si>
    <t>2210 S. Dallas Street</t>
  </si>
  <si>
    <t>Police responded to a possible hostage situation at 8:44 a.m. A man called 911 to report there were hostages inside an apartment and that somebody had been injured by a person with a machete. When police arrived, they knocked on the apartment door, and a woman answered the door and was escorted out of the residence. Officers ordered anybody else in the apartment to come out. They allegedly were confronted by a man with a machete, who failed to comply with orders to drop it. One officer reportedly tried to use a Taser on the man, but when he was not incapacitated, an officer shot and killed him.</t>
  </si>
  <si>
    <t>https://www.thedenverchannel.com/news/local-news/police-involved-in-shooting-in-north-aurora</t>
  </si>
  <si>
    <t>Fernando Mora</t>
  </si>
  <si>
    <t>398-200 San Lorenzo Ave</t>
  </si>
  <si>
    <t>Florida Department of Law Enforcement</t>
  </si>
  <si>
    <t>Florida Department of Law Enforcement served a narcotics search warrant around 8:30 p.m. While searching a house located, agents reportedly were confronted by a man armed with a machete. Agents shot and killed Fernando Mora.</t>
  </si>
  <si>
    <t>https://www.wfla.com/news/sarasota-county/fdle-investigating-officer-involved-fatal-shooting-in-north-port/</t>
  </si>
  <si>
    <t>Jason Xavier Salas</t>
  </si>
  <si>
    <t>https://fatalencounters.org/wp-content/uploads/2019/08/Jason-Xavier-Salas.jpg</t>
  </si>
  <si>
    <t>241 E I-30</t>
  </si>
  <si>
    <t>Around 10:30 p.m. two officers went to an apartment complex because a man had two machetes. They confronted Jason Xavier Salas, and he allegedly advanced toward officers and failed to obey commands, police said. The two officers shot and killed him.</t>
  </si>
  <si>
    <t>https://www.nbcdfw.com/news/local/Machete-Wielding-Suspect-Dead-in-Officer-Involved-Shooting-532466321.html</t>
  </si>
  <si>
    <t>Emanuel David Joshua Oates</t>
  </si>
  <si>
    <t>8608 Liberty Rd</t>
  </si>
  <si>
    <t>Around 4:15 p.m., an officer was investigating a crash in the Aldi parking lot when a Dollar Tree employee said a shoplifting had just occurred in the store and pointed out the alleged thief. As the man tried to flee, an officer grabbed the man by the arm, and he allegedly pulled out a concealed machete. The man ran into a nearby grocery store, and officers told him to drop the weapon, and he did not, and he was shot and killed.</t>
  </si>
  <si>
    <t>https://patch.com/maryland/owingsmills/machete-wielding-man-shot-injured-2-police-aldi-officials</t>
  </si>
  <si>
    <t>Shannon Gail Rupert</t>
  </si>
  <si>
    <t>https://fatalencounters.org/wp-content/uploads/2019/10/Shannon-Gail-Rupert.jpg</t>
  </si>
  <si>
    <t>309 Preston Blvd</t>
  </si>
  <si>
    <t>Officer Patrick Edmonds Jr. went to a hotel in response to a disorderly person call and found Shannon Rupert allegedly waving around a pair of scissors while on a phone in the lobby of the hotel. Edmonds reportedly ordered Rupert to put down the scissors. Rupert allegedly approached the officer with scissors in hand, and he shot and killed her.</t>
  </si>
  <si>
    <t>https://www.shreveporttimes.com/story/news/2019/10/28/bossier-city-officer-patrick-edmonds-jr-named-fatal-shooting/2489626001/</t>
  </si>
  <si>
    <t>Kennith Waynon Hooker</t>
  </si>
  <si>
    <t>https://fatalencounters.org/wp-content/uploads/2019/11/KennithHooker.jpg</t>
  </si>
  <si>
    <t>2578 I-10 Frontage Rd</t>
  </si>
  <si>
    <t>About 5:15 a.m., a male and female officer were called to Al Basha for a burglary in progress. Kennith Hooker reportedly had broken out a window and was inside trying to pry open a lock box with a screwdriver. Police said he tried to attack the officers with the screwdriver, and they shot and killed him.</t>
  </si>
  <si>
    <t>https://kfdm.com/news/local/team-coverage-burglary-suspect-shot-by-beaumont-officer-identified</t>
  </si>
  <si>
    <t>Elijah Collins III</t>
  </si>
  <si>
    <t>https://fatalencounters.org/wp-content/uploads/2019/07/Elijah-Collins.jpg</t>
  </si>
  <si>
    <t>138 2nd St NW</t>
  </si>
  <si>
    <t>Sugarcreek</t>
  </si>
  <si>
    <t>Tuscarawas</t>
  </si>
  <si>
    <t>Sugarcreek Police Department</t>
  </si>
  <si>
    <t>About 10 a.m., Sugarcreek Police Officer Brian Dalton was reportedly stabbed during a traffic stop, and he shot and killed Elijah Collins.</t>
  </si>
  <si>
    <t>https://www.daily-jeff.com/news/20190626/sugarcreek-officer-injured-suspect-dead/3</t>
  </si>
  <si>
    <t>Kenneth Cherry</t>
  </si>
  <si>
    <t>https://www.fatalencounters.org/wp-content/uploads/2019/03/Kenneth_Cherry.jpg</t>
  </si>
  <si>
    <t>650 W Straub Rd</t>
  </si>
  <si>
    <t>Police received a call before 4:30 p.m. that a man was breaking into an apartment. The caller reportedly told police the man was intoxicated, and it appeared he had a box cutter. When police arrived, they confronted the man and shocked him with Tasers. Officers Matt Davis, Thayne Telquist and Scott Kotterman shot and killed him.</t>
  </si>
  <si>
    <t>https://www.mansfieldnewsjournal.com/story/news/2019/03/19/man-officer-involved-shooting-identified/3210017002/</t>
  </si>
  <si>
    <t>Jose De Santiago-Media</t>
  </si>
  <si>
    <t>Brunswick Ave and Appleton St</t>
  </si>
  <si>
    <t>Officers responded about noon to a radio call of a man armed with an "edged weapon." He was shot and killed upon the officers' arrival. Details as to what precipitated the killing were withheld by police. LAPD later said the man was chasing people with the weapon.</t>
  </si>
  <si>
    <t>https://ktla.com/2019/06/06/suspect-fatally-shot-in-atwater-village-officer-involved-shooting-police-say/</t>
  </si>
  <si>
    <t>Benjamin Diaz</t>
  </si>
  <si>
    <t>https://fatalencounters.org/wp-content/uploads/2019/11/Benjamin-Diaz.jpg</t>
  </si>
  <si>
    <t>20954-20992 US-70</t>
  </si>
  <si>
    <t>New Mexico State Police reportedly were conducting a traffic stop. They say during the traffic stop, around 7 a.m., Benjamin Diaz got out of his vehicle holding a knife and attacked the officer with the knife, and the officer shot and killed Diaz.</t>
  </si>
  <si>
    <t>https://www.krqe.com/news/new-mexico/nmsp-officer-suspect-injured-in-officer-involved-shooting/</t>
  </si>
  <si>
    <t>Jared Nelson</t>
  </si>
  <si>
    <t>4800 Crystal Spring Dr</t>
  </si>
  <si>
    <t>Caledonia Police Department</t>
  </si>
  <si>
    <t>Police responded for a burglary in progress call. A responding officer encountered Jared Nelson, who was armed with an "edged weapon" and attacked the officer, injuring him in the head. The officer shot and killed Nelson.</t>
  </si>
  <si>
    <t>https://www.wisn.com/article/report-officer-involved-shooting-being-investigated-in-caledonia/28739150</t>
  </si>
  <si>
    <t>Dominador Araquel Rabot</t>
  </si>
  <si>
    <t>24000 S Wilmington Ave</t>
  </si>
  <si>
    <t>Los Angeles County Probation Department</t>
  </si>
  <si>
    <t>A man allegedly threatened probation officers with a "stabbing instrument" around 12:45 p.m. and was shot and killed.</t>
  </si>
  <si>
    <t>https://ktla.com/2019/10/22/man-dies-after-confrontation-with-probation-officers-serving-warrant-in-carson/</t>
  </si>
  <si>
    <t>Marcus Hartsfield</t>
  </si>
  <si>
    <t>76334-76310 Rainbow Rd</t>
  </si>
  <si>
    <t>Oakridge</t>
  </si>
  <si>
    <t>Oakridge Police Department</t>
  </si>
  <si>
    <t>Around 8 p.m., an Oakridge officer responded to a domestic disturbance and shot and killed Marcus Hartsfield. Details as to what precipitated the killing were withheld by police.</t>
  </si>
  <si>
    <t>https://nbc16.com/news/local/suspect-identified-in-officer-involved-shooting-in-oakridge</t>
  </si>
  <si>
    <t>Brian Leslie Statler</t>
  </si>
  <si>
    <t>315 S Market St</t>
  </si>
  <si>
    <t>Police responded about 3:30 p.m. to a Church of Scientology, and encountered Brian Statler, who had arrived at the church in a white Bentley and armed with a sword, and shot and killed him in the lobby area.</t>
  </si>
  <si>
    <t>https://www.presstelegram.com/2019/04/01/sword-wielding-suspect-killed-at-church-of-scientology-in-inglewood-is-idd-as-la-man/</t>
  </si>
  <si>
    <t>Michael Norquest</t>
  </si>
  <si>
    <t>600 Lone Pine Dr</t>
  </si>
  <si>
    <t>Timberville</t>
  </si>
  <si>
    <t>Timberville Police Department</t>
  </si>
  <si>
    <t>At 9:20 p.m. at a home, town police had responded for an ongoing domestic situation. When the Timberville police officer arrived, he found MIchael S. Norquest barricaded inside the residence. The officer entered the residence and was allegedly assaulted by Norquest with a sword. The officer shot and killed Norquest.</t>
  </si>
  <si>
    <t>https://www.nbc29.com/story/40715491/vsp-investigating-officerinvolved-shooting-in-rockingham-co</t>
  </si>
  <si>
    <t>Michael Kifer</t>
  </si>
  <si>
    <t>https://fatalencounters.org/wp-content/uploads/2019/11/Michael-Kifer.jpg</t>
  </si>
  <si>
    <t>11th St SW and 35th Ave SW</t>
  </si>
  <si>
    <t>Deputies responded to a home, where they had already responded on two other occasions the same day. Deputies found Michael Kifer, who they say was drunk or high, armed with a knife. He fled on foot, reappeared with a hatchet, and was chased back into his home by deputies. The deputies found him in the home reportedly holding a knife and shot and killed him.</t>
  </si>
  <si>
    <t>https://cbs12.com/news/local/shoot-me-sword-wielding-man-killed-by-deputies</t>
  </si>
  <si>
    <t>Omar Enrique Garcia</t>
  </si>
  <si>
    <t>4211 Dozier St</t>
  </si>
  <si>
    <t>Deputies were called to a home shortly after 8:30 a.m. for a family disturbance and a restraining order violation, police said. A man, who was alleged to have violated the restraining order, was holding a 3-feet-long sword outside the home and ignored deputies' commands to drop the weapon. The man fled, and the chase ended outside the high school around 9:10 a.m. The man, still holding the sword, advanced toward a deputy and allegedly ignored orders to drop the weapon. One deputy shot and killed him.</t>
  </si>
  <si>
    <t>https://kmph.com/news/local/deputies-shoot-man-wielding-sword-outside-california-school</t>
  </si>
  <si>
    <t>Pamela Shantay Turner</t>
  </si>
  <si>
    <t>https://fatalencounters.org/wp-content/uploads/2019/05/PamelaTurner.jpg</t>
  </si>
  <si>
    <t>1601 Garth Rd</t>
  </si>
  <si>
    <t>Baytown police said one of their officers shot and killed Pamela Turner after she shocked him with his own Taser. A video of the incident appears to show Turner and the officer struggling after he tries to arrest her. Something flashes as they wrestle on the ground, and Officer Juan Delacruz, 37, shoots and kills her.</t>
  </si>
  <si>
    <t>https://www.chron.com/news/texas/article/Medical-examiner-Police-shooting-of-Texas-woman-13848360.php</t>
  </si>
  <si>
    <t>Mohamed Ahemed Al-Hashemi</t>
  </si>
  <si>
    <t>https://fatalencounters.org/wp-content/uploads/2019/12/Mohamed-Ahmed-E-A-Al-Hashemi.jpg</t>
  </si>
  <si>
    <t>N Scottsdale Rd &amp; E Playa Del Norte Dr</t>
  </si>
  <si>
    <t>Around 11:50 p.m. a trooper saw Mohamed Ahmed E A Al-Hashemi knock over a street sign. When the trooper tried to arrest him, Al-Hashemi attacked him. The trooper shot and killed him.</t>
  </si>
  <si>
    <t>https://www.kold.com/2019/12/20/dps-involved-officer-involved-shooting-tempe/</t>
  </si>
  <si>
    <t>Henry Kistler Berry III</t>
  </si>
  <si>
    <t>100 Nantucket Pl</t>
  </si>
  <si>
    <t>Officers went to the home of Henry Kistler Berry III to cite him for making unnecessary calls to 911. He attempted to go inside the house, and police forced their way in, fought, tasered and Officer Albin Pearson shot and killed Berry.</t>
  </si>
  <si>
    <t>https://wtkr.com/2019/12/27/newport-news-police-officer-involved-in-shooting/</t>
  </si>
  <si>
    <t>Arron Thomas Lambert</t>
  </si>
  <si>
    <t>https://www.fatalencounters.org/wp-content/uploads/2019/01/ArronLambert.jpg</t>
  </si>
  <si>
    <t>2194 Austin Hwy</t>
  </si>
  <si>
    <t>Arron Lambert shot and killed by a San Antonio police officer after he allegedly took an officer's stun gun and used it on him.</t>
  </si>
  <si>
    <t>https://www.mysanantonio.com/news/local/crime/article/Man-killed-by-San-Antonio-police-after-allegedly-13508830.php</t>
  </si>
  <si>
    <t>Michael Tuck</t>
  </si>
  <si>
    <t>Delphos Ave and W 3rd St</t>
  </si>
  <si>
    <t>Police were called to an incident. On their way there, officers saw a vehicle driving erratically. The officers tried to make a traffic stop when a man inside the car got out and ran. There reportedly was a struggle, and the man allegedly grabbed the officer's Taser, and the officer shot and killed him.</t>
  </si>
  <si>
    <t>https://dayton247now.com/news/local/dayton-officer-involved-shooting-under-investigation</t>
  </si>
  <si>
    <t>Michael Kahalehoe</t>
  </si>
  <si>
    <t>https://fatalencounters.org/wp-content/uploads/2019/11/Michael-Kahalehoe.jpg</t>
  </si>
  <si>
    <t>577 Farrington Hwy</t>
  </si>
  <si>
    <t>Michael Kahalehoe was wanted in a rash of armed robberies and possible carjackings, police said. When police caught up with his vehicle, he allegedly threatened them with it. Five Honolulu Police Department plainclothes officers fired about 20 rounds, killing him. His suspected accomplice, Melvin Spillner, 24, was captured and treated for minor injuries.</t>
  </si>
  <si>
    <t>https://www.staradvertiser.com/2019/11/13/breaking-news/man-30-dead-after-officer-involved-shooting-at-kapolei-gas-station/</t>
  </si>
  <si>
    <t>Nathaniel Pinnock</t>
  </si>
  <si>
    <t>https://fatalencounters.org/wp-content/uploads/2020/01/Nathaniel-Robert-Pinnock.jpg</t>
  </si>
  <si>
    <t>Sunset Blvd and Highland Ave</t>
  </si>
  <si>
    <t>Around 11:30 a.m., police received a call about a machete-wielding man robbing an auto parts store. The man then reportedly walked over to the nearby Chick-fil-A and began threatening customers and carjacked a vehicle in the drive-through. He drove off, crashing into police vehicles, getting out of the vehicle with the machete, and he was shot and killed.</t>
  </si>
  <si>
    <t>https://ktla.com/2019/11/25/police-responding-to-report-of-officer-down-in-hollywood/</t>
  </si>
  <si>
    <t>vehicle and machete</t>
  </si>
  <si>
    <t>Christopher George Massey</t>
  </si>
  <si>
    <t>https://fatalencounters.org/wp-content/uploads/2019/10/Christopher-George-Massey.jpg</t>
  </si>
  <si>
    <t>1716 W Frankford Rd</t>
  </si>
  <si>
    <t>Police found Christopher Massey asleep in his car with a gun in his lap. When they tried to take the gun from him, he awakened, and allegedly pointed it at an officer, and police shot and killed him.</t>
  </si>
  <si>
    <t>https://www.wfaa.com/article/news/local/denton-county/a-man-is-dead-after-an-officer-involved-shooting-in-carrollton-police-say/287-c46a7602-633e-4961-996b-3c466707d918</t>
  </si>
  <si>
    <t>Maurice Holly</t>
  </si>
  <si>
    <t>13600 Bennett Rd</t>
  </si>
  <si>
    <t>Herald</t>
  </si>
  <si>
    <t>A man was found by a deputy sleeping in a ditch around 2:30 p.m. after responding to a call. The caller reported that the man may have been on drugs. The man woke up and began talking with the deputy, who reportedly saw a handgun in the man's waistband. The gun was later determined to be a replica gun. After reportedly seeing the man reach for his waistband, the deputy shot and killed the man.</t>
  </si>
  <si>
    <t>https://www.sacbee.com/news/local/article235860512.html</t>
  </si>
  <si>
    <t>Airsoft pistol</t>
  </si>
  <si>
    <t>Guy Barnard</t>
  </si>
  <si>
    <t>https://fatalencounters.org/wp-content/uploads/2019/11/Guy-Barnard.jpg</t>
  </si>
  <si>
    <t>120 Maple St</t>
  </si>
  <si>
    <t>Wadsworth</t>
  </si>
  <si>
    <t>Wadsworth Police Department, Medina County Sheriff's Office</t>
  </si>
  <si>
    <t>Guy Barnard was apparently turning himself in after a hit and run. He pointed a replica gun at police and was shot and killed. At 7:59 p.m., Barnard called 911 and told a dispatcher he was in the Wadsworth police parking lot with a gun. Police reportedly had received reports that someone wanted to commit "suicide by cop."</t>
  </si>
  <si>
    <t>https://www.beaconjournal.com/news/20191108/man-killed-by-police-in-wadsworth-once-threatened-to-blow-up-school</t>
  </si>
  <si>
    <t>Joseph Jesk</t>
  </si>
  <si>
    <t>https://fatalencounters.org/wp-content/uploads/2019/10/Joseph-Jesk.jpg</t>
  </si>
  <si>
    <t>10300 S Harlem Ave</t>
  </si>
  <si>
    <t>Palos Hills</t>
  </si>
  <si>
    <t>Bridgeview Police Department</t>
  </si>
  <si>
    <t>About 7 p.m., police were called to a Walmart store for a report of shoplifting. Once there, an officer took a woman—the girlfriend of Joseph Jesk, 32—into custody and put her in a squad car. The officer started to drive away, and Jesk got into his vehicle and rear-ended the squad car, police said. Both men got out of their vehicles, and Jesk pointed a replica gun at the officer, who shot and killed Jesk.</t>
  </si>
  <si>
    <t>https://chicago.suntimes.com/2019/10/1/20894520/bridgeview-cop-shoots-man-joseph-jesk</t>
  </si>
  <si>
    <t>BB gun and vehicle</t>
  </si>
  <si>
    <t>Jordan Michael Griffin</t>
  </si>
  <si>
    <t>5103 Pacific Coast Hwy</t>
  </si>
  <si>
    <t>Police were conducting a surveillance operation and investigating a vehicle believed to be involved in a series of armed robberies. Jordan Michael Griffin was confronted by officers after he exited the vehicle and entered a 7-Eleven. Officers opened fire when Griffin failed to comply with their commands. Griffin was allegedly holding a replica C02 BB pistol.</t>
  </si>
  <si>
    <t>https://abc7.com/suspect-fatally-shot-by-police-in-long-beach-was-holding-fake-gun-police-say-/5560480/</t>
  </si>
  <si>
    <t>DeWayne Watkins</t>
  </si>
  <si>
    <t>https://fatalencounters.org/wp-content/uploads/2019/06/DewayneWatkins.jpg</t>
  </si>
  <si>
    <t>319 W Calthrop Ave</t>
  </si>
  <si>
    <t>The Syracuse Fire Department responded to a home around 10 a.m. for a medical call involving a 74-year-old man, police said. Firefighters then asked the police department to respond for backup. When the man reportedly pointed a gun at police, an officer shot and killed him.</t>
  </si>
  <si>
    <t>https://www.syracuse.com/crime/2019/06/74-year-old-man-shot-by-syracuse-police-dies.html</t>
  </si>
  <si>
    <t>toy weapon</t>
  </si>
  <si>
    <t>Stephen Murray</t>
  </si>
  <si>
    <t>https://fatalencounters.org/wp-content/uploads/2019/07/stephen-murray.jpg</t>
  </si>
  <si>
    <t>Vine St and Madison St</t>
  </si>
  <si>
    <t>About 10 p.m., deputies were investigating a reported kidnapping and false imprisonment when they located Stephen Murray. Deputies had a warrant for Murray's arrest and saw that the victim was walking with him. When they tried to arrest him, he placed the woman between himself and the deputies while armed with a weapon that turned out to be a replica, police said. At least one deputy shot and killed Murray.</t>
  </si>
  <si>
    <t>https://www.modbee.com/news/local/crime/article232822747.html</t>
  </si>
  <si>
    <t>Bennie Branch</t>
  </si>
  <si>
    <t>3400 Portland Ave</t>
  </si>
  <si>
    <t>Bennie Branch was shot and killed following a traffic stop. Details as to what precipitated the killing were withheld by police. Family members said he was shot while fleeing, and his mother witnessed the killing.</t>
  </si>
  <si>
    <t>https://www.kiro7.com/news/local/pierce-county-detectives-investigating-officer-involved-shooting-that-killed-1/984088741</t>
  </si>
  <si>
    <t>David Michael Bosiljevac</t>
  </si>
  <si>
    <t>https://www.fatalencounters.org/wp-content/uploads/2019/02/David-Michael-Bosiljevac.jpg</t>
  </si>
  <si>
    <t>3360 S Hydraulic Ave</t>
  </si>
  <si>
    <t>Deputies received a tip that David Michael Bosiljevac, who reportedly had a felony warrant, was going to be at a storage facility. Two deputies arrived at the storage unit facility just before 1 p.m. and saw the man. He ran to the driver's seat of a car, not complying with their commands to stop, and retrieved an Airsoft pistol and reportedly pointed it at him. Bosiljevac was shot and killed.</t>
  </si>
  <si>
    <t>http://www.kake.com/story/39864359/sheriffs-office-identifies-man-shot-killed-by-deputy-in-south-wichita</t>
  </si>
  <si>
    <t>John Richard Camacho</t>
  </si>
  <si>
    <t>https://www.fatalencounters.org/wp-content/uploads/2019/01/John-Richard-Camacho.jpg</t>
  </si>
  <si>
    <t>Hopkins St and N Bishop St</t>
  </si>
  <si>
    <t>San Marcos Police Department</t>
  </si>
  <si>
    <t>Police were pursuing John Richard Camacho after a caller reported someone firing a weapon around 9:30 p.m. Two officers found a vehicle matching the description and pulled it over. The passenger, Camacho, who matched the description of the suspect, got out of the vehicle and faced the officers. He put his hands in the air as commanded at first, but then lowered them before reaching toward his waistband and grabbing a replica firearm. He was shot and killed.</t>
  </si>
  <si>
    <t>https://www.statesman.com/news/20190105/man-killed-in-san-marcos-police-shooting-had-reached-for-pellet-pistol-chief-says</t>
  </si>
  <si>
    <t>Hannah Westall</t>
  </si>
  <si>
    <t>https://www.fatalencounters.org/wp-content/uploads/2019/03/Hannah-Westall.jpg</t>
  </si>
  <si>
    <t>9023 Huebner Rd</t>
  </si>
  <si>
    <t>Hannah Westall was in the parking lot of the Huebner Commons Shopping Center when she was shot and killed by Officer David Perry. Police said Perry had responded to a report of an agitated woman and then spoke with Westall, ordering her to keep her hands where he could see them. Westall reportedly reached behind her back, pulling out what appeared to be a functioning gun from her waistband. Perry shot and killed her. She had a replica of a gun.</t>
  </si>
  <si>
    <t>https://www.ksat.com/news/woman-killed-in-officer-involved-shooting-idd-gun-she-possessed-was-fake-police-say</t>
  </si>
  <si>
    <t>Hannah Williams</t>
  </si>
  <si>
    <t>https://fatalencounters.org/wp-content/uploads/2019/07/Hannah-Linn-Williams.jpg</t>
  </si>
  <si>
    <t>Riverside Freeway and N Kraemer Boulevard</t>
  </si>
  <si>
    <t>Hannah Linn Williams was shot and killed by a Fullerton officer, but details as to what precipitated the killing were withheld by police. Some reports said the encounter stemmed from an attempted speeding traffic stop.</t>
  </si>
  <si>
    <t>https://www.latimes.com/local/lanow/la-me-91-freeway-closed-police-shooting-20190705-story.html?fbclid=IwAR3YL-RJCkHxso4tk3flkYWe8yEwAsTEE9GKBVSSfqTXW-pHilptHxlVdTI</t>
  </si>
  <si>
    <t>Raymond Lee</t>
  </si>
  <si>
    <t>1920 W Orangeburg Ave</t>
  </si>
  <si>
    <t>Police responded to reports of a suspect with outstanding warrants at a Motel 6 about 9 p.m. When the officers made contact, the man was shot and killed.</t>
  </si>
  <si>
    <t>https://fox40.com/2019/11/29/modesto-officers-respond-to-shots-fired-at-motel-6/</t>
  </si>
  <si>
    <t>Anthony Tovar</t>
  </si>
  <si>
    <t>SE 168th St and SE 116th Ave</t>
  </si>
  <si>
    <t>Renton</t>
  </si>
  <si>
    <t>Renton Police Department</t>
  </si>
  <si>
    <t>Around 3:45 p.m., an officer radioed that he witnessed a liquor violation. Police said the man pulled "what appeared to be a shotgun," but dropped it and ran when the officer fired at least one round at him. Another officer arrived and fired a less-lethal round at the man, who police said refused to obey commands to stop. Anthony Tovar allegedly pulled a knife and moved toward the officers, and the officer shot and killed him. Police withheld information as to what the object was that appeared to be a shotgun.</t>
  </si>
  <si>
    <t>https://www.seattletimes.com/seattle-news/crime/man-shot-by-renton-police-officer-taken-to-harborview-medical-center/</t>
  </si>
  <si>
    <t>Antonio Arce</t>
  </si>
  <si>
    <t>https://www.fatalencounters.org/wp-content/uploads/2019/01/Antonio-Arce.jpg</t>
  </si>
  <si>
    <t>4500 S Fair Ln</t>
  </si>
  <si>
    <t>Police said said Antonio Arce, 14, was carrying a replica handgun when he was shot running through an alley, fleeing police.</t>
  </si>
  <si>
    <t>https://azdailysun.com/news/state-and-regional/arizona-police-to-re-interview-people-in-teenage-boy-s/article_87ff8528-ab00-5eb7-b05b-f6d8d953da06.html</t>
  </si>
  <si>
    <t>Christine Soto Venegas</t>
  </si>
  <si>
    <t>https://fatalencounters.org/wp-content/uploads/2019/07/Christine-Soto-Venegas.jpg</t>
  </si>
  <si>
    <t>5150 El Paso Dr</t>
  </si>
  <si>
    <t>Christine Soto Venegas was shot and killed when she confronted police with a BB gun during a standoff at the Texas Health and Human Services offices. Police said they attempted less lethal methods to incapacitate her before they killed her.</t>
  </si>
  <si>
    <t>https://www.kvia.com/crime/woman-shot-killed-by-el-paso-swat-during-standoff-was-armed-with-pellet-gun/1092124412?fbclid=IwAR3GVN10OH7uwYpOCrKS6TwcfauqMn5M2eui4-j1kLiELmkxBdh8peRR7So</t>
  </si>
  <si>
    <t>Estevon Cruz</t>
  </si>
  <si>
    <t>https://fatalencounters.org/wp-content/uploads/2019/11/estevoncruz.jpg</t>
  </si>
  <si>
    <t>3200 Rex St</t>
  </si>
  <si>
    <t>Around 10:38 p.m. someone inside a home called 911. On the call, a woman was heard screaming and crying, while a man was heard "making threats." Officers heard screaming when they arrived at the home and forced their way into the home to stop what they said was an immediate threat to the woman's safety. As the officers entered through the front door, a woman ran out of the home, and a man appeared in a hallway with the air pistol and reportedly fired at the officers. Four officers shot and killed Cruz.</t>
  </si>
  <si>
    <t>https://www.denverpost.com/2019/11/25/pueblo-police-department-officer-involved-shooting-estevon-cruz/</t>
  </si>
  <si>
    <t>Robert D. Richardson</t>
  </si>
  <si>
    <t>100 Rainey Creek Road</t>
  </si>
  <si>
    <t>Glenoma</t>
  </si>
  <si>
    <t>About 1:15 a.m., a deputy and reserve deputy were patrolling when they came across a suspicious vehicle. One man was in the vehicle. After checking his driving status, they learned he had a no-bail felony warrant out of Pierce County for first-degree child rape and two counts of second-degree child molestation. The deputies reportedly ordered the man to step out of his car but he allegedly pulled out a weapon and pointed it at the deputies, who shot and killed him.</t>
  </si>
  <si>
    <t>https://www.theolympian.com/news/local/article227059219.html</t>
  </si>
  <si>
    <t>Anthony Viadero</t>
  </si>
  <si>
    <t>5944-6022 GA-369</t>
  </si>
  <si>
    <t>A woman called 911 about 3:20 a.m. and said her ex-husband was at her home, violating her temporary protective order. The man was gone before the deputies arrived, but his vehicle was later spotted on a nearby road. After a short pursuit, the vehicle was stopped on Browns Bridge Road when deputies threw out stop sticks to deflate his tires. Anthony Viadero reportedly got out of his vehicle and pointed a gun at the deputies, who shot and killed him as he reportedly advanced toward them.</t>
  </si>
  <si>
    <t>https://www.ajc.com/news/crime--law/breaking-gbi-called-deputy-involved-shooting-forsyth-county/bRudoX0LFnAXCYE8CQHMkN/#</t>
  </si>
  <si>
    <t>Alejandro Hernandez</t>
  </si>
  <si>
    <t>40th Ave and Van Buren St</t>
  </si>
  <si>
    <t>Officers responded to a reported violation of an order of protection around 9:45 a.m. at a home. Police said Alejandro Hernandez went to his parents' home, which was against the court order. He left by the time officers arrived. Police found Hernandez walking along a canal. Police said he had a sheet wrapped around an object that appeared to be a gun. Hernandez allegedly pointed the suspected weapon at officers several times before an officer shot and killed him. Police said a replica rifle was recovered.</t>
  </si>
  <si>
    <t>https://www.abc15.com/news/region-phoenix-metro/central-phoenix/suspect-hurt-in-officer-involved-shooting-near-40th-and-van-buren-streets</t>
  </si>
  <si>
    <t>D'ettrick Griffin</t>
  </si>
  <si>
    <t>https://www.fatalencounters.org/wp-content/uploads/2019/01/Dettrick-Griffin.jpg</t>
  </si>
  <si>
    <t>490 Whitehall St SW</t>
  </si>
  <si>
    <t>A plainclothes officer was pumping gas for his unmarked vehicle at about 7:21 p.m. when D'ettrick Griffin allegedly entered his car and attempted to drive away. The officer shot and killed him. The vehicle continued southbound on Whitehall Street where it hit two other cars before it stopped.</t>
  </si>
  <si>
    <t>https://www.11alive.com/article/news/local/man-killed-while-allegedly-trying-to-steal-unmarked-police-car-identified/85-1082740b-a3a8-498e-833e-d03728ff04b1</t>
  </si>
  <si>
    <t>Gregory Griffin</t>
  </si>
  <si>
    <t>https://www.fatalencounters.org/wp-content/uploads/2019/02/Gregory-Griffin.jpg</t>
  </si>
  <si>
    <t>50 Irvine Turner Blvd</t>
  </si>
  <si>
    <t>Driver Gregory Griffin was shot and killed by a Newark police officer following a car chase. A passenger was seriously injured.</t>
  </si>
  <si>
    <t>https://www.nj.com/essex/2019/01/2-men-shot-by-newark-police-after-car-chase-remain-in-critical-condition.html</t>
  </si>
  <si>
    <t>Kevin Bruce Mason</t>
  </si>
  <si>
    <t>https://www.fatalencounters.org/wp-content/uploads/2019/03/Kevin-Bruce-Mason.jpg</t>
  </si>
  <si>
    <t>4900 Pembridge Ave</t>
  </si>
  <si>
    <t>Officers were called about 11:40 p.m. for a report of an assault, police said. Police encountered Kevin Bruce Mason outside his home, and they believed he was armed with a gun, police said. Mason threatened to kill the officers if they came any closer to him. He went back into the house, and shortly after midnight came out a second time. When he came out of the rear of the home, one of the officers shot at him. [Mason] then went back into the home. Several hours later, a woman who was in the house emerged and said Mason was sleeping inside the home. Police then entered the home and found Mason dead. It was not immediately certain what killed him.</t>
  </si>
  <si>
    <t>https://www.wbal.com/article/379673/3/officer-involved-shooting-being-investigated-in-northwest-baltimore</t>
  </si>
  <si>
    <t>Marcus McVae</t>
  </si>
  <si>
    <t>https://www.fatalencounters.org/wp-content/uploads/2019/04/Marcus-McVae.jpg</t>
  </si>
  <si>
    <t>39500 Frontage Rd and W Fabra Lane</t>
  </si>
  <si>
    <t>Around 4:40 p.m., a trooper tried to conduct a traffic stop for a moving violation as Marcus McVae was driving eastbound on I-10 in a Chevrolet Impala. McVae stopped and took off on foot across the highway. When McVae got to an access road and into a wooded creek bed, there was a fight between McVae and the trooper, police said. The trooper shot and killed McVae.</t>
  </si>
  <si>
    <t>https://www.ksat.com/news/dps-investigating-trooper-involved-shooting-in-boerne-officials-say</t>
  </si>
  <si>
    <t>Isaiah Lewis</t>
  </si>
  <si>
    <t>Gray Fox Run and Silver Fox Dr</t>
  </si>
  <si>
    <t>A man was allegedly involved in a domestic disturbance and stripped off his clothing and ran around a neighborhood naked while police searched for him. When police caught up with him and tasered him, he allegedly continued to fight until he was shot and killed by an officer.</t>
  </si>
  <si>
    <t>https://www.news9.com/story/40385906/officerinvolved-shooting-reported-in-edmond</t>
  </si>
  <si>
    <t>Ryan Twyman</t>
  </si>
  <si>
    <t>E 132nd St and San Pedro St</t>
  </si>
  <si>
    <t>Willowbrook</t>
  </si>
  <si>
    <t>Deputies approached a vehicle that was parked at an apartment complex. Ryan Twyman was shot and killed. Details as to what precipitated the killing were withheld by police.</t>
  </si>
  <si>
    <t>https://abc7.com/1-dead-1-in-custody-after-willowbrook-deputy-involved-shooting/5336407/</t>
  </si>
  <si>
    <t>Channara Tom Pheap</t>
  </si>
  <si>
    <t>https://fatalencounters.org/wp-content/uploads/2019/09/Channara-Tom-Pheap.jpg</t>
  </si>
  <si>
    <t>1716 Merchant Dr</t>
  </si>
  <si>
    <t>Channara Tom Pheap was shot and killed after a fight with a Knoxville police officer who responded to a reported hit-and-run.</t>
  </si>
  <si>
    <t>https://www.wate.com/news/authorities-identify-victim-in-knoxville-officer-involved-shooting/</t>
  </si>
  <si>
    <t>Delmar Espejo</t>
  </si>
  <si>
    <t>415 S Beretania St</t>
  </si>
  <si>
    <t>Hawaii Department of Public Safety</t>
  </si>
  <si>
    <t>A deputy shot and killed a man at the Hawaii State Capitol building. Police withheld details about what precipitated the killing.</t>
  </si>
  <si>
    <t>https://www.khon2.com/news/local-news/man-dead-after-sheriff-deputy-involved-shooting/1792838641</t>
  </si>
  <si>
    <t>Maurice Arrisgado</t>
  </si>
  <si>
    <t>640 Puuhale Rd</t>
  </si>
  <si>
    <t>Maurice Arrisgado Jr. had just returned to Oahu Community Correctional Center after a court appearance. His leg shackles had been removed after transportation. He fled from the intake and release unit and through an open vehicular gate. Once through the gate, he ran across Kamehameha Highway. Officers caught up to him outside of St. Anthony's church. Arrisgado continued to flee, ignoring officers' commands to stop, at which point one of the correctional officers shot and killed him.</t>
  </si>
  <si>
    <t>https://www.khon2.com/news/local-news/shooting-investigation-in-kalihi/1821503438</t>
  </si>
  <si>
    <t>Li Xi Wang</t>
  </si>
  <si>
    <t>6800 Rockrose St.</t>
  </si>
  <si>
    <t>Officers were serving a drug-related search warrant. When they entered the house, they found a 53-year-old woman who was taken into custody. As officers searched the house for more people, they found Li Xi Wang hiding behind a door. Video shows one officer telling the suspect to show his hands while another shot and killed him.</t>
  </si>
  <si>
    <t>https://abc7.com/bodycam-footage-shows-chino-police-fatally-shoot-man-in-home/5489712/</t>
  </si>
  <si>
    <t>David Tyler Ingle</t>
  </si>
  <si>
    <t>https://fatalencounters.org/wp-content/uploads/2019/08/David-Tyler-Ingle.jpg</t>
  </si>
  <si>
    <t>901 W Kensington Rd</t>
  </si>
  <si>
    <t>Joplin Police Department</t>
  </si>
  <si>
    <t>Police responded at 9:20 p.m. to a call reporting a suspicious man yelling at the address and possibly on drugs. The first officer on the scene spotted David Ingle running down the street and saw him fall to the ground screaming. When a second officer arrived, they attempted to arrest him due to his erratic behavior. Ingle resisted and both officers deployed their stun guns. Ingle was struck multiple times with probes from the stun guns but continued to resist. One of the officers was rendered temporarily unable to assist the other officer due to an injury. The officer who was still engaged with Ingle reportedly backed off, but Ingle charged at him, and the officer shot and killed Ingle.</t>
  </si>
  <si>
    <t>https://www.joplinglobe.com/news/local_news/updated-joplin-officer-involved-shooting-victim-identified/article_0b0fa421-6071-55b5-83df-711ab8b89dc2.html</t>
  </si>
  <si>
    <t>Preston Oszust</t>
  </si>
  <si>
    <t>https://www.fatalencounters.org/wp-content/uploads/2019/01/Preston-Oszust.jpg</t>
  </si>
  <si>
    <t>Rhogena Nicholas</t>
  </si>
  <si>
    <t>https://www.fatalencounters.org/wp-content/uploads/2019/02/RhogenaNicholas.jpg</t>
  </si>
  <si>
    <t>Tyler J. Meier</t>
  </si>
  <si>
    <t>S Kempton Rd and Cranberry Road</t>
  </si>
  <si>
    <t>Fairchild</t>
  </si>
  <si>
    <t>An Eau Claire County Sheriff's deputy was dispatched to a report of a suspicious person. The Augusta Police Department responded to assist the deputy. Upon arrival, the deputy and officer were confronted by an agitated man. The man began fighting with police. During the struggle, unspecified less lethal means were reported used to try to incapacitate the man. He was then shot and killed.</t>
  </si>
  <si>
    <t>https://www.weau.com/content/news/Details-on-deadly-officer-involved-shooting-near-Augusta-506666251.html</t>
  </si>
  <si>
    <t>David Wayne West</t>
  </si>
  <si>
    <t>https://fatalencounters.org/wp-content/uploads/2019/05/DavidWayneWest.jpeg</t>
  </si>
  <si>
    <t>106 Dry Branch Rd</t>
  </si>
  <si>
    <t>Glenwood</t>
  </si>
  <si>
    <t>Wheeler</t>
  </si>
  <si>
    <t>Wheeler County Sheriff's Office</t>
  </si>
  <si>
    <t>Around 1:15 p.m., police tried to serve a warrant to David West. He allegedly drove away on a four-wheeler into the woods, leading officers on a brief chase. he got into a fight with an officer before being shot and killed, police said.</t>
  </si>
  <si>
    <t>https://www.ajc.com/news/crime--law/breaking-gbi-responding-officer-involved-shooting-wheeler-county/4LNEwbwWn7Ok10MtkUzurM/?fbclid=IwAR2NXSPqe5PhFP8t5eYOZhr_oegzTLqlGOoXwgAIQXDS_7uXmXxvvIPITuc</t>
  </si>
  <si>
    <t>Luke Patterson</t>
  </si>
  <si>
    <t>https://fatalencounters.org/wp-content/uploads/2019/05/Luke-Patterson.jpg</t>
  </si>
  <si>
    <t>Two troopers came upon a disabled vehicle with the lone occupant walking on the highway at about 1:55 a.m. One trooper got out of the police car and talked to the man while the other drove the vehicle beside them. Luke Patterson reportedly attempted to get in the car, and police shot and killed him.</t>
  </si>
  <si>
    <t>https://midhudsonnews.com/2019/05/24/man-shot-by-trooper-on-i-84-tried-to-get-into-moving-police-car/</t>
  </si>
  <si>
    <t>Joshua Ortiz</t>
  </si>
  <si>
    <t>Portal Street and North Ventura Avenue</t>
  </si>
  <si>
    <t>Troopers responded to a complaint of a man walking in traffic. Reportedly, Joshua Ortiz attacked the officer and was shot and killed.</t>
  </si>
  <si>
    <t>https://www.keyt.com/news/ventura-county/chp-officer-involved-shooting-leaves-one-dead-in-ventura-county/1092374696</t>
  </si>
  <si>
    <t>Margarita Victoria Brooks</t>
  </si>
  <si>
    <t>https://fatalencounters.org/wp-content/uploads/2019/08/Maggie-Brooks.jpg</t>
  </si>
  <si>
    <t>Cantor Dr and N Collins St</t>
  </si>
  <si>
    <t>An officer was on a call to check the welfare of a woman who appeared to be homeless and passed out. When he approached Margarita Victoria Brooks, her dog came toward the officer. Police said the officer fired three shots toward the canine. One of them hit Brooks in the chest, killing her.</t>
  </si>
  <si>
    <t>https://www.nbcdfw.com/news/local/Arlington-Police-Release-Body-Cam-Video-of-Woman-Killed-by-Officer-514630751.html</t>
  </si>
  <si>
    <t>Chad Michael Breinholt</t>
  </si>
  <si>
    <t>https://fatalencounters.org/wp-content/uploads/2019/09/Chad-Breinholt.jpg</t>
  </si>
  <si>
    <t>3600 S Constitution Blvd</t>
  </si>
  <si>
    <t>Chad Michael Breinholt was reportedly intoxicated and causing problems at a business at about 7 p.m. Breinholt had been dating one of the employees at the business. When officers arrived, they determined Breinholt had been drinking and had been driving a vehicle while intoxicated, so, they arrested Breinholt and took him to the police station. While Breinholt was being processed for his arrest, an officer shot and killed him. Details as to what precipitated the killing were withheld by police.</t>
  </si>
  <si>
    <t>https://www.deseret.com/utah/2019/8/24/20831326/police-identify-west-valley-man-shot-killed-by-officer-chad-michael-breinholt</t>
  </si>
  <si>
    <t>Dewayne Morgan</t>
  </si>
  <si>
    <t>https://fatalencounters.org/wp-content/uploads/2019/10/Dewayne-Morgan.jpg</t>
  </si>
  <si>
    <t>FM 2087 and I-20</t>
  </si>
  <si>
    <t>Gregg County Sheriff's Office</t>
  </si>
  <si>
    <t>Deputies responded about 10:40 p.m. to a burglary of a habitation call at a home. When deputies arrived, they learned the homeowner had shot at the alleged burglar, Dewayne Morgan, who was still nearby. Morgan ran from Deputy Logan Joines. The deputy used his Taser on Morgan, but it reportedly had no effect on him. The foot pursuit continued across an interstate freeway, where they reportedly fought, and Joines shot and killed Morgan.</t>
  </si>
  <si>
    <t>https://www.news-journal.com/news/man-dies-following-officer-involved-shooting-in-gregg-county/article_06a7413a-e367-11e9-ae5c-cb2e86faed3d.html</t>
  </si>
  <si>
    <t>Robert Sikon</t>
  </si>
  <si>
    <t>https://fatalencounters.org/wp-content/uploads/2019/11/Robert-Sikon-III.jpg</t>
  </si>
  <si>
    <t>Waynesburg Rd NE and Arrow Rd NW</t>
  </si>
  <si>
    <t>At 11:42 a.m., a person was pulled over for a traffic stop at Waynesburg and Arrow Roads. Details as to what precipitated the killing were withheld by police.</t>
  </si>
  <si>
    <t>https://www.cleveland19.com/2019/11/18/carroll-county-deputies-shoot-suspect-during-traffic-stop/</t>
  </si>
  <si>
    <t>Amiliano Antonio Apodaca</t>
  </si>
  <si>
    <t>http://www.fatalencounters.org/wp-content/uploads/2019/04/Amiliano-Antonio-Apodaca.jpg</t>
  </si>
  <si>
    <t>700 North Chaparral Drive</t>
  </si>
  <si>
    <t>Amiliano Apodaca was the passenger in a vehicle in which the driver allegedly drove toward a deputy after a high-speed chase. A woman was driving the vehicle and reportedly suffered life-threatening injuries in the incident, but her name was not immediately released. Police said the woman allegedly rammed a Fremont County sheriff's deputy's patrol car and nearly struck a Cañon City police car while she was driving recklessly on eastbound U.S. 50. Deputies intentionally rammed the woman's car, forcing it to a stop in an open field, but the woman then continued to drive away. A deputy then crashed into her car, after which the car stopped in front of a home. Police said when deputies got out of their vehicles and went to approach the vehicle, she drove toward one of the deputies, and a deputy shot at her and killed her passenger.</t>
  </si>
  <si>
    <t>https://www.denverpost.com/2019/01/17/pueblo-county-officer-involved-shooting/</t>
  </si>
  <si>
    <t>Stephanie Areanda Quiroz</t>
  </si>
  <si>
    <t>https://www.fatalencounters.org/wp-content/uploads/2019/03/StephieQuiroz.png</t>
  </si>
  <si>
    <t>8200 Brundage Lane</t>
  </si>
  <si>
    <t>Stephanie Areanda Quiroz was a passenger in a vehicle that had been shot at by police and crashed at Brundage Lane and Oswell Street just after 4 p.m. U.S. Marshals tried to arrest a parolee, Gavino Castro, at a Motel 6. Police shot at him, and Castro fled in a vehicle that Quiroz was also in. A chase began, with the fleeing car crashing into another vehicle. Quiroz died and Castro was apprehended, while a third person fled and was apprehended at Kern Medical Center, police said.</t>
  </si>
  <si>
    <t>https://www.turnto23.com/news/local-news/coroner-victim-involved-in-east-bakersfield-ois-died-from-gunshot-wound-to-chest</t>
  </si>
  <si>
    <t>Henry Wayne Rivera</t>
  </si>
  <si>
    <t>https://www.fatalencounters.org/wp-content/uploads/2019/03/HenryRivera.jpg</t>
  </si>
  <si>
    <t>19th Ave and Monroe St</t>
  </si>
  <si>
    <t>Phoenix police came to the motel where Henry Rivera and his family were staying, looking for a violent suspect wanted in connection to another crime. Instead, they found Rivera, who ran. He was shot and killed.</t>
  </si>
  <si>
    <t>https://www.12news.com/article/news/local/valley/he-was-a-family-man-fiancee-of-man-fatally-shot-by-pd-remembers-a-loving-partner-and-father/75-d90e6e8f-d241-4cb7-b862-bfc950082bc7</t>
  </si>
  <si>
    <t>Eliborio Rodriguez</t>
  </si>
  <si>
    <t>1400 Acacia Ave</t>
  </si>
  <si>
    <t>Around 12:32 a.m., a Eugene police officer stopped a man for unspecified reasons. During the stop, there reportedly was a fight, and the officer shot and killed the man.</t>
  </si>
  <si>
    <t>https://nbc16.com/news/local/suspect-shot-and-killed-by-officer-in-north-eugene-on-saturday-morning</t>
  </si>
  <si>
    <t>Riley Eugene Peay</t>
  </si>
  <si>
    <t>907 N Veterans Blvd</t>
  </si>
  <si>
    <t>Glennville</t>
  </si>
  <si>
    <t>Tattnall</t>
  </si>
  <si>
    <t>Tattnall County Sheriff's Office</t>
  </si>
  <si>
    <t>Around 4:30 p.m., a probation officer was inside the EZ Pawn shop when Riley Eugene Peay allegedly burst in and attacked the officer by punching and spitting on him. The officer backed away and drew his gun, ordering Peay to stop, but he reportedly did not. The officer fired and hit Peay in the shoulder, but Peay still did not stop. The officer fired again and killed Peay.</t>
  </si>
  <si>
    <t>https://www.wtoc.com/2019/08/22/law-enforcement-investigating-deadly-shooting-glennville/</t>
  </si>
  <si>
    <t>Melvin Watkins</t>
  </si>
  <si>
    <t>16700 Highland Club Ave</t>
  </si>
  <si>
    <t>A deputy responding to a disturbance call shot and killed Melvin Watkins after contacting him. Details as to what precipitated the killing were withheld by police.</t>
  </si>
  <si>
    <t>https://www.theadvocate.com/baton_rouge/news/crime_police/article_c341e610-d7f5-11e9-8339-1bbe52311076.html</t>
  </si>
  <si>
    <t>Dimas Diaz Jr.</t>
  </si>
  <si>
    <t>US-101 &amp; Las Virgenes Road</t>
  </si>
  <si>
    <t>Calabasas</t>
  </si>
  <si>
    <t>Ventura County Sheriff's Office, California Highway Patrol</t>
  </si>
  <si>
    <t>Dimas Diaz Jr. was shot and killed by police after a pursuit, followed by a standoff on the 101 Freeway. Diaz was wanted in connection with an alleged spousal assault when he led deputies and troopers on a pursuit that came to an end with a crash on the 101 Freeway. After an hour-long standoff, Diaz ultimately exited his disabled car and was shot and killed by a Ventura County deputy and a CHP officer.</t>
  </si>
  <si>
    <t>https://ktla.com/2019/01/13/man-killed-in-police-shooting-following-pursuit-standoff-on-101-freeway-in-calabasas-identified/</t>
  </si>
  <si>
    <t>Derek Antonio-Sanchez</t>
  </si>
  <si>
    <t>12200 NE 116th St</t>
  </si>
  <si>
    <t>About 6:30 a.m., officers responded regarding a man making threats toward a baby in a homeless camp. Police said the man was holding the child tightly in his arms when they tried to negotiate with him. The man's actions toward the child reportedly intensified, and an officer shot and killed him. The baby was not reported to have been injured.</t>
  </si>
  <si>
    <t>https://q13fox.com/2019/07/13/kirkland-police-officers-shoot-kill-man-to-help-save-child/</t>
  </si>
  <si>
    <t>Andrew John Mason</t>
  </si>
  <si>
    <t>2145 Hardin Rd</t>
  </si>
  <si>
    <t>Watauga County Sheriff's Office</t>
  </si>
  <si>
    <t>Deputies responded to a call in reference to a suspicious male attempting to break into homes.  When deputies arrived and began checking for the suspect, they encountered a man walking in the roadway. A deputy stepped out of his car to speak with the man, and they fought until the deputy shot and killed Andrew John Mason.</t>
  </si>
  <si>
    <t>https://www.wcnc.com/article/news/crime/one-person-killed-in-deputy-involved-shooting-in-watauga-county/275-5afdd935-c167-463c-85a3-18afa1aa5104</t>
  </si>
  <si>
    <t>Kelly Michael Stephens</t>
  </si>
  <si>
    <t>9160 Cinema Dr</t>
  </si>
  <si>
    <t>Juneau</t>
  </si>
  <si>
    <t>Juneau Police Department</t>
  </si>
  <si>
    <t>A woman reported a disturbance with a shot fired at Chinook Apartments. The woman said she could hear someone screaming outside. Police said Kelly Stephens approached an officer while swinging a chain and making threats. He shot and killed Stephens.</t>
  </si>
  <si>
    <t>https://www.ktoo.org/2019/12/29/juneau-police-report-shooting-and-killing-a-man-on-cinema-drive/</t>
  </si>
  <si>
    <t>Kwesi Ashun</t>
  </si>
  <si>
    <t>https://fatalencounters.org/wp-content/uploads/2019/10/Kwesi-Ashun.jpg</t>
  </si>
  <si>
    <t>447 Mother Gaston Blvd</t>
  </si>
  <si>
    <t>Two officers were called to a nail salon after Dewayne Hawkes, 26, who came in to use a restroom, started urinating in the middle of the store. During the arrest attempt, according to police, Kwesi Ashun entered the salon and fought with police and struck an officer in the head with a chair. Police said one officer used his Taser on the man, but it did not incapacitate him. An officer shot Ashun six times, killing him.</t>
  </si>
  <si>
    <t>https://www.ny1.com/nyc/brooklyn/news/2019/10/25/brownsville-brooklyn-shooting-nypd-officers-injured-nyc</t>
  </si>
  <si>
    <t>Witney Rivera</t>
  </si>
  <si>
    <t>https://fatalencounters.org/wp-content/uploads/2019/07/Witney-Rivera.jpg</t>
  </si>
  <si>
    <t>186 Kinsley Rd</t>
  </si>
  <si>
    <t>Pemberton</t>
  </si>
  <si>
    <t>Pemberton Borough Police Department</t>
  </si>
  <si>
    <t>At about 9:05 p.m., a Pemberton Borough police officer responded to an fight near Witney Rivera's residence. Rivera reportedly was armed with a long scythe when an officer arrived. During the encounter, the officer shot and killed Rivera.</t>
  </si>
  <si>
    <t>https://www.rlsmedia.com/article/man-armed-scythe-fatally-shot-pemberton-police</t>
  </si>
  <si>
    <t>Kobe Heisler</t>
  </si>
  <si>
    <t>5900 Halifax Ave N</t>
  </si>
  <si>
    <t>Police responded to a domestic assault and weapons call. Around 4:15 p.m., officers and Kobe Heisler reportedly struggled, and Heisler was shot and killed by officers.</t>
  </si>
  <si>
    <t>https://minnesota.cbslocal.com/2019/09/01/fatal-officer-involved-shooting-in-brooklyn-center/</t>
  </si>
  <si>
    <t>Shawna Widemann</t>
  </si>
  <si>
    <t>Hemphill</t>
  </si>
  <si>
    <t>At 9:10 p.m., troopers received a 911 call about an unwanted person at the Stop Abusive Family Environments facility (SAFE). Shawna Widemann reportedly was armed with a claw hammer banging on the door. The SAFE facility was put into lock down status,. The troopers found Widemann, who was brandishing a claw hammer. She reportedly ignored orders from the troopers to drop the weapon and lunged at one of the troopers in a threatening manner. At least one trooper shot and killed her.</t>
  </si>
  <si>
    <t>https://www.bdtonline.com/news/woman-killed-in-officer-involved-shooting-in-mcdowell-county-identified/article_5f5e91a8-6dd2-11e9-a16e-b76261dd1347.html</t>
  </si>
  <si>
    <t>Terry Wayne Chanley</t>
  </si>
  <si>
    <t>https://fatalencounters.org/wp-content/uploads/2019/11/Terry-Wayne-Chanley.jpg</t>
  </si>
  <si>
    <t>Morgan Ave and Theater Dr</t>
  </si>
  <si>
    <t>Terry W. Chanley was in a traffic accident. The officer said he made quick movements, and he shot and killed.</t>
  </si>
  <si>
    <t>https://www.courierpress.com/story/news/2019/10/28/one-dead-officer-involved-shooting-evansville-epd-says/2492500001/</t>
  </si>
  <si>
    <t>Juan Antonio Sillas</t>
  </si>
  <si>
    <t>Red Apple Ave and Westwood Blvd</t>
  </si>
  <si>
    <t>Golden Hills</t>
  </si>
  <si>
    <t>Tehachapi Police Department said a pursuit began at approximately 9:40 p.m. and ended when Juan Antonio Sillas rammed his vehicle into a patrol car driven by an officer, who shot and killed Sillas.</t>
  </si>
  <si>
    <t>https://www.bakersfield.com/news/breaking/man-killed-in-tehachapi-officer-involved-shooting/article_8098b294-7cb0-11e9-b1e7-c314746f10af.html</t>
  </si>
  <si>
    <t>Mark A. Naugle</t>
  </si>
  <si>
    <t>118 N Fair St</t>
  </si>
  <si>
    <t>Officers were called to a fairgrounds after a report of a person messing with the equipment. An officer found a person some distance away from where the suspicious individual had been reported. The officer shot and killed him, although details as to what precipitated the killing were withheld by police.</t>
  </si>
  <si>
    <t>http://www.wbiw.com/2019/07/04/salem-police-officer-involved-in-fatal-shooting/</t>
  </si>
  <si>
    <t>Olivio Sandoval Diaz</t>
  </si>
  <si>
    <t>890 Atlanta St</t>
  </si>
  <si>
    <t>Olivio Sandoval Diaz allegedly attacked an officer while being confronted about shoplifting at a gas station. The officer shot and killed him.</t>
  </si>
  <si>
    <t>https://www.11alive.com/article/news/local/gbi-suspect-fatally-shot-after-attacking-roswell-police-officer-with-blunt-object/85-01213557-9a57-46bf-b2c3-6d03f4084e29</t>
  </si>
  <si>
    <t>Alvaro Duran Venegas</t>
  </si>
  <si>
    <t>25200 Rye Canyon Rd</t>
  </si>
  <si>
    <t>Deputies responded to reports of a person acting strangely at about 12:53 p.m. When the deputy arrived, he began to fight with the man. During the altercation, the man reportedly took the deputy's handheld radio and Taser. The deputy called for backup, officials said. Other deputies arrived. The man reportedly charged at them holding a wooden stake and began to assault them, and they shot and killed him.</t>
  </si>
  <si>
    <t>https://ktla.com/2019/09/12/man-struck-by-gunfire-in-deputy-involved-shooting-in-santa-clarita-l-a-sheriffs-department/</t>
  </si>
  <si>
    <t>Marc Denver Thompson</t>
  </si>
  <si>
    <t>https://fatalencounters.org/wp-content/uploads/2019/12/Marc-Denver-Thompson.jpg</t>
  </si>
  <si>
    <t>1871 North Highway 27</t>
  </si>
  <si>
    <t>Deputies were sent to a home about 5 p.m. after Marc Thompson's mother and brother called and said he had threatened them with a gun. About five hours later, a deputy encountered Thompson at a Circle K convenience store. The deputy saw Thompson inside the store threatening the clerk with a shovel. The deputy went inside, and during a confrontation, Thompson hit the deputy in the head with the shovel. The deputy shot and killed Thompson.</t>
  </si>
  <si>
    <t>https://www.ajc.com/news/breaking-news/man-killed-carroll-deputy-after-threatening-shoot-mother-wielding-shovel/bCYVrBX3c82zcP7Lke7xsN/</t>
  </si>
  <si>
    <t>Jimmy Atchison</t>
  </si>
  <si>
    <t>https://www.fatalencounters.org/wp-content/uploads/2019/01/JimmyAtchison.jpg</t>
  </si>
  <si>
    <t>3086 Middleton Rd NW</t>
  </si>
  <si>
    <t>Officers were attempting to arrest Jimm Atchison on robbery charges when he fled. He was shot and killed, although exactly what precipitated the killing was not reported.</t>
  </si>
  <si>
    <t>https://www.ajc.com/news/crime--law/breaking-atlanta-officer-serving-federal-task-force-involved-shooting-police-say/DpMWYgHxDYLDu75ciNpzuJ/</t>
  </si>
  <si>
    <t>Josef Delon Richardson</t>
  </si>
  <si>
    <t>https://fatalencounters.org/wp-content/uploads/2019/08/Josef-Delon-Richardson.jpg</t>
  </si>
  <si>
    <t>1543 US-190</t>
  </si>
  <si>
    <t>A West Baton Rouge Parish Sheriff's deputy was serving a warrant at a motel and shot and killed the man to whom he was serving a warrant. Josef Richardson died from a gunshot wound to the back of the head.</t>
  </si>
  <si>
    <t>https://www.wafb.com/2019/07/26/officer-involved-shooting-report-port-allen/</t>
  </si>
  <si>
    <t>De'Von Bailey</t>
  </si>
  <si>
    <t>https://fatalencounters.org/wp-content/uploads/2019/08/DeVon-Bailey.jpeg</t>
  </si>
  <si>
    <t>2500 E Fountain Blvd</t>
  </si>
  <si>
    <t>Officers were called around 6:45 for a personal robbery with a weapon. Two officers made contact with two people, and police said De'Von Bailey reached for a firearm at his waistband. The officers shot and killed him.</t>
  </si>
  <si>
    <t>https://www.koaa.com/news/covering-colorado/officer-involved-shooting-in-colorado-springs</t>
  </si>
  <si>
    <t>Tasjon Tyreek Osbourne</t>
  </si>
  <si>
    <t>https://fatalencounters.org/wp-content/uploads/2019/09/Tasjon-Tyreek-Osbourne.jpg</t>
  </si>
  <si>
    <t>5758 Kings Realm Ave</t>
  </si>
  <si>
    <t>Sgt. Lee Hurst shot and killed Tasjon Tyreek Osbourne around 9 p.m. Officers were investigating a parking complaint. Officers reported shots fired. Nearby, a vehicle crashed into a house. Police said Osbourne was in that car but did not say if he was the driver or if he was shot before or after the crash.</t>
  </si>
  <si>
    <t>https://www.nbc4i.com/news/local-news/police-identify-18-year-old-suspect-killed-officer-involved-in-shooting/</t>
  </si>
  <si>
    <t>Roy McAllister</t>
  </si>
  <si>
    <t>https://fatalencounters.org/wp-content/uploads/2019/11/Roy-McAllister-Jr..jpg</t>
  </si>
  <si>
    <t>600 of Jordan St</t>
  </si>
  <si>
    <t>North Carolina Department of Motor Vehicles</t>
  </si>
  <si>
    <t>Roy McAllister Jr. allegedly robbed and tried to sexually assault an employee at the Wilson County Senior Center. An employee ran next door to the DMV office to alert them about the robbery. DMV License &amp; Theft Bureau inspectors Jordan Hill and Christopher Noble came in contact with McAllister about a half-mile away from the Center, where they shot and killed him.</t>
  </si>
  <si>
    <t>https://www.witn.com/content/news/Neighbors-react-to-Wilson-fatal-officer-involved-shooting-564887172.html</t>
  </si>
  <si>
    <t>Michael Lorenzo Dean</t>
  </si>
  <si>
    <t>https://fatalencounters.org/wp-content/uploads/2019/12/Michael-Lorenzo-Dean.jpg</t>
  </si>
  <si>
    <t>22515 SE H K Dodgen Loop</t>
  </si>
  <si>
    <t>Around 8:12 p.m., Temple Police Officer Carmen DeCruz allegedly shot and killed Michael Dean. Details regarding what precipitated the killing were withheld by police.</t>
  </si>
  <si>
    <t>https://www.kwtx.com/content/news/Police-investigating-officer-involved-shooting-565716912.html</t>
  </si>
  <si>
    <t>Taveonte Art Emmanuel</t>
  </si>
  <si>
    <t>Lincoln Ave and East St</t>
  </si>
  <si>
    <t>Around 10 p.m., police responded to a disturbance call and encountered Taveonte Art Emmanuel. He was shot and killed. Details as to what precipitated the killing were withheld by police.</t>
  </si>
  <si>
    <t>https://abc7.com/suspect-dead-after-officer-involved-shooting-in-anaheim/5751148/</t>
  </si>
  <si>
    <t>Jesse Sarey</t>
  </si>
  <si>
    <t>1402 Auburn Way N</t>
  </si>
  <si>
    <t>A man reportedly went on an angry tirade at a Rite-Aid, then continued the rant in a small grocery store across the street.  When police arrived, the man started fighting and reportedly injured the officer, police said, who shot and killed him.</t>
  </si>
  <si>
    <t>https://www.kiro7.com/news/local/breaking-police-respond-to-officer-involved-shooting-in-auburn/954181145</t>
  </si>
  <si>
    <t>Shawn Joseph Billinger</t>
  </si>
  <si>
    <t>600 14th St</t>
  </si>
  <si>
    <t>Fort Lupton</t>
  </si>
  <si>
    <t>Fort Lupton Police Department</t>
  </si>
  <si>
    <t>Shawn Joseph Billinger was shot and killed by a Fort Lupton police officer who was responding to a disturbance call about 1:40 p.m.</t>
  </si>
  <si>
    <t>https://www.greeleytribune.com/news/investigators-release-identity-of-fort-lupton-man-shot-by-police/</t>
  </si>
  <si>
    <t>Benjamin "Ray" Smith</t>
  </si>
  <si>
    <t>https://fatalencounters.org/wp-content/uploads/2019/07/Benjamin-Ray-Smith.jpg</t>
  </si>
  <si>
    <t>513 Felderville Road</t>
  </si>
  <si>
    <t>Elloree</t>
  </si>
  <si>
    <t>Orangeburg</t>
  </si>
  <si>
    <t>Orangeburg County Sheriff's Office</t>
  </si>
  <si>
    <t>Deputies responded to a call for a domestic disturbance. A deputy shot and killed Benjamin Smith. Details as to what precipitated the killing were withheld by police.</t>
  </si>
  <si>
    <t>https://thetandd.com/news/local/crime-and-courts/man-killed-in-orangeburg-county-officer-involved-shooting-was-on/article_4417ad16-1fe3-52af-8dfb-507638c463b8.html</t>
  </si>
  <si>
    <t>Bernie Rascon</t>
  </si>
  <si>
    <t>https://fatalencounters.org/wp-content/uploads/2019/12/Bernie-Rascon.jpg</t>
  </si>
  <si>
    <t>3909 North Hallmark Parkway</t>
  </si>
  <si>
    <t>Around midnight, a deputy ran a truck's plate and found it had been reported stolen. The deputy tried to pull the truck over, but the driver fled. The chase ended a short time later with a crash outside a Mobil gas station. At the end of the pursuit, deputies opened fire on the pickup truck, killing Bernie Rascon.</t>
  </si>
  <si>
    <t>https://losangeles.cbslocal.com/2019/12/16/deputy-shoot-pickup-truck-chase-ends-crash-san-bernardino/</t>
  </si>
  <si>
    <t>Nathan Thoe</t>
  </si>
  <si>
    <t>https://www.fatalencounters.org/wp-content/uploads/2019/01/NathanThoe.jpg</t>
  </si>
  <si>
    <t>I-90</t>
  </si>
  <si>
    <t>White Lake</t>
  </si>
  <si>
    <t>The FBI said an arrest warrant had been issued for Nathan Thoe because he was the subject of an ongoing investigation. Federal officers from more than one agency were attempting to arrest Thoe at the White Lake rest area, when Thoe was shot and killed. Police have withheld information as to what precipitated the killing.</t>
  </si>
  <si>
    <t>https://www.blackhillsfox.com/content/news/Man-shot-by-officer-at-rest-stop-identified-as-Wisconsin-man-504557801.html</t>
  </si>
  <si>
    <t>Eric Young</t>
  </si>
  <si>
    <t>708 Third Ave</t>
  </si>
  <si>
    <t>Eric Young was shot and killed during some sort of altercation with a Montgomery police officer. Most details regarding the killing were withheld by police.</t>
  </si>
  <si>
    <t>https://wchstv.com/news/local/one-dead-after-officer-involved-shooting-in-montgomery</t>
  </si>
  <si>
    <t>Aaron Allen Przkeop</t>
  </si>
  <si>
    <t>https://www.fatalencounters.org/wp-content/uploads/2019/02/Aaron-Allen-Przkeop-2.jpg</t>
  </si>
  <si>
    <t>I-5 and Enos Lane</t>
  </si>
  <si>
    <t>Two California Highway Patrol officers responded shortly before 5 a.m. because of a single-car crash. A man claimed to have a gun, approached the officers with a hand concealed, and did not comply with the officers' orders and was shot and killed.</t>
  </si>
  <si>
    <t>https://kmph.com/news/local/officer-involved-shooting-takes-place-at-i-5-enos-lane</t>
  </si>
  <si>
    <t>Clair Jewell</t>
  </si>
  <si>
    <t>https://www.fatalencounters.org/wp-content/uploads/2019/03/Clair-Beth-Neubecker-Jewell.jpg</t>
  </si>
  <si>
    <t>Damron Mayo Rd</t>
  </si>
  <si>
    <t>Troopers said they were contacted by Carter County 911 just before 11:30 p.m., with a report of a fight between a woman and a family member. When police arrived, the woman had fled. At about 1:30 am., troopers said the possibly-armed woman returned to the residence. Police returned to the home, and shot and killed Clair Jewell during a confrontation.</t>
  </si>
  <si>
    <t>https://www.wkyt.com/content/news/One-dead-after-officer-involved-shooting-in-Carter-County-506595391.html</t>
  </si>
  <si>
    <t>Michael Sheehan</t>
  </si>
  <si>
    <t>Twin Bridge Rd and S Rd</t>
  </si>
  <si>
    <t>Belknap</t>
  </si>
  <si>
    <t>Police shot and killed Michael Sheehan II and withheld details about what led to the killing.</t>
  </si>
  <si>
    <t>https://www.unionleader.com/news/crime/fatal-officer-involved-shooting-under-investigation-on-south-road-in/article_fc265beb-228a-57aa-884b-a65693b61f62.html</t>
  </si>
  <si>
    <t>John James Carras</t>
  </si>
  <si>
    <t>https://fatalencounters.org/wp-content/uploads/2019/09/JohnKarras.png</t>
  </si>
  <si>
    <t>95 Skyline Drive</t>
  </si>
  <si>
    <t>Officers Andre Lyew and Daniel Zaleski shot and killed John Carras when they responded to a home around 6:15 p.m. to investigate a domestic violence complaint. They got into a fight with Carras. When a stun gun reportedly did not incapacitate him, at least one officer shot and killed Carras.</t>
  </si>
  <si>
    <t>https://www.nbcconnecticut.com/news/local/States-Attorney-Identifies-Officers-Involved-in-Fatal-Shooting-During-Domestic-East-Hartford-Complaint-559935631.html</t>
  </si>
  <si>
    <t>Michael Phillip Uccello</t>
  </si>
  <si>
    <t>10th Street West and Holguin Street</t>
  </si>
  <si>
    <t>Deputy marshals were attempting a traffic stop of a suspect who was wanted on narcotics-related offenses, police said. Michael Uccello did not stop and police pursued. Uccello was shot and killed. Details as to what precipitated the killing were withheld by police.</t>
  </si>
  <si>
    <t>https://patch.com/california/los-angeles/sherman-oaks-man-shot-killed-u-s-marshal</t>
  </si>
  <si>
    <t>Cameron Ely</t>
  </si>
  <si>
    <t>4100 Mariposa Dr</t>
  </si>
  <si>
    <t>Police received a call for help after 10 p.m. When they arrived, deputies located an elderly woman who had been stabbed to death. The suspect was Cameron Ely, and the victim was Valerie Lundeen Ely, 62. Cameron was found in the same home as the victim. When deputies approached him, he allegedly threatened them with a weapon and was shot and killed.</t>
  </si>
  <si>
    <t>https://www.hollywoodreporter.com/news/homicide-suspect-killed-by-deputies-home-tarzan-actor-ron-ely-1248119</t>
  </si>
  <si>
    <t>Jordan Wade Waldrop</t>
  </si>
  <si>
    <t>https://fatalencounters.org/wp-content/uploads/2019/11/Jordan-Wade-Waldrop.jpg</t>
  </si>
  <si>
    <t>1 Fairway Drive</t>
  </si>
  <si>
    <t>Sweetwater Police Department</t>
  </si>
  <si>
    <t>Police responded to a call regarding shots fired in a residential neighborhood at around 11:30 p.m. When police arrived, Jordan Waldrop allegedly confronted police with a gun. Shots were exchanged, and police shot and killed Waldrop.</t>
  </si>
  <si>
    <t>https://sweetwaterreporter.com/content/man-killed-confrontation-sweetwater-police-identified</t>
  </si>
  <si>
    <t>John Hale</t>
  </si>
  <si>
    <t>https://fatalencounters.org/wp-content/uploads/2019/11/John-Hale.jpg</t>
  </si>
  <si>
    <t>Radio Rd and Toskana</t>
  </si>
  <si>
    <t>Alma</t>
  </si>
  <si>
    <t>Calloway</t>
  </si>
  <si>
    <t>Calloway County Sheriff's Office, Murray Police Department</t>
  </si>
  <si>
    <t>John D. Hale was shot and killed by police. Details as to what precipitated the killing were withheld by police.</t>
  </si>
  <si>
    <t>https://surfky.com/index.php/179-news/kentucky/145086-ksp-ids-man-in-calloway-co-officer-involved-shooting</t>
  </si>
  <si>
    <t>Corbin Hunter Jones</t>
  </si>
  <si>
    <t>11500 Chestnut Road</t>
  </si>
  <si>
    <t>Members of the U.S. Marshals Eastern District Violent Crimes Fugitive Task Force were attempting to arrest Corben Hunter Jones about 8:45 p.m. at a home when task force officers, including one Oklahoma Highway Patrol trooper, shot and killed Jones. Details as to what precipitated the killing were withheld by police.</t>
  </si>
  <si>
    <t>https://www.tulsaworld.com/news/state-and-regional/update--year-old-shot-killed-in-okmulgee-during-attempted/article_fa107ebf-123f-57e3-ae38-72d6cd6f2d8e.html</t>
  </si>
  <si>
    <t>38300 Mountain Hwy E</t>
  </si>
  <si>
    <t>Eatonville</t>
  </si>
  <si>
    <t>A man was reportedly chased from a driveway. When police found the vehicle, the driver crashed it into another occupied vehicle, and police shot and killed him during some kind of an alleged verbal confrontation.</t>
  </si>
  <si>
    <t>https://katu.com/news/local/sheriff-suspect-killed-in-deputy-involved-shooting-in-pierce-county-wash</t>
  </si>
  <si>
    <t>Frederick Jeremy Atkin</t>
  </si>
  <si>
    <t>https://fatalencounters.org/wp-content/uploads/2019/12/frederick-atkin.jpg</t>
  </si>
  <si>
    <t>Wall Ave and Riverdale Rd</t>
  </si>
  <si>
    <t>South Ogden</t>
  </si>
  <si>
    <t>South Ogden Police Department</t>
  </si>
  <si>
    <t>Police were pursuing a red Mustang about 1 a.m. when the chase stopped at the intersection. Officers approached the car, and an officer shot and killed Frederick Jeremy Atkin. Details as to what precipitated the killing were withheld by police.</t>
  </si>
  <si>
    <t>https://www.ksl.com/article/46695984/1-dead-following-officer-involved-shooting-in-south-ogden</t>
  </si>
  <si>
    <t>Mario Alberto Torres</t>
  </si>
  <si>
    <t>600 Florence Ln</t>
  </si>
  <si>
    <t>Mario Torres was shot and killed by police. Details as to what precipitated the killing were withheld by police.</t>
  </si>
  <si>
    <t>https://www.kveo.com/news/local-news/brownsville-police-involved-in-shootout-over-the-weekend/</t>
  </si>
  <si>
    <t>Horacio Ruiz-Rodriguez</t>
  </si>
  <si>
    <t>https://www.fatalencounters.org/wp-content/uploads/2019/01/Horacio-Ruiz-Rodriguez.jpg</t>
  </si>
  <si>
    <t>2100 Glider St</t>
  </si>
  <si>
    <t>Horacio Ruiz-Rodriguez allegedly had kidnapped two women, killed one, and sexually assaulted the other, before police shot and killed him when he tried to escape in a vehicle.</t>
  </si>
  <si>
    <t>https://www.fox5vegas.com/news/police-man-killed-in-north-las-vegas-officer-involved-shooting/article_b59cd5c8-2013-11e9-abf4-cb3da2ce2081.html</t>
  </si>
  <si>
    <t>Christian Albarran</t>
  </si>
  <si>
    <t>https://www.fatalencounters.org/wp-content/uploads/2019/01/Christian-Albarran.jpg</t>
  </si>
  <si>
    <t>I-10 &amp; Ehrenberg-Cibola Road</t>
  </si>
  <si>
    <t>Arizona Department of Public Safety, La Paz County Sheriff's Office</t>
  </si>
  <si>
    <t>A police pursuit started in Yucca Valley, California, and ended in Ehrenberg, Arizona, where Christian Albarran refused to obey commands from troopers and was shot and killed. Albarran reportedly had several outstanding felony warrants, corporal punishment/spousal abuse, credit card fraud and had a background of arrests related to violent crimes and was on probation for domestic violence</t>
  </si>
  <si>
    <t>https://www.12news.com/article/news/local/arizona/man-shot-killed-by-police-in-arizona-after-146-mile-pursuit/75-0392a1fc-2044-498e-864f-ee7482f49658</t>
  </si>
  <si>
    <t>Eduardo Munoz</t>
  </si>
  <si>
    <t>118 E Commerce St</t>
  </si>
  <si>
    <t>Freestone</t>
  </si>
  <si>
    <t>During a domestic dispute, a 29-year-old Hispanic man was allegedly threatening to harm a woman, and an officer reportedly tasered him during a fight. After the attempt to incapacitate him failed, the officer shot and killed him.</t>
  </si>
  <si>
    <t>https://www.palestineherald.com/news/fairfield-officer-kills-man-during-domestic-dispute/article_83a34b36-3c6c-11e9-a92b-c799379cbb18.html</t>
  </si>
  <si>
    <t>Daniel Robert Ramirez</t>
  </si>
  <si>
    <t>500 N Harcourt St</t>
  </si>
  <si>
    <t>Police were attempting to serve a search warrant to a house in which two men were barricaded in the attic. One man was captured. Daniel Ramirez was shot and killed.</t>
  </si>
  <si>
    <t>https://ktla.com/2019/04/04/1-fatally-shot-by-police-as-authorities-serve-search-warrant-in-anaheim/</t>
  </si>
  <si>
    <t>Paul David Rea</t>
  </si>
  <si>
    <t>https://fatalencounters.org/wp-content/uploads/2019/07/PaulRea.jpg</t>
  </si>
  <si>
    <t>300 S Gerhart Ave</t>
  </si>
  <si>
    <t>Police shot and killed Paul Rea during a fight that occurred during a traffic stop, police said.</t>
  </si>
  <si>
    <t>https://www.nbclosangeles.com/news/local/18-Year-Old-Killed-During-East-LA-Traffic-Stop-512010411.html</t>
  </si>
  <si>
    <t>Jose Martinez</t>
  </si>
  <si>
    <t>https://fatalencounters.org/wp-content/uploads/2019/07/Jose-Martinez.jpg</t>
  </si>
  <si>
    <t>6800 S Prairie Dunes Dr</t>
  </si>
  <si>
    <t>West Jordan Police Department, Utah State Bureau of Investigation, Federal Bureau of Investigation</t>
  </si>
  <si>
    <t>Police were reportedly trying to apprehend Jose Martinez on a felony warrant when they shot and killed him during a standoff.</t>
  </si>
  <si>
    <t>https://gephardtdaily.com/local/suspect-dead-after-swat-operation-officer-involved-shooting-in-west-jordan/</t>
  </si>
  <si>
    <t>Anthony James Gonzalez</t>
  </si>
  <si>
    <t>3000 Nelson St</t>
  </si>
  <si>
    <t>Officers Matthew Aquino and Louis Rodriguez shot and killed Anthony Gonzalez when they responded to a domestic violence call just before 2 a.m. When officers arrived, they came in contact with Gonzalez at the front of the home. Gonzalez was reportedly armed. Details relating to what precipitated the killing were withheld by police.</t>
  </si>
  <si>
    <t>https://www.bakersfield.com/news/one-person-killed-in-officer-involved-shooting/article_86818afe-a24f-11e9-a449-831d4aa1314b.html</t>
  </si>
  <si>
    <t>10000 Sycamore Ave</t>
  </si>
  <si>
    <t>Stanton</t>
  </si>
  <si>
    <t>Deputies were called at about 7:30 p.m. regarding a family dispute at a residence. When deputies arrived, they made contact with the man, and they shot and killed him. Details as to what precipitated the killing were withheld by police.</t>
  </si>
  <si>
    <t>https://abc7.com/suspect-dead-after-deputy-involved-shooting-in-stanton/5484961/</t>
  </si>
  <si>
    <t>Luis Morales-Camacho</t>
  </si>
  <si>
    <t>Jepson Street and Park Manor Drive</t>
  </si>
  <si>
    <t>Union Park</t>
  </si>
  <si>
    <t>Deputies were serving a search warrant at a home at 8:46 a.m. when Luis Morales-Camacho reportedly resisted their efforts, and they shot and killed him.</t>
  </si>
  <si>
    <t>https://www.clickorlando.com/news/police-activity-reported-near-lawton-chiles-elementary-school</t>
  </si>
  <si>
    <t>Deion "Yonny" Slim aka Deion Grayhat</t>
  </si>
  <si>
    <t>https://fatalencounters.org/wp-content/uploads/2019/05/Deion-Grayhat.jpg</t>
  </si>
  <si>
    <t>Indian Rte 21</t>
  </si>
  <si>
    <t>Tonalea</t>
  </si>
  <si>
    <t>Police killed Deion "Yonny" Grayhat in Tonolea but did not provide any information about the person killed or what precipitated the shooting.</t>
  </si>
  <si>
    <t>https://azdailysun.com/news/local/one-killed-in-navajo-nation-officer-involved-shooting/article_2bd8ac8b-b0f0-5f7d-96bd-668858c3fc97.html</t>
  </si>
  <si>
    <t>Morgan Shane West</t>
  </si>
  <si>
    <t>3600 Jacksboro Ave</t>
  </si>
  <si>
    <t>Snyder</t>
  </si>
  <si>
    <t>Scurry</t>
  </si>
  <si>
    <t>Snyder Police Department</t>
  </si>
  <si>
    <t>At about 6:35 p.m., Officer Whitney Merket responded to an undisclosed incident. She made contact with Morgan Shane West, and a fight reportedly began. She shot and killed West.</t>
  </si>
  <si>
    <t>https://www.reporternews.com/story/news/crime/2019/02/08/snyder-texas-police-officer-whitney-merket-fatally-shoots-suspect-during-altercation/2812053002/</t>
  </si>
  <si>
    <t>Tommy Kirby</t>
  </si>
  <si>
    <t>I-69 and Center Road</t>
  </si>
  <si>
    <t>Flint police were dispatched to investigate a suspicious person. When an officer made contact with the person, Tommy John-Ernest Kirby fled in a vehicle, and police began a pursuit that ended on westbound I-69, where an officer shot and killed Kirby. Police withheld details as to what precipitated the killing.</t>
  </si>
  <si>
    <t>https://www.mlive.com/news/flint/2019/02/three-flint-police-officers-on-leave-after-fatal-shooting-incident.html</t>
  </si>
  <si>
    <t>14394 County Line Rd</t>
  </si>
  <si>
    <t>A man was shot and killed and a woman was shot and injured when police went to question them and some others about an alleged assault.</t>
  </si>
  <si>
    <t>https://www.turnto23.com/news/local-news/delano-police-officer-tulare-county-sheriffs-deputy-involved-in-shooting</t>
  </si>
  <si>
    <t>10000 Bolsa Ave</t>
  </si>
  <si>
    <t>Garden Grove Police Department, Westminster Police Department</t>
  </si>
  <si>
    <t>A person died after a pursuit by Garden Grove police into Westminster led to an officer-involved shooting. The shooting occurred about 3:40 p.m. Details as to what precipitated the killing were withheld by police.</t>
  </si>
  <si>
    <t>https://www.nbclosangeles.com/news/local/Suspect-Dead-After-Police-Pursuit-and-OIS-in-Westminster-557954041.html</t>
  </si>
  <si>
    <t>Steven Cole Gill</t>
  </si>
  <si>
    <t>N 2nd St and A St</t>
  </si>
  <si>
    <t>Officers reportedly attempted to speak with Steven Gill, and he was shot and killed. Details as to what precipitated the killing were withheld by police.</t>
  </si>
  <si>
    <t>https://missoulian.com/news/state-and-regional/crime-and-courts/missoula-police-officers-involved-in-shooting/article_c6c6512c-82eb-5b13-9f7d-9c16d1a62fa2.html</t>
  </si>
  <si>
    <t>Allen Cates</t>
  </si>
  <si>
    <t>9800 E 25th St</t>
  </si>
  <si>
    <t>About 7 p.m., Allen M. Cates was shot and killed by a deputy while police reportedly were serving a warrant.</t>
  </si>
  <si>
    <t>https://fox4kc.com/2019/09/16/police-identify-suspect-shot-and-killed-by-jackson-county-deputy-in-independence/</t>
  </si>
  <si>
    <t>Jeffrey Peterson</t>
  </si>
  <si>
    <t>900 E Arlington St</t>
  </si>
  <si>
    <t>Four Ada officers responded to an apartment and tried to speak with the 29-year-old man who lived there regarding a domestic dispute. The man was shot and killed about 10 a.m., but it wasn't immediately reported if the man was armed.</t>
  </si>
  <si>
    <t>https://www.myhighplains.com/news/oklahoma/29-year-old-man-dead-in-oklahoma-officer-involved-shooting/</t>
  </si>
  <si>
    <t>Rickey Leonard Harris</t>
  </si>
  <si>
    <t>Nursery Rd</t>
  </si>
  <si>
    <t>Easley</t>
  </si>
  <si>
    <t>Deputies were called to a home around 2:48 p.m. in reference to a domestic disturbance. Rickey Leonard Harris allegedly stepped out of his residence, stood on the front porch, and pointed a weapon at the two responding deputies, one of whom shot and killed him.</t>
  </si>
  <si>
    <t>https://www.foxcarolina.com/investigations/coroner-identifies-man-shot-and-killed-in-pickens-county-sled/article_cf7e5a9c-f354-11e9-a4d3-eb23c4be6e13.html</t>
  </si>
  <si>
    <t>2174 Pine Street</t>
  </si>
  <si>
    <t>About 3:20 a.m. officers stopped a vehicle and shot and killed the driver. Details as to what precipitated the killing were withheld by police.</t>
  </si>
  <si>
    <t>https://www.redding.com/story/news/2019/12/22/redding-police-shoot-man-during-traffic-stop/2727204001/</t>
  </si>
  <si>
    <t>Christopher Camacho</t>
  </si>
  <si>
    <t>138 Washington St</t>
  </si>
  <si>
    <t>Limerick</t>
  </si>
  <si>
    <t>Christopher Camacho allegedly had a gun and was holding a knife at the throat of a person while he was robbing a Dollar General store. York County Deputy Sheriff Robert Carr shot and killed the boy.</t>
  </si>
  <si>
    <t>https://www.newscentermaine.com/article/news/crime/york-county-officer-involved-in-deadly-shooting/97-55f7e825-4a30-4d26-b484-5962bf5565c7</t>
  </si>
  <si>
    <t>Kevin Pudlik</t>
  </si>
  <si>
    <t>M-85 and W End St</t>
  </si>
  <si>
    <t>Detroit Police Department, Michigan State Police</t>
  </si>
  <si>
    <t>Police shot and wounded one person and killed another after the driver allegedly tried to run down the officers. Police were reportedly trying to question people who were wanted for a nonfatal shooting.</t>
  </si>
  <si>
    <t>https://www.detroitnews.com/story/news/local/detroit-city/2019/06/03/detroit-police-chase-ends-2-suspects-shot-1-fatally/1333290001/</t>
  </si>
  <si>
    <t>US-491</t>
  </si>
  <si>
    <t>Naschitti</t>
  </si>
  <si>
    <t>Navajo Nation Police confirmed that a police officer was involved in a shooting that resulted in the death of one person in Naschitti, New Mexico. Police withheld details about the killing.</t>
  </si>
  <si>
    <t>https://navajotimes.com/reznews/police-confirm-shooting-death-involved-officer/</t>
  </si>
  <si>
    <t>Nolan Hurtzig</t>
  </si>
  <si>
    <t>1500 N Blanchard St</t>
  </si>
  <si>
    <t>Police were called to a residence to investigate a disturbance and reportedly encountered a hostile man in front of the property. Police withheld details regarding the circumstances, including whether Nolan Hurtzig was armed.</t>
  </si>
  <si>
    <t>https://www.sbsun.com/2019/02/10/coroner-ids-man-shot-and-killed-in-confrontation-with-banning-officers/</t>
  </si>
  <si>
    <t>Emory Moore</t>
  </si>
  <si>
    <t>230 Lyons Rd</t>
  </si>
  <si>
    <t>Owingsville</t>
  </si>
  <si>
    <t>Bath County Sheriff's Office</t>
  </si>
  <si>
    <t>A deputy shot and killed Emory Moore during a reported fight after a pursuit. Details as to what precipitated the killing were withheld by police.</t>
  </si>
  <si>
    <t>https://lex18.com/news/2019/04/24/coroner-on-scene-of-incident-in-bath-county/</t>
  </si>
  <si>
    <t>Johnny W. Dellinger</t>
  </si>
  <si>
    <t>19000 Mechanicsville Rd</t>
  </si>
  <si>
    <t>Rockingham County Sheriff's Office, Timberville Town Police Department</t>
  </si>
  <si>
    <t>Around 9:15 p.m., police responded to reports of a person firing a gun and then attempting to enter a residence. When officers arrived, they found Johnny W. Dellinger Jr. outside of the home. He reportedly walked around an outbuilding and allegedly began walking toward the officer and deputy. Dellinger reportedly failed to comply with officers' commands to stop, and officers shot and killed him.</t>
  </si>
  <si>
    <t>https://www.starexponent.com/news/rockingham-man-fatally-shot-by-police/article_8bea3bdd-1958-5bdb-9c4d-fe677b1a8693.html</t>
  </si>
  <si>
    <t>Nekiylo Dawayne Graves</t>
  </si>
  <si>
    <t>https://www.fatalencounters.org/wp-content/uploads/2019/02/Nekiylo-Dawayne-Graves1.jpg</t>
  </si>
  <si>
    <t>Mercury Highway</t>
  </si>
  <si>
    <t>Mercury</t>
  </si>
  <si>
    <t>Nekiylo Dawayne Graves drove up to the main security gate at the Nevada nuclear test site in Mercury at about 5:20 p.m. but didn't stop, police said. When Graves drove past the gate, security officers called for help from the Nye County Sheriff's Office substation at the test site. Deputy John Kakavulias caught up with the security officers chasing Graves, who stopped the car about 8 miles from the gate along Mercury Highway. Graves got out of the car and approached a security officer and Kakavulias with an unspecified object in his hand. He was shot and killed.</t>
  </si>
  <si>
    <t>https://www.reviewjournal.com/crime/shootings/no-bodycam-footage-of-fatal-shooting-at-nevada-national-security-site-video-1586182/</t>
  </si>
  <si>
    <t>Tyrese West</t>
  </si>
  <si>
    <t>https://fatalencounters.org/wp-content/uploads/2019/06/Tyrese-West.jpg</t>
  </si>
  <si>
    <t>2500 Racine St</t>
  </si>
  <si>
    <t>A Mount Pleasant officer tried about 1:30 a.m. to approach Tyrese West, who was riding a bicycle without proper lights. Police say West ran from the officer, who then reportedly saw West had a gun. Police said West failed to follow directions, and he was shot and killed.</t>
  </si>
  <si>
    <t>https://www.jsonline.com/story/news/2019/06/15/officer-involved-shooting-mount-pleasant/1464387001/</t>
  </si>
  <si>
    <t>Antonio Smith</t>
  </si>
  <si>
    <t>https://fatalencounters.org/wp-content/uploads/2019/12/Anthony-Smith.jpg</t>
  </si>
  <si>
    <t>3600 Hallbrook St</t>
  </si>
  <si>
    <t>Memphis officers were responding to an unrelated call when they noticed a disturbance between three people. As officers approached, one of the men, who was armed, failed to comply with officers’ orders. Two officers shot and killed Antonio Smith.</t>
  </si>
  <si>
    <t>https://www.commercialappeal.com/story/news/2019/12/27/frayser-officer-involved-shooting-antonio-smith-memphis/2755248001/</t>
  </si>
  <si>
    <t>Anthony Patrick Pellissier</t>
  </si>
  <si>
    <t>https://www.fatalencounters.org/wp-content/uploads/2019/02/Anthony-Patrick-Pellissier.jpg</t>
  </si>
  <si>
    <t>13000 W County Rd 127</t>
  </si>
  <si>
    <t>A State Parole officer approached a residence around 8:49 p.m. to check on a parolee who was a registered sex offender. The officer knocked on the door and was met by a woman in her 50s. The woman reportedly pointed a pistol at the officer. The officer questioned the woman, who insisted the parolee did not live there. After the officer left, she contacted MCSO and requested deputies check the residence and investigate the woman. Deputies arrived at 10:10 p.m. and knocked on the door, announcing they were with the sheriff's office. Anthony Pellissier answered the door and pointed a weapon at one of the deputies, who shot and killed him.</t>
  </si>
  <si>
    <t>http://www.newswest9.com/2019/01/31/midland-man-dead-following-incident-with-midland-county-sheriffs-office/</t>
  </si>
  <si>
    <t>Jimmy De Odell</t>
  </si>
  <si>
    <t>https://fatalencounters.org/wp-content/uploads/2019/08/Jimmy-De-Odell.jpg</t>
  </si>
  <si>
    <t>Bethel Road</t>
  </si>
  <si>
    <t>Como</t>
  </si>
  <si>
    <t>Hopkins County Sheriff's Office</t>
  </si>
  <si>
    <t>Around 10:30 a.m., deputies were dispatched to look for Jimmy De Odell after receiving information the man might be disgruntled. Deputies found Odell and when deputies attempted to make contact with him, Odell allegedly brandished a weapon and was shot and killed.</t>
  </si>
  <si>
    <t>https://www.kltv.com/2019/06/17/texas-rangers-investigating-fatal-deputy-involved-shooting-hopkins-county/</t>
  </si>
  <si>
    <t>Donald Lee Joseph</t>
  </si>
  <si>
    <t>https://fatalencounters.org/wp-content/uploads/2019/08/Donald-Lee-Joseph.jpg</t>
  </si>
  <si>
    <t>3443 W 5600 S</t>
  </si>
  <si>
    <t>Webber</t>
  </si>
  <si>
    <t>Donald Lee Joseph, wearing a mask, used a hammer to break a window and enter a medical clinic at about 1:50 a.m. A woman who was cleaning inside the clinic barricaded herself in a room and called 911, police said. Police responded to the alleged break-in. Police first confronted Joseph in the hallway, where he was still holding the hammer. Officers initially tried to use a bean-bag gun, but Joseph did not surrender and ran away. As officers followed him, he came out of a room holding a knife and reportedly advanced toward the officers, who shot and killed him.</t>
  </si>
  <si>
    <t>https://www.deseretnews.com/article/900082381/police-identify-man-shot-utah-medical-clinic.html</t>
  </si>
  <si>
    <t>James Crowe</t>
  </si>
  <si>
    <t>500 Beauford Place</t>
  </si>
  <si>
    <t>Nicholasville</t>
  </si>
  <si>
    <t>About 11:30 p.m., police shot and killed James Crowe. At the time of this writing, details as to what precipitated the killing were withheld by police.</t>
  </si>
  <si>
    <t>https://www.lex18.com/news/covering-kentucky/officer-fatally-shoots-man-in-nicholasville</t>
  </si>
  <si>
    <t>A.B. Carr</t>
  </si>
  <si>
    <t>https://fatalencounters.org/wp-content/uploads/2019/12/A.B.-Carr.png</t>
  </si>
  <si>
    <t>600 Hattie Ave</t>
  </si>
  <si>
    <t>About 12:45 a.m., two officers were sent to a house regarding an unauthorized visitor being in the home who was in violation of an order of protection. When A.B. Carr reportedly ignored orders to leave, the officers entered the home and fought with Carr who allegedly assaulted the officers with a metal object. Officers reportedly first attempted non-lethal force on Carr, and then shot and killed him.</t>
  </si>
  <si>
    <t>https://www.johnsoncitypress.com/law-enforcement/2019/12/28/Elizabethton-police-kill-man-during-assault-2nd-fatal-shooting-this-year.html</t>
  </si>
  <si>
    <t>Esteban Martinez</t>
  </si>
  <si>
    <t>https://fatalencounters.org/wp-content/uploads/2019/05/Esteban-Martine.jpeg</t>
  </si>
  <si>
    <t>17000 Myrtle St</t>
  </si>
  <si>
    <t>Around 9 p.m., Huron police officers were called to check on a woman how was screaming at a gas station. Two officers arrived and found two men fighting in the parking lot. Officers reportedly attempted to separate the men and while one complied the other continued resisting while armed. The officer shot and killed the man.</t>
  </si>
  <si>
    <t>https://www.fresnobee.com/news/local/crime/article230600959.html</t>
  </si>
  <si>
    <t>Gary Clark</t>
  </si>
  <si>
    <t>1000 Oak Park Rd</t>
  </si>
  <si>
    <t>DeRidder Police Department, Beauregard Parish Sheriff's Office</t>
  </si>
  <si>
    <t>Police were reportedly attempting to arrest Gary Clark when he allegedly produced a gun and was shot and killed.</t>
  </si>
  <si>
    <t>http://www.kplctv.com/2019/02/27/fatal-officer-involved-shooting-deridder/</t>
  </si>
  <si>
    <t>Charles "Chase" Nation</t>
  </si>
  <si>
    <t>300 N Bloomington St</t>
  </si>
  <si>
    <t>Benton County Sheriff's Office, Lowell Police Department</t>
  </si>
  <si>
    <t>Police were reportedly trying to arrest Charles "Chase" Nation when a standoff began. He was shot and killed when police when in the home.</t>
  </si>
  <si>
    <t>https://www.nwahomepage.com/news/knwa/man-in-deputy-involved-shooting-has-died/</t>
  </si>
  <si>
    <t>Matthew James Fleming</t>
  </si>
  <si>
    <t>Abutment Road and Wood Park Dr</t>
  </si>
  <si>
    <t>Deputies were called about a man who was reportedly yelling at cars and screaming at people at businesses. The man would not comply with that deputy's commands to stop or show his hands. The man reportedly reached for a weapon in his waistband, and the deputy shot and killed him.</t>
  </si>
  <si>
    <t>https://www.wrcbtv.com/story/41234682/update-gbi-responding-to-officerinvolved-shooting-in-whitfield-county-deputy-uninjured</t>
  </si>
  <si>
    <t>300 Ash St</t>
  </si>
  <si>
    <t>Deputies responded to a report of a man brandishing a weapon around 5:22 p.m., police said. When the man ignored orders and failed to drop the weapon, a deputy shot and killed him.</t>
  </si>
  <si>
    <t>https://www.nbclosangeles.com/news/local/Deadly-Deputy-Involved-Shooting-in-Lake-Elsinore-565051182.html</t>
  </si>
  <si>
    <t>Jason Elliot Waterhouse</t>
  </si>
  <si>
    <t>2450 Youngfield St</t>
  </si>
  <si>
    <t>Police were called to the area about 3:15 p.m. on a report of criminal mischief. Jason Waterhouse was inside a duplex and refused to come out or communicate with officers. Police said the man was destroying property inside the home and causing a disturbance. About 5:20 p.m. smoke began streaming out of the home, and officers entered because of a fire. Once inside, officers encountered Waterhouse, who was armed, and shot and killed him.</t>
  </si>
  <si>
    <t>https://www.denverpost.com/2019/12/19/lakewood-armed-suspect-fire-duplex/</t>
  </si>
  <si>
    <t>Heriberto Rodriguez</t>
  </si>
  <si>
    <t>100 Water St</t>
  </si>
  <si>
    <t>Kern County Sheriff’s Office</t>
  </si>
  <si>
    <t>Police reportedly received a domestic disturbance call just after 5 p.m., but the call was disconnected. When deputies arrived at the home, Rodriguez opened the door armed and would not comply with orders. Rodriguez approached the deputies who shot and killed him.</t>
  </si>
  <si>
    <t>https://www.turnto23.com/news/crime/coroner-identifies-man-who-died-after-kcso-deputy-involved-shooting-saturday</t>
  </si>
  <si>
    <t>Kenneth Collins</t>
  </si>
  <si>
    <t>1000 Turtle Creek Drive</t>
  </si>
  <si>
    <t>Police said dispatch received a "call for service" around 2 p.m. Responding officers contacted Kenneth Collins, who police said was armed. He was shot and killed. Details as to what precipitated the killing were withheld by police.</t>
  </si>
  <si>
    <t>https://www.hattiesburgamerican.com/story/news/crime/2019/12/26/man-identified-officer-involved-shooting-hattiesburg/2750402001/</t>
  </si>
  <si>
    <t>John Bott</t>
  </si>
  <si>
    <t>US-78</t>
  </si>
  <si>
    <t>Byhalia</t>
  </si>
  <si>
    <t>Around 10 p.m. at Longhorn Steakhouse in Southaven, John Bott reportedly fired shots in the parking lot. He then went across the street to Fazoli's before heading to Applebee's in Olive Branch, again firing his gun in the parking lot. Deputies stopped him around 11 p.m. on U.S. 78, and shots were exchanged, and Bott was shot and killed.</t>
  </si>
  <si>
    <t>https://wreg.com/2019/12/30/76-year-old-veteran-dead-following-deputy-involved-shooting-in-desoto-county/</t>
  </si>
  <si>
    <t>Matthew Burroughs</t>
  </si>
  <si>
    <t>https://www.fatalencounters.org/wp-content/uploads/2019/01/matthew-burroughs.jpg</t>
  </si>
  <si>
    <t>213 Royal Mall Dr</t>
  </si>
  <si>
    <t>An officer reportedly was trying to arrest Matthew Burroughs when he ran away and tried to hit the officer with his car. He was shot and killed.</t>
  </si>
  <si>
    <t>https://www.wkbn.com/news/local-news/coroner-identifies-man-killed-during-officer-involved-shooting-in-niles/1684888480</t>
  </si>
  <si>
    <t>De'Angelo Jamar Brown</t>
  </si>
  <si>
    <t>https://www.fatalencounters.org/wp-content/uploads/2019/01/deangelo-brown.jpg</t>
  </si>
  <si>
    <t>800 N 18th St</t>
  </si>
  <si>
    <t>Megan Brooke Rivera, 32, and De'Angelo Jamar Brown, 30, were shot and killed when the driver rammed police vehicles after an officer tried to stop him, leading other officers to begin shooting.</t>
  </si>
  <si>
    <t>https://www.arkansasonline.com/news/2019/jan/19/two-killed-west-memphis-police-shooting-identified/</t>
  </si>
  <si>
    <t>Bradley Blackshire</t>
  </si>
  <si>
    <t>https://www.fatalencounters.org/wp-content/uploads/2019/02/Bradley-Blackshire.png</t>
  </si>
  <si>
    <t>12th St and Parham Rd</t>
  </si>
  <si>
    <t>Officer Charles Starks was on patrol shortly after 11 a.m. when he located a vehicle flagged as stolen in a parking lot, police said. When Starks stopped the vehicle, the driver, Bradley Blackshire, refused Starks' direction to get out. Blackshire stopped the vehicle but then reportedly accelerated and hit Starks, who shot and killed Blackshire.</t>
  </si>
  <si>
    <t>Justified by outside agency</t>
  </si>
  <si>
    <t>https://www.arkansasonline.com/news/2019/feb/24/lawman-driver-id-d-in-traffic-stop-shoo/?crime</t>
  </si>
  <si>
    <t>Brandon Lovell Webster</t>
  </si>
  <si>
    <t>https://www.fatalencounters.org/wp-content/uploads/2019/01/BrandonWebster.jpg</t>
  </si>
  <si>
    <t>1141 Holden Beach Rd SW</t>
  </si>
  <si>
    <t>Shallotte</t>
  </si>
  <si>
    <t>Trooper S.A. Collins initiated a traffic stop around 9 p.m. Brandon Lovell Webster allegedly accelerated toward him, fleeing, and Collins shot and killed him. Collins made it to a hospital before he expired.</t>
  </si>
  <si>
    <t>http://www.wmbfnews.com/2019/01/02/person-hospitalized-after-trooper-involved-shooting-near-shallotte/</t>
  </si>
  <si>
    <t>Latasha Nicole Walton</t>
  </si>
  <si>
    <t>https://www.fatalencounters.org/wp-content/uploads/2019/03/NatashaWalton.jpg</t>
  </si>
  <si>
    <t>NW Seventh Ave and SR 9</t>
  </si>
  <si>
    <t>Trooper Ronald Melendez-Bonilla shot and killed Latasha Walton when she tried to drive away from a traffic stop.</t>
  </si>
  <si>
    <t>https://wsvn.com/news/local/woman-dead-in-shooting-involving-fhp-trooper-in-north-miami-dade/</t>
  </si>
  <si>
    <t>Charles Ballard</t>
  </si>
  <si>
    <t>https://www.fatalencounters.org/wp-content/uploads/2019/03/Charles-Ballard.jpg</t>
  </si>
  <si>
    <t>16160 East 14th St</t>
  </si>
  <si>
    <t>Deputies responded to the Thrift Town store at about 4:40 p.m. after store employees reported a minor theft, police said. Charles Ballard was outside his BMW SUV when the deputies contacted him but then he allegedly got inside, put his car into reverse and accelerated, pinning the two deputies in an open door and dragging them at least 20 feet. The two deputies fired at Ballard. Ballard allegedly aimed his car toward a third deputy. He was shot and killed by the deputies.</t>
  </si>
  <si>
    <t>https://sanfrancisco.cbslocal.com/2019/03/15/charles-ballard-san-leandro-deputy-shooting-11-felony-convictions/</t>
  </si>
  <si>
    <t>Chris Joseph</t>
  </si>
  <si>
    <t>https://www.fatalencounters.org/wp-content/uploads/2019/04/Chris-Joseph.jpg</t>
  </si>
  <si>
    <t>151 Westbank Expy</t>
  </si>
  <si>
    <t>Police conducting an undercover investigation arranged to buy drugs from a dealer, police said. The suspect vehicle, a silver Dodge, pulled into the parking lot about 10:20 p.m. with Chris Joseph behind the wheel and Daviri Robertson in the passenger seat. Police boxed in the car with two pickup trucks, a blue Dodge Ram 4x4 and a black Ford F-150. Four officers got out of the trucks and approached the car to arrest the suspects, and Joseph reportedly put the vehicle in reverse, hitting an officer. Two officers shot into the vehicle, killing Joseph and Robertson. One of the bullets traveled through the car windows and hit another officer in the abdomen.</t>
  </si>
  <si>
    <t>https://www.nola.com/crime/2019/03/after-bullets-fly-during-terrytown-drug-bust-families-question-jpso-use-of-force.html</t>
  </si>
  <si>
    <t>Daviri Robertson</t>
  </si>
  <si>
    <t>https://www.fatalencounters.org/wp-content/uploads/2019/04/Daviri-Robertson.jpg</t>
  </si>
  <si>
    <t>Brandon Webber</t>
  </si>
  <si>
    <t>https://fatalencounters.org/wp-content/uploads/2019/06/brandon-webber.jpg</t>
  </si>
  <si>
    <t>2000 Durham Ave</t>
  </si>
  <si>
    <t>Around 7 p.m., U.S. Marshals Service deputies tried to arrest Brandon Webber for undisclosed reasons as he was getting into his car. He alleedly rammed his vehicle into the officers' vehicles before getting out with a weapon. The deputies shot and killed him.</t>
  </si>
  <si>
    <t>https://heavy.com/news/2019/06/brandon-webber/</t>
  </si>
  <si>
    <t>Marquis Weems</t>
  </si>
  <si>
    <t>5465 Randolph Rd</t>
  </si>
  <si>
    <t>Rockville</t>
  </si>
  <si>
    <t>Montgomery County Department of Police</t>
  </si>
  <si>
    <t>A group of men were allegedly crashing into and robbing gun stores. Police received a 911 call about 2:30 a.m. and responded to the parking lot of the United Gun Store. When the officer arrived, the men crashed into the police cruiser. Officer John Gloss then shot into the men's car, killing one. The men drove a short distance before fleeing on foot.</t>
  </si>
  <si>
    <t>https://www.nbcwashington.com/news/local/Gun-Store-Burglary-Leaves-1-Dead-in-Rockville-Numerous-Suspects-at-Large-511230561.html</t>
  </si>
  <si>
    <t>Tramon Savage</t>
  </si>
  <si>
    <t>1800 School Drive</t>
  </si>
  <si>
    <t>Officers fatally shot a suspect in a burglary at a car dealership in Jacksonville after he drove toward them in a vehicle, police said. Officers were called shortly before midnight to investigate a possible break-in at Crain Ford. The agency said man inside was attempting to steal a vehicle when he drove it toward the exit and where police were standing. Officers shot and killed him.</t>
  </si>
  <si>
    <t>https://www.krdo.com/news/teller-county/gunshots-lead-to-standoff-in-woodland-park/1085447911</t>
  </si>
  <si>
    <t>Allan Feliz</t>
  </si>
  <si>
    <t>https://fatalencounters.org/wp-content/uploads/2019/10/Allan-Feliz.jpg</t>
  </si>
  <si>
    <t>East 211th St and Bainbridge Ave</t>
  </si>
  <si>
    <t>Police spotted Allan Feliz, initially identified by police as Samy Feliz, 29, driving without a seat belt at about 3 p.m. and pulled him over. Feliz allegedly tried to leave, fought with the officer, and was tasered and then shot and killed.</t>
  </si>
  <si>
    <t>https://nypost.com/2019/10/17/nypd-sergeant-fatally-shoots-man-in-the-bronx-cops/?utm_source=maropost&amp;utm_medium=email&amp;utm_campaign=nypevening&amp;utm_content=20191017&amp;tpcc=evening_update&amp;mpweb=755-8332139-720226743</t>
  </si>
  <si>
    <t>Demetrius Williams</t>
  </si>
  <si>
    <t>https://fatalencounters.org/wp-content/uploads/2019/12/Demetrius-Williams.jpg</t>
  </si>
  <si>
    <t>604 S Allen Blvd</t>
  </si>
  <si>
    <t>Deputies were serving a warrant when Demetrius Williams attempted to flee in his vehicle. While driving in reverse, Williams allegedly struck another vehicle, and then began driving forward toward several deputies. One deputy was struck by Williams' vehicle, and the deputies shot and killed Williams.</t>
  </si>
  <si>
    <t>https://www.marshallnewsmessenger.com/news/tmpa-provides-statement-on-marshall-officer-involved-shooting/article_88334220-195f-11ea-9566-f34d2f4ac6cd.html</t>
  </si>
  <si>
    <t>Deangelo Rashad Martin</t>
  </si>
  <si>
    <t>https://fatalencounters.org/wp-content/uploads/2019/12/Deangelo-Martin.jpg</t>
  </si>
  <si>
    <t>4500 Ridge Road</t>
  </si>
  <si>
    <t>Clayton County Sheriff's Office</t>
  </si>
  <si>
    <t>At 9:47 a.m., deputies attempted to stop a vehicle on I-285 for speeding. During the attempted stop, deputies reportedly learned that the vehicle was stolen out of the city of South Fulton. The vehicle failed to stop, and deputies chased it. The vehicle went down a dead-end road and turned around, reportedly hit some police vehicles. The driver, Deangelo Martin, was shot and killed.</t>
  </si>
  <si>
    <t>https://www.11alive.com/article/news/local/officer-involved-shooting-clayton-county/85-6bcbc6b6-355e-4ae5-837a-ec267f471161</t>
  </si>
  <si>
    <t>Siatu'u Tauai</t>
  </si>
  <si>
    <t>https://www.fatalencounters.org/wp-content/uploads/2019/02/Siatuu-Tauai.png</t>
  </si>
  <si>
    <t>Kapalama Avenue and Hala Drive</t>
  </si>
  <si>
    <t>Three officers saw a truck weaving in and out of traffic around 1:30 a.m. They were all in separate patrol cars when they attempted to pull over Siatu'u Tauai. As the officers got out of the cars, the truck drove over an embankment to get away. The officers later caught up with Tauai. One officer sprayed him with pepper spray, but it didn't incapacitate him. He allegedly drove at officers and was shot and killed.</t>
  </si>
  <si>
    <t>https://www.kitv.com/story/39869806/ewa-beach-man-killed-in-officer-involved-shooting-has-extensive-criminal-history</t>
  </si>
  <si>
    <t>Megan Rivera</t>
  </si>
  <si>
    <t>https://www.fatalencounters.org/wp-content/uploads/2019/01/megan-rivera.jpg</t>
  </si>
  <si>
    <t>Jason C. Minnick</t>
  </si>
  <si>
    <t>https://www.fatalencounters.org/wp-content/uploads/2019/01/Jason-Minnick.jpg</t>
  </si>
  <si>
    <t>4501 Tillery Rd</t>
  </si>
  <si>
    <t>Officers responded about 7:30 a.m. to a report of a suspicious man possibly dealing drugs in the parking lot of Tanglewood Apartments, police said. When officers arrived and approached the vehicle on foot, he allegedly drove into the direction of the officers. One of the officers shot and killed Jason C. Minnick.</t>
  </si>
  <si>
    <t>https://www.knoxnews.com/story/news/crime/2019/01/20/officer-involved-shooting-knoxville-police-jason-minnick/2634704002/</t>
  </si>
  <si>
    <t>Kyle Thomas</t>
  </si>
  <si>
    <t>Lanikuhana Ave and Anania Dr</t>
  </si>
  <si>
    <t>Mililani</t>
  </si>
  <si>
    <t>Officers were near a Walmart on an unrelated issue when they heard a call about a male theft suspect. One of the officers reportedly saw a person who matched the description in the parking lot and followed his truck onto Lanikuhana Avenue. When the truck stopped at a light, they surrounded it and ordered the driver to get out of the vehicle. The man ignored the commands and rammed the police vehicle behind him in an attempt to flee. The man then allegedly accelerated toward one of the officers, and two officers fired at the driver, killing him. The vehicle continued down the avenue where it slammed into a tree.</t>
  </si>
  <si>
    <t>https://www.khon2.com/top-stories/officer-involved-shooting-in-mililani/1797922314</t>
  </si>
  <si>
    <t>Sasha Ann Pishko</t>
  </si>
  <si>
    <t>https://www.fatalencounters.org/wp-content/uploads/2019/03/SASHA-ANN-PISHKO.jpg</t>
  </si>
  <si>
    <t>GA-405</t>
  </si>
  <si>
    <t>Townsend</t>
  </si>
  <si>
    <t>Trooper First Class Glen Walters initiated a traffic stop on a vehicle driven by Sasha Ann Pishko. Pishko drove off, allegedly hitting the trooper with her vehicle. Walters shot and killed her. She drove a short distance before wrecking.</t>
  </si>
  <si>
    <t>https://www.wsav.com/investigates/crime-safety/breaking-news-1-female-dead-in-officer-involved-shooting-in-mcintosh-county/1811761846</t>
  </si>
  <si>
    <t>Brandon Michael Jacque</t>
  </si>
  <si>
    <t>https://www.fatalencounters.org/wp-content/uploads/2019/04/Brandon-Michael-Jacque.jpg</t>
  </si>
  <si>
    <t>McNeil St and E League St</t>
  </si>
  <si>
    <t>Burnet</t>
  </si>
  <si>
    <t>Burnet Police Department</t>
  </si>
  <si>
    <t>An officer responded for a complaint about loud music at 1:35 a.m. The officer reportedly approached a red Mercedes sedan within seconds of arriving. The vehicle pulled forward, then backed up and did not stop even after the officer ordered the driver to stop. The car ran over the officer's foot, and he shot and killed Brandon Michael Jacque.</t>
  </si>
  <si>
    <t>https://www.kxan.com/news/local-news/burnet-man-shot-and-killed-after-driving-over-officer-s-foot/1880169931</t>
  </si>
  <si>
    <t>Chadwick Dale Martin</t>
  </si>
  <si>
    <t>http://www.fatalencounters.org/wp-content/uploads/2019/04/ChadMartin.png</t>
  </si>
  <si>
    <t>200 McCarter Rd</t>
  </si>
  <si>
    <t>Fountain Inn Police Department</t>
  </si>
  <si>
    <t>A Fountain Inn police officer ran a tag on a car just after 10 a.m. and found that it was stolen. When the officer tried to pull the car over, Chadwick Dale Martin Jr. pulled into a space in a parking lot. The officer and Martin got out of their vehicles, and there reportedly was a confrontation and a scuffle. Martin got back in the car and allegedly tried to drive over the curb in the parking lot. Martin reportedly pulled forward, then put the car in reverse and hit a second Fountain Inn police car. Martin reportedly tried to pull away with the officer holding onto the car. The officer shot and killed Martin.</t>
  </si>
  <si>
    <t>https://www.wyff4.com/article/police-officer-fatally-shoots-motorist-on-wall-street-in-fountain-inn-near-bojangles-sled-says/27166865</t>
  </si>
  <si>
    <t>Kyle Needham</t>
  </si>
  <si>
    <t>https://fatalencounters.org/wp-content/uploads/2019/06/Kyle-Needham.jpg</t>
  </si>
  <si>
    <t>102 Main St</t>
  </si>
  <si>
    <t>Gorham</t>
  </si>
  <si>
    <t>Gorham Police Department</t>
  </si>
  <si>
    <t>Kyle Needham was shot and killed by Gorham police Officer Dean Hannon. Needham was wanted on warrants, including for eluding a Maine State Police trooper during a car chase in York County the previous month, but it was unclear what brought Gorham police to the shopping plaza where the shooting occurred or how they came to interact with Needham.</t>
  </si>
  <si>
    <t>https://www.centralmaine.com/2019/06/01/standish-man-32-identified-as-victim-in-police-shooting/</t>
  </si>
  <si>
    <t>Terry Frost</t>
  </si>
  <si>
    <t>https://fatalencounters.org/wp-content/uploads/2019/06/TerryFrost.jpg</t>
  </si>
  <si>
    <t>2000 Diana Avenue</t>
  </si>
  <si>
    <t>Kingsport</t>
  </si>
  <si>
    <t>Around 1:30 p.m., police received information that Terry R. Frost was at a residence on Pennsylvania Road. Frost reportedly had warrants for his arrest. When deputies approached the home, Frost ran from the residence into an overgrown area. Police spotted Frost about a half mile away. He was reportedly getting into an SUV driven by a woman. Police approached the vehicle and ordered the woman to get out. Frost allegedly jumped into the driver's seat. Deputies attempted to pull Frost from the vehicle, at which point he accelerated, reportedly dragging a deputy. The deputy shot and killed Frost.</t>
  </si>
  <si>
    <t>http://myjcpress.com/Law-Enforcement/2019/06/10/Officer-involved-shooting-in-Sullivan-County.html</t>
  </si>
  <si>
    <t>William Aubrey Martin</t>
  </si>
  <si>
    <t>https://fatalencounters.org/wp-content/uploads/2019/07/William-Aubrey-Martin.jpg</t>
  </si>
  <si>
    <t>S Darlington Ave &amp; E 3rd St</t>
  </si>
  <si>
    <t>William Martin was wanted for DUI and a weapons offense when he was shot and killed by a trooper, when Martin allegedly tried to run over the trooper.</t>
  </si>
  <si>
    <t>https://www.publicradiotulsa.org/post/man-killed-tulsa-state-trooper</t>
  </si>
  <si>
    <t>Cole Steele Jessup</t>
  </si>
  <si>
    <t>https://fatalencounters.org/wp-content/uploads/2019/08/Cole-Steele-Jessup.jpg</t>
  </si>
  <si>
    <t>6521-6401 Joe Branson Rd</t>
  </si>
  <si>
    <t>Ramseur</t>
  </si>
  <si>
    <t>Deputies said Cole Jessup was driving a stolen tractor, with the lights off, in the middle of the road about 1 a.m. A deputy tried to pull him over before he allegedly rammed the patrol car three times with the tractor. The deputy shot and killed Jessup.</t>
  </si>
  <si>
    <t>https://myfox8.com/2019/08/13/family-identifies-man-shot-killed-after-deputy-says-tractor-almost-ran-over-patrol-car-in-randolph-county-deputies-say/</t>
  </si>
  <si>
    <t>Robert Desjarlais Jr.</t>
  </si>
  <si>
    <t>https://fatalencounters.org/wp-content/uploads/2019/09/Robert-Desjarlais-Jr.png</t>
  </si>
  <si>
    <t>6100 S 145th W Ave</t>
  </si>
  <si>
    <t>Sapulpa</t>
  </si>
  <si>
    <t>Around 8:15 p.m., a Sand Springs police officer began chasing Robert Desjarlais Jr. Details as to what started the chase or what precipitated the killing were withheld by police.</t>
  </si>
  <si>
    <t>https://okcfox.com/news/local/osbi-identifies-suspect-in-deadly-officer-involved-shooting</t>
  </si>
  <si>
    <t>Angela Louise Perkins</t>
  </si>
  <si>
    <t>https://fatalencounters.org/wp-content/uploads/2019/10/Angela-Perkins.jpg</t>
  </si>
  <si>
    <t>Co Rd 3080</t>
  </si>
  <si>
    <t>Howell</t>
  </si>
  <si>
    <t>At approximately 11:30 p.m., an officer initiated a vehicle pursuit with Angela Perkins. The officer reportedly discontinued the pursuit after losing sight of the vehicle. The officer reportedly spotted her vehicle stuck in a ditch. The officer got out of his vehicle and approached Perkins. Perkins allegedly put her vehicle in reverse and was able to break free of the ditch and back into a nearby driveway. Perkins allegedly sped up and headed toward the officer, who shot and killed her. The family questioned many things about the police narrative.</t>
  </si>
  <si>
    <t>https://www.baxterbulletin.com/story/news/local/2019/10/01/cotter-woman-shot-dead-missouri-police-office/3829843002/</t>
  </si>
  <si>
    <t>Joseph Francis Cimino</t>
  </si>
  <si>
    <t>https://fatalencounters.org/wp-content/uploads/2019/10/Joseph-Francis-Cimino.jpg</t>
  </si>
  <si>
    <t>6810 S 27th St</t>
  </si>
  <si>
    <t>Burlington Northern Santa Fe Railway Police Department</t>
  </si>
  <si>
    <t>Joseph Cimino began causing a disturbance at 12:53 p.m. at the restaurant at SouthPointe Pavilions because he was unhappy with his food. Christopher Hall, a BNSF Railway senior special agent had been waiting in line outside when he saw people climbing out the drive-thru window after Cimino backed his silver 2018 Dodge pickup through a bank of windows on the restaurant. When the vehicle stopped, Cimino got out and chased customers and employees through the restaurant. Cimino was armed with a stun gun and came at Hall, who shot and killed him.</t>
  </si>
  <si>
    <t>https://beatricedailysun.com/news/local/crime-and-courts/lincoln-police-identify-man-shot-outside-chick-fil-a/article_939eb633-a7f5-5692-aaa4-c030faa1369c.html</t>
  </si>
  <si>
    <t>Anthony John Michael Zapier</t>
  </si>
  <si>
    <t>https://fatalencounters.org/wp-content/uploads/2019/10/Anthony-John-Michael-Zappier.png</t>
  </si>
  <si>
    <t>3000 Heathcliff Rd</t>
  </si>
  <si>
    <t>Hamblen County Sheriff's Office</t>
  </si>
  <si>
    <t>Around 5:30 a.m., a wreck was reported and in the 911 call, a man was reported being disorderly and armed with a gun. When the deputy arrived, Anthony John Michael Zapier reportedly refused to comply with orders and began fighting. He ran and got in the deputy's cruiser, and the deputy tried to stop him. After reportedly being dragged by the cruiser through a field, the deputy shot and killed Zapier.</t>
  </si>
  <si>
    <t>https://www.wate.com/news/suspect-killed-deputy-injured-in-hamblen-county-officer-involved-shooting/</t>
  </si>
  <si>
    <t>Matthew Wayne Sutton</t>
  </si>
  <si>
    <t>12236 Montana Ave</t>
  </si>
  <si>
    <t>The driver of an allegedly stolen SUV was shot and killed while reportedly dragging two El Paso police officers through the parking lot of a Walmart.</t>
  </si>
  <si>
    <t>https://www.elpasotimes.com/story/news/crime/2019/10/24/police-chat-after-driver-suv-fatally-shot-while-dragging-two-el-paso-police-officers-through-parking/4081640002/</t>
  </si>
  <si>
    <t>Sidney Alexis Renew</t>
  </si>
  <si>
    <t>https://fatalencounters.org/wp-content/uploads/2019/11/Sidney-Alexis-Renew.jpg</t>
  </si>
  <si>
    <t>11655 Lakeland Acres Rd</t>
  </si>
  <si>
    <t>A deputy noticed an allegedly stolen Ford F-250 in the woods off Lakeland Acres Road. As two deputies began to approach the truck, deputies called out to Sydney Renew to get out of the truck and talk with them. Renew reportedly drove directly toward the two deputies, who shot and killed her.</t>
  </si>
  <si>
    <t>https://www.wesh.com/article/woman-fatally-shot-by-polk-deputies-while-accelerating-stolen-truck-toward-them-officials-say/29766260</t>
  </si>
  <si>
    <t>Zachary Aldrige Hall</t>
  </si>
  <si>
    <t>https://fatalencounters.org/wp-content/uploads/2019/10/Zacharyhall.jpg</t>
  </si>
  <si>
    <t>1201 N Hill Field Rd</t>
  </si>
  <si>
    <t>Layton</t>
  </si>
  <si>
    <t>U.S. Marshal Service</t>
  </si>
  <si>
    <t>Police had been following Zachary Hall for several hours and planned to arrest him when he left the Layton Hills Mall. He reportedly was wanted for an aggravated robbery out of Salt Lake City. After allegedly failing to comply with orders, Hall ran started ramming police vehicles with his vehicle. Police shot and killed him.</t>
  </si>
  <si>
    <t>https://kutv.com/news/local/man-shot-by-fugitive-task-force-at-layton-mall-dies</t>
  </si>
  <si>
    <t>Anthony Chilcott</t>
  </si>
  <si>
    <t>35200 Veazie Cumberland Road SE</t>
  </si>
  <si>
    <t>Enumclaw</t>
  </si>
  <si>
    <t>Police located an allegedly stolen Ford Raptor and shot and killed the driver when he allegedly rammed their vehicles with the truck.</t>
  </si>
  <si>
    <t>https://q13fox.com/2019/11/25/stolen-poodle-returned-to-owners-after-deadly-police-shooting-near-enumclaw/</t>
  </si>
  <si>
    <t>Steven Kerr</t>
  </si>
  <si>
    <t>2100 Spooner Dr</t>
  </si>
  <si>
    <t>Around 6 a.m., an officer found a vehicle, which had been reported stolen on Spooner Drive. He shined his light on the vehicle and saw it was occupied. The driver put the car in drive and started driving toward the officer, who backed up into a 6-feet-tall fence, and shot and killed Steven Kerr.</t>
  </si>
  <si>
    <t>https://www.wfla.com/news/hillsborough-county/plant-city-man-shot-killed-by-officer-after-driving-car-toward-them/</t>
  </si>
  <si>
    <t>Edward Matthew Guerrero-Cruz</t>
  </si>
  <si>
    <t>https://fatalencounters.org/wp-content/uploads/2019/09/Edward-Mathew-Guerrero-Cruz.jpg</t>
  </si>
  <si>
    <t>5988 US 90</t>
  </si>
  <si>
    <t>Milton Police Department</t>
  </si>
  <si>
    <t>Officers received a call at around 5:10 a.m. Tuesday regarding a dump truck stolen from The Other Place gas station in Milton. Officers caught up with the stolen dump truck about four miles away. The driver fled from police in the dump truck. The truck was cornered by Milton police and Santa Rosa County Sheriff's Office patrol cars. The truck reportedly rammed a Milton police patrol car and an SRSO patrol car while cornered, and at least one officer opened fire, killing Edward Matthew Guerrero-Cruz.</t>
  </si>
  <si>
    <t>https://www.pnj.com/story/news/2019/09/19/milton-police-release-name-suspect-officer-involved-shooting-arrested-april-battery-police-officer/2380247001/</t>
  </si>
  <si>
    <t>Asuncion J. Gomez-Guerrero</t>
  </si>
  <si>
    <t>3500 Windhaven Dr</t>
  </si>
  <si>
    <t>Waukegan</t>
  </si>
  <si>
    <t>Waukegan Police Department</t>
  </si>
  <si>
    <t>Police reportedly were called about 2:30 p.m. Responding officers found a vehicle in front of a house, with Asuncion Gomez-Guerrero and an 18-year-old passenger in the front seat. When the officer approached, Gomez-Guerrero allegedly disobeyed orders and attempted to hit the officer with the vehicle. The officer shot and killed Gomez-Guerrero in the moving vehicle. The vehicle crashed into a telephone pole about a block away. The passenger was taken to the hospital with minor injuries from the crash.</t>
  </si>
  <si>
    <t>https://www.dailyherald.com/news/20190208/authorities-identify-man-who-was-fatally-shot-by-waukegan-police</t>
  </si>
  <si>
    <t>Anthony Jose Vega Cruz</t>
  </si>
  <si>
    <t>http://www.fatalencounters.org/wp-content/uploads/2019/04/Anthony-Jose-Vega-Cruz.jpg</t>
  </si>
  <si>
    <t>936 Silas Deane Hwy</t>
  </si>
  <si>
    <t>Wethersfield</t>
  </si>
  <si>
    <t>Wethersfield Police Department</t>
  </si>
  <si>
    <t>Anthony Jose Vega Cruz was driving a vehicle that police tried to stop. Police said Vega Cruz hit a cruiser and tried to drive at an officer on foot, and Officer Layau Eulizier shot and killed Vega Cruz.</t>
  </si>
  <si>
    <t>https://www.ctpost.com/local/article/Police-ID-cops-in-teen-s-fatal-shooting-13794102.php</t>
  </si>
  <si>
    <t>Theresa Medina-Thomas</t>
  </si>
  <si>
    <t>https://www.fatalencounters.org/wp-content/uploads/2019/04/Theresa.jpg</t>
  </si>
  <si>
    <t>11000 S 48th St</t>
  </si>
  <si>
    <t>U.S. Department of Homeland Security</t>
  </si>
  <si>
    <t>Federal agents exchanged gunfire with people while trying to execute a felony arrest warrant connected to human smuggling in the Phoenix area. Five people were in the suspect vehicle, and one of them was a woman who was shot and killed.</t>
  </si>
  <si>
    <t>https://www.dothaneagle.com/news/ap/state/hsi-says-federal-agents-shoot-suspects-in-the-phoenix-area/article_ddeb311b-5842-5d60-85b7-c6436c65909a.html?fbclid=IwAR2GdorRK-pTaAnhWtdX3QlyduOnnKt1tFrHpRMsNGS7o835U-2pPosW_Hc</t>
  </si>
  <si>
    <t>Mark Anthony Galvan</t>
  </si>
  <si>
    <t>https://fatalencounters.org/wp-content/uploads/2019/06/GALVAN-MARK-ANTHONY.jpg</t>
  </si>
  <si>
    <t>1200 Boca Chica Blvd</t>
  </si>
  <si>
    <t>Officers attempted to conduct a traffic stop on a vehicle driven by Mark Anthony Galvan in connection with an assault call. He reportedly led police on a chase at approximately 1:34 a.m., ramming several police cars, before he was shot and killed.</t>
  </si>
  <si>
    <t>https://www.brownsvilleherald.com/news/local/police-responding-to-assault-call-shoot-kill-man/article_8f22906a-9154-11e9-b56f-6b473ae37bad.html</t>
  </si>
  <si>
    <t>Jacob Archambault</t>
  </si>
  <si>
    <t>Soldier Creek Loop</t>
  </si>
  <si>
    <t>After a police pursuit, officers shot and killed Jacob "Jake" Archambault before the vehicle crashed down a cliff. The encounter began when someone reported an intoxicated man who was breaking windows and trying to hurt his family.</t>
  </si>
  <si>
    <t>https://rapidcityjournal.com/news/local/crime-and-courts/updated-man-dead-after-car-shot-at-by-tribal-police/article_a3f423b8-069d-594d-80ff-38efe9a80b9b.html</t>
  </si>
  <si>
    <t>William R. Clark</t>
  </si>
  <si>
    <t>W Railroad Ave and Barrett Mill Road</t>
  </si>
  <si>
    <t>Wytheville</t>
  </si>
  <si>
    <t>Around 1:40 a.m. a trooper found a Dodge pickup that was reported stolen. Clark, the driver of the pickup, refused to stop. During the pursuit, Clark allegedly shot at the state trooper's vehicle. The trooper was not hurt and eventually lost sight of the vehicle in Wytheville, VA. The Dodge pickup was found 30 minutes later abandoned. At 3:45 a.m., a police officer in Wytheville stopped a "suspicious vehicle" on West Railroad Avenue. The driver was apparently looking for Clark. Soon after, a pursuit involving a stolen Ford F-350 began. Police said Clark rammed a Wythe County deputy and hit a Virginia trooper." A responding deputy and state trooper shot and killed Clark.</t>
  </si>
  <si>
    <t>https://wvva.com/news/top-stories/2019/05/10/update-man-injured-during-officer-involved-shooting-dies-woman-arrested/</t>
  </si>
  <si>
    <t>Efren Esquivel</t>
  </si>
  <si>
    <t>Kollmar Dr and Story Rd</t>
  </si>
  <si>
    <t>Police were trying to find a stolen car when a man jumped through its sunroof and started behaving erratically, police said. The incident occurred around 12:52 p.m. Three officers blocked the vehicle. The driver refused and rammed his vehicle into a patrol car.He allegedly drove the vehicle at officers when one officer was struck and dragged with the vehicle and pinned between the stolen vehicle and a parked vehicle. All three officers fired at the suspect, killing him.</t>
  </si>
  <si>
    <t>https://www.nbcbayarea.com/news/local/Police-Investigating-Officer-Involved-Shooting-in-San-Jose-509483871.html</t>
  </si>
  <si>
    <t>Rice School Road</t>
  </si>
  <si>
    <t>McKee</t>
  </si>
  <si>
    <t>David N. Willoughby was being chased by police and in the chase that included multiple wrecks with police vehicles, he was shot and killed. He was a suspect in a murder, although it's not clear from initial reports whether police were aware of this.</t>
  </si>
  <si>
    <t>https://www.wtvq.com/2019/08/01/homicide-investigation-underway-montgomery-county/</t>
  </si>
  <si>
    <t>Gilbert St and Moore Ave</t>
  </si>
  <si>
    <t>Buena Park Police Department</t>
  </si>
  <si>
    <t>Around 11:37 a.m., two officers tried to pull over a black Range Rover for traffic violations. A dispatcher then told the officers that the SUV had been reported stolen earlier in the day. About a minute later, the SUV pulled over. As at least one officer attempted to step out of the vehicle, the Range Rover ran in reverse, ramming the Buena Park police car. Police shot and killed the driver.</t>
  </si>
  <si>
    <t>https://ktla.com/2019/08/19/buena-park-police-shoot-kill-driver-in-stolen-suv-who-tried-to-ram-patrol-car-during-traffic-stop-in-fullerton-authorities/</t>
  </si>
  <si>
    <t>Shawn Fondren</t>
  </si>
  <si>
    <t>US 49 and Eagle Post Road</t>
  </si>
  <si>
    <t>Rankin County Sheriff's Office</t>
  </si>
  <si>
    <t>Shawn Fondren was chased by multiple police agencies when Rankin county deputies attempted to arrest him for auto theft in another jurisdiction. Rankin deputies used stop sticks and blocked Fondren before he was shot and killed.</t>
  </si>
  <si>
    <t>https://www.wlox.com/2019/08/31/one-dead-officer-involved-shooting-after-chase-highway-florence/</t>
  </si>
  <si>
    <t>E La Habra Blvd and S Bedford St</t>
  </si>
  <si>
    <t>La Habra</t>
  </si>
  <si>
    <t>La Habra Police Department</t>
  </si>
  <si>
    <t>Around 3 a.m., police received a burglary call from a local car dealership. The suspect allegedly hopped inside a car and rammed into another vehicle through a metal fence. Police said he refused several commands and reportedly told officers he had a rifle inside the car. He then drove through a metal fence, reportedly toward police officers, who shot and killed him.</t>
  </si>
  <si>
    <t>https://abc7.com/la-habra-police-kill-suspect-after-responding-to-burglary-call/5570544/</t>
  </si>
  <si>
    <t>David Sanders</t>
  </si>
  <si>
    <t>Barker Rd and Vistula Rd</t>
  </si>
  <si>
    <t>White Pigeon</t>
  </si>
  <si>
    <t>Bristol (Indiana) Police Department</t>
  </si>
  <si>
    <t>Bristol, Indiana, Police chased David Sanders into White Pigeon, Michigan, at around 12:37 a.m. Fatal shots were fired by an officer after Sanders allegedly crashed into a patrol car.</t>
  </si>
  <si>
    <t>https://www.wndu.com/content/news/Bristol-police-officer-on-administrative-leave-following--563369502.html</t>
  </si>
  <si>
    <t>Robert Martinez</t>
  </si>
  <si>
    <t>200 S Canosa Ct</t>
  </si>
  <si>
    <t>Just after 3 p.m., U.S. Marshals were trying to get in touch with Robert Martinez. Martinez was wanted on a federal arrest warrant for a probation violation, police said. After agents saw Martinez get in a vehicle driven by a woman, they attempted to stop the vehicle. The woman allegedly continued driving, eventually colliding with several unmarked police cars. An officer who was standing outside then fired shots toward her - striking her in the extremities and causing her vehicle to come to a stop. Martinez started reaching around inside the vehicle while refusing to follow orders to surrender to officers. A Jefferson County Sheriff's deputy shot and killed him.</t>
  </si>
  <si>
    <t>https://www.9news.com/article/news/crime/dpd-2-kids-were-inside-car-when-federal-agent-shot-man-woman/73-7bdd7b28-7cc4-42dd-8579-4d279f6830a5</t>
  </si>
  <si>
    <t>Marvin Alexis Urbina</t>
  </si>
  <si>
    <t>I-5 and Laval Rd</t>
  </si>
  <si>
    <t>California Highway Patrol received a report at 7:28 p.m. of a motorist driving recklessly on northbound I-5. Officers spotted the driver, Marvin Alexis Urbina, near the CHP scales and tried to stop him. Urbina refused to stop, and crashed into another vehicle, police said. Urbina was shot and killed after the crash at 7:42 p.m. Details as to what precipitated the killing were withheld.</t>
  </si>
  <si>
    <t>https://www.kget.com/news/local-news/man-killed-in-officer-involved-shooting-identified/</t>
  </si>
  <si>
    <t>Eduard Alexis Lopez-Ucles</t>
  </si>
  <si>
    <t>Hyland Ave and WI-55</t>
  </si>
  <si>
    <t>Kaukauna</t>
  </si>
  <si>
    <t>Fox Valley Metro Police Department</t>
  </si>
  <si>
    <t>Police tried stopping a vehicle that was traveling erratically, but the driver led them on a chase that ended around 1:15 a.m., when the vehicle crashed. The officer shot and killed the person, although details as to what precipitated the killing were withheld by police. He was shot by Officer Sam D. Pynenberg of the Fox Valley Metro Police.</t>
  </si>
  <si>
    <t>https://www.postcrescent.com/story/news/2019/09/03/kaukauna-police-shooting-person-shot-police-after-chase/2195474001/</t>
  </si>
  <si>
    <t>Jeremy Dean Duncan</t>
  </si>
  <si>
    <t>100 SE 37th Ave</t>
  </si>
  <si>
    <t>Around 1:15 p.m., police were attempting to apprehend Jeremy Duncan who had an outstanding felony warrant. The officer made contact with the subject, who was sitting in the driver's seat of a vehicle with the door open. Police said, Duncan started backing up the vehicle "with the officer sandwiched between the door and the vehicle frame." The officer shot and killed Duncan.</t>
  </si>
  <si>
    <t>https://www.myhighplains.com/news/breaking-news/amarillo-police-investigating-officer-involved-shooting-near-37th-and-polk/1686809713</t>
  </si>
  <si>
    <t>Krystal Arvizu</t>
  </si>
  <si>
    <t>Stanislaus St and B St</t>
  </si>
  <si>
    <t>Police responded to a 911 call. Upon arrival, the husband told them his wife, Krystal Arvizu, was barricaded in a second-story bedroom with a knife and had made comments about killing herself. The door was slightly opened by officers when they saw her holding a ax. The officers called backup, reportedly moving away as they closed the door and were heading back down the stairs when the woman apparently swung the ax striking the door. She then reportedly opened the door and charged at an officer while holding a knife. An officer shot and killed her.</t>
  </si>
  <si>
    <t>https://www.fresnobee.com/news/local/article231342963.html</t>
  </si>
  <si>
    <t>Chad Williams</t>
  </si>
  <si>
    <t>3295 A Old 27 S</t>
  </si>
  <si>
    <t>Gaylord</t>
  </si>
  <si>
    <t>Otsego</t>
  </si>
  <si>
    <t>Otsego County Sheriff's Office</t>
  </si>
  <si>
    <t>Four deputies and one DNR officer went to Chad Williams' home for a mental health petition that was issued by a judge. Williams refused to come to the door. While deputies were at the home, a neighbor told them that Williams had threatened him with an ax. Deputies got a search warrant and went into the home, and Williams allegedly confronted them, wielding the ax. They reportedly asked him to drop the axe, but he did not, so they shot and killed him.</t>
  </si>
  <si>
    <t>https://nbc25news.com/news/local/one-dead-after-officer-involved-shooting-in-otsego-county</t>
  </si>
  <si>
    <t>Ronald Dale McLemore</t>
  </si>
  <si>
    <t>https://fatalencounters.org/wp-content/uploads/2019/10/Ronald-Dale-McLemore.jpg</t>
  </si>
  <si>
    <t>2600 Myer Ave</t>
  </si>
  <si>
    <t>Deputies were called to a domestic disturbance at a residence and when they arrived, they spoke with Ronald Dale McLemore's girlfriend. They then made contact with McLemore at the front door of the home, where he was holding a bat in one hand, and his other hand was concealed. Deputies ordered McLemore to show his concealed hand, and he refused. He then crossed the threshold of the door and came toward deputies. They reportedly saw a knife in McLemore's concealed hand and shot and killed him.</t>
  </si>
  <si>
    <t>https://www.villages-news.com/2019/10/20/leesburg-man-allegedly-wielding-bat-and-knife-killed-in-deputy-involved-shooting/</t>
  </si>
  <si>
    <t>baseball bat and knife</t>
  </si>
  <si>
    <t>Arturo Moreno</t>
  </si>
  <si>
    <t>https://fatalencounters.org/wp-content/uploads/2019/10/Arturo-Alcantar-Moreno.jpg</t>
  </si>
  <si>
    <t>200 S Leggett St</t>
  </si>
  <si>
    <t>Around 6:45 p.m., deputies were called to a family disturbance. Family members called for help after Arturo Moreno showed up. Officers confronted him in a back building, and he allegedly attacked them with tools, defending himself against an attacking police dog, and he was shot and killed.</t>
  </si>
  <si>
    <t>https://kmph.com/news/local/officer-involved-shooting-investigation-underway-in-porterville</t>
  </si>
  <si>
    <t>Miles Hall</t>
  </si>
  <si>
    <t>199-49 Arlene Ln</t>
  </si>
  <si>
    <t>Walnut Creek</t>
  </si>
  <si>
    <t>Walnut Creek Police Department</t>
  </si>
  <si>
    <t>At 4:41 p.m., a woman called 911 to say her grandson came into her room and threatened her, police said. Six minutes later, the man's mother called 911 to say he her son was being violent and threatened her with a metal pole. The woman told the dispatcher her son has "mental health problems." At 4:52 p.m., officers arrived at the home. At 4:53 p.m., dispatchers received a call that reported that a man was banging on his front door. The man was reportedly wearing a red bandana over his head and face and was holding a metal crowbar. Police found the man and ordered the man to drop the crowbar. He reportedly ignored the officers and ran at them with the crowbar in hand. One officer fired bean bags at the man, who continued to run toward the officers who shot and killed him.</t>
  </si>
  <si>
    <t>https://www.eastbaytimes.com/2019/06/02/walnut-creek-police-investigate-officer-involved-shooting/</t>
  </si>
  <si>
    <t>Jerry "Knot-Knot" Orlando Weaver</t>
  </si>
  <si>
    <t>https://fatalencounters.org/wp-content/uploads/2019/08/Jerry-Weaver.jpg</t>
  </si>
  <si>
    <t>600 W Broad St</t>
  </si>
  <si>
    <t>Anderson County Sheriff's Office, Clinton Police Department</t>
  </si>
  <si>
    <t>A call came in to 911 at 5:52 p.m. for a suicidal man with a firearm. Police from multiple agencies responded. A standoff occurred for about 20 minutes. During the encounter, police said Jerry Weaver had a firearm, and officers attempted to get him to drop the weapon. Weaver pointed the gun at officers, and officers shot and killed him.</t>
  </si>
  <si>
    <t>https://www.wvlt.tv/content/news/TBI-investigating-officer-involved-shooting-in-Clinton--540618721.html</t>
  </si>
  <si>
    <t>Zonell Williams</t>
  </si>
  <si>
    <t>https://www.fatalencounters.org/wp-content/uploads/2019/01/Zonell-Williams.jpg</t>
  </si>
  <si>
    <t>2300 Orleans Avenue</t>
  </si>
  <si>
    <t>At 10 p.m., police received a call of a possible suicide attempt. When officers arrived on the scene, they encountered the person, who fired and struck the officer in his bulletproof vest. Four officers shot and killed him.</t>
  </si>
  <si>
    <t>https://www.klfy.com/top-stories/officer-shot-suspect-killed-in-orleans-avenue-shootout/1687798327</t>
  </si>
  <si>
    <t>Willie Jermaine Robinson</t>
  </si>
  <si>
    <t>https://www.fatalencounters.org/wp-content/uploads/2019/02/Willie-Jermaine-Robinson.jpg</t>
  </si>
  <si>
    <t>115-111 Murrell Rd</t>
  </si>
  <si>
    <t>Around 1:30 a.m., Willie Jermaine Robinson told police from inside his home that he was armed. Deputies said while they were taking cover, they heard a shot come from the home. They later determined that a woman inside the home was shot. Deputies said her injuries are non-life threatening. Deputies said Robinson came outside with a firearm and shot at the deputies. At least one deputy shot and killed him.</t>
  </si>
  <si>
    <t>http://www.wistv.com/2019/02/10/man-claiming-poisoning-shot-killed-after-shooting-woman-firing-greenville-county-deputies-official-says/</t>
  </si>
  <si>
    <t>Pierre Woods</t>
  </si>
  <si>
    <t>Clayton St and Dillard Ave</t>
  </si>
  <si>
    <t>Rankin County Sheriff's Office, Pelahatchie Police Department</t>
  </si>
  <si>
    <t>A call came in just after 10 a.m. of shots fired. When officers arrived, Pierre Woods allegedly opened fire on them. In an attempt to apprehend Woods, tear gas was deployed, and police said Woods shot at police and was shot and killed.</t>
  </si>
  <si>
    <t>https://www.wjtv.com/news/local-news/standoff-ends-suspect-dies-from-injuries/1792035593</t>
  </si>
  <si>
    <t>Kyron Marcell Sands</t>
  </si>
  <si>
    <t>https://www.fatalencounters.org/wp-content/uploads/2019/02/Kyron-Marcell-Sands.jpg</t>
  </si>
  <si>
    <t>CT-32 and Old Plains Road</t>
  </si>
  <si>
    <t>Connecticut State Police, Willimantic Police Department</t>
  </si>
  <si>
    <t>Kyron Sands allegedly tried to break into a woman's house with a gun in Norwich. Police said when they tried to stop him, he shot at them, held up a driver and then fled. Police eventually shot Sands after he crashed into a tree and allegedly tried to break into another house. Family member said Sands was a paranoid schizophrenic who was off his medication and having a breakdown.</t>
  </si>
  <si>
    <t>https://www.wtnh.com/news/news-8-exclusive/family-of-suspect-killed-in-willimantic-police-shooting-speaks-out/1799996568</t>
  </si>
  <si>
    <t>Lawrence Thompson III</t>
  </si>
  <si>
    <t>https://www.fatalencounters.org/wp-content/uploads/2019/01/LawrenceThompson.png</t>
  </si>
  <si>
    <t>100 E 44th St</t>
  </si>
  <si>
    <t>A man had apparently shot or shot at at least four people before he was shot and killed by Officer Joshua Sheen. Witnesses said the man appeared to intoxicated.</t>
  </si>
  <si>
    <t>https://www.chron.com/news/houston-texas/houston/article/Men-injured-in-friend-s-shooting-spree-in-13514261.php?fbclid=IwAR1imorX7TDpEKgoHqT9hOjKeDWt2ZGzQwuEdk1NYuz6y72zhsjC-5UiSCE</t>
  </si>
  <si>
    <t>Nina Adams</t>
  </si>
  <si>
    <t>https://www.fatalencounters.org/wp-content/uploads/2019/03/nina-adams.jpg</t>
  </si>
  <si>
    <t>Grant St and Harvey Ave</t>
  </si>
  <si>
    <t>Around 3 p.m. Nina Adams allegedly fired shots at a car not far from her home. She then walked back home, and police soon arrived. Police said Adams, armed with a handgun, walked onto her porch. One officer fired a bean bag at her to disable her, and another officer shot and killed her.</t>
  </si>
  <si>
    <t>https://pittsburgh.cbslocal.com/2019/03/14/greensburg-woman-police-involved-shooting-victim-identified/</t>
  </si>
  <si>
    <t>Danquirs Napoleon Franklin</t>
  </si>
  <si>
    <t>100 Beatties Ford Rd</t>
  </si>
  <si>
    <t>Danquirs Napoleon Franklin was shot and killed by police outside of a Burger King after there was a disturbance inside the restaurant. Franklin allegedly reached or showed a gun, and police shot and killed him.</t>
  </si>
  <si>
    <t>http://www.wbtv.com/2019/03/25/suspect-injured-officer-involved-shooting-north-charlotte/</t>
  </si>
  <si>
    <t>Rodney Lassister</t>
  </si>
  <si>
    <t>300 N Bruce Ave</t>
  </si>
  <si>
    <t>Monahans</t>
  </si>
  <si>
    <t>Ward</t>
  </si>
  <si>
    <t>Monahans Police Department, Ward County Sheriff's Office</t>
  </si>
  <si>
    <t>Around 8:30 a.m., officers received a call about Rodney Lassister firing a gun. When they arrived, there was an apparent exchange of gunfire, and Lassiter was shot and killed.</t>
  </si>
  <si>
    <t>https://www.yourbasin.com/news/neighbor-reactions-to-officer-involved-shooting/1838208276</t>
  </si>
  <si>
    <t>Derrec Jamal Shaw</t>
  </si>
  <si>
    <t>https://fatalencounters.org/wp-content/uploads/2019/05/Derrec-Shaw.jpg</t>
  </si>
  <si>
    <t>36.089490, -95.974810 4949 S Peoria Ave</t>
  </si>
  <si>
    <t>Derrec Shaw allegedly shot two people in midtown Tulsa and was shot and killed by police. Around 7 p.m. Shaw threatened people with a gun before going to businesses. Police said Shaw shot a man standing outside of CiCi's Pizza talking on the phone then shot a customer walking out of China Wok just before 7 p.m.</t>
  </si>
  <si>
    <t>https://www.fox23.com/news/i-44-closed-in-midtown-tulsa-due-to-police-search/948365449</t>
  </si>
  <si>
    <t>Crystal Danielle Ragland</t>
  </si>
  <si>
    <t>https://fatalencounters.org/wp-content/uploads/2019/06/crystal-ragland.jpg</t>
  </si>
  <si>
    <t>2999 Woodway Dr SW</t>
  </si>
  <si>
    <t>Police responded to some apartments at about 8:45 a.m. because residents claimed a woman was pointing a weapon at them. Crystal Danielle Ragland allegedly failed to disarm when told by police, and she was shot and killed.</t>
  </si>
  <si>
    <t>https://whnt.com/2019/05/30/woman-shot-during-confrontation-with-huntsville-police/</t>
  </si>
  <si>
    <t>Brent Durbin-Daniel</t>
  </si>
  <si>
    <t>https://fatalencounters.org/wp-content/uploads/2019/06/Brent-Durbin-Daniel.jpg</t>
  </si>
  <si>
    <t>6300 NW Maple Ave</t>
  </si>
  <si>
    <t>Lawton police were called to a domestic disturbance involving Brent Durbin-Daniel and his mother. He left the residence with two assault rifles and a handgun before officers arrived and drove to the 6300 block of NW Maple in Lawton. Officers were called to that location where they encountered Durbin-Daniel. Three officers shot and killed him.</t>
  </si>
  <si>
    <t>https://kfor.com/2019/06/10/osbi-officials-investigating-fatal-officer-involved-shooting-in-lawton/</t>
  </si>
  <si>
    <t>Ruben Houston</t>
  </si>
  <si>
    <t>https://fatalencounters.org/wp-content/uploads/2019/05/RubenHouston.jpg</t>
  </si>
  <si>
    <t>222 N Oneida St</t>
  </si>
  <si>
    <t>Officers Christopher Biese and Paul Christensen shot and killed Ruben Houston, 47, when he exchanged shots with officers. Appleton firefighter Mitchell Lundgaard, 36, was shot and killed. A bystander, Brittany L. Schowalter, 30, was also shot and wounded. It was not reported immediately who fired the shots that killed Lundgaard and wounded Schowalter.</t>
  </si>
  <si>
    <t>https://www.postcrescent.com/story/news/2019/05/17/appleton-shooting-police-identify-suspect-wednesday-shooting/3708905002/</t>
  </si>
  <si>
    <t>Adam Michael McCoy</t>
  </si>
  <si>
    <t>https://fatalencounters.org/wp-content/uploads/2019/05/Adam-Michael-McCoy.jpg</t>
  </si>
  <si>
    <t>Anchor Lake Rd and Lumpkin Rd</t>
  </si>
  <si>
    <t>Carriere</t>
  </si>
  <si>
    <t>Pearl River County Sheriff's Office</t>
  </si>
  <si>
    <t>About 3 p.m., a deputy reportedly saw Adam McCoy driving a vehicle on White Chapel Road. The deputy attempted to stop the vehicle, but the driver fled. The deputy pursued the vehicle until it crashed. As the deputy pulled up to the crash, he allegedly was fired upon. The deputy shot and killed McCoy.</t>
  </si>
  <si>
    <t>https://www.wlbt.com/2019/05/24/one-man-dead-after-deputy-involved-shooting-pearl-river-county/</t>
  </si>
  <si>
    <t>Robert Myers</t>
  </si>
  <si>
    <t>https://www.fatalencounters.org/wp-content/uploads/2019/01/Robert-Myers.jpg</t>
  </si>
  <si>
    <t>65275 Middle Rd</t>
  </si>
  <si>
    <t>Southold</t>
  </si>
  <si>
    <t>Suffolk County Police Department, Southold Police Department, New York State Police</t>
  </si>
  <si>
    <t>Police received a call around noon for a suicidal man with a gun inside his home. Robert Myers spent three hours talking with police, and fired shots inside the house, at officers and at an armored police vehicle. They did not return fire at that point. Police were able to get Myers to come out of the home, without weapons, around 4:20 p.m. He reportedly came out with a gun and swung it in the direction of an officer who shot and killed him.</t>
  </si>
  <si>
    <t>http://www.news12.com/story/39727832/officials-at-least-3-shots-fired-amid-greenport-standoff</t>
  </si>
  <si>
    <t>Terry Lee Cockrell</t>
  </si>
  <si>
    <t>7600 N Madison Ave</t>
  </si>
  <si>
    <t>Sperry</t>
  </si>
  <si>
    <t>Around 10 p.m., a woman told dispatchers she was awakened by an acquaintance standing over her bed with a weapon, police said. The woman reportedly had a protective order against the man, Terry Lee Cockrell. Upon reaching the house, deputies reportedly found signs of forced entry with scuff marks on and near the door. Deputy Mic Bonin found Cockrell hiding in the backyard, but he ignored commands to stop and fled into a wooded area near the home. Deputies gave chase, then commanded him to stop and show his hands, but Cockrell reportedly stated a gun was in his pocket and that he wanted the deputy to shoot him. When Cockrell reportedly reached toward his pocket, Bonin shot and killed him.</t>
  </si>
  <si>
    <t>https://www.tulsaworld.com/news/local/crime-and-courts/update-deputy-slain-suspect-identified-after-fatal-shooting-during-domestic/article_9e75b28a-93a0-533b-9bc2-4b0b4c316910.html</t>
  </si>
  <si>
    <t>Daniel David Messmer</t>
  </si>
  <si>
    <t>https://www.fatalencounters.org/wp-content/uploads/2019/02/Daniel-David-Messmer.png</t>
  </si>
  <si>
    <t>12130 Bear Valley Rd</t>
  </si>
  <si>
    <t>Deputies responded to a call of a man with a gun inside a Shell Gas Station at around 4 p.m. Daniel Messmer was allegedly armed with a handgun and appeared to be intoxicated. When deputies arrived, they found Messmer in a desert area east of the gas station armed with a handgun. After being told to drop his weapon, Messmer failed to comply and allegedly pointed his gun at the deputies, who shot and killed him.</t>
  </si>
  <si>
    <t>https://www.nbclosangeles.com/news/local/Man-Killed-at-a-Shell-Gas-Station-During-Altercation-with-Deputies-506297061.html</t>
  </si>
  <si>
    <t>Michael Pierce</t>
  </si>
  <si>
    <t>https://www.fatalencounters.org/wp-content/uploads/2019/03/Michael-Eugene-Pierce.jpg</t>
  </si>
  <si>
    <t>W 12th St &amp; Jefferson St</t>
  </si>
  <si>
    <t>Officers were called about 4:45 p.m. for a report of an armed person in downtown Vancouver. Shortly after, two officers shot and killed him. Michael Eugene Pierce was diagnosed with paranoid schizophrenia as a teenager but had stopped taking his prescribed medication, according to family members.</t>
  </si>
  <si>
    <t>https://www.columbian.com/news/2019/mar/01/family-man-shot-killed-by-vancouver-police-had-schizophrenia/?utm_source=feedburner&amp;utm_medium=feed&amp;utm_campaign=Feed%3A+the-columbian-local-headlines+%28The+Columbian%3A+Local+Headlines%29</t>
  </si>
  <si>
    <t>Stephen Kaylor</t>
  </si>
  <si>
    <t>39000 Bob Hope Dr</t>
  </si>
  <si>
    <t>Within four minutes of two 911 calls being dialed into the Riverside County Sheriff's Office at about 4:55 p.m., an Indio man, Stephen Kaylor, who suddenly opened fire outside Eisenhower Health's campus in Rancho Mirage was shot and killed by deputies.</t>
  </si>
  <si>
    <t>https://www.desertsun.com/story/news/crime_courts/2019/03/04/officer-involved-shooting-eisenhower-desert-orthopedic-center-rancho-mirage/3062291002/</t>
  </si>
  <si>
    <t>Bruce Puchel</t>
  </si>
  <si>
    <t>https://www.fatalencounters.org/wp-content/uploads/2019/03/Bruce-Puchel.jpg</t>
  </si>
  <si>
    <t>4490 US-17 N</t>
  </si>
  <si>
    <t>Deputies were on the lookout for Puchel because he was believed to be armed and dangerous. Puchel was known to law enforcement for having previously threatened suicide, police said. Deputies approached Puchel in a wooded area behind his home, and Puchel allegedly raised a handgun toward deputies, and a deputy shot and killed him.</t>
  </si>
  <si>
    <t>https://www.witn.com/content/news/Deputies-searching-for-missing-man-who-is-considered-armed-and-dangerous-507534681.html</t>
  </si>
  <si>
    <t>Brandon Coty Elliott</t>
  </si>
  <si>
    <t>https://www.fatalencounters.org/wp-content/uploads/2019/03/BRANDON-COTY-ELLIOTT.jpg</t>
  </si>
  <si>
    <t>9970 Creek Landing Rd</t>
  </si>
  <si>
    <t>Police responded to a report of shots fired at about 6 a.m. The incident happened in the area of Creek Landing Road. The call was for an armed individual who was believed to have taken shots at several items of personal property and threatened others. After arriving, officers found the reportedly armed Brandon Coty Elliott in the woods and shot and killed him.</t>
  </si>
  <si>
    <t>https://www.wbtw.com/crime/pee-dee-crime/update-suspect-killed-in-officer-involved-shooting-in-nichols/1875345992</t>
  </si>
  <si>
    <t>Phillip Thomas Marsh</t>
  </si>
  <si>
    <t>https://www.fatalencounters.org/wp-content/uploads/2019/04/PHilipMarshall.jpg</t>
  </si>
  <si>
    <t>3150 E New York Ave</t>
  </si>
  <si>
    <t>Phillip Thomas Marsh, a carjacking suspect who led deputies on a pursuit from Deltona to the Volusia County Fairgrounds outside DeLand, was shot and killed</t>
  </si>
  <si>
    <t>https://www.news-journalonline.com/news/20190411/volusia-sheriffs-k-9-deputy-shot-and-injured-following-pursuit-suspect-dies</t>
  </si>
  <si>
    <t>James Douglas Meadows</t>
  </si>
  <si>
    <t>https://fatalencounters.org/wp-content/uploads/2019/05/James-Douglas-Meadows.jpeg</t>
  </si>
  <si>
    <t>400 Little New York Rd</t>
  </si>
  <si>
    <t>Rising Sun Police Department</t>
  </si>
  <si>
    <t>Police responded to a report of an armed, suicidal man with possible hostages. Officers were directed to the rear of the house where the man, James Douglas Meadows, was last seen. As the officers approached the side of the house, they saw Meadows armed with a handgun through a window. Meadows and a second man inside the home fought. Meadows turned toward the officers while raising the handgun, and he was shot and killed.</t>
  </si>
  <si>
    <t>https://www.baltimoresun.com/news/maryland/crime/bs-md-officer-shooting-cecil-20190514-story.html</t>
  </si>
  <si>
    <t>Alex Steward Underdown</t>
  </si>
  <si>
    <t>https://fatalencounters.org/wp-content/uploads/2019/05/Alex-Underdown.jpg</t>
  </si>
  <si>
    <t>3100 Bel Air Dr</t>
  </si>
  <si>
    <t>Police responded to a domestic dispute at a home. At the home, they made contact with a woman who lives there. She told police Underdown had been drinking, threatened her and beat her, causing a black eye. She told police he owned guns and had previously held one to her head. Underdown reportedly came out of the house with a gun in his hand. He pointed the gun at his chin and was allegedly confrontational with officers. He later pointed the gun at three officers, including Officer Brendan Burbrink, who shot and killed Underdown.</t>
  </si>
  <si>
    <t>https://www.fox5vegas.com/news/police-identify-suspect-officer-involved-in-deadly-shooting-in-central/article_5e33a34e-7832-11e9-b0a3-b79a00ec5209.html</t>
  </si>
  <si>
    <t>Elizabeth Ann Harris</t>
  </si>
  <si>
    <t>https://fatalencounters.org/wp-content/uploads/2019/08/Elizabeth-Ann-Harris.jpeg</t>
  </si>
  <si>
    <t>200 North Center Street</t>
  </si>
  <si>
    <t>New Boston</t>
  </si>
  <si>
    <t>New Boston Police Department</t>
  </si>
  <si>
    <t>New Boston Police originally responded to a home for reports of a suicidal person, Elizabeth Harris. When they arrived, Harris shot at them. She was shot and killed after around a two-hour standoff.</t>
  </si>
  <si>
    <t>http://www.magnoliareporter.com/news_and_business/regional_news/article_160faad4-7942-11e9-955b-5bb445557284.html</t>
  </si>
  <si>
    <t>Robert Sabater</t>
  </si>
  <si>
    <t>https://fatalencounters.org/wp-content/uploads/2019/05/Robert-Sabater.jpg</t>
  </si>
  <si>
    <t>Dora St and S Glenn Ave</t>
  </si>
  <si>
    <t>Wichita Police Department, Sedgwick County Sheriff's Office</t>
  </si>
  <si>
    <t>Police said about 1:20 a.m. they responded to a report of shots fired. Police said Robert Sabater was shooting outside his home. He entered and left his home while firing shots before running out and heading south. Sabater did not follow orders and ran north. Officers found him at Dora and Glenn, armed with a handgun. Police said he pointed the gun at officers after they again told him to put the gun down. Four Wichita police officers and five Sedgwick County Sheriff's deputies shot and killed Sabater.</t>
  </si>
  <si>
    <t>https://www.kwch.com/content/news/510471271.html</t>
  </si>
  <si>
    <t>David Richard Hoal</t>
  </si>
  <si>
    <t>https://fatalencounters.org/wp-content/uploads/2019/06/david-hoal.jpg</t>
  </si>
  <si>
    <t>900 Valleywood Cove</t>
  </si>
  <si>
    <t>Collierville</t>
  </si>
  <si>
    <t>Collierville Police Department</t>
  </si>
  <si>
    <t>Collierville Police responded at 8:10 a.m. for a call of a possibly suicidal man. Officers found the man in the backyard and ordered him to drop his weapon. For reasons which were withheld by police at the time of this writing, one of the officers shot and killed him.</t>
  </si>
  <si>
    <t>https://wreg.com/2019/06/03/tbi-investigating-officer-involved-shooting-in-collierville/</t>
  </si>
  <si>
    <t>Travis James Eckstein</t>
  </si>
  <si>
    <t>https://fatalencounters.org/wp-content/uploads/2019/06/TravisJamesEckstein.jpg</t>
  </si>
  <si>
    <t>U.S. Customs and Border Protection officers fatally shot a driver who allegedly refused to stop at California's border with Mexico. Police said the suspect's vehicle was blocked, and the driver opened fire on the officers.</t>
  </si>
  <si>
    <t>https://ktla.com/2019/06/04/border-agents-kill-man-during-shootout-at-san-ysidro-port-of-entry/</t>
  </si>
  <si>
    <t>Jay Michael Clem</t>
  </si>
  <si>
    <t>3100 Barnhill Rd</t>
  </si>
  <si>
    <t>Approximately 7:35 p.m., Calvin Wheeley notified 911 that his wife, Lottie, had been shot in the lower back and was in transit to a hospital. Police were told that Jay Michael Clem, who was inside the home. Officers tried to make contact with Clem, but he refused to cooperate and barricaded himself inside the residence with his weapon. Police attempted to communicate with Clem for four hours, but were not successful. Chemicals were shot into the house, and Clem allegedly came out of the home brandishing a handgun and fired at officers. Police shot and killed him.</t>
  </si>
  <si>
    <t>https://www.kait8.com/2019/06/06/police-respond-shooting-call-jonesboro/</t>
  </si>
  <si>
    <t>Brian Isaack Clyde</t>
  </si>
  <si>
    <t>https://fatalencounters.org/wp-content/uploads/2019/06/Brian-Isaack-Clyde.png</t>
  </si>
  <si>
    <t>1100 Commerce St</t>
  </si>
  <si>
    <t>U.S. Federal Protective Service</t>
  </si>
  <si>
    <t>Brian Isaack Clyde allegedly opened fire at the Earle Cabell Federal Building in downtown Dallas and was killed after a gunfight with federal police outside the building.</t>
  </si>
  <si>
    <t>https://dfw.cbslocal.com/2019/06/17/active-shooter-shots-fired-federal-building-dallas/</t>
  </si>
  <si>
    <t>Harry Noble Gipson</t>
  </si>
  <si>
    <t>https://fatalencounters.org/wp-content/uploads/2019/06/Harry_Gipson.jpg</t>
  </si>
  <si>
    <t>265 Holly Grove Circle</t>
  </si>
  <si>
    <t>Harry Gipson was shot and killed during an encounter with a Simpson County sheriff's deputy. Details as to what precipitated the killing were withheld by police.</t>
  </si>
  <si>
    <t>https://www.clarionledger.com/story/news/2019/06/06/mississippi-agriculture-commissioner-andy-gipson-father-killed-simpson-county-deputy/1368089001/</t>
  </si>
  <si>
    <t>Shawn Toney</t>
  </si>
  <si>
    <t>9841 Memphis Ave</t>
  </si>
  <si>
    <t>Brooklyn Police Department</t>
  </si>
  <si>
    <t>Shawn Toney was experiencing some kind of medical or mental crisis when he was shot and killed while in a standoff with police. He allegedly fired one shot, as did an officer, but it was not immediately reported who owned the bullet that killed him.</t>
  </si>
  <si>
    <t>https://www.cleveland.com/crime/2019/07/man-dead-in-officer-involved-shooting-in-brooklyn-police-say.html</t>
  </si>
  <si>
    <t>John David Brown</t>
  </si>
  <si>
    <t>https://fatalencounters.org/wp-content/uploads/2019/07/John-David-Brown-Jr.jpg</t>
  </si>
  <si>
    <t>83 River Rd</t>
  </si>
  <si>
    <t>Ranburne</t>
  </si>
  <si>
    <t>Cleburne</t>
  </si>
  <si>
    <t>Ranburne Police Department</t>
  </si>
  <si>
    <t>John Brown's wife called police because she thought he had committed suicide. After a nine-hour standoff with exchanges of gunfire, he came out of the home and reportedly pointed his gun at police when they shot and killed him.</t>
  </si>
  <si>
    <t>https://www.wbrc.com/2019/07/22/man-barricaded-inside-east-alabama-home/</t>
  </si>
  <si>
    <t>Connor Betts</t>
  </si>
  <si>
    <t>https://fatalencounters.org/wp-content/uploads/2019/09/connor-betts.jpg</t>
  </si>
  <si>
    <t>419 E 5th St.</t>
  </si>
  <si>
    <t>Connor Betts killed nine people and wounded 27 others before police shot and killed him</t>
  </si>
  <si>
    <t>https://www.nytimes.com/2019/08/04/us/dayton-ohio-shooting.html</t>
  </si>
  <si>
    <t>Robert Clay Wilsford Sr.</t>
  </si>
  <si>
    <t>https://fatalencounters.org/wp-content/uploads/2019/08/Robert-Clay-Wilsford.jpg</t>
  </si>
  <si>
    <t>1181 Co Rd 599</t>
  </si>
  <si>
    <t>Hanceville</t>
  </si>
  <si>
    <t>Hanceville Police Department</t>
  </si>
  <si>
    <t>Officers responded to the home to perform a welfare check on Wilsford after a concerned family member called worried about his well-being.Shortly after officers arrived, they were met with gunfire . Robert Wilsford was killed during an exchange of gunfire.</t>
  </si>
  <si>
    <t>https://www.al.com/news/birmingham/2019/08/65-year-old-man-identified-as-suspect-who-died-in-shootout-with-hanceville-police.html</t>
  </si>
  <si>
    <t>Allan George</t>
  </si>
  <si>
    <t>CO-13</t>
  </si>
  <si>
    <t>Rifle</t>
  </si>
  <si>
    <t>Rifle Police Department</t>
  </si>
  <si>
    <t>Police made a vehicle stop on the Colorado River bridge between the I-70 exit and Whiteriver Avenue. Two officers made contact with the driver and shot and killed him. Allan George reportedly pointed a gun at police and was being sought on an unspecified warrant.</t>
  </si>
  <si>
    <t>https://www.rifleco.org/CivicAlerts.aspx?aid=291&amp;utm_source=dlvr.it&amp;utm_medium=twitter</t>
  </si>
  <si>
    <t>Seth Aaron Ator</t>
  </si>
  <si>
    <t>https://fatalencounters.org/wp-content/uploads/2019/09/seth-ator.jpg</t>
  </si>
  <si>
    <t>8250 TX-191</t>
  </si>
  <si>
    <t>Midland Police Department, Odessa Police Department, Texas Department of Public Safety</t>
  </si>
  <si>
    <t>Seth Ator was shot and killed by police at the Cinergy movie complex in Odessa after a mass murder/shooting in Odessa and Midland, Texas, according to the Odessa Police Department. Seven victims and Ator were killed. More than 20 others were injured.</t>
  </si>
  <si>
    <t>https://www.click2houston.com/news/texas/katy-man-recalls-being-shot-during-west-texas-mass-shooting-rampage</t>
  </si>
  <si>
    <t>Kevin John Dudenhefer</t>
  </si>
  <si>
    <t>Fish Hatchery Rd and Oak Cove Dr</t>
  </si>
  <si>
    <t>Lacombe</t>
  </si>
  <si>
    <t>Deputies went to a home around 9 p.m. to serve an order of protective custody. The order was issued after family members said that the man could harm a family member or himself. When deputies arrived at the home, family members escorted them into the home where they spotted the man with a weapon. Deputies attempted to subdue him by using a Taser. When he allegedly raised his weapon, deputies shot and killed him.</t>
  </si>
  <si>
    <t>https://www.fox8live.com/2019/09/26/man-killed-deputy-involved-shooting-lacomb/</t>
  </si>
  <si>
    <t>Dennis Patrick</t>
  </si>
  <si>
    <t>https://fatalencounters.org/wp-content/uploads/2019/10/DennisPatrick.jpg</t>
  </si>
  <si>
    <t>1200 Bales Chapel Rd</t>
  </si>
  <si>
    <t>Around 3:20 a.m., deputies responded to a home for a welfare check on Dennis Patrick Jr. who was described as potentially suicidal. Deputies said they tried to speak with him, but he reportedly pulled out a gun and shot at them, and they shot and killed him.</t>
  </si>
  <si>
    <t>https://myfox8.com/2019/10/15/man-killed-in-deputy-involved-shooting-on-bales-chapel-road-in-jamestown-identified/</t>
  </si>
  <si>
    <t>Malachii Alexander Crane aka Phillip Rudd</t>
  </si>
  <si>
    <t>E 25th St and S Emerson Ave</t>
  </si>
  <si>
    <t>Idaho Falls police withheld details about the killing, including the man's name, age, race and whether the man who was shot was armed.</t>
  </si>
  <si>
    <t>https://www.idahostatejournal.com/news/local/police-fatally-shoot-man-in-east-idaho-city/article_1a63cb95-21a0-55b3-8b7b-6a226dd2e4a7.html</t>
  </si>
  <si>
    <t>Vincent "Vince" Michael Smith</t>
  </si>
  <si>
    <t>https://fatalencounters.org/wp-content/uploads/2019/10/Vince-Smith.jpg</t>
  </si>
  <si>
    <t>698 Yeoman St</t>
  </si>
  <si>
    <t>Huntington County Sheriff's Office, Huntington Police Department</t>
  </si>
  <si>
    <t>About 1 p.m., deputies and officers were called to a home on a wellbeing check for a suicidal person. Police arrived at the home but did not find the person, and they began a search of the area. They found the man at Yeoman Park. The man reportedly was armed and did not comply with police, and he ran. Vincent Michael Smith allegedly fired at officers and was shot and killed.</t>
  </si>
  <si>
    <t>https://www.wane.com/news/local-news/one-person-dead-after-police-action-shooting-in-huntington/</t>
  </si>
  <si>
    <t>Michael A. Jolly</t>
  </si>
  <si>
    <t>https://fatalencounters.org/wp-content/uploads/2019/11/MichaelJolly.jpg</t>
  </si>
  <si>
    <t>900 Clover St</t>
  </si>
  <si>
    <t>Fox Crossing Police Department, Neenah Police Department</t>
  </si>
  <si>
    <t>At about 4:30 a.m., police were called to a report of a suicidal person with a weapon. A Fox Crossing officer and a Neenah officer responded. Following an interaction with the subject, both officers shot and killed him.</t>
  </si>
  <si>
    <t>https://www.wbay.com/content/news/Police-at-scene-of-incident-in-Fox-Crossing-564910472.html</t>
  </si>
  <si>
    <t>Mark Richard Coleman</t>
  </si>
  <si>
    <t>255 N Tamiami Trail</t>
  </si>
  <si>
    <t>Sarasota County Sheriff's Office</t>
  </si>
  <si>
    <t>Around 12:40 a.m., police received a 911 call saying the caller had heard loud noises, screaming and possible gunshots at the Palm &amp; Pines Mobile &amp; RV Park. The first deputy arrived within four minutes and was directed to the common area of the trailer park. There, the deputy made contact with Mark Richard Coleman, who was on top of a his wife, who was screaming. The deputy ordered Coleman get off of her, but Coleman did not. Coleman allegedly threatened various people with a gun, and when a female bystander leapt on his back, Coleman threw her off and pointed the gun at the deputy, who shot and killed him.</t>
  </si>
  <si>
    <t>https://www.mysuncoast.com/2019/12/07/man-dies-following-deputy-involved-shooting-during-domestic-violence-situation-sarasota-county/</t>
  </si>
  <si>
    <t>Delos Peter Lowe</t>
  </si>
  <si>
    <t>1507 Barney Hill Rd</t>
  </si>
  <si>
    <t>Elkland</t>
  </si>
  <si>
    <t>Troopers shot and killed Delos Peter Lowe after a 12-hour standoff that began when he allegedly fired on them when they came for a welfare check.</t>
  </si>
  <si>
    <t>https://www.wgal.com/article/update-sert-team-kills-gunman-who-shot-trooper-state-police-say/30195947</t>
  </si>
  <si>
    <t>Bradley Cutchens</t>
  </si>
  <si>
    <t>https://fatalencounters.org/wp-content/uploads/2019/12/Bradley-Cutchens.jpg</t>
  </si>
  <si>
    <t>100 Briarhill Ct</t>
  </si>
  <si>
    <t>Around 9:50 p.m., officers were responding to a call. Officer Samuel Yoh saw a man walking in the roadway holding a rifle. When Yoh got out of his patrol vehicle, Bradley Cutchens immediately began shooting at him. Yoh and his vehicle were hit multiple times. Yoh's backup shot and killed Cutchens.</t>
  </si>
  <si>
    <t>https://www.wbrc.com/2019/12/13/reports-officer-injured-suspect-dead-after-shooting-ozark/</t>
  </si>
  <si>
    <t>Albert Benjamin Simon</t>
  </si>
  <si>
    <t>https://fatalencounters.org/wp-content/uploads/2019/12/Albert-Benjamin.jpg</t>
  </si>
  <si>
    <t>6202 Hermann Park Dr</t>
  </si>
  <si>
    <t>Harris County Sheriff’s Office</t>
  </si>
  <si>
    <t>Albert Benjamin Simon was accused of killing his ex-girlfriend on Christmas Eve. Deputies found him sitting on a bench near the teahouse garden. When the deputies went to arrest Simon, he reportedly reached into a bag and ran. One deputy shot and killed him.</t>
  </si>
  <si>
    <t>https://www.ksat.com/news/2019/12/29/suspect-in-christmas-eve-shooting-killed-in-deputy-involved-shooting-near-hermann-park/</t>
  </si>
  <si>
    <t>Austin Chase Swindle</t>
  </si>
  <si>
    <t>5100 Hurricane Dr</t>
  </si>
  <si>
    <t>Bryant</t>
  </si>
  <si>
    <t>Bryant Police Department</t>
  </si>
  <si>
    <t>About 8:30 p.m. police went to an apartment complex to check on Austin Swindle's well-being. That check was "based on a report from a concerned family member." Police said it was a confrontation with a suicidal suspect. After the officer was shot, Swindle left the apartment while armed with the shotgun. He reportedly failed to comply with orders to drop the gun, then pointed the shotgun at police who shot and killed him.</t>
  </si>
  <si>
    <t>https://www.arkansasonline.com/news/2019/dec/24/authorities-id-24-year-old-fatally-shot-police-aft/</t>
  </si>
  <si>
    <t>Juan Rosa</t>
  </si>
  <si>
    <t>300 Congress Ave</t>
  </si>
  <si>
    <t>Deputies were called to Juan Rosa's house after his mother called 911, saying he was enraged and acting combative. Rosa had a history of mental illness. When deputies knocked on his door he opened it with a gun in his hand, and they shot and killed him. The sheriff remarked that it was suicide because Rosa didn't first shoot the officers.</t>
  </si>
  <si>
    <t>https://www.wesh.com/article/deadly-deputy-involved-shooting-under-investigation-in-polk-county-1577459744/30344888</t>
  </si>
  <si>
    <t>Abiel Innis De Joel Rios</t>
  </si>
  <si>
    <t>https://www.fatalencounters.org/wp-content/uploads/2019/01/Abiel-Innis-De-Joel-Rios.jpeg</t>
  </si>
  <si>
    <t>200 NE 4th St</t>
  </si>
  <si>
    <t>Abiel Innis De Joel Rios was shot and killed after firing at police and leaving a home with a shotgun pointed toward officers, after they deployed chemical weapons on him. Officers were responding around 2 p.m. to a family disturbance involving an assault with a deadly weapon.</t>
  </si>
  <si>
    <t>https://www.fresnobee.com/news/local/crime/article223906055.html</t>
  </si>
  <si>
    <t>Paul Cantu</t>
  </si>
  <si>
    <t>7500 E William Cannon Dr</t>
  </si>
  <si>
    <t>Police found Paul Andrew Cantu around 1:40 a.m. inside a vehicle that they had been searching for, police said. Cantu was holding a gun to his head, and Officers Luis Camacho and Robert Mattingly reportedly tried to coax Cantu into putting the weapon down, but they shot and killed him when he allegedly pointed the gun at them.</t>
  </si>
  <si>
    <t>https://www.statesman.com/news/20190131/austin-police-id-man-shot-killed-by-officers-tuesday</t>
  </si>
  <si>
    <t>Abraham Arellano</t>
  </si>
  <si>
    <t>https://www.fatalencounters.org/wp-content/uploads/2019/03/Abraham-Arellano.jpg</t>
  </si>
  <si>
    <t>Sandy Spring Ln &amp; Jessica Ln</t>
  </si>
  <si>
    <t>Thurmont</t>
  </si>
  <si>
    <t>Police received a call before 1:30 a.m. from someone saying that they could see a person with a gun breaking into a residence through a back window. Upon arrival, police received information that Arellano was suicidal and implicating suicide by cop. Officers approached on foot and encountered Arellano coming from the backyard. Arellano reportedly said he had a gun on him. As Arellano was walking back to the house, officers reportedly saw a handgun, and a deputy shot and killed him.</t>
  </si>
  <si>
    <t>https://www.wbaltv.com/article/fatal-thurmont-officer-involved-shooting/26934364</t>
  </si>
  <si>
    <t>Carlos Manuel Dodero</t>
  </si>
  <si>
    <t>5200 TX-360 Loop</t>
  </si>
  <si>
    <t>A man allegedly assaulted a woman and fled. When he was tracked by police dogs, he allegedly threatened officers with a gun, and he was shot and killed.</t>
  </si>
  <si>
    <t>https://www.kxan.com/news/local/austin/witness-gives-his-account-of-fatal-officer-involved-shooting-near-pennybacker-bridge/1962311851</t>
  </si>
  <si>
    <t>Mohammad Jamal Isaifan</t>
  </si>
  <si>
    <t>https://fatalencounters.org/wp-content/uploads/2019/12/Mohammad-Isaifan.jpg</t>
  </si>
  <si>
    <t>Brittain Rd and Evans Ave</t>
  </si>
  <si>
    <t>Police were looking for Mohammad Jamal Isaifan regarding a gun found in his vehicle. When they found him, there was an alleged fight, and Isaifan reportedly pulled a gun. Police shot and killed him.</t>
  </si>
  <si>
    <t>https://www.news5cleveland.com/news/local-news/akron-canton-news/man-shot-killed-by-akron-police-sunday-morning-identified</t>
  </si>
  <si>
    <t>Russ Allen McClellan</t>
  </si>
  <si>
    <t>839 W Centerville Rd</t>
  </si>
  <si>
    <t>Garland police said they arrived to the parking lot of a Dollar General around 11 p.m. after receiving a call from Russ Allen McClellan who expressed suicidal thoughts. Officers found McClellan in the parking lot and attempted to communicate with him, at which point McClellan reached for his gun and pointed it at the officers who shot and killed him.</t>
  </si>
  <si>
    <t>https://dfw.cbslocal.com/2019/01/26/garland-officers-involved-death-man-parking-lot-shooting/</t>
  </si>
  <si>
    <t>Robert C. Martin</t>
  </si>
  <si>
    <t>10000 FL 97</t>
  </si>
  <si>
    <t>Century</t>
  </si>
  <si>
    <t>Deputies responded to a welfare check in which an armed family member was threatening to kill another family member. When deputies, the armed person allegedly refused deputy commands and then raised his firearm in the direction of a deputy, who shot and killed him.</t>
  </si>
  <si>
    <t>https://weartv.com/news/local/breaking-office-involved-shooting-reported-on-highway-97</t>
  </si>
  <si>
    <t>Ricky Lee Prichard</t>
  </si>
  <si>
    <t>280 Meissner Ct</t>
  </si>
  <si>
    <t>Sebewaing</t>
  </si>
  <si>
    <t>Ricky Lee Prichard allegedly shot his girlfriend in an apartment before police rushed in and exchanged gunfire with Prichard, killing him.</t>
  </si>
  <si>
    <t>https://www.abc12.com/content/news/Police-Sebewaing-man-shot-at-Michigan-State-Police-who-returned-fire-and-killed-him-506682601.html</t>
  </si>
  <si>
    <t>Benjamin Banet Lucas</t>
  </si>
  <si>
    <t>100 S Bohannon Ln</t>
  </si>
  <si>
    <t>Police were called about 1 p.m. for a welfare check on Benjamin Lucas. Police reportedly attempted to speak with Lucas before he shot at police. One New Albany police officer shot and killed him.</t>
  </si>
  <si>
    <t>https://www.wlky.com/article/1-dead-in-officer-involved-shooting-in-new-albany/27062604</t>
  </si>
  <si>
    <t>Max David Helton</t>
  </si>
  <si>
    <t>514 W. Howard St</t>
  </si>
  <si>
    <t>Max David Helton allegedly threatened officers with a gun when they responded to a 911 regarding a domestic disturbance with a gun.</t>
  </si>
  <si>
    <t>https://www.newsandtribune.com/news/man-dies-after-police-involved-shooting-friday-night-in-clarksville/article_0c414ca6-68e4-11e9-966f-5b9798c84225.html</t>
  </si>
  <si>
    <t>Robert Uhl Johnson</t>
  </si>
  <si>
    <t>3006 Linwood Ave</t>
  </si>
  <si>
    <t>Robert Uhl Johnson reportedly called 911 and didn't provide information police wanted. When they went to his home, he allegedly pulled a gun on police, and they shot and killed him.</t>
  </si>
  <si>
    <t>https://patch.com/maryland/perryhall/police-id-officer-shot-parkville-man-who-called-911</t>
  </si>
  <si>
    <t>400 Maple St</t>
  </si>
  <si>
    <t>Police responded to reports of a woman with a gun threatening to kill herself in the backyard of a home shortly after 2 p.m. The woman was holding a machete and a handgun, police said. Officers arrived and saw a man and woman struggling over the firearm. Fearing the woman would harm the man, officers and a police dog entered the backyard. Once inside the backyard, a dog attacked the police dog, and officers shot and killed the family pet. Officers found the woman armed with a handgun and metal pipe. She advanced toward the officers and refused to put down her weapons, and police shot and killed her.</t>
  </si>
  <si>
    <t>https://abc7.com/armed-woman-dog-die-after-ontario-officer-involved-shooting/5324184/</t>
  </si>
  <si>
    <t>Tony Orland Mills</t>
  </si>
  <si>
    <t>42.416861, -123.124694 Rogue River Hwy and I-5</t>
  </si>
  <si>
    <t>Oregon State Police, Jackson County Sheriff's Office</t>
  </si>
  <si>
    <t>Police responded to I-5 at Exit 45A following reports of a suicidal man armed with a handgun. While enroute to the scene, police said they called in medical personnel to stage in the area. The first trooper arrived at 8:45 p.m. Officers said they found Tony Orland Mills on Rogue River Highway, underneath the I-5 overpass, armed with a handgun. At 8:59 p.m., the man was shot and killed. Details as to what precipitated the killing were withheld by police.</t>
  </si>
  <si>
    <t>https://www.kdrv.com/content/news/Road-512938861.html</t>
  </si>
  <si>
    <t>Larry Pettiford</t>
  </si>
  <si>
    <t>300 Pennbrook Road</t>
  </si>
  <si>
    <t>Stroudsburg</t>
  </si>
  <si>
    <t>Police went to a home around 10 a.m. after receiving reports of a suicidal man standing outside with a gun. According to police, when they arrived at the home, they encountered Larry Pettiford standing in the driveway with a gun. Police say they ordered Pettiford to put down the weapon, but instead, Pettiford fired at the troopers. Pettiford was shot and killed during an exchange of gunfire.</t>
  </si>
  <si>
    <t>https://www.pahomepage.com/top-stories/man-dies-in-shootout-with-police/</t>
  </si>
  <si>
    <t>Stephen Fischer</t>
  </si>
  <si>
    <t>13615 Blue Lick Rd</t>
  </si>
  <si>
    <t>Clark County Sheriff's Office, Charlestown Police Department, Indiana State Police, Indiana Department of Natural Resources, Sellersburg Police Department</t>
  </si>
  <si>
    <t>Charlestown police were searching for a person who was potentially suicidal. Police learned that the man may have been at a Love's Travel Stop. Clark County deputies reportedly saw Stephen Fischer fire a pistol into the pavement of the parking lot at Love's. He was shot and killed.</t>
  </si>
  <si>
    <t>https://www.newsandtribune.com/news/police-respond-to-officer-involved-shooting-at-memphis-truck-stop/article_1b400f1c-a7f0-11e9-be5b-af900c629a80.html</t>
  </si>
  <si>
    <t>Delano Williams</t>
  </si>
  <si>
    <t>3100 Ernest Russell Ct</t>
  </si>
  <si>
    <t>Police responded several times to domestic violence incidents in a home. Police could hear gunshots during a 911 call. When officers arrived, there were reportedly people threatened inside the house. Officer John Juhasz encountered Delano Williams inside the house, and shot and killed Williams, who allegedly threatened him.</t>
  </si>
  <si>
    <t>https://www.wsoctv.com/news/local/cmpd-officer-shoots-kills-man-following-domestic-violence-call/972157543</t>
  </si>
  <si>
    <t>Kevin Jenkins</t>
  </si>
  <si>
    <t>181 Ballman Lane</t>
  </si>
  <si>
    <t>Kevin D. Jenkins allegedly made threatening and suicidal comments. Jenkins refused to come out of the home, and when deputies entered they reportedly found him with a firearm. Police said he refused commands to put the weapon down and then pointed the firearm at the officers, and a trooper shot and killed him.</t>
  </si>
  <si>
    <t>https://www.wave3.com/2019/08/09/man-shot-killed-by-law-enforcement-breckinridge-county-identified/</t>
  </si>
  <si>
    <t>Kevin Phoummany</t>
  </si>
  <si>
    <t>Strawberry Rd and Wildberry Loop</t>
  </si>
  <si>
    <t>During a standoff during which Kevin Phoummany allegedly fired shots, he allegedly stabbed a police dog with a sword before he was shot and killed by Officer Joshua Hooyer.</t>
  </si>
  <si>
    <t>https://www.ktva.com/story/40965123/shots-fired-near-strawberry-road-and-wildberry-loop-police-say</t>
  </si>
  <si>
    <t>Christopher "Chris" P. Johnson</t>
  </si>
  <si>
    <t>400 18th Ave</t>
  </si>
  <si>
    <t>Longview Police Department, Cowlitz County Sheriff's Office, Kelso Police Department</t>
  </si>
  <si>
    <t>Longview police officers responded to reports of a suicidal person with a weapon at about 7:20 p.m. After arriving at a St. Helens Addition home, officers saw the person with a weapon and heard a gunshot. During a standoff, Chris Johnson was shot and killed.</t>
  </si>
  <si>
    <t>https://tdn.com/news/local/one-dead-in-officer-involved-shooting-in-longview/article_cb9465e7-17d9-5617-9739-e9e290732321.html</t>
  </si>
  <si>
    <t>Ronald Audette</t>
  </si>
  <si>
    <t>5762 Broad Oak Dr</t>
  </si>
  <si>
    <t>Deputies responded after a person contacted dispatch saying Ronald Audette was making disturbing comments and was planning a mass shooting. Audette spoke on the phone with deputies but refused to come out of his home and hung up. He came out of the home with a revolver in hand. Audette didn't acknowledge multiple commands by deputies and continued walking toward an open field before raising his gun. He was shot and killed by Deputies Benjamin Fowler, Michael Santana, and Ryan King.</t>
  </si>
  <si>
    <t>https://www.augustachronicle.com/news/20191008/da-clears-columbia-county-deputies-in-grovetown-mans-death</t>
  </si>
  <si>
    <t>David Doyle</t>
  </si>
  <si>
    <t>5700 E Eastland St</t>
  </si>
  <si>
    <t>Police responded around 9 a.m. following 911 calls that David Doyle was in the street waving a gun and shouting suicidal statements. When officers arrived, they found Doyle in the street with a handgun. Doyle ran to his backyard but was still within view of police. Doyle and police exchanged fire, and Doyle was shot and killed.</t>
  </si>
  <si>
    <t>https://www.kold.com/2019/10/11/tucson-police-investigate-officer-involved-shooting-east-side/</t>
  </si>
  <si>
    <t>Johnathan Wayne Slattery</t>
  </si>
  <si>
    <t>2594 Springvale Rd</t>
  </si>
  <si>
    <t>Boyne Falls</t>
  </si>
  <si>
    <t>Charlevoix</t>
  </si>
  <si>
    <t>Charlevoix County Sheriff's Office, Boyne City Police Department</t>
  </si>
  <si>
    <t>A Charlevoix County deputy and a Boyne City officer were dispatched to locate a suicidal subject around 2 a.m. Shortly after, a fight began, and Johnathan Slattery was able to retrieve a firearm he reportedly had in his possession. The officers shot and killed Slattery.</t>
  </si>
  <si>
    <t>https://upnorthlive.com/news/local/suicidal-man-killed-in-officer-involved-shooting-identified</t>
  </si>
  <si>
    <t>David W. Shafer</t>
  </si>
  <si>
    <t>3414 East Garnet Avenue</t>
  </si>
  <si>
    <t>Police responded to a report of an armed suicidal man at about 1:30 p.m. A gun was reportedly taken from the man. An officer later saw David Shafer leave a residence with a firearm. The officer called for the man to drop the gun after it appeared he was aiming it at someone. Shafer reportedly turned to point the gun at the officer. The officer shot and killed Shafer, who was about three houses away.</t>
  </si>
  <si>
    <t>https://www.spokesman.com/stories/2019/oct/25/armed-man-fatally-shot-by-spokane-police-officer-n/</t>
  </si>
  <si>
    <t>300 E Savannah Rd</t>
  </si>
  <si>
    <t>Lewes</t>
  </si>
  <si>
    <t>Delaware State Police were negotiating with a man with a gun who was threatening suicide outside a house when the man, who had put the gun on the ground twice, picked it back up and pointed it at troopers and Lewes police officers, police said. A trooper with a rifle shot and killed the man.</t>
  </si>
  <si>
    <t>https://www.wdel.com/news/update-man-fatally-wounded-in-sussex-county-trooper-involved-shooting/article_81c658f8-138f-11ea-bf96-e7fee2df5954.html</t>
  </si>
  <si>
    <t>Brian Lee Mullen</t>
  </si>
  <si>
    <t>2532 Sterling Dr</t>
  </si>
  <si>
    <t>Police were dispatched because a 911 caller said Brian Mullen was suicidal and was threatening to shoot himself. Around 3 p.m., officers were sent for a welfare check. When the officers arrived, they reportedly were confronted by a man holding a gun. Officers said they ordered Mullen to drop the weapon, but he failed to do so and was shot and killed.</t>
  </si>
  <si>
    <t>https://www.14news.com/2019/12/21/epd-investigating-police-action-shooting/</t>
  </si>
  <si>
    <t>John Lowell Dollen</t>
  </si>
  <si>
    <t>1200 Gloria Ave</t>
  </si>
  <si>
    <t>Anne Arundel County Police Department, U.S. Federal Bureau of Investigation</t>
  </si>
  <si>
    <t>A woman called 911 reporting what sounded like a gunshot coming from inside her home. Responding officers arrived to find a suicidal man armed with a handgun. During a standoff, the man allegedly shot at police, threatened suicide, coming outside around two hours later, exchanging gunfire with police and being shot and killed.</t>
  </si>
  <si>
    <t>https://baltimore.cbslocal.com/2019/12/27/police-officer-fbi-involved-shooting-in-linthicum-heights-latest/</t>
  </si>
  <si>
    <t>Harvey Cantrell</t>
  </si>
  <si>
    <t>1003 W Gaucho Cir</t>
  </si>
  <si>
    <t>Harvey Cantrell shot his sister and then was shot and killed by deputies who were at the home investigating a domestic disturbance on Christmas Eve. The sister was in town for their mother's funeral.</t>
  </si>
  <si>
    <t>https://www.news-journalonline.com/news/20191224/sheriff-1-dead-in-deltona-officer-involved-shooting</t>
  </si>
  <si>
    <t>Lori Jean Canada</t>
  </si>
  <si>
    <t>11400 SW 79th St</t>
  </si>
  <si>
    <t>Marion County Sheriff’s Office</t>
  </si>
  <si>
    <t>Deputies originally responded to a neighborhood for a call of a suicide threat. Lori Jean Canada reportedly came out of the home and pointed a gun at the deputies, who shot and killed her.</t>
  </si>
  <si>
    <t>https://www.wtsp.com/article/news/local/woman-point-gun-deputies/67-c9243ffd-9f96-4238-a641-a29e933d5337</t>
  </si>
  <si>
    <t>Allon Jones</t>
  </si>
  <si>
    <t>200 Breeze Dr</t>
  </si>
  <si>
    <t>Murfreesboro</t>
  </si>
  <si>
    <t>Rutherford County Sheriff's Office</t>
  </si>
  <si>
    <t>Deputies were called to a home at about 9:30 p.m. Allon Jones allegedly was in the home and had three potential hostages. Two people left the home, but the third was unable to leave because of medical reasons. Jones allegedly walked out of the home with a gun and pointed it in the direction of officers who shot and killed him.</t>
  </si>
  <si>
    <t>https://www.newschannel5.com/news/man-shot-killed-during-standoff-with-rutherford-co-deputies</t>
  </si>
  <si>
    <t>Jose Dominguez</t>
  </si>
  <si>
    <t>400 Abbay Way</t>
  </si>
  <si>
    <t>Around 7 p.m., officers responded on a report of a domestic disturbance. Police had contacted Jose Dominguez earlier in the day after they received a report of an intoxicated suicidal person. The officers later determined that he was not suicidal and was not subject to a legal hold. Officers shot and killed Dominguez. Details as to what precipitated the killing were withheld by police.</t>
  </si>
  <si>
    <t>https://www.rgj.com/story/news/2019/04/30/washoe-county-identifies-man-shot-killed-sparks-police/3627452002/</t>
  </si>
  <si>
    <t>Dale Weich</t>
  </si>
  <si>
    <t>1000 Mission Hills Dr</t>
  </si>
  <si>
    <t>O'Fallon Police Department</t>
  </si>
  <si>
    <t>Officers responded to a home around 11:45 a.m. for a mental health check. During the follow up, Dale Weich reportedly pulled out a handgun. The officer shot and killed Weich.</t>
  </si>
  <si>
    <t>https://www.ksdk.com/article/news/local/64-year-old-man-dead-after-officer-involved-shooting-in-ofallon-mo/63-016cc951-5985-496a-a682-b4e2540bea83</t>
  </si>
  <si>
    <t>Victor J. Morales Zavala</t>
  </si>
  <si>
    <t>E Idaho Ave and S Oregon St</t>
  </si>
  <si>
    <t>Malheur</t>
  </si>
  <si>
    <t>Victor J. Morales Zavala allegedly was pursued by police from Nampa into Ontario where his tires were deflated. He reportedly held a gun to his head, and police shot and killed him at approximately 4:51 p.m..</t>
  </si>
  <si>
    <t>https://www.idahostatesman.com/news/local/crime/article227832309.html</t>
  </si>
  <si>
    <t>Carlton Steve Brooks</t>
  </si>
  <si>
    <t>1249 Hull Rd</t>
  </si>
  <si>
    <t>A person apparently reported a person looking in his or her windows. When police approached the alleged "Peeping Tom," Carlton Brooks showed officers a gun, and they shot and killed him.</t>
  </si>
  <si>
    <t>https://wgxa.tv/news/local/1-person-dead-in-officer-involved-shooting-in-athens-clarke-county-gbi-investigating</t>
  </si>
  <si>
    <t>Gerald Tremblay</t>
  </si>
  <si>
    <t>600 Owens Ct</t>
  </si>
  <si>
    <t>Gerald Tremblay was shot and killed by Wilmington police officers when they responded to a report of shots fired around 7 p.m. When they arrived, police said, Tremblay came out of his home with multiple firearms and refused to comply with officer commands to lay down his weapons, and they shot and killed him.</t>
  </si>
  <si>
    <t>https://www.starnewsonline.com/news/20190531/wilmington-police-id-victim-officers-in-fatal-officer-involved-shooting</t>
  </si>
  <si>
    <t>Steve Huff</t>
  </si>
  <si>
    <t>4400 Colt Ln</t>
  </si>
  <si>
    <t>Havre De Grace</t>
  </si>
  <si>
    <t>Deputies reportedly negotiated with Steve Huff, who was reported to be armed and suicidal, for about a half-hour prior to shooting and killing him when he advanced toward them.</t>
  </si>
  <si>
    <t>https://www.baltimoresun.com/news/maryland/harford/aegis/ph-ag-harford-police-involved-shooting-0531-story.html</t>
  </si>
  <si>
    <t>Matthew Christian Smith</t>
  </si>
  <si>
    <t>S 30th St and Sandra St</t>
  </si>
  <si>
    <t>Around 11:30 p.m. there was a disturbance that brought police. Police said when officers arrived, they heard shots fired from the direction of a home. One officer removed a woman from the house. Officer Cody Albrecht shot and killed Matthew Smith who allegedly was armed with a gun.</t>
  </si>
  <si>
    <t>https://www.1011now.com/content/news/Authorities-investigate-gunfire-in-Bellevue-511938992.html</t>
  </si>
  <si>
    <t>Donald Williams Allamong</t>
  </si>
  <si>
    <t>2 Twinkling Ct</t>
  </si>
  <si>
    <t>Bluffton</t>
  </si>
  <si>
    <t>Deputies responded to a man who was yelling and firing a gun in the middle of the street in Sun City. Deputies got the situation under control and left but had to come back when Donald Williams Allamong started up again. One deputy shot and killed him. Details as to what precipitated the killing were withheld by police.</t>
  </si>
  <si>
    <t>https://www.wtoc.com/2019/07/27/sled-investigates-deputy-involved-shooting-sun-city/</t>
  </si>
  <si>
    <t>Ray Correll</t>
  </si>
  <si>
    <t>1527 Westdale Lane</t>
  </si>
  <si>
    <t>Deputies responded to a home just after 5:30 p.m., where Ray Correll was in the front yard holding a gun to his head. The man threatened deputies and fired shots into the ground. Police said he pointed the handgun at the officers, rushed at them, and they shot and killed him.</t>
  </si>
  <si>
    <t>https://www.wsoctv.com/news/local/officer-involved-in-shooting-in-lincoln-county-officials-said/1006637021</t>
  </si>
  <si>
    <t>Kenneth Layton</t>
  </si>
  <si>
    <t>1505 Saddlehorn Dr</t>
  </si>
  <si>
    <t>Kenneth Layton reportedly called police and said there was an armed man near his home. When deputies arrived, he allegedly threatened them with a gun and was shot and killed. Police said Layton was committing suicide by police.</t>
  </si>
  <si>
    <t>https://www.wfla.com/news/polk-county/armed-subject-dead-after-deputy-involved-shooting-in-lakeland/</t>
  </si>
  <si>
    <t>Gay Ellen Plack</t>
  </si>
  <si>
    <t>https://fatalencounters.org/wp-content/uploads/2019/09/GayPeck.jpg</t>
  </si>
  <si>
    <t>2900 Huntwick Ct</t>
  </si>
  <si>
    <t>Henrico County Division of Police</t>
  </si>
  <si>
    <t>Gay Ellen Plack allegedly attacked officers with an ax when they went into her home to check on her at the request of her doctor.</t>
  </si>
  <si>
    <t>https://newsradiowrva.radio.com/articles/local/henrico-police-show-body-cam-video-media</t>
  </si>
  <si>
    <t>Daniel Eric Condon</t>
  </si>
  <si>
    <t>1233 Old Piseco Rd</t>
  </si>
  <si>
    <t>Arietta</t>
  </si>
  <si>
    <t>Troopers shot and killed Daniel Eric Condon after he allegedly struck an officer with a hatchet. He allegedly became combative as troopers tried to transport him to the hospital for a mental health evaluation.</t>
  </si>
  <si>
    <t>https://thecount.com/2019/12/11/daniel-dan-eric-condon-shot-by-cops-police-piseco-ny/</t>
  </si>
  <si>
    <t>Andre C. Gladen</t>
  </si>
  <si>
    <t>https://www.fatalencounters.org/wp-content/uploads/2019/01/AndreCGladen.jpg</t>
  </si>
  <si>
    <t>9600 SE Market St</t>
  </si>
  <si>
    <t>Police responded to a home around 2 p.m. after a resident said a man, who he had never seen before, began pounding on his door and tried to get inside. According to the resident, the man ran into a bedroom and pulled a knife. He said an officer used a stun gun on the Andre Gladen, but the man was not incapacitated. Officer Consider Vosu shot and killed him.</t>
  </si>
  <si>
    <t>https://katu.com/news/local/police-identify-man-shot-and-killed-by-officer-in-southeast-portland</t>
  </si>
  <si>
    <t>Osaze Osagie</t>
  </si>
  <si>
    <t>https://www.fatalencounters.org/wp-content/uploads/2019/03/Osaze-Osagie.jpg</t>
  </si>
  <si>
    <t>1013 Old Boalsburg Rd</t>
  </si>
  <si>
    <t>State College</t>
  </si>
  <si>
    <t>Centre</t>
  </si>
  <si>
    <t>State College Police Department</t>
  </si>
  <si>
    <t>At approximately 1:45 p.m. State College Police confronted Osaze Osagie at his apartment to serve him a mental health warrant. During the course of this attempted service, he was shot and killed.</t>
  </si>
  <si>
    <t>https://www.wearecentralpa.com/news/police-identify-man-killed-in-sc-officer-involved-shooting-state-police-investigation-continues/1865198516</t>
  </si>
  <si>
    <t>Mantry Norris</t>
  </si>
  <si>
    <t>https://fatalencounters.org/wp-content/uploads/2019/06/Mantry-Norris.jpg</t>
  </si>
  <si>
    <t>201 Williams Ave S</t>
  </si>
  <si>
    <t>Around 10 p.m. at the Cheers Bar and Grill, a person came into the restaurant and threatened patrons with a knife before stabbing a person. Police responded, and an officer shot and killed the man.</t>
  </si>
  <si>
    <t>https://q13fox.com/2019/06/16/1-killed-in-officer-involved-shooting-stabbing-in-downtown-renton/</t>
  </si>
  <si>
    <t>Wallace Wilder</t>
  </si>
  <si>
    <t>https://fatalencounters.org/wp-content/uploads/2019/09/Wallace-Wilder.jpg</t>
  </si>
  <si>
    <t>617 Garden Dr</t>
  </si>
  <si>
    <t>Gordo</t>
  </si>
  <si>
    <t>Wallace Wilder may have been shot and killed by Pickens County Sheriff Todd Hall around 1 p.m. although details regarding the killing where withheld by police.</t>
  </si>
  <si>
    <t>https://www.tuscaloosanews.com/news/20190828/gordo-man-killed-in-officer-involved-shooting</t>
  </si>
  <si>
    <t>Tyler R. Johnson</t>
  </si>
  <si>
    <t>https://fatalencounters.org/wp-content/uploads/2019/08/Tyler-R.-Johnson.jpg</t>
  </si>
  <si>
    <t>4989 Golly Road</t>
  </si>
  <si>
    <t>Trooper Robert Annarino responded to a residence for a reported unconscious man and a possible drug overdose, then Tyler Johnson allegedly lunged at Annarino with a knife, and Annarino shot and killed him.</t>
  </si>
  <si>
    <t>https://romesentinel.com/stories/investigation-into-lee-shooting-death-continues,75606</t>
  </si>
  <si>
    <t>Ryan Smith</t>
  </si>
  <si>
    <t>600 3rd Ave W</t>
  </si>
  <si>
    <t>Police received a series of 911 hang-up calls from an apartment complex, and neighbors reported hearing a man and woman fighting. A woman told 911 operators that her boyfriend had armed himself with a knife and was trying to assault her. Two officers entered the apartment, spotted the man holding a knife and shot and killed him.</t>
  </si>
  <si>
    <t>https://q13fox.com/2019/05/08/1-dead-in-officer-involved-shooting-in-lower-queen-anne/</t>
  </si>
  <si>
    <t>Jerry Marrero</t>
  </si>
  <si>
    <t>https://www.fatalencounters.org/wp-content/uploads/2019/03/Jerry-Marrero.jpg</t>
  </si>
  <si>
    <t>3150 Emerson St</t>
  </si>
  <si>
    <t>An officer responding to the Gate gas store before 7 a.m. to a 911 call about a man with a knife mumbling and acting combative inside the store said the suspect was behind the counter when he arrived, and employees and 10 or more customers were evacuating the building. Officer Richard Santoro pulled his gun and ordered Jerry Marrero to put down the knife and get on the floor. Instead, Marrero put the knife in his front pocket and started to get out, then pulled the knife and allegedly threatened Santoro, who shot and killed him.</t>
  </si>
  <si>
    <t>https://www.news4jax.com/news/local/jacksonville/police-investigation-at-gate-gas-station-on-emerson</t>
  </si>
  <si>
    <t>Elisha Lucero</t>
  </si>
  <si>
    <t>https://fatalencounters.org/wp-content/uploads/2019/07/Elisha-Lucero.jpg</t>
  </si>
  <si>
    <t>4100 Sheldon St SE</t>
  </si>
  <si>
    <t>Elisha Lucero was shot and killed following a standoff with police in a recreational vehicle. She had reportedly struck a family member.</t>
  </si>
  <si>
    <t>https://www.abqjournal.com/1343341/bcso-deputies-shoot-kill-woman-in-south-valley.html</t>
  </si>
  <si>
    <t>Joseph Roberts</t>
  </si>
  <si>
    <t>300 Court St</t>
  </si>
  <si>
    <t>Albert Lea</t>
  </si>
  <si>
    <t>Freeborn</t>
  </si>
  <si>
    <t>Albert Lea Police Department</t>
  </si>
  <si>
    <t>Albert Lea police had responded to a 911 call about a disturbance at a home. By the time officers arrived, Joseph Alan Roberts had left the home. Officers pursued him on foot before a confrontation in an alley Officers Darin Palmer and Jesus Cantu shot and killed him. Officer Jason Taylor reportedly deployed a stun gun and chemical irritant.</t>
  </si>
  <si>
    <t>https://www.duluthnewstribune.com/news/crime-and-courts/4552719-officers-victim-idd-fatal-police-shooting-southern-minnesota?fbclid=IwAR3xjUrpA5EycW32PyT3KU2sYaAqAxvm9mzRSEkyc2jRebu0rLvx7eawoao</t>
  </si>
  <si>
    <t>Kevin Grant Vawter</t>
  </si>
  <si>
    <t>https://www.fatalencounters.org/wp-content/uploads/2019/02/Kevin-Vawter-1548684738.jpg</t>
  </si>
  <si>
    <t>700 McCool Road</t>
  </si>
  <si>
    <t>Valparaiso</t>
  </si>
  <si>
    <t>Porter County Sheriff's Office</t>
  </si>
  <si>
    <t>Deputies got a call to assist a suicidal subject around 5:30 p.m. When officers arrived, they saw a bloody man through one of the home's windows. Officers entered the home, and the man allegedly went after one of the officers, who tasered him. A second officer tried to put handcuffs on the man, but the man lunged at that officer with a knife, and Kevin Vawter was shot and killed.</t>
  </si>
  <si>
    <t>https://www.wthr.com/article/northern-indiana-man-identified-after-deadly-police-shooting</t>
  </si>
  <si>
    <t>Henry Harold Russell</t>
  </si>
  <si>
    <t>2187 N Vickey St</t>
  </si>
  <si>
    <t>Just before 9:30 a.m. at a mental health facility, two Flagstaff officers were leaving the area on an unrelated call, when Henry Harold Russell confronted them with a knife. One of the officers shot and killed Henry Harold Russell.</t>
  </si>
  <si>
    <t>https://www.azfamily.com/news/pd-dead-following-officer-involved-shooting-in-flagstaff/article_a3d78bca-27e4-11e9-a73b-bf43b4ce9cb4.html</t>
  </si>
  <si>
    <t>Jeffrey D. Tyree</t>
  </si>
  <si>
    <t>5700 Paiute Rd</t>
  </si>
  <si>
    <t>Officers responded to a domestic complaint around 11:01 a.m. Police said Jeffrey D. Tyree had a knife and attempted to harm himself. Tyree eventually put down the knife. When officers tried to arrest him, he grabbed the knife and approached one officer in a threatening manner, and the second officer shot and killed him.</t>
  </si>
  <si>
    <t>https://www.13newsnow.com/article/news/local/mycity/virginia-beach/man-shot-killed-by-virginia-beach-officer-after-threatening-police-with-knife/291-891b4221-1d2f-4091-9301-a50e04f0b9a2</t>
  </si>
  <si>
    <t>Ted Schmitz</t>
  </si>
  <si>
    <t>https://www.fatalencounters.org/wp-content/uploads/2019/02/Ted-Schmitz.jpeg</t>
  </si>
  <si>
    <t>School Dr and Prairie Ave</t>
  </si>
  <si>
    <t>Officers were looking for a man involved in a forgery case. Police had been trying to get the man to turn himself in, but he reportedly was threatening to harm himself. An officer found Schmitz walking on a street. Police said the he pulled a knife and began threatening the officer who shot and killed Schmitz.</t>
  </si>
  <si>
    <t>https://www.wisn.com/article/suspect-killed-in-waukesha-police-officer-involved-shooting/26271114</t>
  </si>
  <si>
    <t>Samuel Charles Talbott</t>
  </si>
  <si>
    <t>https://www.fatalencounters.org/wp-content/uploads/2019/04/Samuel-Charles-Talbott.jpg</t>
  </si>
  <si>
    <t>2800 Suncrest Dr</t>
  </si>
  <si>
    <t>Officers were attempting to serve a warrant around 10:30 a.m. When confronted, Samuel Talbott allegedly revealed a knife and grabbed another person who was inside the home. Talbott reportedly failed to comply with unspecified commands, and he was shot and killed.</t>
  </si>
  <si>
    <t>https://www.wate.com/news/tennessee/tbi-investigating-officer-involved-shooting-in-pigeon-forge/1927058031</t>
  </si>
  <si>
    <t>Michael Allen Spencer</t>
  </si>
  <si>
    <t>1976 Buck Creek Ln</t>
  </si>
  <si>
    <t>Deputy Justin Nawman was patrolling Buck Creek State Park and reportedly saw Michael Spencer, who had blood on his hands and neck, and carrying a knife. Spencer allegedly ran at Nawman, and was shot and killed by the deputy.</t>
  </si>
  <si>
    <t>https://myfox28columbus.com/news/local/suspect-dead-in-officer-involved-shooting-06-25-2019</t>
  </si>
  <si>
    <t>Thomas N. Graham</t>
  </si>
  <si>
    <t>1200 McArthur Dr</t>
  </si>
  <si>
    <t>Police responded around noon in reference to a domestic disturbance where a man was allegedly choking his sister. When police arrived, the man had allegedly threatened himself and his family with a knife. Officers reportedly attempted to negotiate, but they say the man swung the knife at them, and one officer shot and killed Thomas Graham.</t>
  </si>
  <si>
    <t>https://www.fox16.com/news/breaking-news-one-dead-in-officer-involved-shooting-in-jacksonville/</t>
  </si>
  <si>
    <t>Jonathan Joseph Pingel</t>
  </si>
  <si>
    <t>https://fatalencounters.org/wp-content/uploads/2019/07/Jonathan-Joseph-Pingel.jpg</t>
  </si>
  <si>
    <t>1036 Woodland Park Dr</t>
  </si>
  <si>
    <t>West Des Moines</t>
  </si>
  <si>
    <t>West Des Moines Police Department</t>
  </si>
  <si>
    <t>Officers Nathan Grove and Matthew Wood confronted Jonathan Pingel at a townhouse. The officers, who were investigating a report of a domestic disturbance, shot and killed Pingel when he failed to drop a knife.</t>
  </si>
  <si>
    <t>https://www.desmoinesregister.com/story/news/crime-and-courts/2019/07/05/west-des-moines-police-fatal-shooting-domestic-officer-involved-jonathan-pingel-substance-abuse/1653380001/</t>
  </si>
  <si>
    <t>Lenny Blane Griffith</t>
  </si>
  <si>
    <t>8600 Misty River Court</t>
  </si>
  <si>
    <t>Lenny Blane Griffith's sister called police to report her brother was suicidal and had a long history of mental illness. A deputy responded. Griffith was in a bedroom near the back of the home. The deputy told Griffith to put down the knife, but Griffith charged him, chasing the deputy through the hallway, into the driveway, and eventually into a neighbor's yard, where 28-year-old deputy Nguyen Tran shot and killed Griffith.</t>
  </si>
  <si>
    <t>http://www.fox13news.com/news/local-news/deputy-involved-in-shooting-in-temple-terrace</t>
  </si>
  <si>
    <t>Brian Dryer</t>
  </si>
  <si>
    <t>https://fatalencounters.org/wp-content/uploads/2019/09/BrianDryer.jpg</t>
  </si>
  <si>
    <t>N Harvey Ave and NW 25th St</t>
  </si>
  <si>
    <t>Two officers shot and killed Brian Dryer after he reportedly charged at the officers with a knife. The two officers responded to a trouble unknown call near a mental health transitional living home. He was pacing back and forth across the street and holding a knife when officers arrived.</t>
  </si>
  <si>
    <t>https://www.news9.com/story/41055036/suspect-shot-killed-by-okc-officers-lived-in-mental-health-transitional-home</t>
  </si>
  <si>
    <t>Curtis French</t>
  </si>
  <si>
    <t>https://fatalencounters.org/wp-content/uploads/2019/11/CurtisFrench.jpg</t>
  </si>
  <si>
    <t>500 115th St S</t>
  </si>
  <si>
    <t>Parkland</t>
  </si>
  <si>
    <t>Deputies were called to a home about 6:20 p.m. after somebody reported Curtis French was drunk, armed with a knife and threatening to kill his family. French allegedly confronted deputies on his porch in while holding a knife, and he was shot and killed.</t>
  </si>
  <si>
    <t>https://www.thenewstribune.com/news/local/crime/article236991269.html</t>
  </si>
  <si>
    <t>Christopher Blair Ervie</t>
  </si>
  <si>
    <t>https://fatalencounters.org/wp-content/uploads/2019/11/Chris-Ervie.jpg</t>
  </si>
  <si>
    <t>4676 Chesapeake Ln</t>
  </si>
  <si>
    <t>Officers were called in reference to an armed suicidal person. When officers arrived, they encountered Ervie with a knife. Police ordered Chris Ervie to drop the knife, but he refused. Police then tasered him, but he was not incapacitated, and Officer B.L. Kelly shot and killed him.</t>
  </si>
  <si>
    <t>https://www.firstcoastnews.com/article/news/local/police-activity-reported-in-mandarin-neighborhood/77-9acbb59e-0916-4716-bddd-6b68f517eb43</t>
  </si>
  <si>
    <t>Koben S. Henriksen</t>
  </si>
  <si>
    <t>SE 103rd Ave and SE Stark St</t>
  </si>
  <si>
    <t>Koben S. Henriksen reported approached two officers while covered in a blanket. One officer shot him with less-lethal rounds. Officer Justin Raphael shot and killed him.</t>
  </si>
  <si>
    <t>https://www.oregonlive.com/news/2019/12/man-killed-by-portland-police-had-history-of-mental-illness-witnesses-say-he-seemed-confused.html</t>
  </si>
  <si>
    <t>Christopher Joseph Gray</t>
  </si>
  <si>
    <t>435 Avocet Ave</t>
  </si>
  <si>
    <t>Christopher Joseph Gray, 29, reportedly stabbed his mother, Carol Ann Drenkow Gray, 62, who had called 911 before the stabbing. She died after police arrived.</t>
  </si>
  <si>
    <t>https://www.davisenterprise.com/local-news/two-dead-officer-hurt-following-north-davis-domestic-violence-incident/</t>
  </si>
  <si>
    <t>Jesus Calderon</t>
  </si>
  <si>
    <t>https://www.fatalencounters.org/wp-content/uploads/2019/03/JesusCalderone.jpg</t>
  </si>
  <si>
    <t>1903 Gregory Drive</t>
  </si>
  <si>
    <t>Around 1:15 p.m., a family member called about a suicidal man, Jesus Calderon. When a deputy responded to the home, Calderon allegedly got out of a chair, raised a knife aggressively and started moving toward the deputy. When Calderon refused to drop the knife, the deputy shot and killed him.</t>
  </si>
  <si>
    <t>https://www.wfla.com/news/hillsborough-county/hillsborough-county-sheriff-deputy-involved-in-shooting/1860889468</t>
  </si>
  <si>
    <t>Marco Antonio "Tonito" Vasquez</t>
  </si>
  <si>
    <t>https://fatalencounters.org/wp-content/uploads/2019/10/Marco-AntonioTonitoVasquez.jpg</t>
  </si>
  <si>
    <t>8200 Rexall Ave</t>
  </si>
  <si>
    <t>Marco Vasquez allegedly threatened police with a knife as they were responding to the second disturbance call of the day at a home. He had allegedly been holding the knife toward a woman when deputies arrived. Deputies shot and killed him.</t>
  </si>
  <si>
    <t>https://ktla.com/2019/10/07/man-fatally-shot-by-deputies-in-west-whittier/</t>
  </si>
  <si>
    <t>Keith Lawrence Harvey</t>
  </si>
  <si>
    <t>6410 88th Street Court SW</t>
  </si>
  <si>
    <t>At about 3:19 a.m., Lakewood police were dispatched to a suspicious-circumstance call at an apartment. The man told dispatch that there was an unknown person in the apartment armed with a knife. He also said that his father and brother were there, but unaware of what was going on. While officers were on the way to the scene, the man told dispatch that the subject was now armed with a gun and knife. When officers arrived, apparent caller charged at the officers with a knife, police said. Three officers shot and killed Keith Harvey.</t>
  </si>
  <si>
    <t>https://komonews.com/news/local/police-lakewood-man-dies-in-officer-involved-shooting-after-charging-at-police-with-knife</t>
  </si>
  <si>
    <t>Hunter Alan</t>
  </si>
  <si>
    <t>2900 Pablo St</t>
  </si>
  <si>
    <t>Police were called around midnight in reference to a suicidal man. Hunter Alan had a knife against his throat, threatening his own life. Officers used a stun gun on Alan. Police said the stun gun had no effect, and Alan began to threaten officers and was shot and killed.</t>
  </si>
  <si>
    <t>https://ktxs.com/news/texas/texas-rangers-investigating-deadly-overnight-officer-involved-shooting</t>
  </si>
  <si>
    <t>Erick Ramirez</t>
  </si>
  <si>
    <t>120 Northwood Dr</t>
  </si>
  <si>
    <t>Sandy Springs</t>
  </si>
  <si>
    <t>Sandy Springs Police Department</t>
  </si>
  <si>
    <t>Officers were called around 6:15 a.m. to a report of a man armed with a large kitchen knife threatening suicide. When the officers arrived, Worsham said the man approached them, and after ignoring their calls to stop and put down the knife, they shot and killed him.</t>
  </si>
  <si>
    <t>https://www.wsbtv.com/news/local/north-fulton-county/breaking-news-sandy-springs-road-shut-down-due-to-police-shooting/932639655</t>
  </si>
  <si>
    <t>Mauris Nishanga DeSilva</t>
  </si>
  <si>
    <t>300 Bowie St</t>
  </si>
  <si>
    <t>Mauris Nishanga DeSilva was threatening himself and others with a knife around 4:55 p.m. Police shot and killed him when he threatened them.</t>
  </si>
  <si>
    <t>http://www.fox7austin.com/news/local-news/austin-police-responding-to-officer-involved-shooting-in-downtown-austin</t>
  </si>
  <si>
    <t>Kenneth Lawson</t>
  </si>
  <si>
    <t>15900 Heatherdale Rd</t>
  </si>
  <si>
    <t>About 9:30 a.m., deputies responded to a fire department report that a 62-year-old man armed with a knife was suicidal and had overdosed on prescription pills. They found him inside a room with the woman who called 911. Deputies ordered the man to drop the knife, but he failed to do so and allegedly advanced on the deputies. Police reportedly tried to incapacitate him with a Taser, but that was ineffective. He continued to advance, and deputies shot and killed him.</t>
  </si>
  <si>
    <t>https://www.sbsun.com/2019/09/04/san-bernardino-county-sheriffs-deputy-injured-after-struggle-for-her-gun-suspect-shot/</t>
  </si>
  <si>
    <t>Erik Lee</t>
  </si>
  <si>
    <t>7300 E Magdalena Dr</t>
  </si>
  <si>
    <t>About 11:30 a.m., police responded to a call of a suicidal subject armed with a knife. When they arrived, Erik Lee reportedly approached officers and was uncooperative, and he was shot and killed.</t>
  </si>
  <si>
    <t>https://www.ocregister.com/2019/12/13/authorities-identify-man-killed-by-police-in-orange/</t>
  </si>
  <si>
    <t>Aaron Hong</t>
  </si>
  <si>
    <t>1005 Macon Hwy</t>
  </si>
  <si>
    <t>Around 12:30 p.m., officers responded to a report of a man who was armed with a knife, covered in blood, and acting erratically. Aaron Hong was shot and killed when he threatened officers with the knife.</t>
  </si>
  <si>
    <t>https://patch.com/georgia/athens/gbi-names-man-who-died-after-charging-athens-officers-police</t>
  </si>
  <si>
    <t>Andrew Giovanni Meza</t>
  </si>
  <si>
    <t>12100 Wilken Way</t>
  </si>
  <si>
    <t>Officers responded around 2 a.m. after hearing that there was a suicidal man who had reportedly just killed someone and was armed with a knife. According to police, as officers approached the front of the home, they shot and killed Andrew Giovanni Meza. Details as to what precipitated the killing were withheld by police.</t>
  </si>
  <si>
    <t>https://losangeles.cbslocal.com/2019/05/18/garden-grove-shooting/</t>
  </si>
  <si>
    <t>Tomas Hernandez</t>
  </si>
  <si>
    <t>100 Montana St</t>
  </si>
  <si>
    <t>At about 8 a.m., officers received a call about Tomas Hernandez, who was threatening to jump off Interstate 37 near Alamodome. He was shot and killed by officers after he allegedly pulled a knife on them.</t>
  </si>
  <si>
    <t>https://www.mysanantonio.com/news/local/article/Traffic-snarled-on-Interstate-37-South-near-the-14045144.php</t>
  </si>
  <si>
    <t>Michael Robert Novak</t>
  </si>
  <si>
    <t>North Gateway Drive and Cleveland Ave</t>
  </si>
  <si>
    <t>Michael Novak was allegedly driving erratically and crashed. Police found him inside his car, cutting himself. He allegedly got out and rushed officers who shot and killed him.</t>
  </si>
  <si>
    <t>https://abc30.com/police-identify-man-shot-and-killed-by-officers-in-madera/5127034/</t>
  </si>
  <si>
    <t>Bryan A. Ryder</t>
  </si>
  <si>
    <t>2752 S Meadowbrook Ave</t>
  </si>
  <si>
    <t>Officers were dispatched to some apartments at about 7:30 p.m. after a neighbor heard a woman yelling for help. When officers arrived, they reportedly heard a woman screaming for help outside of a second-floor apartment, so they forced their way inside. The officers allegedly saw Bryan Ryder inside the apartment and gave him unspecified commands, but he did not comply and moved toward the officers with a knife in his hand, and they shot and killed him.</t>
  </si>
  <si>
    <t>https://www.news-leader.com/story/news/crime/2019/02/26/police-identify-man-shot-and-killed-officer-monday-night/2991561002/</t>
  </si>
  <si>
    <t>John Stewart Jr.</t>
  </si>
  <si>
    <t>4800 Mason Dixon Hwy</t>
  </si>
  <si>
    <t>Around 6 p.m., John Stewart Jr. allegedly threatened to stab a family member with a knife. Once deputies arrived, Stewart reportedly refused commands, and a deputy used pepper spray on him. While he was being arrested, Stewart allegedly pulled out a knife on a deputy, and a deputy shot and killed Stewart.</t>
  </si>
  <si>
    <t>https://www.wdtv.com/content/news/Man-dies-in-officer-involved-shooting-508768671.html</t>
  </si>
  <si>
    <t>Scott Hedgecock</t>
  </si>
  <si>
    <t>5239 Windemere Cir</t>
  </si>
  <si>
    <t>Deputies responded to a suicide threat call shortly after noon. Deputies encountered Scott Hedgecock in the driveway of the home. Hedgecock was reportedly brandishing a long knife. He reportedly wouldn't put it down, and he came toward the deputies who shot and killed him.</t>
  </si>
  <si>
    <t>https://www.courier-tribune.com/news/20190605/alleged-suicide-attempt-results-in-deputy-involved-shooting</t>
  </si>
  <si>
    <t>Logan O. Johnsrud</t>
  </si>
  <si>
    <t>WI-186 and Co Rd N</t>
  </si>
  <si>
    <t>Arpin</t>
  </si>
  <si>
    <t xml:space="preserve">Officers responded to a welfare check. After approximately 20 minutes of evaluating the person, a 32-year-old male, the man ran inside a home and got a knife. Deputies struggled with the person, and Wood County Sheriff's Deputies Nathan Dean fired his weapon, killing the subject, and wounding a bystander and the other deputy. </t>
  </si>
  <si>
    <t>https://www.wsaw.com/content/news/Heavy-police-presence-on-HWY-186-in-Arpin-511162732.html</t>
  </si>
  <si>
    <t>James Manzo</t>
  </si>
  <si>
    <t>https://fatalencounters.org/wp-content/uploads/2019/08/James-Manzo.jpg</t>
  </si>
  <si>
    <t>305 7th Ave</t>
  </si>
  <si>
    <t>Asbury Park Police Department</t>
  </si>
  <si>
    <t>About 10 p.m., Asbury Park officers responded to reports Manzo was behaving erratically, police said. Officers went to James Manzo's room, where they tried to talk with him in the doorway. Manzo tried to shut the door on the officers and then emerged wielding scissors. He was shot and killed.</t>
  </si>
  <si>
    <t>https://www.nj.com/monmouth/2019/07/man-shot-dead-in-confrontation-with-police-was-armed-with-scissors-state-says.html</t>
  </si>
  <si>
    <t>Stonechild Chiefstick</t>
  </si>
  <si>
    <t>https://fatalencounters.org/wp-content/uploads/2019/07/Stonechild-Chiefstick.jpeg</t>
  </si>
  <si>
    <t>Front St NE</t>
  </si>
  <si>
    <t>Poulsbo</t>
  </si>
  <si>
    <t>Poulsbo Police Department</t>
  </si>
  <si>
    <t>Stonechild Chiefstick was allegedly threatening people with a screwdriver when he was shot and killed by police in the middle of a crowd at Waterfront Park during the city's Third of July fireworks celebration.</t>
  </si>
  <si>
    <t>https://www.kiro7.com/news/local/investigation-underway-after-officer-involved-shooting-in-poulsbo/963818779</t>
  </si>
  <si>
    <t>Matthew Rasmussen</t>
  </si>
  <si>
    <t>https://fatalencounters.org/wp-content/uploads/2019/11/Matthew-Rasmussen.jpg</t>
  </si>
  <si>
    <t>4351 W Olive Ave</t>
  </si>
  <si>
    <t>About 5:30 p.m., police were called because Matthew Rasmussen was acting erratically. Police used several less-lethal devices, but they did not incapacitate Rasmussen. He allegedly stabbed an officer with a tweezers and was shot and killed.</t>
  </si>
  <si>
    <t>https://www.azcentral.com/story/news/local/glendale-breaking/2019/11/05/man-shot-glendale-police-outside-taco-bell-dies-injuries/4169688002/</t>
  </si>
  <si>
    <t>Larry Todd Hoover</t>
  </si>
  <si>
    <t>https://www.fatalencounters.org/wp-content/uploads/2019/03/Larry-Todd-Hoover.png</t>
  </si>
  <si>
    <t>300 Dutchmans Meadow Dr</t>
  </si>
  <si>
    <t>Mount Holly</t>
  </si>
  <si>
    <t>Mount Holly Police Department</t>
  </si>
  <si>
    <t>Police responded to a domestic violence service call around 6:45 a.m., upon arrival, officers discover that a fire had broken out in an upstairs bedroom. Police said they made contact with Larry Todd Hoover and shot and killed him.</t>
  </si>
  <si>
    <t>https://www.wcnc.com/article/news/crime/suspect-dead-after-officer-involved-shooting-in-mount-holly/275-94910db0-3dd6-4e49-b1f3-6d2a73028f5e</t>
  </si>
  <si>
    <t>Juan Torres</t>
  </si>
  <si>
    <t>https://www.fatalencounters.org/wp-content/uploads/2019/04/Juan-Torres.jpg</t>
  </si>
  <si>
    <t>W Narramore Rd and S 209th Ave</t>
  </si>
  <si>
    <t>The Maricopa County Sheriff's Office got a 911 call shortly before midnight about a disturbance. At the location, deputies made contact with Juan Torres in the backyard of a home. He reportedly threw a wrench and struck one of the deputies. Torres allegedly approached deputies with a hammer, and two deputies shot and killed Torres.</t>
  </si>
  <si>
    <t>https://www.azcentral.com/story/news/local/southwest-valley-breaking/2019/04/13/deputies-fatally-shoot-man-who-threw-large-wrench-approached-hammer-buckeye-juan-torres/3458605002/</t>
  </si>
  <si>
    <t>wrench</t>
  </si>
  <si>
    <t>Bishar Hassan</t>
  </si>
  <si>
    <t>16th Ave and A St</t>
  </si>
  <si>
    <t>Police received calls around 5:43 p.m. describing a man in a black puffy jacket who was waving around a black gun in the parking lot of the Walmart. After the man got off a short bus ride, three patrol cars arrived. Bishar Ali Hassan allegedly walked toward the officers, and continued to walk toward them after being told to stop. He then pulled a BB gun that looked like a real pistol from his waistband and pointed it toward officers, who shot and killed him.</t>
  </si>
  <si>
    <t>https://www.adn.com/alaska-news/crime-courts/2019/04/02/anchorage-officer-involved-shooting-sends-man-to-hospital-with-life-threatening-injuries/</t>
  </si>
  <si>
    <t>Amber Lea Dewitt</t>
  </si>
  <si>
    <t>Police responded to a call at about 6 a.m. about a suspicious woman in the area who was banging on front doors and walking through people's yards. Police say they confronted the woman, who was sitting inside of a vehicle. Amber Lea Dewitt allegedly pulled a gun on the officers who shot and killed her.</t>
  </si>
  <si>
    <t>https://www.ktvb.com/article/news/crime/person-dead-after-police-involved-shooting-state-street/277-92e18448-8894-4db8-af47-3211bbd714ed</t>
  </si>
  <si>
    <t>Nicholas Walker</t>
  </si>
  <si>
    <t>https://fatalencounters.org/wp-content/uploads/2019/09/Nick-N.-Walker.jpg</t>
  </si>
  <si>
    <t>700 Thomas Chapel Dr</t>
  </si>
  <si>
    <t>About 8 p.m., officers responded to reports that a man was assaulting a victim with a baseball bat. The victim sustained injuries to his head and arms. Police said Nicholas Walker refused to surrender to officers. Walker walked onto his front porch and produced what officers said appeared to be a handgun from his waistband. Three officers shot and killed him. It was a replica handgun that fired pellets.</t>
  </si>
  <si>
    <t>https://www.mysanantonio.com/news/texas/article/Man-with-replica-BB-gun-fatally-wounded-by-14441342.php</t>
  </si>
  <si>
    <t>Thomas Wayne Swinford</t>
  </si>
  <si>
    <t>https://www.fatalencounters.org/wp-content/uploads/2019/03/ThomasSwinford.png</t>
  </si>
  <si>
    <t>800 Westlake Drive</t>
  </si>
  <si>
    <t>Thomas Wayne Swinford was believed to be armed with a gun. Police ordered him to drop the gun but said he ignored their commands. Moments later, Swinford allegedly charged toward officers, pointing the gun in their direction. Multiple officers shot and killed him.</t>
  </si>
  <si>
    <t>https://www.wsbtv.com/news/local/man-shot-killed-by-officers-after-charging-toward-them-with-gun-police-say/928856154</t>
  </si>
  <si>
    <t>Michael Anthony Brand</t>
  </si>
  <si>
    <t>https://fatalencounters.org/wp-content/uploads/2019/07/Michael-Anthony-Brand.jpg</t>
  </si>
  <si>
    <t>580 500 W</t>
  </si>
  <si>
    <t>Police were called to the building for a person with a "psychiatric problem." Police said the man who was the subject of the call pulled a weapon on police when they arrived. One of the officers fired his gun at the man, killing him and wounding another officer.</t>
  </si>
  <si>
    <t>https://www.heraldextra.com/news/state-and-regional/officer-wounded-by-friendly-fire-in-salt-lake-shooting/article_180af0b6-b030-5122-b4dd-3b2531244ac6.html</t>
  </si>
  <si>
    <t>David Page</t>
  </si>
  <si>
    <t>https://fatalencounters.org/wp-content/uploads/2019/10/DavidPage.jpg</t>
  </si>
  <si>
    <t>265 2nd Street</t>
  </si>
  <si>
    <t>Monument</t>
  </si>
  <si>
    <t>Monument police were called around 3 p.m. after receiving several reports of gunshots. They arrived and found several vehicles had been hit, and the suspect barricaded himself inside a home. There was an exchange of gunfire during which police shot and killed David Page.</t>
  </si>
  <si>
    <t>https://www.thedenverchannel.com/news/local-news/suspect-killed-in-officer-involved-shooting-in-monument</t>
  </si>
  <si>
    <t>Jason Williams</t>
  </si>
  <si>
    <t>621 N Olden Ave</t>
  </si>
  <si>
    <t>Four Trenton police officers responded after receiving two 911 calls of a suicidal man, police said. They encountered Jason Williams around 10:46 p.m. in the doorway of a home, wielding a handgun and threatening to harm himself. Two of the officers shot and killed Williams.</t>
  </si>
  <si>
    <t>https://www.trentonian.com/news/trenton-man-killed-after-officer-involved-shooting-overnight/article_333b48fa-473a-11e9-9ca1-9f163baf45b2.html</t>
  </si>
  <si>
    <t>Mark Johnson</t>
  </si>
  <si>
    <t>100 Spring St</t>
  </si>
  <si>
    <t>Montpelier Police Department</t>
  </si>
  <si>
    <t>At about 5 a.m., a resident in an apartment complex called the Montpelier Police Department to report that a man with a knife had attempted to enter his residence before leaving the area. Two responding Montpelier police officers saw Mark Johnson running away from the apartment complex and reportedly carrying what appeared to be a handgun. Officers ordered Johnson to drop the gun. Johnson allegedly raised the pistol in the direction of the officers, one of whom shot and killed Johnson.</t>
  </si>
  <si>
    <t>https://vtstatepolice.blogspot.com/2019/08/update-vermont-state-police-investigate_9.html</t>
  </si>
  <si>
    <t>Christopher A. Schmitt</t>
  </si>
  <si>
    <t>12300 5 Point Rd</t>
  </si>
  <si>
    <t>Sunman</t>
  </si>
  <si>
    <t>Ripley</t>
  </si>
  <si>
    <t>Indiana State Police, Dearborn County Sheriff's Office</t>
  </si>
  <si>
    <t>Police said a state trooper and a Dearborn County sheriff's deputy were investigating a report of an armed man when they approached a home. Police said Christopher Schmitt, who lived at the home, pointed a firearm at them and Trooper Jordan Craig and Deputy Brian Weigel shot and killed him.</t>
  </si>
  <si>
    <t>http://journalgazette.net/news/local/indiana/20190114/investigation-ongoing-after-police-fatally-shoot-indiana-man</t>
  </si>
  <si>
    <t>Francis Calonge</t>
  </si>
  <si>
    <t>2300 McKee Rd</t>
  </si>
  <si>
    <t>About 2:25 p.m., officers received reports of a man armed with a gun, police said. They shot and killed him. Details as to what precipitated the killing were withheld by police.</t>
  </si>
  <si>
    <t>https://www.nbcbayarea.com/news/local/Police-Investigating-Activity-in-San-Jose-564185481.html</t>
  </si>
  <si>
    <t>Marzues Scott</t>
  </si>
  <si>
    <t>https://www.fatalencounters.org/wp-content/uploads/2019/04/MarzuesScott.jpg</t>
  </si>
  <si>
    <t>1100 Kari Ln</t>
  </si>
  <si>
    <t>An officer was called to a disturbance around 11:30 p.m. at a Dodge's convenience store. Upon arrival the officer found Marzues Scott across the street at the Deerfield Inn. Scott allegedly attacked the officer and during a scuffle, the officer shot and killed Scott. Most details regarding the killing were withheld by police.</t>
  </si>
  <si>
    <t>https://www.kark.com/news/local-news/suspect-killed-in-blytheville-officer-involved-shooting-state-police-say/1908670957</t>
  </si>
  <si>
    <t>Matthew Neil Tuhkanen</t>
  </si>
  <si>
    <t>2720 Louisiana Ct</t>
  </si>
  <si>
    <t>Police said there was a domestic situation, and someone called about the screaming. Officers have withheld many details, primarily saying after answering the call, an officer shot and killed Matthew Neil Tuhkanen.</t>
  </si>
  <si>
    <t>https://minnesota.cbslocal.com/2019/01/20/st-louis-park-officer-involved-shooting-fatal/</t>
  </si>
  <si>
    <t>Donnell James Lang</t>
  </si>
  <si>
    <t>https://fatalencounters.org/wp-content/uploads/2020/01/Donnell-James-Lang.jpg</t>
  </si>
  <si>
    <t>2100 Hemingway St</t>
  </si>
  <si>
    <t>A resident called police and claimed a man was armed and behaving oddly with children in the vicinity. When police attempted to restrain Donnell Lang, he allegedly struggled and police shot and killed him. He was unarmed.</t>
  </si>
  <si>
    <t>https://www.redding.com/story/news/2019/04/04/investigators-havent-found-gun-shooting-probe/3370709002/</t>
  </si>
  <si>
    <t>Thomas Verile</t>
  </si>
  <si>
    <t>https://www.fatalencounters.org/wp-content/uploads/2019/04/Thomas-Verile-Jr.jpg</t>
  </si>
  <si>
    <t>2826 E G Ave</t>
  </si>
  <si>
    <t>Michigan State Police, Battle Creek Police Department, Michigan Department of Corrections, U.S. Marshals Service</t>
  </si>
  <si>
    <t>Around 10 a.m., several officers were attempting to arrest a suspected parole absconder. Thomas Verile Jr. reportedly threatened officers in the basement of the home, saying he had a weapon, according to police. He was shot and killed, although details regarding the events that led up to the killing were withheld by police.</t>
  </si>
  <si>
    <t>https://www.mlive.com/news/kalamazoo/2019/04/parole-absconder-shot-killed-by-police-in-kalamazoo.html</t>
  </si>
  <si>
    <t>Ethan Austin Murray</t>
  </si>
  <si>
    <t>2800 North Cherry St</t>
  </si>
  <si>
    <t>Deputies were responding to a report of a man who appeared to be high on drugs and was running in between children who were playing near an apartment complex. Two deputies arrived at 5:35 p.m. and tried to talk with Ethan Austin Murray, but he walked away and ignored them. He then went through a hole in a fence and began running toward a wooded area. One of the deputies caught up to Murray near a homeless camp. The deputy shot and killed him. Police withheld details as to what precipitated the killing.</t>
  </si>
  <si>
    <t>https://www.kxly.com/news/man-killed-by-sheriff-s-deputy-has-been-identified/1075277149</t>
  </si>
  <si>
    <t>Eddie Humberto Segura</t>
  </si>
  <si>
    <t>https://fatalencounters.org/wp-content/uploads/2019/06/EddieSegura.jpg</t>
  </si>
  <si>
    <t>8378 Fort Clinch Ave</t>
  </si>
  <si>
    <t>Deputies got a 911 call from a house around 12:45 p.m., during which a man was reported as being violent with his mother. When deputies arrived, they said Eddie Segura attacked them with a bar stool as they were trying to arrest him. Deputies shot and killed Segura,</t>
  </si>
  <si>
    <t>https://www.wesh.com/article/deputy-involved-shooting-under-investigation-in-orange-county-subdivision/27921882</t>
  </si>
  <si>
    <t>barstool</t>
  </si>
  <si>
    <t>Dennis Carolino</t>
  </si>
  <si>
    <t>https://fatalencounters.org/wp-content/uploads/2019/09/Dennis-Carolino.jpg</t>
  </si>
  <si>
    <t>5800 Adelaide Ave</t>
  </si>
  <si>
    <t>Police responded following a call just before 8 p.m. from a 70-year-old woman reporting Dennis Carolino⁠—her nephew who lived with her⁠—had thrown a brick at her. Two officers went to the home to handle the possible assault with a deadly weapon call. As officers attempted to arrest the man in the home's backyard, he allegedly advanced on them while swinging a shovel. The officers ordered him to drop the weapon, but he reportedly failed to disarm, and he was shot and killed.</t>
  </si>
  <si>
    <t>https://www.cbs8.com/article/news/crime/man-killed-in-officer-involved-shooting-in-el-cerrito-identified-by-family/509-a2c5c43b-f6bf-413d-b550-e28c172b1670</t>
  </si>
  <si>
    <t>Bobby Ray Duckworth</t>
  </si>
  <si>
    <t>https://fatalencounters.org/wp-content/uploads/2019/09/Bobby-Ray-Duckworth.jpg</t>
  </si>
  <si>
    <t>900 E Railroad Ave</t>
  </si>
  <si>
    <t>Wellington Police Department</t>
  </si>
  <si>
    <t>An officer responded to a report of a suicidal man in a field about 7 p.m. Shots were fired, and Bobby Duckworth was killed. Police withheld information as to what precipitated the killing.</t>
  </si>
  <si>
    <t>https://www.sltrib.com/news/2019/09/11/carbon-county-police/</t>
  </si>
  <si>
    <t>Christopher Whitfield</t>
  </si>
  <si>
    <t>https://fatalencounters.org/wp-content/uploads/2019/10/Christopher-Whitfield.jpg</t>
  </si>
  <si>
    <t>6430 LA 19</t>
  </si>
  <si>
    <t>Ethel</t>
  </si>
  <si>
    <t>East Feliciana Parish Sheriff's Office</t>
  </si>
  <si>
    <t>A burglary attempt reportedly occurred at a Texaco gas station around 1 a.m. or 2 a.m, and a deputy shot and killed Christopher Whitfield. Details as to what precipitated the killing were withheld.</t>
  </si>
  <si>
    <t>https://www.brproud.com/news/lsp-investigating-deputy-involved-shooting-in-east-feliciana-parish/</t>
  </si>
  <si>
    <t>Thomas Goodeyes Gay</t>
  </si>
  <si>
    <t>https://fatalencounters.org/wp-content/uploads/2019/06/Thomas-GoodEyes-Gay.jpg</t>
  </si>
  <si>
    <t>1300 S Madison Blvd</t>
  </si>
  <si>
    <t>About 8 p.m., a couple called police saying their adult son appeared to be high on drugs, and they wanted him removed from their home, police said. Two officers arrived and spoke with the parents, then made contact with the man inside the home, first tasering then shooting and killing him. Details as to what precipitated the killing were withheld.</t>
  </si>
  <si>
    <t>https://www.tulsaworld.com/news/local/crime-and-courts/one-dead-in-bartlesville-officer-involved-shooting-osbi-investigating/article_7d986f5f-6070-525c-af91-5434d85e8999.html</t>
  </si>
  <si>
    <t>Derrick Mark Davidson</t>
  </si>
  <si>
    <t>https://fatalencounters.org/wp-content/uploads/2019/08/Derrick-Mark-Davidson.jpg</t>
  </si>
  <si>
    <t>14689 Frisco Springs Road</t>
  </si>
  <si>
    <t>Deputies were sent to a report of an attempted suicide. When deputies arrived, they made contact with Derrick Davidson and shot and killed him. Details as to what precipitated the killing were withheld by police.</t>
  </si>
  <si>
    <t>https://www.4029tv.com/article/man-killed-in-deputy-involved-shooting-in-lowell/28624161</t>
  </si>
  <si>
    <t>Eric Sopp</t>
  </si>
  <si>
    <t>https://fatalencounters.org/wp-content/uploads/2019/12/Eric-John-Sopp.jpg</t>
  </si>
  <si>
    <t>929 Mt Carmel Rd</t>
  </si>
  <si>
    <t>Police were called to a domestic disturbance in which an person, who had reportedly been drinking, threatening to assault a family member and himself, left the location in a vehicle. After police conducted a car stop, Eric John Sopp was shot and killed. Details as to what precipitated the killing were withheld by police.</t>
  </si>
  <si>
    <t>https://www.baltimorecountymd.gov/News/PoliceNews/iWatch/manwhothreatenedtoharmselfothersfatallyshotbypolice</t>
  </si>
  <si>
    <t>Michael Wayne McCallum</t>
  </si>
  <si>
    <t>McDuffie Cemetery Road</t>
  </si>
  <si>
    <t>Michael Wayne McCallum allegedly shot his brother-in-law. When police arrived, he fled, and he was shot and killed at the end of the chase.</t>
  </si>
  <si>
    <t>https://www.wtva.com/content/news/monroe-shooting-follow-507220451.html</t>
  </si>
  <si>
    <t>Joshua Worth</t>
  </si>
  <si>
    <t>4280 Harlows Blvd</t>
  </si>
  <si>
    <t>Joshua Worth was shot and killed by a Washington County sheriff's deputy. Other details regarding the killing were withheld by police.</t>
  </si>
  <si>
    <t>https://www.thv11.com/article/news/crime/arkansas-man-shot-killed-by-deputy-near-mississippi-delta-casino-state-investigating/91-e1b58d38-1bdd-43de-a89b-45a32bec9dd7</t>
  </si>
  <si>
    <t>Sokhom Hon</t>
  </si>
  <si>
    <t>https://www.fatalencounters.org/wp-content/uploads/2019/03/Sokhom-Hon.png</t>
  </si>
  <si>
    <t>E 4th St and N Allen St</t>
  </si>
  <si>
    <t>Police said when an officer confronted Sokhom Hon, the man charged at them. In cellphone video, Hon is heard yelling at police, saying he wanted to die. Police ordered him to put the weapon down but were unsuccessful. An officer reportedly deployed less-lethal shotgun rounds to gain compliance and when that didn't work, officers deployed a Taser, which was also unsuccessful. At that point, the man allegedly charged at the officers and at least one officer shot and killed him.</t>
  </si>
  <si>
    <t>https://abc7.com/armed-suspect-dies-after-being-shot-by-officer-in-san-bernardino/5182977/</t>
  </si>
  <si>
    <t>John Emory Sawyer III</t>
  </si>
  <si>
    <t>Harvest Ct and Posey Hollow Rd</t>
  </si>
  <si>
    <t>Soddy-Daisy</t>
  </si>
  <si>
    <t>Soddy-Daisy Police Department</t>
  </si>
  <si>
    <t>Police were dispatched to a home about 10 p.m. for a report of a domestic disorder. John Emory Sawyer III reportedly confronted officers with a weapon, and they shot and killed him.</t>
  </si>
  <si>
    <t>https://www.wrcbtv.com/story/41075221/update-police-say-man-confronted-them-with-weapon-in-deadly-shooting</t>
  </si>
  <si>
    <t>Henry Lane</t>
  </si>
  <si>
    <t>Antelope Blvd and Rio Street</t>
  </si>
  <si>
    <t>Police contacted Henry Lane shortly after midnight for unspecified reasons. Red Bluff Cpl. Stephen Harper shot and killed him when Lane threatened officers with a stick.</t>
  </si>
  <si>
    <t>https://www.redding.com/story/news/2019/04/14/red-bluff-police-kill-man-large-stick/3466025002/</t>
  </si>
  <si>
    <t>walking stick</t>
  </si>
  <si>
    <t>Bruce Williams Clark</t>
  </si>
  <si>
    <t>13277 City Square Dr</t>
  </si>
  <si>
    <t>Officers responded to a disturbance inside a Walmart around 10:40 p.m. A man inside the store was making employees uncomfortable. The man, Bruce Williams Clark, had been seen with a weapon inside the store in the past and was asked to leave but refused. When Clark went outside the Walmart, Jacksonville Sheriff's officer S. Dorcelian approached him, Clark sprayed Dorcelian in the face with wasp spray, and Dorcelian shot and killed him.</t>
  </si>
  <si>
    <t>https://www.news4jax.com/news/local/jacksonville/jso-says-officer-shot-killed-man-armed-with-knives-more</t>
  </si>
  <si>
    <t>wasp spray</t>
  </si>
  <si>
    <t>Stacy William Kenny</t>
  </si>
  <si>
    <t>https://www.fatalencounters.org/wp-content/uploads/2019/04/Stacy-William-Kenny.jpg</t>
  </si>
  <si>
    <t>3900 Olympic St</t>
  </si>
  <si>
    <t>After a short vehicle pursuit at about 8:50 p.m., police shot and killed Stacy Kenny. Details regarding the killing were withheld by police.</t>
  </si>
  <si>
    <t>https://www.kezi.com/content/news/One-person-dead-two-officers-injured-in-shooting-507932501.html</t>
  </si>
  <si>
    <t>Nashua</t>
  </si>
  <si>
    <t>Chickasaw</t>
  </si>
  <si>
    <t>Bremer County Sheriff’s Office, Chickasaw County Sheriff’s Office, Iowa State Patrol</t>
  </si>
  <si>
    <t>Officers then approached the vehicle and found Merrick unharmed. Police then say Merrick resisted officers’ attempts to take him into custody and drove the vehicle forward, striking an officer.</t>
  </si>
  <si>
    <t>https://wcfcourier.com/news/local/crime-and-courts/update-man-shot-by-cops-in-highway-incident-was-from/article_e135ef16-c2ae-5c71-9524-caeb7d5a2a02.html</t>
  </si>
  <si>
    <t>Gabriel Rouse</t>
  </si>
  <si>
    <t>https://fatalencounters.org/wp-content/uploads/2019/09/GabrielRouse.jpg</t>
  </si>
  <si>
    <t>700 Little John Rd</t>
  </si>
  <si>
    <t>During a six-hour standoff that began as an arrest attempt regarding a domestic violence charge, Gabriel Rouse was shot and killed.</t>
  </si>
  <si>
    <t>https://www.wtxl.com/news/local-news/suspect-was-on-phone-with-family-during-six-hour-stand-off-in-leon-county</t>
  </si>
  <si>
    <t>Daryl W. Johannesson</t>
  </si>
  <si>
    <t>35 Magan Ct</t>
  </si>
  <si>
    <t>Porterdale</t>
  </si>
  <si>
    <t>Porterdale Police Department, Newton County Sheriff's Office</t>
  </si>
  <si>
    <t>Police were called to a domestic disturbance with gunshots. Upon arrival, blood was noticed in the driveway. Daryl Johannesson allegedly shot and killed Erin Rene Smith, 40, before police arrived. Johannesson was shot and killed when police came into the house. A gun was reportedly found.</t>
  </si>
  <si>
    <t>https://www.covnews.com/news/crime/breaking-gbi-scene-officer-involved-shooting-porterdale/</t>
  </si>
  <si>
    <t>Eric Phillips</t>
  </si>
  <si>
    <t>https://fatalencounters.org/wp-content/uploads/2019/06/Phillips.jpg</t>
  </si>
  <si>
    <t>14800 Frais Dr</t>
  </si>
  <si>
    <t>About 8:15 a.m. Thursday, U.S. marshals with a fugitives task force came to a home to arrest Eric Phillips on drug possession and other warrants including being a felon in possession of a weapon, police said.  After 2 p.m. Friday Phillips was found dead inside the home after an officer shot and killed him. Phillips was found with two gunshot wounds, but it was unclear if one was self-inflicted, police said.</t>
  </si>
  <si>
    <t>https://www.stltoday.com/news/local/crime-and-courts/man-dead-after-police-fire-into-north-st-louis-county/article_ceb6ba9d-88d7-58a5-8cf1-253cc7bf2681.html</t>
  </si>
  <si>
    <t>Terry Hudson</t>
  </si>
  <si>
    <t>3600 N 24th St</t>
  </si>
  <si>
    <t>Police responded to a domestic incident on the fifth floor of Evans Tower just after 10 p.m. When they arrived, a woman, Dana Wells, 57, was reportedly screaming. When police broke into the house, Terry Hudson, 58, shot and killed Wells, and police shot and killed Hudson when he came out of the apartment.</t>
  </si>
  <si>
    <t>https://www.ketv.com/article/omaha-police-officer-shot-2-dead-24th-evans-tower-domestic-disturbance/30371941</t>
  </si>
  <si>
    <t>Micduff Lamarco Robinson</t>
  </si>
  <si>
    <t>https://fatalencounters.org/wp-content/uploads/2019/12/MicduffRobinson.jpg</t>
  </si>
  <si>
    <t>275 Poplar St</t>
  </si>
  <si>
    <t>Around 5:46 a.m., police received a call about a man who broke their apartment window after causing a loud disturbance outside of their apartment. When officers arrived, they attempted to make contact with Micduff Lamarco Robinson, who was in an adjacent apartment. He opened the door and reportedly went toward an officer with a sword, and he was shot and killed.</t>
  </si>
  <si>
    <t>https://www.news5cleveland.com/news/local-news/oh-richland/mansfield-police-shoot-kill-man-brandishing-a-sword-during-confrontation</t>
  </si>
  <si>
    <t>Christopher Terrell Willis</t>
  </si>
  <si>
    <t>4318 W Irving Park Rd</t>
  </si>
  <si>
    <t>Des Plaines Police Department</t>
  </si>
  <si>
    <t>Christopher Terrell Willis was a bank robbery suspect who allegedly fired on officers when he was shot and killed inside a music school. A 15-year-old Lane Tech sophomore who was working as an intern at the music school was also shot and wounded.</t>
  </si>
  <si>
    <t>https://chicago.suntimes.com/2019/11/20/20974564/lane-tech-student-shot-police-fleeing-bank-robbery-suspect</t>
  </si>
  <si>
    <t>Cameron L. Bennett</t>
  </si>
  <si>
    <t>https://fatalencounters.org/wp-content/uploads/2019/11/Cameron-Bennett.jpg</t>
  </si>
  <si>
    <t>MS-28 and Dennis Cross Roads Rd</t>
  </si>
  <si>
    <t>Police got a call that a man took a family member's vehicle without permission. Cameron Bennett then wrecked and stole several other vehicles, including a construction company truck. The sheriff said Bennett had a gun and was firing shots from at least one of the vehicles. A deputy spotted the suspect on Highway 28, and Bennett allegedly tried to run over the deputy with her own patrol car when she shot and killed him.</t>
  </si>
  <si>
    <t>https://www.wapt.com/article/son-of-retired-state-trooper-killed-in-officer-involved-shooting/29506446#</t>
  </si>
  <si>
    <t>Kentorrey Sims</t>
  </si>
  <si>
    <t>https://fatalencounters.org/wp-content/uploads/2019/09/Kentorrey-Sims.jpg</t>
  </si>
  <si>
    <t>Shawn Stevens</t>
  </si>
  <si>
    <t>https://fatalencounters.org/wp-content/uploads/2019/09/shawn-stevens.jpg</t>
  </si>
  <si>
    <t>900 Center St</t>
  </si>
  <si>
    <t>Police were trying to serve an arrest warrant on Shawn Stevens regarding at least one bank robbery. Police were going door to door talking to people in an apartment building,and they said Stevens attempted to slam the door on them. Stevens allegedly threatened to stab several women with a kitchen knife and lunged at a woman with the knife, knocking her on the ground and cutting her slightly. Stevens allegedly tried lunging at the woman again. An officer attempted to incapacitate Stevens with a taser, and a Pittsburgh police officer and an FBI agent shot and killed Stevens.</t>
  </si>
  <si>
    <t>https://pittsburgh.cbslocal.com/2019/09/19/shawn-stevens-shot-and-killed-by-police/</t>
  </si>
  <si>
    <t>Willie Hudson</t>
  </si>
  <si>
    <t>https://fatalencounters.org/wp-content/uploads/2019/09/Willie-Hudson.jpg</t>
  </si>
  <si>
    <t>1230 Haven Cir N</t>
  </si>
  <si>
    <t>Memphis Police Department, Shelby County Sheriff's Office</t>
  </si>
  <si>
    <t>Willie Hudson reportedly was wanted for attempted first-degree murder and for being a convicted felon in possession of handgun. While police were executing a search warrant, Deputy Josh Fox was shot and wounded, and Hudson was shot and killed.</t>
  </si>
  <si>
    <t>https://wreg.com/2019/09/19/sources-identify-deputy-shot-in-south-memphis-community-hails-him-as-heroic/</t>
  </si>
  <si>
    <t>Keith Carter</t>
  </si>
  <si>
    <t>https://fatalencounters.org/wp-content/uploads/2019/09/Keith-Carter.jpg</t>
  </si>
  <si>
    <t>4200 Sycamore St</t>
  </si>
  <si>
    <t>Narcotics officers initiated a traffic stop because Keith Carter allegedly was seen leaving a suspected drug house in Baton Rouge. Carter allegedly refused to pull over and then barricaded himself inside a house on Sycamore Street. Hours of negotiations began—and Carter fired more than a dozen rounds at officers from inside the building before finally stepping outside 17 hours later and firing at officers. He was shot and killed.</t>
  </si>
  <si>
    <t>https://www.theadvocate.com/baton_rouge/news/crime_police/article_2d1197f4-c8ea-11e9-b17e-6378bd4c1267.html</t>
  </si>
  <si>
    <t>Hashim Jibri Wilson</t>
  </si>
  <si>
    <t>S 40th St and Fawcett Ave</t>
  </si>
  <si>
    <t>Police say Hashim Jibri Wilson got out of his vehicle with a rifle and pointed it at an officer who pulled him over around 10:45 a.m. The officer reportedly told Wilson to drop the weapon and shot and killed him when he did not.</t>
  </si>
  <si>
    <t>https://www.seattletimes.com/seattle-news/crime/man-shot-by-tacoma-police-during-traffic-stop-dies-officials-say-he-pointed-rifle-at-officer/</t>
  </si>
  <si>
    <t>Makeyvion Devonte Cannon</t>
  </si>
  <si>
    <t>https://fatalencounters.org/wp-content/uploads/2019/07/Markeyvion-Devonte-Cannon.jpg</t>
  </si>
  <si>
    <t>2900 Broadmoor Dr</t>
  </si>
  <si>
    <t>Around 11:30 a.m., police were called to an active shooter situation. Police broke into an apartment and shot and killed Makeyvion Devonte Cannon, who allegedly fired at them and held hostages.</t>
  </si>
  <si>
    <t>https://www.dallasnews.com/news/fort-worth/2019/07/18/officers-responding-active-shooter-situation-fort-worth-police-say</t>
  </si>
  <si>
    <t>Jamahl Smith</t>
  </si>
  <si>
    <t>400 Oakwood Ave</t>
  </si>
  <si>
    <t>City of Orange</t>
  </si>
  <si>
    <t>Jamahl Smith allegedly stabbed his sister and was shot and killed by an officer who Smith threatened with a knife.</t>
  </si>
  <si>
    <t>https://www.rlsmedia.com/article/update-nj-attorney-general-investigate-fatal-police-involved-shooting-senior-building-orange</t>
  </si>
  <si>
    <t>Darren Williams</t>
  </si>
  <si>
    <t>https://fatalencounters.org/wp-content/uploads/2019/07/Darren-Williams.jpg</t>
  </si>
  <si>
    <t>526 W Ridge Rd</t>
  </si>
  <si>
    <t>Linwood</t>
  </si>
  <si>
    <t>Trainer Police Department, Pennsylvania State Constable</t>
  </si>
  <si>
    <t>Darren Williams allegedly briefly escaped from police before fighting with a constable and an officer outside a courthouse. He was shot and killed.</t>
  </si>
  <si>
    <t>https://www.inquirer.com/news/shooting-district-court-linwood-delaware-county-20190628.html</t>
  </si>
  <si>
    <t>Derrick Edmond</t>
  </si>
  <si>
    <t>11306 Broadway St</t>
  </si>
  <si>
    <t xml:space="preserve">Police responded to a call about a robbery in progress after midnight at a Dairy Queen. The caller told police that the man inside had a gun and was holding another employee hostage. Police said the man was still inside when they arrived. An officer went in and engaged with the man—shooting and killing him. </t>
  </si>
  <si>
    <t>https://www.click2houston.com/news/man-shot-killed-after-reported-hostage-situation-at-pearland-dairy-queen-police-say</t>
  </si>
  <si>
    <t>DeWayne Craddock</t>
  </si>
  <si>
    <t>https://fatalencounters.org/wp-content/uploads/2019/06/dewayne-craddock-1.jpg</t>
  </si>
  <si>
    <t>2405 Courthouse Drive</t>
  </si>
  <si>
    <t>Longtime city worker DeWayne Craddock killed a dozen people and injured several others when he opened fire and reportedly shot indiscriminately at his co-workers inside the Virginia Beach Municipal Center. He was shot and killed by police. At this writing, it's not possible to determine when police arrived and if any of the other 12 were killed with police present, which would qualify them for inclusion in this dataset.</t>
  </si>
  <si>
    <t>https://www.wric.com/news/virginia-news/-the-most-devastating-day-12-killed-several-injured-in-virginia-beach-shooting/2042830579</t>
  </si>
  <si>
    <t>Myles Frazier</t>
  </si>
  <si>
    <t>https://fatalencounters.org/wp-content/uploads/2019/05/MilesFrazier.jpg</t>
  </si>
  <si>
    <t>1300 E 61st St</t>
  </si>
  <si>
    <t>A man called police about 10:15 a.m. to report that his son, who had bipolar disorder, was armed and distraught at home. He asked for police to help. Officers arrived and negotiated with Myles Frazier, who was barricaded inside. Frazier allegedly fired at least five gunshots from inside the home. Some of those shots reportedly went outside. Police entered the home after Frazier refused to come out after at least 45 minutes of negotiating, police said. Two officers shot and killed him.</t>
  </si>
  <si>
    <t>https://chicago.suntimes.com/crime/2019/5/22/18635839/swat-team-called-barricade-situation-university-chicago-woodlawn-myles-frazier</t>
  </si>
  <si>
    <t>Shaquille Ihsan "Shaun" Kelly</t>
  </si>
  <si>
    <t>https://fatalencounters.org/wp-content/uploads/2019/06/Shaquille-Ihsan-Shaun-Kelly.jpg</t>
  </si>
  <si>
    <t>Oliver Street and Grier Street</t>
  </si>
  <si>
    <t>Police chased Shaquille Kelly after he allegedly refused to pull over, near a location where officers reportedly heard at least one shot around 2 a.m. and saw Kelly's vehicle in the area, police said. Kelly crashed his gold Chrysler sedan into a home, and Officer Christopher Hawthorne shot and killed him. Police said a week after the shooting that a handgun was found near Kelly.</t>
  </si>
  <si>
    <t>http://www.journalgazette.net/news/local/police-fire/20190614/slain-mans-family-looks-for-answers?fbclid=IwAR1cDGoguxppS3lkGmuv4jds-qvOnbojy4sg7bPylR8MqNiV00THrF7WljE</t>
  </si>
  <si>
    <t>Djuantez Anthony Mitchell</t>
  </si>
  <si>
    <t>https://fatalencounters.org/wp-content/uploads/2019/05/Djuantez-Anthony-Mitchell.jpg</t>
  </si>
  <si>
    <t>Watterson Trail and Ruckriegel Pkwy</t>
  </si>
  <si>
    <t>Jeffersontown</t>
  </si>
  <si>
    <t>Officer Bryan Arnold shot and killed Djuantez Anthony Mitchell, who was allegedly a robbery suspect. Police had stopped Mitchell's vehicle, and during the stop, Mitchell hit Arnold with his vehicle and then rammed into a Jeffersontown cruiser.</t>
  </si>
  <si>
    <t>https://www.whas11.com/article/news/crime/lmpd-identifies-officer-who-shot-killed-robbery-suspect-in-jeffersontown/417-4c3c4732-4c90-41b4-948c-0ae89e7ff358</t>
  </si>
  <si>
    <t>Kevin Leroy Beasley Jr.</t>
  </si>
  <si>
    <t>1585 W 115th Ave</t>
  </si>
  <si>
    <t>An officer was dispatched to an apartment complex to investigate a report that a man was acting erratically, police said. The man allegedly attacked the arriving officer and attempted to get the officer's gun when the officer shot and killed the man.</t>
  </si>
  <si>
    <t>https://www.thedenverchannel.com/news/crime/police-man-acting-erratically-shot-killed-by-westminster-police-after-attacking-officer</t>
  </si>
  <si>
    <t>Daniel E. King</t>
  </si>
  <si>
    <t>https://www.fatalencounters.org/wp-content/uploads/2019/03/Daniel-E-King.jpg</t>
  </si>
  <si>
    <t>9981 Ocean Drive</t>
  </si>
  <si>
    <t>U.S. Navy Security Forces</t>
  </si>
  <si>
    <t>Daniel King allegedly carjacked an SUV around 7 a.m. from a woman trying to pump gas at a filling station about 8 miles west of the base. King was shot and killed by Navy Security Forces at the scene of a fiery crash into a barrier, moments after police said he got out of the stolen Ford Edge crossover SUV and charged at the security forces, who had been in pursuit since he barreled through the south gate around 7:30 a.m.</t>
  </si>
  <si>
    <t>https://www.navytimes.com/news/your-navy/2019/02/15/this-is-the-man-authorities-say-died-thursday-at-naval-air-station-corpus-christi/</t>
  </si>
  <si>
    <t>Bruce W. Carter Jr.</t>
  </si>
  <si>
    <t>213 South Des Plaines Street</t>
  </si>
  <si>
    <t>Bruce W. Carter Jr. was being questioned by officers who were investigating a bank robbery and was shot and killed by Joliet police officers. He was allegedly armed with a box cutter.</t>
  </si>
  <si>
    <t>https://patch.com/illinois/joliet/joliet-police-shoot-bank-robbery-suspect-sources</t>
  </si>
  <si>
    <t>Esmond Drauvon Trimble</t>
  </si>
  <si>
    <t>https://www.fatalencounters.org/wp-content/uploads/2019/01/Esmond-Trimble.png</t>
  </si>
  <si>
    <t>1473 S Kenton St</t>
  </si>
  <si>
    <t>Aurora police responded to a home around 2 a.m. after a person in the home called 911 to report that a man inside the residence was armed with a firearm and "acting erratically," police said. When officers arrived, they reported hearing gunfire before being confronted by an armed man who shot at them. The man was shot and killed. No officers were hurt. Two men, Esmond Trimble, 42, and Dean Heerdt, 58, were dead. Trimble was the man shot outside the house, and he had allegedly shot his father-in-law inside the house.</t>
  </si>
  <si>
    <t>https://www.thedenverchannel.com/news/local-news/coroner-identifies-two-men-killed-in-aurora-shooting</t>
  </si>
  <si>
    <t>Christopher McCorvey</t>
  </si>
  <si>
    <t>https://fatalencounters.org/wp-content/uploads/2019/11/Christopher-McCorvey.jpg</t>
  </si>
  <si>
    <t>Old Pascagoula Road and Roundtree Court</t>
  </si>
  <si>
    <t>Tillmans Corner</t>
  </si>
  <si>
    <t>Mobile Police Department, Mobile County Sheriff's Office</t>
  </si>
  <si>
    <t>Christopher McCorvey was tasered after he was caught breaking into cars and a home in Theodore, killing him.</t>
  </si>
  <si>
    <t>https://www.wkrg.com/mobile-county/mpd-suspect-dies-after-being-tased-by-police-after-chase/</t>
  </si>
  <si>
    <t>Omar Shado Stevens</t>
  </si>
  <si>
    <t>https://fatalencounters.org/wp-content/uploads/2019/09/Omar-Shado-Stevens.jpg</t>
  </si>
  <si>
    <t>1100 15th Street</t>
  </si>
  <si>
    <t>Around 1 a.m., Boynton Beach police officers tried stopping a red Nissan Rogue, which took off. Omar Stevens was reportedly driving. About 20 minutes later, he was allegedly involved in a hit-and-run crash in West Palm Beach. Stevens allegedly ran a red light and collided with a car. Stevens got out of his car and ran north along Tamarind Avenue. Stevens tried to steal a cellphone from a man who was calling 911. Minutes later, West Palm Beach police officers found Stevens. He allegedly tried resisting officers, and those officers shocked him with a Taser, killing him.</t>
  </si>
  <si>
    <t>https://www.wpbf.com/article/man-dies-after-being-shocked-by-police-taser/28424273</t>
  </si>
  <si>
    <t>Julius "Jules" Graves</t>
  </si>
  <si>
    <t>https://fatalencounters.org/wp-content/uploads/2019/09/JuliusGraves.jpg</t>
  </si>
  <si>
    <t>Hampton Avenue and Clayton Road</t>
  </si>
  <si>
    <t>Julius Graves was shocked with a Taser after officers were called to a bus stop. Police reportedly were told someone was acting "irrationally and in a threatening manner" at the bus stop about 8:45 a.m. He died after being tasered and sedated.</t>
  </si>
  <si>
    <t>https://www.stltoday.com/news/local/crime-and-courts/homeless-maplewood-man-dies-after-taser-shocks-by-st-louis/article_5500ca20-b98f-5be0-89d8-7a8b6ffcec86.html?fbclid=IwAR0DKYYjAckeh-9c97yrHAwiOii9kn-jhzUJr7NHp8wPdiv2mVXFjsnmePs</t>
  </si>
  <si>
    <t>Jean Samuel Celestin</t>
  </si>
  <si>
    <t>300 Calliope Street</t>
  </si>
  <si>
    <t>Ocoee</t>
  </si>
  <si>
    <t>Ocoee Police Department</t>
  </si>
  <si>
    <t>An Ocoee police officer tasered Jean Samuel Celestin who had a history of mental illness and was experiencing a mental crisis when a family member called police to report he had been violent, police said.</t>
  </si>
  <si>
    <t>https://www.orlandosentinel.com/news/breaking-news/os-ne-ocoee-police-department-taser-20190423-story.html</t>
  </si>
  <si>
    <t>Saoun Pol</t>
  </si>
  <si>
    <t>https://fatalencounters.org/wp-content/uploads/2019/05/Saoun-Pol.jpg</t>
  </si>
  <si>
    <t>Castle Oaks Dr and Marlboro Ct</t>
  </si>
  <si>
    <t>Officers responded to investigate a report of a man armed with a baseball bat acting erratically. The man allegedly refused to back down and continued to swing the bat, eventually moving toward officers. One officer shot and killed Pol.</t>
  </si>
  <si>
    <t>https://sacramento.cbslocal.com/2019/05/07/stockton-officer-shooting-bat-wielding-suspect/</t>
  </si>
  <si>
    <t>Nil Hoeur</t>
  </si>
  <si>
    <t>7421 Greenyard Dr</t>
  </si>
  <si>
    <t>A man who was barricaded inside a home and held a family member hostage was shot and killed when police broke into the home.</t>
  </si>
  <si>
    <t>https://www.click2houston.com/news/2-people-barricaded-inside-nw-harris-county-home-during-swat-standoff-deputies-say</t>
  </si>
  <si>
    <t>Brian Rodden</t>
  </si>
  <si>
    <t>https://fatalencounters.org/wp-content/uploads/2019/09/BrianRodden.jpg</t>
  </si>
  <si>
    <t>2600 Columbus Ave</t>
  </si>
  <si>
    <t>Officers responded to a home about 6 p.m. for a domestic incident. The man, who was not immediately identified, was involved in an argument with his father and sister, and had multiple knives on him. The man reportedly had a history of mental illness. Officers were interviewing the man's father when he entered carrying multiple knives, and then a samurai sword. The officers ordered him to drop the weapon, but he allegedly lunged at the officers with the sword, and the officers shot and killed him.</t>
  </si>
  <si>
    <t>https://patch.com/new-york/longbeach/nassau-officers-kill-man-who-attacked-them-sword</t>
  </si>
  <si>
    <t>Eric M. Tellez</t>
  </si>
  <si>
    <t>https://fatalencounters.org/wp-content/uploads/2020/01/Eric-M.-Tellez-Jr..jpg</t>
  </si>
  <si>
    <t xml:space="preserve">Broad St. </t>
  </si>
  <si>
    <t>Globe Police Department</t>
  </si>
  <si>
    <t>After midnight, a patrol officer was on routine patrol in the downtown business district. He stopped to talk to a man, but another man approached and threatened him with a knife. Officer Justin Reynolds shot and killed Eric Tellez.</t>
  </si>
  <si>
    <t>https://www.azfamily.com/news/phoenix-man-armed-with-kitchen-knife-shot-killed-by-globe/article_97121636-2daa-11ea-8116-074893fe7e9b.html</t>
  </si>
  <si>
    <t>Cody McCaulou</t>
  </si>
  <si>
    <t>706 Hickman Ave</t>
  </si>
  <si>
    <t>Callaway</t>
  </si>
  <si>
    <t>Police shot and killed Cody McCaulou at approximately 9:47 a.m. behind McIntire Elementary School. Police responded to a call about suspicious activity. Details as to what precipitated the killing were withheld by police.</t>
  </si>
  <si>
    <t>https://krcgtv.com/news/local/victim-of-officer-involved-shooting-dies-in-hospital</t>
  </si>
  <si>
    <t>unclear</t>
  </si>
  <si>
    <t>Craig Ellis See</t>
  </si>
  <si>
    <t>13090 E State Hwy 20</t>
  </si>
  <si>
    <t>Clearlake Oaks</t>
  </si>
  <si>
    <t>About 9:50 p.m., Deputy Wesley Besgrove shot and killed a man who was allegedly weilding a knife. Details as to what precipitated the killing were withheld by police.</t>
  </si>
  <si>
    <t>https://www.record-bee.com/2019/12/29/clearlake-oaks-man-shot-and-killed-by-lake-county-sheriffs-deputy/</t>
  </si>
  <si>
    <t>Jayson A. Colvin</t>
  </si>
  <si>
    <t>https://fatalencounters.org/wp-content/uploads/2019/12/Jayson-A-Colvin.jpg</t>
  </si>
  <si>
    <t>19813 Co Rd 450</t>
  </si>
  <si>
    <t>Jayson Colvin was shot and killed following a manhunt by multiple police agencies. He was accused of shooting Eustis police Capt. Gary Winheim.</t>
  </si>
  <si>
    <t>https://www.foxnews.com/us/florida-man-on-run-killed-standoff-shooting-police-captain</t>
  </si>
  <si>
    <t>Ricky Lee Gardipee</t>
  </si>
  <si>
    <t>https://fatalencounters.org/wp-content/uploads/2019/12/Ricky-Lee-Gardipee.jpg</t>
  </si>
  <si>
    <t>26th Street and 7th Avenue South</t>
  </si>
  <si>
    <t>Ricky Lee Gardipee shot three people dead in a Montana casino and was later killed in a shootout with U.S. deputy marshals.</t>
  </si>
  <si>
    <t>https://www.casino.org/news/dead-suspect-in-montana-casino-shooting-named-as-ricky-lee-gardipee/</t>
  </si>
  <si>
    <t>Matthew Jonathon Krupar</t>
  </si>
  <si>
    <t>6500 Turner Fields Ln</t>
  </si>
  <si>
    <t>Around 4:45 p.m., officers arrived at a home regarding a family disturbance call. When officers arrived, they were approached by the woman who made the complaint. A man, Matthew Jonathon Krupar, came out of the house and allegedly got into a fight with one of the officers who shot and killed him.</t>
  </si>
  <si>
    <t>https://www.khou.com/article/news/local/officials-league-city-pd-officer-shoots-man-after-being-attacked/285-29b40d30-2f1c-48e0-9242-18aaa61fb102</t>
  </si>
  <si>
    <t>Terrance Edward White</t>
  </si>
  <si>
    <t>https://fatalencounters.org/wp-content/uploads/2019/12/Terrence-Edward-White-Jr.jpg</t>
  </si>
  <si>
    <t>6864 Lott Rd</t>
  </si>
  <si>
    <t>Semmes</t>
  </si>
  <si>
    <t>Around 9 p.m., Terrance Edward White's neighbor called 911 and reported him acting erratically following an argument. When deputies arrived, White reportedly was outside armed with a gun. White allegedly began firing at deputies, and they shot and killed him.</t>
  </si>
  <si>
    <t>https://www.fox10tv.com/news/mobile_county/developing-deputy-shot-subject-that-is-suspected-of-shooting-at/article_312e9cc8-1bc5-11ea-bcd2-ff77c1f63257.html</t>
  </si>
  <si>
    <t>Chad James Green</t>
  </si>
  <si>
    <t>https://fatalencounters.org/wp-content/uploads/2019/12/ChadGreen.png</t>
  </si>
  <si>
    <t>1909 S Business Center Dr</t>
  </si>
  <si>
    <t>Riverside County Sheriff's Department, San Bernardino County Sheriff's Office</t>
  </si>
  <si>
    <t>Chad James Green was a suspect in the fatal shooting of bounty hunter James Black, 42, outside a hotel as Black attempted to apprehend Green. Green was shot and killed by Riverside County and San Bernardino County sheriff's deputies at 11:23 a.m.</t>
  </si>
  <si>
    <t>https://www.sbsun.com/2019/12/05/police-investigating-shooting-in-san-bernardino/</t>
  </si>
  <si>
    <t>Richard Cutshaw</t>
  </si>
  <si>
    <t>https://fatalencounters.org/wp-content/uploads/2019/12/richard-cutshaw.jpg</t>
  </si>
  <si>
    <t>Jordan Oliver</t>
  </si>
  <si>
    <t>https://fatalencounters.org/wp-content/uploads/2019/12/Jordan-Oliver.jpg</t>
  </si>
  <si>
    <t>Tomko Avenue</t>
  </si>
  <si>
    <t>Warrior Run</t>
  </si>
  <si>
    <t>Jordan Oliver stole a police car and abducted his ex-girlfriend, Samara Derwin. He reportedly also pepper sprayed a police officer. When police caught up with the pair, Oliver was shot and killed, and Derwin was released.</t>
  </si>
  <si>
    <t>https://www.mcall.com/news/pennsylvania/mc-nws-pa-kidnapper-history-violence-women-20191202-phl5eut2qrehffpfbpiverwefm-story.html</t>
  </si>
  <si>
    <t>Nicholas J. "Nick" Cantelmi</t>
  </si>
  <si>
    <t>Pine Flats Rd</t>
  </si>
  <si>
    <t>Porter Township</t>
  </si>
  <si>
    <t>Nicholas Cantelmi barricaded himself in a cabin after fleeing a traffic stop that morning in which he allegedly intentionally struck a police vehicle. He was wanted on a parole violation in another county. Police said that negotiators tried to get him to surrender, and they also used tear gas and flash-bang devices to try to get him to come out. Cantelmi reportedly fired shots from inside the cabin before police shot and killed him.</t>
  </si>
  <si>
    <t>https://www.wearecentralpa.com/news/regional-news/police-man-shot-killed-by-trooper-during-cabin-standoff/</t>
  </si>
  <si>
    <t>Brian Mulkeen</t>
  </si>
  <si>
    <t>https://fatalencounters.org/wp-content/uploads/2019/10/brian-mulkeen.jpg</t>
  </si>
  <si>
    <t>Donnie Wayne Hall</t>
  </si>
  <si>
    <t>https://fatalencounters.org/wp-content/uploads/2019/09/DonnieHall.jpg</t>
  </si>
  <si>
    <t>Fayetteville Road and Tara Boulevard</t>
  </si>
  <si>
    <t>Henry County Police were looking for Donnie Hall who was a suspect in two murders in Hampton. At 6 p.m., Jonesboro officers were involved in a vehicle pursuit and an exchange of gunfire with Hall. Police shot and killed him.</t>
  </si>
  <si>
    <t>https://www.11alive.com/article/news/crime/jonesboro-officer-involved-shooting/85-b89bd295-f656-41c7-9faa-0c1d7d47e15e</t>
  </si>
  <si>
    <t>Terry R. "Rusty" Pierce Jr.</t>
  </si>
  <si>
    <t>https://fatalencounters.org/wp-content/uploads/2019/09/TerryPierce.jpg</t>
  </si>
  <si>
    <t>US-30 and Feasby Wisener Rd</t>
  </si>
  <si>
    <t>Convoy</t>
  </si>
  <si>
    <t>Van Wert</t>
  </si>
  <si>
    <t>Terry R. Pierce Jr. fled a police stop in an allegedly stolen semi-truck. He was shot and killed during a police chase.</t>
  </si>
  <si>
    <t>https://www.toledoblade.com/local/police-fire/2019/09/04/Police-identify-Spencerville-driver-killed-after-police-chase-in-Van-Wert-Allen-counties/stories/20190904140</t>
  </si>
  <si>
    <t>Larry Leonard Lowry Jr.</t>
  </si>
  <si>
    <t>3700 Row River Rd</t>
  </si>
  <si>
    <t>Deputies responded to a domestic disturbance complaint after calls around 1 a.m., found the woman and learned that the man was in an outbuilding. Deputies called on a loudspeaker for him to come out, and he allegedly approached deputies with a knife, and deputies shot and killed him.</t>
  </si>
  <si>
    <t>https://www.washingtontimes.com/news/2019/aug/26/sheriff-identifies-man-shot-by-deputies-in-cottage/?utm_source=RSS_Feed&amp;utm_medium=RSS</t>
  </si>
  <si>
    <t>Daryl L. Perkins</t>
  </si>
  <si>
    <t>https://fatalencounters.org/wp-content/uploads/2019/09/Daryl-L.-Perkins.jpg</t>
  </si>
  <si>
    <t>7 N Vermilion St</t>
  </si>
  <si>
    <t>Vermilion County Sheriff's Office</t>
  </si>
  <si>
    <t>Daryl L. Perkins was a Vermilion County jail inmate who was fatally shot after allegedly attacking and injuring a sheriff's deputy at the courthouse. The incident occurred at 10:06 a.m. in the holding-cell area of the courthouse. According to police, the deputy was moving Perkins between holding cells. When the deputy opened the door of a cell, Perkins attacked him and stabbed him in the face multiple times, and the deputy shot and killed him.</t>
  </si>
  <si>
    <t>https://www.news-gazette.com/news/inmate-who-was-shot-after-stabbing-deputy-identified/article_b36b5c6f-6dd1-5b67-9cfb-a1367b1db799.html</t>
  </si>
  <si>
    <t>Patrick Sanders</t>
  </si>
  <si>
    <t>https://fatalencounters.org/wp-content/uploads/2019/09/Patrick-Sanders.jpg</t>
  </si>
  <si>
    <t>1300 Hall Dr</t>
  </si>
  <si>
    <t>Tippah</t>
  </si>
  <si>
    <t>Tippah County Constable</t>
  </si>
  <si>
    <t>Tippah County News reports Constable Keith Bullock was in the West Ripley Church of Christ when Patrick Sanders pulled out a knife and injured Bullock who shot and killed Sanders.</t>
  </si>
  <si>
    <t>https://www.wtva.com/content/news/1-Dead-In-Officer-Involved-Shooting-At-Ripley-Church-535549451.html</t>
  </si>
  <si>
    <t>Christopher Morris</t>
  </si>
  <si>
    <t>https://fatalencounters.org/wp-content/uploads/2019/08/Morris.png</t>
  </si>
  <si>
    <t>US-54 and Hwy BB</t>
  </si>
  <si>
    <t>Audrain</t>
  </si>
  <si>
    <t>Officers pursued a vehicle in a high-speed chase through downtown Jefferson City and east on U.S. 54. Christopher Morris got out of his vehicle and allegedly began shooting at officers who shot and killed him.</t>
  </si>
  <si>
    <t>http://www.newstribune.com/news/local/story/2019/aug/09/police-identify-driver-who-died-gunshot-wound-thursdays-chase/789986/</t>
  </si>
  <si>
    <t>Brandon C. Jones</t>
  </si>
  <si>
    <t>https://fatalencounters.org/wp-content/uploads/2019/08/BrandonJones.jpg</t>
  </si>
  <si>
    <t>1463 NE 7th St</t>
  </si>
  <si>
    <t>Brandon C. Jones was in the state police office in connection with an investigation. A fight occurred after Jones's 10:20 a.m. arrival, and Jones was shot and killed. Police withheld details as to what precipitated the killing.</t>
  </si>
  <si>
    <t>https://www.ktvz.com/news/police-fatally-shoot-man-at-grants-pass-osp-office/1106406566</t>
  </si>
  <si>
    <t>Joshua Steven Mitchell</t>
  </si>
  <si>
    <t>https://fatalencounters.org/wp-content/uploads/2019/08/Joshua-Steven-Mitchell.jpg</t>
  </si>
  <si>
    <t>700 E Stegall Dr</t>
  </si>
  <si>
    <t>Robinson</t>
  </si>
  <si>
    <t>FBI agents went to a home to arrest Joshua Steven Mitchell and shot and killed him. Details as to what precipitated the killing were withheld by police.</t>
  </si>
  <si>
    <t>https://www.wacotrib.com/news/police/fbi-man-dies-in-agent-involved-shooting-at-robinson-home/article_48879475-63d9-5bf9-945f-d1fc1b3f3842.html</t>
  </si>
  <si>
    <t>Michael Lewis McClure</t>
  </si>
  <si>
    <t>32.580016, -89.213348 10301 Co Rd 301</t>
  </si>
  <si>
    <t>Police responded to a shooting. While searching the house, they found the suspected shooter in a bedroom where he allegedly pointed at least one gun at deputies, and he was shot and killed.</t>
  </si>
  <si>
    <t>https://www.meridianstar.com/news/neshoba-county-deputies-shoot-kill-armed-suspect-shooting-was-self/article_0ad3f49c-a438-11e9-8d14-4baf1a88e173.html?fbclid=IwAR27FR8yrM6QNPf5xJ23ibxCJqr-iiSKt8xWF4fLFH453Ab0VL-FnChBOOo</t>
  </si>
  <si>
    <t>Zackary Ryan Hoppe</t>
  </si>
  <si>
    <t>https://fatalencounters.org/wp-content/uploads/2019/07/ZackHoppe.jpg</t>
  </si>
  <si>
    <t>4400 Sixth Street</t>
  </si>
  <si>
    <t>Bacliff</t>
  </si>
  <si>
    <t>The sheriff's office was called by a warrant service about a man they were looking for out of Harris County who had barricaded himself inside a home about 8 p.m. Deputies arrived and spoke with Zackary Hoppe. Sometime between 10 p.m. and 10:30 p.m., deputies said he walked out of the house with a shotgun, and Deputies Kelly Freeman, Seth Rowlands and Jacob Manuel shot and killed him.</t>
  </si>
  <si>
    <t>https://www.khou.com/article/news/local/galveston-co-deputies-shoot-and-kill-man-they-say-approached-them-with-shotgun/285-7e512d42-fb9b-4d3b-9ac6-40093691b1d2</t>
  </si>
  <si>
    <t>Peter Alexander Bohning</t>
  </si>
  <si>
    <t>https://fatalencounters.org/wp-content/uploads/2019/06/Peter-Alexander-Bohning.png</t>
  </si>
  <si>
    <t>1350 US-62</t>
  </si>
  <si>
    <t>Gaines</t>
  </si>
  <si>
    <t>Gaines County Sheriff's Office</t>
  </si>
  <si>
    <t>Peter Alexander Bohning was wanted for murder and attempted murder in Nashville, Tennessee. A deputy encountered Bohning while answering a suspicious vehicle call. Bohning allegedly stabbed the deputy and was shot and killed by the deputy.</t>
  </si>
  <si>
    <t>https://www.everythinglubbock.com/news/murder-suspect-shot-by-officer-in-gaines-co-officials-confirm/</t>
  </si>
  <si>
    <t>Zendall Noble</t>
  </si>
  <si>
    <t>882 Hull School Road</t>
  </si>
  <si>
    <t>Bonnyman</t>
  </si>
  <si>
    <t xml:space="preserve">Police were searching one home when they saw five people outside a neighboring home. The five went inside the home, and police reportedly heard what sounded like a gunshot. Police went to the second home, three people came out. When the police went back to the first home, two other people left the second home. Police shot and killed one. </t>
  </si>
  <si>
    <t>https://www.wymt.com/content/news/Officials-Officer-involved-shooting-in-Perry-County-511107752.html</t>
  </si>
  <si>
    <t>Hamid Ould-Rouis</t>
  </si>
  <si>
    <t>https://fatalencounters.org/wp-content/uploads/2019/05/hamid-ould-rouis-ocso.jpg</t>
  </si>
  <si>
    <t>2542 Franklin Dr</t>
  </si>
  <si>
    <t>Broward Sheriff's Office, Fort Lauderdale Police Department, U.S. Marshals Service</t>
  </si>
  <si>
    <t>Hamid Ould-Rouis was reportedly being sought for attempted murder when he was shot and killed when he reported pulled a gun on police.</t>
  </si>
  <si>
    <t>https://wsvn.com/news/local/man-dead-after-multi-agency-involved-shooting-outside-mosque-near-fort-lauderdale/</t>
  </si>
  <si>
    <t>Fred Burton</t>
  </si>
  <si>
    <t>https://fatalencounters.org/wp-content/uploads/2019/05/FredBurton.jpg</t>
  </si>
  <si>
    <t>727 W MacArthur Rd</t>
  </si>
  <si>
    <t>Police were called just before 2 a.m. to reports of an explosion at MacArthur's Lake Apartments. Police arrived to hear gunfire coming from the complex. Officers were unable to make contact with a suspect by phone, but police determined the man's identity and that he was having a mental health crisis. Fred Burton allegedly fired on armored vehicles, striking them at least four times. Just before 6 a.m., two officers shot and killed Burton.</t>
  </si>
  <si>
    <t>http://www.kake.com/story/40522330/family-identify-man-killed-in-shootout-with-wichita-police</t>
  </si>
  <si>
    <t>David Marcus Reece</t>
  </si>
  <si>
    <t>https://fatalencounters.org/wp-content/uploads/2019/05/David-Marcus-Reece.jpg</t>
  </si>
  <si>
    <t>800 Holly Springs Church Rd</t>
  </si>
  <si>
    <t>Inman</t>
  </si>
  <si>
    <t>A homeowner told deputies a man knocked on his door, pointed a gun at him and demanded the keys to his truck, police said. The homeowner gave the man his keys and called 911. When deputies arrived, the man, David Marcus Reece, was outside the home. A deputy said when he confronted Reece, Reece pointed a gun him. The deputy shot and killed Reece.</t>
  </si>
  <si>
    <t>https://www.wyff4.com/article/deputy-fatality-shoots-david-reece-after-armed-car-theft-confrontation-sheriff-says/27553870</t>
  </si>
  <si>
    <t>Steven Case</t>
  </si>
  <si>
    <t>https://fatalencounters.org/wp-content/uploads/2019/05/StevenCase.jpg</t>
  </si>
  <si>
    <t>185 Main St</t>
  </si>
  <si>
    <t>Steven Case was shot and killed in the basement of a house after keeping police at bay for most of the day by threatening to shoot anybody who entered the basement and telling police he had a hostage. Media reports are opaque as to why the police went to the home.</t>
  </si>
  <si>
    <t>https://www.pressherald.com/2019/05/22/affidavit-auburn-man-amassed-stolen-firearms-at-residence-prior-to-standoff/</t>
  </si>
  <si>
    <t>Daniel "Danny" T. Cook Jr.</t>
  </si>
  <si>
    <t>http://www.fatalencounters.org/wp-content/uploads/2019/04/Daniel-Danny-Cook-Jr.jpg</t>
  </si>
  <si>
    <t>3513 11th Street</t>
  </si>
  <si>
    <t>Lewiston</t>
  </si>
  <si>
    <t>Nez Perce</t>
  </si>
  <si>
    <t>Lewiston Police Department</t>
  </si>
  <si>
    <t>Daniel "Danny" Cook Jr. reportedly drove to off-duty officer Josh Rigney's home and shot and wounded Rigney. Lewiston police chased Cook, who reportedly shot at officers while fleeing in his vehicle. Four officers stopped Cook at 13th Street and Burrell Avenue, where they shot and killed him.</t>
  </si>
  <si>
    <t>http://www.spokesman.com/stories/2019/apr/17/suspect-killed-in-lewiston-officer-involved-shooti/</t>
  </si>
  <si>
    <t>Patrick E. West</t>
  </si>
  <si>
    <t>https://fatalencounters.org/wp-content/uploads/2019/09/Patrick-West.jpg</t>
  </si>
  <si>
    <t>100 Academy Street</t>
  </si>
  <si>
    <t>Montesano</t>
  </si>
  <si>
    <t>Montesano Police Department</t>
  </si>
  <si>
    <t>Officers responded to a report of a suicidal man at a home. When police arrived at about 2 p.m., they spoke to a family member and mental health professionals who were already present. After several hours of negotiation, Patrick West was shot and killed when he appeared with a sword and reportedly something that looked like a Molotov Cocktail.</t>
  </si>
  <si>
    <t>https://www.kiro7.com/news/local/man-shot-by-police-after-charging-officers-with-sword-in-grays-harbor-county/940795718</t>
  </si>
  <si>
    <t>James Hunn</t>
  </si>
  <si>
    <t>https://fatalencounters.org/wp-content/uploads/2019/09/James-Hunn.png</t>
  </si>
  <si>
    <t>1500 North Hanley Road</t>
  </si>
  <si>
    <t>University City</t>
  </si>
  <si>
    <t>University City Police Department</t>
  </si>
  <si>
    <t>James Hunn had recently suffered a stroke and was distraught over his health. He reportedly pointed a shotgun at University City police officers and they shot and killed him. Police said it was "suicide by cop," but did not produce evidence to support the claim.</t>
  </si>
  <si>
    <t>https://www.stltoday.com/news/local/crime-and-courts/man-shot-by-university-city-police-officer-was-distraught-over/article_2f4cfb8c-2b8f-5a5f-b0a9-0a6740649fd4.html#tracking-source=home-the-latest</t>
  </si>
  <si>
    <t>Bryce Bellomo</t>
  </si>
  <si>
    <t>https://www.fatalencounters.org/wp-content/uploads/2019/02/BRYCEBellomo.png</t>
  </si>
  <si>
    <t>269th Ave</t>
  </si>
  <si>
    <t>Hubbard</t>
  </si>
  <si>
    <t>Hubbard County Sheriff's Office</t>
  </si>
  <si>
    <t>Around 8 p.m., deputies responded to a 911 call about a shooting. When deputies arrived, they found a woman's body outside of the home. The armed suspect had already fled in the victim's vehicle. The sheriff's office says a second victim, who had also been shot and killed, was still inside the vehicle. Deputies spotted the vehicle, and chased it. During the chase, Bryce Bellomo allegedly fired at police vehicles, wounding one of the deputies. The man eventually drove the vehicle into a ditch. A pursuing deputy came upon the vehicle, and Bellomo got out of his vehicle and exchanged gunfire with the deputy. Bellomo then got back into the vehicle, where he was found dead.</t>
  </si>
  <si>
    <t>https://www.kvrr.com/2019/02/18/update-deputies-in-officer-involved-shooting-in-nevis-identified/</t>
  </si>
  <si>
    <t>Corey Adam Harris</t>
  </si>
  <si>
    <t>https://www.fatalencounters.org/wp-content/uploads/2019/02/Corey_Harris.jpg</t>
  </si>
  <si>
    <t>265-113 Moncure Rd</t>
  </si>
  <si>
    <t>Corey Adam Harris was allegedly possibly involved in a man's disappearance. He was shot and killed by police, although details regarding the killing were withheld or reporting was impenetrable.</t>
  </si>
  <si>
    <t>http://www.wlbt.com/2019/01/25/one-arrested-after-body-missing-raymond-man-found-abandoned-building/</t>
  </si>
  <si>
    <t>Buddie Thomas Nichols II</t>
  </si>
  <si>
    <t>https://fatalencounters.org/wp-content/uploads/2019/09/Buddie-Thomas-Nichols-II.jpg</t>
  </si>
  <si>
    <t>2900 Hornet Way</t>
  </si>
  <si>
    <t>While two adults were upstairs in the home and their daughter was asleep downstairs, a resident heard the fence being battered and went downstairs, where he confronted Buddie Nichols, who had walked in an open door. He punched then kicked Nichols, who ran outside. The resident called 911 and told dispatchers the intruder was in front of the house acting strangely. An officer arrived and tried to arrest Nichols, who resisted and struggled until two other officers arrived. The officers were Officers Brian Kashouty, Scott Spring, and Taylor Davoren. The officers beat him until he was handcuffed and died a short time later.</t>
  </si>
  <si>
    <t>https://www.sandiegouniontribune.com/news/public-safety/story/2019-06-13/sdpd-says-indiana-man-40-was-home-intruder-who-died-in-custody</t>
  </si>
  <si>
    <t>Douglas Kilburn</t>
  </si>
  <si>
    <t>111 Colchester Ave.</t>
  </si>
  <si>
    <t>Officer Cory Campbell initiated physical contact with Kilburn by grabbed Douglas Kilburn's arm as he stepped out of his SUV, in an attempt to handcuff him, in the University of Vermont Medical Center ambulance bay. Kilburn, who was disabled from a stroke, then allegedly punched the officer in the jaw using his free arm. Campbell reportedly punched Kilburn's right eye three times, sending him to the ground. Kilburn suffered fractures to his jaw, orbital bone and skull and died three days later.</t>
  </si>
  <si>
    <t>https://m.sevendaysvt.com/OffMessage/archives/2019/04/29/officer-said-kilburn-punched-him-during-confrontation</t>
  </si>
  <si>
    <t>Colin A. C. Wehmeyer</t>
  </si>
  <si>
    <t>3200 Broadway Avenue</t>
  </si>
  <si>
    <t>Police served a search warrant at Colin A. C. Wehmeyer's home in Lake Stevens, while the man was at an appointment at Compass Health in Everett. Lake Stevens police notified Everett police that the man might be armed and dangerous. Everett police watched him at the business. When he left, Everett police stopped him, and they fought. An Everett police officer tasered him, and he collapsed and died.</t>
  </si>
  <si>
    <t>https://q13fox.com/2019/11/15/suspect-dies-after-being-shocked-with-stun-gun-by-everett-police/</t>
  </si>
  <si>
    <t>James F. Plymell III</t>
  </si>
  <si>
    <t>https://fatalencounters.org/wp-content/uploads/2019/12/James-F.-Plymell-III.jpg</t>
  </si>
  <si>
    <t>Santiam Rd SE &amp; SE Denver St</t>
  </si>
  <si>
    <t>About 8:20 a.m., an Albany PD Community Service Officer stopped to help a stranded driver. That community service officer asked for some "non-emergency" help from a patrol officer. When officers arrived, a fight began, and James F. Plymell III was shocked with a stun gun and died. Officers Emily Schroff, Gina Bell, and Thomas Roten and Community Service Officer Gerry Morris were involved.</t>
  </si>
  <si>
    <t>https://katu.com/news/local/man-dies-in-albany-after-being-hit-by-police-stun-gun</t>
  </si>
  <si>
    <t>Sergey Rumyantsev</t>
  </si>
  <si>
    <t>5900 N. Canal Street</t>
  </si>
  <si>
    <t>Newman Lake</t>
  </si>
  <si>
    <t>Deputies Phil Pfeifer, Veronica Van Patten and Travis West responded about 9:30 p.m. to a home after a family member reported Sergey Rumyantsev was screaming, out of control, and breaking items in the house. He reportedly had barricaded himself in the basement. Deputies used a stun gun to subdue him; however, it took several deputies to restrain him. Rumyantsev became unresponsive and died.</t>
  </si>
  <si>
    <t>https://www.spokesman.com/stories/2019/oct/06/man-dies-saturday-night-after-spokane-county-sheri/</t>
  </si>
  <si>
    <t>Stephen Walter Gagliani</t>
  </si>
  <si>
    <t>https://fatalencounters.org/wp-content/uploads/2019/10/Stephen-Walter-Gagliani.jpg</t>
  </si>
  <si>
    <t>200 Crestridge Drive</t>
  </si>
  <si>
    <t>Stephen Walter Gagliani died a few days after a violent encounter with police who were conducting a welfare check on him after he was seen in the road near his home. He was tasered and pepper sprayed.</t>
  </si>
  <si>
    <t>https://www.thestate.com/news/local/crime/article235437917.html</t>
  </si>
  <si>
    <t>Taylor Joseph Ware</t>
  </si>
  <si>
    <t>https://fatalencounters.org/wp-content/uploads/2019/10/taylor-ware.jpg</t>
  </si>
  <si>
    <t>Troopers were called to the rest stop along I-64. The officer reportedly was not able to reason with Taylor Ware, and he beat the officer during a fight. A police dog was sicced on Ware, and a Santa Claus officer arrived and tried to use a Taser. Troopers say the officers were still not able to subdue Ware, and he began choking the dog with one hand while grabbing the Taser with the other and trying to shock the officer. Ware died after being restrained. Details as to why the police were called were withheld by police.</t>
  </si>
  <si>
    <t>https://www.14news.com/2019/08/29/man-dies-after-spencer-co-arrest/</t>
  </si>
  <si>
    <t>Gary E. Strobridge</t>
  </si>
  <si>
    <t>https://fatalencounters.org/wp-content/uploads/2019/10/Gary-E.-Strobridge.jpg</t>
  </si>
  <si>
    <t>316 Horner Street</t>
  </si>
  <si>
    <t>Gary Strobridge was on the roof of his home. He came down and reportedly began chasing a female neighbor. Officers reportedly intervened and tried to take him into custody under Mental Hygiene Law in order to transport him to a hospital as it was deemed that he was a danger to himself and others. Strobridge allegedly fought with officers, and an officer reportedly shocked him with a stun gun, and Strobridge fell to the ground. Strobridge continued to fight with police, but they were able to eventually take him into custody, and he died.</t>
  </si>
  <si>
    <t>https://www.weny.com/story/40981536/man-hospitalized-after-being-taken-into-epd-custody-dies-investigation-underway-by-special-nys-ag-unit</t>
  </si>
  <si>
    <t>Ross Alan Rittacco</t>
  </si>
  <si>
    <t>https://fatalencounters.org/wp-content/uploads/2019/09/Ross-Alan-Rittacco.jpg</t>
  </si>
  <si>
    <t>1530 N Limestone St</t>
  </si>
  <si>
    <t>Sheriff's deputies took Ross Alan Rittacco to a hospital in Gaffney, South Carolina. The detainee started fighting with a deputy around 1 a.m., and the security officers from the hospital assisted medical staff and the detention officer tasered him. At about 2 a.m. he became unresponsive, and died.</t>
  </si>
  <si>
    <t>https://www.charlotteobserver.com/news/state/south-carolina/article233102792.html</t>
  </si>
  <si>
    <t>Jeffrey Philip Krueger</t>
  </si>
  <si>
    <t>https://fatalencounters.org/wp-content/uploads/2019/09/Jeffrey-Philip-Krueger.jpg</t>
  </si>
  <si>
    <t>US-69 &amp; OK-51</t>
  </si>
  <si>
    <t>Jeffrey Krueger was pulled over for driving recklessly and wouldn't follow a deputy's instructions. The deputy reportedly drew a weapon, and they struggled. Deputies shocked Krueger with a stun gun, killing him.</t>
  </si>
  <si>
    <t>https://kfor.com/2019/07/08/death-of-motorist-in-custody-sparks-oklahoma-investigation/</t>
  </si>
  <si>
    <t>James Aaron McBrayer</t>
  </si>
  <si>
    <t>https://fatalencounters.org/wp-content/uploads/2019/09/James-Aaron-McBrayer.jpg</t>
  </si>
  <si>
    <t>300 Hall Road</t>
  </si>
  <si>
    <t>Tifton</t>
  </si>
  <si>
    <t>Tift</t>
  </si>
  <si>
    <t>Tift County Sheriff's Office</t>
  </si>
  <si>
    <t>Deputies responded for complaints about a disturbance. Deputies met James Aaron McBrayer, and a fight started. One deputy was injured. Deputies shocked McBrayer with a stun gun and placed him in the rear of a patrol vehicle. Deputies later found McBrayer dead.</t>
  </si>
  <si>
    <t>https://www.walb.com/2019/04/25/tift-man-dies-law-enforcement-custody/</t>
  </si>
  <si>
    <t>Casey Joe Wright-Wells</t>
  </si>
  <si>
    <t>https://www.fatalencounters.org/wp-content/uploads/2019/02/Casey-Joe-Wright-Wells.jpg</t>
  </si>
  <si>
    <t>3800 West Salter Drive</t>
  </si>
  <si>
    <t>Casey Wells was tasered and killed by police when he allegedly attacked an officer. Wells was naked on the road.</t>
  </si>
  <si>
    <t>https://www.azcentral.com/story/news/local/phoenix-breaking/2019/02/10/naked-man-tased-phoenix-police-dies-six-days-later/2831458002/</t>
  </si>
  <si>
    <t>Frank Ordonez</t>
  </si>
  <si>
    <t>https://fatalencounters.org/wp-content/uploads/2019/12/rank-Ordonez.jpg</t>
  </si>
  <si>
    <t>Gerardo Martinez Ramirez</t>
  </si>
  <si>
    <t>4400 Eisenhauer Rd</t>
  </si>
  <si>
    <t>Police were called to a home after receiving a call for a woman screaming inside the house and shots fired just before 3 a.m. Officers engaged in a nearly 4-hour standoff with the man who threatened to shoot himself and his wife. After hearing a gunshot, police rushed into the home and found the man and his wife, both with gunshot wounds. Gerardo Ramirez, who reportedly still had a gun in his hand, was shot and killed by an officer.</t>
  </si>
  <si>
    <t>https://www.kens5.com/article/news/local/sapd-engaged-in-standoff-on-citys-northeast-side/273-d8f8762b-d771-4ff8-a1f5-fd5d8ec79d12</t>
  </si>
  <si>
    <t>Raphael Michael Torres</t>
  </si>
  <si>
    <t>https://fatalencounters.org/wp-content/uploads/2019/10/RaphaelTorres.jpg</t>
  </si>
  <si>
    <t>West Avenue and Comer Street</t>
  </si>
  <si>
    <t>Raphael Michael Torres allegedly pretended to be hit by a vehicle. He allegedly threatened medical personnel with a knife, and police shot and killed him.</t>
  </si>
  <si>
    <t>https://www.gainesvilletimes.com/news/gainesville-police-report-officer-involved-shooting/?fbclid=IwAR2fbIStOZlUhh1qZjC1es50W5UBn1u4CnNtJaKcRoV_WdyAk1mnkPYpAl4</t>
  </si>
  <si>
    <t>Jose Luiz "Cheeze" Orona</t>
  </si>
  <si>
    <t>https://fatalencounters.org/wp-content/uploads/2019/09/Jose-Orona.jpg</t>
  </si>
  <si>
    <t>1600 W 11th St</t>
  </si>
  <si>
    <t>Plainview</t>
  </si>
  <si>
    <t>Hale</t>
  </si>
  <si>
    <t>Plainview Police Department</t>
  </si>
  <si>
    <t>Police received a call of three shots fired at 8:45 a.m. Police arrived to find Jose Orona threatening suicide. Police said after a standoff lasting an hour and 23 minutes, the man pointed his handgun at police and was shot and killed.</t>
  </si>
  <si>
    <t>https://www.kcbd.com/2019/09/16/police-identify-suicidal-man-shot-killed-after-pointing-handgun-plainview-police/</t>
  </si>
  <si>
    <t>Alberto Wayne Martinez</t>
  </si>
  <si>
    <t>https://fatalencounters.org/wp-content/uploads/2019/09/Alberto-Wayne-Martinez.jpg</t>
  </si>
  <si>
    <t>22840 Antelope Blvd</t>
  </si>
  <si>
    <t>Around 6:30 p.m. police were conducting an interview with Alberto Martinez. When the interview was ending, detectives attempted to arrest Martinez on an active warrant. Martinez began to fight their efforts to arrest him. During the struggle, he allegedly grabbed one of the detective's handguns and attempted to remove it from it's holster. Another detective shot and killed Martinez.</t>
  </si>
  <si>
    <t>https://krcrtv.com/news/tehama-county/one-dead-after-officer-involved-shooting-during-tehama-county-investigation</t>
  </si>
  <si>
    <t>Juan Moreno Jr.</t>
  </si>
  <si>
    <t>https://fatalencounters.org/wp-content/uploads/2019/06/Juan-Moreno-Jr.jpg</t>
  </si>
  <si>
    <t>11441 N Stemmons Fwy</t>
  </si>
  <si>
    <t>Police were monitoring a truck, in which three people were sitting, that was reported stolen and parked at a shopping center. The driver of the truck, Juan Moreno Jr., which had been backed into the space, started to pull out of the spot when officers walked toward the vehicle. One of the officers shot and killed Moreno through the windshield, police said.</t>
  </si>
  <si>
    <t>https://www.nbcdfw.com/news/local/1-Dead-After-Shooting-Involving-Farmers-Branch-Police-511226112.html?fbclid=IwAR3H2CMCOdMeQirf9FJMHJlPCU40tbOr92ugXrja7XFyZpsx_-YXNC4jl00</t>
  </si>
  <si>
    <t>Anthony Gomez</t>
  </si>
  <si>
    <t>600 Martin Blvd</t>
  </si>
  <si>
    <t>Around 4 p.m., police were called regarding a man was walking in the street holding a machete, who allegedly dropped his pants and exposed himself to some children. The first officer to respond saw the man in the street walking toward his home. He dropped the machete before he reached the house. The man then got onto his front porch and sat down. The man's mother was also on the porch several feet away. Officers responded to the scene and began talking to the man. The man allegedly pulled what appeared to be a gun and pointed it at the officers, who shot and killed him. The mother disputed many parts of the police story.</t>
  </si>
  <si>
    <t>https://www.eastbaytimes.com/2019/06/11/san-leandro-police-investigate-officer-involved-shooting/</t>
  </si>
  <si>
    <t>Julian Santiago-Cruz</t>
  </si>
  <si>
    <t>I-35, Exit 64</t>
  </si>
  <si>
    <t>Winston</t>
  </si>
  <si>
    <t>Troopers responded to reports that someone driving northbound on Interstate 35 was shooting from a car and had hit two motorists in separate vehicles. The shootings occurred at mile markers 48 and 52 near Cameron. The alleged shooter and a trooper exchanged gunfire. The man was found dead after his vehicle crashed</t>
  </si>
  <si>
    <t>https://fox4kc.com/2019/05/31/1-dead-2-hurt-in-shootout-near-cameron-involving-missouri-highway-patrol/</t>
  </si>
  <si>
    <t>Pablo Garcia</t>
  </si>
  <si>
    <t>3800 Lilita Street</t>
  </si>
  <si>
    <t>Deputies were called to a home around 12:30 p.m. regarding a family dispute and a man threatening other family members with a hammer. About five deputies responded to the home and in the ensuing encounter, shot and killed him.</t>
  </si>
  <si>
    <t>https://abc7.com/man-with-hammer-dies-after-deputy-involved-shooting-in-lynwood/5311748/</t>
  </si>
  <si>
    <t>Isai Rodriguez</t>
  </si>
  <si>
    <t>https://www.fatalencounters.org/wp-content/uploads/2019/01/Isai-Rodriguez.jpg</t>
  </si>
  <si>
    <t>400 Macbrey</t>
  </si>
  <si>
    <t>Isai Rodriguez was wanted for several felonies was fatally shot by police after an hours long standoff in the south valley, police said.</t>
  </si>
  <si>
    <t>https://www.fox5vegas.com/news/officers-identified-in-metro-s-first-police-shooting-of/article_f22ce360-2064-11e9-a684-f3502126a390.html</t>
  </si>
  <si>
    <t>Ruben Escudero</t>
  </si>
  <si>
    <t>https://fatalencounters.org/wp-content/uploads/2019/12/Ruben.jpg</t>
  </si>
  <si>
    <t>14927 Monte Vista St.</t>
  </si>
  <si>
    <t>Ruben Escudero suffered a possible overdose. Eyewitnesses reportedly said he was being treated when police arrived. During the treatment, Ruben was allegedly beaten in the head by San Bernardino County deputies, killing him.</t>
  </si>
  <si>
    <t>https://www.vvdailypress.com/news/20191030/family-questions-mans-death-during-medical-call</t>
  </si>
  <si>
    <t>Isaias Rodriguez</t>
  </si>
  <si>
    <t>https://www.fatalencounters.org/wp-content/uploads/2019/03/ObitIsaiasRodriguez.jpg</t>
  </si>
  <si>
    <t>4700 Everglade Court</t>
  </si>
  <si>
    <t>Weld County Sheriff's Office</t>
  </si>
  <si>
    <t>At about 1:49 a.m., deputies responded to a call about an unwanted person at a residence. When deputies arrived, a fight began between the deputies and a man. The man died during the fight.</t>
  </si>
  <si>
    <t>https://www.denverpost.com/2019/02/23/weld-county-police-death/</t>
  </si>
  <si>
    <t>Jose "Joey" Mercado Sr.</t>
  </si>
  <si>
    <t>https://www.fatalencounters.org/wp-content/uploads/2019/01/Jose-Mercado.jpg</t>
  </si>
  <si>
    <t>1300 Wilson Street</t>
  </si>
  <si>
    <t>Richland Police Department</t>
  </si>
  <si>
    <t>Officers were trying to arrest Jose "Joey" Mercado Sr. during a family fight just before midnight, police said. A member of his family had called police to report Mercado was assaulting family members and throwing beer bottles at their house. The relative said Mercado had a knife and was drunk. An officer fired a Taser, but Mercado pulled out the probes. Police physically subdued him, killing him in the process.</t>
  </si>
  <si>
    <t>https://www.tri-cityherald.com/news/local/crime/article224918815.html</t>
  </si>
  <si>
    <t>Jason Gonzalez</t>
  </si>
  <si>
    <t>https://fatalencounters.org/wp-content/uploads/2019/11/Jason-Gonzalez.jpg</t>
  </si>
  <si>
    <t>Barstow-Bakersfield Hwy and Cottonwood Road</t>
  </si>
  <si>
    <t>On Aug. 30, Jason Gonzalez was approached by CHP troopers as he was walking on Highway 58. He was shot and killed. Details as to what precipitated the killing were withheld by police.</t>
  </si>
  <si>
    <t>https://www.kget.com/news/local-news/man-dies-following-highway-58-encounter-with-chp-officers/</t>
  </si>
  <si>
    <t>Morales Velasquez</t>
  </si>
  <si>
    <t>24195 US Highway 19 North</t>
  </si>
  <si>
    <t>Baudillo Mendez Vasquez concocted a report that someone on a bike attacked him about 10 p.m. The description he gave matched a man deputies saw nearby, Morales Velásquez, 31, who ran when they stopped him for questioning. A deputy caught up to Morales Velásquez and stunned him with a Taser, causing him to fall off an 18-inch step and smack his head on the ground, killing him.</t>
  </si>
  <si>
    <t>Justified by State Attorney's Office</t>
  </si>
  <si>
    <t>https://www.tampabay.com/news/pinellas/2019/10/31/pinellas-deputy-cleared-in-death-of-guatemalan-man-he-had-stopped-over-a-false-report/</t>
  </si>
  <si>
    <t>Fernando Rodriguez</t>
  </si>
  <si>
    <t>https://fatalencounters.org/wp-content/uploads/2019/09/Fernando-Rodriquez.jpg</t>
  </si>
  <si>
    <t>199-101 Oak St</t>
  </si>
  <si>
    <t>Police got a call around 10 p.m. about a naked man walking down the near a music festival at Atlanta Motor Speedway. Officers said when they approached Fernando Rodriguez, he would not cooperate with their demands. Police said that Rodriquez became combative. At least three officers shocked him with stun guns—some reports said simultaneously—killing him.</t>
  </si>
  <si>
    <t>https://www.wsbtv.com/news/local/henry-county/gbi-24-year-old-man-dies-after-at-least-three-officers-use-taser-on-him-at-once/989944761</t>
  </si>
  <si>
    <t>Rudy Santillan</t>
  </si>
  <si>
    <t>https://fatalencounters.org/wp-content/uploads/2019/09/Rudy-Santillan.jpg</t>
  </si>
  <si>
    <t>2000 Frazier Street</t>
  </si>
  <si>
    <t>Rudy Santillan appeared to be in an "altered state" when he was taken into custody after a fight. He was then taken to the hospital, where he died.</t>
  </si>
  <si>
    <t>https://www.kcra.com/article/stanislaus-county-in-custody-death-rudy-santillan-california/28791912</t>
  </si>
  <si>
    <t>Jeremiah Janis</t>
  </si>
  <si>
    <t>https://fatalencounters.org/wp-content/uploads/2019/09/Jeremiah-Janis.jpg</t>
  </si>
  <si>
    <t>102 N Maple Ave</t>
  </si>
  <si>
    <t>Police said Jeremiah Janis was experiencing excited delirium, had burglarized a vehicle, and damaged another vehicle. He then allegedly burglarized a motel room and assaulted a person in that room. When police arrived, he allegedly refused to comply with officer orders. Janis was pepper-sprayed and tasered in order to bring him into custody. A medical unit was called to treat the man for fatal injuries sustained during the evening.</t>
  </si>
  <si>
    <t>https://www.kotatv.com/content/news/Man-dies-after-rampage-and-being-Tasered-by-Rapid-City-police-509566571.html</t>
  </si>
  <si>
    <t>Javier Francisco Garcia-Mendez</t>
  </si>
  <si>
    <t>https://fatalencounters.org/wp-content/uploads/2019/09/Javier-Francisco-Garcia-Mendez.jpg</t>
  </si>
  <si>
    <t>1400 Shirley St.</t>
  </si>
  <si>
    <t>Police received multiple 911 calls about a man who was pounding on doors and chasing people. A short time later, police were called to Shirley Street for a report of a man who was yelling and screaming that someone was after him. Officers located the man and shocked him with a Taser, and the man was handcuffed and died.</t>
  </si>
  <si>
    <t>https://www.wbay.com/content/news/Green-Bay-Police-identify-man-who-died-in-custody-509965551.html</t>
  </si>
  <si>
    <t>Daniel Espinoza</t>
  </si>
  <si>
    <t>200 South Kellogg Avenue</t>
  </si>
  <si>
    <t>Daniel Espinoza was acting erratically and allegedly broke into a neighbor's home before fighting with police, being shot with sponge-gun rounds, and then tasered and killed. He was also injected with a sedative after being handcuffed.</t>
  </si>
  <si>
    <t>https://www.latimes.com/local/lanow/la-me-ln-fullerton-death-20190212-story.html</t>
  </si>
  <si>
    <t>David Ricardo Torres</t>
  </si>
  <si>
    <t>Old Nogales Highway and East Summit Street</t>
  </si>
  <si>
    <t>David Torres was stunned and handcuffed by sheriff's deputies following reports that he was trying to break into homes in his neighborhood, police said.</t>
  </si>
  <si>
    <t>https://tucson.com/news/local/tucson-man-linked-to-break-ins-died-shortly-after-being/article_373d41e5-39ee-567a-bbba-44d2347eaaf1.html</t>
  </si>
  <si>
    <t>Neil Lyle Chiago</t>
  </si>
  <si>
    <t>2254 E Broadway Road</t>
  </si>
  <si>
    <t>Neil Lyle Chiago Jr. reportedly took family members hostages. Police shot and killed him when he was spotted through a window.</t>
  </si>
  <si>
    <t>https://ktar.com/story/2862077/suspect-hospitalized-after-officer-involved-shooting-in-mesa/</t>
  </si>
  <si>
    <t>Bobby Lee Vaughn</t>
  </si>
  <si>
    <t>https://fatalencounters.org/wp-content/uploads/2019/10/BobbyLeeVaughn.jpg</t>
  </si>
  <si>
    <t>900 S State Ave</t>
  </si>
  <si>
    <t>Tahlequah police officers shot and killed Bobby Lee Vaughn after he allegedly fired at them as they were responding to a domestic violence call at his home.</t>
  </si>
  <si>
    <t>https://www.tulsaworld.com/news/local/crime-and-courts/man-fatally-shot-by-tahlequah-police-during-domestic-violence-call/article_e05a35fa-acfb-50c5-823d-bfa149074a7d.html</t>
  </si>
  <si>
    <t>Anderson "Andy" Antelope</t>
  </si>
  <si>
    <t>1733 Federal Blvd</t>
  </si>
  <si>
    <t>Riverton Police Department</t>
  </si>
  <si>
    <t>An officer was trying to arrest Andrew Antelope for undisclosed reasons when Antelope allegedly attacked him with a knife. The officer shot and killed Antelope.</t>
  </si>
  <si>
    <t>https://trib.com/news/local/crime-and-courts/man-shot-by-riverton-police-had-attacked-officer-with-knife/article_71a60285-c4d7-58de-96eb-1b0372f01505.html#tracking-source=home-top-story</t>
  </si>
  <si>
    <t>7239-7411 I-40</t>
  </si>
  <si>
    <t>Memphis Police Department, Arkansas State Police</t>
  </si>
  <si>
    <t>Police began a chase regarding a kidnapping, eventually forcing the vehicle into a concrete median, a passenger fled on foot and was shot and killed by police. Details as to what precipitated the killing were withheld by police.</t>
  </si>
  <si>
    <t>https://www.fox16.com/local-news-2/kidnapping-suspect-killed-after-arkansas-officer-involved-shooting/</t>
  </si>
  <si>
    <t>Frederick Perkins</t>
  </si>
  <si>
    <t>17057 N Outer 40 Rd</t>
  </si>
  <si>
    <t>Police went to Chesterfield Outlets about 1 p.m. in response to a call about suspicious individuals. A person reportedly hit an officer with a vehicle, and the officer shot and killed him.</t>
  </si>
  <si>
    <t>https://www.stltoday.com/news/local/crime-and-courts/officer-struck-by-car-before-shooting-and-killing-driver-at/article_648ca63f-4675-5ac3-8a4c-124dbb011b22.html</t>
  </si>
  <si>
    <t>30800 14th Avenue South</t>
  </si>
  <si>
    <t>Police responded to a domestic dispute. Police and a man exchanged gunfire, and the man was killed.</t>
  </si>
  <si>
    <t>https://www.king5.com/article/news/local/2-federal-way-police-officers-injured-suspect-killed-in-overnight-shooting/281-cec9d9b3-bd4a-48a4-8937-259589341dfd</t>
  </si>
  <si>
    <t>Brian Elkins</t>
  </si>
  <si>
    <t>2402-2898 MS-15</t>
  </si>
  <si>
    <t>Blue Mountain</t>
  </si>
  <si>
    <t>A chase started on the Benton County-Union County line and ended in Tippah County with a crash and Brian Elkins being shot and killed by a trooper. Details as to what precipitated the killing were withheld by police.</t>
  </si>
  <si>
    <t>https://www.wtva.com/content/news/Tippah-County-coroner-identifies-man-who-died-in-officer-involved-shooting--566694301.html</t>
  </si>
  <si>
    <t>E Mt Vernon St and S Webb Rd</t>
  </si>
  <si>
    <t>Sedgwick County Sheriff’s Office</t>
  </si>
  <si>
    <t>Police attempted to stop a woman and after a chase with stop sticks and attempting to disable the vehicle, the woman reportedly drove at deputies, and one shot and killed her.</t>
  </si>
  <si>
    <t>http://www.kake.com/story/41503767/woman-killed-in-deputy-involved-shooting-after-chase-sheriffs-office-says</t>
  </si>
  <si>
    <t>3015 Old State Rd 25</t>
  </si>
  <si>
    <t>Tippecanoe</t>
  </si>
  <si>
    <t>Tippecanoe County Sheriff’s Office</t>
  </si>
  <si>
    <t>Two men who were shot and killed at a Family Express convenience store. One was reportedly killed before police arrived, and the deputies exchanged gunfire with and killed the second.</t>
  </si>
  <si>
    <t>https://www.jconline.com/story/news/2019/12/30/2-dead-sunday-night-shootings-family-express-near-lafayette/2773121001/</t>
  </si>
  <si>
    <t>David A. White</t>
  </si>
  <si>
    <t>521 Latoka Ct.</t>
  </si>
  <si>
    <t>About 3:25 p.m., police were dispatched on an assault call; the victim was still being actively assaulted. As officers entered the home they could hear a woman screaming inside a rear bedroom. Officers entered the bedroom and saw the screaming woman and David White, who reportedly was armed with a handgun. Officers ordered him to put the gun down, but he failed to comply. One officer shot and killed him.</t>
  </si>
  <si>
    <t>https://www.ky3.com/content/news/Police-566466581.html</t>
  </si>
  <si>
    <t>S Flores St and W Theo Ave</t>
  </si>
  <si>
    <t>Police shot and killed a man as they were investigating a car theft. The owner of the vehicle had been tracking the car using his Ipad's location settings. The man crashed and allegedly pointed a gun at police.</t>
  </si>
  <si>
    <t>https://www.mysanantonio.com/news/local/crime/article/SAPD-reports-officer-involved-shooting-in-14928821.php</t>
  </si>
  <si>
    <t>Paul Jarvis</t>
  </si>
  <si>
    <t>4521 Capricorn Dr</t>
  </si>
  <si>
    <t>El Paso Police Department, U.S. Border Patrol, U.S. Bureau of Alcohol Tobacco Firearms and Explosives, U.S. Federal Bureau of Investigation</t>
  </si>
  <si>
    <t>Paul Jarvis allegedly was selling guns as a business without a federal firearms license. Multiple police agencies executed an arrest and search warrant for a suspected arms dealer. Jarvis reportedly exited the house and shot at police, killing a dog. He was shot and killed.</t>
  </si>
  <si>
    <t>https://www.ktsm.com/crime/document-names-el-paso-man-shot-killed-by-law-enforcement-after-killing-k-9-agent/</t>
  </si>
  <si>
    <t>100 124th St SE</t>
  </si>
  <si>
    <t>Deputies responded to reports of a man who was acting suicidal, had a knife and had stabbed himself. He reportedly advanced toward the officers, who reportedly fired less lethal rounds. The man continued to approach, and he was shot and killed.</t>
  </si>
  <si>
    <t>https://www.idahostatejournal.com/news/state/man-fatally-shot-by-deputies-near-everett/article_0b22182a-f507-5676-8b79-3a32ef560e27.html</t>
  </si>
  <si>
    <t>Edward Roe</t>
  </si>
  <si>
    <t>20 E Smith Ave</t>
  </si>
  <si>
    <t>Pearson</t>
  </si>
  <si>
    <t>Atkinson</t>
  </si>
  <si>
    <t>Atkinson County Sheriff's Office</t>
  </si>
  <si>
    <t>Edward Roe reported to the Atkinson County Sheriff's Office around 5:15 p.m. While in a restricted area, Roe grabbed a firearm from an office. When told by a deputy to put the firearm down, Roe didn't comply. Roe and the deputy exchanged gunfire, and Roe was killed. The deputy was not injured.</t>
  </si>
  <si>
    <t>https://www.walb.com/2019/10/31/gbi-responds-officer-involved-shooting-atkinson-co/</t>
  </si>
  <si>
    <t>An officer was investigating a suspicious situation between two drivers, both men, in the Hillsboro police parking lot. Police said one of the drivers was armed with a handgun and refused to drop it. Police shot and killed him at 6:11 p.m.</t>
  </si>
  <si>
    <t>https://www.kgw.com/article/news/local/shooting-in-hillsboro-police-station-parking-lot/283-9188689f-abff-44fd-841e-d3807c307ce9</t>
  </si>
  <si>
    <t>Scott Johnson</t>
  </si>
  <si>
    <t>445 S Allison Pkwy</t>
  </si>
  <si>
    <t>Police arriving at the police station encountered a couple arguing on the east side of the station sometime before 9:30 p.m. Officers who tried to speak to the couple then shot at the man who reportedly pulled out a gun on officers, killing him.</t>
  </si>
  <si>
    <t>https://www.thedenverchannel.com/news/crime/lakewood-police-investigating-officer-involved-shooting-outside-police-department</t>
  </si>
  <si>
    <t>James Hamilton Glaze</t>
  </si>
  <si>
    <t>7900 Sue Dr</t>
  </si>
  <si>
    <t>Ooltewah</t>
  </si>
  <si>
    <t>Police responded to a call about a suicidal person about 2 p.m. James Hilton Glaze allegedly pointed a weapon at the deputies, who shot and killed Glaze.</t>
  </si>
  <si>
    <t>https://www.timesfreepress.com/news/breakingnews/story/2019/sep/15/person-killed-ooltewah-officer-involved-shooting-identified/503638/</t>
  </si>
  <si>
    <t>Ranch Rd 674</t>
  </si>
  <si>
    <t>During a traffic stop at about 8 p.m. on Ranch Road 674 near Brackettville, a vehicle's passenger fired at the agents, injuring one. Another Border Patrol agent shot and killed the 25-year-old man.</t>
  </si>
  <si>
    <t>https://texasbreakingnews.com/breaking/border-patrol-agent-shot-during-traffic-stop-that-led-to-gunfire/</t>
  </si>
  <si>
    <t>Robert Anderson</t>
  </si>
  <si>
    <t>3000 2nd St</t>
  </si>
  <si>
    <t>Deputies received two calls about a domestic battery in progress. When they arrived, deputies were attacked by a man whom they shot and killed.</t>
  </si>
  <si>
    <t>http://www.kkoh.com/2019/09/03/officer-involved-shooting-under-investigation-in-lyon-county/</t>
  </si>
  <si>
    <t>Randall Gamboa</t>
  </si>
  <si>
    <t>601 N 5th St</t>
  </si>
  <si>
    <t>Officers were investigating a homicide and searching for Randall Gamboa at an apartment complex when they saw him walking and approached him. Gamboa allegedly shot at police, who shot and killed him.</t>
  </si>
  <si>
    <t>https://www.washingtontimes.com/news/2019/aug/30/authorities-teen-killed-by-police-in-carlsbad-fire/?utm_source=RSS_Feed&amp;utm_medium=RSS</t>
  </si>
  <si>
    <t>Roberto Mata</t>
  </si>
  <si>
    <t>321 Dal Paso</t>
  </si>
  <si>
    <t>Officers responded to a call of man armed with a gun at an Allsup's convenience store around 11:15 p.m. During the encounter, shots were exchanged by Roberto Mata and the officer. The officer shot and killed Mata.</t>
  </si>
  <si>
    <t>https://www.currentargus.com/story/news/2019/08/26/police-shooting-man-killed-carlsbad-hobbs-new-mexico/2120145001/</t>
  </si>
  <si>
    <t>600 Birchwood Dr</t>
  </si>
  <si>
    <t>North Aurora</t>
  </si>
  <si>
    <t>Officers responded about 11:15 p.m. for reports that a man armed with a handgun who was making suicidal statements and threatening to shoot someone. About 20 minutes later, they found the man, driving a gold Lincoln Navigator. The man was told to stop but continued into his driveway. The man reportedly held a gun to his own head before getting out of his vehicle and approaching the home. He tried to get in through the open garage door and reportedly ignored commands to stop before he was shot and killed.</t>
  </si>
  <si>
    <t>https://chicago.suntimes.com/crime/2019/8/22/20827893/north-aurora-police-officer-fatally-shoots-armed-man</t>
  </si>
  <si>
    <t>Jose Luis Campos Jr.</t>
  </si>
  <si>
    <t>2406 Charles Rd</t>
  </si>
  <si>
    <t>About 11:10 p.m., patrol officers responded to a welfare check call. Upon arrival, the officers observed Jose Campos Jr. standing in the middle of the street holding a handgun. Officers ordered Campos to drop the weapon. Campos reportedly raised the weapon to his head and told officers they would have to shoot him. He then fired his weapon. HPD Officer J. White shot and killed Campos.</t>
  </si>
  <si>
    <t>http://www.houstontx.gov/police/nr/2019/aug/nr190816-2.htm</t>
  </si>
  <si>
    <t>Neil Bond</t>
  </si>
  <si>
    <t>1301 Cowan Rd</t>
  </si>
  <si>
    <t>Just before 9 p.m., deputies responded to a report of a suicidal man sitting in a vehicle at Wyomia Tyus Park. When deputies arrived, they found the vehicle occupied by a man fitting the description that they had been given. Deputies said they began clearing people away to keep them out of danger. When deputies got to the vehicle's side window to talk to the driver, Neil Bond, he raised his handgun, and fired a shot. The deputies shot and killed him.</t>
  </si>
  <si>
    <t>https://www.11alive.com/article/news/crime/deputies-forced-to-make-split-second-decision-by-shooting-suicidal-man-at-park-who-produced-gun-they-say/85-e7b718b9-0875-41c6-a114-246ecc7ae4f4</t>
  </si>
  <si>
    <t>Gary J. Willis</t>
  </si>
  <si>
    <t>100 Linwood Ave</t>
  </si>
  <si>
    <t>Two officers serving a new Extreme Risk Protective Order (Red Flag Law), a Maryland protective order to remove guns from a household, shot and killed Gary J. Willis, the man listed on that order.</t>
  </si>
  <si>
    <t>https://baltimore.cbslocal.com/2018/11/05/fatal-officer-involved-shooting-in-anne-arundel-county/?fbclid=IwAR1mwsqP8D7ok_S_KCROS6YLFh87KggquBuEZUYKC-lBER9ggd027Ob3TU0#.XUh885wqlhY.facebook</t>
  </si>
  <si>
    <t>Jerry Reeves</t>
  </si>
  <si>
    <t>3700 Kellys Ferry Rd</t>
  </si>
  <si>
    <t>Around 4:30 a.m., officers responding to the call were told that Jerry Reeves was "armed with a long gun, holding three hostages," police said. Officers set up a perimeter around the residence and the on-duty hostage negotiation team established communication with the suspect in an attempt to persuade him to disarm himself and come outside, officials said. Reeves then came out with the long gun, and officers shot and killed him when he didn't drop it.</t>
  </si>
  <si>
    <t>https://www.timesfreepress.com/news/breakingnews/story/2019/jul/31/disorder-call-ends-officer-involved-shooting-kellys-ferry-road/500155/</t>
  </si>
  <si>
    <t>Jeffrey Bodie</t>
  </si>
  <si>
    <t>3000 Coreopsis Ct</t>
  </si>
  <si>
    <t>Police responded to a call about a disturbance at a house around 9:40 p.m. When officers arrived, Jeffrey Bodie was intoxicated and threatening to kill himself and then fired four rounds from a weapon, into and through the front door of the residence. A standoff lasted until about 11 p.m. when Bodie came outside with a rifle and confronted police, refusing to put down his gun. Police said he pointed the gun at officers, and officers shot and killed him.</t>
  </si>
  <si>
    <t>https://www.click2houston.com/news/league-city-standoff-ends-with-rifle-confrontation-mans-death-police-say</t>
  </si>
  <si>
    <t>Brandon Ray Stansel</t>
  </si>
  <si>
    <t>200 County Rd 687</t>
  </si>
  <si>
    <t>Angleton</t>
  </si>
  <si>
    <t>Brazoria County Sheriff's Office</t>
  </si>
  <si>
    <t>A car allegedly failed to stop for a deputy. Instead, it reportedly turned onto County Road 687 and pulled into a residential driveway. When the deputy was getting out of his patrol car, someone inside the car allegedly opened fire, striking the patrol car. The deputy shot and killed Brandon Ray Stansel, 36, and Kelly Danielle Brumley, 40.</t>
  </si>
  <si>
    <t>https://www.brownsvilleherald.com/news/texas/man-woman-killed-in-shootout-with-texas-deputy/article_006e6a69-e685-563c-b579-4657ed7367c0.html</t>
  </si>
  <si>
    <t>Kelly Danielle Brumley</t>
  </si>
  <si>
    <t>Dijon D. Watkins</t>
  </si>
  <si>
    <t>5000 Cranfill Dr.</t>
  </si>
  <si>
    <t>Officers responded to a shooting and found Dijon Watkins hiding nearby. He allegedly shot at officers and was shot and killed.</t>
  </si>
  <si>
    <t>http://www.fox4news.com/news/suspect-fatally-shot-by-dallas-officers-identified</t>
  </si>
  <si>
    <t>Johnny M. Vigil</t>
  </si>
  <si>
    <t>100 Central Ave</t>
  </si>
  <si>
    <t>Johnny M. Vigil was reportedly shooting at a Subway before a Tularosa Police officer shot and killed him. Details as to what precipitated the killing were withheld by police.</t>
  </si>
  <si>
    <t>https://www.alamogordonews.com/story/news/local/community/2019/07/08/police-shooting-results-death/1678667001/</t>
  </si>
  <si>
    <t>Ronnie Cole</t>
  </si>
  <si>
    <t>W 166th St and Summit Ave</t>
  </si>
  <si>
    <t>Ronnie Cole was reportedly being arrested for breaking into a car when he produced a gun, and police shot and killed him.</t>
  </si>
  <si>
    <t>https://nypost.com/2019/07/07/suspect-critically-injured-during-police-involved-shooting-in-the-bronx/</t>
  </si>
  <si>
    <t>Enrique Lopez</t>
  </si>
  <si>
    <t>US 70 Business</t>
  </si>
  <si>
    <t>Johnston County</t>
  </si>
  <si>
    <t>Enrique Lopez was allegedly driving a stolen tow truck when he was shot by a trooper. It wasn't immediately certain whether the high speed crash or the gunshot killed him. He apparently ran over spike strips which caused him to lose control of the tow truck, run through oncoming traffic and crash into a tree. No injuries or deaths were reported to bystanders.</t>
  </si>
  <si>
    <t>https://www.wfmynews2.com/article/news/local/suspect-dead-after-chase-shootout-involving-an-nc-state-trooper/83-3b4f6acb-25de-49d9-b9db-956aeb262d3d</t>
  </si>
  <si>
    <t>Dewayne Tackett</t>
  </si>
  <si>
    <t>800 Long St</t>
  </si>
  <si>
    <t>Pickaway</t>
  </si>
  <si>
    <t>Dewayne Tackett was allegedly driving a stolen car. Police said they saw a gun in the car. Police tasered Tackett, but he fled. He was then shot and killed.</t>
  </si>
  <si>
    <t>https://abc6onyourside.com/news/local/swat-situation-active-shooter-situation-in-ashville</t>
  </si>
  <si>
    <t>Thomas Ray Berry</t>
  </si>
  <si>
    <t>17700 Cedarwood Dr</t>
  </si>
  <si>
    <t>At 7:11 PM, deputies responded to the report of a domestic disturbance at residence. The reporting party told dispatch that a person was armed with a firearm and was inside the residence with a woman. Deputies arrived as the woman left the home and spoke with deputies. Shortly after, a man came out armed with a firearm and began shooting at deputies, who shot and killed him.</t>
  </si>
  <si>
    <t>http://www.riversidesheriff.org/press/chu19-0611.asp</t>
  </si>
  <si>
    <t>Roderick Bailey</t>
  </si>
  <si>
    <t>1515 IH-35E Frontage Road</t>
  </si>
  <si>
    <t>Police were called to an "ongoing" domestic disturbance at a home involving an armed man, Roderick Bailey. Police said a second call came in involving Bailey at the Magnuson Hotel. Police found Bailey sitting in his car in the hotel parking lot. Officers asked him to get out of his vehicle, but he failed to comply with orders, and he allegedly fired at least one shot at the officers from inside his vehicle. A DeSoto officer shot and killed him.</t>
  </si>
  <si>
    <t>http://www.fox4news.com/news/desoto-pd-officer-shoots-armed-suspect</t>
  </si>
  <si>
    <t>Third St and Peterboro St</t>
  </si>
  <si>
    <t>Wayne State University Police Department</t>
  </si>
  <si>
    <t>About 11:24 p.m. an officer responded to reports of a man firing a gun from a bicycle. Upon arrival, the man allegedly shot at the officer, and the officer shot and killed him.</t>
  </si>
  <si>
    <t>https://www.mlive.com/news/2019/06/man-allegedly-firing-a-gun-from-bicycle-dies-in-shootout-with-police-in-detroit.html</t>
  </si>
  <si>
    <t>Cody Wayne Seals</t>
  </si>
  <si>
    <t>5700 6th Ave</t>
  </si>
  <si>
    <t>Officers responded about 6:40 p.m. to a domestic disturbance call. Cody Wayne Seals reportedly chambered a round and pointed a long rifle at responding officers, then shut himself inside a home, police said. Later, he came out and pointed a flashlight at them, and police shot and killed him.</t>
  </si>
  <si>
    <t>https://www.dallasnews.com/news/crime/2019/06/03/barricaded-man-pointed-flashlight-officers-before-fatally-shot-fort-worth-police-say</t>
  </si>
  <si>
    <t>Tanglewood Blvd and Stagecoach Drive</t>
  </si>
  <si>
    <t>A woman called deputies about 1 a.m., saying a fight with a man escalated to violence. The two were in a relationship. Deputies met with the woman at a park nearby, away from the home, and learned that a child was still inside the house. They went to the home. Deputies were confronted outside by the man with a gun in hand. Deputies Brandon Senters, Jacob Adams and Michael Tapawan shot and killed him.</t>
  </si>
  <si>
    <t>https://www.news4jax.com/news/florida/clay-county/suspect-dead-following-deputy-involved-shooting-ccso-says</t>
  </si>
  <si>
    <t>Christopher L. Brown</t>
  </si>
  <si>
    <t>Big Branch Rd</t>
  </si>
  <si>
    <t>Vicco</t>
  </si>
  <si>
    <t>Christopher L. Brown was shot and killed, and Kentucky State Police Trooper Donnie Bruce Kelly was injured after being hit by Brown's car during a high-speed chase, police said.</t>
  </si>
  <si>
    <t>https://www.kentucky.com/news/local/crime/article230711249.html</t>
  </si>
  <si>
    <t>Lawrence Lee Lovato</t>
  </si>
  <si>
    <t>I-25 and W Main St</t>
  </si>
  <si>
    <t>Trinidad Police Department, Las Animas County Sheriff's Office</t>
  </si>
  <si>
    <t>Police were called to the Alta Convenience Store on a call of a suspicious person. They found Lovato there, and as they tried to speak with him, he got into his pickup truck and drove off. He attempted to escape, before police brought his truck to a stop on the on-ramp onto I-25. There, Lovato allegedly pulled out a handgun, and officers shot and killed him.</t>
  </si>
  <si>
    <t>https://www.thedenverchannel.com/news/crime/man-shot-and-killed-at-on-ramp-to-i-25-in-trinidad-after-fleeing-officers-cbi-says</t>
  </si>
  <si>
    <t>4200 Forest Hill Rd</t>
  </si>
  <si>
    <t>Around 5:30 p.m., officers arrived at an apartment. Neighbors had called police after hearing a loud argument. Neighbors said a woman and an infant left before a man barricaded himself in the apartment and refused to come out. A little after 9 p.m., police used explosives and entered the home. The man inside the apartment reportedly fired at least one shot and was shot and killed.</t>
  </si>
  <si>
    <t>https://gazette.com/news/man-killed-by-police-in-gunbattle-after-hourslong-standoff-at/article_808ac768-79f1-11e9-8f16-3fbd0d647cbf.html</t>
  </si>
  <si>
    <t>Jason Demarcus Larkin</t>
  </si>
  <si>
    <t>South Ave I &amp; County 19th St South</t>
  </si>
  <si>
    <t>San Luis Police Department</t>
  </si>
  <si>
    <t>Officers were called to Gadsden, a border town about 15 miles southwest of Yuma, around 1 p.m. in response to calls that Jason Demarcus Larkin was armed with two knives and blocking traffic. The San Luis Police Department officers ordered Larkin to drop the knives, but he failed to comply. Police then tasered him, but he reportedly continued to move toward the officers. One San Luis officer shot and killed Larkin.</t>
  </si>
  <si>
    <t>http://ktar.com/story/2565075/suspect-killed-in-officer-involved-shooting-in-southern-arizona/</t>
  </si>
  <si>
    <t>Welch</t>
  </si>
  <si>
    <t>Two troopers shot and killed a woman. Details as to what precipitated the killing were withheld by police.</t>
  </si>
  <si>
    <t>https://www.wboy.com/top-stories/suspect-killed-in-officer-involved-shooting/1963543263</t>
  </si>
  <si>
    <t>Daniel Gurule</t>
  </si>
  <si>
    <t>1200 Bohmen Ave</t>
  </si>
  <si>
    <t>Daniel Gurule was pulled over by a Pueblo police officer during a traffic stop, and when the officer processed his information, he found Gurule had an active arrest warrant for a traffic-related offense in Weld County. According to police, the officer asked Gurule to step out of the vehicle, but he allegedly sped from the scene. Police tracked Gurule to a residence and tried to make contact with him. Police said Gurule was armed with a handgun, and he allegedly refused to exit the residence. After a standoff, he allegedly threatened officers with the gun and was shot and killed.</t>
  </si>
  <si>
    <t>https://www.chieftain.com/news/20190427/pueblo-police-kill-man-in-overnight-standoff</t>
  </si>
  <si>
    <t>Blayne Erwin Morris</t>
  </si>
  <si>
    <t>Lincoln Ave and Avenal Cutoff Rd</t>
  </si>
  <si>
    <t>About 10 p.m., a Kings County deputy saw a car that matched a vehicle mentioned in an officer safety bulletin put out by the Fresno County Sheriff's Office. When the deputy tried to stop the car, it sped away, and officers from the Avenal Police Department and the California Highway Patrol along with a helicopter pursued. Morris stopped the car and ran and tried to hide in a field. Four deputies approached Morris, and reportedly ordered him to show his hands. A sheriff's dog was sicced on him, but he rolled to his side and reportedly pointed a handgun at a deputy. Another deputy shot and killed him.</t>
  </si>
  <si>
    <t>https://www.fresnobee.com/news/local/crime/article229714229.html</t>
  </si>
  <si>
    <t>Richard Allen Moench</t>
  </si>
  <si>
    <t>100 West Dawson Ave</t>
  </si>
  <si>
    <t>Toole</t>
  </si>
  <si>
    <t>Toole County Sheriff's Office, Great Falls Police Department, Conrad Police Department</t>
  </si>
  <si>
    <t>Richard Allen Moench was suspected of murdering 43-year-old Jeromy Wade Bryant and kidnapping a woman when he was shot and killed during a standoff with police. The woman was released physically unharmed.</t>
  </si>
  <si>
    <t>https://www.greatfallstribune.com/story/news/2019/04/24/kevin-shooting-victim-homicide-suspect-idd-toole-county-sheriffs-office-shelby-montana/3564578002/</t>
  </si>
  <si>
    <t>11779 S. Stone Ridge Lane</t>
  </si>
  <si>
    <t>Riverton police encountered a man who allegedly was illegally in possession of at least one gun. The man, a convicted felon, threatened and shot at police, and they shot and killed him.</t>
  </si>
  <si>
    <t>https://trib.com/news/local/crime-and-courts/riverton-police-shoot-and-kill-man-chief-says-man-shot/article_3634a9f1-27b1-59e3-953a-374a4ba284a6.html</t>
  </si>
  <si>
    <t>Shatelle Hooks</t>
  </si>
  <si>
    <t>1303 Lincoln Ave</t>
  </si>
  <si>
    <t>Christofer Kitto, 34, an off-duty Albany police officer, was at a residence when Shatelle Hooks brandished a knife and attempted to rob Kitto. Kitto had been at the Turning Stone Casino and was carrying more than $3,000 in cash. When confronted with the knife, Kitto shot and killed Hooks.</t>
  </si>
  <si>
    <t>https://cnycentral.com/news/local/utica-police-off-duty-police-officer-shoots-kills-syracuse-man-during-reported-robbery</t>
  </si>
  <si>
    <t>Jason A. Strahan</t>
  </si>
  <si>
    <t>1201 Williamson Ave</t>
  </si>
  <si>
    <t>Staunton</t>
  </si>
  <si>
    <t>Deputies responded around 10:57 p.m. for a report of a man acting erratically and trying to damage vehicles. Jason A. Strahan reportedly became combative with deputies during his arrest, and he was shocked with a stun gun. He was eventually taken into custody and died.</t>
  </si>
  <si>
    <t>https://www.kmov.com/news/man-dead-shortly-after-altercation-with-deputies-in-madison-county/article_b5741944-da4e-11e9-88a8-d354ae83c1e3.html</t>
  </si>
  <si>
    <t>Willie Lamont Sample</t>
  </si>
  <si>
    <t>Midland Boulevard and Tennyson Avenue</t>
  </si>
  <si>
    <t>Overland</t>
  </si>
  <si>
    <t>Overland Police Department</t>
  </si>
  <si>
    <t>Willie Sample was subdued and tasered several time during a chaotic arrest, and police apparently re-restrained him at the police station. He died at the police station.</t>
  </si>
  <si>
    <t>https://www.kmov.com/news/suspect-tased-by-officers-in-overland-dies/article_94d0ed34-cc25-11e9-93f0-47d392759fbd.html</t>
  </si>
  <si>
    <t>N Rothrock Rd &amp; Snipes Rd</t>
  </si>
  <si>
    <t>Prosser</t>
  </si>
  <si>
    <t>Benton County Sheriff's Office, Washington State Patrol</t>
  </si>
  <si>
    <t>Samuel Gonzales was killed when police used a Taser to stun him during his arrest following a car chase and standoff.</t>
  </si>
  <si>
    <t>https://www.usnews.com/news/best-states/washington/articles/2019-01-22/man-dies-after-police-use-taser-to-stun-him</t>
  </si>
  <si>
    <t>Preston Alexander Coleman</t>
  </si>
  <si>
    <t>I-16 and GA-199</t>
  </si>
  <si>
    <t>The driver of a 2005 Chevrolet Impala allegedly tried to avoid a license check at the exit ramp of State Route 199. A Laurens County deputy tried to stop the Impala by flashing his lights and sirens. A high-speed chase began and ended when the deputy rammed the Impala's right rear quarter panel. The driver of the Impala lost control and hit a tree, killing 21-year-old Tevin Blount, of Glennville, and 27-year-old Preston Coleman, of Vidalia and injuring a third.</t>
  </si>
  <si>
    <t>https://www.13wmaz.com/article/news/local/dublin/gsp-2-men-killed-in-pit-maneuver-to-end-laurens-county-high-speed-chase/93-30ab44ab-08ca-4e3f-a926-6676053ec903</t>
  </si>
  <si>
    <t>Tevin Blount aka Tevin Lemar Page</t>
  </si>
  <si>
    <t>LeEdwards "Pete" Hopkins</t>
  </si>
  <si>
    <t>https://fatalencounters.org/wp-content/uploads/2019/10/LeEdward-Hopkins.jpeg</t>
  </si>
  <si>
    <t>4517 US-59</t>
  </si>
  <si>
    <t>Lufkin Police Department, Nacogdoches County Constable's Office Precinct 1</t>
  </si>
  <si>
    <t>https://www.kansas.com/news/nation-world/national/article235071777.html</t>
  </si>
  <si>
    <t>Michael Veatch</t>
  </si>
  <si>
    <t>https://fatalencounters.org/wp-content/uploads/2019/11/MichaelVeach.jpg</t>
  </si>
  <si>
    <t>65303 Columbia River Hwy</t>
  </si>
  <si>
    <t>Deer Island</t>
  </si>
  <si>
    <t>St. Helens Police Department</t>
  </si>
  <si>
    <t>St. Helens Police were called to a shooting at a Chevron that turned into a chase down Highway 30. The chase ended with police using deadly force against Michael Veatch, killing him, though they won't say what force they used, and they have withheld details as to what precipitated the killing.</t>
  </si>
  <si>
    <t>https://katu.com/news/local/i-knew-he-was-gone-highway-30-suspects-girlfriend-says-he-was-on-a-downward-spiral</t>
  </si>
  <si>
    <t>NM-9</t>
  </si>
  <si>
    <t>Santa Teresa</t>
  </si>
  <si>
    <t>https://www.elpasotimes.com/story/news/immigration/2019/04/07/border-patrol-chase-ends-crash-2-migrants-killed-new-mexico/3394408002/</t>
  </si>
  <si>
    <t>Jeffrey Baldwin</t>
  </si>
  <si>
    <t>US-169 and NE Amory Road</t>
  </si>
  <si>
    <t>The driver of a sports utility vehicle failed to yield to law enforcement. The SUV hit a spike strip deployed by Clay County Sheriff's deputies. The vehicle went off the road and overturned, ejecting the driver and two passengers. The passengers, Wilma McClasky, 59, and Jeffery Baldwin, 36, were killed. The alleged driver, Kelly Cannon, 39, was hospitalized with serious injuries.</t>
  </si>
  <si>
    <t>https://fox4kc.com/2019/07/16/this-isnt-real-witness-recounts-horrifying-crash-that-left-2-people-dead-after-police-chase/</t>
  </si>
  <si>
    <t>Wilma McClasky</t>
  </si>
  <si>
    <t>Dominique Clayton</t>
  </si>
  <si>
    <t>https://fatalencounters.org/wp-content/uploads/2019/09/Dominique-Clayton.png</t>
  </si>
  <si>
    <t>1000 Suncrest Drive</t>
  </si>
  <si>
    <t>Oxford police officer Matthew Kinne is charged with murder in the shooting death of Dominique Clayton, 32. Clayton was allegedly shot in the back of the head on May 19 inside her home on Suncrest Drive.</t>
  </si>
  <si>
    <t>https://www.fox13memphis.com/top-stories/tempers-flare-after-cop-charged-with-mississippi-mother-s-murder-appears-in-court/951538188</t>
  </si>
  <si>
    <t>Christine Formisano</t>
  </si>
  <si>
    <t>https://fatalencounters.org/wp-content/uploads/2019/07/Christine-Formisano.png</t>
  </si>
  <si>
    <t>1 Mirror Place</t>
  </si>
  <si>
    <t>Newark police officer Lt. John Formisano shot and killed his estranged wife, Christine Formisano, and wounded her boyfriend before being arrested at his parent's home the following morning, police said.</t>
  </si>
  <si>
    <t>https://www.nj.com/morris/2019/07/newark-cop-shoots-and-kills-ex-wife-wounds-her-boyfriend-authorities-say.html?fbclid=IwAR1Lwb_MqKPEkpbWlDYOA_OX4ZnS8qC-bz_sztrr99E5uOgp3Cs4uZO_zn8</t>
  </si>
  <si>
    <t>Israel Miranda Jr.</t>
  </si>
  <si>
    <t>https://fatalencounters.org/wp-content/uploads/2019/09/israel-miranda-jr.jpg</t>
  </si>
  <si>
    <t>9800 Magnolia Street</t>
  </si>
  <si>
    <t>An off-duty San Bernardino County sheriff's deputy, Humberto Miranda, shot and killed his brother after Israel Miranda reportedly attacked family members with a knife during an argument that broke out during a family party.</t>
  </si>
  <si>
    <t>https://ktla.com/2019/04/07/off-duty-san-bernardino-fatally-shoots-brother-during-alleged-knife-attack-during-family-party-in-bloomington/?fbclid=IwAR1n3AG5l-x02-lHrBhxqFGWkzuFKyn2eQpZZeepjX9SKdkDALzqojBI9uA</t>
  </si>
  <si>
    <t>Eric Reason</t>
  </si>
  <si>
    <t>https://fatalencounters.org/wp-content/uploads/2019/11/Eric-Reason.jpg</t>
  </si>
  <si>
    <t>515 Fairgrounds Dr</t>
  </si>
  <si>
    <t>Eric Reason was shot and killed by an off-duty Richmond police officer reportedly during a fight over a parking spot.</t>
  </si>
  <si>
    <t>https://abc7news.com/mother-of-vallejo-man-killed-by-off-duty-cop-speaks-out-/5690838/</t>
  </si>
  <si>
    <t>Arthur Walton Jr.</t>
  </si>
  <si>
    <t>https://fatalencounters.org/wp-content/uploads/2019/11/Arthur-walton.jpg</t>
  </si>
  <si>
    <t>400 West Lake Street</t>
  </si>
  <si>
    <t>Melrose Park Police Department</t>
  </si>
  <si>
    <t>An unidentified off-duty Melrose Park police officer shot two brothers during an argument. Arthur Walton was killed. His brother was wounded.</t>
  </si>
  <si>
    <t>https://abc7chicago.com/melrose-park-police-officer-in-custody-for-off-duty-fatal-shooting-in-maywood/5498708/</t>
  </si>
  <si>
    <t>Javaon Ousley</t>
  </si>
  <si>
    <t>https://fatalencounters.org/wp-content/uploads/2019/09/JavaonOusley.jpg</t>
  </si>
  <si>
    <t>99 Knoxville Homes</t>
  </si>
  <si>
    <t>Javaon Ousley was shot and killed at a basketball court behind Knoxville Homes around 2 p.m. by an off-duty Lincoln police officer. Details on what led to the killing, including the officer's name, were withheld by police.</t>
  </si>
  <si>
    <t>https://www.waff.com/2019/08/14/alabama-am-student-fatally-shot-by-police-talladega/</t>
  </si>
  <si>
    <t>Patricia Spivey</t>
  </si>
  <si>
    <t>5013 Briscoe Street</t>
  </si>
  <si>
    <t>Harris County Sheriff's deputy Renard Spivey was off-duty when he called police at about 3 a.m. to report an accidental shooting at his home. He was charged with the fatal shooting of his wife, Patricia Spivey.</t>
  </si>
  <si>
    <t>https://www.dailymail.co.uk/news/article-7301785/Former-TV-bailiff-charged-wifes-murder.html?fbclid=IwAR09Op_1aMyBB77ank9XzBebAsDYIx0tdlNO-LKeKorJevnJTGnphcDu1ZY</t>
  </si>
  <si>
    <t>Lucky Miller</t>
  </si>
  <si>
    <t>https://fatalencounters.org/wp-content/uploads/2019/11/Lucky-Miller.jpg</t>
  </si>
  <si>
    <t>12 Via De Luna Dr</t>
  </si>
  <si>
    <t>Pensacola Beach</t>
  </si>
  <si>
    <t>Mannford Chief of Police Lucky Miller and Mannford Officer Michael Patrick Nealey, 49, were at a conference in Florida where the men were attending a training on child abuse investigations. Nealey and Miller reportedly fought, and Miller expired allegedly at Nealey's hands.</t>
  </si>
  <si>
    <t>https://www.wwltv.com/article/news/crime/oklahoma-police-chief-killed-in-florida/67-c2ed2778-59ed-40f5-9758-22ee5b0d235d?fbclid=IwAR0nLHG0S2eiJ37hdGQ81bZSGez8L8W6bkjSyOKrd3iz2tBnreaO0B4idys</t>
  </si>
  <si>
    <t>Benjamin Lloyd Cloer</t>
  </si>
  <si>
    <t>https://fatalencounters.org/wp-content/uploads/2019/12/Benjamin-Lloyd-Cloer.jpg</t>
  </si>
  <si>
    <t>6000 Old Jefferson Road</t>
  </si>
  <si>
    <t>Winford "Trey" Terrell Adams, an off-duty deputy with the Madison County Sheriff's Office, was arrested by Athens-Clarke County police for the murder of a 26-year-old man in what they described as a domestic dispute. The Athens-Clark County police responded to a call and found the victim shot multiple times. Adams was questioned at the scene and taken into custody. The investigation is being conducted by the Athens agency. The GBI is not involved with this investigation.</t>
  </si>
  <si>
    <t>https://www.ajc.com/news/crime--law/breaking-georgia-sheriff-deputy-arrested-murder-charge/oLYOf3g17KjdpplCUn5MrJ/</t>
  </si>
  <si>
    <t>Kelly Levinsohn</t>
  </si>
  <si>
    <t>https://fatalencounters.org/wp-content/uploads/2019/09/kelly-levinsohn.jpg</t>
  </si>
  <si>
    <t>5800 Pratt Avenue</t>
  </si>
  <si>
    <t>Around 8 p.m. on May 11, police received a call that someone on Pratt Avenue had been seriously injured or killed. The caller said the person responsible was employed by the Columbus Police Department and had been involved in a motor vehicle accident in Harris County. Sgt. William Talley was confirmed to be the driver of a wrecked vehicle in Harris County and was taken to Piedmont Columbus Regional for treatment of his injuries and was listed in critical condition. He was scheduled to appear in Recorder's Court on May 18, 2019, at 9 a.m. to face charges of murder, possession of a firearm during the commission of a crime and violation of oath.</t>
  </si>
  <si>
    <t>https://www.wtvm.com/2019/05/16/off-duty-columbus-police-officer-accused-murder-pratt-ave-released-hospital-taken-jail/</t>
  </si>
  <si>
    <t>Kansas City, KS Police Department</t>
  </si>
  <si>
    <t>Hoke County Sheriff's Office</t>
  </si>
  <si>
    <t>Colorado State University Police Department, Fort Collins Police Services</t>
  </si>
  <si>
    <t>Sonoma County Sheriff's Department, Sebastopol Police Department</t>
  </si>
  <si>
    <t>Santa Barbara PoliceDepartment</t>
  </si>
  <si>
    <t>California Highway Patrol, Sacramento County Sheriff's Department</t>
  </si>
  <si>
    <t>Riverside County Sheriff's Department,</t>
  </si>
  <si>
    <t>Riverside County Sheriff's Department Office</t>
  </si>
  <si>
    <t>Orange County Sheriff's Department, US Border Patrol</t>
  </si>
  <si>
    <t>Orange County NC Sheriff's Office</t>
  </si>
  <si>
    <t>Off-Duty</t>
  </si>
  <si>
    <t>Off-Duty Killing?</t>
  </si>
  <si>
    <t>car, knife and mace</t>
  </si>
  <si>
    <t>not fleeing</t>
  </si>
  <si>
    <t>no</t>
  </si>
  <si>
    <t>foot</t>
  </si>
  <si>
    <t>Macario Hernandez</t>
  </si>
  <si>
    <t>car</t>
  </si>
  <si>
    <t>Debra D. Arbuckle</t>
  </si>
  <si>
    <t>Malik Williams</t>
  </si>
  <si>
    <t>Michael Vincent Davis</t>
  </si>
  <si>
    <t>Cross Lanes</t>
  </si>
  <si>
    <t>https://www.wsaz.com/content/news/Shooting-reported-in-Cross-Lanes--566622021.html</t>
  </si>
  <si>
    <t>Deputies responded to a disturbance on Dawn Street at 11:30 p.m. Tuesday. Deputies were trying to talk to Davis when he started to walk away. Davis allegedly fired at least one shot at the deputies and the deputies fired back.</t>
  </si>
  <si>
    <t>Kanawha County Sheriff's Department</t>
  </si>
  <si>
    <t>Dawn Street</t>
  </si>
  <si>
    <t>Forney Police Department, Mesquite Police Department</t>
  </si>
  <si>
    <t>Burgess and partner Michael Puckett said they “observed suspicious activity” involving the 51-year-old Bradford. They claimed Bradford, who was riding a bike without a helmet, was in the alley and reaching into a car “occupied by unknown individuals.” When they went to confront him, Burgess took off on his bicycle. Puckett gave chase on foot; Burgess, in his squad car. Eventually, that chase took them to the 3100 block the Julius Schepps Freeway, where Burgess and Puckett insisted Bradford turned into the squad car. But that was not the case. Investigators eventually determined that Burgess ran over Bradford — then failed to call for an ambulance for several minutes, doing so only when Bradford began complaining about his injuries. Police also determined that the officers moved the squad car, Bradford and his bike, and told paramedics that someone else had hit the 51-year-old. Fred Bradford died from his injuries on May 13</t>
  </si>
  <si>
    <t>bike</t>
  </si>
  <si>
    <t>Marlon Brown fled from an attempted traffic stop, first in the vehicle he was driving, and then on foot. A minute later, as Brown ran through a field, two DeLand police officers who heard the call over the radio followed in their patrol cars. One of the police cars ended up knocking down a fence at the end of the field and ran over Brown.</t>
  </si>
  <si>
    <t>A man who officers say brandished a gun is dead after a police chase that culminated in a traffic crash on Interstate 75 in Saginaw County. Troopers used a precision immobilization technique to stop the vehicle</t>
  </si>
  <si>
    <t>An Arby's restaurant manager was robbed while heading out to make a bank deposit, police said. The suspects took off in a gold sedan, which Illinois State Police spotted on Interstate 57 heading toward Chicago. Chicago Police joined as the chase went off the highway, and an unmarked squad SUV rammed the suspects' car at the intersection of 124th Street and Union. Ronald Arrington and Jimmy Malone, who were inside the car, died after the crash.</t>
  </si>
  <si>
    <t>Gaskill was reportedly waving a handgun at passing motorists in the area of Canal Boulevard. Redmond Police responded after receiving a number of 911 calls about the man. A Redmond Police car intentionally hit Gaskill "to avoid the risk of crossfire."</t>
  </si>
  <si>
    <t>https://www.koin.com/news/da-wont-charge-officer-who-killed-armed-man-with-car/</t>
  </si>
  <si>
    <t>An alleged bank robber was chased by police at speeds of up to 130 mph. Police used spike strips against LeEdward Hopkins, causing him to crash and die.</t>
  </si>
  <si>
    <t>Robert Acevedo, 27, was charged with two counts of vehicle by homicide and resisting arrest in connection with a crash where two undocumented immigrants died following a chase with Border Patrol. The Border Patrol said in a news release that agents deployed tire-deflation spikes after the driver refused to stop.</t>
  </si>
  <si>
    <t>Taurino Martinez Guevara</t>
  </si>
  <si>
    <t>http://cdn.newsserve.net/v/20130402/4001801-More-details-about-police-shooting-in-Delano.jpg</t>
  </si>
  <si>
    <t>Fremont St &amp; 7th Ave</t>
  </si>
  <si>
    <t>Police responded to a 911 call of a domestic disturbance; on arriving they found the suspect assaulting his estranged wife with a box cutter and a wooden spoon. He refused to drop the weapons when ordered and continued to attack his wife. Delano police officer, Anthony Puente, opened fire killing Guevara and wounding his estranged wife. Kern County District Attorney's Office found the shooting justified in August 2013.</t>
  </si>
  <si>
    <t>http://www.bakersfieldnow.com/news/local/Police-Officer-shoots-man-stabbing-woman-in-the-face-200755161.html</t>
  </si>
  <si>
    <t>Michael Marselle</t>
  </si>
  <si>
    <t>http://investigations.myajc.com/overtheline/images/mugs/36.jpg</t>
  </si>
  <si>
    <t>1455 Ridgefield Drive</t>
  </si>
  <si>
    <t>Shot by officers who found him armed in his driveway following a 911 call that Marselle had fired a shotgun into the driver's side door of his girlfriend's SUV at their Roswell home. A relative told police Marselle was addicted to prescription pain medication and had a history of mental illness.</t>
  </si>
  <si>
    <t>Cleared by district attorney</t>
  </si>
  <si>
    <t>http://investigations.myajc.com/overtheline/database/#36</t>
  </si>
  <si>
    <t>Ernesto Gonzalez</t>
  </si>
  <si>
    <t>http://www.gutierrezfuneralchapels.com/fh_live/15000/15050/images/obituaries/3087841_wlpp.jpg</t>
  </si>
  <si>
    <t>US Route 87 &amp; Co Rd 2019</t>
  </si>
  <si>
    <t>Concho County Sheriff's Office</t>
  </si>
  <si>
    <t>Gonzalez, suicidal, left his residence in a red Honda, driving at a reckless speed. Lieutenant Brent Frazier and Warden Jacob Crumpton received a dispatch saying that the Honda was approaching them. They pulled Gonzalez over and told him to surrender the shotgun standing between his legs. He refused, then exited the vehicle and approached the officers. Lieutenant Frazier, who said that Gonzalez appeared to be racking a load into the shotgun, fatally shot Gonzalez.</t>
  </si>
  <si>
    <t>Grand jury/No bill or Cleared</t>
  </si>
  <si>
    <t>https://drive.google.com/open?id=0B_YUrB_q0WyCdk5XaGMwUU1HUUE</t>
  </si>
  <si>
    <t>Alan James Stokes</t>
  </si>
  <si>
    <t>http://www.marshallandmarshallfd.com/sitemaker/memsol_data/1378/995391/995391_profile_pic.jpg?1468375018</t>
  </si>
  <si>
    <t>Bosque</t>
  </si>
  <si>
    <t>Bosque County Sheriff's Office</t>
  </si>
  <si>
    <t>Deputies responded to a complaint that Stokes, on medication, was stabbing himself at a residence. They followed a blood trail from the porch of the residence to a dark bedroom. When Stokes saw the deputies, he revealed a handgun. The deputies told Stokes to drop it. Stokes pointed the handgun at the deputies. The deputy closest to the door fatally shot Stokes. The Texas Ranger Division investigated.</t>
  </si>
  <si>
    <t>http://www.wacotrib.com/news/police/bosque-county-sheriff-s-deputy-fatally-shoots-armed-man-authorities/article_c4b46d9b-06b0-5fb7-8577-ad4fc0c30851.html</t>
  </si>
  <si>
    <t>Rene Benito-Amaro</t>
  </si>
  <si>
    <t>https://whatzenalotionbar.files.wordpress.com/2014/09/rene-amaro.jpg?w=90&amp;h=90&amp;crop=1</t>
  </si>
  <si>
    <t>5725 Fondren Road</t>
  </si>
  <si>
    <t>Officers responding to a discharge of firearms call tried to detain Benito-Amaro, who fit the description of the alleged shooter. He fled, firing at officers. He hid at a strip mall, but was discovered by a police dog. Benito-Amaro pointed his gun at the dog and then at its handler, Officer Newman, who fatally shot him.</t>
  </si>
  <si>
    <t>http://www.houstontx.gov/police/nr/2013/aug/nr080613-1.htm</t>
  </si>
  <si>
    <t>Freddy Aleysi Gutierrez</t>
  </si>
  <si>
    <t>9290 Woodfair Dr</t>
  </si>
  <si>
    <t>A man flashed a gun at another man, who called police. Two officers responded. Gutierrez was identified as the man with the gun. The officers told Gutierrez to take his hands from his pockets. As he did so, he drew a pistol. Officers told him to drop it as he pointed it at them. Officer J. Medina shot Gutierrez in the chest and belly. He died at Ben Taub Hospital.</t>
  </si>
  <si>
    <t>http://www.click2houston.com/news/hpd-officer-shoots-man-4-times/21743386</t>
  </si>
  <si>
    <t>Shannon R. Spencer</t>
  </si>
  <si>
    <t>https://www.fatalencounters.org/wp-content/uploads/2018/12/10-14-2013-shannon-Spencer.png</t>
  </si>
  <si>
    <t>4413 Paletz Court</t>
  </si>
  <si>
    <t>Huber Heights</t>
  </si>
  <si>
    <t>Huber Heights Police Department</t>
  </si>
  <si>
    <t>Shannon R. Spencer made "suicide by cop" threats before exiting the home carrying a gun and refusing to disarm himself at the urging of officers. Officers subsequently shot and killed him.</t>
  </si>
  <si>
    <t>http://www.daytondailynews.com/news/crime--law/man-killed-huber-heights-officer/jiaxOZSkAcDCVp3F1CnpAJ/</t>
  </si>
  <si>
    <t>Paul Gordon Thayer</t>
  </si>
  <si>
    <t>3800 Mobile Hwy</t>
  </si>
  <si>
    <t>Deputies responded to an evening burglary-in-progress call at a self-storage facility. Thayer appeared with a gun in hand. According to police he refused to drop his weapon, and he was fatally shot.</t>
  </si>
  <si>
    <t>http://www.northescambia.com/2013/01/burglary-suspect-shot-by-deputies-is-identified</t>
  </si>
  <si>
    <t>Skyler Stewart</t>
  </si>
  <si>
    <t>http://media.pennlive.com/midstate_impact/photo/12446083-thumb_square_large.jpg</t>
  </si>
  <si>
    <t>Paxtonia</t>
  </si>
  <si>
    <t>Lower Paxton Township Police Department</t>
  </si>
  <si>
    <t>Skyler Stewart was shot and killed by police when he pulled a gun on officers who tried to arrest him in connection with an assault the day before. Stewart shot a police dog and ran into the woods; when he came back out of the woods he was shot by a Lower Paxton officer and died later at Penn State Milton S. Hershey Medical Center.</t>
  </si>
  <si>
    <t>http://www.pennlive.com/midstate/index.ssf/2013/03/skyler_stewart_described_as_lo.html</t>
  </si>
  <si>
    <t>Jimmy Wayne Birchfield</t>
  </si>
  <si>
    <t>https://usgunviolence.files.wordpress.com/2013/11/jimmy-wayne-birchfield1.png?w=625</t>
  </si>
  <si>
    <t>Enid Police Officers responded to a 911 call from a woman stating that her son, who resided with her, was threatening to kill her and her dogs. When they arrived, the officers were confronted by Birchfield, in his wheelchair, with a shotgun. An officer fired at Birchfield hitting him in the chest; he died later at a local hospital. Officer Jacob McKinley was cleared of any charges by District Attorney Mike Fields in April 2013.</t>
  </si>
  <si>
    <t>http://www.koco.com/news/oklahomanews/around-oklahoma/OSBI-Wheelchair-bound-man-killed-in-Enid-officer-involved-shooting/19452472</t>
  </si>
  <si>
    <t>Rick Marlowe</t>
  </si>
  <si>
    <t>http://www.gannett-cdn.com/-mm-/2f5d7a6e607da7560854cfe1de303beb03eb5859/c=0-0-680-510&amp;r=x404&amp;c=534x401/http/king-download.edgesuite.net/archive/images/032913hoquiamsuspect.JPG</t>
  </si>
  <si>
    <t>2108 Aberdeen Avenue</t>
  </si>
  <si>
    <t>Hoquiam police officers were attempting to serve a felony arrest warrant for Rick Marlowe; they had tried earlier in the day but he had given them a false ID. When they returned, Marlowe opened fire, striking one of the officers. After a standoff, with officers using tear gas Marlowe resisted with a gas mask, the house caught on fire. Marlow exited the burning house with a handgun, refused to drop it and was shot and killed by SWAT team members. Shooting was ruled justified by Grays Harbor Prosecutor.</t>
  </si>
  <si>
    <t>http://q13fox.com/2013/03/28/breaking-news-fiery-standoff-in-hoquiam/#axzz2oAstG5cf</t>
  </si>
  <si>
    <t>Waylen J. Wealot</t>
  </si>
  <si>
    <t>A fight occurred when some people in a van threatened Wealot's brother. Wealot began firing at the van. Police ordered Wealot to stop shooting. They claim he failed to comply, and they shot him. Wealot's mother claims he had dropped the gun before the police fired. She filed a wrongful death suit.</t>
  </si>
  <si>
    <t>http://www.kmbc.com/news/mother-of-man-shot-by-kansas-city-police-sues/25321048</t>
  </si>
  <si>
    <t>Thomas O'Dell</t>
  </si>
  <si>
    <t>http://www.fox16.com/media/lib/9/f/2/d/f2d656db-2121-41b8-a4a3-67022bf37caf/Story.jpg</t>
  </si>
  <si>
    <t>3395 Hwy 5</t>
  </si>
  <si>
    <t>Police responded to report of a burglary at 3395 Hwy 5 and found the suspect in the parking lot. Police told him multiple times to drop his gun, when he refused he was shot and killed. O'Dell was also wanted in connection with a murder in Mattoon.</t>
  </si>
  <si>
    <t>http://herald-review.com/news/local/mattoon-murder-suspect-o-dell-dies-in-shootout-with-arkansas/article_8edcba98-9cd9-11e2-a998-001a4bcf887a.html</t>
  </si>
  <si>
    <t>William E. Morris</t>
  </si>
  <si>
    <t>http://tribwxin.files.wordpress.com/2013/04/william-morris-mug.jpg</t>
  </si>
  <si>
    <t>William E. Morris was a passenger in a car pulled over for failing to stop at a stop sign. When officers told the passengers to exit the vehicle Morris pulled out a gun and refused to put it down. Officer Bryan Zotz struggled with Morris for the gun, and another officer opened fire killing Morris.</t>
  </si>
  <si>
    <t>http://fox59.com/2013/04/03/officer-recovering-suspect-killed-had-long-criminal-past/#axzz2tFBy4q1S</t>
  </si>
  <si>
    <t>Matthew Renard Joseph</t>
  </si>
  <si>
    <t>http://media2.wxyz.com//photo/2013/04/03/Matthew_Renard_Joseph_20130403124725_640_480.JPG</t>
  </si>
  <si>
    <t>Linwood Street and Hooker Street</t>
  </si>
  <si>
    <t>Matthew Renard Joseph, a suspect in a killing, was shot and killed in an exchange of gunfire with Detroit Police after they attempted to apprehend him in his vehicle.</t>
  </si>
  <si>
    <t>http://www.wxyz.com/news/region/detroit/sources-indentify-matthew-joseph-as-man-killed-after-shooting-two-detroit-police-officers</t>
  </si>
  <si>
    <t>Lori Lee Lee</t>
  </si>
  <si>
    <t>6398 County Road FS</t>
  </si>
  <si>
    <t>Champion</t>
  </si>
  <si>
    <t>Michigan State Police, Marquette County Sheriff's Office</t>
  </si>
  <si>
    <t>Officers from the Michigan State Police and Marquette County Sheriff's Office responded to a 911 call of domestic violence involving a gun. They found Lori Lee Lee armed with a rifle that she refused to drop when ordered. She was shot and killed.</t>
  </si>
  <si>
    <t>http://wnmufm.org/post/update-trooper-shoots-champion-woman</t>
  </si>
  <si>
    <t>Robert Hensley</t>
  </si>
  <si>
    <t>https://usgunviolence.files.wordpress.com/2014/01/robert-hensley.jpg?w=625</t>
  </si>
  <si>
    <t>700 E Market Street</t>
  </si>
  <si>
    <t>Celina Police Department</t>
  </si>
  <si>
    <t>Police responded to a 911 call of a man waving a pistol around; Robert Hensley was shot and killed. The gun was later found to be unloaded, and the city of Celina paid Hensley's family a $800,000 settlement for civil rights violations. Celina Officer Regedanz was cleared.</t>
  </si>
  <si>
    <t>http://www.dailystandard.com/archive/2013-04-11/stories/20770/armed-man-killed-by-cop</t>
  </si>
  <si>
    <t>After a short pursuit, police said Presnall pointed a gun at two Michigan State Police troopers and refused orders to put it down. Troopers then fired, killing Presnall, police and prosecutors said. The troopers were not wearing uniforms but had clearly marked police gear, police have said.</t>
  </si>
  <si>
    <t>http://www.mlive.com/news/flint/index.ssf/2013/10/prosecutor_says_michigan_state.html</t>
  </si>
  <si>
    <t>John David Tuck</t>
  </si>
  <si>
    <t>Downing Street and E. 29th Ave.</t>
  </si>
  <si>
    <t>Tuck was having a mental breakdown, threatening passersby with a knife. Police tried less lethal methods before killing him with a gun.</t>
  </si>
  <si>
    <t>http://www.denverda.org/News_Release/Decision_Letters/2013%20BechtoldShootLetter.pdf</t>
  </si>
  <si>
    <t>Jeffrey Paul Watts</t>
  </si>
  <si>
    <t>https://www.fatalencounters.org/wp-content/uploads/2018/12/Jeffrey-Paul-Watts-9-23-2013.jpg</t>
  </si>
  <si>
    <t>Brockton Police Department, Massachusetts State Police</t>
  </si>
  <si>
    <t>Thomas Ardd</t>
  </si>
  <si>
    <t>http://media.graytvinc.com/images/440*350/THOMAS+L+ARDD.jpg</t>
  </si>
  <si>
    <t>C R 370 &amp; Interstate 59</t>
  </si>
  <si>
    <t>Thomas Ardd led police on a high speed chase that started in Meridian and ended in Clarke County. Police said Ardd refused to stop, lost control and hit a police vehicle head on. He then got out of his vehicle, pointed a gun at officers and refused to drop it before two officers opened fire. Ardd was pronounced dead at the scene.</t>
  </si>
  <si>
    <t>http://www.msnewsnow.com/story/23861024/man-who-allegedly-points-gun-at-cops-killed-following-chase</t>
  </si>
  <si>
    <t>Sengaroune Silaphanhdeth</t>
  </si>
  <si>
    <t>4020 Olive Hwy</t>
  </si>
  <si>
    <t>Out-of-state federal fugitive and reported gang member Silaphanhdeth was located by deputies in the parking lot of a casino, passed out, with wipers going on a dry morning. The evidently groggy suspect had a handgun close by in the car, but had not touched it before Deputy Jason Piazza,shot him to death.</t>
  </si>
  <si>
    <t>http://www.chicoer.com/general-news/20130717/7-pm-update-fatal-shooting-by-deputy-at-oroville-casino-ruled-justified/1</t>
  </si>
  <si>
    <t>Jonathan Alvarado</t>
  </si>
  <si>
    <t>1015 Essex Road</t>
  </si>
  <si>
    <t>Westbrook</t>
  </si>
  <si>
    <t>Old Saybrook Department of Police Services</t>
  </si>
  <si>
    <t>Police responded to an armed robbery incident at the Days Inn about 3 p.m. Two armed men were identified. Old Saybrook police officers saw a suspect vehicle leaving the area and chased them. Troopers responded as well and the pursued vehicle fled onto Route 153 (Essex Road) into Westbrook, where the suspect vehicle became involved in a collision with a state trooper's vehicle. Following the collision, gunfire was exchanged between two men and a state trooper. Trooper Scott Wisner was wounded, and Jonathan Alvarado was killed.</t>
  </si>
  <si>
    <t>https://portal.ct.gov/DCJ/Whats-News/Reports-on-the-Use-of-Force-by-Peace-Officers/2013---April---Jonathan-Alvarado---Westbrook</t>
  </si>
  <si>
    <t>Jose Zamora-Guerrero</t>
  </si>
  <si>
    <t>5937 Beachview Dr</t>
  </si>
  <si>
    <t>Dushine James Smith</t>
  </si>
  <si>
    <t>http://woodsvalentinefh.frontrunnerpro.com/book-of-memories/1475128/Smith-Dushine/obituary.php</t>
  </si>
  <si>
    <t>An off-duty officer shot and killed Dushine James Smith when he allegedly confronted the officer with a gun.</t>
  </si>
  <si>
    <t>http://www.pe.com/articles/police-660367-officer-corona.html</t>
  </si>
  <si>
    <t>Tomas G. Ramirez Gonzalez</t>
  </si>
  <si>
    <t>4139 W Bell Road</t>
  </si>
  <si>
    <t>An off-duty Phoenix Police Officer shot two men, killing one, outside the Hurricane Bay nightclub for attempting to steal a refrigerator out of the back of a truck. The officer, Gary Schonfelder, was working as security for the nightclub. When he went into the parking lot around 4 a.m. he saw two men trying to steal a refrigerator out of the back of his truck. The two suspects fled to an SUV and pulled out guns. Schonfelder pulled his service weapon, identified himself as a police officer and when they did not drop the weapons, opened fire, killing Tomas G. Ramirez Gonzalez and wounding Adrian De La Cruz. Suspect Jose Luis Chacon was arrested.</t>
  </si>
  <si>
    <t>http://www.kpho.com/story/21836047/arrest-made-in-police-shooting-that-killed-1-suspect-wounded-another</t>
  </si>
  <si>
    <t>Ernest Zaus Jaquine Barnett</t>
  </si>
  <si>
    <t>http://media.cmgdigital.com/shared/img/photos/2013/07/19/aa/f7/shooting1.jpg</t>
  </si>
  <si>
    <t>1136 Crescent Ave NE</t>
  </si>
  <si>
    <t>Barnett died 21 days after being shot by two off-duty local police more than 12 times in the parking lot of a nightclub. His family admitted that he'd been armed, but the gun hadn't been fired, and he was only trying to defend himself in a confusing group fight.</t>
  </si>
  <si>
    <t>http://www.wsbtv.com/news/news/local/mother-police-went-overboard-when-shooting-son/nYxYJ/</t>
  </si>
  <si>
    <t>Chandler T. Guinn Jr.</t>
  </si>
  <si>
    <t>52nd Street and Troost Avenue</t>
  </si>
  <si>
    <t>Rockhurst University Safety and Security Department</t>
  </si>
  <si>
    <t>A Rockhurst University officer shot Chandler T. Guinn Jr. after he allegedly got out of a disabled car, yelled at people and pointed a gun at the officer. According to police, Guinn was in a traffic accident near the campus at about 3 p.m. Guinn then reportedly tried to drive away, but his car stopped working in the intersection of 52nd and Troost. He got out of the car and started yelling at bystanders, waving a gun. Witnesses said Guinn started to take his clothes off in the street and threatened a doctor who came to help. Guinn then allegedly pointed the gun at a campus officer, who shot Guinn. Guinn died at an area hospital.</t>
  </si>
  <si>
    <t>http://fox4kc.com/2013/01/03/one-person-dead-following-east-side-wreck-shooting/</t>
  </si>
  <si>
    <t>William Alfred Shaw</t>
  </si>
  <si>
    <t>100 N 7th St</t>
  </si>
  <si>
    <t>Police came into the home of Shaw during a domestic violence call. Shaw pointed a laser hand gun at one of the officers and was shot.</t>
  </si>
  <si>
    <t>http://archive.azcentral.com/community/phoenix/articles/20130318phoenix-police-dead-downtown-officer-involved-shooting-abrk.html</t>
  </si>
  <si>
    <t>Howard J. Tungseth</t>
  </si>
  <si>
    <t>1605 Evona Court</t>
  </si>
  <si>
    <t>Modesto Police officers responded to a domestic disturbance call that an armed man had his wife hostage in their home. When SWAT officers went into the home after an 11 hour standoff to help the wife, Tungseth allegedly pointed his gun at them. He was shot by Sgt. Rigo DeAlba and and Det. Gary Guffey of the Modesto Police Department. Tungseth reportedly fought in WWII.</t>
  </si>
  <si>
    <t>http://fox40.com/2013/03/26/elderly-modesto-man-killed-in-officer-involved-shooting-identified/</t>
  </si>
  <si>
    <t>Theodore Jones IV</t>
  </si>
  <si>
    <t>http://archive.wbir.com/images/640/360/2/assetpool/images/130321091925_marine_pic.JPG</t>
  </si>
  <si>
    <t>1811 E. Broadway Ave</t>
  </si>
  <si>
    <t>Maryville</t>
  </si>
  <si>
    <t>Maryville Police Department, Blount County Sheriff's Office</t>
  </si>
  <si>
    <t>Maryville Police officers and Blount County Sheriff's deputies responded to calls of shots fired. One responding officer was shot at, and the armed suspect was seen entering a flower shop. The suspect came back out and refused to drop the gun. One Blount County deputy and two Maryville Police officers returned fire. Lance Cpl. Theodore Jones IV, 27, an Iraq War veteran and former Marine, was transported to University of Tennessee Medical Center where he died.</t>
  </si>
  <si>
    <t>http://www.thedailytimes.com/news/man-shot-by-law-officers-was-iraq-war-veteran-maryville/article_6ccbab3e-7670-5fcb-a7f1-f60ef075205a.html</t>
  </si>
  <si>
    <t>Mark E. Warner</t>
  </si>
  <si>
    <t>221st Avenue and Van Buren Street</t>
  </si>
  <si>
    <t>Buckeye Police officers responded to an armed robbery call at Bank of America and tracked the suspect to a desert area about two miles east of the bank. He did not respond to commands, pointed his gun at officers, and shot a police dog. Officers returned fire at Warner, striking him several times, ultimately killing him.</t>
  </si>
  <si>
    <t>http://archive.azcentral.com/community/swvalley/articles/20130326dps-investigating-buckeye-police-involved-shooting-brk.html</t>
  </si>
  <si>
    <t>Samuel E. George</t>
  </si>
  <si>
    <t>18807 Volunteer Dr</t>
  </si>
  <si>
    <t>Rawlings</t>
  </si>
  <si>
    <t>Samuel E. George was shot by Maryland State Police after wounding his brother and firing at his father, he died the next day at Shock Trauma in Baltimore. State troopers and deputies from the Allegany County Sheriff's Office responded to a 911 call from George's wife that he was destroying their home and threatened to kill himself. George then walked to the home of his father and brother, threatened them and fired his handgun at them. Officers confronted George and when he refused to drop the weapon and pointed it at them, two troopers fired their 12-gauge shotguns.</t>
  </si>
  <si>
    <t>http://www.times-news.com/news/local_news/police-rawlings-shooter-dead/article_309f8d7f-af13-5009-8646-fb8089da9710.html</t>
  </si>
  <si>
    <t>Kodie Victor</t>
  </si>
  <si>
    <t>Police responded to a report of a suicidal man with a handgun. While they talked to Kodie Victor, he pointed his gun at Cottonwood Police Officer Scott Dever, who shot and killed him.</t>
  </si>
  <si>
    <t>http://verdenews.com/main.asp?SectionID=1&amp;SubSectionID=1&amp;ArticleID=68278</t>
  </si>
  <si>
    <t>Harold Lee Daniels</t>
  </si>
  <si>
    <t>Oak Forest Drive</t>
  </si>
  <si>
    <t>Rapidan</t>
  </si>
  <si>
    <t>Two deputies visited the Daniels residence to follow up on a white SUV going almost 100 MPH down a nearby rural road, and failing to cooperative with a traffic stop. Daniels is said to have pulled out a handgun while talking to the deputies, and he was fatally shot.</t>
  </si>
  <si>
    <t>http://www.nbcwashington.com/news/local/Culpeper-Deputy-Shoots-and-Kills-Suspect-202675951.html</t>
  </si>
  <si>
    <t>Beau Appleton</t>
  </si>
  <si>
    <t>406 9th St Terrace</t>
  </si>
  <si>
    <t>Warrensburg</t>
  </si>
  <si>
    <t>Warrensburg Police Department</t>
  </si>
  <si>
    <t>Warrensburg police officers shot and killed Beau Appleton while serving a no-knock warrant (drug raid) for narcotics, narcotics paraphernalia and firearms on him at his home. When officers entered the home, they found Appleton armed with a shotgun. He allegedly fired at them, and they returned fire killing, him in front of his wife.</t>
  </si>
  <si>
    <t>http://ksisradio.com/warrensburg-police-shoot-and-kill-armed-suspect-while-serving-search-warrant/</t>
  </si>
  <si>
    <t>Theodule LeJeune Jr.</t>
  </si>
  <si>
    <t>Eska Creek Street</t>
  </si>
  <si>
    <t>Sutton-Alpine</t>
  </si>
  <si>
    <t>Troopers came to serve a domestic-protective order on LeJeune at his house. He retreated further into the house and at one point raised a shotgun at officers. Officers retreated peacefully and returned the next day with new warrants, and fired a "wide variety of chemical and non-chemical irritants" into the house. Ultimately, they fatally shot LeJeune to resolve the standoff.</t>
  </si>
  <si>
    <t>http://www.adn.com/article/20130524/trooper-shoots-kills-sutton-man-standoff-over-restraining-order</t>
  </si>
  <si>
    <t>Randy Baldwin</t>
  </si>
  <si>
    <t>Kentucky 40 and State Highway 580</t>
  </si>
  <si>
    <t>A state trooper took Baldwin in, finding him intoxicated at a road intersection. Baldwin's bulky clothing prevented a full search. On the drive Baldwin told the trooper that he had a gun, and would kill him unless he pulled over. The trooper pulled over and in the ensuing confrontation Baldwin ended up with a single fatal bullet to the chest.</t>
  </si>
  <si>
    <t>http://www.floydcountytimes.com/view/full_story/1431043/article-Suspect-shot-and-killed-by-state-trooper-while-in-custody</t>
  </si>
  <si>
    <t>Eric Reed</t>
  </si>
  <si>
    <t>AZ-264 &amp; Lagoon Rd</t>
  </si>
  <si>
    <t>Window Rock</t>
  </si>
  <si>
    <t>Navajo Nation Police</t>
  </si>
  <si>
    <t>Reed was told by Navajo police to put his gun down after responding to two domestic altercations calls. When he refused, one officer shot him, causing a shot to hit another civilian.</t>
  </si>
  <si>
    <t>http://navajotimes.com/news/2013/0913/091313shooting.php#.VkeWPvmrTIU</t>
  </si>
  <si>
    <t>Benjamin Hickey</t>
  </si>
  <si>
    <t>4580 White City Road</t>
  </si>
  <si>
    <t>Fulton County Police Department</t>
  </si>
  <si>
    <t>Jared Albert Alvarez</t>
  </si>
  <si>
    <t>Houston Police Department officers observed Jared Albert Alvarez driving erratically and attempted to pull him over. He refused to stop and turned down a cul-de-sac, where his vehicle got lodged on a rock. Officer Fikes walked towards the vehicle ordered Alvarez out. Alvarez opened fire, wounding the officer in both arms. Officer Dodson returned fire, killing Alvarez at the scene.</t>
  </si>
  <si>
    <t>http://www.chron.com/news/houston-texas/houston/article/HPD-officer-wounded-suspect-killed-in-shootout-4362891.php</t>
  </si>
  <si>
    <t>Ponciano Montemayor</t>
  </si>
  <si>
    <t>http://ak-cache.legacy.net/legacy/Images/Cobrands/DignityMemorial/Photos/971a90e7-e0b0-4720-9c19-df48ab4180ec.jpg</t>
  </si>
  <si>
    <t>1628 Birchwood St</t>
  </si>
  <si>
    <t>Officers served a narcotics warrant at a residence. Knowing that Montemayor, in the residence, was armed, they called SWAT. SWAT officers arrived, announced themselves with a loudspeaker and tried to enter the residence through the front and side. As officers broke a window on the side of the house, Montemayor pointed a pistol at them. They shot him. He was taken to Ben Taub Hospital, but was dead when he arrived.</t>
  </si>
  <si>
    <t>http://www.click2houston.com/news/Man-shot-killed-after-SWAT-situation/22114616</t>
  </si>
  <si>
    <t>Esau Castellanos-Bernal</t>
  </si>
  <si>
    <t>Esau Castellanos-Bernal was first seen by police speeding, then he crashed into some parked cars and stopped in the street. As officers got close to the car to investigate, Castellanos-Bernal opened fire on them. They returned fire and Castellanos-Bernal was pronounced dead at the scene by the Cook County Medical Examiner's Office.</t>
  </si>
  <si>
    <t>http://chicago.cbslocal.com/2013/03/16/police-shoot-kill-man-in-albany-park-neighborhood/</t>
  </si>
  <si>
    <t>Evan Spencer Ebel</t>
  </si>
  <si>
    <t>http://i0.huffpost.com/gen/1053207/images/s-EVAN-SPENCER-EBEL-large.jpg</t>
  </si>
  <si>
    <t>200 Rook Ramsey Dr</t>
  </si>
  <si>
    <t>Wise County Sheriff's Office, Decatur Police Department</t>
  </si>
  <si>
    <t>Deputy James Boyd on a routine traffic stop in Montague County was shot at by the driver, Evan Spencer Ebel, and struck twice in his chest and once in the ear. He was wearing a bulletproof vest and sustained minor injury. Ebel was seen again near Decatur on U.S. 287 traveling upwards of 100 mph, and fired out his window at the police officers, and state troopers following behind. Ebel collided with an 18-wheeler, then got out of the car and opened fire on officers, who fired back. Ebel was hit and taken to John Peter Smith Hospital, where, according to Wise County Sheriff David Walker, he is "legally deceased" awaiting organ harvesting. Ebel is suspected of killing Tom Clements, the executive director of the Colorado Department of Corrections, and pizza delivery man Nathan Leon. Ebel has been affiliated with the Nazi prison gang "211s," aka the Brotherhood of Aryan Alliance.</t>
  </si>
  <si>
    <t>http://www.huffingtonpost.com/2013/03/24/evan-spencer-ebel-colorado_n_2943421.html</t>
  </si>
  <si>
    <t>Robert Kevin Hughes</t>
  </si>
  <si>
    <t>http://www.wdbj7.com/image/view/-/20523626/medRes/1/-/maxh/480/maxw/640/-/75vuvyz/-/IMG---wdbj7-person-shot-at-christiansburg-church-20130410.jpg</t>
  </si>
  <si>
    <t>Montgomery County Sheriff's Office, Christiansburg Police Department</t>
  </si>
  <si>
    <t>Montgomery County Sheriff's deputies and the Christiansburg police officers were trying to serve a felony drug warrant on Robert Kevin Hughes at his home. When they arrived he tried to run away from officers, and fired at them. Officers returned fire and Hughes died at the scene.</t>
  </si>
  <si>
    <t>http://articles.wdbj7.com/2013-04-11/enforcement_38442248</t>
  </si>
  <si>
    <t>Abel Reyna Jr.</t>
  </si>
  <si>
    <t>1420 N Interstate 35 East Service Rd</t>
  </si>
  <si>
    <t>Officers responded to a call of shots being fired outside a DeSoto residence and saw the suspect flee in his vehicle. They followed him to the Spanish Trails Inn off Interstate 35 and Pleasant Road just inside Lancaster city limits, where he stopped the vehicle and pulled out a weapon. He refused to drop it when instructed, and was shot and killed.</t>
  </si>
  <si>
    <t>http://crimeblog.dallasnews.com/2013/03/desoto-police-shoot-kill-armed-man-at-lancaster-hotel-after-brief-car-chase.html/</t>
  </si>
  <si>
    <t>Wesley Davis</t>
  </si>
  <si>
    <t>http://www.koat.com/image/view/-/19478934/medRes/1/-/maxh/460/maxw/620/-/q1pltxz/-/wes-davis-2.jpg</t>
  </si>
  <si>
    <t>3824 National Parks Highway</t>
  </si>
  <si>
    <t>Eddy County Sheriff's Office, Carlsbad Police Department</t>
  </si>
  <si>
    <t>Pecos Valley Drug Task Force agents attempted to make contact with Wesley Davis to serve him with an outstanding felony narcotics warrant. An altercation began when they tried to arrest Davis, he did not comply with commands, shot at officers, and was shot and killed.</t>
  </si>
  <si>
    <t>http://www.demingheadlight.com/ci_22879083/artesia-man-fatally-shot-calrsbad-shootout</t>
  </si>
  <si>
    <t>Adam James Trahan</t>
  </si>
  <si>
    <t>http://www.duhonfuneralhome.com/include/storage/67735/DeathRecordStub/1540757/converted/150x227-adam_james_trahan.jpg</t>
  </si>
  <si>
    <t>6144 Leger Road</t>
  </si>
  <si>
    <t>Acadia Parish Sheriff's Office</t>
  </si>
  <si>
    <t>At around 3 a.m., James Adam Trahan was shot and killed by deputy Tyler Broussard when Trahan allegedly shot deputy Conan Smith in the leg while struggling with Broussard. Deputies were answering a shots fired call. Broussard shot Trahan several times.</t>
  </si>
  <si>
    <t>http://www.kplctv.com/story/21908625/suspect-killed-deputy-wounded-in-shooting</t>
  </si>
  <si>
    <t>Cleman R. Sweptson Jr.</t>
  </si>
  <si>
    <t>https://usgunviolence.files.wordpress.com/2014/01/cleman-r-sweptson-jr.jpg?w=625</t>
  </si>
  <si>
    <t>Sheridan Rd SE &amp; Bowen Rd SE</t>
  </si>
  <si>
    <t>Police approached Sweptson a little after three in the morning, on a bicycle and with an open container of alcohol, because he was "acting strangely." According to the police accounted Sweptson pulled a 9mm Glock and hauled off firing. He was fatally shot by return fire. His family disputed the police version of events.</t>
  </si>
  <si>
    <t>http://www.washingtonpost.com/local/one-killed-in-officer-involved-shooting-in-southeast-dc/2013/04/09/c1802102-a0fc-11e2-be47-b44febada3a8_story.html</t>
  </si>
  <si>
    <t>Dawud Alexander</t>
  </si>
  <si>
    <t>https://www.fatalencounters.org/wp-content/uploads/2013/10/dawud-alexander.jpg</t>
  </si>
  <si>
    <t>96 Harrison Place</t>
  </si>
  <si>
    <t>Troopers approached Dawud Alexander at about 6 p.m. in Irvington after learning he was in possession of two weapons, police said, adding that when the troopers identified themselves, Alexander allegedly ran away and a foot chase ensued. One trooper shot and killed him.</t>
  </si>
  <si>
    <t>http://www.nj.com/news/index.ssf/2013/10/nj_attorney_general_investigating_fatal_shooting_of_newark_man_by_nj_state_police.html</t>
  </si>
  <si>
    <t>Devin Johnson</t>
  </si>
  <si>
    <t>8935 E. 21st St.</t>
  </si>
  <si>
    <t>Johnson was shot and killed by police as he was robbing a CVS store, police said.</t>
  </si>
  <si>
    <t>http://fox59.com/2013/11/21/family-claims-impd-overkill-in-shooting-of-cvs-robber/</t>
  </si>
  <si>
    <t>Isidoro Resendez</t>
  </si>
  <si>
    <t>15125 North Fwy</t>
  </si>
  <si>
    <t>Resendez and another man got into a fight at Michoacan restaurant. The fight continued into the parking lot. The other man drew a gun and shot at Resendez. A off-duty deputy working as a security guard responded. By that time, Resendez was on top of the other man, stabbing him with a knife. The deputy fatally shot Resendez.</t>
  </si>
  <si>
    <t>http://www.click2houston.com/news/stabbing-suspect-shot-killed-by-deputy</t>
  </si>
  <si>
    <t>Shaine Sherrill</t>
  </si>
  <si>
    <t>1400 Virginia St SE</t>
  </si>
  <si>
    <t>Police responded to a domestic complaint. Shaine Sherrill allegedly pointed a knife at them as though he were pointing a gun. He was shot and killed by officers James Edison, Luke McPeek and David Munoz.</t>
  </si>
  <si>
    <t>https://www.abqjournal.com/808551/da-clears-officers-in-2013-shooting.html</t>
  </si>
  <si>
    <t>Andres Castro-Badillo</t>
  </si>
  <si>
    <t>http://investigations.myajc.com/overtheline/images/mugs/35.jpg</t>
  </si>
  <si>
    <t>2745 Old Chattanooga Road</t>
  </si>
  <si>
    <t>Rocky Face</t>
  </si>
  <si>
    <t>Was threatening suicide when his brother called 911. When deputies arrived at his Rocky Face home, Castro-Badillo was slashing his own throat with a knife. Deputies tried to stun him with a Taser before he allegedly lunged at them.</t>
  </si>
  <si>
    <t>http://investigations.myajc.com/overtheline/database/#35</t>
  </si>
  <si>
    <t>Kenny Detrelle Montgomery</t>
  </si>
  <si>
    <t>http://www.troybsmith.com/sitemaker/memsol_data/1628/925756/925756_profile_pic.jpeg</t>
  </si>
  <si>
    <t>Officers responding to a complaint entered an apartment where Montgomery threatened a woman and a baby with a knife. The woman dropped the baby and left when officers entered. Montgomery picked the baby up and put a knife to its throat. Officers tried to reason with him. Officer J. Fisher fatally shot him as he tried to hide in a bathroom. The baby survived.</t>
  </si>
  <si>
    <t>http://abclocal.go.com/story?section=news/local&amp;id=8991891</t>
  </si>
  <si>
    <t>Randy Scott Moore</t>
  </si>
  <si>
    <t>http://www.charlotteobserver.com/news/local/crime/bfnace/picture26665492/ALTERNATES/FREE_960/Main%20Art%20for%20now%20Anna%20&amp;%20Randy%20Moore</t>
  </si>
  <si>
    <t>30745 Farm to Market 2481</t>
  </si>
  <si>
    <t>Erath</t>
  </si>
  <si>
    <t>Erath County Sheriff's Office</t>
  </si>
  <si>
    <t>Tylan Phillips reported that Moore attacked him with a knife. Sergeant Weldon Wilson and Captain Bobby Harpole responded. They told investigator Greg Stewart that Moore attacked them with a butcher knife when they arrived. They shot at him, striking him twice and killing him.</t>
  </si>
  <si>
    <t>https://drive.google.com/open?id=0B_YUrB_q0WyCRTBMTGRua2NuSk0</t>
  </si>
  <si>
    <t>David Mulder</t>
  </si>
  <si>
    <t>13850 Victoria St</t>
  </si>
  <si>
    <t>California Highway Patrol officers responded to a 911 call of a man beating a woman at the Beech Avenue and 210 freeway Park &amp; Ride. When they arrived, Mulder charged at them with a knife in his hand and refused to drop it when ordered. He was shot and killed. The woman he attacked was later found in her car, stabbed to death.</t>
  </si>
  <si>
    <t>http://www.dailybulletin.com/general-news/20130408/police-shoot-man-shortly-after-he-allegedly-kills-woman-in-fontana</t>
  </si>
  <si>
    <t>Christopher John Wenning</t>
  </si>
  <si>
    <t>http://marleysmutts.org/wp-content/uploads/2013/11/Chris.jpg</t>
  </si>
  <si>
    <t>Bear Valley Springs</t>
  </si>
  <si>
    <t>Bear Valley Springs Police Department</t>
  </si>
  <si>
    <t>Officer Brad Richie shot Christopher John Wenning when he allegedly ran toward him with a knife in each hand.</t>
  </si>
  <si>
    <t>http://www.tehachapinews.com/breaking-news/2013/04/15/bear-valley-police-identify-officer-victim-and-suspect-involved-in-fatal-shooting.html</t>
  </si>
  <si>
    <t>Darryl Lee Drayton</t>
  </si>
  <si>
    <t>https://www.fatalencounters.org/wp-content/uploads/2018/12/10-12-2013-Darryl-Drayton.jpg</t>
  </si>
  <si>
    <t>Drayton was suicidal when he threatened his sister, himself and deputies with a knife. I fought with officers and was tasered multiple times. Drayton then jabbed at deputies prompting them to shoot and kill Drayton.</t>
  </si>
  <si>
    <t>Tonya Michelle Buggs</t>
  </si>
  <si>
    <t>Bladensburg</t>
  </si>
  <si>
    <t>Bladensburg Police Department</t>
  </si>
  <si>
    <t>Local police were called out to an apartment building on reports of a woman waving a knife around. This was Buggs, who reportedly refused to drop the weapon on police orders. She was shot to death.</t>
  </si>
  <si>
    <t>http://www.wjla.com/articles/2013/02/bladensburg-police-involved-shooting-kills-one-85029.html</t>
  </si>
  <si>
    <t>John Arganda</t>
  </si>
  <si>
    <t>Officers from the Pomona Police Department responded to the 500 block of Carruthers Court after a call of a family disturbance. Officers found Arganda armed with a 6-7 inch knife, which he refused to drop when ordered. One officer fired a Taser at him but it had no effect, he charged at officers and was shot. He was declared dead at UC Irvine Medical Center in Orange.</t>
  </si>
  <si>
    <t>http://www.dailybulletin.com/general-news/20130402/fatal-pomona-police-shooting-victims-name-released</t>
  </si>
  <si>
    <t>Omar Marchabeyoglu</t>
  </si>
  <si>
    <t>San Leon</t>
  </si>
  <si>
    <t>Deputy Marina Gonzales and another deputy responded to a complaint about a man with a knife. Marchabeyoglu attacked Deputy Gonzales with a pair of scissors. Deputy Gonzales fatally shot Marchabeyoglu in the belly.</t>
  </si>
  <si>
    <t>http://www.galvnews.com/news/local_news/article_bffa4190-b3a9-11e2-bdeb-001a4bcf6878.html</t>
  </si>
  <si>
    <t>Richard Edward McKenzie</t>
  </si>
  <si>
    <t>4911 Dumfries Drive</t>
  </si>
  <si>
    <t>McKenzie took a bag from the back of vehicle and rode away on a bicycle. A neighbor of the vehicle-owner told Officer D. Rivera about the incident. He pursued McKenzie to another residence, where McKenzie threw a jacket at the officer and attacked him with a pair of scissors in each hand. The officer fatally shot him.</t>
  </si>
  <si>
    <t>http://abc13.com/archive/9011275/</t>
  </si>
  <si>
    <t>Barry Caldwell</t>
  </si>
  <si>
    <t>http://bloximages.chicago2.vip.townnews.com/thetandd.com/content/tncms/assets/v3/editorial/1/06/106fafac-91e0-11e2-93f2-0019bb2963f4/514a8d08a1db1.image.jpg</t>
  </si>
  <si>
    <t>809 Chitwood St</t>
  </si>
  <si>
    <t>Deputies responded to a harassment call and located Caldwell standing in the area carrying a shovel. He dropped the shovel but picked it back up and refused to drop it again. He advanced on a deputy with the shovel, who fired a fatal shot.</t>
  </si>
  <si>
    <t>http://thetandd.com/news/local/deputy-s-gunshot-kills-man/article_b7141476-9111-11e2-883a-0019bb2963f4.html</t>
  </si>
  <si>
    <t>Andrew William Aldrich</t>
  </si>
  <si>
    <t>https://www.fatalencounters.org/wp-content/uploads/2018/12/10-14-2013-Andrew-Aldrich.jpg</t>
  </si>
  <si>
    <t>110 Drake Cir</t>
  </si>
  <si>
    <t>Angelo D. Moreno</t>
  </si>
  <si>
    <t>Donaldson Way E and Newell Dr</t>
  </si>
  <si>
    <t>American Canyon</t>
  </si>
  <si>
    <t>American Canyon Police Department</t>
  </si>
  <si>
    <t>Angelo D. Moreno was shot and killed by four American Canyon police officers when he was seen driving a stolen vehicle. The officers ordered him to exit the vehicle, he refused and allegedly pointed a "shiny object" at them, which they took for a gun. The object turned out to be a multi-tool. Sgt. Mike Hunter, Deputy Cullen Dodd, Deputy Bryan Schultz, and Deputy Kenneth VanDyke were the officers involved. Moreno was pronounced dead at the scene. Napa County District Attorney Gary Lieberstein said his office carefully reviewed the shooting and concluded that the officers were legally justified in shooting Moreno in self-defense.</t>
  </si>
  <si>
    <t>http://www.fugitive.com/2013/03/19/angelo-d-moreno-shot-by-american-canyon-police-officers/</t>
  </si>
  <si>
    <t>tool</t>
  </si>
  <si>
    <t>Ian Christopher Berrier</t>
  </si>
  <si>
    <t>http://blogs.ocweekly.com/navelgazing/ian-christopher-berrier_square.jpg</t>
  </si>
  <si>
    <t>Police were called to a disturbance involving a man and woman arguing, and the man threatening bystanders with a gun. When an officer confronted Berrier, he pulled out a gun which turned out to be a "replica semiautomatic pistol." The officer, fearing for his life, shot Berrier who died at the scene. The woman with him was taken into custody. Shooting was ruled justified by Orange County district attorney's office in December 2013.</t>
  </si>
  <si>
    <t>http://latimesblogs.latimes.com/lanow/2013/03/man-with-replica-pistol-killed-by-huntington-beach-police.html</t>
  </si>
  <si>
    <t>Terrence Barry</t>
  </si>
  <si>
    <t>https://cbssanfran.files.wordpress.com/2013/03/terrence_barry_032513.jpg?w=420&amp;h=316&amp;crop=1</t>
  </si>
  <si>
    <t>Alameda County Sheriff's deputies responded to a call of a domestic disturbance at the home of Terrence Barry. He was being belligerent and threatening, and his family was leaving the house. Later the sheriff's office received two more threatening calls from Barry himself stating that he was going to shoot any officers who came near him. When the deputies arrived, Barry approached them and shouldered a homemade replica firearm, a deputy shot him. Barry died a few days later at Eden Medical Center.</t>
  </si>
  <si>
    <t>http://sanfrancisco.cbslocal.com/2013/03/25/man-shot-by-deputies-in-castro-valley-dies-in-hospital/</t>
  </si>
  <si>
    <t>David "Dizzy" Martinez</t>
  </si>
  <si>
    <t>http://lh6.googleusercontent.com/-dxKgcorFHCI/UU4iP_vQcRI/AAAAAAAAjG8/N4HMSwik7VM/s280/DSC_0042-002.JPG</t>
  </si>
  <si>
    <t>Echo Park Avenue and Sunset Boulevard</t>
  </si>
  <si>
    <t>LAPD officers responding to an "assault with a deadly weapon" report shot and killed David "Dizzy" Martinez because he allegedly had a hand gun and pulled the trigger twice. No gun was found; family disputes allegations. He died two months after the injury.</t>
  </si>
  <si>
    <t>http://www.laweekly.com/news/david-martinez-was-unarmed-when-shot-by-lapd-in-echo-park-family-says-video-4177612</t>
  </si>
  <si>
    <t>Scott M. Williford</t>
  </si>
  <si>
    <t>https://scontent.fsnc1-2.fna.fbcdn.net/v/t1.0-9/529498_1384063595171635_357602758_n.jpg?oh=1bbea0de5c7ca969e473c4e4963c0199&amp;oe=57FA1D88</t>
  </si>
  <si>
    <t>4087 S Noland Rd</t>
  </si>
  <si>
    <t>A state trooper shot unarmed Scott M. Williford after he allegedly said he had a gun and stuck his hands in his waistband. At about 3 a.m., Williford was walking in the middle of the Noland Road overpass, carrying a bag. The trooper stopped and asked Williford what he was in the bag. Williford reportedly replied "drugs" and said he also had a 9-mm handgun. Williford then allegedly put his hands in his waistband in what the trooper claimed looked like a move to retrieve a gun. The trooper shot Williford, who died at the scene.</t>
  </si>
  <si>
    <t>http://www.examiner.net/article/20131208/NEWS/131209042</t>
  </si>
  <si>
    <t>Micah Anthony Key</t>
  </si>
  <si>
    <t>http://mediaassets.gosanangelo.com/photo/2014/06/09/6/66247_6080445_ver1.0_640_480.JPG</t>
  </si>
  <si>
    <t>4900 Ben Ficklin Road</t>
  </si>
  <si>
    <t>Tasered</t>
  </si>
  <si>
    <t>SAPD called on domestic disturbance. Attempted to arrested suspect, and when resisting hit with stun gun. Stun gun had little effect so another officer used his stun gun as well leading to heart failure.</t>
  </si>
  <si>
    <t>http://www.gosanangelo.com/news/man-dies-in-custody-after-police-repeatedly-use</t>
  </si>
  <si>
    <t>Justin Michael Linn</t>
  </si>
  <si>
    <t>http://media.cmgdigital.com/shared/lt/lt_cache/thumbnail/400/img/photos/2013/08/22/1b/14/Justin-Linn.jpg</t>
  </si>
  <si>
    <t>466 Main St</t>
  </si>
  <si>
    <t>Buckley</t>
  </si>
  <si>
    <t>Linn had managed to escape two previous attempts at arrest and was tracked to a location outside a motel. The unarmed man sprinted about 100 yards and when he appeared to be drawing something from his waistband, according to police, a deputy shot him an unknown number of times. Linn died at the hospital.</t>
  </si>
  <si>
    <t>http://komonews.com/news/local/deputy-cleared-in-fatal-shooting-of-fugitive-at-buckley-motel</t>
  </si>
  <si>
    <t>Joshua Stevens</t>
  </si>
  <si>
    <t>509 Grand Ave</t>
  </si>
  <si>
    <t>Hot Sulphur Springs</t>
  </si>
  <si>
    <t>Grand</t>
  </si>
  <si>
    <t>Grand County Sheriff's Office</t>
  </si>
  <si>
    <t>Grand County Sheriff's Lt. John Stein and Chief Deputy District Attorney Heather Stein shot Joshua Stevens after he allegedly forced his way into the couple's home and fought with them.</t>
  </si>
  <si>
    <t>http://www.westword.com/news/joshua-stevens-heres-why-da-says-his-killing-by-lieutenant-prosecutor-was-justified-5896049</t>
  </si>
  <si>
    <t>John Nat Torretti</t>
  </si>
  <si>
    <t>http://www.gannett-cdn.com/-mm-/314c2d22da7f4e7ae723393a42231f3caae60371/c=0-0-680-510&amp;r=x404&amp;c=534x401/http/archive.news10.net/images/680/510/2/assetpool/images/130528123744_john-torretti-640.jpg</t>
  </si>
  <si>
    <t>http://sacramento.cbslocal.com/2013/05/27/man-who-died-in-sacramento-police-custody-identified/</t>
  </si>
  <si>
    <t>Marcus Young</t>
  </si>
  <si>
    <t>Police said that Marcus Young confronted an off-duty officer, who was in civilian clothes, about 6:50 a.m. Young had his hand tucked underneath his sweatshirt and was acting as if he was holding a gun. As he approached the officer, he allegedly told her, "Don't make me pull this out on you." The off-duty officer, who was in the area on personal business, shot Young once. He died seven months later.</t>
  </si>
  <si>
    <t>https://www.washingtonpost.com/local/crime/marcus-young-shot-by-dc-officer-in-october-dies-at-jail-infirmary/2014/05/06/0678779e-d565-11e3-95d3-3bcd77cd4e11_story.html?utm_term=.3899ec35a390</t>
  </si>
  <si>
    <t>Urie Adriel Gilchrist</t>
  </si>
  <si>
    <t>11720 TX-249</t>
  </si>
  <si>
    <t>Deputy James Strech, responding to a traffic complaint, walked in on a robbery in progress at a Stripes convenience store. Gilchrist choked a Stripes employee. Deputy Strech told Gilchrist to stop. Gilchrist threw a bag at Deputy Strech, then reached for his pocket. Deputy Strech shot Gilchrist once, killing him.</t>
  </si>
  <si>
    <t>http://www.chron.com/news/houston-texas/houston/article/Deputy-fatally-shoots-robbery-suspect-4471801.php</t>
  </si>
  <si>
    <t>Transcini Richerson</t>
  </si>
  <si>
    <t>http://bloximages.chicago2.vip.townnews.com/wacotrib.com/content/tncms/assets/v3/editorial/0/97/097adbca-3fb7-5236-a95c-3dcafc155273/514aa5c80bcd3.image.jpg</t>
  </si>
  <si>
    <t>Deputy U.S. Marshals attempted to arrest Transcini Richerson, who was wanted on a state parole violation and a felony charge of assault-strangulation, in his vehicle. Richerson refused to show his hands, and appeared to be reaching downwards. One of the deputy marshals opened fire, shooting Richerson in the torso; he died at Hillcrest Baptist Medical Center. A Grand Jury cleared the deputy in August 2013.</t>
  </si>
  <si>
    <t>http://www.wacotrib.com/news/police/waco-police-id-man-shot-killed-by-deputy-u-s/article_268a82f3-001a-5f0a-824f-26a4e4c8fb3b.html</t>
  </si>
  <si>
    <t>Clinton Eugene Peterson</t>
  </si>
  <si>
    <t>446 Kelly Court</t>
  </si>
  <si>
    <t>http://crimeblog.dallasnews.com/2013/10/duncanville-police-fatally-shoot-suspect-monday-morning.html/</t>
  </si>
  <si>
    <t>Jason Akeem Lewis</t>
  </si>
  <si>
    <t>5000 Galaxy Way</t>
  </si>
  <si>
    <t>Jason Akeem Lewis encountered off-duty corrections officer Jeremy Primus on the night before Thanksgiving. Primus shot and killed Lewis, fled the scene, but later turned himself in to police. Madison County DA recommended releasing Primus because shooting was in self defense. Grand Jury investigated shooting. Results unknown at this time.</t>
  </si>
  <si>
    <t>http://whnt.com/2013/12/02/grand-jury-to-review-shooting-involving-corrections-officer/</t>
  </si>
  <si>
    <t>Vernon McCoy Mathis</t>
  </si>
  <si>
    <t>Tomlinson Road</t>
  </si>
  <si>
    <t>Homerville</t>
  </si>
  <si>
    <t>Clinch</t>
  </si>
  <si>
    <t>Clinch County Sheriff's Office</t>
  </si>
  <si>
    <t>A Clinch County Sheriff's deputy shot and killed Vernon McCoy Mathis while responding to a call at his home. The reason for the call, and the deputy's name, are being withheld by police.</t>
  </si>
  <si>
    <t>http://www.wtoc.com/story/22131960/clinch-county-man-shot-by-sheriffs-deputy</t>
  </si>
  <si>
    <t>Sixto Eduardo Quezada</t>
  </si>
  <si>
    <t>Three officers conducted a traffic stop on Quezada, because a white SUV like the one he drove was wanted in connection to a shooting. Quezada backed into an officer. All three officers shot at Quezada, striking him three times in the chest and killing him. It was later discovered that Quezada could not have been the driver from the earlier shooting.</t>
  </si>
  <si>
    <t>http://www.star-telegram.com/news/local/crime/article3862477.html</t>
  </si>
  <si>
    <t>Gregory Allen Bridges</t>
  </si>
  <si>
    <t>1025 Sawdust Rd</t>
  </si>
  <si>
    <t>The Woodlands</t>
  </si>
  <si>
    <t>Gregory Allen Bridges was shot and killed by a Montgomery County Sheriff's deputy after a hit and run accident. The deputy tried to stop Bridges to question him about a minor traffic accident, Bridges led him on a low speed chase, and tried to run him over when he approached his vehicle. The deputy fired at least three times and Bridges was pronounced dead at Memorial Hermann Hospital in The Woodlands.</t>
  </si>
  <si>
    <t>http://www.khou.com/story/local/2015/05/29/12004714/</t>
  </si>
  <si>
    <t>Emily J. Krumrei</t>
  </si>
  <si>
    <t>http://i0.huffpost.com/gen/1080573/images/s-EMILY-KRUMREI-large.jpg</t>
  </si>
  <si>
    <t>N Central Expy &amp; W Belt Line Rd</t>
  </si>
  <si>
    <t>Richardson</t>
  </si>
  <si>
    <t>Richardson Police Department</t>
  </si>
  <si>
    <t>Emily J. Krumrei was shot and killed by a Richardson police officer after she failed to stop for a traffic stop, and allegedly tried to run him over with her vehicle. Officer Jack Kermes was cleared.</t>
  </si>
  <si>
    <t>http://www.dallasnews.com/news/20130408-police-woman-killed-along-north-central-in-richardson-this-morning-had-outstanding-narcotics-warrants.ece</t>
  </si>
  <si>
    <t>Jeremy Tyler McGee</t>
  </si>
  <si>
    <t>8800 Avril Ct S</t>
  </si>
  <si>
    <t>Officers with the Fort Worth police Fugitive Unit and Zero Tolerance Unit were attempting to take McGee into custody on charges of evading, credit card abuse and felony parole violation burglary. He jumped into a vehicle and sped away from officers, driving through the parking lot and into a grassy area between several buildings, police said.As McGee drove toward residents and police, a Fort Worth officer fired, police said.</t>
  </si>
  <si>
    <t>http://www.star-telegram.com/news/local/crime/article3837531.html</t>
  </si>
  <si>
    <t>Ryan Rogers</t>
  </si>
  <si>
    <t>1905 West 171st Street</t>
  </si>
  <si>
    <t>East Hazel Crest</t>
  </si>
  <si>
    <t>Ryan Rogers was shot and killed by officers from the Chicago Police Department after he rammed a police vehicle while attempting to flee. Officers attempted to pull Rogers over when he reacted; his girlfriend claims that they did not identify themselves and Rogers thought he was being robbed. The family filed a wrongful death lawsuit, case is still pending.</t>
  </si>
  <si>
    <t>http://articles.chicagotribune.com/2013-03-27/news/chi-family-of-man-shot-to-death-by-chicago-police-officer-files-suit-20130327_1_wrongful-death-lawsuit-chicago-officers-federal-lawsuit</t>
  </si>
  <si>
    <t>Clifford Park</t>
  </si>
  <si>
    <t>2145 E. Harbor Blvd.</t>
  </si>
  <si>
    <t>Ventura Police Department</t>
  </si>
  <si>
    <t>Two officers responded to a call about a disturbance at the Pierpont-area Motel 6. Wilson, a guest at the motel was causing a disturbance, refusing to leave and yelling at other guests. When the officers arrived, Wilson got into his truck and drove at them, running over one and striking the other. The officers shot and killed him at the scene.</t>
  </si>
  <si>
    <t>http://www.vcstar.com/news/man-killed-by-ventura-police-thursday-identified</t>
  </si>
  <si>
    <t>Jeffrey Langenhorst</t>
  </si>
  <si>
    <t>San Bernardino County sheriff's deputies shot and killed Jeffrey Langenhorst after he allegedly tried to run them over with a big rig. Sheriff's deputies joined Chino police in pursuing Langenhorst (no reason for the pursuit given) whose car broke down after a short, high speed chase. Langenhorst continued on foot, then got into an idling big rig and attempted to run deputies over. Langenhorst died at the scene.</t>
  </si>
  <si>
    <t>http://losangeles.cbslocal.com/2013/03/16/san-bernardino-county-sheriffs-kill-man-they-allege-tried-to-run-them-down-with-big-rig/</t>
  </si>
  <si>
    <t>David Adam Patrick Maher</t>
  </si>
  <si>
    <t>McGee Creek State Park</t>
  </si>
  <si>
    <t>Stringtown</t>
  </si>
  <si>
    <t>Oklahoma Tourism and Recreation Department</t>
  </si>
  <si>
    <t>A park ranger investigating complaints of a man acting strangely and creating a disturbance encountered Maher. Maher fled to his vehicle in the parking lot and reportedly tried to run the ranger down. He was fatally shot. Maher turned out to be wanted on previous police-chase and narcotics charges, and had failed to show up for a sentencing hearing.</t>
  </si>
  <si>
    <t>http://thedailyreview.com/news/man-sought-in-county-killed-maher-failed-to-show-up-at-march-sentencing-shot-in-oklahoma-1.1484838</t>
  </si>
  <si>
    <t>Dexter Lee Fair</t>
  </si>
  <si>
    <t>3785 Jeff Rd NW</t>
  </si>
  <si>
    <t>Harvest</t>
  </si>
  <si>
    <t>Limestone County Sheriff's Office</t>
  </si>
  <si>
    <t>Dexter Lee Fair died July 19, 2013, almost seven months after he was shot by police after a chase.</t>
  </si>
  <si>
    <t>http://blog.al.com/breaking/2013/05/post_1146.html</t>
  </si>
  <si>
    <t>Chad Lee Hanchett</t>
  </si>
  <si>
    <t>http://d3trabu2dfbdfb.cloudfront.net/2/5/2524755_300x300_1.jpeg</t>
  </si>
  <si>
    <t>7900 Garden Grove Boulevard</t>
  </si>
  <si>
    <t>Chad Lee Hanchett died from injuries sustained when he was shot by Sgt. Mike Martin approximately six months earlier.</t>
  </si>
  <si>
    <t>http://orangecountyda.org/civicax/filebank/blobdload.aspx?BlobID=22841</t>
  </si>
  <si>
    <t>130 CR 1607</t>
  </si>
  <si>
    <t>6200 Jonestown Road</t>
  </si>
  <si>
    <t>1300 North Central</t>
  </si>
  <si>
    <t>4000 E. 11th St.</t>
  </si>
  <si>
    <t>3600 North Sherman Drive</t>
  </si>
  <si>
    <t>200 Thatcher Street</t>
  </si>
  <si>
    <t>1200 Kendrick Court</t>
  </si>
  <si>
    <t>1300 East Gila Street</t>
  </si>
  <si>
    <t>600 Saddle Rock Drive</t>
  </si>
  <si>
    <t>3300 West Wilson Avenue</t>
  </si>
  <si>
    <t>900 Ridgeway Drive</t>
  </si>
  <si>
    <t>2900 South Gessner</t>
  </si>
  <si>
    <t>29000 Pinedale Drive</t>
  </si>
  <si>
    <t>4200 53rd Ave.</t>
  </si>
  <si>
    <t>500 Carruthers Court</t>
  </si>
  <si>
    <t>300 19th St</t>
  </si>
  <si>
    <t>4900 Warner Avenue</t>
  </si>
  <si>
    <t>3400 Seven Hills Road</t>
  </si>
  <si>
    <t>8300 Folsom Boulevard</t>
  </si>
  <si>
    <t>1600 18th St SE</t>
  </si>
  <si>
    <t>2600 Cumberland Avenue</t>
  </si>
  <si>
    <t>3100 N Pecan St</t>
  </si>
  <si>
    <t>4200 Hamner Avenue</t>
  </si>
  <si>
    <t>Data from 1/1/2013 - 12/31/2019</t>
  </si>
  <si>
    <t>Disparity in Rate</t>
  </si>
  <si>
    <t>Data from 1/1/13 - 12/31/19</t>
  </si>
  <si>
    <t>National Murder Rate (FBI UCR 2018)</t>
  </si>
  <si>
    <t>Black Men Killed by Police (1/1/2013-12/31/2019)</t>
  </si>
  <si>
    <t>Average Police Homicide Rate for Black Men (per 100,000) (2013-19)</t>
  </si>
  <si>
    <t>Video shows Mendoza pulling out a pistol and shooting a female officer in the leg. He then turns to shoot at her partner, Officer Miguel Alarcon, over the car. However, Officer Alarcon quickly fires striking Mendoza in the head and torso. Mendoza later died at a hospital.</t>
  </si>
  <si>
    <t>http://exclusive.multibriefs.com/content/gunfight-anatomy-the-richard-mendoza-incident/law-enforcement-defense-security</t>
  </si>
  <si>
    <t>North Hills</t>
  </si>
  <si>
    <t>Black People Killed by Police (1/1/2013-12/31/2019)</t>
  </si>
  <si>
    <t>Hispanic People Killed by Police (1/1/2013-12/31/2019)</t>
  </si>
  <si>
    <t>Native American People Killed by Police (1/1/2013-12/31/2019)</t>
  </si>
  <si>
    <t>Asian People Killed by Police (1/1/2013-12/31/2019)</t>
  </si>
  <si>
    <t>Pacific Islanders Killed by Police (1/1/2013-12/31/2019)</t>
  </si>
  <si>
    <t>White People Killed by Police (1/1/2013-12/31/2019)</t>
  </si>
  <si>
    <t>Unknown Race People Killed by Police (1/1/2013-12/31/2019)</t>
  </si>
  <si>
    <t>All People Killed by Police (1/1/2013-12/31/2019)</t>
  </si>
  <si>
    <t>National Murder Rate (FBI UCR 2018: https://ucr.fbi.gov/crime-in-the-u.s/2018/crime-in-the-u.s.-2018/topic-pages/murder )</t>
  </si>
  <si>
    <t>Urban</t>
  </si>
  <si>
    <t>Rural</t>
  </si>
  <si>
    <t>Suburban</t>
  </si>
  <si>
    <t>Geography (via Trulia methodology based on zipcode population density: http://jedkolko.com/wp-content/uploads/2015/05/full-ZCTA-urban-suburban-rural-classification.xlsx )</t>
  </si>
  <si>
    <t>Officers responding to a report of theft reportedly demanded that Stokes drop a gun and show his hands before shooting him twice, though Stokes did not have a gun on him. There was a gun  found later in his  friend's car, but Stokes was unarmed when killed by police. His mother said that she never has believed the Police Department's account of her son's death and maintains he was not armed that night. A jury found the officers were justified in shooting Stokes.</t>
  </si>
  <si>
    <t>blunt weapon</t>
  </si>
  <si>
    <t>club</t>
  </si>
  <si>
    <t>hot glue gun</t>
  </si>
  <si>
    <t>sticks</t>
  </si>
  <si>
    <t>gun, vehicle</t>
  </si>
  <si>
    <t>table leg</t>
  </si>
  <si>
    <t>tree branch</t>
  </si>
  <si>
    <t>probe</t>
  </si>
  <si>
    <t>knife/scissors</t>
  </si>
  <si>
    <t>flare gun</t>
  </si>
  <si>
    <t>explosives and guns</t>
  </si>
  <si>
    <t>fireworks and gun</t>
  </si>
  <si>
    <t xml:space="preserve">vehicle </t>
  </si>
  <si>
    <t>knives</t>
  </si>
  <si>
    <t>knife and scissors</t>
  </si>
  <si>
    <t>hammer and knife</t>
  </si>
  <si>
    <t>knife and hammer</t>
  </si>
  <si>
    <t>knife and taser</t>
  </si>
  <si>
    <t>gun and knives</t>
  </si>
  <si>
    <t>knife and bat</t>
  </si>
  <si>
    <t xml:space="preserve">unclear </t>
  </si>
  <si>
    <t>axe</t>
  </si>
  <si>
    <t>wooden stick</t>
  </si>
  <si>
    <t>hunting bow</t>
  </si>
  <si>
    <t>knife and gun</t>
  </si>
  <si>
    <t>knife and screwdriver</t>
  </si>
  <si>
    <t>machete and pipe</t>
  </si>
  <si>
    <t>mallett</t>
  </si>
  <si>
    <t>guns</t>
  </si>
  <si>
    <t>blade</t>
  </si>
  <si>
    <t>unclear weapon</t>
  </si>
  <si>
    <t>pepper spray</t>
  </si>
  <si>
    <t>cleaver</t>
  </si>
  <si>
    <t>cane</t>
  </si>
  <si>
    <t>ax and knife</t>
  </si>
  <si>
    <t xml:space="preserve">wood stick </t>
  </si>
  <si>
    <t xml:space="preserve">gun </t>
  </si>
  <si>
    <t>garden shears</t>
  </si>
  <si>
    <t>hockey stick</t>
  </si>
  <si>
    <t>gun and explosives</t>
  </si>
  <si>
    <t>knife and stick</t>
  </si>
  <si>
    <t>cane and knife</t>
  </si>
  <si>
    <t>broken glass bottle</t>
  </si>
  <si>
    <t>claw hammer</t>
  </si>
  <si>
    <t>rocks</t>
  </si>
  <si>
    <t>metal post</t>
  </si>
  <si>
    <t>knife and crowbar</t>
  </si>
  <si>
    <t>metal bar</t>
  </si>
  <si>
    <t>baseball bat and screwdriver</t>
  </si>
  <si>
    <t>wooden nightstand</t>
  </si>
  <si>
    <t>knife and rocks</t>
  </si>
  <si>
    <t>edged weapon</t>
  </si>
  <si>
    <t>metal tool</t>
  </si>
  <si>
    <t>taser, baton, gun</t>
  </si>
  <si>
    <t>unknown object</t>
  </si>
  <si>
    <t>toy sword</t>
  </si>
  <si>
    <t>cell phone</t>
  </si>
  <si>
    <t>sock</t>
  </si>
  <si>
    <t>cologne</t>
  </si>
  <si>
    <t>game controller</t>
  </si>
  <si>
    <t>lighter</t>
  </si>
  <si>
    <t>screw driver</t>
  </si>
  <si>
    <t>Daytona Beach Police Department, South Daytona Police Department</t>
  </si>
  <si>
    <t>Yakima County Sheriff's Office, Yakima Police Department</t>
  </si>
  <si>
    <t>Montgomery County KS Sheriff's Department, Kansas Highway Patrol</t>
  </si>
  <si>
    <t>Berkeley County Sheriff's Office, Goose Creek Police Department</t>
  </si>
  <si>
    <t>Texas Department of Public Safety, Center Police Department</t>
  </si>
  <si>
    <t>Santa Clara Police Department, Santa Clara County Sheriff's Office</t>
  </si>
  <si>
    <t>2014 Total Arrests</t>
  </si>
  <si>
    <t>2015 Total Arrests</t>
  </si>
  <si>
    <t>2016 Total Arrests</t>
  </si>
  <si>
    <t>2017 Total Arrests</t>
  </si>
  <si>
    <t>2018 Total Arrests</t>
  </si>
  <si>
    <t>2013 Total Arrests (UCR Data)</t>
  </si>
  <si>
    <t>Estimated Average Arrests per Year</t>
  </si>
  <si>
    <t>Killings by Police per 10k Arrests</t>
  </si>
  <si>
    <t>Johnsonville Police Department, Florence County Sheriff's Office</t>
  </si>
  <si>
    <t>San Joaquin County Sheriff's Office, Stockton Police Department</t>
  </si>
  <si>
    <t>Green Oak Township Police Department, Michigan State Police</t>
  </si>
  <si>
    <t>California Department of Parks and Recreation</t>
  </si>
  <si>
    <t>Clairborne County Sheriff, Grainger County Sheriff's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</si>
</sst>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00000"/>
  </numFmts>
  <fonts count="31" x14ac:knownFonts="1">
    <font>
      <sz val="10"/>
      <color rgb="FF000000"/>
      <name val="Arial"/>
    </font>
    <font>
      <b/>
      <sz val="10"/>
      <name val="Arial"/>
      <family val="2"/>
    </font>
    <font>
      <b/>
      <sz val="10"/>
      <color rgb="FF000000"/>
      <name val="Arial"/>
      <family val="2"/>
    </font>
    <font>
      <sz val="10"/>
      <name val="Arial"/>
      <family val="2"/>
    </font>
    <font>
      <sz val="10"/>
      <color rgb="FF000000"/>
      <name val="Arial"/>
      <family val="2"/>
    </font>
    <font>
      <u/>
      <sz val="10"/>
      <color theme="11"/>
      <name val="Arial"/>
      <family val="2"/>
    </font>
    <font>
      <sz val="12"/>
      <color rgb="FF000000"/>
      <name val="Calibri"/>
      <family val="2"/>
      <scheme val="minor"/>
    </font>
    <font>
      <b/>
      <sz val="12"/>
      <color rgb="FF000000"/>
      <name val="Calibri"/>
      <family val="2"/>
      <scheme val="minor"/>
    </font>
    <font>
      <b/>
      <sz val="12"/>
      <color rgb="FF000000"/>
      <name val="Calibri"/>
      <family val="2"/>
    </font>
    <font>
      <sz val="12"/>
      <color theme="1"/>
      <name val="Times New Roman"/>
      <family val="1"/>
    </font>
    <font>
      <u/>
      <sz val="10"/>
      <color theme="10"/>
      <name val="Arial"/>
      <family val="2"/>
    </font>
    <font>
      <sz val="10"/>
      <color theme="1"/>
      <name val="Arial"/>
      <family val="2"/>
    </font>
    <font>
      <sz val="10"/>
      <color rgb="FF24292E"/>
      <name val="Arial"/>
      <family val="2"/>
    </font>
    <font>
      <b/>
      <u/>
      <sz val="10"/>
      <color rgb="FF000000"/>
      <name val="Arial"/>
      <family val="2"/>
    </font>
    <font>
      <u/>
      <sz val="10"/>
      <color rgb="FF000000"/>
      <name val="Arial"/>
      <family val="2"/>
    </font>
    <font>
      <sz val="10"/>
      <color rgb="FF333333"/>
      <name val="Arial"/>
      <family val="2"/>
    </font>
    <font>
      <sz val="10"/>
      <color rgb="FF0563C1"/>
      <name val="Arial"/>
      <family val="2"/>
    </font>
    <font>
      <sz val="10"/>
      <color rgb="FF3E3E3E"/>
      <name val="Arial"/>
      <family val="2"/>
    </font>
    <font>
      <sz val="10"/>
      <color rgb="FF222222"/>
      <name val="Arial"/>
      <family val="2"/>
    </font>
    <font>
      <sz val="10"/>
      <color rgb="FF212121"/>
      <name val="Arial"/>
      <family val="2"/>
    </font>
    <font>
      <sz val="10"/>
      <color rgb="FF757575"/>
      <name val="Arial"/>
      <family val="2"/>
    </font>
    <font>
      <sz val="10"/>
      <color rgb="FF444444"/>
      <name val="Arial"/>
      <family val="2"/>
    </font>
    <font>
      <sz val="10"/>
      <color rgb="FF555555"/>
      <name val="Arial"/>
      <family val="2"/>
    </font>
    <font>
      <sz val="12"/>
      <color rgb="FF24292E"/>
      <name val="Helvetica"/>
      <family val="2"/>
    </font>
    <font>
      <i/>
      <sz val="10"/>
      <color theme="1"/>
      <name val="Arial"/>
      <family val="2"/>
    </font>
    <font>
      <u/>
      <sz val="10"/>
      <color rgb="FF0000FF"/>
      <name val="Arial"/>
      <family val="2"/>
    </font>
    <font>
      <u/>
      <sz val="10"/>
      <color rgb="FF1155CC"/>
      <name val="Arial"/>
      <family val="2"/>
    </font>
    <font>
      <sz val="11"/>
      <color rgb="FF000000"/>
      <name val="Calibri"/>
      <family val="2"/>
    </font>
    <font>
      <sz val="12"/>
      <color rgb="FF757575"/>
      <name val="Arial"/>
      <family val="2"/>
    </font>
    <font>
      <sz val="9"/>
      <color rgb="FF333333"/>
      <name val="Arial"/>
      <family val="2"/>
    </font>
    <font>
      <b/>
      <sz val="12"/>
      <color theme="1"/>
      <name val="Calibri"/>
      <family val="2"/>
      <scheme val="minor"/>
    </font>
  </fonts>
  <fills count="8">
    <fill>
      <patternFill patternType="none"/>
    </fill>
    <fill>
      <patternFill patternType="gray125"/>
    </fill>
    <fill>
      <patternFill patternType="solid">
        <fgColor rgb="FF99CC00"/>
        <bgColor rgb="FF99CC00"/>
      </patternFill>
    </fill>
    <fill>
      <patternFill patternType="solid">
        <fgColor rgb="FFC2C2C2"/>
        <bgColor rgb="FFC2C2C2"/>
      </patternFill>
    </fill>
    <fill>
      <patternFill patternType="solid">
        <fgColor rgb="FF99CCFF"/>
        <bgColor rgb="FF99CCFF"/>
      </patternFill>
    </fill>
    <fill>
      <patternFill patternType="solid">
        <fgColor rgb="FFFF8F8F"/>
        <bgColor indexed="64"/>
      </patternFill>
    </fill>
    <fill>
      <patternFill patternType="solid">
        <fgColor rgb="FFFFFFFF"/>
        <bgColor rgb="FFFFFFFF"/>
      </patternFill>
    </fill>
    <fill>
      <patternFill patternType="solid">
        <fgColor theme="9" tint="0.79998168889431442"/>
        <bgColor indexed="64"/>
      </patternFill>
    </fill>
  </fills>
  <borders count="6">
    <border>
      <left/>
      <right/>
      <top/>
      <bottom/>
      <diagonal/>
    </border>
    <border>
      <left style="thin">
        <color rgb="FF000000"/>
      </left>
      <right/>
      <top/>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470">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0" fillId="0" borderId="0" applyNumberFormat="0" applyFill="0" applyBorder="0" applyAlignment="0" applyProtection="0"/>
  </cellStyleXfs>
  <cellXfs count="105">
    <xf numFmtId="0" fontId="0" fillId="0" borderId="0" xfId="0" applyFont="1" applyAlignment="1"/>
    <xf numFmtId="0" fontId="0" fillId="0" borderId="0" xfId="0"/>
    <xf numFmtId="0" fontId="3" fillId="0" borderId="0" xfId="0" applyFont="1" applyAlignment="1"/>
    <xf numFmtId="0" fontId="1" fillId="2" borderId="3"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0" borderId="0" xfId="0" applyFont="1" applyAlignment="1">
      <alignment vertical="center"/>
    </xf>
    <xf numFmtId="166" fontId="3" fillId="0" borderId="0" xfId="0" applyNumberFormat="1" applyFont="1"/>
    <xf numFmtId="0" fontId="3" fillId="0" borderId="0" xfId="0" applyFont="1"/>
    <xf numFmtId="0" fontId="1" fillId="0" borderId="2" xfId="0" applyNumberFormat="1" applyFont="1" applyFill="1" applyBorder="1" applyAlignment="1" applyProtection="1">
      <alignment horizontal="left" vertical="center"/>
    </xf>
    <xf numFmtId="0" fontId="1" fillId="0" borderId="0" xfId="0" applyFont="1" applyFill="1" applyBorder="1" applyAlignment="1">
      <alignment horizontal="left" vertical="center"/>
    </xf>
    <xf numFmtId="0" fontId="3" fillId="0" borderId="0" xfId="0" applyNumberFormat="1" applyFont="1" applyFill="1" applyBorder="1" applyAlignment="1" applyProtection="1">
      <alignment horizontal="left" vertical="top"/>
    </xf>
    <xf numFmtId="0" fontId="3" fillId="0" borderId="0" xfId="0" applyFont="1" applyFill="1" applyBorder="1" applyAlignment="1">
      <alignment horizontal="left" vertical="top"/>
    </xf>
    <xf numFmtId="3" fontId="3" fillId="0" borderId="0" xfId="0" applyNumberFormat="1" applyFont="1" applyAlignment="1">
      <alignment vertical="top"/>
    </xf>
    <xf numFmtId="164" fontId="3" fillId="2" borderId="1" xfId="0" applyNumberFormat="1" applyFont="1" applyFill="1" applyBorder="1" applyAlignment="1">
      <alignment horizontal="left" wrapText="1"/>
    </xf>
    <xf numFmtId="164" fontId="3" fillId="0" borderId="0" xfId="0" applyNumberFormat="1" applyFont="1" applyBorder="1" applyAlignment="1">
      <alignment horizontal="left" wrapText="1"/>
    </xf>
    <xf numFmtId="165" fontId="3" fillId="0" borderId="0" xfId="0" applyNumberFormat="1" applyFont="1" applyBorder="1" applyAlignment="1">
      <alignment horizontal="left" wrapText="1"/>
    </xf>
    <xf numFmtId="164" fontId="3" fillId="4" borderId="0" xfId="0" applyNumberFormat="1" applyFont="1" applyFill="1" applyBorder="1" applyAlignment="1">
      <alignment horizontal="left" wrapText="1"/>
    </xf>
    <xf numFmtId="164" fontId="3" fillId="2" borderId="0" xfId="0" applyNumberFormat="1" applyFont="1" applyFill="1" applyBorder="1" applyAlignment="1">
      <alignment horizontal="left" wrapText="1"/>
    </xf>
    <xf numFmtId="0" fontId="3" fillId="0" borderId="1" xfId="0" applyFont="1" applyBorder="1"/>
    <xf numFmtId="4" fontId="3" fillId="0" borderId="0" xfId="0" applyNumberFormat="1" applyFont="1"/>
    <xf numFmtId="0" fontId="7" fillId="0" borderId="0" xfId="0" applyFont="1"/>
    <xf numFmtId="3" fontId="6" fillId="0" borderId="0" xfId="0" applyNumberFormat="1" applyFont="1"/>
    <xf numFmtId="10" fontId="6" fillId="0" borderId="0" xfId="0" applyNumberFormat="1" applyFont="1"/>
    <xf numFmtId="9" fontId="0" fillId="0" borderId="0" xfId="170" applyFont="1"/>
    <xf numFmtId="0" fontId="0" fillId="0" borderId="0" xfId="0" applyFont="1"/>
    <xf numFmtId="2" fontId="0" fillId="0" borderId="0" xfId="0" applyNumberFormat="1"/>
    <xf numFmtId="3" fontId="0" fillId="0" borderId="0" xfId="0" applyNumberFormat="1" applyFont="1" applyAlignment="1"/>
    <xf numFmtId="0" fontId="2" fillId="0" borderId="0" xfId="0" applyFont="1" applyAlignment="1"/>
    <xf numFmtId="3" fontId="3" fillId="0" borderId="0" xfId="0" applyNumberFormat="1" applyFont="1" applyFill="1" applyBorder="1" applyAlignment="1">
      <alignment horizontal="left" vertical="top"/>
    </xf>
    <xf numFmtId="166" fontId="0" fillId="5" borderId="0" xfId="0" applyNumberFormat="1" applyFont="1" applyFill="1" applyAlignment="1"/>
    <xf numFmtId="0" fontId="4" fillId="0" borderId="0" xfId="0" applyFont="1"/>
    <xf numFmtId="0" fontId="11" fillId="0" borderId="0" xfId="0" applyFont="1"/>
    <xf numFmtId="0" fontId="10" fillId="0" borderId="0" xfId="469"/>
    <xf numFmtId="0" fontId="12" fillId="0" borderId="0" xfId="0" applyFont="1"/>
    <xf numFmtId="0" fontId="2" fillId="0" borderId="0" xfId="0" applyFont="1"/>
    <xf numFmtId="0" fontId="13" fillId="0" borderId="0" xfId="0" applyFont="1"/>
    <xf numFmtId="0" fontId="4" fillId="0" borderId="0" xfId="0" applyFont="1" applyAlignment="1"/>
    <xf numFmtId="0" fontId="14" fillId="0" borderId="0" xfId="0" applyFont="1"/>
    <xf numFmtId="0" fontId="20" fillId="0" borderId="0" xfId="0" applyFont="1"/>
    <xf numFmtId="0" fontId="10" fillId="0" borderId="0" xfId="469" applyAlignment="1"/>
    <xf numFmtId="0" fontId="23" fillId="0" borderId="0" xfId="0" applyFont="1"/>
    <xf numFmtId="0" fontId="1" fillId="0" borderId="0" xfId="0" applyNumberFormat="1" applyFont="1" applyFill="1" applyBorder="1" applyAlignment="1" applyProtection="1">
      <alignment horizontal="left" vertical="center" wrapText="1"/>
    </xf>
    <xf numFmtId="0" fontId="1" fillId="0" borderId="2" xfId="0" applyNumberFormat="1" applyFont="1" applyFill="1" applyBorder="1" applyAlignment="1" applyProtection="1">
      <alignment horizontal="left" vertical="center" wrapText="1"/>
    </xf>
    <xf numFmtId="0" fontId="1" fillId="0" borderId="0" xfId="0" applyFont="1" applyFill="1" applyBorder="1" applyAlignment="1">
      <alignment horizontal="left" vertical="center" wrapText="1"/>
    </xf>
    <xf numFmtId="0" fontId="1" fillId="0" borderId="0" xfId="0" applyFont="1" applyAlignment="1">
      <alignment vertical="center" wrapText="1"/>
    </xf>
    <xf numFmtId="0" fontId="8" fillId="0" borderId="0" xfId="0" applyFont="1" applyAlignment="1"/>
    <xf numFmtId="0" fontId="7" fillId="0" borderId="0" xfId="0" applyFont="1" applyAlignment="1"/>
    <xf numFmtId="0" fontId="15" fillId="0" borderId="0" xfId="0" applyFont="1" applyAlignment="1">
      <alignment vertical="center"/>
    </xf>
    <xf numFmtId="2" fontId="8" fillId="0" borderId="0" xfId="0" applyNumberFormat="1" applyFont="1" applyFill="1" applyBorder="1" applyAlignment="1">
      <alignment vertical="center" wrapText="1"/>
    </xf>
    <xf numFmtId="2" fontId="9" fillId="0" borderId="0" xfId="0" applyNumberFormat="1" applyFont="1"/>
    <xf numFmtId="2" fontId="0" fillId="0" borderId="0" xfId="0" applyNumberFormat="1" applyFont="1" applyAlignment="1"/>
    <xf numFmtId="0" fontId="4" fillId="0" borderId="0" xfId="0" applyFont="1" applyAlignment="1">
      <alignment wrapText="1"/>
    </xf>
    <xf numFmtId="166" fontId="0" fillId="0" borderId="0" xfId="0" applyNumberFormat="1"/>
    <xf numFmtId="166" fontId="8" fillId="0" borderId="0" xfId="0" applyNumberFormat="1" applyFont="1" applyFill="1" applyBorder="1" applyAlignment="1">
      <alignment vertical="center" wrapText="1"/>
    </xf>
    <xf numFmtId="166" fontId="3" fillId="0" borderId="0" xfId="0" applyNumberFormat="1" applyFont="1" applyAlignment="1"/>
    <xf numFmtId="0" fontId="11" fillId="0" borderId="0" xfId="0" applyFont="1" applyAlignment="1">
      <alignment vertical="center"/>
    </xf>
    <xf numFmtId="0" fontId="1" fillId="0" borderId="2" xfId="0" applyFont="1" applyBorder="1" applyAlignment="1">
      <alignment horizontal="center" vertical="center" wrapText="1"/>
    </xf>
    <xf numFmtId="3" fontId="3" fillId="0" borderId="0" xfId="0" applyNumberFormat="1" applyFont="1" applyAlignment="1">
      <alignment horizontal="right" vertical="top"/>
    </xf>
    <xf numFmtId="0" fontId="24" fillId="0" borderId="0" xfId="0" applyFont="1"/>
    <xf numFmtId="0" fontId="25" fillId="0" borderId="0" xfId="0" applyFont="1"/>
    <xf numFmtId="0" fontId="3" fillId="0" borderId="0" xfId="0" applyFont="1" applyAlignment="1">
      <alignment wrapText="1"/>
    </xf>
    <xf numFmtId="0" fontId="26" fillId="0" borderId="0" xfId="0" applyFont="1"/>
    <xf numFmtId="167" fontId="3" fillId="0" borderId="0" xfId="0" applyNumberFormat="1" applyFont="1" applyAlignment="1">
      <alignment horizontal="right"/>
    </xf>
    <xf numFmtId="167" fontId="4" fillId="6" borderId="0" xfId="0" applyNumberFormat="1" applyFont="1" applyFill="1" applyAlignment="1">
      <alignment horizontal="right"/>
    </xf>
    <xf numFmtId="14" fontId="0" fillId="0" borderId="0" xfId="0" applyNumberFormat="1"/>
    <xf numFmtId="0" fontId="0" fillId="0" borderId="0" xfId="0" applyAlignment="1">
      <alignment wrapText="1"/>
    </xf>
    <xf numFmtId="49" fontId="3" fillId="0" borderId="0" xfId="0" applyNumberFormat="1" applyFont="1" applyAlignment="1">
      <alignment wrapText="1"/>
    </xf>
    <xf numFmtId="49" fontId="3" fillId="0" borderId="0" xfId="0" applyNumberFormat="1" applyFont="1"/>
    <xf numFmtId="0" fontId="26" fillId="0" borderId="0" xfId="0" applyFont="1" applyAlignment="1">
      <alignment wrapText="1"/>
    </xf>
    <xf numFmtId="167" fontId="3" fillId="0" borderId="0" xfId="0" applyNumberFormat="1" applyFont="1" applyAlignment="1">
      <alignment horizontal="right" wrapText="1"/>
    </xf>
    <xf numFmtId="0" fontId="27" fillId="0" borderId="0" xfId="0" applyFont="1"/>
    <xf numFmtId="49" fontId="27" fillId="0" borderId="0" xfId="0" applyNumberFormat="1" applyFont="1"/>
    <xf numFmtId="0" fontId="25" fillId="0" borderId="0" xfId="0" applyFont="1" applyAlignment="1">
      <alignment wrapText="1"/>
    </xf>
    <xf numFmtId="167" fontId="4" fillId="0" borderId="0" xfId="0" applyNumberFormat="1" applyFont="1" applyAlignment="1">
      <alignment horizontal="right"/>
    </xf>
    <xf numFmtId="167" fontId="28" fillId="6" borderId="0" xfId="0" applyNumberFormat="1" applyFont="1" applyFill="1" applyAlignment="1">
      <alignment horizontal="right"/>
    </xf>
    <xf numFmtId="0" fontId="4" fillId="6" borderId="0" xfId="0" applyFont="1" applyFill="1"/>
    <xf numFmtId="167" fontId="18" fillId="6" borderId="0" xfId="0" applyNumberFormat="1" applyFont="1" applyFill="1" applyAlignment="1">
      <alignment horizontal="right"/>
    </xf>
    <xf numFmtId="167" fontId="3" fillId="0" borderId="0" xfId="0" applyNumberFormat="1" applyFont="1"/>
    <xf numFmtId="18" fontId="4" fillId="0" borderId="0" xfId="0" applyNumberFormat="1" applyFont="1"/>
    <xf numFmtId="0" fontId="19" fillId="0" borderId="0" xfId="0" applyFont="1"/>
    <xf numFmtId="0" fontId="15" fillId="0" borderId="0" xfId="0" applyFont="1"/>
    <xf numFmtId="0" fontId="16" fillId="0" borderId="0" xfId="0" applyFont="1"/>
    <xf numFmtId="0" fontId="18" fillId="0" borderId="0" xfId="0" applyFont="1"/>
    <xf numFmtId="0" fontId="21" fillId="0" borderId="0" xfId="0" applyFont="1"/>
    <xf numFmtId="0" fontId="17" fillId="0" borderId="0" xfId="0" applyFont="1"/>
    <xf numFmtId="0" fontId="22" fillId="0" borderId="0" xfId="0" applyFont="1"/>
    <xf numFmtId="1" fontId="3" fillId="0" borderId="0" xfId="0" applyNumberFormat="1" applyFont="1" applyAlignment="1">
      <alignment wrapText="1"/>
    </xf>
    <xf numFmtId="1" fontId="3" fillId="0" borderId="0" xfId="0" applyNumberFormat="1" applyFont="1"/>
    <xf numFmtId="167" fontId="3" fillId="0" borderId="0" xfId="0" applyNumberFormat="1" applyFont="1" applyAlignment="1">
      <alignment wrapText="1"/>
    </xf>
    <xf numFmtId="3" fontId="3" fillId="0" borderId="0" xfId="0" applyNumberFormat="1" applyFont="1" applyAlignment="1">
      <alignment wrapText="1"/>
    </xf>
    <xf numFmtId="0" fontId="29" fillId="0" borderId="0" xfId="0" applyFont="1" applyAlignment="1">
      <alignment vertical="center"/>
    </xf>
    <xf numFmtId="166" fontId="0" fillId="0" borderId="0" xfId="0" applyNumberFormat="1" applyFont="1" applyFill="1" applyAlignment="1"/>
    <xf numFmtId="0" fontId="0" fillId="0" borderId="0" xfId="0" applyFont="1" applyFill="1" applyAlignment="1"/>
    <xf numFmtId="0" fontId="3" fillId="7" borderId="0" xfId="0" applyFont="1" applyFill="1"/>
    <xf numFmtId="0" fontId="0" fillId="7" borderId="0" xfId="0" applyFont="1" applyFill="1" applyAlignment="1"/>
    <xf numFmtId="166" fontId="0" fillId="7" borderId="0" xfId="0" applyNumberFormat="1" applyFont="1" applyFill="1" applyAlignment="1"/>
    <xf numFmtId="0" fontId="3" fillId="0" borderId="0" xfId="0" applyNumberFormat="1" applyFont="1" applyAlignment="1">
      <alignment horizontal="right"/>
    </xf>
    <xf numFmtId="0" fontId="3" fillId="0" borderId="0" xfId="0" applyNumberFormat="1" applyFont="1"/>
    <xf numFmtId="0" fontId="3" fillId="0" borderId="0" xfId="0" applyNumberFormat="1" applyFont="1" applyAlignment="1">
      <alignment wrapText="1"/>
    </xf>
    <xf numFmtId="0" fontId="3" fillId="0" borderId="0" xfId="0" applyNumberFormat="1" applyFont="1" applyAlignment="1">
      <alignment horizontal="right" wrapText="1"/>
    </xf>
    <xf numFmtId="0" fontId="4" fillId="0" borderId="0" xfId="0" applyNumberFormat="1" applyFont="1"/>
    <xf numFmtId="0" fontId="30" fillId="0" borderId="0" xfId="0" applyFont="1" applyAlignment="1">
      <alignment wrapText="1"/>
    </xf>
  </cellXfs>
  <cellStyles count="47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Hyperlink" xfId="469" builtinId="8"/>
    <cellStyle name="Normal" xfId="0" builtinId="0"/>
    <cellStyle name="Percent" xfId="170" builtinId="5"/>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F8F8F"/>
      <color rgb="FF55D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3693</xdr:row>
      <xdr:rowOff>0</xdr:rowOff>
    </xdr:from>
    <xdr:to>
      <xdr:col>9</xdr:col>
      <xdr:colOff>1104900</xdr:colOff>
      <xdr:row>3693</xdr:row>
      <xdr:rowOff>0</xdr:rowOff>
    </xdr:to>
    <xdr:sp macro="" textlink="">
      <xdr:nvSpPr>
        <xdr:cNvPr id="1026" name="Rectangle 2" hidden="1">
          <a:extLst>
            <a:ext uri="{FF2B5EF4-FFF2-40B4-BE49-F238E27FC236}">
              <a16:creationId xmlns:a16="http://schemas.microsoft.com/office/drawing/2014/main" id="{00000000-0008-0000-0000-000002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news10.com/2016/06/13/police-investigating-officer-involved-shooting-in-schenectady/" TargetMode="External"/><Relationship Id="rId3182" Type="http://schemas.openxmlformats.org/officeDocument/2006/relationships/hyperlink" Target="http://komonews.com/news/local/person-killed-on-officer-involved-shooting-in-aurbun" TargetMode="External"/><Relationship Id="rId4233" Type="http://schemas.openxmlformats.org/officeDocument/2006/relationships/hyperlink" Target="http://www.tallahassee.com/story/news/2018/02/17/city-hall-got-heads-up-tasing-which-man-would-later-die/347884002/" TargetMode="External"/><Relationship Id="rId3999" Type="http://schemas.openxmlformats.org/officeDocument/2006/relationships/hyperlink" Target="https://www.duluthnewstribune.com/news/crime-and-courts/4378238-one-person-dead-deputy-wounded-gilbert-shooting" TargetMode="External"/><Relationship Id="rId4300" Type="http://schemas.openxmlformats.org/officeDocument/2006/relationships/hyperlink" Target="http://www.wcnc.com/article/news/crime/one-killed-in-officer-involved-shooting-in-chester/275-523983840" TargetMode="External"/><Relationship Id="rId170" Type="http://schemas.openxmlformats.org/officeDocument/2006/relationships/hyperlink" Target="http://www.democratandchronicle.com/story/news/2015/06/01/police-investigate-near-sears-mall-greece-ridge/28314217/" TargetMode="External"/><Relationship Id="rId6058" Type="http://schemas.openxmlformats.org/officeDocument/2006/relationships/hyperlink" Target="https://www.11alive.com/article/news/local/union-city/thankful-for-bullet-proof-vests-officer-undergoes-surgery-after-being-shot-multiple-times/85-091d820d-d48e-442c-b3b9-8252d1e83863" TargetMode="External"/><Relationship Id="rId6472" Type="http://schemas.openxmlformats.org/officeDocument/2006/relationships/hyperlink" Target="https://www.starexponent.com/news/rockingham-man-fatally-shot-by-police/article_8bea3bdd-1958-5bdb-9c4d-fe677b1a8693.html" TargetMode="External"/><Relationship Id="rId7109" Type="http://schemas.openxmlformats.org/officeDocument/2006/relationships/hyperlink" Target="http://www.fatalencounters.org/wp-content/uploads/2013/10/Madison-Sueann-Dickson.png" TargetMode="External"/><Relationship Id="rId5074" Type="http://schemas.openxmlformats.org/officeDocument/2006/relationships/hyperlink" Target="https://whdh.com/news/1-dead-after-police-pursuit-shootout-in-rochester-nh/" TargetMode="External"/><Relationship Id="rId6125" Type="http://schemas.openxmlformats.org/officeDocument/2006/relationships/hyperlink" Target="https://www.wate.com/news/tennessee/tbi-investigating-officer-involved-shooting-in-pigeon-forge/1927058031" TargetMode="External"/><Relationship Id="rId987" Type="http://schemas.openxmlformats.org/officeDocument/2006/relationships/hyperlink" Target="http://www.baltimoresun.com/news/maryland/crime/blog/bs-md-baltimore-county-0628-20150627-story.html" TargetMode="External"/><Relationship Id="rId2668" Type="http://schemas.openxmlformats.org/officeDocument/2006/relationships/hyperlink" Target="http://klfy.com/2017/07/06/update-state-police-identify-person-killed-in-deputy-involved-shooting-in-mamou/" TargetMode="External"/><Relationship Id="rId3719" Type="http://schemas.openxmlformats.org/officeDocument/2006/relationships/hyperlink" Target="http://www.al.com/news/index.ssf/2017/10/birmingham_police_on_scene_of.html" TargetMode="External"/><Relationship Id="rId4090" Type="http://schemas.openxmlformats.org/officeDocument/2006/relationships/hyperlink" Target="http://abc7.com/suspect-killed-in-deputy-involved-shooting-in-palmdale/2927286/" TargetMode="External"/><Relationship Id="rId1684" Type="http://schemas.openxmlformats.org/officeDocument/2006/relationships/hyperlink" Target="http://www.fatalencounters.org/wp-content/uploads/2013/10/DerekSam.png" TargetMode="External"/><Relationship Id="rId2735" Type="http://schemas.openxmlformats.org/officeDocument/2006/relationships/hyperlink" Target="http://www.wxyz.com/news/detroit-police-officer-shot-on-citys-west-side" TargetMode="External"/><Relationship Id="rId5141" Type="http://schemas.openxmlformats.org/officeDocument/2006/relationships/hyperlink" Target="https://www.fatalencounters.org/wp-content/uploads/2018/09/PattyMaggiore.jpg" TargetMode="External"/><Relationship Id="rId707" Type="http://schemas.openxmlformats.org/officeDocument/2006/relationships/hyperlink" Target="http://ktla.com/2015/11/09/authorities-responding-to-possible-police-shooting-in-lake-balboa/" TargetMode="External"/><Relationship Id="rId1337" Type="http://schemas.openxmlformats.org/officeDocument/2006/relationships/hyperlink" Target="http://www.wfaa.com/story/news/2016/01/19/1-injured-police-chase-shooting-forney/78993606/" TargetMode="External"/><Relationship Id="rId1751" Type="http://schemas.openxmlformats.org/officeDocument/2006/relationships/hyperlink" Target="http://www.kob.com/albuquerque-news/fugitive-dead-after-us-marshals-shooting-in-abq-tuesday-night-mario-montoya-colleen-calamia/4150301/" TargetMode="External"/><Relationship Id="rId2802" Type="http://schemas.openxmlformats.org/officeDocument/2006/relationships/hyperlink" Target="http://katv.com/news/local/officer-involved-shooting-on-rodney-parham-and-reservoir-road" TargetMode="External"/><Relationship Id="rId5958" Type="http://schemas.openxmlformats.org/officeDocument/2006/relationships/hyperlink" Target="https://www.fatalencounters.org/wp-content/uploads/2019/03/BethPlant.png" TargetMode="External"/><Relationship Id="rId43" Type="http://schemas.openxmlformats.org/officeDocument/2006/relationships/hyperlink" Target="https://localtvwiti.files.wordpress.com/2015/07/antonio-gonzales2.jpeg" TargetMode="External"/><Relationship Id="rId1404" Type="http://schemas.openxmlformats.org/officeDocument/2006/relationships/hyperlink" Target="http://www.sltrib.com/news/3560467-155/ogden-police-identify-man-officer-shot" TargetMode="External"/><Relationship Id="rId3576" Type="http://schemas.openxmlformats.org/officeDocument/2006/relationships/hyperlink" Target="http://www.fatalencounters.org/wp-content/uploads/2013/10/Damon-Seitz.jpg" TargetMode="External"/><Relationship Id="rId4627" Type="http://schemas.openxmlformats.org/officeDocument/2006/relationships/hyperlink" Target="https://www.postcrescent.com/story/news/2018/05/07/shooting-involving-officer-reported-appletons-east-side/588912002/" TargetMode="External"/><Relationship Id="rId4974" Type="http://schemas.openxmlformats.org/officeDocument/2006/relationships/hyperlink" Target="https://www.wral.com/moore-sheriff-ids-deputies-involved-in-fatal-officer-involved-shooting/17738241/" TargetMode="External"/><Relationship Id="rId7033" Type="http://schemas.openxmlformats.org/officeDocument/2006/relationships/hyperlink" Target="https://fatalencounters.org/wp-content/uploads/2019/12/Jayson-A-Colvin.jpg" TargetMode="External"/><Relationship Id="rId497" Type="http://schemas.openxmlformats.org/officeDocument/2006/relationships/hyperlink" Target="http://chippewa.com/dunnconnect/news/local/suspect-shot-during-search-warrant-in-town-of-red-cedar/article_c7a4ae88-2f57-59fd-a566-2ee0bef8573b.html" TargetMode="External"/><Relationship Id="rId2178" Type="http://schemas.openxmlformats.org/officeDocument/2006/relationships/hyperlink" Target="http://www.cbsnews.com/news/police-officer-clint-corvinus-killed-by-joseph-moreno-alamogordo-new-mexico/" TargetMode="External"/><Relationship Id="rId3229" Type="http://schemas.openxmlformats.org/officeDocument/2006/relationships/hyperlink" Target="http://www.crookstontimes.com/news/20170321/rural-tabor-man-dies-after-shooting-at-mail-carrier-exchanging-fire-with-deputy" TargetMode="External"/><Relationship Id="rId3990" Type="http://schemas.openxmlformats.org/officeDocument/2006/relationships/hyperlink" Target="http://www.fatalencounters.org/wp-content/uploads/2013/10/Kameron-Prescott.png" TargetMode="External"/><Relationship Id="rId7100" Type="http://schemas.openxmlformats.org/officeDocument/2006/relationships/hyperlink" Target="http://www.valleynewslive.com/home/headlines/Man-Dead-in-Otter-Tail-Police-Chase-286635971.html" TargetMode="External"/><Relationship Id="rId1194" Type="http://schemas.openxmlformats.org/officeDocument/2006/relationships/hyperlink" Target="https://www.washingtonpost.com/local/with-6-month-old-baby-in-car-both-parents-killed-by-virginia-beach-police/2015/09/08/2e64a83c-565a-11e5-8bb1-b488d231bba2_story.html" TargetMode="External"/><Relationship Id="rId2592" Type="http://schemas.openxmlformats.org/officeDocument/2006/relationships/hyperlink" Target="http://www.azfamily.com/story/33324528/man-dies-after-being-shot-by-phoenix-police-officer" TargetMode="External"/><Relationship Id="rId3643" Type="http://schemas.openxmlformats.org/officeDocument/2006/relationships/hyperlink" Target="http://www.fatalencounters.org/wp-content/uploads/2013/10/donald-parker-02082017.jpg" TargetMode="External"/><Relationship Id="rId6799" Type="http://schemas.openxmlformats.org/officeDocument/2006/relationships/hyperlink" Target="https://www.wsbtv.com/news/local/breaking-suspect-shot-by-police-in-floyd-county-gbi-investigating/989155901" TargetMode="External"/><Relationship Id="rId217" Type="http://schemas.openxmlformats.org/officeDocument/2006/relationships/hyperlink" Target="http://www.wsls.com/story/28977735/vsp-investigating-officer-involved-shooting-in-pulaski" TargetMode="External"/><Relationship Id="rId564" Type="http://schemas.openxmlformats.org/officeDocument/2006/relationships/hyperlink" Target="http://www.daytondailynews.com/news/news/crime-law/fbi-working-at-shooting-site/nXDWH/" TargetMode="External"/><Relationship Id="rId2245" Type="http://schemas.openxmlformats.org/officeDocument/2006/relationships/hyperlink" Target="http://www.journalgazette.net/news/local/police-fire/Man-with-knife-killed-by-police-15683990" TargetMode="External"/><Relationship Id="rId3710" Type="http://schemas.openxmlformats.org/officeDocument/2006/relationships/hyperlink" Target="http://www.wlwt.com/article/police-1-injured-in-springfield-twp-officer-involved-shooting/8553603" TargetMode="External"/><Relationship Id="rId6866" Type="http://schemas.openxmlformats.org/officeDocument/2006/relationships/hyperlink" Target="https://www.live5news.com/2019/10/12/loris-man-dead-following-saturday-morning-shooting-with-myrtle-beach-police/" TargetMode="External"/><Relationship Id="rId631" Type="http://schemas.openxmlformats.org/officeDocument/2006/relationships/hyperlink" Target="http://www.killedbypolice.net/victims/151069.jpg" TargetMode="External"/><Relationship Id="rId1261" Type="http://schemas.openxmlformats.org/officeDocument/2006/relationships/hyperlink" Target="http://www.fatalencounters.org/wp-content/uploads/2013/10/BlakeFitzgerald.png" TargetMode="External"/><Relationship Id="rId2312" Type="http://schemas.openxmlformats.org/officeDocument/2006/relationships/hyperlink" Target="http://billingsgazette.com/news/crime/wyoming-man-killed-in-officer-involved-shooting-at-days-inn/article_42785cff-a52f-587a-ae34-a52b0c6abd11.html" TargetMode="External"/><Relationship Id="rId5468" Type="http://schemas.openxmlformats.org/officeDocument/2006/relationships/hyperlink" Target="https://www.fatalencounters.org/wp-content/uploads/2018/12/Benjamin-Kennedy.jpg" TargetMode="External"/><Relationship Id="rId5882" Type="http://schemas.openxmlformats.org/officeDocument/2006/relationships/hyperlink" Target="https://www.columbian.com/news/2019/feb/21/vancouver-police-id-officer-who-fatally-shot-boy-16/?utm_source=feedburner&amp;utm_medium=feed&amp;utm_campaign=Feed%3A+the-columbian-local-headlines+%28The+Columbian%3A+Local+Headlines%29" TargetMode="External"/><Relationship Id="rId6519" Type="http://schemas.openxmlformats.org/officeDocument/2006/relationships/hyperlink" Target="https://www.mcalesternews.com/news/officer-involved-shooting-being-investigated/article_f5723bca-a8f8-11e9-9060-935cfce25027.html" TargetMode="External"/><Relationship Id="rId6933" Type="http://schemas.openxmlformats.org/officeDocument/2006/relationships/hyperlink" Target="https://www.joplinglobe.com/news/crime_and_courts/agencies-investigating-officer-involved-shooting-in-delaware-county/article_d445c4ac-8cc1-5776-a1ac-0aa94232fa4e.html" TargetMode="External"/><Relationship Id="rId4484" Type="http://schemas.openxmlformats.org/officeDocument/2006/relationships/hyperlink" Target="http://www.vvng.com/1-dead-2-injured-after-officer-involved-shooting-in-barstow/" TargetMode="External"/><Relationship Id="rId5535" Type="http://schemas.openxmlformats.org/officeDocument/2006/relationships/hyperlink" Target="http://www.wrcbtv.com/story/39624965/update-officer-shot-suspect-killed-in-shootout-at-calhoun-georgia-gas-station" TargetMode="External"/><Relationship Id="rId3086" Type="http://schemas.openxmlformats.org/officeDocument/2006/relationships/hyperlink" Target="http://www.krtv.com/story/36342884/officer-involved-shooting-in-great-falls" TargetMode="External"/><Relationship Id="rId4137" Type="http://schemas.openxmlformats.org/officeDocument/2006/relationships/hyperlink" Target="http://www.keyc.com/story/37322124/officers-deceased-idd-in-bca-investigation-in-fairmont" TargetMode="External"/><Relationship Id="rId4551" Type="http://schemas.openxmlformats.org/officeDocument/2006/relationships/hyperlink" Target="http://www.mlive.com/news/kalamazoo/index.ssf/2018/04/squatter_at_mobile_home_park_s_1.html" TargetMode="External"/><Relationship Id="rId3153" Type="http://schemas.openxmlformats.org/officeDocument/2006/relationships/hyperlink" Target="http://www.lcsun-news.com/story/news/crime/2017/07/17/man-dead-after-swat-standoff-police-las-cruces/486440001/" TargetMode="External"/><Relationship Id="rId4204" Type="http://schemas.openxmlformats.org/officeDocument/2006/relationships/hyperlink" Target="http://abc27.com/2018/02/01/police-incident-in-harrisburg/" TargetMode="External"/><Relationship Id="rId5602" Type="http://schemas.openxmlformats.org/officeDocument/2006/relationships/hyperlink" Target="https://www.fatalencounters.org/wp-content/uploads/2018/12/Edwin-C.-Bundy.jpg" TargetMode="External"/><Relationship Id="rId141" Type="http://schemas.openxmlformats.org/officeDocument/2006/relationships/hyperlink" Target="http://www.desmoinesregister.com/story/news/crime-and-courts/2015/06/10/fatal-shooting-officer-involved-merle-hay-urbandale/28779873/" TargetMode="External"/><Relationship Id="rId3220" Type="http://schemas.openxmlformats.org/officeDocument/2006/relationships/hyperlink" Target="http://www.latimes.com/local/lanow/la-me-ln-newport-beach-suspect-shot-20170416-story.html" TargetMode="External"/><Relationship Id="rId6029" Type="http://schemas.openxmlformats.org/officeDocument/2006/relationships/hyperlink" Target="https://www.wbtw.com/crime/pee-dee-crime/update-suspect-killed-in-officer-involved-shooting-in-nichols/1875345992" TargetMode="External"/><Relationship Id="rId6376" Type="http://schemas.openxmlformats.org/officeDocument/2006/relationships/hyperlink" Target="https://fatalencounters.org/wp-content/uploads/2019/06/alfredo-chino.jpg" TargetMode="External"/><Relationship Id="rId6790" Type="http://schemas.openxmlformats.org/officeDocument/2006/relationships/hyperlink" Target="https://www.wtva.com/content/news/Lee-County-Sheriff-Two-dead-after-Shannon-shooting-560767381.html" TargetMode="External"/><Relationship Id="rId7" Type="http://schemas.openxmlformats.org/officeDocument/2006/relationships/hyperlink" Target="http://www.pe.com/articles/officers-782334-domestic-involved.html" TargetMode="External"/><Relationship Id="rId2986" Type="http://schemas.openxmlformats.org/officeDocument/2006/relationships/hyperlink" Target="http://www.courant.com/breaking-news/hc-bridgeport-officer-involved-shooting-0510-20170509-story.html" TargetMode="External"/><Relationship Id="rId5392" Type="http://schemas.openxmlformats.org/officeDocument/2006/relationships/hyperlink" Target="https://www.fatalencounters.org/wp-content/uploads/2018/11/Andrew-Kana.png" TargetMode="External"/><Relationship Id="rId6443" Type="http://schemas.openxmlformats.org/officeDocument/2006/relationships/hyperlink" Target="https://fatalencounters.org/wp-content/uploads/2019/07/Isak-Abdirahman-Aden.jpg" TargetMode="External"/><Relationship Id="rId958" Type="http://schemas.openxmlformats.org/officeDocument/2006/relationships/hyperlink" Target="http://www.toledoblade.com/Police-Fire/2015/12/19/Woman-killed-in-shootout-with-police-in-Northwood.html" TargetMode="External"/><Relationship Id="rId1588" Type="http://schemas.openxmlformats.org/officeDocument/2006/relationships/hyperlink" Target="http://wtkr.com/2016/03/19/woman-killed-in-officer-involved-shooting-in-norfolk/" TargetMode="External"/><Relationship Id="rId2639" Type="http://schemas.openxmlformats.org/officeDocument/2006/relationships/hyperlink" Target="http://wgntv.com/2017/08/08/police-activity-blocks-lanes-on-bishop-ford/" TargetMode="External"/><Relationship Id="rId5045" Type="http://schemas.openxmlformats.org/officeDocument/2006/relationships/hyperlink" Target="http://www.waow.com/story/38876118/2018/08/13/rusk-county-deputy-fatally-shoots-man-during-altercation" TargetMode="External"/><Relationship Id="rId6510" Type="http://schemas.openxmlformats.org/officeDocument/2006/relationships/hyperlink" Target="https://fatalencounters.org/wp-content/uploads/2019/07/stephen-murray.jpg" TargetMode="External"/><Relationship Id="rId1655" Type="http://schemas.openxmlformats.org/officeDocument/2006/relationships/hyperlink" Target="http://media.cmgdigital.com/shared/img/photos/2016/03/18/51/40/suspect.jpg" TargetMode="External"/><Relationship Id="rId2706" Type="http://schemas.openxmlformats.org/officeDocument/2006/relationships/hyperlink" Target="http://www.kmov.com/story/35530337/standoff-near-south-city-county-line-closes-several-streets" TargetMode="External"/><Relationship Id="rId4061" Type="http://schemas.openxmlformats.org/officeDocument/2006/relationships/hyperlink" Target="http://www.fatalencounters.org/wp-content/uploads/2018/01/William-B-Oleson.jpg" TargetMode="External"/><Relationship Id="rId5112" Type="http://schemas.openxmlformats.org/officeDocument/2006/relationships/hyperlink" Target="https://abc7.com/18-year-old-dies-after-redlands-officer-involved-shooting/4086942/" TargetMode="External"/><Relationship Id="rId1308" Type="http://schemas.openxmlformats.org/officeDocument/2006/relationships/hyperlink" Target="http://foxbaltimore.com/news/local/2-cecil-co-troopers-on-administrative-leave-following-trooper-involved-shooting" TargetMode="External"/><Relationship Id="rId1722" Type="http://schemas.openxmlformats.org/officeDocument/2006/relationships/hyperlink" Target="http://www.azcentral.com/story/news/local/phoenix-breaking/2016/05/20/phoenix-police-id-gunman-who-killed-officer-19-year-old/84640648/" TargetMode="External"/><Relationship Id="rId4878" Type="http://schemas.openxmlformats.org/officeDocument/2006/relationships/hyperlink" Target="https://www.firstcoastnews.com/article/news/local/data/crime/man-killed-in-officer-involved-shooting-on-the-northside/77-571587219" TargetMode="External"/><Relationship Id="rId5929" Type="http://schemas.openxmlformats.org/officeDocument/2006/relationships/hyperlink" Target="https://fatalencounters.org/wp-content/uploads/2019/08/Shamikle-Jackson.jpg" TargetMode="External"/><Relationship Id="rId14" Type="http://schemas.openxmlformats.org/officeDocument/2006/relationships/hyperlink" Target="http://www.kwwl.com/story/30019391/2015/09/13/officer-involved-shooting-near-wellman-leaves-one-person-dead" TargetMode="External"/><Relationship Id="rId3894" Type="http://schemas.openxmlformats.org/officeDocument/2006/relationships/hyperlink" Target="http://www.fatalencounters.org/wp-content/uploads/2013/10/David-Eric-Ufferman.png" TargetMode="External"/><Relationship Id="rId4945" Type="http://schemas.openxmlformats.org/officeDocument/2006/relationships/hyperlink" Target="https://wjla.com/news/crime/man-dies-poilce-shooting-domestic-barricade-silver-spring-son-3" TargetMode="External"/><Relationship Id="rId7004" Type="http://schemas.openxmlformats.org/officeDocument/2006/relationships/hyperlink" Target="https://fatalencounters.org/wp-content/uploads/2019/12/Louis-Patrick-Veal.jpg" TargetMode="External"/><Relationship Id="rId2496" Type="http://schemas.openxmlformats.org/officeDocument/2006/relationships/hyperlink" Target="http://www.nbcdfw.com/news/local/Allen-Police-Fatally-Shoot-405554496.html" TargetMode="External"/><Relationship Id="rId3547" Type="http://schemas.openxmlformats.org/officeDocument/2006/relationships/hyperlink" Target="http://www.krcrtv.com/news/breaking-news/one-dead-after-an-incident-at-motel-in-anderson/418133633" TargetMode="External"/><Relationship Id="rId3961" Type="http://schemas.openxmlformats.org/officeDocument/2006/relationships/hyperlink" Target="http://www.kerngoldenempire.com/news/kcso-investigating-in-custody-death-in-boron/880992506" TargetMode="External"/><Relationship Id="rId468" Type="http://schemas.openxmlformats.org/officeDocument/2006/relationships/hyperlink" Target="http://www.wwaytv3.com/2014/04/14/updated-sbi-investigating-officer-involved-shooting-pender-county" TargetMode="External"/><Relationship Id="rId882" Type="http://schemas.openxmlformats.org/officeDocument/2006/relationships/hyperlink" Target="http://www.nbcnews.com/news/us-news/gunman-fatally-shoots-florida-deputy-outside-law-office-n431866" TargetMode="External"/><Relationship Id="rId1098" Type="http://schemas.openxmlformats.org/officeDocument/2006/relationships/hyperlink" Target="http://www.nbcsandiego.com/news/local/San-Diego-Harbor-Police-Shooting-Fatal-Officer-Involved-337915742.html" TargetMode="External"/><Relationship Id="rId2149" Type="http://schemas.openxmlformats.org/officeDocument/2006/relationships/hyperlink" Target="http://www.fatalencounters.org/wp-content/uploads/2013/10/Alfred-Toe.jpg" TargetMode="External"/><Relationship Id="rId2563" Type="http://schemas.openxmlformats.org/officeDocument/2006/relationships/hyperlink" Target="http://www.nbclosangeles.com/news/local/Suspected-DUI-Driver-Fatally-Shot-by-El-Monte-Police-408140675.html" TargetMode="External"/><Relationship Id="rId3614" Type="http://schemas.openxmlformats.org/officeDocument/2006/relationships/hyperlink" Target="http://www.fatalencounters.org/wp-content/uploads/2013/10/Kyle-Riggs.png" TargetMode="External"/><Relationship Id="rId6020" Type="http://schemas.openxmlformats.org/officeDocument/2006/relationships/hyperlink" Target="https://www.fatalencounters.org/wp-content/uploads/2019/03/Joseph_D_Durman.jpg" TargetMode="External"/><Relationship Id="rId535" Type="http://schemas.openxmlformats.org/officeDocument/2006/relationships/hyperlink" Target="http://www.denverpost.com/breakingnews/ci_24147149/police-fatally-shoot-denver-bank-robbery-suspect" TargetMode="External"/><Relationship Id="rId1165" Type="http://schemas.openxmlformats.org/officeDocument/2006/relationships/hyperlink" Target="http://www.postandcourier.com/article/20150810/PC16/150819946" TargetMode="External"/><Relationship Id="rId2216" Type="http://schemas.openxmlformats.org/officeDocument/2006/relationships/hyperlink" Target="http://www.turnto23.com/news/local-news/suspect-involved-in-sundays-machete-incident-dies-at-hospital?autoplay=true" TargetMode="External"/><Relationship Id="rId2630" Type="http://schemas.openxmlformats.org/officeDocument/2006/relationships/hyperlink" Target="http://www.timesenterprise.com/authorities-investigating-after-drug-squad-agent-shoots-suspect/article_40e33c80-81fa-11e7-9b38-573fc21d6f13.html" TargetMode="External"/><Relationship Id="rId5786" Type="http://schemas.openxmlformats.org/officeDocument/2006/relationships/hyperlink" Target="https://www.nj.com/essex/2019/01/2-men-shot-by-newark-police-after-car-chase-remain-in-critical-condition.html" TargetMode="External"/><Relationship Id="rId6837" Type="http://schemas.openxmlformats.org/officeDocument/2006/relationships/hyperlink" Target="https://www.wowktv.com/news/local/state-police-fatally-shoots-suspect-in-nicholas-county/" TargetMode="External"/><Relationship Id="rId602" Type="http://schemas.openxmlformats.org/officeDocument/2006/relationships/hyperlink" Target="http://krqe.com/2015/10/20/police-officer-involved-in-shooting-at-elephant-butte/" TargetMode="External"/><Relationship Id="rId1232" Type="http://schemas.openxmlformats.org/officeDocument/2006/relationships/hyperlink" Target="http://ak-cache.legacy.net/legacy/images/cobrands/tributes/photos/5705487_o.jpg" TargetMode="External"/><Relationship Id="rId4388" Type="http://schemas.openxmlformats.org/officeDocument/2006/relationships/hyperlink" Target="http://www.nola.com/northshore/index.ssf/2018/05/suspect_shot_to_death_by_polic.html" TargetMode="External"/><Relationship Id="rId5439" Type="http://schemas.openxmlformats.org/officeDocument/2006/relationships/hyperlink" Target="https://www.wnem.com/news/police-man-dead-after-officer-involved-shooting/article_0ceb7928-ee8d-11e8-8257-8beb4a9b6bfb.html" TargetMode="External"/><Relationship Id="rId5853" Type="http://schemas.openxmlformats.org/officeDocument/2006/relationships/hyperlink" Target="https://www.khou.com/article/news/crime/violent-robbery-suspects-in-cinco-ranch-shootout-identified/285-9e195196-7cca-410a-b399-94a18e3436c7" TargetMode="External"/><Relationship Id="rId6904" Type="http://schemas.openxmlformats.org/officeDocument/2006/relationships/hyperlink" Target="https://fatalencounters.org/wp-content/uploads/2019/10/StevenDay.jpg" TargetMode="External"/><Relationship Id="rId3057" Type="http://schemas.openxmlformats.org/officeDocument/2006/relationships/hyperlink" Target="http://www.fatalencounters.org/wp-content/uploads/2013/10/Jeremy-Robledo-Lopez.jpg" TargetMode="External"/><Relationship Id="rId4108" Type="http://schemas.openxmlformats.org/officeDocument/2006/relationships/hyperlink" Target="http://www.fatalencounters.org/wp-content/uploads/2018/01/Thomas-Yatsko.jpg" TargetMode="External"/><Relationship Id="rId4455" Type="http://schemas.openxmlformats.org/officeDocument/2006/relationships/hyperlink" Target="http://www.fatalencounters.org/wp-content/uploads/2018/04/Timothy-Wyatt.jpg" TargetMode="External"/><Relationship Id="rId5506" Type="http://schemas.openxmlformats.org/officeDocument/2006/relationships/hyperlink" Target="https://www.fatalencounters.org/wp-content/uploads/2018/12/Julius-Ervin-Tate.jpg" TargetMode="External"/><Relationship Id="rId5920" Type="http://schemas.openxmlformats.org/officeDocument/2006/relationships/hyperlink" Target="https://www.bigcountryhomepage.com/news/main-news/fleeing-suspect-stabs-good-samaritan-gets-shot-killed-by-waco-officer/1825876937" TargetMode="External"/><Relationship Id="rId3471" Type="http://schemas.openxmlformats.org/officeDocument/2006/relationships/hyperlink" Target="http://www.fatalencounters.org/wp-content/uploads/2013/10/Branch-Wroth.jpg" TargetMode="External"/><Relationship Id="rId4522" Type="http://schemas.openxmlformats.org/officeDocument/2006/relationships/hyperlink" Target="http://www.fatalencounters.org/wp-content/uploads/2018/04/Kenneth-Ross-Jr..jpg" TargetMode="External"/><Relationship Id="rId392" Type="http://schemas.openxmlformats.org/officeDocument/2006/relationships/hyperlink" Target="http://www.copblock.org/wp-content/uploads/2014/09/ricky-deangelo-hinkle-jefferson-county-alabama-copblock.png" TargetMode="External"/><Relationship Id="rId2073" Type="http://schemas.openxmlformats.org/officeDocument/2006/relationships/hyperlink" Target="http://www.fatalencounters.org/wp-content/uploads/2013/10/MaryKnowlton.jpg" TargetMode="External"/><Relationship Id="rId3124" Type="http://schemas.openxmlformats.org/officeDocument/2006/relationships/hyperlink" Target="http://www.al.com/news/birmingham/index.ssf/2017/08/man_killed_ex-wife_then_shot_t.html" TargetMode="External"/><Relationship Id="rId6694" Type="http://schemas.openxmlformats.org/officeDocument/2006/relationships/hyperlink" Target="https://www.azcentral.com/story/news/local/phoenix-breaking/2019/08/30/officials-investigating-police-shooting-near-87th-avenue-and-van-buren/2164119001/" TargetMode="External"/><Relationship Id="rId2140" Type="http://schemas.openxmlformats.org/officeDocument/2006/relationships/hyperlink" Target="http://patch.com/california/southgate-lynwood/compton-man-killed-fbi-involved-shooting-family-wants-answers" TargetMode="External"/><Relationship Id="rId5296" Type="http://schemas.openxmlformats.org/officeDocument/2006/relationships/hyperlink" Target="https://www.sltrib.com/news/2018/10/23/man-shot-by-police-last/" TargetMode="External"/><Relationship Id="rId6347" Type="http://schemas.openxmlformats.org/officeDocument/2006/relationships/hyperlink" Target="http://myjcpress.com/Law-Enforcement/2019/06/10/Officer-involved-shooting-in-Sullivan-County.html" TargetMode="External"/><Relationship Id="rId6761" Type="http://schemas.openxmlformats.org/officeDocument/2006/relationships/hyperlink" Target="https://fatalencounters.org/wp-content/uploads/2019/09/Eric-Carter.jpg" TargetMode="External"/><Relationship Id="rId112" Type="http://schemas.openxmlformats.org/officeDocument/2006/relationships/hyperlink" Target="http://d3trabu2dfbdfb.cloudfront.net/4/6/4658528_300x300.jpeg" TargetMode="External"/><Relationship Id="rId5363" Type="http://schemas.openxmlformats.org/officeDocument/2006/relationships/hyperlink" Target="https://trib.com/news/state-and-regional/albany-county-sheriff-s-deputy-shoots-and-kills-man-mother/article_2cc9fff4-2477-53e3-8777-4f90e10b501c.html" TargetMode="External"/><Relationship Id="rId6414" Type="http://schemas.openxmlformats.org/officeDocument/2006/relationships/hyperlink" Target="https://www.nbclosangeles.com/news/local/18-Year-Old-Killed-During-East-LA-Traffic-Stop-512010411.html" TargetMode="External"/><Relationship Id="rId2957" Type="http://schemas.openxmlformats.org/officeDocument/2006/relationships/hyperlink" Target="http://www.yourcentralvalley.com/news/man-dead-after-officer-involved-shooting/739382015" TargetMode="External"/><Relationship Id="rId5016" Type="http://schemas.openxmlformats.org/officeDocument/2006/relationships/hyperlink" Target="http://www.swtimes.com/news/20180805/police-shoot-kill-van-buren-man" TargetMode="External"/><Relationship Id="rId929" Type="http://schemas.openxmlformats.org/officeDocument/2006/relationships/hyperlink" Target="http://abc30.com/news/neighbor-says-police-officer-who-shot-suspect-may-have-saved-him/1039573/" TargetMode="External"/><Relationship Id="rId1559" Type="http://schemas.openxmlformats.org/officeDocument/2006/relationships/hyperlink" Target="https://www.dnainfo.com/chicago/20160412/north-lawndale/police-shootout-leaves-person-dead-north-lawndale" TargetMode="External"/><Relationship Id="rId1973" Type="http://schemas.openxmlformats.org/officeDocument/2006/relationships/hyperlink" Target="https://cbsla.files.wordpress.com/2016/07/sbsuspect1.png?w=420" TargetMode="External"/><Relationship Id="rId4032" Type="http://schemas.openxmlformats.org/officeDocument/2006/relationships/hyperlink" Target="http://www.ydr.com/story/news/crime/2017/12/28/officer-involved-shooting-dover-township-cops-say/986676001/" TargetMode="External"/><Relationship Id="rId5430" Type="http://schemas.openxmlformats.org/officeDocument/2006/relationships/hyperlink" Target="https://www.fatalencounters.org/wp-content/uploads/2018/11/Billy-G.-Heeter.jpg" TargetMode="External"/><Relationship Id="rId7188" Type="http://schemas.openxmlformats.org/officeDocument/2006/relationships/hyperlink" Target="https://usgunviolence.files.wordpress.com/2014/01/robert-hensley.jpg?w=625" TargetMode="External"/><Relationship Id="rId1626" Type="http://schemas.openxmlformats.org/officeDocument/2006/relationships/hyperlink" Target="http://www.nola.com/crime/index.ssf/2016/03/st_tammany_coroner_identifies_2.html" TargetMode="External"/><Relationship Id="rId3798" Type="http://schemas.openxmlformats.org/officeDocument/2006/relationships/hyperlink" Target="http://www.ktvq.com/story/36764454/suspect-killed-after-standoff-with-police-at-billings-sporting-goods-store" TargetMode="External"/><Relationship Id="rId4849" Type="http://schemas.openxmlformats.org/officeDocument/2006/relationships/hyperlink" Target="https://www.fatalencounters.org/wp-content/uploads/2018/07/Daniel-Morris-tattoo.jpg" TargetMode="External"/><Relationship Id="rId7255" Type="http://schemas.openxmlformats.org/officeDocument/2006/relationships/hyperlink" Target="http://exclusive.multibriefs.com/content/gunfight-anatomy-the-richard-mendoza-incident/law-enforcement-defense-security" TargetMode="External"/><Relationship Id="rId3865" Type="http://schemas.openxmlformats.org/officeDocument/2006/relationships/hyperlink" Target="http://www.fatalencounters.org/wp-content/uploads/2013/10/Brian-Calvert.png" TargetMode="External"/><Relationship Id="rId4916" Type="http://schemas.openxmlformats.org/officeDocument/2006/relationships/hyperlink" Target="http://www.tucsonnewsnow.com/story/38668711/deputy-officer-shooting-ajo-country-club-pima-county-tucson" TargetMode="External"/><Relationship Id="rId6271" Type="http://schemas.openxmlformats.org/officeDocument/2006/relationships/hyperlink" Target="https://fatalencounters.org/wp-content/uploads/2019/05/Luke-Patterson.jpg" TargetMode="External"/><Relationship Id="rId786" Type="http://schemas.openxmlformats.org/officeDocument/2006/relationships/hyperlink" Target="http://www.azcentral.com/story/news/local/gilbert/breaking/2015/08/10/officer-involved-shooting-scene--gilbert-abrk/31414861/" TargetMode="External"/><Relationship Id="rId2467" Type="http://schemas.openxmlformats.org/officeDocument/2006/relationships/hyperlink" Target="http://www.kiro7.com/news/local/reports-gunman-on-loose-after-tacoma-shooting/471880730" TargetMode="External"/><Relationship Id="rId3518" Type="http://schemas.openxmlformats.org/officeDocument/2006/relationships/hyperlink" Target="http://www.fatalencounters.org/wp-content/uploads/2013/10/Erik-Pamias.jpg" TargetMode="External"/><Relationship Id="rId439" Type="http://schemas.openxmlformats.org/officeDocument/2006/relationships/hyperlink" Target="http://www.firstcoastnews.com/story/news/local/2014/06/04/westside-jso-officer-involved-shooting/9985499/" TargetMode="External"/><Relationship Id="rId1069" Type="http://schemas.openxmlformats.org/officeDocument/2006/relationships/hyperlink" Target="http://www.orlandosentinel.com/news/breaking-news/os-sovereign-citizen-deputy-shooting-20150210-story.html" TargetMode="External"/><Relationship Id="rId1483" Type="http://schemas.openxmlformats.org/officeDocument/2006/relationships/hyperlink" Target="http://www.theadvertiser.com/story/news/crime/2016/01/20/deputies-scene-hostage-situation-near-port-barre/79065958/" TargetMode="External"/><Relationship Id="rId2881" Type="http://schemas.openxmlformats.org/officeDocument/2006/relationships/hyperlink" Target="http://www.news-leader.com/story/news/crime/2017/01/01/police-investigate-officer-involved-shooting-north-springfield/96055626/" TargetMode="External"/><Relationship Id="rId3932" Type="http://schemas.openxmlformats.org/officeDocument/2006/relationships/hyperlink" Target="http://www.fatalencounters.org/wp-content/uploads/2013/10/Jean-Pedro-Pierre.jpg" TargetMode="External"/><Relationship Id="rId506" Type="http://schemas.openxmlformats.org/officeDocument/2006/relationships/hyperlink" Target="http://bloximages.newyork1.vip.townnews.com/scnow.com/content/tncms/assets/v3/editorial/9/af/9af467d9-6895-55d0-a65f-5d532b203c84/52f5bad3778ea.preview-300.jpg" TargetMode="External"/><Relationship Id="rId853" Type="http://schemas.openxmlformats.org/officeDocument/2006/relationships/hyperlink" Target="http://www.ktuu.com/news/news/troopers-named-in-fairbanks-shooting-of-man-driving-stolen-vehicle/35223554" TargetMode="External"/><Relationship Id="rId1136" Type="http://schemas.openxmlformats.org/officeDocument/2006/relationships/hyperlink" Target="http://www.wtok.com/home/headlines/New-Details-in-Stonewall-Death-Investigation-313047501.html" TargetMode="External"/><Relationship Id="rId2534" Type="http://schemas.openxmlformats.org/officeDocument/2006/relationships/hyperlink" Target="http://www.columbian.com/news/2016/dec/18/police-trespassing-suspect-killed-in-ridgefield-area/" TargetMode="External"/><Relationship Id="rId920" Type="http://schemas.openxmlformats.org/officeDocument/2006/relationships/hyperlink" Target="http://www.miamiherald.com/news/local/community/miami-dade/article39262830.html" TargetMode="External"/><Relationship Id="rId1550" Type="http://schemas.openxmlformats.org/officeDocument/2006/relationships/hyperlink" Target="http://patch.com/california/lakeelsinore-wildomar/man-shot-dead-following-bizarre-lake-elsinore-rampage-idd" TargetMode="External"/><Relationship Id="rId2601" Type="http://schemas.openxmlformats.org/officeDocument/2006/relationships/hyperlink" Target="http://www.iberianet.com/breaking_news/officer-involved-shooting-on-spencer-loop/article_e5b596ae-1724-11e7-9ae5-0320449111ea.html" TargetMode="External"/><Relationship Id="rId5757" Type="http://schemas.openxmlformats.org/officeDocument/2006/relationships/hyperlink" Target="https://www.usnews.com/news/best-states/washington/articles/2019-01-22/man-dies-after-police-use-taser-to-stun-him" TargetMode="External"/><Relationship Id="rId6808" Type="http://schemas.openxmlformats.org/officeDocument/2006/relationships/hyperlink" Target="https://wpde.com/news/local/deputies-on-scene-of-an-officer-involved-shooting-in-darlington-county" TargetMode="External"/><Relationship Id="rId1203" Type="http://schemas.openxmlformats.org/officeDocument/2006/relationships/hyperlink" Target="http://www.baltimoresun.com/news/maryland/baltimore-county/bs-md-police-man-shot-reisterstown-20150923-story.html" TargetMode="External"/><Relationship Id="rId4359" Type="http://schemas.openxmlformats.org/officeDocument/2006/relationships/hyperlink" Target="http://www.wilx.com/content/news/Officer-involved-shooting-reported-in-Jackson-476497763.html" TargetMode="External"/><Relationship Id="rId4773" Type="http://schemas.openxmlformats.org/officeDocument/2006/relationships/hyperlink" Target="https://www.11alive.com/article/news/local/gainesville/suspect-killed-in-running-gun-battle-with-deputies-in-mobile-home-park-identified/85-564334762" TargetMode="External"/><Relationship Id="rId5824" Type="http://schemas.openxmlformats.org/officeDocument/2006/relationships/hyperlink" Target="https://www.sunherald.com/latest-news/article225914200.html" TargetMode="External"/><Relationship Id="rId3375" Type="http://schemas.openxmlformats.org/officeDocument/2006/relationships/hyperlink" Target="http://www.desmoinesregister.com/story/news/crime-and-courts/2017/07/05/woman-injured-officer-involved-shooting-des-moines-east-side/450846001/" TargetMode="External"/><Relationship Id="rId4426" Type="http://schemas.openxmlformats.org/officeDocument/2006/relationships/hyperlink" Target="http://www.idahostatesman.com/news/local/community/canyon-county/article206964799.html" TargetMode="External"/><Relationship Id="rId4840" Type="http://schemas.openxmlformats.org/officeDocument/2006/relationships/hyperlink" Target="https://dps.alaska.gov/dailydispatch/Home/Display?dateReceived=6/30/2018%2012:00:00%20AM" TargetMode="External"/><Relationship Id="rId296" Type="http://schemas.openxmlformats.org/officeDocument/2006/relationships/hyperlink" Target="http://touch.mcall.com/" TargetMode="External"/><Relationship Id="rId2391" Type="http://schemas.openxmlformats.org/officeDocument/2006/relationships/hyperlink" Target="http://www.pennlive.com/news/2016/11/trooper_fatally_shot_driver_wh.html" TargetMode="External"/><Relationship Id="rId3028" Type="http://schemas.openxmlformats.org/officeDocument/2006/relationships/hyperlink" Target="http://www.fatalencounters.org/wp-content/uploads/2013/10/Misael-Macias-Cano.png" TargetMode="External"/><Relationship Id="rId3442" Type="http://schemas.openxmlformats.org/officeDocument/2006/relationships/hyperlink" Target="http://www.fatalencounters.org/wp-content/uploads/2013/10/Donald-Sneed-III.jpg" TargetMode="External"/><Relationship Id="rId6598" Type="http://schemas.openxmlformats.org/officeDocument/2006/relationships/hyperlink" Target="https://fatalencounters.org/wp-content/uploads/2019/08/Don-Babbit.png" TargetMode="External"/><Relationship Id="rId363" Type="http://schemas.openxmlformats.org/officeDocument/2006/relationships/hyperlink" Target="http://www.local8now.com/home/headlines/Shooting-investigation-in-South-Knox-County-282637501.html" TargetMode="External"/><Relationship Id="rId2044" Type="http://schemas.openxmlformats.org/officeDocument/2006/relationships/hyperlink" Target="http://magicvalley.com/news/local/crime-and-courts/officer-involved-shooting-closes-i--west-of-glenns-ferry/article_f3e35a73-a4bf-510c-acc4-bf0f04952468.html" TargetMode="External"/><Relationship Id="rId430" Type="http://schemas.openxmlformats.org/officeDocument/2006/relationships/hyperlink" Target="http://www.wcyb.com/news/shooting-investigated-in-damascus/26694690" TargetMode="External"/><Relationship Id="rId1060" Type="http://schemas.openxmlformats.org/officeDocument/2006/relationships/hyperlink" Target="http://www.inquisitr.com/2003038/oklahoma-shooting-videos-reveal-eric-courtney-harris-last-moments-alive/" TargetMode="External"/><Relationship Id="rId2111" Type="http://schemas.openxmlformats.org/officeDocument/2006/relationships/hyperlink" Target="http://bakersfieldnow.com/news/local/officer-involved-shooting-in-southeast-bakersfield" TargetMode="External"/><Relationship Id="rId5267" Type="http://schemas.openxmlformats.org/officeDocument/2006/relationships/hyperlink" Target="https://www.fatalencounters.org/wp-content/uploads/2018/10/Kenneth-Busse-Jr.jpg" TargetMode="External"/><Relationship Id="rId6318" Type="http://schemas.openxmlformats.org/officeDocument/2006/relationships/hyperlink" Target="https://fatalencounters.org/wp-content/uploads/2019/06/Jose-Salvador-Meza.jpg" TargetMode="External"/><Relationship Id="rId6665" Type="http://schemas.openxmlformats.org/officeDocument/2006/relationships/hyperlink" Target="https://www.currentargus.com/story/news/2019/08/26/police-shooting-man-killed-carlsbad-hobbs-new-mexico/2120145001/" TargetMode="External"/><Relationship Id="rId5681" Type="http://schemas.openxmlformats.org/officeDocument/2006/relationships/hyperlink" Target="https://katu.com/news/local/police-identify-man-shot-and-killed-by-officer-in-southeast-portland" TargetMode="External"/><Relationship Id="rId6732" Type="http://schemas.openxmlformats.org/officeDocument/2006/relationships/hyperlink" Target="https://www.kiro7.com/news/local/pierce-county-detectives-investigating-officer-involved-shooting-that-killed-1/984088741" TargetMode="External"/><Relationship Id="rId1877" Type="http://schemas.openxmlformats.org/officeDocument/2006/relationships/hyperlink" Target="http://www.unionleader.com/public-safety/body-in-road-at-officer-involved-incident-in-peterborough-tuesday-morning-20160622" TargetMode="External"/><Relationship Id="rId2928" Type="http://schemas.openxmlformats.org/officeDocument/2006/relationships/hyperlink" Target="http://www.azfamily.com/story/35893876/suspected-arsonist-who-shot-at-forest-service-worker-shot-killed-near-globe" TargetMode="External"/><Relationship Id="rId4283" Type="http://schemas.openxmlformats.org/officeDocument/2006/relationships/hyperlink" Target="http://www.wbir.com/article/news/crime/hawkins-co-man-killed-in-deputy-involved-shooting/51-522304927" TargetMode="External"/><Relationship Id="rId5334" Type="http://schemas.openxmlformats.org/officeDocument/2006/relationships/hyperlink" Target="https://abc13.com/man-fatally-shot-after-pointing-gun-at-officers/4564320/" TargetMode="External"/><Relationship Id="rId1944" Type="http://schemas.openxmlformats.org/officeDocument/2006/relationships/hyperlink" Target="http://newsok.com/article/5508775" TargetMode="External"/><Relationship Id="rId4350" Type="http://schemas.openxmlformats.org/officeDocument/2006/relationships/hyperlink" Target="http://www.fatalencounters.org/wp-content/uploads/2018/03/JerrySteffans.jpg" TargetMode="External"/><Relationship Id="rId5401" Type="http://schemas.openxmlformats.org/officeDocument/2006/relationships/hyperlink" Target="https://www.fatalencounters.org/wp-content/uploads/2018/11/Tony-Lamont-Mathis.jpg" TargetMode="External"/><Relationship Id="rId4003" Type="http://schemas.openxmlformats.org/officeDocument/2006/relationships/hyperlink" Target="http://www.wcax.com/content/news/Officer-involved-shooting-in-NH-466184083.html" TargetMode="External"/><Relationship Id="rId7159" Type="http://schemas.openxmlformats.org/officeDocument/2006/relationships/hyperlink" Target="http://investigations.myajc.com/overtheline/images/mugs/35.jpg" TargetMode="External"/><Relationship Id="rId6175" Type="http://schemas.openxmlformats.org/officeDocument/2006/relationships/hyperlink" Target="http://www.riversidesheriff.org/press/per19-0430.asp" TargetMode="External"/><Relationship Id="rId7226" Type="http://schemas.openxmlformats.org/officeDocument/2006/relationships/hyperlink" Target="https://www.fatalencounters.org/wp-content/uploads/2018/12/Jeffrey-Paul-Watts-9-23-2013.jpg" TargetMode="External"/><Relationship Id="rId3769" Type="http://schemas.openxmlformats.org/officeDocument/2006/relationships/hyperlink" Target="http://6abc.com/no-charges-after-suspect-fatally-shot-outside-kop-mall/2673916/" TargetMode="External"/><Relationship Id="rId5191" Type="http://schemas.openxmlformats.org/officeDocument/2006/relationships/hyperlink" Target="https://www.channel3000.com/news/medical-examiner-identifies-suspect-in-shooting-at-middleton-software-company/797660481" TargetMode="External"/><Relationship Id="rId6242" Type="http://schemas.openxmlformats.org/officeDocument/2006/relationships/hyperlink" Target="https://losangeles.cbslocal.com/2019/05/18/garden-grove-shooting/" TargetMode="External"/><Relationship Id="rId2785" Type="http://schemas.openxmlformats.org/officeDocument/2006/relationships/hyperlink" Target="http://www.startribune.com/authorities-investigate-officer-involved-shooting-in-st-paul/416202434/" TargetMode="External"/><Relationship Id="rId3836" Type="http://schemas.openxmlformats.org/officeDocument/2006/relationships/hyperlink" Target="https://www.abqjournal.com/1090870/deputies-investigating-in-north-valley-trailer-park.html" TargetMode="External"/><Relationship Id="rId757" Type="http://schemas.openxmlformats.org/officeDocument/2006/relationships/hyperlink" Target="http://www.fresnobee.com/news/local/crime/e474cp/picture30449874/ALTERNATES/FREE_960/080715%20Aaron%20Allen%20Marchese" TargetMode="External"/><Relationship Id="rId1387" Type="http://schemas.openxmlformats.org/officeDocument/2006/relationships/hyperlink" Target="http://www.lex18.com/story/31189421/us-marshal-involved-shooting-in-louisville" TargetMode="External"/><Relationship Id="rId2438" Type="http://schemas.openxmlformats.org/officeDocument/2006/relationships/hyperlink" Target="http://fox4kc.com/2016/11/27/breaking-officer-involved-shooting-at-olathe-wal-mart/" TargetMode="External"/><Relationship Id="rId2852" Type="http://schemas.openxmlformats.org/officeDocument/2006/relationships/hyperlink" Target="http://www.fatalencounters.org/wp-content/uploads/2013/10/Deaundre-Philips.png" TargetMode="External"/><Relationship Id="rId3903" Type="http://schemas.openxmlformats.org/officeDocument/2006/relationships/hyperlink" Target="http://abc7.com/assault-with-deadly-weapon-suspect-dies-in-tense-south-gate-standoff/2705532/" TargetMode="External"/><Relationship Id="rId93" Type="http://schemas.openxmlformats.org/officeDocument/2006/relationships/hyperlink" Target="http://www.kgw.com/story/news/local/2015/06/29/police-shooting-winco-parking-lot-portland/29455487/" TargetMode="External"/><Relationship Id="rId824" Type="http://schemas.openxmlformats.org/officeDocument/2006/relationships/hyperlink" Target="http://www.santafenewmexican.com/news/high-speed-chase-ends-in-fatal-officer-involved-shooting/article_4c2bd7f0-4b29-11e5-bb0e-cbe70da6c311.html" TargetMode="External"/><Relationship Id="rId1454" Type="http://schemas.openxmlformats.org/officeDocument/2006/relationships/hyperlink" Target="http://www.wfmynews2.com/news/crime/greensboro-man-found-dead-after-standoff-police/78530678" TargetMode="External"/><Relationship Id="rId2505" Type="http://schemas.openxmlformats.org/officeDocument/2006/relationships/hyperlink" Target="http://www.theindychannel.com/news/local-news/greenwood-police-shoot-kill-man" TargetMode="External"/><Relationship Id="rId1107" Type="http://schemas.openxmlformats.org/officeDocument/2006/relationships/hyperlink" Target="http://media.jrn.com/images/SteveDormil.jpg" TargetMode="External"/><Relationship Id="rId1521" Type="http://schemas.openxmlformats.org/officeDocument/2006/relationships/hyperlink" Target="http://www.nbclosangeles.com/news/local/Inglewood-Officer-Involved-Shooting--369574341.html" TargetMode="External"/><Relationship Id="rId4677" Type="http://schemas.openxmlformats.org/officeDocument/2006/relationships/hyperlink" Target="https://www.fatalencounters.org/wp-content/uploads/2018/05/Donald-Whitmer-Jr.jpg" TargetMode="External"/><Relationship Id="rId5728" Type="http://schemas.openxmlformats.org/officeDocument/2006/relationships/hyperlink" Target="https://www.thedenverchannel.com/news/local-news/coroner-identifies-two-men-killed-in-aurora-shooting" TargetMode="External"/><Relationship Id="rId7083" Type="http://schemas.openxmlformats.org/officeDocument/2006/relationships/hyperlink" Target="http://www.kake.com/story/41503767/woman-killed-in-deputy-involved-shooting-after-chase-sheriffs-office-says" TargetMode="External"/><Relationship Id="rId3279" Type="http://schemas.openxmlformats.org/officeDocument/2006/relationships/hyperlink" Target="http://www.fatalencounters.org/wp-content/uploads/2013/10/Puckett.jpg" TargetMode="External"/><Relationship Id="rId3693" Type="http://schemas.openxmlformats.org/officeDocument/2006/relationships/hyperlink" Target="http://www.fatalencounters.org/wp-content/uploads/2013/10/Rodney-L.-Hoback-Jr.png" TargetMode="External"/><Relationship Id="rId7150" Type="http://schemas.openxmlformats.org/officeDocument/2006/relationships/hyperlink" Target="http://www.thedailytimes.com/news/man-shot-by-law-officers-was-iraq-war-veteran-maryville/article_6ccbab3e-7670-5fcb-a7f1-f60ef075205a.html" TargetMode="External"/><Relationship Id="rId2295" Type="http://schemas.openxmlformats.org/officeDocument/2006/relationships/hyperlink" Target="http://www.fatalencounters.org/wp-content/uploads/2013/10/Nathaniel-B.-Dorough.jpg" TargetMode="External"/><Relationship Id="rId3346" Type="http://schemas.openxmlformats.org/officeDocument/2006/relationships/hyperlink" Target="http://www.fatalencounters.org/wp-content/uploads/2013/10/Farhad-Jabbari.png" TargetMode="External"/><Relationship Id="rId4744" Type="http://schemas.openxmlformats.org/officeDocument/2006/relationships/hyperlink" Target="https://www.fatalencounters.org/wp-content/uploads/2018/06/Leslie-Yolanda-Salazar.jpg" TargetMode="External"/><Relationship Id="rId267" Type="http://schemas.openxmlformats.org/officeDocument/2006/relationships/hyperlink" Target="http://www.dailymail.co.uk/news/article-3051433/Bodycam-footage-shows-Sand-Springs-Officer-Brian-Barnett-killing-Donald-Allen.html" TargetMode="External"/><Relationship Id="rId3760" Type="http://schemas.openxmlformats.org/officeDocument/2006/relationships/hyperlink" Target="http://www.fatalencounters.org/wp-content/uploads/2013/10/Baltazar-Escaloma-Baez.jpg" TargetMode="External"/><Relationship Id="rId4811" Type="http://schemas.openxmlformats.org/officeDocument/2006/relationships/hyperlink" Target="https://www.fatalencounters.org/wp-content/uploads/2018/06/Schuyler-Lake.jpg" TargetMode="External"/><Relationship Id="rId681" Type="http://schemas.openxmlformats.org/officeDocument/2006/relationships/hyperlink" Target="http://www.kristv.com/story/30582358/concord-st-closed-off" TargetMode="External"/><Relationship Id="rId2362" Type="http://schemas.openxmlformats.org/officeDocument/2006/relationships/hyperlink" Target="http://www.ledger-enquirer.com/news/local/article112901458.html" TargetMode="External"/><Relationship Id="rId3413" Type="http://schemas.openxmlformats.org/officeDocument/2006/relationships/hyperlink" Target="http://www.kentucky.com/news/state/article155701339.html" TargetMode="External"/><Relationship Id="rId6569" Type="http://schemas.openxmlformats.org/officeDocument/2006/relationships/hyperlink" Target="https://www.nbcdfw.com/news/local/Arlington-Police-Release-Body-Cam-Video-of-Woman-Killed-by-Officer-514630751.html" TargetMode="External"/><Relationship Id="rId6983" Type="http://schemas.openxmlformats.org/officeDocument/2006/relationships/hyperlink" Target="https://www.app.com/story/news/crime/jersey-mayhem/2019/12/11/jersey-city-shooting-may-worst-anti-semitic-incident-new-jersey/4020789002/" TargetMode="External"/><Relationship Id="rId334" Type="http://schemas.openxmlformats.org/officeDocument/2006/relationships/hyperlink" Target="http://www.muellersfuneralhomes.com/obituaries/Johnathon-Jd-Mar/Print/Wall" TargetMode="External"/><Relationship Id="rId2015" Type="http://schemas.openxmlformats.org/officeDocument/2006/relationships/hyperlink" Target="http://www.tennessean.com/story/news/crime/2016/07/27/armed-suspect-shot-killed-franklin-county-deputy/87643642/" TargetMode="External"/><Relationship Id="rId5585" Type="http://schemas.openxmlformats.org/officeDocument/2006/relationships/hyperlink" Target="https://abc7.com/chase-leads-to-fatal-officer-involved-shooting-in-lake-elsinore/4939109/" TargetMode="External"/><Relationship Id="rId6636" Type="http://schemas.openxmlformats.org/officeDocument/2006/relationships/hyperlink" Target="https://www.wvlt.tv/content/news/TBI-investigating-officer-involved-shooting-in-Clinton--540618721.html" TargetMode="External"/><Relationship Id="rId401" Type="http://schemas.openxmlformats.org/officeDocument/2006/relationships/hyperlink" Target="http://www.baltimoresun.com/news/maryland/baltimore-county/bs-md-co-in-custody-death-20140821-story.html" TargetMode="External"/><Relationship Id="rId1031" Type="http://schemas.openxmlformats.org/officeDocument/2006/relationships/hyperlink" Target="http://www.kare11.com/story/news/2015/05/09/694-shut-down-man-dies-in-officer-involved-shooting/27034515/" TargetMode="External"/><Relationship Id="rId4187" Type="http://schemas.openxmlformats.org/officeDocument/2006/relationships/hyperlink" Target="http://newsok.com/oklahoma-man-killed-tuesday-during-confrontation-with-authorities/article/5581488" TargetMode="External"/><Relationship Id="rId5238" Type="http://schemas.openxmlformats.org/officeDocument/2006/relationships/hyperlink" Target="https://www.oregonlive.com/portland/index.ssf/2018/09/police_shooting_ends_with_man.html" TargetMode="External"/><Relationship Id="rId5652" Type="http://schemas.openxmlformats.org/officeDocument/2006/relationships/hyperlink" Target="https://www.fatalencounters.org/wp-content/uploads/2019/01/Abdoulaye-Thiam.jpg" TargetMode="External"/><Relationship Id="rId6703" Type="http://schemas.openxmlformats.org/officeDocument/2006/relationships/hyperlink" Target="https://www.cbs17.com/news/local-news/wake-county-news/investigation-underway-after-suspect-killed-in-deputy-involved-shooting/" TargetMode="External"/><Relationship Id="rId4254" Type="http://schemas.openxmlformats.org/officeDocument/2006/relationships/hyperlink" Target="https://www.azcentral.com/story/news/local/mesa/2018/02/18/man-shot-mesa-police-has-died-department-says/349389002/" TargetMode="External"/><Relationship Id="rId5305" Type="http://schemas.openxmlformats.org/officeDocument/2006/relationships/hyperlink" Target="https://www.masslive.com/news/index.ssf/2018/10/knife-wielding_man_fatally_sho.html" TargetMode="External"/><Relationship Id="rId1848" Type="http://schemas.openxmlformats.org/officeDocument/2006/relationships/hyperlink" Target="http://www.latimes.com/local/lanow/la-me-ln-teen-killed-by-deputies-20160620-snap-story.html" TargetMode="External"/><Relationship Id="rId3270" Type="http://schemas.openxmlformats.org/officeDocument/2006/relationships/hyperlink" Target="http://www.star-telegram.com/news/local/community/northeast-tarrant/article170160702.html" TargetMode="External"/><Relationship Id="rId4321" Type="http://schemas.openxmlformats.org/officeDocument/2006/relationships/hyperlink" Target="http://www.kansascity.com/news/local/crime/article203495494.html" TargetMode="External"/><Relationship Id="rId191" Type="http://schemas.openxmlformats.org/officeDocument/2006/relationships/hyperlink" Target="http://www.nj.com/bergen/index.ssf/2015/05/police-involved_shooting_under_investigation_in_ha.html" TargetMode="External"/><Relationship Id="rId1915" Type="http://schemas.openxmlformats.org/officeDocument/2006/relationships/hyperlink" Target="http://www.goupstate.com/article/20160701/ARTICLES/160709949?Title=Shooting-reported-in-Landrum" TargetMode="External"/><Relationship Id="rId6079" Type="http://schemas.openxmlformats.org/officeDocument/2006/relationships/hyperlink" Target="https://www.kark.com/news/local-news/suspect-killed-in-blytheville-officer-involved-shooting-state-police-say/1908670957" TargetMode="External"/><Relationship Id="rId5095" Type="http://schemas.openxmlformats.org/officeDocument/2006/relationships/hyperlink" Target="https://gazette.com/news/officer-involved-shooting-closes-southern-colorado-highway/article_fdbee33a-a88d-11e8-a71d-2b49823d521f.html" TargetMode="External"/><Relationship Id="rId6493" Type="http://schemas.openxmlformats.org/officeDocument/2006/relationships/hyperlink" Target="https://q13fox.com/2019/07/13/man-shot-and-killed-by-police-outside-tacoma-ice-detention-facility/" TargetMode="External"/><Relationship Id="rId2689" Type="http://schemas.openxmlformats.org/officeDocument/2006/relationships/hyperlink" Target="http://www.stltoday.com/news/local/crime-and-courts/st-louis-police-officer-fatally-shoots-would-be-robber-at/article_cb867fb1-196a-515c-9262-c10a54f4bf30.html" TargetMode="External"/><Relationship Id="rId6146" Type="http://schemas.openxmlformats.org/officeDocument/2006/relationships/hyperlink" Target="https://wgxa.tv/news/local/1-person-dead-in-officer-involved-shooting-in-athens-clarke-county-gbi-investigating" TargetMode="External"/><Relationship Id="rId6560" Type="http://schemas.openxmlformats.org/officeDocument/2006/relationships/hyperlink" Target="https://fatalencounters.org/wp-content/uploads/2019/08/Jose-Baca-Olivares.png" TargetMode="External"/><Relationship Id="rId2756" Type="http://schemas.openxmlformats.org/officeDocument/2006/relationships/hyperlink" Target="http://www.fatalencounters.org/wp-content/uploads/2013/10/Zelalem-Eshetu-Ewnetu.jpg" TargetMode="External"/><Relationship Id="rId3807" Type="http://schemas.openxmlformats.org/officeDocument/2006/relationships/hyperlink" Target="http://www.clarionledger.com/story/news/local/2017/11/05/officer-shot-kidnapping-suspect-killed-meridian-overnight/833640001/" TargetMode="External"/><Relationship Id="rId5162" Type="http://schemas.openxmlformats.org/officeDocument/2006/relationships/hyperlink" Target="https://www.azfamily.com/news/mesa-pd-man-dies-following-officer-involved-shooting/article_d40f72ca-f222-525e-9813-e6a4154f2678.html" TargetMode="External"/><Relationship Id="rId6213" Type="http://schemas.openxmlformats.org/officeDocument/2006/relationships/hyperlink" Target="https://www.wbtv.com/2019/05/12/savannah-officer-dies-after-shooting-incident-bull-street/?fbclid=IwAR3Jlg4AgjCHq3MHInVkduHMr_PORDnFCYlsAlc8Rb2MPpotvMRxacVQri8" TargetMode="External"/><Relationship Id="rId728" Type="http://schemas.openxmlformats.org/officeDocument/2006/relationships/hyperlink" Target="http://abc7.com/news/suspect-holding-knife-killed-in-west-covina-officer-involved-shooting/828284/" TargetMode="External"/><Relationship Id="rId1358" Type="http://schemas.openxmlformats.org/officeDocument/2006/relationships/hyperlink" Target="http://denver.cbslocal.com/2016/01/30/police-shoot-man-holding-woman-hostage-in-larimer-county/" TargetMode="External"/><Relationship Id="rId1772" Type="http://schemas.openxmlformats.org/officeDocument/2006/relationships/hyperlink" Target="http://www.fatalencounters.org/wp-content/uploads/2013/10/Dionisio-Garza-III.png" TargetMode="External"/><Relationship Id="rId2409" Type="http://schemas.openxmlformats.org/officeDocument/2006/relationships/hyperlink" Target="http://www.chicagotribune.com/news/local/breaking/ct-police-involved-shooting-20161118-story.html" TargetMode="External"/><Relationship Id="rId5979" Type="http://schemas.openxmlformats.org/officeDocument/2006/relationships/hyperlink" Target="https://www.fatalencounters.org/wp-content/uploads/2019/03/Benjamin-J.-Melendez.jpg" TargetMode="External"/><Relationship Id="rId64" Type="http://schemas.openxmlformats.org/officeDocument/2006/relationships/hyperlink" Target="http://media.oregonlive.com/beaverton_news/photo/westrichjpg-51507199625e81e6.jpg" TargetMode="External"/><Relationship Id="rId1425" Type="http://schemas.openxmlformats.org/officeDocument/2006/relationships/hyperlink" Target="http://www.ksat.com/news/man-critically-wounded-in-shootout-with-wilson-county-deputies" TargetMode="External"/><Relationship Id="rId2823" Type="http://schemas.openxmlformats.org/officeDocument/2006/relationships/hyperlink" Target="http://www.fatalencounters.org/wp-content/uploads/2013/10/RaynardBurton.jpg" TargetMode="External"/><Relationship Id="rId4995" Type="http://schemas.openxmlformats.org/officeDocument/2006/relationships/hyperlink" Target="http://www.ksla.com/story/38809470/man-shot-by-shreveport-city-marshal-dies-from-injuries" TargetMode="External"/><Relationship Id="rId7054" Type="http://schemas.openxmlformats.org/officeDocument/2006/relationships/hyperlink" Target="https://www.abc15.com/news/region-west-valley/officer-involved-in-shooting-at-desert-sky-mall" TargetMode="External"/><Relationship Id="rId2199" Type="http://schemas.openxmlformats.org/officeDocument/2006/relationships/hyperlink" Target="http://www.floridatoday.com/story/news/2016/09/07/titusville-police-respond-bank-robbery-reports-shots-fired/89955884/" TargetMode="External"/><Relationship Id="rId3597" Type="http://schemas.openxmlformats.org/officeDocument/2006/relationships/hyperlink" Target="http://wfla.com/2017/02/26/man-shot-dead-by-deputies-in-citrus-county-after-car-chase-crash/" TargetMode="External"/><Relationship Id="rId4648" Type="http://schemas.openxmlformats.org/officeDocument/2006/relationships/hyperlink" Target="https://www.fatalencounters.org/wp-content/uploads/2018/05/willie-marable.jpg" TargetMode="External"/><Relationship Id="rId6070" Type="http://schemas.openxmlformats.org/officeDocument/2006/relationships/hyperlink" Target="https://www.abccolumbia.com/2019/04/03/1-dead-in-officer-involved-shooting-on-hilton-yonce-road/" TargetMode="External"/><Relationship Id="rId3664" Type="http://schemas.openxmlformats.org/officeDocument/2006/relationships/hyperlink" Target="http://www.wbal.com/article/216746/2/baltimore-county-man-killed-in-officer-involved-shooting" TargetMode="External"/><Relationship Id="rId4715" Type="http://schemas.openxmlformats.org/officeDocument/2006/relationships/hyperlink" Target="http://ktla.com/2018/05/31/woman-fatally-shot-by-fullerton-police-after-allegedly-stabbing-therapist/" TargetMode="External"/><Relationship Id="rId7121" Type="http://schemas.openxmlformats.org/officeDocument/2006/relationships/hyperlink" Target="http://www.click2houston.com/news/stabbing-suspect-shot-killed-by-deputy" TargetMode="External"/><Relationship Id="rId585" Type="http://schemas.openxmlformats.org/officeDocument/2006/relationships/hyperlink" Target="http://www.killedbypolice.net/victims/150982.jpg" TargetMode="External"/><Relationship Id="rId2266" Type="http://schemas.openxmlformats.org/officeDocument/2006/relationships/hyperlink" Target="http://www.fatalencounters.org/wp-content/uploads/2013/10/Shawn-Pappe.jpg" TargetMode="External"/><Relationship Id="rId2680" Type="http://schemas.openxmlformats.org/officeDocument/2006/relationships/hyperlink" Target="http://www.fatalencounters.org/wp-content/uploads/2013/10/Aaron-Bailey2.jpg" TargetMode="External"/><Relationship Id="rId3317" Type="http://schemas.openxmlformats.org/officeDocument/2006/relationships/hyperlink" Target="http://www.wvalways.com/story/36045963/new-info-police-investigate-shooting-involving-marion-county-sheriffs-deputy" TargetMode="External"/><Relationship Id="rId3731" Type="http://schemas.openxmlformats.org/officeDocument/2006/relationships/hyperlink" Target="http://www.kristv.com/story/36644366/ccpd-releases-details-on-officer-involved-shooting" TargetMode="External"/><Relationship Id="rId6887" Type="http://schemas.openxmlformats.org/officeDocument/2006/relationships/hyperlink" Target="https://ktla.com/2019/10/17/murder-and-robbery-suspect-killed-in-van-nuys-police-shooting-identified/" TargetMode="External"/><Relationship Id="rId238" Type="http://schemas.openxmlformats.org/officeDocument/2006/relationships/hyperlink" Target="https://www.victoriaadvocate.com/news/2015/apr/27/parents-of-veteran-fatally-shot-by-police-seek-ans/" TargetMode="External"/><Relationship Id="rId652" Type="http://schemas.openxmlformats.org/officeDocument/2006/relationships/hyperlink" Target="http://www.killedbypolice.net/victims/151019.jpg" TargetMode="External"/><Relationship Id="rId1282" Type="http://schemas.openxmlformats.org/officeDocument/2006/relationships/hyperlink" Target="http://www.fatalencounters.org/wp-content/uploads/2013/10/Corcino.png" TargetMode="External"/><Relationship Id="rId2333" Type="http://schemas.openxmlformats.org/officeDocument/2006/relationships/hyperlink" Target="http://www.fatalencounters.org/wp-content/uploads/2013/10/Bradley.jpg" TargetMode="External"/><Relationship Id="rId5489" Type="http://schemas.openxmlformats.org/officeDocument/2006/relationships/hyperlink" Target="https://www.dallasnews.com/news/crime/2018/12/02/man-dead-after-police-say-shot-woman-dallas-led-officers-chase-kaufman-county" TargetMode="External"/><Relationship Id="rId305" Type="http://schemas.openxmlformats.org/officeDocument/2006/relationships/hyperlink" Target="http://www.washingtonpost.com/news/the-watch/wp/2015/01/09/iowa-cop-reportedly-tries-to-shoot-dog-kills-woman-instead/" TargetMode="External"/><Relationship Id="rId2400" Type="http://schemas.openxmlformats.org/officeDocument/2006/relationships/hyperlink" Target="http://www.fatalencounters.org/wp-content/uploads/2013/10/DontrellCarter.jpg" TargetMode="External"/><Relationship Id="rId5556" Type="http://schemas.openxmlformats.org/officeDocument/2006/relationships/hyperlink" Target="https://kfor.com/2018/12/17/more-details-released-in-fatal-officer-involved-shooting-in-oklahoma-city/" TargetMode="External"/><Relationship Id="rId6607" Type="http://schemas.openxmlformats.org/officeDocument/2006/relationships/hyperlink" Target="https://fatalencounters.org/wp-content/uploads/2019/08/Toussaint-Diamon-Sims.jpg" TargetMode="External"/><Relationship Id="rId6954" Type="http://schemas.openxmlformats.org/officeDocument/2006/relationships/hyperlink" Target="https://www.mypanhandle.com/news/man-identified-in-jackson-county-officer-involved-shooting/" TargetMode="External"/><Relationship Id="rId1002" Type="http://schemas.openxmlformats.org/officeDocument/2006/relationships/hyperlink" Target="http://www.local10.com/news/bso-investigates-deputyinvolved-shooting-in-pompano-beach/33522974" TargetMode="External"/><Relationship Id="rId4158" Type="http://schemas.openxmlformats.org/officeDocument/2006/relationships/hyperlink" Target="http://www.wtsp.com/news/man-shot-killed-by-manatee-county-deputy-in-bradenton/511057813" TargetMode="External"/><Relationship Id="rId5209" Type="http://schemas.openxmlformats.org/officeDocument/2006/relationships/hyperlink" Target="https://newschannel9.com/news/local/chattanooga-man-dies-after-being-tasered-by-sheriffs-office-investigation-underway" TargetMode="External"/><Relationship Id="rId5970" Type="http://schemas.openxmlformats.org/officeDocument/2006/relationships/hyperlink" Target="https://www.fatalencounters.org/wp-content/uploads/2019/03/NatashaWalton.jpg" TargetMode="External"/><Relationship Id="rId3174" Type="http://schemas.openxmlformats.org/officeDocument/2006/relationships/hyperlink" Target="http://denver.cbslocal.com/2017/07/02/colorado-state-university-officer-shooting/" TargetMode="External"/><Relationship Id="rId4572" Type="http://schemas.openxmlformats.org/officeDocument/2006/relationships/hyperlink" Target="http://www.wave3.com/story/38029776/lmpd-on-scene-of-officer-involved-shooting-in-portland" TargetMode="External"/><Relationship Id="rId5623" Type="http://schemas.openxmlformats.org/officeDocument/2006/relationships/hyperlink" Target="https://www.dallasnews.com/news/investigations/2019/07/30/gonna-kill-dallas-police-body-cam-footage-reveals-final-minutes-tony-timpas-life" TargetMode="External"/><Relationship Id="rId1819" Type="http://schemas.openxmlformats.org/officeDocument/2006/relationships/hyperlink" Target="http://www.fatalencounters.org/wp-content/uploads/2013/10/mateen.jpg" TargetMode="External"/><Relationship Id="rId4225" Type="http://schemas.openxmlformats.org/officeDocument/2006/relationships/hyperlink" Target="https://www.eastbaytimes.com/2018/02/08/individual-shot-near-76-gas-station-in-southeast-antioch/" TargetMode="External"/><Relationship Id="rId2190" Type="http://schemas.openxmlformats.org/officeDocument/2006/relationships/hyperlink" Target="http://www.azcentral.com/story/news/local/phoenix-breaking/2016/09/06/phoenix-police-chase-ends-gunshots-near--10-baseline-road/89925028/" TargetMode="External"/><Relationship Id="rId3241" Type="http://schemas.openxmlformats.org/officeDocument/2006/relationships/hyperlink" Target="http://inforney.com/crime/item/5268-police-shoot-kill-alleged-burglary-suspect-another-at-large" TargetMode="External"/><Relationship Id="rId6397" Type="http://schemas.openxmlformats.org/officeDocument/2006/relationships/hyperlink" Target="https://www.brownsvilleherald.com/news/local/suspect-in-shooting-death-of-mission-police-officer-killed/article_418d600c-9427-11e9-93b8-a7dcd44a9bdc.html" TargetMode="External"/><Relationship Id="rId162" Type="http://schemas.openxmlformats.org/officeDocument/2006/relationships/hyperlink" Target="http://www.killedbypolice.net/victims/150485.jpg" TargetMode="External"/><Relationship Id="rId6464" Type="http://schemas.openxmlformats.org/officeDocument/2006/relationships/hyperlink" Target="https://fatalencounters.org/wp-content/uploads/2019/07/Jim-Pinkston.jpg" TargetMode="External"/><Relationship Id="rId979" Type="http://schemas.openxmlformats.org/officeDocument/2006/relationships/hyperlink" Target="http://www.pressofatlanticcity.com/eedition/news/grand-jury-may-decide-fate-of-cop/article_d75e1ab1-8f1e-5086-b543-3243f95fc088.html" TargetMode="External"/><Relationship Id="rId5066" Type="http://schemas.openxmlformats.org/officeDocument/2006/relationships/hyperlink" Target="https://www.fatalencounters.org/wp-content/uploads/2018/08/Spencer_Carmen_Mendez.jpg" TargetMode="External"/><Relationship Id="rId5480" Type="http://schemas.openxmlformats.org/officeDocument/2006/relationships/hyperlink" Target="https://www.sltrib.com/news/2018/12/02/man-killed-shootout-with/" TargetMode="External"/><Relationship Id="rId6117" Type="http://schemas.openxmlformats.org/officeDocument/2006/relationships/hyperlink" Target="http://www.fatalencounters.org/wp-content/uploads/2019/04/Clarence-Isadore-Leading-Fighter.jpg" TargetMode="External"/><Relationship Id="rId6531" Type="http://schemas.openxmlformats.org/officeDocument/2006/relationships/hyperlink" Target="https://fatalencounters.org/wp-content/uploads/2019/07/John-David-Brown-Jr.jpg" TargetMode="External"/><Relationship Id="rId4082" Type="http://schemas.openxmlformats.org/officeDocument/2006/relationships/hyperlink" Target="http://katv.com/news/local/nlr-police-suspect-shot-and-killed-after-firing-at-officer" TargetMode="External"/><Relationship Id="rId5133" Type="http://schemas.openxmlformats.org/officeDocument/2006/relationships/hyperlink" Target="https://www.fatalencounters.org/wp-content/uploads/2018/09/Botham-Shem-Jean.jpg" TargetMode="External"/><Relationship Id="rId1676" Type="http://schemas.openxmlformats.org/officeDocument/2006/relationships/hyperlink" Target="http://image.nola.com/home/nola-media/width620/img/crime_impact/photo/20281679-mmmain.jpg" TargetMode="External"/><Relationship Id="rId2727" Type="http://schemas.openxmlformats.org/officeDocument/2006/relationships/hyperlink" Target="http://www.fatalencounters.org/wp-content/uploads/2013/10/Cedric-Jamal-Mifflin.png" TargetMode="External"/><Relationship Id="rId1329" Type="http://schemas.openxmlformats.org/officeDocument/2006/relationships/hyperlink" Target="http://homicide.latimes.com/post/efrain-herrera-jr/" TargetMode="External"/><Relationship Id="rId1743" Type="http://schemas.openxmlformats.org/officeDocument/2006/relationships/hyperlink" Target="http://www.fatalencounters.org/wp-content/uploads/2013/10/Vernell-Bing.jpg" TargetMode="External"/><Relationship Id="rId4899" Type="http://schemas.openxmlformats.org/officeDocument/2006/relationships/hyperlink" Target="https://www.mytexasdaily.com/news/armed-vehicle-theft-suspect-shot-killed-by-dallas-police/article_1643d0a6-86eb-11e8-ab25-4f7f2b34e3aa.html" TargetMode="External"/><Relationship Id="rId5200" Type="http://schemas.openxmlformats.org/officeDocument/2006/relationships/hyperlink" Target="https://www.fatalencounters.org/wp-content/uploads/2018/09/Gillie-Thurby.jpg" TargetMode="External"/><Relationship Id="rId35" Type="http://schemas.openxmlformats.org/officeDocument/2006/relationships/hyperlink" Target="http://www.killedbypolice.net/victims/150642.jpg" TargetMode="External"/><Relationship Id="rId1810" Type="http://schemas.openxmlformats.org/officeDocument/2006/relationships/hyperlink" Target="http://www.fatalencounters.org/wp-content/uploads/2013/10/Brisco.png" TargetMode="External"/><Relationship Id="rId4966" Type="http://schemas.openxmlformats.org/officeDocument/2006/relationships/hyperlink" Target="https://www.seattletimes.com/seattle-news/crime/18-year-old-man-shot-by-sheriffs-deputy-at-kent-station-identified/" TargetMode="External"/><Relationship Id="rId3568" Type="http://schemas.openxmlformats.org/officeDocument/2006/relationships/hyperlink" Target="http://www.app.com/story/news/2017/03/14/police-involved-shooting-toms-river-authorities/99171538/" TargetMode="External"/><Relationship Id="rId3982" Type="http://schemas.openxmlformats.org/officeDocument/2006/relationships/hyperlink" Target="https://www.dallasnews.com/news/crime/2017/12/19/1-dead-police-shooting-colony" TargetMode="External"/><Relationship Id="rId4619" Type="http://schemas.openxmlformats.org/officeDocument/2006/relationships/hyperlink" Target="https://www.11alive.com/article/news/crime/gbi-called-in-after-officer-shoots-kills-woman/85-549699101" TargetMode="External"/><Relationship Id="rId7025" Type="http://schemas.openxmlformats.org/officeDocument/2006/relationships/hyperlink" Target="https://fatalencounters.org/wp-content/uploads/2019/12/KyleHorton.jpg" TargetMode="External"/><Relationship Id="rId489" Type="http://schemas.openxmlformats.org/officeDocument/2006/relationships/hyperlink" Target="http://www.newssun.com/news/article_513fe971-a208-543b-8a5c-71ff2376804d.html" TargetMode="External"/><Relationship Id="rId2584" Type="http://schemas.openxmlformats.org/officeDocument/2006/relationships/hyperlink" Target="http://www.daytondailynews.com/news/crime--law/victim-brookville-shooting-had-multiple-misdemeanor-charges/UwJaxRWgvg9RP6dKWnGAMO/" TargetMode="External"/><Relationship Id="rId3635" Type="http://schemas.openxmlformats.org/officeDocument/2006/relationships/hyperlink" Target="http://www.fatalencounters.org/wp-content/uploads/2013/10/Kadhar-Bailey.png" TargetMode="External"/><Relationship Id="rId6041" Type="http://schemas.openxmlformats.org/officeDocument/2006/relationships/hyperlink" Target="https://www.lubbockonline.com/news/20190328/1-dead-after-pursuit-officer-involved-shooting-in-cochran-county" TargetMode="External"/><Relationship Id="rId556" Type="http://schemas.openxmlformats.org/officeDocument/2006/relationships/hyperlink" Target="http://hiphopwired.com/2013/07/17/arkansas-cop-kills-wrongfully-suspected-in-car-thief-claims-self-defense/" TargetMode="External"/><Relationship Id="rId1186" Type="http://schemas.openxmlformats.org/officeDocument/2006/relationships/hyperlink" Target="http://www.cleveland19.com/story/29210147/cleveland-fugitive-reginald-marshall-killed-in-toledo-standoff" TargetMode="External"/><Relationship Id="rId2237" Type="http://schemas.openxmlformats.org/officeDocument/2006/relationships/hyperlink" Target="http://www.thv11.com/news/local/benton-man-dies-after-being-shot-in-officer-involved-shooting/333415702" TargetMode="External"/><Relationship Id="rId209" Type="http://schemas.openxmlformats.org/officeDocument/2006/relationships/hyperlink" Target="http://www.news4jax.com/news/st-johns-county-investiges-deputy-involved-shooting/32947972" TargetMode="External"/><Relationship Id="rId970" Type="http://schemas.openxmlformats.org/officeDocument/2006/relationships/hyperlink" Target="http://www.miamiherald.com/news/local/crime/article27524482.html" TargetMode="External"/><Relationship Id="rId1253" Type="http://schemas.openxmlformats.org/officeDocument/2006/relationships/hyperlink" Target="http://www.fatalencounters.org/wp-content/uploads/2013/10/JohnWesleySmith.jpg" TargetMode="External"/><Relationship Id="rId2651" Type="http://schemas.openxmlformats.org/officeDocument/2006/relationships/hyperlink" Target="https://thenypost.files.wordpress.com/2017/07/police_shooting-2.jpg?quality=90&amp;strip=all&amp;w=450" TargetMode="External"/><Relationship Id="rId3702" Type="http://schemas.openxmlformats.org/officeDocument/2006/relationships/hyperlink" Target="http://www.tulsaworld.com/homepagelatest/man-killed-in-ottawa-county-deputy-involved-shooting/article_3fcdf2a8-dbbf-557e-9383-df308e24f22f.html" TargetMode="External"/><Relationship Id="rId6858" Type="http://schemas.openxmlformats.org/officeDocument/2006/relationships/hyperlink" Target="https://www.krqe.com/news/new-mexico/farmington-police-dept-officer-involved-shooting-prompts-investigation/" TargetMode="External"/><Relationship Id="rId623" Type="http://schemas.openxmlformats.org/officeDocument/2006/relationships/hyperlink" Target="http://www.killedbypolice.net/victims/150931.jpg" TargetMode="External"/><Relationship Id="rId2304" Type="http://schemas.openxmlformats.org/officeDocument/2006/relationships/hyperlink" Target="http://www.cecildaily.com/spotlight/article_037af5f7-dd09-5eb9-a7f9-f7b9247159fe.html" TargetMode="External"/><Relationship Id="rId5874" Type="http://schemas.openxmlformats.org/officeDocument/2006/relationships/hyperlink" Target="https://www.khou.com/article/news/nation-world/5-bystanders-shot-after-shootout-between-cops-robber-in-new-orleans/289-66496ed6-978a-4719-bbb8-90c219b6dcfe" TargetMode="External"/><Relationship Id="rId6925" Type="http://schemas.openxmlformats.org/officeDocument/2006/relationships/hyperlink" Target="https://www.ajc.com/news/crime--law/breaking-gbi-called-deputy-involved-shooting-forsyth-county/bRudoX0LFnAXCYE8CQHMkN/" TargetMode="External"/><Relationship Id="rId1320" Type="http://schemas.openxmlformats.org/officeDocument/2006/relationships/hyperlink" Target="http://www.oregonlive.com/washingtoncounty/index.ssf/2016/01/man_shot_by_beaverton_police_d.html" TargetMode="External"/><Relationship Id="rId4476" Type="http://schemas.openxmlformats.org/officeDocument/2006/relationships/hyperlink" Target="http://www.fatalencounters.org/wp-content/uploads/2018/04/Mitchellnelson.jpeg" TargetMode="External"/><Relationship Id="rId4890" Type="http://schemas.openxmlformats.org/officeDocument/2006/relationships/hyperlink" Target="https://www.fatalencounters.org/wp-content/uploads/2018/07/Fidel-Miranda.jpg" TargetMode="External"/><Relationship Id="rId5527" Type="http://schemas.openxmlformats.org/officeDocument/2006/relationships/hyperlink" Target="https://www.khon2.com/news/local-news/latest-officer-involved-shooting-sheds-light-on-unique-dangers-hawaii-island-police-officers-face/1654543763" TargetMode="External"/><Relationship Id="rId5941" Type="http://schemas.openxmlformats.org/officeDocument/2006/relationships/hyperlink" Target="https://www.ky3.com/content/news/Police-arrest-man-in-deadly-shooting-at-Springfield-motel-506714731.html" TargetMode="External"/><Relationship Id="rId3078" Type="http://schemas.openxmlformats.org/officeDocument/2006/relationships/hyperlink" Target="http://www.fatalencounters.org/wp-content/uploads/2013/10/Gilbert-Lovato-500x333.jpg" TargetMode="External"/><Relationship Id="rId3492" Type="http://schemas.openxmlformats.org/officeDocument/2006/relationships/hyperlink" Target="http://www.fatalencounters.org/wp-content/uploads/2013/10/JosephAlain.jpg" TargetMode="External"/><Relationship Id="rId4129" Type="http://schemas.openxmlformats.org/officeDocument/2006/relationships/hyperlink" Target="http://www.dispatch.com/news/20180117/16-year-old-shot-and-killed-at-franklin-county-courthouse" TargetMode="External"/><Relationship Id="rId4543" Type="http://schemas.openxmlformats.org/officeDocument/2006/relationships/hyperlink" Target="http://www.kulr8.com/story/37961951/fatal-officer-involved-shooting-under-investigation-in-lodge-grass" TargetMode="External"/><Relationship Id="rId2094" Type="http://schemas.openxmlformats.org/officeDocument/2006/relationships/hyperlink" Target="http://www.dailymail.co.uk/news/article-3743470/Sister-cop-shooting-victim-Sylville-Smith-tells-rioters-burn-suburbs-reveals-brother-went-high-school-shooter.html" TargetMode="External"/><Relationship Id="rId3145" Type="http://schemas.openxmlformats.org/officeDocument/2006/relationships/hyperlink" Target="http://www.koat.com/article/deputy-involved-in-shooting-with-carjacking-suspect/10375696" TargetMode="External"/><Relationship Id="rId4610" Type="http://schemas.openxmlformats.org/officeDocument/2006/relationships/hyperlink" Target="https://www.mysanantonio.com/news/local/crime/article/BCSO-Man-fatally-shot-by-deputy-following-12890581.php" TargetMode="External"/><Relationship Id="rId480" Type="http://schemas.openxmlformats.org/officeDocument/2006/relationships/hyperlink" Target="http://fox13now.com/2014/03/28/2-police-officers-hurt-1-man-dead-after-salt-lake-city-shooting/" TargetMode="External"/><Relationship Id="rId2161" Type="http://schemas.openxmlformats.org/officeDocument/2006/relationships/hyperlink" Target="http://www.fatalencounters.org/wp-content/uploads/2013/10/Levonia.jpg" TargetMode="External"/><Relationship Id="rId3212" Type="http://schemas.openxmlformats.org/officeDocument/2006/relationships/hyperlink" Target="http://abc7.com/news/wild-police-chase-ends-in-bellflower;-1-suspect-in-custody-1-dead/1914715/" TargetMode="External"/><Relationship Id="rId6368" Type="http://schemas.openxmlformats.org/officeDocument/2006/relationships/hyperlink" Target="https://www.stltoday.com/news/local/crime-and-courts/man-dead-after-police-fire-into-north-st-louis-county/article_ceb6ba9d-88d7-58a5-8cf1-253cc7bf2681.html" TargetMode="External"/><Relationship Id="rId133" Type="http://schemas.openxmlformats.org/officeDocument/2006/relationships/hyperlink" Target="http://www.kokomotribune.com/news/update-name-of-officer-involved-in-shooting-released/article_fac3c076-121b-11e5-91a2-63f77d795bb0.html" TargetMode="External"/><Relationship Id="rId5384" Type="http://schemas.openxmlformats.org/officeDocument/2006/relationships/hyperlink" Target="https://www.kare11.com/article/news/local/man-dead-after-officer-involved-shooting-in-shakopee/89-613248378" TargetMode="External"/><Relationship Id="rId6782" Type="http://schemas.openxmlformats.org/officeDocument/2006/relationships/hyperlink" Target="https://fatalencounters.org/wp-content/uploads/2019/09/shawn-stevens.jpg" TargetMode="External"/><Relationship Id="rId200" Type="http://schemas.openxmlformats.org/officeDocument/2006/relationships/hyperlink" Target="http://www.utsandiego.com/news/2015/may/17/sdpd-ois-officer-shot-kearny-mesa-hospital/" TargetMode="External"/><Relationship Id="rId2978" Type="http://schemas.openxmlformats.org/officeDocument/2006/relationships/hyperlink" Target="http://www.fatalencounters.org/wp-content/uploads/2013/10/Carlos-Garcia-Petrovich.jpg" TargetMode="External"/><Relationship Id="rId5037" Type="http://schemas.openxmlformats.org/officeDocument/2006/relationships/hyperlink" Target="https://www.washingtontimes.com/news/2018/aug/10/the-latest-maryland-police-id-man-fatally-shot-by-/?utm_source=RSS_Feed&amp;utm_medium=RSS" TargetMode="External"/><Relationship Id="rId6435" Type="http://schemas.openxmlformats.org/officeDocument/2006/relationships/hyperlink" Target="https://heavy.com/news/2019/07/ben-fields/" TargetMode="External"/><Relationship Id="rId1994" Type="http://schemas.openxmlformats.org/officeDocument/2006/relationships/hyperlink" Target="http://www.jsonline.com/news/milwaukee-police-shoot-kill-stabbing-suspect-b99766770z1-388014112.html" TargetMode="External"/><Relationship Id="rId5451" Type="http://schemas.openxmlformats.org/officeDocument/2006/relationships/hyperlink" Target="https://www.deseretnews.com/article/900043769/man-shot-killed-in-parking-lot-of-clinton-police-station.html" TargetMode="External"/><Relationship Id="rId6502" Type="http://schemas.openxmlformats.org/officeDocument/2006/relationships/hyperlink" Target="https://www.heraldextra.com/news/state-and-regional/officer-wounded-by-friendly-fire-in-salt-lake-shooting/article_180af0b6-b030-5122-b4dd-3b2531244ac6.html" TargetMode="External"/><Relationship Id="rId1647" Type="http://schemas.openxmlformats.org/officeDocument/2006/relationships/hyperlink" Target="http://www.fatalencounters.org/wp-content/uploads/2013/10/mario-sandoval.jpeg" TargetMode="External"/><Relationship Id="rId4053" Type="http://schemas.openxmlformats.org/officeDocument/2006/relationships/hyperlink" Target="http://www.fatalencounters.org/wp-content/uploads/2018/01/Shaleem-Tindle.jpg" TargetMode="External"/><Relationship Id="rId5104" Type="http://schemas.openxmlformats.org/officeDocument/2006/relationships/hyperlink" Target="https://www.fatalencounters.org/wp-content/uploads/2018/08/HamesEric.png" TargetMode="External"/><Relationship Id="rId1714" Type="http://schemas.openxmlformats.org/officeDocument/2006/relationships/hyperlink" Target="http://bloximages.chicago2.vip.townnews.com/herald-review.com/content/tncms/assets/v3/editorial/5/17/5171ce25-e7d8-56c7-aebd-96f47e420544/572fec5534175.image.jpg?resize=200%2C267" TargetMode="External"/><Relationship Id="rId4120" Type="http://schemas.openxmlformats.org/officeDocument/2006/relationships/hyperlink" Target="http://www.wcax.com/content/news/Robbery-suspect-cornered-at-Montpelier-High-School-469552973.html" TargetMode="External"/><Relationship Id="rId6292" Type="http://schemas.openxmlformats.org/officeDocument/2006/relationships/hyperlink" Target="https://fatalencounters.org/wp-content/uploads/2019/06/Kyle-Needham.jpg" TargetMode="External"/><Relationship Id="rId2488" Type="http://schemas.openxmlformats.org/officeDocument/2006/relationships/hyperlink" Target="http://siouxcityjournal.com/news/local/sioux-city-police-officer-shot-killed-passenger-after-traffic-stop/article_25b92815-8e21-55ad-aebe-f3c7fa2108da.html" TargetMode="External"/><Relationship Id="rId3886" Type="http://schemas.openxmlformats.org/officeDocument/2006/relationships/hyperlink" Target="http://www.kdrv.com/content/news/Officer-Involved-Shooting-in-Klamath-Falls-459896943.html" TargetMode="External"/><Relationship Id="rId4937" Type="http://schemas.openxmlformats.org/officeDocument/2006/relationships/hyperlink" Target="https://www.fresnobee.com/news/local/crime/article215284285.html" TargetMode="External"/><Relationship Id="rId3539" Type="http://schemas.openxmlformats.org/officeDocument/2006/relationships/hyperlink" Target="http://www.tennessean.com/story/news/2017/03/29/hamilton-sheriffs-office-employee-killed-chattanooga-officer-involved-shooting/99770138/" TargetMode="External"/><Relationship Id="rId3953" Type="http://schemas.openxmlformats.org/officeDocument/2006/relationships/hyperlink" Target="http://www.koco.com/article/officer-involved-in-shooting-in-southeast-oklahoma-city/14401949" TargetMode="External"/><Relationship Id="rId6012" Type="http://schemas.openxmlformats.org/officeDocument/2006/relationships/hyperlink" Target="https://www.fatalencounters.org/wp-content/uploads/2019/03/Hannah-Westall.jpg" TargetMode="External"/><Relationship Id="rId874" Type="http://schemas.openxmlformats.org/officeDocument/2006/relationships/hyperlink" Target="http://raycomgroup.worldnow.com/story/30082367/washington-county-sheriff-says-deputy-justified-in-shooting" TargetMode="External"/><Relationship Id="rId2555" Type="http://schemas.openxmlformats.org/officeDocument/2006/relationships/hyperlink" Target="http://www.fatalencounters.org/wp-content/uploads/2013/10/Gerald-Javon-Hall.jpg" TargetMode="External"/><Relationship Id="rId3606" Type="http://schemas.openxmlformats.org/officeDocument/2006/relationships/hyperlink" Target="http://www.bdtonline.com/news/officer-involved-shooting-reported-in-princeton/article_17f0f48c-f949-11e6-8da0-5b45da6153c7.html" TargetMode="External"/><Relationship Id="rId527" Type="http://schemas.openxmlformats.org/officeDocument/2006/relationships/hyperlink" Target="http://sfappeal.com/2013/10/sf-man-shot-to-death-by-san-mateo-police/" TargetMode="External"/><Relationship Id="rId941" Type="http://schemas.openxmlformats.org/officeDocument/2006/relationships/hyperlink" Target="http://www.gainesville.com/article/20151030/ARTICLES/151039969?tc=ar" TargetMode="External"/><Relationship Id="rId1157" Type="http://schemas.openxmlformats.org/officeDocument/2006/relationships/hyperlink" Target="http://crimeblog.dallasnews.com/files/2015/08/Bertrand.jpg" TargetMode="External"/><Relationship Id="rId1571" Type="http://schemas.openxmlformats.org/officeDocument/2006/relationships/hyperlink" Target="http://www.tennessean.com/story/news/local/sumner/gallatin/2016/04/07/gallatin-police-release-graphic-video-officer-shooting-woman-ax/82764688/" TargetMode="External"/><Relationship Id="rId2208" Type="http://schemas.openxmlformats.org/officeDocument/2006/relationships/hyperlink" Target="http://www.king5.com/news/local/police-investigate-officer-involved-shooting-in-auburn/316387138" TargetMode="External"/><Relationship Id="rId2622" Type="http://schemas.openxmlformats.org/officeDocument/2006/relationships/hyperlink" Target="http://abc7ny.com/police-fatally-shoot-bank-robbery-suspect-in-orange/2339091/" TargetMode="External"/><Relationship Id="rId5778" Type="http://schemas.openxmlformats.org/officeDocument/2006/relationships/hyperlink" Target="https://rapidcityjournal.com/news/local/crime-and-courts/updated-man-dead-after-car-shot-at-by-tribal-police/article_a3f423b8-069d-594d-80ff-38efe9a80b9b.html" TargetMode="External"/><Relationship Id="rId6829" Type="http://schemas.openxmlformats.org/officeDocument/2006/relationships/hyperlink" Target="https://www.gainesvilletimes.com/news/gainesville-police-report-officer-involved-shooting/?fbclid=IwAR2fbIStOZlUhh1qZjC1es50W5UBn1u4CnNtJaKcRoV_WdyAk1mnkPYpAl4" TargetMode="External"/><Relationship Id="rId1224" Type="http://schemas.openxmlformats.org/officeDocument/2006/relationships/hyperlink" Target="http://www.thedenverchannel.com/news/local-news/injured-northglenn-police-officer-taken-to-hospital" TargetMode="External"/><Relationship Id="rId4794" Type="http://schemas.openxmlformats.org/officeDocument/2006/relationships/hyperlink" Target="https://www.fatalencounters.org/wp-content/uploads/2018/07/Ryan-C.-Angerstien.jpg" TargetMode="External"/><Relationship Id="rId5845" Type="http://schemas.openxmlformats.org/officeDocument/2006/relationships/hyperlink" Target="https://krcrtv.com/news/shasta-county/one-dead-after-officer-involved-shooting-in-redding" TargetMode="External"/><Relationship Id="rId3396" Type="http://schemas.openxmlformats.org/officeDocument/2006/relationships/hyperlink" Target="http://www.wisn.com/article/waukesha-police-shoot-kill-armed-man/10041037" TargetMode="External"/><Relationship Id="rId4447" Type="http://schemas.openxmlformats.org/officeDocument/2006/relationships/hyperlink" Target="http://www.fatalencounters.org/wp-content/uploads/2018/04/Timothy-Breckenridge.jpg" TargetMode="External"/><Relationship Id="rId3049" Type="http://schemas.openxmlformats.org/officeDocument/2006/relationships/hyperlink" Target="http://www.yourcentralvalley.com/news/fresno-county-officer-involved-shooting-suspect-identified/647272455" TargetMode="External"/><Relationship Id="rId3463" Type="http://schemas.openxmlformats.org/officeDocument/2006/relationships/hyperlink" Target="http://www.nbcwashington.com/news/local/One-Shot-Officer-Injured-in-Arlington-422840974.html" TargetMode="External"/><Relationship Id="rId4861" Type="http://schemas.openxmlformats.org/officeDocument/2006/relationships/hyperlink" Target="https://www.chieftain.com/news/crime/pueblo-police-say-nephew-stabbed-uncle-before-being-shot-by/article_923ae5d5-b614-5758-bbb8-d1e9a93b9e7d.html" TargetMode="External"/><Relationship Id="rId5912" Type="http://schemas.openxmlformats.org/officeDocument/2006/relationships/hyperlink" Target="https://www.kwtx.com/content/news/506430812.html" TargetMode="External"/><Relationship Id="rId384" Type="http://schemas.openxmlformats.org/officeDocument/2006/relationships/hyperlink" Target="http://www.houstontx.gov/police/nr/2014/oct/nr141001-3.htm" TargetMode="External"/><Relationship Id="rId2065" Type="http://schemas.openxmlformats.org/officeDocument/2006/relationships/hyperlink" Target="http://www.sacbee.com/news/local/crime/article94537432.html" TargetMode="External"/><Relationship Id="rId3116" Type="http://schemas.openxmlformats.org/officeDocument/2006/relationships/hyperlink" Target="http://www.nbcnewyork.com/news/local/Police-Involved-Shooting-Bronx-NYPD-442944273.html" TargetMode="External"/><Relationship Id="rId4514" Type="http://schemas.openxmlformats.org/officeDocument/2006/relationships/hyperlink" Target="http://www.fatalencounters.org/wp-content/uploads/2018/04/Grechario-Mack.jpg" TargetMode="External"/><Relationship Id="rId1081" Type="http://schemas.openxmlformats.org/officeDocument/2006/relationships/hyperlink" Target="http://www.killedbypolice.net/victims/150977.jpg" TargetMode="External"/><Relationship Id="rId3530" Type="http://schemas.openxmlformats.org/officeDocument/2006/relationships/hyperlink" Target="http://napavalleyregister.com/news/local/shooting-suspect-killed-in-gunfire-with-napa-police/article_5be534e3-d956-50ea-a916-c9db8a4b1ff3.html" TargetMode="External"/><Relationship Id="rId6686" Type="http://schemas.openxmlformats.org/officeDocument/2006/relationships/hyperlink" Target="https://www.kmov.com/news/suspect-tased-by-officers-in-overland-dies/article_94d0ed34-cc25-11e9-93f0-47d392759fbd.html" TargetMode="External"/><Relationship Id="rId451" Type="http://schemas.openxmlformats.org/officeDocument/2006/relationships/hyperlink" Target="http://nrvnews.com/wp-content/uploads/2014/05/saunders_thomas_neil.jpg" TargetMode="External"/><Relationship Id="rId2132" Type="http://schemas.openxmlformats.org/officeDocument/2006/relationships/hyperlink" Target="http://www.daytondailynews.com/news/news/robbery-suspect-shot-killed-by-officer-in-hamilton/nsKCr/" TargetMode="External"/><Relationship Id="rId5288" Type="http://schemas.openxmlformats.org/officeDocument/2006/relationships/hyperlink" Target="https://www.fatalencounters.org/wp-content/uploads/2018/10/Hustes-Antonio-Davila.jpg" TargetMode="External"/><Relationship Id="rId6339" Type="http://schemas.openxmlformats.org/officeDocument/2006/relationships/hyperlink" Target="https://fatalencounters.org/wp-content/uploads/2019/06/JaQuavion-Slaton.jpg" TargetMode="External"/><Relationship Id="rId6753" Type="http://schemas.openxmlformats.org/officeDocument/2006/relationships/hyperlink" Target="https://www.mysanantonio.com/news/texas/article/Man-with-replica-BB-gun-fatally-wounded-by-14441342.php" TargetMode="External"/><Relationship Id="rId104" Type="http://schemas.openxmlformats.org/officeDocument/2006/relationships/hyperlink" Target="http://journalstar.com/news/local/911/man-shot-by-deputy-has-died-sheriff-s-office-says/article_6edae1e6-0eba-5846-8dc1-79a7a3a032da.html" TargetMode="External"/><Relationship Id="rId1898" Type="http://schemas.openxmlformats.org/officeDocument/2006/relationships/hyperlink" Target="http://journalstar.com/news/local/911/year-old-woman-killed-in-early-morning-shooting-suspect-fatally/article_12a7dac4-c561-5e48-b5cb-1689734c5faa.html" TargetMode="External"/><Relationship Id="rId2949" Type="http://schemas.openxmlformats.org/officeDocument/2006/relationships/hyperlink" Target="http://www.latimes.com/local/lanow/la-me-ln-palmdale-deputy-shooting-20170622-story.html" TargetMode="External"/><Relationship Id="rId5355" Type="http://schemas.openxmlformats.org/officeDocument/2006/relationships/hyperlink" Target="https://www.wvgazettemail.com/news/cops_and_courts/one-dead-in-officer-involved-shooting-in-charleston/article_72dcd80e-c7e4-5adf-b0cc-1a8e3ab3b2ee.html" TargetMode="External"/><Relationship Id="rId6406" Type="http://schemas.openxmlformats.org/officeDocument/2006/relationships/hyperlink" Target="https://www.everythinglubbock.com/news/murder-suspect-shot-by-officer-in-gaines-co-officials-confirm/" TargetMode="External"/><Relationship Id="rId6820" Type="http://schemas.openxmlformats.org/officeDocument/2006/relationships/hyperlink" Target="https://fatalencounters.org/wp-content/uploads/2019/10/JamaalTaylor.jpg" TargetMode="External"/><Relationship Id="rId4371" Type="http://schemas.openxmlformats.org/officeDocument/2006/relationships/hyperlink" Target="http://www.fatalencounters.org/wp-content/uploads/2018/03/Jontell-Reedom.png" TargetMode="External"/><Relationship Id="rId5008" Type="http://schemas.openxmlformats.org/officeDocument/2006/relationships/hyperlink" Target="https://wsvn.com/news/local/sunrise-officers-fatally-shoot-man-after-responding-to-domestic-dispute/" TargetMode="External"/><Relationship Id="rId5422" Type="http://schemas.openxmlformats.org/officeDocument/2006/relationships/hyperlink" Target="https://cbs12.com/news/local/st-lucie-county-sheriff-identified-man-killed-by-deputies" TargetMode="External"/><Relationship Id="rId1965" Type="http://schemas.openxmlformats.org/officeDocument/2006/relationships/hyperlink" Target="http://www.fatalencounters.org/wp-content/uploads/2013/10/Richard-Dinneny.jpg" TargetMode="External"/><Relationship Id="rId4024" Type="http://schemas.openxmlformats.org/officeDocument/2006/relationships/hyperlink" Target="https://www.nbcphiladelphia.com/news/local/Plainclothes-Police-Officer-Shoots-Unarmed-Man-to-Death-Philadelphia-466983653.html" TargetMode="External"/><Relationship Id="rId1618" Type="http://schemas.openxmlformats.org/officeDocument/2006/relationships/hyperlink" Target="http://www.miamiherald.com/news/local/crime/article67721542.html" TargetMode="External"/><Relationship Id="rId3040" Type="http://schemas.openxmlformats.org/officeDocument/2006/relationships/hyperlink" Target="http://www.latimes.com/local/lanow/la-me-ln-santa-monica-ois-20170206-story.html" TargetMode="External"/><Relationship Id="rId6196" Type="http://schemas.openxmlformats.org/officeDocument/2006/relationships/hyperlink" Target="https://www.krwg.org/post/state-police-village-police-officer-kills-man-house-fire" TargetMode="External"/><Relationship Id="rId7247" Type="http://schemas.openxmlformats.org/officeDocument/2006/relationships/hyperlink" Target="http://ak-cache.legacy.net/legacy/images/cobrands/dfw/photos/photo_164220_86870_0_1385493736jeremymcgee_20131128.jpgx?w=130&amp;h=180&amp;option=1&amp;v=0x000000002cef17ab" TargetMode="External"/><Relationship Id="rId3857" Type="http://schemas.openxmlformats.org/officeDocument/2006/relationships/hyperlink" Target="http://www.clarionledger.com/story/news/local/2017/11/15/jackson-police-officer-involved-shooting-mayes-street/868750001/" TargetMode="External"/><Relationship Id="rId4908" Type="http://schemas.openxmlformats.org/officeDocument/2006/relationships/hyperlink" Target="https://www.fatalencounters.org/wp-content/uploads/2018/07/marlinmack.jpg" TargetMode="External"/><Relationship Id="rId6263" Type="http://schemas.openxmlformats.org/officeDocument/2006/relationships/hyperlink" Target="http://www.journalgazette.net/news/local/police-fire/20190614/slain-mans-family-looks-for-answers?fbclid=IwAR1cDGoguxppS3lkGmuv4jds-qvOnbojy4sg7bPylR8MqNiV00THrF7WljE" TargetMode="External"/><Relationship Id="rId778" Type="http://schemas.openxmlformats.org/officeDocument/2006/relationships/hyperlink" Target="http://missoulian.com/news/local/mineral-county-releases-names-of-deputy-victim-in-fatal-shooting/article_b5fd7dbd-f901-5fba-b7d9-5260acaac37c.html" TargetMode="External"/><Relationship Id="rId2459" Type="http://schemas.openxmlformats.org/officeDocument/2006/relationships/hyperlink" Target="http://www.sacbee.com/news/local/crime/article118172608.html" TargetMode="External"/><Relationship Id="rId2873" Type="http://schemas.openxmlformats.org/officeDocument/2006/relationships/hyperlink" Target="http://www.azcentral.com/story/news/local/phoenix-breaking/2017/01/09/phoenix-police-shooting-35th-avenue-dunlap/96369682/" TargetMode="External"/><Relationship Id="rId3924" Type="http://schemas.openxmlformats.org/officeDocument/2006/relationships/hyperlink" Target="http://newyork.cbslocal.com/2017/11/30/shoplifting-suspect-dies-greenburgh/" TargetMode="External"/><Relationship Id="rId6330" Type="http://schemas.openxmlformats.org/officeDocument/2006/relationships/hyperlink" Target="https://fatalencounters.org/wp-content/uploads/2019/06/Bryan-Bernard-Wallace.jpg" TargetMode="External"/><Relationship Id="rId845" Type="http://schemas.openxmlformats.org/officeDocument/2006/relationships/hyperlink" Target="http://www.denverpost.com/news/ci_28818708/robbery-suspect-shot-friday-by-broomfield-pd-died" TargetMode="External"/><Relationship Id="rId1475" Type="http://schemas.openxmlformats.org/officeDocument/2006/relationships/hyperlink" Target="https://localtvwtkr.files.wordpress.com/2016/03/tyre-privott.png" TargetMode="External"/><Relationship Id="rId2526" Type="http://schemas.openxmlformats.org/officeDocument/2006/relationships/hyperlink" Target="https://kobi5.com/news/officer-wounded-suspect-dead-in-dallas-oregon-42525/" TargetMode="External"/><Relationship Id="rId1128" Type="http://schemas.openxmlformats.org/officeDocument/2006/relationships/hyperlink" Target="http://www.local10.com/image/view/-/36526126/medRes/3/-/maxh/360/maxw/640/-/10fwv3w/-/Yohans-Leon-stock-mug-jpg.jpg" TargetMode="External"/><Relationship Id="rId1542" Type="http://schemas.openxmlformats.org/officeDocument/2006/relationships/hyperlink" Target="http://kxan.com/ap/police-id-man-fatally-shot-after-firing-from-balcony/" TargetMode="External"/><Relationship Id="rId2940" Type="http://schemas.openxmlformats.org/officeDocument/2006/relationships/hyperlink" Target="http://losangeles.cbslocal.com/2017/06/29/officer-involved-shooting-burbank/" TargetMode="External"/><Relationship Id="rId4698" Type="http://schemas.openxmlformats.org/officeDocument/2006/relationships/hyperlink" Target="https://www.click2houston.com/news/deputy-shoots-suspect-in-stagecoach-authorities-say" TargetMode="External"/><Relationship Id="rId5749" Type="http://schemas.openxmlformats.org/officeDocument/2006/relationships/hyperlink" Target="https://www.fatalencounters.org/wp-content/uploads/2019/01/Jason-Minnick.jpg" TargetMode="External"/><Relationship Id="rId912" Type="http://schemas.openxmlformats.org/officeDocument/2006/relationships/hyperlink" Target="http://www.wfaa.com/story/news/local/tarrant-county/2015/10/05/suspect-killed-in-hurst-officer-involved-shooting/73425460/" TargetMode="External"/><Relationship Id="rId7171" Type="http://schemas.openxmlformats.org/officeDocument/2006/relationships/hyperlink" Target="http://www.khou.com/story/local/2015/05/29/12004714/" TargetMode="External"/><Relationship Id="rId4765" Type="http://schemas.openxmlformats.org/officeDocument/2006/relationships/hyperlink" Target="http://www.nbc4i.com/news/local-news/franklin-co-sheriff-confirms-two-dead-after-deputy-involved-shooting-in-pike-county/1238945342" TargetMode="External"/><Relationship Id="rId5816" Type="http://schemas.openxmlformats.org/officeDocument/2006/relationships/hyperlink" Target="http://www.ksla.com/2019/02/05/shooting-reported-near-intersection-hollywood-kennedy/" TargetMode="External"/><Relationship Id="rId288" Type="http://schemas.openxmlformats.org/officeDocument/2006/relationships/hyperlink" Target="http://www.winchesterstar.com/article/040615br" TargetMode="External"/><Relationship Id="rId3367" Type="http://schemas.openxmlformats.org/officeDocument/2006/relationships/hyperlink" Target="http://www.fatalencounters.org/wp-content/uploads/2013/10/RyanAllenProbst.jpg" TargetMode="External"/><Relationship Id="rId3781" Type="http://schemas.openxmlformats.org/officeDocument/2006/relationships/hyperlink" Target="http://www.fatalencounters.org/wp-content/uploads/2013/10/Christopher-Jacobs.jpg" TargetMode="External"/><Relationship Id="rId4418" Type="http://schemas.openxmlformats.org/officeDocument/2006/relationships/hyperlink" Target="http://tucson.com/news/officer-involved-shooting-in-douglas-is-under-investigation/article_63b151ee-2ec9-11e8-b41d-2328a8cf2819.html" TargetMode="External"/><Relationship Id="rId4832" Type="http://schemas.openxmlformats.org/officeDocument/2006/relationships/hyperlink" Target="https://thebrunswicknews.com/breaking/suspended-glynn-police-officer-dead-after-allegedly-killing-wife-boyfriend/article_0d995c95-3eae-5c5d-9e15-14d5da38720a.html" TargetMode="External"/><Relationship Id="rId2383" Type="http://schemas.openxmlformats.org/officeDocument/2006/relationships/hyperlink" Target="https://www.adn.com/alaska-news/anchorage/2016/11/12/anchorage-police-officer-shot-multiple-times-and-survives-suspect-killed/" TargetMode="External"/><Relationship Id="rId3434" Type="http://schemas.openxmlformats.org/officeDocument/2006/relationships/hyperlink" Target="http://jacksonville.com/news/public-safety/2017-06-05/nassau-county-reports-second-fatal-deputy-involved-shooting-three-days" TargetMode="External"/><Relationship Id="rId355" Type="http://schemas.openxmlformats.org/officeDocument/2006/relationships/hyperlink" Target="http://www.chron.com/news/houston-texas/article/1-dead-in-officer-involved-shooting-in-NW-Harris-5928188.php" TargetMode="External"/><Relationship Id="rId2036" Type="http://schemas.openxmlformats.org/officeDocument/2006/relationships/hyperlink" Target="http://www.12newsnow.com/news/local/port-arthur-family-seeks-answers-after-death-of-mentally-ill-son/292634589" TargetMode="External"/><Relationship Id="rId2450" Type="http://schemas.openxmlformats.org/officeDocument/2006/relationships/hyperlink" Target="http://www.dispatch.com/content/stories/local/2016/11/28/active-shooter.html" TargetMode="External"/><Relationship Id="rId3501" Type="http://schemas.openxmlformats.org/officeDocument/2006/relationships/hyperlink" Target="http://www.fatalencounters.org/wp-content/uploads/2013/10/Bennet.jpg" TargetMode="External"/><Relationship Id="rId6657" Type="http://schemas.openxmlformats.org/officeDocument/2006/relationships/hyperlink" Target="https://chicago.suntimes.com/crime/2019/8/22/20827893/north-aurora-police-officer-fatally-shoots-armed-man" TargetMode="External"/><Relationship Id="rId422" Type="http://schemas.openxmlformats.org/officeDocument/2006/relationships/hyperlink" Target="http://www.azcentral.com/story/news/local/tempe/2014/07/20/tempe-officer-involved-shooting-jonathan-williams-dead/12922577/" TargetMode="External"/><Relationship Id="rId1052" Type="http://schemas.openxmlformats.org/officeDocument/2006/relationships/hyperlink" Target="http://www.jconline.com/story/news/2015/05/01/officers-justified-use-lethal-force/26708803/" TargetMode="External"/><Relationship Id="rId2103" Type="http://schemas.openxmlformats.org/officeDocument/2006/relationships/hyperlink" Target="http://www.fatalencounters.org/wp-content/uploads/2013/10/Carl-Nivins.jpg" TargetMode="External"/><Relationship Id="rId5259" Type="http://schemas.openxmlformats.org/officeDocument/2006/relationships/hyperlink" Target="https://www.gainesville.com/news/20181007/man-killed-in-shootout-with-bradford-county-deputies" TargetMode="External"/><Relationship Id="rId5673" Type="http://schemas.openxmlformats.org/officeDocument/2006/relationships/hyperlink" Target="http://www.riversidesheriff.org/press/chu19-0105.asp" TargetMode="External"/><Relationship Id="rId4275" Type="http://schemas.openxmlformats.org/officeDocument/2006/relationships/hyperlink" Target="http://www.azfamily.com/story/37561165/no-officers-hurt-in-officer-involved-shooting-in-west-phoenix" TargetMode="External"/><Relationship Id="rId5326" Type="http://schemas.openxmlformats.org/officeDocument/2006/relationships/hyperlink" Target="https://wqad.com/2018/10/23/police-investigating-scene-of-shooting/" TargetMode="External"/><Relationship Id="rId6724" Type="http://schemas.openxmlformats.org/officeDocument/2006/relationships/hyperlink" Target="https://wgxa.tv/news/local/gbi-2-dogs-brother-sister-die-in-south-georgia-officer-involved-shooting" TargetMode="External"/><Relationship Id="rId1869" Type="http://schemas.openxmlformats.org/officeDocument/2006/relationships/hyperlink" Target="http://www.fatalencounters.org/wp-content/uploads/2013/10/Rodrigo-Guardiola.jpg" TargetMode="External"/><Relationship Id="rId3291" Type="http://schemas.openxmlformats.org/officeDocument/2006/relationships/hyperlink" Target="http://www.koaa.com/story/36185520/officer-involved-shooting-reported-in-colorado-city" TargetMode="External"/><Relationship Id="rId5740" Type="http://schemas.openxmlformats.org/officeDocument/2006/relationships/hyperlink" Target="https://www.fatalencounters.org/wp-content/uploads/2019/01/MikyasTegegne.jpg" TargetMode="External"/><Relationship Id="rId1936" Type="http://schemas.openxmlformats.org/officeDocument/2006/relationships/hyperlink" Target="http://www.wave3.com/story/32371223/officer-involved-shooting-leaves-man-dead" TargetMode="External"/><Relationship Id="rId4342" Type="http://schemas.openxmlformats.org/officeDocument/2006/relationships/hyperlink" Target="http://www.fatalencounters.org/wp-content/uploads/2018/03/victor-ancira.jpg" TargetMode="External"/><Relationship Id="rId3011" Type="http://schemas.openxmlformats.org/officeDocument/2006/relationships/hyperlink" Target="http://ktla.com/2017/03/13/orange-police-shoot-man-suspected-of-traffic-violation-after-using-fire-hoses-to-force-him-from-van/" TargetMode="External"/><Relationship Id="rId6167" Type="http://schemas.openxmlformats.org/officeDocument/2006/relationships/hyperlink" Target="https://www.wboy.com/top-stories/suspect-killed-in-officer-involved-shooting/1963543263" TargetMode="External"/><Relationship Id="rId6581" Type="http://schemas.openxmlformats.org/officeDocument/2006/relationships/hyperlink" Target="https://www.nevadaappeal.com/news/man-dead-after-hostage-situation-involving-an-infant-in-carson-city/" TargetMode="External"/><Relationship Id="rId7218" Type="http://schemas.openxmlformats.org/officeDocument/2006/relationships/hyperlink" Target="https://whatzenalotionbar.files.wordpress.com/2014/09/rene-amaro.jpg?w=90&amp;h=90&amp;crop=1" TargetMode="External"/><Relationship Id="rId2777" Type="http://schemas.openxmlformats.org/officeDocument/2006/relationships/hyperlink" Target="http://www.detroitnews.com/story/news/local/macomb-county/2017/03/16/us-marshal-involved-warren-shooting/99256676/" TargetMode="External"/><Relationship Id="rId5183" Type="http://schemas.openxmlformats.org/officeDocument/2006/relationships/hyperlink" Target="https://www.wsmv.com/news/suspect-shot-killed-by-trooper-after-pursuit-in-christian-co/article_0ed8443e-ba79-11e8-898f-1b0c72acd11b.html" TargetMode="External"/><Relationship Id="rId6234" Type="http://schemas.openxmlformats.org/officeDocument/2006/relationships/hyperlink" Target="https://www.pasadenastarnews.com/2019/05/18/police-open-fire-on-armed-man-wearing-bullet-proof-vest/" TargetMode="External"/><Relationship Id="rId749" Type="http://schemas.openxmlformats.org/officeDocument/2006/relationships/hyperlink" Target="http://funds.gfmcdn.com/5696790_1439869229.992.jpg" TargetMode="External"/><Relationship Id="rId1379" Type="http://schemas.openxmlformats.org/officeDocument/2006/relationships/hyperlink" Target="http://katv.com/news/local/lonoke-county-deputy-involved-in-fatal-shooting-overnight" TargetMode="External"/><Relationship Id="rId3828" Type="http://schemas.openxmlformats.org/officeDocument/2006/relationships/hyperlink" Target="http://www.fatalencounters.org/wp-content/uploads/2013/10/Terry-A.-Dubois-Jr..jpg" TargetMode="External"/><Relationship Id="rId5250" Type="http://schemas.openxmlformats.org/officeDocument/2006/relationships/hyperlink" Target="http://www.columbiadailyherald.com/news/20181004/tbi-investigates-officer-involved-shooting-in-bartlett" TargetMode="External"/><Relationship Id="rId6301" Type="http://schemas.openxmlformats.org/officeDocument/2006/relationships/hyperlink" Target="https://www.tulsaworld.com/news/local/crime-and-courts/one-dead-in-bartlesville-officer-involved-shooting-osbi-investigating/article_7d986f5f-6070-525c-af91-5434d85e8999.html" TargetMode="External"/><Relationship Id="rId1793" Type="http://schemas.openxmlformats.org/officeDocument/2006/relationships/hyperlink" Target="http://www.redding.com/news/local/Suspect-killed-in-officer-involved-shooting-381880091.html" TargetMode="External"/><Relationship Id="rId2844" Type="http://schemas.openxmlformats.org/officeDocument/2006/relationships/hyperlink" Target="http://abc11.com/news/murder-suspect-killed-in-shootout-with-troopers-on-i-95/1735795/" TargetMode="External"/><Relationship Id="rId85" Type="http://schemas.openxmlformats.org/officeDocument/2006/relationships/hyperlink" Target="http://victimsofpolice.com/2015/images/Julian-Joseph.jpg" TargetMode="External"/><Relationship Id="rId816" Type="http://schemas.openxmlformats.org/officeDocument/2006/relationships/hyperlink" Target="http://www.nbcsandiego.com/news/local/Robert-Hober-Eric-Oberndorfer-Fatal-Officer-Involved-Shooting-IDd-323528221.html" TargetMode="External"/><Relationship Id="rId1446" Type="http://schemas.openxmlformats.org/officeDocument/2006/relationships/hyperlink" Target="http://www.home.tampabay.com/news/publicsafety/man-shot-and-killed-by-hillsborough-sheriffs-deputies-in-tampa/2268537" TargetMode="External"/><Relationship Id="rId1860" Type="http://schemas.openxmlformats.org/officeDocument/2006/relationships/hyperlink" Target="http://wsav.com/2016/06/20/breaking-officer-involved-shooting-in-hardeeville/" TargetMode="External"/><Relationship Id="rId2911" Type="http://schemas.openxmlformats.org/officeDocument/2006/relationships/hyperlink" Target="http://www.fatalencounters.org/wp-content/uploads/2013/10/Jeffery-Barboa.jpg" TargetMode="External"/><Relationship Id="rId7075" Type="http://schemas.openxmlformats.org/officeDocument/2006/relationships/hyperlink" Target="https://www.johnsoncitypress.com/law-enforcement/2019/12/28/Elizabethton-police-kill-man-during-assault-2nd-fatal-shooting-this-year.html" TargetMode="External"/><Relationship Id="rId1513" Type="http://schemas.openxmlformats.org/officeDocument/2006/relationships/hyperlink" Target="http://www.10tv.com/content/stories/2016/02/11/columbus-ohio-man-stabs-multiple-people-with-machette-in-northeast-columbus.html" TargetMode="External"/><Relationship Id="rId4669" Type="http://schemas.openxmlformats.org/officeDocument/2006/relationships/hyperlink" Target="http://katu.com/news/local/gresham-police-identify-man-dmitri-bullard-shot-by-officers-after-he-charged-them-with-a-hatchet" TargetMode="External"/><Relationship Id="rId3685" Type="http://schemas.openxmlformats.org/officeDocument/2006/relationships/hyperlink" Target="http://abc7.com/news/man-with-hatchet-shot-after-police-chase-ends-in-westchester/1708815/" TargetMode="External"/><Relationship Id="rId4736" Type="http://schemas.openxmlformats.org/officeDocument/2006/relationships/hyperlink" Target="https://www.fatalencounters.org/wp-content/uploads/2018/06/Brian-Puskas.jpg" TargetMode="External"/><Relationship Id="rId6091" Type="http://schemas.openxmlformats.org/officeDocument/2006/relationships/hyperlink" Target="http://www.wave3.com/2019/04/10/family-says-victim-tuesdays-shooting-is-doing-better/" TargetMode="External"/><Relationship Id="rId7142" Type="http://schemas.openxmlformats.org/officeDocument/2006/relationships/hyperlink" Target="http://www.laweekly.com/news/david-martinez-was-unarmed-when-shot-by-lapd-in-echo-park-family-says-video-4177612" TargetMode="External"/><Relationship Id="rId2287" Type="http://schemas.openxmlformats.org/officeDocument/2006/relationships/hyperlink" Target="http://www.cleveland19.com/story/33428820/officer-involved-shooting-in-lowes-parking-lot-in-willoughby" TargetMode="External"/><Relationship Id="rId3338" Type="http://schemas.openxmlformats.org/officeDocument/2006/relationships/hyperlink" Target="http://www.nbcboston.com/news/local/One-Shot-in-Spencer-Massachusetts-436201133.html" TargetMode="External"/><Relationship Id="rId3752" Type="http://schemas.openxmlformats.org/officeDocument/2006/relationships/hyperlink" Target="http://www.cleveland.com/metro/index.ssf/2017/10/cleveland_police_officer_kills.html" TargetMode="External"/><Relationship Id="rId259" Type="http://schemas.openxmlformats.org/officeDocument/2006/relationships/hyperlink" Target="http://www.dailybulletin.com/government-and-politics/20150416/man-fatally-shot-by-deputies-near-montclair-had-bb-gun" TargetMode="External"/><Relationship Id="rId673" Type="http://schemas.openxmlformats.org/officeDocument/2006/relationships/hyperlink" Target="http://www.wfaa.com/story/news/local/dallas-county/2015/11/28/police-kill-suspect-seagoville/76491256/" TargetMode="External"/><Relationship Id="rId2354" Type="http://schemas.openxmlformats.org/officeDocument/2006/relationships/hyperlink" Target="http://www.newson6.com/story/33641271/deputy-shoots-kills-okemah-man-during-traffic-stop" TargetMode="External"/><Relationship Id="rId3405" Type="http://schemas.openxmlformats.org/officeDocument/2006/relationships/hyperlink" Target="http://www.fatalencounters.org/wp-content/uploads/2013/10/Michael-Hiram-Morris.jpg" TargetMode="External"/><Relationship Id="rId4803" Type="http://schemas.openxmlformats.org/officeDocument/2006/relationships/hyperlink" Target="https://www.krqe.com/news/crime/suspect-killed-in-deputy-involved-shooting-in-tucumcari/1248443416" TargetMode="External"/><Relationship Id="rId326" Type="http://schemas.openxmlformats.org/officeDocument/2006/relationships/hyperlink" Target="http://www.huffingtonpost.com/2014/12/24/antonio-martin-police-shooting_n_6376210.html" TargetMode="External"/><Relationship Id="rId1370" Type="http://schemas.openxmlformats.org/officeDocument/2006/relationships/hyperlink" Target="http://fox8.com/2016/02/05/police-to-release-more-details-after-stabbing-suspect-shot-killed-by-deputy/" TargetMode="External"/><Relationship Id="rId2007" Type="http://schemas.openxmlformats.org/officeDocument/2006/relationships/hyperlink" Target="https://www.artesianews.com/1338123/investigation-continues-into-officer-involved-shooting.html" TargetMode="External"/><Relationship Id="rId6975" Type="http://schemas.openxmlformats.org/officeDocument/2006/relationships/hyperlink" Target="https://fatalencounters.org/wp-content/uploads/2019/12/Terrence-Edward-White-Jr.jpg" TargetMode="External"/><Relationship Id="rId740" Type="http://schemas.openxmlformats.org/officeDocument/2006/relationships/hyperlink" Target="http://khq.images.worldnow.com/images/8550850_G.jpg" TargetMode="External"/><Relationship Id="rId1023" Type="http://schemas.openxmlformats.org/officeDocument/2006/relationships/hyperlink" Target="http://www.wave3.com/story/29120867/shooting-investigation-in-owensboro" TargetMode="External"/><Relationship Id="rId2421" Type="http://schemas.openxmlformats.org/officeDocument/2006/relationships/hyperlink" Target="http://www.northjersey.com/story/news/crime/2016/11/22/authorities-responding-newark-shooting/94304716/" TargetMode="External"/><Relationship Id="rId4179" Type="http://schemas.openxmlformats.org/officeDocument/2006/relationships/hyperlink" Target="http://www.11alive.com/article/news/crime/officer-involved-shooting-leaves-one-dead-in-chamblee/85-512123386" TargetMode="External"/><Relationship Id="rId5577" Type="http://schemas.openxmlformats.org/officeDocument/2006/relationships/hyperlink" Target="https://www.tampabay.com/news/publicsafety/hillsborough-sheriff-calls-news-conference-on-death-investigation-in-plant-city-area-20181219/?fbclid=IwAR0i_XaYmAByOwjSpTfRBsOmzpx190MbKDn02k0vOlnFSBaOPEecklhp3mY" TargetMode="External"/><Relationship Id="rId5991" Type="http://schemas.openxmlformats.org/officeDocument/2006/relationships/hyperlink" Target="https://www.fatalencounters.org/wp-content/uploads/2019/03/Cohen_Michael.jpg" TargetMode="External"/><Relationship Id="rId6628" Type="http://schemas.openxmlformats.org/officeDocument/2006/relationships/hyperlink" Target="https://fox4kc.com/2019/08/13/witness-identifies-man-shot-and-killed-by-kck-police-after-making-threats-near-legends-outlets/?fbclid=IwAR20Y-f1eyF3b_lf17HDaFBgSGDunaGZeRISNuW4WzmcHzdn9Vo2kopvw_8" TargetMode="External"/><Relationship Id="rId4593" Type="http://schemas.openxmlformats.org/officeDocument/2006/relationships/hyperlink" Target="https://www.10tv.com/article/police-officer-shoots-kills-suspect-deadly-northeast-columbus-stabbing" TargetMode="External"/><Relationship Id="rId5644" Type="http://schemas.openxmlformats.org/officeDocument/2006/relationships/hyperlink" Target="https://www.themonitor.com/2019/11/24/family-disputes-police-report-edinburg-mans-death-police-custody/" TargetMode="External"/><Relationship Id="rId3195" Type="http://schemas.openxmlformats.org/officeDocument/2006/relationships/hyperlink" Target="http://www.ktvq.com/story/35419232/several-billings-officers-on-leave-after-shooting-suicidal-man" TargetMode="External"/><Relationship Id="rId4246" Type="http://schemas.openxmlformats.org/officeDocument/2006/relationships/hyperlink" Target="http://kfor.com/2018/02/13/armed-person-shot-to-death-at-southern-oklahoma-travel-plaza/" TargetMode="External"/><Relationship Id="rId4660" Type="http://schemas.openxmlformats.org/officeDocument/2006/relationships/hyperlink" Target="http://www.whig.com/article/20180515/ARTICLE/180519989" TargetMode="External"/><Relationship Id="rId5711" Type="http://schemas.openxmlformats.org/officeDocument/2006/relationships/hyperlink" Target="https://sanfrancisco.cbslocal.com/2019/01/15/vacaville-suspect-stabbings-arson-shot-killed-by-police/?fbclid=IwAR0RAAiO1Xw5GWyIlPHCdfGoYP8TmW615Sj1bNTUBwBQjjzP7ZDpLqRnj7w" TargetMode="External"/><Relationship Id="rId3262" Type="http://schemas.openxmlformats.org/officeDocument/2006/relationships/hyperlink" Target="https://www.ohio.com/akron/breaking-news/man-being-taken-to-akron-homeless-shelter-dies-in-officer-involved-shooting" TargetMode="External"/><Relationship Id="rId4313" Type="http://schemas.openxmlformats.org/officeDocument/2006/relationships/hyperlink" Target="http://www.wtxl.com/news/father-says-law-enforcement-shot-killed-his-son/article_224a1092-1e8e-11e8-b137-f376606fb5e5.html" TargetMode="External"/><Relationship Id="rId183" Type="http://schemas.openxmlformats.org/officeDocument/2006/relationships/hyperlink" Target="http://7online.com/news/man-holding-17-month-old-son-hostage-killed-in-middletown-police-shooting/744277/" TargetMode="External"/><Relationship Id="rId1907" Type="http://schemas.openxmlformats.org/officeDocument/2006/relationships/hyperlink" Target="http://www.dailydem.com/news/article_be147f64-3e0f-11e6-9049-27481a05a6cf.html" TargetMode="External"/><Relationship Id="rId6485" Type="http://schemas.openxmlformats.org/officeDocument/2006/relationships/hyperlink" Target="https://www.wokv.com/news/local/jso-officer-involved-lavilla-shooting-was-cleared-prior-fatal-shooting/hgkAsj8SrX6PebSeDl8TVM/" TargetMode="External"/><Relationship Id="rId250" Type="http://schemas.openxmlformats.org/officeDocument/2006/relationships/hyperlink" Target="http://www.latimes.com/local/lanow/la-me-ln-lapd-lincoln-heights-shooting-20150422-story.html" TargetMode="External"/><Relationship Id="rId5087" Type="http://schemas.openxmlformats.org/officeDocument/2006/relationships/hyperlink" Target="http://www.live5news.com/story/38955213/sled-investigating-deputy-involved-shooting-in-spartanburg-county" TargetMode="External"/><Relationship Id="rId6138" Type="http://schemas.openxmlformats.org/officeDocument/2006/relationships/hyperlink" Target="http://www.startribune.com/police-id-officers-suspect-in-fatal-coon-rapids-shooting/508932942/" TargetMode="External"/><Relationship Id="rId5154" Type="http://schemas.openxmlformats.org/officeDocument/2006/relationships/hyperlink" Target="https://www.kentucky.com/news/local/crime/article218249045.html" TargetMode="External"/><Relationship Id="rId6552" Type="http://schemas.openxmlformats.org/officeDocument/2006/relationships/hyperlink" Target="https://fatalencounters.org/wp-content/uploads/2019/08/Adalberto-Wolmar-Rodriguez.jpg" TargetMode="External"/><Relationship Id="rId1697" Type="http://schemas.openxmlformats.org/officeDocument/2006/relationships/hyperlink" Target="http://boston.cbslocal.com/2016/05/10/taunton-police-silver-city-galleria-shooting/" TargetMode="External"/><Relationship Id="rId2748" Type="http://schemas.openxmlformats.org/officeDocument/2006/relationships/hyperlink" Target="http://www.chron.com/houston/article/Police-investigate-officer-involved-shooting-11096180.php" TargetMode="External"/><Relationship Id="rId6205" Type="http://schemas.openxmlformats.org/officeDocument/2006/relationships/hyperlink" Target="https://q13fox.com/2019/05/08/1-dead-in-officer-involved-shooting-in-lower-queen-anne/" TargetMode="External"/><Relationship Id="rId1764" Type="http://schemas.openxmlformats.org/officeDocument/2006/relationships/hyperlink" Target="http://www.kob.com/albuquerque-news/police-man-in-critical-condition-after-officer-involved-shooting/4153659/?cat=504" TargetMode="External"/><Relationship Id="rId2815" Type="http://schemas.openxmlformats.org/officeDocument/2006/relationships/hyperlink" Target="http://www.pressherald.com/2017/02/18/shooting-reported-at-portland-strip-mall/" TargetMode="External"/><Relationship Id="rId4170" Type="http://schemas.openxmlformats.org/officeDocument/2006/relationships/hyperlink" Target="http://www.fatalencounters.org/wp-content/uploads/2018/01/Nathaniel-T.-Nate-Edwards.jpg" TargetMode="External"/><Relationship Id="rId5221" Type="http://schemas.openxmlformats.org/officeDocument/2006/relationships/hyperlink" Target="https://www.fatalencounters.org/wp-content/uploads/2018/10/Coltin-Brennan-Leblanc.jpeg" TargetMode="External"/><Relationship Id="rId56" Type="http://schemas.openxmlformats.org/officeDocument/2006/relationships/hyperlink" Target="http://www.wyomingnews.com/articles/2015/07/16/breaking_news/01breaking_7-16-15.txt" TargetMode="External"/><Relationship Id="rId1417" Type="http://schemas.openxmlformats.org/officeDocument/2006/relationships/hyperlink" Target="http://www.khou.com/story/news/crime/2016/02/23/hpd-precinct-6-deputy-shoots-kills-suspect-bus-station/80806638/" TargetMode="External"/><Relationship Id="rId1831" Type="http://schemas.openxmlformats.org/officeDocument/2006/relationships/hyperlink" Target="http://www.oregonlive.com/clark-county/index.ssf/2016/06/vancouver_bank_robbery_suspect_2.html" TargetMode="External"/><Relationship Id="rId4987" Type="http://schemas.openxmlformats.org/officeDocument/2006/relationships/hyperlink" Target="https://www.fatalencounters.org/wp-content/uploads/2018/08/david_hall.jpg" TargetMode="External"/><Relationship Id="rId3589" Type="http://schemas.openxmlformats.org/officeDocument/2006/relationships/hyperlink" Target="http://englewoodherald.net/stories/Suspect-shot-by-police-in-Englewood-standoff,243773" TargetMode="External"/><Relationship Id="rId7046" Type="http://schemas.openxmlformats.org/officeDocument/2006/relationships/hyperlink" Target="https://fatalencounters.org/wp-content/uploads/2019/12/DeCastro-Michael.jpg" TargetMode="External"/><Relationship Id="rId6062" Type="http://schemas.openxmlformats.org/officeDocument/2006/relationships/hyperlink" Target="https://fatalencounters.org/wp-content/uploads/2020/01/Donnell-James-Lang.jpg" TargetMode="External"/><Relationship Id="rId7113" Type="http://schemas.openxmlformats.org/officeDocument/2006/relationships/hyperlink" Target="https://www.dallasnews.com/news/collin-county/2018/10/10/suspect-dead-after-police-chase-ends-crash-state-highway-78-farmersville" TargetMode="External"/><Relationship Id="rId577" Type="http://schemas.openxmlformats.org/officeDocument/2006/relationships/hyperlink" Target="http://www.trbimg.com/img-50e7a90e/turbine/peter-jourdan-of-allentown.jpg-20130104/600" TargetMode="External"/><Relationship Id="rId2258" Type="http://schemas.openxmlformats.org/officeDocument/2006/relationships/hyperlink" Target="http://www.nbcbayarea.com/news/local/Police-Officer-Shoots-Stabbing-Suspect-in-Concord-396722711.html" TargetMode="External"/><Relationship Id="rId3656" Type="http://schemas.openxmlformats.org/officeDocument/2006/relationships/hyperlink" Target="http://www.fatalencounters.org/wp-content/uploads/2013/10/MichaelSword.jpg" TargetMode="External"/><Relationship Id="rId4707" Type="http://schemas.openxmlformats.org/officeDocument/2006/relationships/hyperlink" Target="http://www.star-telegram.com/news/politics-government/national-politics/article212465219.html" TargetMode="External"/><Relationship Id="rId991" Type="http://schemas.openxmlformats.org/officeDocument/2006/relationships/hyperlink" Target="http://www.post-gazette.com/local/city/2015/06/22/Shooting-incident-blocks-traffic-on-Route-51-near-Bausman-pittsburgh/stories/201506220143" TargetMode="External"/><Relationship Id="rId2672" Type="http://schemas.openxmlformats.org/officeDocument/2006/relationships/hyperlink" Target="http://www.whio.com/news/breaking-news/cincinnati-man-suspect-hamilton-homicide-shot-and-killed-trooper-vandalia/PhXay1FI9rxD3gtm71b0CN/" TargetMode="External"/><Relationship Id="rId3309" Type="http://schemas.openxmlformats.org/officeDocument/2006/relationships/hyperlink" Target="http://www.fatalencounters.org/wp-content/uploads/2013/10/Lankford.jpg" TargetMode="External"/><Relationship Id="rId3723" Type="http://schemas.openxmlformats.org/officeDocument/2006/relationships/hyperlink" Target="http://www.wsoctv.com/news/local/shots-fired-at-officers-during-police-chase-across-state-lines-troopers-say/626928167" TargetMode="External"/><Relationship Id="rId6879" Type="http://schemas.openxmlformats.org/officeDocument/2006/relationships/hyperlink" Target="https://fatalencounters.org/wp-content/uploads/2019/10/Akinyia-Malik-Jerome-Gray.jpg" TargetMode="External"/><Relationship Id="rId644" Type="http://schemas.openxmlformats.org/officeDocument/2006/relationships/hyperlink" Target="http://www.killedbypolice.net/victims/151031.jpg" TargetMode="External"/><Relationship Id="rId1274" Type="http://schemas.openxmlformats.org/officeDocument/2006/relationships/hyperlink" Target="http://www.fatalencounters.org/wp-content/uploads/2013/10/Edgar-Camacho-Alvarado.jpg" TargetMode="External"/><Relationship Id="rId2325" Type="http://schemas.openxmlformats.org/officeDocument/2006/relationships/hyperlink" Target="http://www.wmur.com/article/officer-involved-shooting-in-bostons-south-end/8032928" TargetMode="External"/><Relationship Id="rId5895" Type="http://schemas.openxmlformats.org/officeDocument/2006/relationships/hyperlink" Target="https://www.denverpost.com/2019/02/23/weld-county-police-death/" TargetMode="External"/><Relationship Id="rId6946" Type="http://schemas.openxmlformats.org/officeDocument/2006/relationships/hyperlink" Target="https://fatalencounters.org/wp-content/uploads/2019/11/billyK.jpg" TargetMode="External"/><Relationship Id="rId711" Type="http://schemas.openxmlformats.org/officeDocument/2006/relationships/hyperlink" Target="http://www.oregonlive.com/portland/index.ssf/2015/11/police_activity_closes_streets.html" TargetMode="External"/><Relationship Id="rId1341" Type="http://schemas.openxmlformats.org/officeDocument/2006/relationships/hyperlink" Target="http://nbc26.tv/2016/01/22/richmond-county-investigating-officer-involved-shooting-on-horseshoe-road/" TargetMode="External"/><Relationship Id="rId4497" Type="http://schemas.openxmlformats.org/officeDocument/2006/relationships/hyperlink" Target="http://www.good4utah.com/news/top-stories/update-one-dead-in-west-valley-officer-involved-shooting/1107681351" TargetMode="External"/><Relationship Id="rId5548" Type="http://schemas.openxmlformats.org/officeDocument/2006/relationships/hyperlink" Target="https://www.wfla.com/news/local-news/citrus-county/deadly-love-triangle-man-drives-to-citrus-county-to-kill-ex-wife-s-new-lover/1659702929" TargetMode="External"/><Relationship Id="rId5962" Type="http://schemas.openxmlformats.org/officeDocument/2006/relationships/hyperlink" Target="https://www.yourbasin.com/news/neighbor-reactions-to-officer-involved-shooting/1838208276" TargetMode="External"/><Relationship Id="rId3099" Type="http://schemas.openxmlformats.org/officeDocument/2006/relationships/hyperlink" Target="http://www.news9.com/story/34460423/investigation-underway-after-officer-involved-shooting-in-anadarko" TargetMode="External"/><Relationship Id="rId4564" Type="http://schemas.openxmlformats.org/officeDocument/2006/relationships/hyperlink" Target="http://www.pjstar.com/news/20180420/tazewell-co-deputy-shoots-kills-gun-wielding-man-at-rural-mackinaw-home" TargetMode="External"/><Relationship Id="rId5615" Type="http://schemas.openxmlformats.org/officeDocument/2006/relationships/hyperlink" Target="https://www.wifr.com/content/news/Suspect-killed-in-police-stand-off-officer-injured-503699181.html" TargetMode="External"/><Relationship Id="rId3166" Type="http://schemas.openxmlformats.org/officeDocument/2006/relationships/hyperlink" Target="http://whnt.com/2017/07/07/heavy-police-presence-at-governors-drive-and-i-565/" TargetMode="External"/><Relationship Id="rId3580" Type="http://schemas.openxmlformats.org/officeDocument/2006/relationships/hyperlink" Target="http://abc7.com/news/man-shot-killed-by-huntington-beach-police-at-sports-complex/1793857/" TargetMode="External"/><Relationship Id="rId4217" Type="http://schemas.openxmlformats.org/officeDocument/2006/relationships/hyperlink" Target="http://www.fatalencounters.org/wp-content/uploads/2018/02/alex-duran.jpg" TargetMode="External"/><Relationship Id="rId2182" Type="http://schemas.openxmlformats.org/officeDocument/2006/relationships/hyperlink" Target="http://www.tdtnews.com/news/article_ab4535e8-7232-11e6-886a-af4ab86e838b.html" TargetMode="External"/><Relationship Id="rId3233" Type="http://schemas.openxmlformats.org/officeDocument/2006/relationships/hyperlink" Target="http://www.pe.com/articles/riverside-827068-area-sheriff.html" TargetMode="External"/><Relationship Id="rId4631" Type="http://schemas.openxmlformats.org/officeDocument/2006/relationships/hyperlink" Target="http://www.fatalencounters.org/wp-content/uploads/2018/05/john-r-simson.jpg" TargetMode="External"/><Relationship Id="rId6389" Type="http://schemas.openxmlformats.org/officeDocument/2006/relationships/hyperlink" Target="https://dfw.cbslocal.com/2019/06/17/active-shooter-shots-fired-federal-building-dallas/" TargetMode="External"/><Relationship Id="rId154" Type="http://schemas.openxmlformats.org/officeDocument/2006/relationships/hyperlink" Target="http://www.killedbypolice.net/victims/150489.jpg" TargetMode="External"/><Relationship Id="rId2999" Type="http://schemas.openxmlformats.org/officeDocument/2006/relationships/hyperlink" Target="http://www.goshennews.com/news/police_news/police-on-the-scene-of-alleged-shooting-at-double-d/article_1cb122f8-1a0a-11e7-a044-bf96a250b7b7.html" TargetMode="External"/><Relationship Id="rId3300" Type="http://schemas.openxmlformats.org/officeDocument/2006/relationships/hyperlink" Target="http://www.fatalencounters.org/wp-content/uploads/2013/10/RobertBracewell.jpg" TargetMode="External"/><Relationship Id="rId6456" Type="http://schemas.openxmlformats.org/officeDocument/2006/relationships/hyperlink" Target="https://www.11alive.com/article/news/local/gbi-suspect-fatally-shot-after-attacking-roswell-police-officer-with-blunt-object/85-01213557-9a57-46bf-b2c3-6d03f4084e29" TargetMode="External"/><Relationship Id="rId6870" Type="http://schemas.openxmlformats.org/officeDocument/2006/relationships/hyperlink" Target="https://www.kiiitv.com/article/news/local/man-shot-killed-by-ccpd-officers-on-brentwood-drive-identified/503-73ce29f8-dee0-4609-9aba-bd162392f6fe" TargetMode="External"/><Relationship Id="rId221" Type="http://schemas.openxmlformats.org/officeDocument/2006/relationships/hyperlink" Target="http://krqe.com/2015/05/03/suspect-from-deputy-involved-shooting-dies/" TargetMode="External"/><Relationship Id="rId5058" Type="http://schemas.openxmlformats.org/officeDocument/2006/relationships/hyperlink" Target="https://www.fatalencounters.org/wp-content/uploads/2018/08/OscarGurrola.jpg" TargetMode="External"/><Relationship Id="rId5472" Type="http://schemas.openxmlformats.org/officeDocument/2006/relationships/hyperlink" Target="https://katu.com/news/local/deputies-identify-suspected-pickup-thief-killed-in-vancouver-officer-involved-shooting" TargetMode="External"/><Relationship Id="rId6109" Type="http://schemas.openxmlformats.org/officeDocument/2006/relationships/hyperlink" Target="https://www.azcentral.com/story/news/local/southwest-valley-breaking/2019/04/13/deputies-fatally-shoot-man-who-threw-large-wrench-approached-hammer-buckeye-juan-torres/3458605002/" TargetMode="External"/><Relationship Id="rId6523" Type="http://schemas.openxmlformats.org/officeDocument/2006/relationships/hyperlink" Target="https://fatalencounters.org/wp-content/uploads/2019/07/Markeyvion-Devonte-Cannon.jpg" TargetMode="External"/><Relationship Id="rId1668" Type="http://schemas.openxmlformats.org/officeDocument/2006/relationships/hyperlink" Target="http://www.wyff4.com/news/dispatch-crews-on-scene-of-reported-shooting-in-greenville-county/39346400" TargetMode="External"/><Relationship Id="rId2719" Type="http://schemas.openxmlformats.org/officeDocument/2006/relationships/hyperlink" Target="http://www.abc17news.com/news/highway-patrol-confirms-fatal-officer-involved-shooting-in-columbia-suspect-identified/498416615" TargetMode="External"/><Relationship Id="rId4074" Type="http://schemas.openxmlformats.org/officeDocument/2006/relationships/hyperlink" Target="http://www.ydr.com/story/news/2018/01/06/coroner-called-shooting-stillmeadow-church-nazarene/1009904001/" TargetMode="External"/><Relationship Id="rId5125" Type="http://schemas.openxmlformats.org/officeDocument/2006/relationships/hyperlink" Target="https://www.fatalencounters.org/wp-content/uploads/2018/09/Steve_Anderson.jpg" TargetMode="External"/><Relationship Id="rId3090" Type="http://schemas.openxmlformats.org/officeDocument/2006/relationships/hyperlink" Target="http://www.fatalencounters.org/wp-content/uploads/2013/10/Zachary-N.-Bearheels.jpg" TargetMode="External"/><Relationship Id="rId4141" Type="http://schemas.openxmlformats.org/officeDocument/2006/relationships/hyperlink" Target="http://komonews.com/news/local/snohomish-county-deputy-involved-in-shooting-near-everett" TargetMode="External"/><Relationship Id="rId1735" Type="http://schemas.openxmlformats.org/officeDocument/2006/relationships/hyperlink" Target="http://www.fatalencounters.org/wp-content/uploads/2013/10/Beebee.png" TargetMode="External"/><Relationship Id="rId27" Type="http://schemas.openxmlformats.org/officeDocument/2006/relationships/hyperlink" Target="http://www.houmatoday.com/article/20150728/ARTICLES/150729727/1319?p=1&amp;tc=pg" TargetMode="External"/><Relationship Id="rId1802" Type="http://schemas.openxmlformats.org/officeDocument/2006/relationships/hyperlink" Target="http://www.wsbtv.com/news/local/henry-county/man-shot-by-police-responding-to-wrong-location-has-died/333736593" TargetMode="External"/><Relationship Id="rId4958" Type="http://schemas.openxmlformats.org/officeDocument/2006/relationships/hyperlink" Target="https://www.fatalencounters.org/wp-content/uploads/2018/07/Michael-Heatherly.jpg" TargetMode="External"/><Relationship Id="rId7017" Type="http://schemas.openxmlformats.org/officeDocument/2006/relationships/hyperlink" Target="https://fatalencounters.org/wp-content/uploads/2019/12/DustinSpencer.jpg" TargetMode="External"/><Relationship Id="rId3974" Type="http://schemas.openxmlformats.org/officeDocument/2006/relationships/hyperlink" Target="https://www.seattletimes.com/seattle-news/crime/2-police-officers-shot-suspect-killed-in-bremerton/" TargetMode="External"/><Relationship Id="rId6380" Type="http://schemas.openxmlformats.org/officeDocument/2006/relationships/hyperlink" Target="https://fatalencounters.org/wp-content/uploads/2019/06/Carlos-Vale.png" TargetMode="External"/><Relationship Id="rId895" Type="http://schemas.openxmlformats.org/officeDocument/2006/relationships/hyperlink" Target="http://www.nbclosangeles.com/news/local/Ontario-Police-Shooting-324830551.html" TargetMode="External"/><Relationship Id="rId2576" Type="http://schemas.openxmlformats.org/officeDocument/2006/relationships/hyperlink" Target="http://www.fatalencounters.org/wp-content/uploads/2013/10/Matthew-Blake-Richardson.png" TargetMode="External"/><Relationship Id="rId2990" Type="http://schemas.openxmlformats.org/officeDocument/2006/relationships/hyperlink" Target="http://kxan.com/2017/05/02/officer-involved-shooting-happening-in-northeast-austin/" TargetMode="External"/><Relationship Id="rId3627" Type="http://schemas.openxmlformats.org/officeDocument/2006/relationships/hyperlink" Target="http://www.wbir.com/news/local/knox-co-officials-responding-to-shooting-at-turkey-creek/408098412" TargetMode="External"/><Relationship Id="rId6033" Type="http://schemas.openxmlformats.org/officeDocument/2006/relationships/hyperlink" Target="https://www.fatalencounters.org/wp-content/uploads/2019/04/Daviri-Robertson.jpg" TargetMode="External"/><Relationship Id="rId548" Type="http://schemas.openxmlformats.org/officeDocument/2006/relationships/hyperlink" Target="http://www.theindychannel.com/news/local-news/impd-suspect-dies-while-being-arrested" TargetMode="External"/><Relationship Id="rId962" Type="http://schemas.openxmlformats.org/officeDocument/2006/relationships/hyperlink" Target="http://www.ksla.com/story/29634844/spd-officers-involved-in-shooting-while-responding-to-hostage-situation" TargetMode="External"/><Relationship Id="rId1178" Type="http://schemas.openxmlformats.org/officeDocument/2006/relationships/hyperlink" Target="http://www.reviewjournal.com/news/las-vegas/man-dies-after-metro-involved-shooting-north-las-vegas" TargetMode="External"/><Relationship Id="rId1592" Type="http://schemas.openxmlformats.org/officeDocument/2006/relationships/hyperlink" Target="http://wnct.com/2016/03/28/trooper-fatally-shoots-armed-person-in-kinston/" TargetMode="External"/><Relationship Id="rId2229" Type="http://schemas.openxmlformats.org/officeDocument/2006/relationships/hyperlink" Target="http://www.dailycamera.com/news/boulder/ci_30437066" TargetMode="External"/><Relationship Id="rId2643" Type="http://schemas.openxmlformats.org/officeDocument/2006/relationships/hyperlink" Target="http://www.nbcsandiego.com/news/local/Deputy-Involved-Shooting-San-Diego-Second-Avenue--438544133.html" TargetMode="External"/><Relationship Id="rId5799" Type="http://schemas.openxmlformats.org/officeDocument/2006/relationships/hyperlink" Target="https://www.abc15.com/news/region-phoenix-metro/north-phoenix/no-officers-injured-in-phoenix-officer-involved-shooting-wednesday" TargetMode="External"/><Relationship Id="rId6100" Type="http://schemas.openxmlformats.org/officeDocument/2006/relationships/hyperlink" Target="https://www.eastbaytimes.com/2019/04/12/he-threatened-my-life-while-holding-knives-in-both-hands-man-killed-by-east-bay-cops-had-history-of-abuse/" TargetMode="External"/><Relationship Id="rId615" Type="http://schemas.openxmlformats.org/officeDocument/2006/relationships/hyperlink" Target="http://www.killedbypolice.net/victims/150923.jpg" TargetMode="External"/><Relationship Id="rId1245" Type="http://schemas.openxmlformats.org/officeDocument/2006/relationships/hyperlink" Target="http://www.fatalencounters.org/wp-content/uploads/2013/10/VasiliosKatsouras.png" TargetMode="External"/><Relationship Id="rId1312" Type="http://schemas.openxmlformats.org/officeDocument/2006/relationships/hyperlink" Target="http://www.denverpost.com/news/ci_29371161/denver-police-investigating-possible-officer-involved-shooting-monday" TargetMode="External"/><Relationship Id="rId2710" Type="http://schemas.openxmlformats.org/officeDocument/2006/relationships/hyperlink" Target="http://www.fatalencounters.org/wp-content/uploads/2013/10/DeRicco-Holden.jpg" TargetMode="External"/><Relationship Id="rId4468" Type="http://schemas.openxmlformats.org/officeDocument/2006/relationships/hyperlink" Target="http://www.pressdemocrat.com/home/8191540-181/man-shot-by-petaluma-police?sba=AAS" TargetMode="External"/><Relationship Id="rId5866" Type="http://schemas.openxmlformats.org/officeDocument/2006/relationships/hyperlink" Target="https://chicago.suntimes.com/crime/aurora-shooting-victims-identified-gary-martin/" TargetMode="External"/><Relationship Id="rId6917" Type="http://schemas.openxmlformats.org/officeDocument/2006/relationships/hyperlink" Target="https://fatalencounters.org/wp-content/uploads/2019/10/Victor-hernandez.jpg" TargetMode="External"/><Relationship Id="rId4882" Type="http://schemas.openxmlformats.org/officeDocument/2006/relationships/hyperlink" Target="http://www.tucsonnewsnow.com/story/38595239/one-dead-in-officer-involved-shooting-in-tucson-north-understory-lane-craig-yelton" TargetMode="External"/><Relationship Id="rId5519" Type="http://schemas.openxmlformats.org/officeDocument/2006/relationships/hyperlink" Target="https://www.fatalencounters.org/wp-content/uploads/2018/12/ShaneWentling1.jpg" TargetMode="External"/><Relationship Id="rId5933" Type="http://schemas.openxmlformats.org/officeDocument/2006/relationships/hyperlink" Target="https://www.fatalencounters.org/wp-content/uploads/2019/03/Daniel-Moncada-27.jpg" TargetMode="External"/><Relationship Id="rId2086" Type="http://schemas.openxmlformats.org/officeDocument/2006/relationships/hyperlink" Target="http://www.wftv.com/news/local/deputies-seminole-deputy-fatally-shoots-girlfriend-self-behind-gas-station/422336899" TargetMode="External"/><Relationship Id="rId3484" Type="http://schemas.openxmlformats.org/officeDocument/2006/relationships/hyperlink" Target="http://wfla.com/2017/05/06/police-man-dead-after-officer-involved-shooting-in-tarpon-springs/" TargetMode="External"/><Relationship Id="rId4535" Type="http://schemas.openxmlformats.org/officeDocument/2006/relationships/hyperlink" Target="http://www.fatalencounters.org/wp-content/uploads/2018/04/Kenneth-Warren-Resendez.jpg" TargetMode="External"/><Relationship Id="rId3137" Type="http://schemas.openxmlformats.org/officeDocument/2006/relationships/hyperlink" Target="http://nbc4i.com/2017/08/05/person-dead-officer-injured-in-perry-county-shooting/" TargetMode="External"/><Relationship Id="rId3551" Type="http://schemas.openxmlformats.org/officeDocument/2006/relationships/hyperlink" Target="http://www.redding.com/story/news/local/2017/03/25/chp-officer-injured-shooting--5-cottonwood/99620702/" TargetMode="External"/><Relationship Id="rId4602" Type="http://schemas.openxmlformats.org/officeDocument/2006/relationships/hyperlink" Target="http://fox4kc.com/2018/05/04/man-that-kck-officers-shot-killed-once-won-settlement-against-kcmo-police-for-excessive-force/" TargetMode="External"/><Relationship Id="rId472" Type="http://schemas.openxmlformats.org/officeDocument/2006/relationships/hyperlink" Target="http://www.palmbeachpost.com/news/news/pbso-investigating-officer-involved-shooting-in-su/nfTT5/" TargetMode="External"/><Relationship Id="rId2153" Type="http://schemas.openxmlformats.org/officeDocument/2006/relationships/hyperlink" Target="http://www.twincities.com/2016/08/29/investigation-continues-into-officer-involved-shooting-in-eagan-that-left-a-single-father-dead/" TargetMode="External"/><Relationship Id="rId3204" Type="http://schemas.openxmlformats.org/officeDocument/2006/relationships/hyperlink" Target="http://www.santafenewmexican.com/news/local_news/sfpd-officer-fatally-shoots-suspect-near-eldorado/article_2a1a14a4-2dc9-11e7-98fd-8337e0162115.html" TargetMode="External"/><Relationship Id="rId6774" Type="http://schemas.openxmlformats.org/officeDocument/2006/relationships/hyperlink" Target="https://fatalencounters.org/wp-content/uploads/2019/09/BrianRodden.jpg" TargetMode="External"/><Relationship Id="rId125" Type="http://schemas.openxmlformats.org/officeDocument/2006/relationships/hyperlink" Target="http://www.wftv.com/news/news/local/trooper-teens-idd-brevard-county-shooting/nmdGr/" TargetMode="External"/><Relationship Id="rId2220" Type="http://schemas.openxmlformats.org/officeDocument/2006/relationships/hyperlink" Target="http://www.fatalencounters.org/wp-content/uploads/2013/10/Thomas-Wayne-Binkley.jpg" TargetMode="External"/><Relationship Id="rId5376" Type="http://schemas.openxmlformats.org/officeDocument/2006/relationships/hyperlink" Target="https://www.clickorlando.com/news/authorities-respond-to-barricaded-person-in-kissimmee" TargetMode="External"/><Relationship Id="rId5790" Type="http://schemas.openxmlformats.org/officeDocument/2006/relationships/hyperlink" Target="https://www.syracuse.com/crime/2019/01/man-shot-by-nys-trooper-had-military-style-rifle-police-say.html" TargetMode="External"/><Relationship Id="rId6427" Type="http://schemas.openxmlformats.org/officeDocument/2006/relationships/hyperlink" Target="https://fatalencounters.org/wp-content/uploads/2019/07/Darren-Williams.jpg" TargetMode="External"/><Relationship Id="rId4392" Type="http://schemas.openxmlformats.org/officeDocument/2006/relationships/hyperlink" Target="https://www.greenvilleonline.com/story/news/crime/2018/03/19/officer-involved-shooting-reported-near-poe-mill/440226002/" TargetMode="External"/><Relationship Id="rId5029" Type="http://schemas.openxmlformats.org/officeDocument/2006/relationships/hyperlink" Target="https://azdailysun.com/news/state-and-regional/man-fatally-shot-by-us-task-force-id-d-as/article_b4b355bb-6896-5960-9e57-81161cbfc38a.html" TargetMode="External"/><Relationship Id="rId5443" Type="http://schemas.openxmlformats.org/officeDocument/2006/relationships/hyperlink" Target="https://www.al.com/expo/news/erry-2018/11/61e9ae7871585/riverchase-galleria-shooting-w.html" TargetMode="External"/><Relationship Id="rId6841" Type="http://schemas.openxmlformats.org/officeDocument/2006/relationships/hyperlink" Target="https://www.wfaa.com/article/news/local/denton-county/a-man-is-dead-after-an-officer-involved-shooting-in-carrollton-police-say/287-c46a7602-633e-4961-996b-3c466707d918" TargetMode="External"/><Relationship Id="rId1986" Type="http://schemas.openxmlformats.org/officeDocument/2006/relationships/hyperlink" Target="http://www.fatalencounters.org/wp-content/uploads/2013/10/James-T.-Stuart.jpg" TargetMode="External"/><Relationship Id="rId4045" Type="http://schemas.openxmlformats.org/officeDocument/2006/relationships/hyperlink" Target="http://www.thv11.com/news/crime/three-dead-in-white-county-shooting-authorities-investigating/504008189" TargetMode="External"/><Relationship Id="rId1639" Type="http://schemas.openxmlformats.org/officeDocument/2006/relationships/hyperlink" Target="http://wate.com/2016/03/13/deadly-officer-involved-shooting-in-lenoir-city/" TargetMode="External"/><Relationship Id="rId3061" Type="http://schemas.openxmlformats.org/officeDocument/2006/relationships/hyperlink" Target="http://www.keyt.com/news/one-dead-in-atascadero-deputy-involved-shooting-on-highway-101/289928008" TargetMode="External"/><Relationship Id="rId5510" Type="http://schemas.openxmlformats.org/officeDocument/2006/relationships/hyperlink" Target="https://www.fatalencounters.org/wp-content/uploads/2018/12/James-Robertson.png" TargetMode="External"/><Relationship Id="rId1706" Type="http://schemas.openxmlformats.org/officeDocument/2006/relationships/hyperlink" Target="http://nj1015.com/mom-off-duty-newark-cop-was-drunk-when-he-shot-and-killed-my-son/" TargetMode="External"/><Relationship Id="rId4112" Type="http://schemas.openxmlformats.org/officeDocument/2006/relationships/hyperlink" Target="http://kval.com/news/local/officer-involved-shooting-near-river-road-leaves-one-man-dead" TargetMode="External"/><Relationship Id="rId3878" Type="http://schemas.openxmlformats.org/officeDocument/2006/relationships/hyperlink" Target="http://www.wlox.com/story/36893000/new-details-on-officer-involved-shooting-in-harrison-co" TargetMode="External"/><Relationship Id="rId4929" Type="http://schemas.openxmlformats.org/officeDocument/2006/relationships/hyperlink" Target="https://www.khou.com/article/news/local/sheriff-robbery-suspect-killed-3-others-arrested-after-shootout-with-deputies-in-nw-harris-county/285-575998346" TargetMode="External"/><Relationship Id="rId6284" Type="http://schemas.openxmlformats.org/officeDocument/2006/relationships/hyperlink" Target="https://www.nbcchicago.com/news/local/Man-Critically-Hurt-in-Exchange-of-Gunfire-with-Cops-in-South-Chicago-Police-Say-510526251.html" TargetMode="External"/><Relationship Id="rId799" Type="http://schemas.openxmlformats.org/officeDocument/2006/relationships/hyperlink" Target="https://spokane-news.com/2015/08/26/sirr-team-update-stevens-county-deputys-officer-involved-shooting-in-hunters-wa/" TargetMode="External"/><Relationship Id="rId2894" Type="http://schemas.openxmlformats.org/officeDocument/2006/relationships/hyperlink" Target="http://www.fatalencounters.org/wp-content/uploads/2013/10/ReubenGallindo.jpg" TargetMode="External"/><Relationship Id="rId6351" Type="http://schemas.openxmlformats.org/officeDocument/2006/relationships/hyperlink" Target="https://www.eastbaytimes.com/2019/06/11/san-leandro-police-investigate-officer-involved-shooting/" TargetMode="External"/><Relationship Id="rId866" Type="http://schemas.openxmlformats.org/officeDocument/2006/relationships/hyperlink" Target="http://www.newsnet5.com/news/local-news/oh-cuyahoga/3-people-shot-in-twinsburg-kent-state-regional-academic-center-in-lockdown-officials-confirm" TargetMode="External"/><Relationship Id="rId1496" Type="http://schemas.openxmlformats.org/officeDocument/2006/relationships/hyperlink" Target="http://www.nbclosangeles.com/news/local/Inglewood-Officer-Involved-Shooting--369574341.html" TargetMode="External"/><Relationship Id="rId2547" Type="http://schemas.openxmlformats.org/officeDocument/2006/relationships/hyperlink" Target="http://www.pbcommercial.com/article/20140204/NEWS/302049872" TargetMode="External"/><Relationship Id="rId3945" Type="http://schemas.openxmlformats.org/officeDocument/2006/relationships/hyperlink" Target="http://www.fatalencounters.org/wp-content/uploads/2013/10/Vernchoy-Saechao.jpg" TargetMode="External"/><Relationship Id="rId6004" Type="http://schemas.openxmlformats.org/officeDocument/2006/relationships/hyperlink" Target="https://fatalencounters.org/wp-content/uploads/2019/09/James-Hunn.png" TargetMode="External"/><Relationship Id="rId519" Type="http://schemas.openxmlformats.org/officeDocument/2006/relationships/hyperlink" Target="http://blog.al.com/montgomery/2013/12/phenix_city_police_fatally_sho.html" TargetMode="External"/><Relationship Id="rId1149" Type="http://schemas.openxmlformats.org/officeDocument/2006/relationships/hyperlink" Target="http://i.dailymail.co.uk/i/pix/2015/08/20/08/2B838CE700000578-3203849-image-a-8_1440056342444.jpg" TargetMode="External"/><Relationship Id="rId2961" Type="http://schemas.openxmlformats.org/officeDocument/2006/relationships/hyperlink" Target="http://www.brownsvilleherald.com/news/local/article_8c423916-4c7a-11e7-a022-87a61d650af2.html" TargetMode="External"/><Relationship Id="rId5020" Type="http://schemas.openxmlformats.org/officeDocument/2006/relationships/hyperlink" Target="http://www.fox5vegas.com/story/38822766/suspect-killed-in-3rd-las-vegas-officer-involved-shooting-in-3-days" TargetMode="External"/><Relationship Id="rId933" Type="http://schemas.openxmlformats.org/officeDocument/2006/relationships/hyperlink" Target="http://www.nbcsandiego.com/news/local/Customs-Border-Protection-CBP-Officer-Shoots-Kills-Man-at-Calexico-Port-of-Entry-335010591.html" TargetMode="External"/><Relationship Id="rId1563" Type="http://schemas.openxmlformats.org/officeDocument/2006/relationships/hyperlink" Target="http://www.latimes.com/local/lanow/la-me-ln-boyle-heights-shooting-20160411-story.html" TargetMode="External"/><Relationship Id="rId2614" Type="http://schemas.openxmlformats.org/officeDocument/2006/relationships/hyperlink" Target="http://wishtv.com/2017/08/29/officials-investigating-officer-involved-shooting-in-evansville/" TargetMode="External"/><Relationship Id="rId7192" Type="http://schemas.openxmlformats.org/officeDocument/2006/relationships/hyperlink" Target="http://verdenews.com/main.asp?SectionID=1&amp;SubSectionID=1&amp;ArticleID=68278" TargetMode="External"/><Relationship Id="rId1216" Type="http://schemas.openxmlformats.org/officeDocument/2006/relationships/hyperlink" Target="http://www.sacbee.com/news/local/crime/article41204820.html" TargetMode="External"/><Relationship Id="rId1630" Type="http://schemas.openxmlformats.org/officeDocument/2006/relationships/hyperlink" Target="http://www.startribune.com/five-officers-named-in-shooting-at-burnsville-mcdonald-s/372581691/" TargetMode="External"/><Relationship Id="rId4786" Type="http://schemas.openxmlformats.org/officeDocument/2006/relationships/hyperlink" Target="http://mountvernon.dailyvoice.com/police-fire/man-wielding-knife-killed-in-police-involved-shooting-in-hudson-valley/738676/" TargetMode="External"/><Relationship Id="rId5837" Type="http://schemas.openxmlformats.org/officeDocument/2006/relationships/hyperlink" Target="https://www.fatalencounters.org/wp-content/uploads/2019/02/Carter.jpg" TargetMode="External"/><Relationship Id="rId3388" Type="http://schemas.openxmlformats.org/officeDocument/2006/relationships/hyperlink" Target="http://www.abc15.com/news/region-phoenix-metro/north-phoenix/police-working-officer-involved-shooting-in-north-phoenix-residences-being-evacuated" TargetMode="External"/><Relationship Id="rId4439" Type="http://schemas.openxmlformats.org/officeDocument/2006/relationships/hyperlink" Target="http://www.fatalencounters.org/wp-content/uploads/2018/04/Dishon-McBride.jpg" TargetMode="External"/><Relationship Id="rId4853" Type="http://schemas.openxmlformats.org/officeDocument/2006/relationships/hyperlink" Target="http://abc7.com/1-dead-in-santa-ana-officer-involved-shooting/3690595/" TargetMode="External"/><Relationship Id="rId5904" Type="http://schemas.openxmlformats.org/officeDocument/2006/relationships/hyperlink" Target="https://www.wsav.com/investigates/crime-safety/breaking-news-1-female-dead-in-officer-involved-shooting-in-mcintosh-county/1811761846" TargetMode="External"/><Relationship Id="rId3455" Type="http://schemas.openxmlformats.org/officeDocument/2006/relationships/hyperlink" Target="http://www.idahostatesman.com/news/local/article152085382.html" TargetMode="External"/><Relationship Id="rId4506" Type="http://schemas.openxmlformats.org/officeDocument/2006/relationships/hyperlink" Target="http://billingsgazette.com/news/crime/police-officer-shoots-man-in-downtown-billings-apartment-building/article_15155c6a-0011-518e-968e-04781e72af18.html?utm_campaign=Echobox&amp;utm_medium=Social&amp;utm_source=Facebook" TargetMode="External"/><Relationship Id="rId376" Type="http://schemas.openxmlformats.org/officeDocument/2006/relationships/hyperlink" Target="http://www.nydailynews.com/new-york/nyc-crime/police-shoots-kills-man-ax-queens-article-1.1984914" TargetMode="External"/><Relationship Id="rId790" Type="http://schemas.openxmlformats.org/officeDocument/2006/relationships/hyperlink" Target="http://www.kob.com/article/stories/s3879034.shtml" TargetMode="External"/><Relationship Id="rId2057" Type="http://schemas.openxmlformats.org/officeDocument/2006/relationships/hyperlink" Target="http://www.fatalencounters.org/wp-content/uploads/2013/10/Jamarion-Rashad-Robinson.jpg" TargetMode="External"/><Relationship Id="rId2471" Type="http://schemas.openxmlformats.org/officeDocument/2006/relationships/hyperlink" Target="http://www.arkansasonline.com/news/2016/dec/02/police-suspect-shot-after-attempted-bank-robbery/?f=crime" TargetMode="External"/><Relationship Id="rId3108" Type="http://schemas.openxmlformats.org/officeDocument/2006/relationships/hyperlink" Target="http://www.fatalencounters.org/wp-content/uploads/2013/10/Pekelo-Sanchez.png" TargetMode="External"/><Relationship Id="rId3522" Type="http://schemas.openxmlformats.org/officeDocument/2006/relationships/hyperlink" Target="http://www.weau.com/content/news/Eau-Claire-Police-on-scene-of-death-investigation-418726703.html" TargetMode="External"/><Relationship Id="rId4920" Type="http://schemas.openxmlformats.org/officeDocument/2006/relationships/hyperlink" Target="https://www.fatalencounters.org/wp-content/uploads/2018/07/MickeyCoy.jpg" TargetMode="External"/><Relationship Id="rId6678" Type="http://schemas.openxmlformats.org/officeDocument/2006/relationships/hyperlink" Target="https://www.ktva.com/story/40965123/shots-fired-near-strawberry-road-and-wildberry-loop-police-say" TargetMode="External"/><Relationship Id="rId443" Type="http://schemas.openxmlformats.org/officeDocument/2006/relationships/hyperlink" Target="http://www.wyff4.com/news/dispatchers-deputyinvolved-shooting-under-investigation-at-gas-station/26282954" TargetMode="External"/><Relationship Id="rId1073" Type="http://schemas.openxmlformats.org/officeDocument/2006/relationships/hyperlink" Target="http://www.greenfieldreporter.com/view/story/f769fa01fc134dab9ebc78994015adf8/AR--Fatal-Pharmacy-Robbery" TargetMode="External"/><Relationship Id="rId2124" Type="http://schemas.openxmlformats.org/officeDocument/2006/relationships/hyperlink" Target="http://www.eastridgenewsonline.com/hcsd-investigating-erpd-officer-involved-shooting/" TargetMode="External"/><Relationship Id="rId1140" Type="http://schemas.openxmlformats.org/officeDocument/2006/relationships/hyperlink" Target="http://extras.mnginteractive.com/live/media/site568/2015/0807/20150807__ois~1.JPG" TargetMode="External"/><Relationship Id="rId4296" Type="http://schemas.openxmlformats.org/officeDocument/2006/relationships/hyperlink" Target="https://www.abc15.com/news/region-southeast-valley/gilbert/gilbert-pd-investigation-underway-after-officers-shoot-suspect" TargetMode="External"/><Relationship Id="rId5694" Type="http://schemas.openxmlformats.org/officeDocument/2006/relationships/hyperlink" Target="https://www.kwch.com/content/news/Wife-says-man-involved-in-officer-involved-shooting-taken-off-life-support-504277971.html" TargetMode="External"/><Relationship Id="rId6745" Type="http://schemas.openxmlformats.org/officeDocument/2006/relationships/hyperlink" Target="https://fox4kc.com/2019/09/16/police-identify-suspect-shot-and-killed-by-jackson-county-deputy-in-independence/" TargetMode="External"/><Relationship Id="rId510" Type="http://schemas.openxmlformats.org/officeDocument/2006/relationships/hyperlink" Target="http://www.wptv.com/news/state/gregory-vaughn-hill-jr-fort-pierce-man-ided-in-fatal-deputy-involved-shooting" TargetMode="External"/><Relationship Id="rId5347" Type="http://schemas.openxmlformats.org/officeDocument/2006/relationships/hyperlink" Target="https://www.fatalencounters.org/wp-content/uploads/2018/11/Gonzalo-Rico-Jimenez.jpg" TargetMode="External"/><Relationship Id="rId5761" Type="http://schemas.openxmlformats.org/officeDocument/2006/relationships/hyperlink" Target="https://azdailysun.com/news/second-suspect-dead-following-railroad-springs-shooting-family-says/article_da73d638-990f-5358-bfed-70115c47e707.html" TargetMode="External"/><Relationship Id="rId6812" Type="http://schemas.openxmlformats.org/officeDocument/2006/relationships/hyperlink" Target="https://dfw.cbslocal.com/2019/09/26/dallas-police-shoot-kill-suspect-capital-murder-dallas-cafe/" TargetMode="External"/><Relationship Id="rId1957" Type="http://schemas.openxmlformats.org/officeDocument/2006/relationships/hyperlink" Target="http://www.ksdk.com/news/local/officer-involved-shooting-in-east-st-louis/269594035" TargetMode="External"/><Relationship Id="rId4363" Type="http://schemas.openxmlformats.org/officeDocument/2006/relationships/hyperlink" Target="http://www.fatalencounters.org/wp-content/uploads/2018/03/michael-ward.jpg" TargetMode="External"/><Relationship Id="rId5414" Type="http://schemas.openxmlformats.org/officeDocument/2006/relationships/hyperlink" Target="https://denver.cbslocal.com/2018/11/15/police-shooting-arapahoe-county/" TargetMode="External"/><Relationship Id="rId4016" Type="http://schemas.openxmlformats.org/officeDocument/2006/relationships/hyperlink" Target="https://www.kxly.com/news/spokane-police-shoot-and-kill-suspected-armed-robber/677776715" TargetMode="External"/><Relationship Id="rId4430" Type="http://schemas.openxmlformats.org/officeDocument/2006/relationships/hyperlink" Target="http://www.fatalencounters.org/wp-content/uploads/2018/04/George-M.-Pappas.png" TargetMode="External"/><Relationship Id="rId3032" Type="http://schemas.openxmlformats.org/officeDocument/2006/relationships/hyperlink" Target="http://www.fatalencounters.org/wp-content/uploads/2013/10/Sergio-Reyes.png" TargetMode="External"/><Relationship Id="rId6188" Type="http://schemas.openxmlformats.org/officeDocument/2006/relationships/hyperlink" Target="https://www.chron.com/news/texas/article/North-Texas-police-fatally-shoot-motorist-13816485.php" TargetMode="External"/><Relationship Id="rId7239" Type="http://schemas.openxmlformats.org/officeDocument/2006/relationships/hyperlink" Target="http://stopthedrugwar.org/chronicle/2013/oct/18/indianapolis_man_killed_drug_tas" TargetMode="External"/><Relationship Id="rId6255" Type="http://schemas.openxmlformats.org/officeDocument/2006/relationships/hyperlink" Target="https://www.bakersfield.com/news/breaking/man-killed-in-tehachapi-officer-involved-shooting/article_8098b294-7cb0-11e9-b1e7-c314746f10af.html" TargetMode="External"/><Relationship Id="rId2798" Type="http://schemas.openxmlformats.org/officeDocument/2006/relationships/hyperlink" Target="http://www.fatalencounters.org/wp-content/uploads/2013/10/Earl-Donnell-Riley.jpg" TargetMode="External"/><Relationship Id="rId3849" Type="http://schemas.openxmlformats.org/officeDocument/2006/relationships/hyperlink" Target="http://www.fatalencounters.org/wp-content/uploads/2013/10/Adam-Brogdon.jpg" TargetMode="External"/><Relationship Id="rId5271" Type="http://schemas.openxmlformats.org/officeDocument/2006/relationships/hyperlink" Target="https://www.oregonlive.com/portland/index.ssf/2018/10/portland_police_sniper_filed_f.html" TargetMode="External"/><Relationship Id="rId2865" Type="http://schemas.openxmlformats.org/officeDocument/2006/relationships/hyperlink" Target="http://chicago.suntimes.com/news/off-duty-robbins-police-officer-shoots-kills-robbery-suspect/" TargetMode="External"/><Relationship Id="rId3916" Type="http://schemas.openxmlformats.org/officeDocument/2006/relationships/hyperlink" Target="http://www.sgvtribune.com/2017/11/26/man-in-standoff-with-police-at-covina-park/" TargetMode="External"/><Relationship Id="rId6322" Type="http://schemas.openxmlformats.org/officeDocument/2006/relationships/hyperlink" Target="https://ktla.com/2019/06/06/suspect-fatally-shot-in-atwater-village-officer-involved-shooting-police-say/" TargetMode="External"/><Relationship Id="rId837" Type="http://schemas.openxmlformats.org/officeDocument/2006/relationships/hyperlink" Target="http://www.chicagotribune.com/news/local/breaking/ct-chicago-police-involved-shooting-20150829-story.html" TargetMode="External"/><Relationship Id="rId1467" Type="http://schemas.openxmlformats.org/officeDocument/2006/relationships/hyperlink" Target="http://www.fatalencounters.org/wp-content/uploads/2013/10/lynn.jpg" TargetMode="External"/><Relationship Id="rId1881" Type="http://schemas.openxmlformats.org/officeDocument/2006/relationships/hyperlink" Target="http://gazette.com/man-killed-in-colorado-springs-officer-involved-shooting/article/1578730" TargetMode="External"/><Relationship Id="rId2518" Type="http://schemas.openxmlformats.org/officeDocument/2006/relationships/hyperlink" Target="http://www.fatalencounters.org/wp-content/uploads/2013/10/EarlEubanks.jpg" TargetMode="External"/><Relationship Id="rId2932" Type="http://schemas.openxmlformats.org/officeDocument/2006/relationships/hyperlink" Target="http://www.abcactionnews.com/news/region-hillsborough/police-investigate-an-officer-involved-shooting-in-plant-city" TargetMode="External"/><Relationship Id="rId904" Type="http://schemas.openxmlformats.org/officeDocument/2006/relationships/hyperlink" Target="http://www.mycentraljersey.com/story/news/local/middlesex-county/2015/10/06/man-shot-dead-police-woodbridge-standoff/73442052/" TargetMode="External"/><Relationship Id="rId1534" Type="http://schemas.openxmlformats.org/officeDocument/2006/relationships/hyperlink" Target="http://www.timesunion.com/local/article/State-troopers-shoot-kill-Berne-man-7305356.php" TargetMode="External"/><Relationship Id="rId7096" Type="http://schemas.openxmlformats.org/officeDocument/2006/relationships/hyperlink" Target="https://www.wsaz.com/content/news/Shooting-reported-in-Cross-Lanes--566622021.html" TargetMode="External"/><Relationship Id="rId1601" Type="http://schemas.openxmlformats.org/officeDocument/2006/relationships/hyperlink" Target="http://www.fatalencounters.org/wp-content/uploads/2013/10/harrislamar1.jpg" TargetMode="External"/><Relationship Id="rId4757" Type="http://schemas.openxmlformats.org/officeDocument/2006/relationships/hyperlink" Target="http://www.onlineathens.com/news/20180613/deputy-shoots-kills-georgia-man-who-shot-relative" TargetMode="External"/><Relationship Id="rId7163" Type="http://schemas.openxmlformats.org/officeDocument/2006/relationships/hyperlink" Target="http://archive.azcentral.com/community/swvalley/articles/20130326dps-investigating-buckeye-police-involved-shooting-brk.html" TargetMode="External"/><Relationship Id="rId3359" Type="http://schemas.openxmlformats.org/officeDocument/2006/relationships/hyperlink" Target="http://wbtw.com/2017/07/12/sled-investigat-deadly-officer-involved-shooting-in-dillon-county/" TargetMode="External"/><Relationship Id="rId5808" Type="http://schemas.openxmlformats.org/officeDocument/2006/relationships/hyperlink" Target="https://www.news4jax.com/news/florida/clay-county/armed-person-shot-killed-by-clay-county-deputy-authorities-say" TargetMode="External"/><Relationship Id="rId7230" Type="http://schemas.openxmlformats.org/officeDocument/2006/relationships/hyperlink" Target="https://www.fatalencounters.org/wp-content/uploads/2013/10/dawud-alexander.jpg" TargetMode="External"/><Relationship Id="rId694" Type="http://schemas.openxmlformats.org/officeDocument/2006/relationships/hyperlink" Target="http://www.pe.com/articles/riverside-786361-area-deputies.html" TargetMode="External"/><Relationship Id="rId2375" Type="http://schemas.openxmlformats.org/officeDocument/2006/relationships/hyperlink" Target="http://www.theledger.com/news/20161110/sheriff-grady-judd-lakeland-man-shoots-his-mother-shot-dead-by-deputies" TargetMode="External"/><Relationship Id="rId3773" Type="http://schemas.openxmlformats.org/officeDocument/2006/relationships/hyperlink" Target="http://www.mercurynews.com/2017/11/01/sunnyvale-jax-the-police-dog-killed-by-slain-stabbing-suspect/" TargetMode="External"/><Relationship Id="rId4824" Type="http://schemas.openxmlformats.org/officeDocument/2006/relationships/hyperlink" Target="https://www.star-telegram.com/news/local/community/dallas/article213885729.html" TargetMode="External"/><Relationship Id="rId347" Type="http://schemas.openxmlformats.org/officeDocument/2006/relationships/hyperlink" Target="http://www.mynews3.com/content/specials/crimetracker/story/One-dead-in-shooting-inside-Rio-casino-early-today/cN46O5Q68ky6b5gwzcAquQ.cspx" TargetMode="External"/><Relationship Id="rId2028" Type="http://schemas.openxmlformats.org/officeDocument/2006/relationships/hyperlink" Target="http://www.wkyt.com/content/news/Man-killed-in-officer-involved-shooting-in-Pike-County-388800822.html" TargetMode="External"/><Relationship Id="rId3426" Type="http://schemas.openxmlformats.org/officeDocument/2006/relationships/hyperlink" Target="http://www.fatalencounters.org/wp-content/uploads/2013/10/Isaiah-Hammett.png" TargetMode="External"/><Relationship Id="rId3840" Type="http://schemas.openxmlformats.org/officeDocument/2006/relationships/hyperlink" Target="http://www.nola.com/crime/index.ssf/2017/11/st_tammany_deputies_kill_suspe.html" TargetMode="External"/><Relationship Id="rId6996" Type="http://schemas.openxmlformats.org/officeDocument/2006/relationships/hyperlink" Target="https://www.kmov.com/news/second-officer-involved-shooting-in-hours-leaves-suspect-dead-in/article_6396dd1e-1d5b-11ea-8637-e380aa3165a7.html" TargetMode="External"/><Relationship Id="rId761" Type="http://schemas.openxmlformats.org/officeDocument/2006/relationships/hyperlink" Target="http://ww3.hdnux.com/photos/40/54/31/8570490/3/920x920.jpg" TargetMode="External"/><Relationship Id="rId1391" Type="http://schemas.openxmlformats.org/officeDocument/2006/relationships/hyperlink" Target="http://www.nbcdfw.com/news/local/Shooting-Involving-US-Marshals-in-Fort-Worth-Police-368676191.html" TargetMode="External"/><Relationship Id="rId2442" Type="http://schemas.openxmlformats.org/officeDocument/2006/relationships/hyperlink" Target="http://www.fatalencounters.org/wp-content/uploads/2013/10/Pablo-Renato-Cartagena.jpg" TargetMode="External"/><Relationship Id="rId5598" Type="http://schemas.openxmlformats.org/officeDocument/2006/relationships/hyperlink" Target="https://www.fatalencounters.org/wp-content/uploads/2018/12/WAYNE-FALANA.jpg" TargetMode="External"/><Relationship Id="rId6649" Type="http://schemas.openxmlformats.org/officeDocument/2006/relationships/hyperlink" Target="https://www.dailypress.com/news/crime/dp-nws-police-shooting-homicide-20190819-story.html" TargetMode="External"/><Relationship Id="rId414" Type="http://schemas.openxmlformats.org/officeDocument/2006/relationships/hyperlink" Target="http://www.ajc.com/news/news/police-investigating-shooting-in-east-point/ngsX4/" TargetMode="External"/><Relationship Id="rId1044" Type="http://schemas.openxmlformats.org/officeDocument/2006/relationships/hyperlink" Target="http://www.kktv.com/home/headlines/Deadly-Officer-Involved-Shooting-in-Trinidad-301252451.html" TargetMode="External"/><Relationship Id="rId5665" Type="http://schemas.openxmlformats.org/officeDocument/2006/relationships/hyperlink" Target="https://www.fatalencounters.org/wp-content/uploads/2019/01/Zonell-Williams.jpg" TargetMode="External"/><Relationship Id="rId6716" Type="http://schemas.openxmlformats.org/officeDocument/2006/relationships/hyperlink" Target="https://www.timesnews.net/Law-Enforcement/2019/09/03/TBI-investigating-officer-involved-shooting-in-Bluff-City.html" TargetMode="External"/><Relationship Id="rId1111" Type="http://schemas.openxmlformats.org/officeDocument/2006/relationships/hyperlink" Target="http://www.bet.com/news/national/2015/11/05/another-police-custody-death-alonzo-smith-dies-after-being-handcuffed-in-d-c/_jcr_content/featuredMedia/newsitemimage.newsimage.dimg/110515-national-Alonzo-Smith.jpg" TargetMode="External"/><Relationship Id="rId4267" Type="http://schemas.openxmlformats.org/officeDocument/2006/relationships/hyperlink" Target="http://www.fatalencounters.org/wp-content/uploads/2018/03/Ernestmontelongo.png" TargetMode="External"/><Relationship Id="rId4681" Type="http://schemas.openxmlformats.org/officeDocument/2006/relationships/hyperlink" Target="https://www.fatalencounters.org/wp-content/uploads/2018/07/Martin-Sandejo.jpg" TargetMode="External"/><Relationship Id="rId5318" Type="http://schemas.openxmlformats.org/officeDocument/2006/relationships/hyperlink" Target="https://www.foxnews.com/us/suspect-18-accused-in-murder-of-georgia-police-officer-is-shot-killed-by-cops" TargetMode="External"/><Relationship Id="rId5732" Type="http://schemas.openxmlformats.org/officeDocument/2006/relationships/hyperlink" Target="https://www.stltoday.com/news/local/crime-and-courts/carjacking-suspect-killed-in-gunfight-with-st-louis-police-was/article_7ac07ffc-a33b-59a3-b89d-f57e2760b9b0.html?fbclid=IwAR3OLUZdQX1q_CVtFBSz8rtHHU-Hm3WrC0Oxc19_Ve80TJT1JVKxJ1y-Hss" TargetMode="External"/><Relationship Id="rId3283" Type="http://schemas.openxmlformats.org/officeDocument/2006/relationships/hyperlink" Target="http://www.fatalencounters.org/wp-content/uploads/2013/10/Mark-Aaron-Jensen.jpg" TargetMode="External"/><Relationship Id="rId4334" Type="http://schemas.openxmlformats.org/officeDocument/2006/relationships/hyperlink" Target="http://www.fatalencounters.org/wp-content/uploads/2018/03/Andrew-Rossi.png" TargetMode="External"/><Relationship Id="rId1928" Type="http://schemas.openxmlformats.org/officeDocument/2006/relationships/hyperlink" Target="http://www.fatalencounters.org/wp-content/uploads/2013/10/Delrawn.jpg" TargetMode="External"/><Relationship Id="rId3350" Type="http://schemas.openxmlformats.org/officeDocument/2006/relationships/hyperlink" Target="http://www.fatalencounters.org/wp-content/uploads/2013/10/Vaughan.jpg" TargetMode="External"/><Relationship Id="rId271" Type="http://schemas.openxmlformats.org/officeDocument/2006/relationships/hyperlink" Target="http://newsok.com/oklahoma-agents-investigate-fatal-deputy-involved-shooting-in-creek-county/article/5408706" TargetMode="External"/><Relationship Id="rId3003" Type="http://schemas.openxmlformats.org/officeDocument/2006/relationships/hyperlink" Target="http://wspa.com/2017/04/03/officer-involved-shooting-in-pendleton-sled-responding/" TargetMode="External"/><Relationship Id="rId4401" Type="http://schemas.openxmlformats.org/officeDocument/2006/relationships/hyperlink" Target="http://www.trentonian.com/article/TT/20180321/NEWS/180329960" TargetMode="External"/><Relationship Id="rId6159" Type="http://schemas.openxmlformats.org/officeDocument/2006/relationships/hyperlink" Target="https://www.heraldsun.com/news/local/article229812639.html?fbclid=IwAR3RYJl363dro6BkNYjqugXB9Z3J1MMlttWdjqGJcBq1NhZxiRZr-PbT78w" TargetMode="External"/><Relationship Id="rId6573" Type="http://schemas.openxmlformats.org/officeDocument/2006/relationships/hyperlink" Target="https://fox59.com/2019/08/02/officer-involved-shooting-leaves-male-suspect-dead-on-indys-northeast-side/" TargetMode="External"/><Relationship Id="rId2769" Type="http://schemas.openxmlformats.org/officeDocument/2006/relationships/hyperlink" Target="http://gunmemorial.org/2017/03/22/don-johnson" TargetMode="External"/><Relationship Id="rId5175" Type="http://schemas.openxmlformats.org/officeDocument/2006/relationships/hyperlink" Target="http://www.spokesman.com/stories/2018/sep/17/one-person-dead-after-officer-involved-shooting-in/" TargetMode="External"/><Relationship Id="rId6226" Type="http://schemas.openxmlformats.org/officeDocument/2006/relationships/hyperlink" Target="https://miami.cbslocal.com/2019/05/15/broward-sheriffs-deputy-involved-in-deadly-tamarac-shooting/" TargetMode="External"/><Relationship Id="rId6640" Type="http://schemas.openxmlformats.org/officeDocument/2006/relationships/hyperlink" Target="http://www.houstontx.gov/police/nr/2019/aug/nr190816-2.htm" TargetMode="External"/><Relationship Id="rId1785" Type="http://schemas.openxmlformats.org/officeDocument/2006/relationships/hyperlink" Target="http://www.ktuu.com/content/news/Trooper-involved-shooting-381742681.html" TargetMode="External"/><Relationship Id="rId2836" Type="http://schemas.openxmlformats.org/officeDocument/2006/relationships/hyperlink" Target="http://www.startribune.com/lawyer-minneapolis-man-shot-by-transit-police-in-chicago-has-died/413884623" TargetMode="External"/><Relationship Id="rId4191" Type="http://schemas.openxmlformats.org/officeDocument/2006/relationships/hyperlink" Target="http://www.fatalencounters.org/wp-content/uploads/2018/02/Taylor-Schnortz.png" TargetMode="External"/><Relationship Id="rId5242" Type="http://schemas.openxmlformats.org/officeDocument/2006/relationships/hyperlink" Target="https://www.clickorlando.com/news/orlando-police-converge-on-orlando-regional-medical-center" TargetMode="External"/><Relationship Id="rId77" Type="http://schemas.openxmlformats.org/officeDocument/2006/relationships/hyperlink" Target="http://www.loscerritosnews.net/2015/07/12/hundreds-protest-johnny-ray-andersons-shooting-death-in-hawaiian-gardens/" TargetMode="External"/><Relationship Id="rId808" Type="http://schemas.openxmlformats.org/officeDocument/2006/relationships/hyperlink" Target="http://www.cincinnati.com/story/news/2015/08/07/ksp-investigating-officer-involved-elsmere-shooting/31273817/" TargetMode="External"/><Relationship Id="rId1438" Type="http://schemas.openxmlformats.org/officeDocument/2006/relationships/hyperlink" Target="http://billingsgazette.com/news/state-and-regional/montana/bismarck-officer-shoots-kills-man-after-emergency-call/article_4ee097aa-fb44-5cd8-98f0-fafe517e62a5.html" TargetMode="External"/><Relationship Id="rId1852" Type="http://schemas.openxmlformats.org/officeDocument/2006/relationships/hyperlink" Target="http://www.gannett-cdn.com/-mm-/9e088434a69a4372e184d924f02762e65e319e69/c=0-0-150-200&amp;r=183&amp;c=0-0-180-240/local/-/media/2016/06/19/Brevard/Brevard/636019653417361344-clarence.JPG" TargetMode="External"/><Relationship Id="rId2903" Type="http://schemas.openxmlformats.org/officeDocument/2006/relationships/hyperlink" Target="http://www.fresnobee.com/news/local/crime/article168308377.html" TargetMode="External"/><Relationship Id="rId7067" Type="http://schemas.openxmlformats.org/officeDocument/2006/relationships/hyperlink" Target="https://www.newscentermaine.com/article/news/crime/york-county-officer-involved-in-deadly-shooting/97-55f7e825-4a30-4d26-b484-5962bf5565c7" TargetMode="External"/><Relationship Id="rId1505" Type="http://schemas.openxmlformats.org/officeDocument/2006/relationships/hyperlink" Target="http://www.news-journal.com/news/2016/feb/14/report-unarmed-man-shot-killed-by-texas-trooper-in/" TargetMode="External"/><Relationship Id="rId6083" Type="http://schemas.openxmlformats.org/officeDocument/2006/relationships/hyperlink" Target="https://www.wrcbtv.com/story/40274278/update-one-dead-in-officerinvolved-shooting" TargetMode="External"/><Relationship Id="rId7134" Type="http://schemas.openxmlformats.org/officeDocument/2006/relationships/hyperlink" Target="http://www.pennlive.com/midstate/index.ssf/2013/03/skyler_stewart_described_as_lo.html" TargetMode="External"/><Relationship Id="rId3677" Type="http://schemas.openxmlformats.org/officeDocument/2006/relationships/hyperlink" Target="http://www.sj-r.com/news/20170123/springfield-man-shot-killed-by-police-officer-during-altercation" TargetMode="External"/><Relationship Id="rId4728" Type="http://schemas.openxmlformats.org/officeDocument/2006/relationships/hyperlink" Target="http://ktla.com/2018/06/03/deputy-kills-man-with-axe-in-thermal-rcsd/" TargetMode="External"/><Relationship Id="rId598" Type="http://schemas.openxmlformats.org/officeDocument/2006/relationships/hyperlink" Target="http://www.osagecountyonline.com/archives/18642" TargetMode="External"/><Relationship Id="rId2279" Type="http://schemas.openxmlformats.org/officeDocument/2006/relationships/hyperlink" Target="http://www.miamiherald.com/news/local/community/miami-dade/article108752377.html" TargetMode="External"/><Relationship Id="rId2693" Type="http://schemas.openxmlformats.org/officeDocument/2006/relationships/hyperlink" Target="http://www.tulsaworld.com/news/crimewatch/update-man-carrying-knives-shot-dead-as-deputies-tulsa-police/article_aff3fcde-393b-5e87-a429-1b6ddeeec66d.html" TargetMode="External"/><Relationship Id="rId3744" Type="http://schemas.openxmlformats.org/officeDocument/2006/relationships/hyperlink" Target="http://www.baltimoresun.com/news/maryland/crime/bs-md-ci-off-duty-shooting-20171023-story.html" TargetMode="External"/><Relationship Id="rId6150" Type="http://schemas.openxmlformats.org/officeDocument/2006/relationships/hyperlink" Target="https://ktla.com/2019/04/22/police-open-fire-while-responding-to-report-of-armed-man-in-harbor-gateway-lapd/" TargetMode="External"/><Relationship Id="rId7201" Type="http://schemas.openxmlformats.org/officeDocument/2006/relationships/hyperlink" Target="http://www.galvnews.com/news/local_news/article_bffa4190-b3a9-11e2-bdeb-001a4bcf6878.html" TargetMode="External"/><Relationship Id="rId665" Type="http://schemas.openxmlformats.org/officeDocument/2006/relationships/hyperlink" Target="http://www.killedbypolice.net/victims/150997.jpg" TargetMode="External"/><Relationship Id="rId1295" Type="http://schemas.openxmlformats.org/officeDocument/2006/relationships/hyperlink" Target="http://www.argusleader.com/story/news/2016/01/02/accident-lewis/78206712/" TargetMode="External"/><Relationship Id="rId2346" Type="http://schemas.openxmlformats.org/officeDocument/2006/relationships/hyperlink" Target="http://www.fatalencounters.org/wp-content/uploads/2013/10/Abraham-Ortiz.jpg" TargetMode="External"/><Relationship Id="rId2760" Type="http://schemas.openxmlformats.org/officeDocument/2006/relationships/hyperlink" Target="http://www.click2houston.com/news/officer-involved-in-nw-houston-shooting" TargetMode="External"/><Relationship Id="rId3811" Type="http://schemas.openxmlformats.org/officeDocument/2006/relationships/hyperlink" Target="http://www.fatalencounters.org/wp-content/uploads/2013/10/Talathia-Brooks.jpg" TargetMode="External"/><Relationship Id="rId6967" Type="http://schemas.openxmlformats.org/officeDocument/2006/relationships/hyperlink" Target="https://fatalencounters.org/wp-content/uploads/2019/11/CurtisFrench.jpg" TargetMode="External"/><Relationship Id="rId318" Type="http://schemas.openxmlformats.org/officeDocument/2006/relationships/hyperlink" Target="http://www.al.com/news/birmingham/index.ssf/2014/12/51-year-old_man_shot_to_death.html" TargetMode="External"/><Relationship Id="rId732" Type="http://schemas.openxmlformats.org/officeDocument/2006/relationships/hyperlink" Target="https://www.bostonglobe.com/metro/2015/07/14/roxbury-man-identified-person-fatally-shot-lynn-police-officer-during-drug-investigation/HluhRMJJeFBqMqtUt3gNWP/story.html" TargetMode="External"/><Relationship Id="rId1362" Type="http://schemas.openxmlformats.org/officeDocument/2006/relationships/hyperlink" Target="http://thetimes-tribune.com/news/part-time-carbondale-cop-shot-and-killed-fell-twp-man-authorities-said-1.2002813" TargetMode="External"/><Relationship Id="rId2413" Type="http://schemas.openxmlformats.org/officeDocument/2006/relationships/hyperlink" Target="http://www.kansascity.com/news/local/crime/article116133663.html" TargetMode="External"/><Relationship Id="rId5569" Type="http://schemas.openxmlformats.org/officeDocument/2006/relationships/hyperlink" Target="https://www.fatalencounters.org/wp-content/uploads/2018/12/Mitchell-J.-Hammer.jpg" TargetMode="External"/><Relationship Id="rId1015" Type="http://schemas.openxmlformats.org/officeDocument/2006/relationships/hyperlink" Target="http://www.whdh.com/story/29215946/one-dead-after-officer-involved-shooting-in-roslindale" TargetMode="External"/><Relationship Id="rId4585" Type="http://schemas.openxmlformats.org/officeDocument/2006/relationships/hyperlink" Target="http://www.9news.com/article/news/northglenn-police-shoot-kill-suspect/73-546979281" TargetMode="External"/><Relationship Id="rId5983" Type="http://schemas.openxmlformats.org/officeDocument/2006/relationships/hyperlink" Target="https://www.fatalencounters.org/wp-content/uploads/2019/03/Jerry-Marrero.jpg" TargetMode="External"/><Relationship Id="rId3187" Type="http://schemas.openxmlformats.org/officeDocument/2006/relationships/hyperlink" Target="http://wgme.com/news/local/belfast-man-dies-after-confrontation-with-police" TargetMode="External"/><Relationship Id="rId4238" Type="http://schemas.openxmlformats.org/officeDocument/2006/relationships/hyperlink" Target="http://wfla.com/2018/02/10/police-investigate-officer-involved-shooting-in-tampa/" TargetMode="External"/><Relationship Id="rId5636" Type="http://schemas.openxmlformats.org/officeDocument/2006/relationships/hyperlink" Target="https://www.shreveporttimes.com/story/news/2018/05/14/bossier-police-release-details-officer-involved-shooting/609788002/" TargetMode="External"/><Relationship Id="rId4652" Type="http://schemas.openxmlformats.org/officeDocument/2006/relationships/hyperlink" Target="https://www.11alive.com/article/news/one-dead-in-officer-involved-shooting-in-forest-park/551684845" TargetMode="External"/><Relationship Id="rId5703" Type="http://schemas.openxmlformats.org/officeDocument/2006/relationships/hyperlink" Target="https://www.fatalencounters.org/wp-content/uploads/2019/01/Bill-Akes-48.jpg" TargetMode="External"/><Relationship Id="rId175" Type="http://schemas.openxmlformats.org/officeDocument/2006/relationships/hyperlink" Target="http://www.killedbypolice.net/victims/150477.jpg" TargetMode="External"/><Relationship Id="rId3254" Type="http://schemas.openxmlformats.org/officeDocument/2006/relationships/hyperlink" Target="http://www.timesfreepress.com/news/local/story/2017/sep/13/county-investigates-sixth-officer-involved-sh/448737/" TargetMode="External"/><Relationship Id="rId4305" Type="http://schemas.openxmlformats.org/officeDocument/2006/relationships/hyperlink" Target="http://www.12news.com/article/news/local/arizona/dna-match-police-confirm-mesa-nail-salon-stabbing-suspect-was-killed-in-police-shooting/75-524926269" TargetMode="External"/><Relationship Id="rId2270" Type="http://schemas.openxmlformats.org/officeDocument/2006/relationships/hyperlink" Target="http://www.nbcdfw.com/news/local/Multiple-People-Injured-in-Oak-Cliff-Shooting-DFR-397157751.html" TargetMode="External"/><Relationship Id="rId3321" Type="http://schemas.openxmlformats.org/officeDocument/2006/relationships/hyperlink" Target="http://www.kob.com/albuquerque-news/albuquerque-police-apd-officer-involved-shooting/4559828/" TargetMode="External"/><Relationship Id="rId6477" Type="http://schemas.openxmlformats.org/officeDocument/2006/relationships/hyperlink" Target="https://www.kesq.com/news/deputy-involved-shooting-in-rancho-mirage/1093588802" TargetMode="External"/><Relationship Id="rId6891" Type="http://schemas.openxmlformats.org/officeDocument/2006/relationships/hyperlink" Target="https://fatalencounters.org/wp-content/uploads/2019/10/Allan-Feliz.jpg" TargetMode="External"/><Relationship Id="rId242" Type="http://schemas.openxmlformats.org/officeDocument/2006/relationships/hyperlink" Target="http://www.oregonlive.com/pacific-northwest-news/index.ssf/2015/04/salem_police_wound_armed_man_e.html" TargetMode="External"/><Relationship Id="rId5079" Type="http://schemas.openxmlformats.org/officeDocument/2006/relationships/hyperlink" Target="https://www.dothaneagle.com/news/ap/state/columbus-police-id-woman-officer-in-fatal-shooting/article_83c36f1c-bdb3-5a44-9c2e-083d1993f1e5.html" TargetMode="External"/><Relationship Id="rId5493" Type="http://schemas.openxmlformats.org/officeDocument/2006/relationships/hyperlink" Target="https://napavalleyregister.com/news/local/man-killed-in-napa-police-officer-involved-shooting-closure-of/article_c6f6b7d4-9538-53df-8ad6-3812ecd76511.html" TargetMode="External"/><Relationship Id="rId6544" Type="http://schemas.openxmlformats.org/officeDocument/2006/relationships/hyperlink" Target="https://fatalencounters.org/wp-content/uploads/2019/08/Joshua-Steven-Mitchell.jpg" TargetMode="External"/><Relationship Id="rId1689" Type="http://schemas.openxmlformats.org/officeDocument/2006/relationships/hyperlink" Target="http://www.fatalencounters.org/wp-content/uploads/2013/10/Christian-Bowman.jpg" TargetMode="External"/><Relationship Id="rId4095" Type="http://schemas.openxmlformats.org/officeDocument/2006/relationships/hyperlink" Target="http://www.fatalencounters.org/wp-content/uploads/2018/01/JonathanBennett.jpg" TargetMode="External"/><Relationship Id="rId5146" Type="http://schemas.openxmlformats.org/officeDocument/2006/relationships/hyperlink" Target="https://www.fatalencounters.org/wp-content/uploads/2018/09/ULMAN-ROBERTS.jpg" TargetMode="External"/><Relationship Id="rId5560" Type="http://schemas.openxmlformats.org/officeDocument/2006/relationships/hyperlink" Target="https://www.daily-jeff.com/news/20181217/apple-creek-man-repeatedly-ignored-deputies-before-fatal-shooting" TargetMode="External"/><Relationship Id="rId4162" Type="http://schemas.openxmlformats.org/officeDocument/2006/relationships/hyperlink" Target="http://www.mlive.com/news/kalamazoo/index.ssf/2018/01/man_shot_by_michigan_state_pol.html" TargetMode="External"/><Relationship Id="rId5213" Type="http://schemas.openxmlformats.org/officeDocument/2006/relationships/hyperlink" Target="http://ktar.com/story/2232806/suspect-dies-after-officer-involved-shooting-at-peoria-walmart/" TargetMode="External"/><Relationship Id="rId6611" Type="http://schemas.openxmlformats.org/officeDocument/2006/relationships/hyperlink" Target="https://ktla.com/2019/08/10/armed-man-killed-in-police-shooting-in-beaumont-sheriffs-department/" TargetMode="External"/><Relationship Id="rId1756" Type="http://schemas.openxmlformats.org/officeDocument/2006/relationships/hyperlink" Target="http://www.jcfloridan.com/news/local/article_fa3a5b1e-2422-11e6-a9d0-db4bf18c39cd.html" TargetMode="External"/><Relationship Id="rId2807" Type="http://schemas.openxmlformats.org/officeDocument/2006/relationships/hyperlink" Target="http://www.fatalencounters.org/wp-content/uploads/2013/10/Medger-Blake.jpg" TargetMode="External"/><Relationship Id="rId48" Type="http://schemas.openxmlformats.org/officeDocument/2006/relationships/hyperlink" Target="http://homicide.latimes.com/post/jason-charles-davis/" TargetMode="External"/><Relationship Id="rId1409" Type="http://schemas.openxmlformats.org/officeDocument/2006/relationships/hyperlink" Target="http://www.azcentral.com/story/news/local/phoenix/breaking/2016/02/21/police-officer-involved-shooting-phoenix/80721910/" TargetMode="External"/><Relationship Id="rId1823" Type="http://schemas.openxmlformats.org/officeDocument/2006/relationships/hyperlink" Target="http://local15tv.com/news/local/officer-involved-shooting-on-stanton-road" TargetMode="External"/><Relationship Id="rId4979" Type="http://schemas.openxmlformats.org/officeDocument/2006/relationships/hyperlink" Target="https://www.dentonrc.com/news/blotter-victim-identified-in-officer-involved-shooting-in-pilot-point/article_f7bfec85-0992-5d71-9ed3-c40d038679f4.html" TargetMode="External"/><Relationship Id="rId3995" Type="http://schemas.openxmlformats.org/officeDocument/2006/relationships/hyperlink" Target="http://www.9news.com/news/crime/deputies-shoot-kill-suspect-near-greeley/501455532" TargetMode="External"/><Relationship Id="rId7038" Type="http://schemas.openxmlformats.org/officeDocument/2006/relationships/hyperlink" Target="http://herald-citizen.com/stories/tbi-investigates-officer-involved-shooting-in-smith-co,39267" TargetMode="External"/><Relationship Id="rId2597" Type="http://schemas.openxmlformats.org/officeDocument/2006/relationships/hyperlink" Target="http://www.seattlepi.com/local/crime/article/Sheriff-s-Office-Deputy-fatally-shot-11219678.php" TargetMode="External"/><Relationship Id="rId3648" Type="http://schemas.openxmlformats.org/officeDocument/2006/relationships/hyperlink" Target="http://www.wmcactionnews5.com/story/34451720/tbi-officer-involved-shooting-reported-in-mt-pleasant" TargetMode="External"/><Relationship Id="rId6054" Type="http://schemas.openxmlformats.org/officeDocument/2006/relationships/hyperlink" Target="https://www.fatalencounters.org/wp-content/uploads/2019/04/Stacy-William-Kenny.jpg" TargetMode="External"/><Relationship Id="rId7105" Type="http://schemas.openxmlformats.org/officeDocument/2006/relationships/hyperlink" Target="http://www.tulsaworld.com/news/state/sapulpa-man-dies-in-crash-following-pursuit-by-ohp-trooper/article_be75b5a5-0115-561e-bc48-cdf6fd24feae.html?mode=story" TargetMode="External"/><Relationship Id="rId569" Type="http://schemas.openxmlformats.org/officeDocument/2006/relationships/hyperlink" Target="http://www.phillyburbs.com/news/crime/da-warminster-officer-accidentally-shot-year-old-during-standoff/article_2e02c0de-13d0-54ef-88d7-e00c66713ba5.html" TargetMode="External"/><Relationship Id="rId983" Type="http://schemas.openxmlformats.org/officeDocument/2006/relationships/hyperlink" Target="http://i.guim.co.uk/img/media/6b8d2e8197fcd13bf1efa55dde76f7af6401fdfb/0_188_600_360/master/600.jpg?w=620&amp;q=85&amp;auto=format&amp;sharp=10&amp;s=cd2d313d4e808218cd2fff1e044bc896" TargetMode="External"/><Relationship Id="rId1199" Type="http://schemas.openxmlformats.org/officeDocument/2006/relationships/hyperlink" Target="http://www.cenlanow.com/news/local-news/apd-releases-statement-about-officer-involved-shooting" TargetMode="External"/><Relationship Id="rId2664" Type="http://schemas.openxmlformats.org/officeDocument/2006/relationships/hyperlink" Target="http://www.dispatch.com/news/20170710/man-dies-after-officer-involved-shooting" TargetMode="External"/><Relationship Id="rId5070" Type="http://schemas.openxmlformats.org/officeDocument/2006/relationships/hyperlink" Target="https://www.turnto23.com/news/breaking-news/one-dead-after-officer-involved-shooting-in-southwest-bakersfield" TargetMode="External"/><Relationship Id="rId6121" Type="http://schemas.openxmlformats.org/officeDocument/2006/relationships/hyperlink" Target="http://www.newschannel10.com/2019/04/14/dead-after-officer-involved-shooting-dalhart-2/" TargetMode="External"/><Relationship Id="rId636" Type="http://schemas.openxmlformats.org/officeDocument/2006/relationships/hyperlink" Target="http://www.killedbypolice.net/victims/151062.jpg" TargetMode="External"/><Relationship Id="rId1266" Type="http://schemas.openxmlformats.org/officeDocument/2006/relationships/hyperlink" Target="http://www.fatalencounters.org/wp-content/uploads/2013/10/Alijah.png" TargetMode="External"/><Relationship Id="rId2317" Type="http://schemas.openxmlformats.org/officeDocument/2006/relationships/hyperlink" Target="http://www.wbtv.com/story/33506639/probation-officer-idd-after-person-dies-while-being-arrested-in-anson-co" TargetMode="External"/><Relationship Id="rId3715" Type="http://schemas.openxmlformats.org/officeDocument/2006/relationships/hyperlink" Target="http://www.fatalencounters.org/wp-content/uploads/2013/10/DeAndre-Bethea.jpg" TargetMode="External"/><Relationship Id="rId1680" Type="http://schemas.openxmlformats.org/officeDocument/2006/relationships/hyperlink" Target="http://www.fatalencounters.org/wp-content/uploads/2013/10/Lionel-Gibson.jpg" TargetMode="External"/><Relationship Id="rId2731" Type="http://schemas.openxmlformats.org/officeDocument/2006/relationships/hyperlink" Target="http://www.fatalencounters.org/wp-content/uploads/2013/10/Malik-Carey.jpg" TargetMode="External"/><Relationship Id="rId5887" Type="http://schemas.openxmlformats.org/officeDocument/2006/relationships/hyperlink" Target="https://www.arkansasonline.com/news/2019/feb/24/lawman-driver-id-d-in-traffic-stop-shoo/?crime" TargetMode="External"/><Relationship Id="rId6938" Type="http://schemas.openxmlformats.org/officeDocument/2006/relationships/hyperlink" Target="https://whnt.com/2019/10/27/officer-involved-shooting-at-planet-fitness-in-madison/" TargetMode="External"/><Relationship Id="rId703" Type="http://schemas.openxmlformats.org/officeDocument/2006/relationships/hyperlink" Target="http://www.krcrtv.com/news/local/shooting-in-chico-leaves-one-dead/36369296" TargetMode="External"/><Relationship Id="rId1333" Type="http://schemas.openxmlformats.org/officeDocument/2006/relationships/hyperlink" Target="http://tucson.com/news/local/crime/gunman-killed-after-standoff-with-tucson-police/article_46792806-68f4-5b24-a116-7d543520a625.html" TargetMode="External"/><Relationship Id="rId4489" Type="http://schemas.openxmlformats.org/officeDocument/2006/relationships/hyperlink" Target="http://www.fatalencounters.org/wp-content/uploads/2018/04/Raymond-Lyle-Bell.jpg" TargetMode="External"/><Relationship Id="rId5954" Type="http://schemas.openxmlformats.org/officeDocument/2006/relationships/hyperlink" Target="https://www.fatalencounters.org/wp-content/uploads/2019/03/Eric-Hagstrom.jpg" TargetMode="External"/><Relationship Id="rId1400" Type="http://schemas.openxmlformats.org/officeDocument/2006/relationships/hyperlink" Target="http://www.11alive.com/story/news/local/2016/02/18/gbi-investigating-fatal-commerce-officer-involved-shooting/80562868/" TargetMode="External"/><Relationship Id="rId4556" Type="http://schemas.openxmlformats.org/officeDocument/2006/relationships/hyperlink" Target="http://www.fatalencounters.org/wp-content/uploads/2018/04/Justin-Oakes.jpg" TargetMode="External"/><Relationship Id="rId4970" Type="http://schemas.openxmlformats.org/officeDocument/2006/relationships/hyperlink" Target="https://www.ajc.com/news/crime--law/gbi-man-who-fought-with-cops-before-being-fatally-shot-walton-county/BGmEJU3SrIyCSwnUXcUuJP/?icmp=np_inform_variation-test" TargetMode="External"/><Relationship Id="rId5607" Type="http://schemas.openxmlformats.org/officeDocument/2006/relationships/hyperlink" Target="https://www.wishtv.com/news/crime-watch-8/witness-man-fatally-shot-by-trooper-was-savable-/1679485806" TargetMode="External"/><Relationship Id="rId3158" Type="http://schemas.openxmlformats.org/officeDocument/2006/relationships/hyperlink" Target="http://www.wtsp.com/news/crime/pasco-deputies-say-they-shot-man-coming-at-them/456564152" TargetMode="External"/><Relationship Id="rId3572" Type="http://schemas.openxmlformats.org/officeDocument/2006/relationships/hyperlink" Target="http://www.denverpost.com/2017/03/14/westminster-officer-involved-shooting/" TargetMode="External"/><Relationship Id="rId4209" Type="http://schemas.openxmlformats.org/officeDocument/2006/relationships/hyperlink" Target="http://www.latimes.com/local/lanow/la-me-lake-los-angeles-death-20180204-story.html" TargetMode="External"/><Relationship Id="rId4623" Type="http://schemas.openxmlformats.org/officeDocument/2006/relationships/hyperlink" Target="http://www.kyma.com/news/update-fatally-shot-person-in-yuma-identified-/739397389" TargetMode="External"/><Relationship Id="rId493" Type="http://schemas.openxmlformats.org/officeDocument/2006/relationships/hyperlink" Target="http://www.news-gazette.com/news/local/2014-02-26/state-police-investigate-fatal-shooting-after-chase-danville.html" TargetMode="External"/><Relationship Id="rId2174" Type="http://schemas.openxmlformats.org/officeDocument/2006/relationships/hyperlink" Target="http://www.denverpost.com/2016/09/02/parker-police-gunman/" TargetMode="External"/><Relationship Id="rId3225" Type="http://schemas.openxmlformats.org/officeDocument/2006/relationships/hyperlink" Target="http://pix11.com/2017/04/06/man-with-shotgun-wounded-during-newark-police-involved-shooting/" TargetMode="External"/><Relationship Id="rId6795" Type="http://schemas.openxmlformats.org/officeDocument/2006/relationships/hyperlink" Target="https://www.wsbtv.com/news/local/henry-county/gbi-24-year-old-man-dies-after-at-least-three-officers-use-taser-on-him-at-once/989944761" TargetMode="External"/><Relationship Id="rId146" Type="http://schemas.openxmlformats.org/officeDocument/2006/relationships/hyperlink" Target="http://www.killedbypolice.net/victims/150498.jpg" TargetMode="External"/><Relationship Id="rId560" Type="http://schemas.openxmlformats.org/officeDocument/2006/relationships/hyperlink" Target="http://articles.baltimoresun.com/2013-06-11/news/bs-md-ar-road-rage-bail-20130610_1_police-officer-documents-hudson-county" TargetMode="External"/><Relationship Id="rId1190" Type="http://schemas.openxmlformats.org/officeDocument/2006/relationships/hyperlink" Target="http://wgntv.com/2015/09/26/man-killed-in-officer-involved-shooting-on-west-side/" TargetMode="External"/><Relationship Id="rId2241" Type="http://schemas.openxmlformats.org/officeDocument/2006/relationships/hyperlink" Target="http://www.wect.com/story/33330242/suspect-and-woman-dead-after-being-shot-at-killen-standoff" TargetMode="External"/><Relationship Id="rId5397" Type="http://schemas.openxmlformats.org/officeDocument/2006/relationships/hyperlink" Target="https://www.nbcsandiego.com/news/local/Man-Shot-by-Deputy-in-Alpine-500319161.html" TargetMode="External"/><Relationship Id="rId6448" Type="http://schemas.openxmlformats.org/officeDocument/2006/relationships/hyperlink" Target="https://fatalencounters.org/wp-content/uploads/2019/07/Jonathan-Joseph-Pingel.jpg" TargetMode="External"/><Relationship Id="rId213" Type="http://schemas.openxmlformats.org/officeDocument/2006/relationships/hyperlink" Target="http://www.wsbtv.com/news/news/local/gwinnett-county-police-investigate-officer-involve/nmBY5/" TargetMode="External"/><Relationship Id="rId6862" Type="http://schemas.openxmlformats.org/officeDocument/2006/relationships/hyperlink" Target="https://www.wfla.com/news/sarasota-county/fdle-investigating-officer-involved-fatal-shooting-in-north-port/" TargetMode="External"/><Relationship Id="rId4066" Type="http://schemas.openxmlformats.org/officeDocument/2006/relationships/hyperlink" Target="https://www.verdenews.com/news/2018/jan/05/state-route-89a-closed-oak-creek-canyon-following-/" TargetMode="External"/><Relationship Id="rId5464" Type="http://schemas.openxmlformats.org/officeDocument/2006/relationships/hyperlink" Target="https://www.fatalencounters.org/wp-content/uploads/2018/12/Jarmane-Logan.jpg" TargetMode="External"/><Relationship Id="rId6515" Type="http://schemas.openxmlformats.org/officeDocument/2006/relationships/hyperlink" Target="https://www.wpbf.com/article/man-dies-after-being-shocked-by-police-taser/28424273" TargetMode="External"/><Relationship Id="rId4480" Type="http://schemas.openxmlformats.org/officeDocument/2006/relationships/hyperlink" Target="http://www.nydailynews.com/new-york/brooklyn/nypd-cops-shoot-kill-mentally-ill-black-man-holding-metal-pipe-article-1.3914960" TargetMode="External"/><Relationship Id="rId5117" Type="http://schemas.openxmlformats.org/officeDocument/2006/relationships/hyperlink" Target="https://www.tennessean.com/story/news/local/williamson/2018/09/01/fairview-officers-shoot-armed-suicidal-man-tbi-investigating/1172297002/" TargetMode="External"/><Relationship Id="rId5531" Type="http://schemas.openxmlformats.org/officeDocument/2006/relationships/hyperlink" Target="https://www.fatalencounters.org/wp-content/uploads/2018/12/MarcusNeal.jpg" TargetMode="External"/><Relationship Id="rId1727" Type="http://schemas.openxmlformats.org/officeDocument/2006/relationships/hyperlink" Target="http://www.sfgate.com/bayarea/article/Woman-killed-by-SF-police-sergeant-IDd-as-Jessica-7887427.php" TargetMode="External"/><Relationship Id="rId3082" Type="http://schemas.openxmlformats.org/officeDocument/2006/relationships/hyperlink" Target="http://www.nbcnewyork.com/news/local/NYC-Police-Involved-Shooting-Prospect-Heights-Man-Critical-Gun-Recovered-409623155.html" TargetMode="External"/><Relationship Id="rId4133" Type="http://schemas.openxmlformats.org/officeDocument/2006/relationships/hyperlink" Target="https://www.ydr.com/story/news/2018/01/18/harrisburg-police-shooting-latest-u-s-marshal-killed-york-and-harrisburg-cops-shot/1044694001/" TargetMode="External"/><Relationship Id="rId19" Type="http://schemas.openxmlformats.org/officeDocument/2006/relationships/hyperlink" Target="http://www.star-telegram.com/news/local/community/fort-worth/rat54p/picture29706625/ALTERNATES/FREE_640/Flip%20Vallejo" TargetMode="External"/><Relationship Id="rId3899" Type="http://schemas.openxmlformats.org/officeDocument/2006/relationships/hyperlink" Target="http://www.krcrtv.com/news/local/trinity/officer-involved-shooting-unfolding-in-trinity-county/337964664" TargetMode="External"/><Relationship Id="rId4200" Type="http://schemas.openxmlformats.org/officeDocument/2006/relationships/hyperlink" Target="https://www.courier-journal.com/story/news/crime/2018/02/05/second-man-dies-beuchel-shooting-lmpd-detective/303943002/" TargetMode="External"/><Relationship Id="rId6372" Type="http://schemas.openxmlformats.org/officeDocument/2006/relationships/hyperlink" Target="https://ktul.com/news/local/tulsa-police-man-shot-by-officer-this-weekend-has-died" TargetMode="External"/><Relationship Id="rId7009" Type="http://schemas.openxmlformats.org/officeDocument/2006/relationships/hyperlink" Target="https://fatalencounters.org/wp-content/uploads/2019/12/Mohammad-Isaifan.jpg" TargetMode="External"/><Relationship Id="rId3966" Type="http://schemas.openxmlformats.org/officeDocument/2006/relationships/hyperlink" Target="http://www.wdbj7.com/content/news/Police-Investigating-armed-robbery-in-Lexington--464414033.html" TargetMode="External"/><Relationship Id="rId6025" Type="http://schemas.openxmlformats.org/officeDocument/2006/relationships/hyperlink" Target="https://www.wbaltv.com/article/fatal-thurmont-officer-involved-shooting/26934364" TargetMode="External"/><Relationship Id="rId3" Type="http://schemas.openxmlformats.org/officeDocument/2006/relationships/hyperlink" Target="http://www.killedbypolice.net/victims/150910.jpg" TargetMode="External"/><Relationship Id="rId887" Type="http://schemas.openxmlformats.org/officeDocument/2006/relationships/hyperlink" Target="http://www.dnronline.com/article/hpd_officer_shooting" TargetMode="External"/><Relationship Id="rId2568" Type="http://schemas.openxmlformats.org/officeDocument/2006/relationships/hyperlink" Target="http://www.fatalencounters.org/wp-content/uploads/2013/10/Colton-Dale-Calaway.png" TargetMode="External"/><Relationship Id="rId2982" Type="http://schemas.openxmlformats.org/officeDocument/2006/relationships/hyperlink" Target="http://www.latimes.com/local/lanow/la-me-ln-van-pursuit-officer-involved-shooting-live-tv-20170515-story.html" TargetMode="External"/><Relationship Id="rId3619" Type="http://schemas.openxmlformats.org/officeDocument/2006/relationships/hyperlink" Target="http://abc7news.com/news/oakland-shooter-detained-by-cops-dies/1759833/" TargetMode="External"/><Relationship Id="rId5041" Type="http://schemas.openxmlformats.org/officeDocument/2006/relationships/hyperlink" Target="https://www.fatalencounters.org/wp-content/uploads/2018/08/Jackey-Sampson.jpg" TargetMode="External"/><Relationship Id="rId954" Type="http://schemas.openxmlformats.org/officeDocument/2006/relationships/hyperlink" Target="http://kwtv.images.worldnow.com/images/9448900_G.jpg" TargetMode="External"/><Relationship Id="rId1584" Type="http://schemas.openxmlformats.org/officeDocument/2006/relationships/hyperlink" Target="http://www.brownsvilleherald.com/news/texas/article_cd4e572b-f2e1-507e-b563-700c2c6893af.html" TargetMode="External"/><Relationship Id="rId2635" Type="http://schemas.openxmlformats.org/officeDocument/2006/relationships/hyperlink" Target="http://6abc.com/man-killed-in-police-involved-shooting-in-north-philadelphia/2298172/" TargetMode="External"/><Relationship Id="rId607" Type="http://schemas.openxmlformats.org/officeDocument/2006/relationships/hyperlink" Target="http://www.startribune.com/Security-guard-fatally-shot-in-St.-Cloud-Hospital/333868281/" TargetMode="External"/><Relationship Id="rId1237" Type="http://schemas.openxmlformats.org/officeDocument/2006/relationships/hyperlink" Target="http://www.pamplinmediagroup.com/images/artimg/00003536127522.jpg" TargetMode="External"/><Relationship Id="rId1651" Type="http://schemas.openxmlformats.org/officeDocument/2006/relationships/hyperlink" Target="http://www.fatalencounters.org/wp-content/uploads/2013/10/DylanPape.jpg" TargetMode="External"/><Relationship Id="rId2702" Type="http://schemas.openxmlformats.org/officeDocument/2006/relationships/hyperlink" Target="http://www.fatalencounters.org/wp-content/uploads/2013/10/Shaquian-Tyrone-Johnson.jpg" TargetMode="External"/><Relationship Id="rId5858" Type="http://schemas.openxmlformats.org/officeDocument/2006/relationships/hyperlink" Target="https://abc7.com/suspect-killed-in-officer-involved-shooting-at-dtla-metro-station/5138530/" TargetMode="External"/><Relationship Id="rId6909" Type="http://schemas.openxmlformats.org/officeDocument/2006/relationships/hyperlink" Target="https://www.10tv.com/article/trooper-shoots-kills-21-year-old-granville-man-after-high-speed-chase-near-dayton-2019-oct" TargetMode="External"/><Relationship Id="rId1304" Type="http://schemas.openxmlformats.org/officeDocument/2006/relationships/hyperlink" Target="http://www.14news.com/story/30910707/sheriff-man-shot-killed-following-burglary-in-daviess-co" TargetMode="External"/><Relationship Id="rId4874" Type="http://schemas.openxmlformats.org/officeDocument/2006/relationships/hyperlink" Target="https://www.kansascity.com/news/local/crime/article214420459.html" TargetMode="External"/><Relationship Id="rId3476" Type="http://schemas.openxmlformats.org/officeDocument/2006/relationships/hyperlink" Target="http://www.wptv.com/news/region-c-palm-beach-county/west-palm-beach/police-investigating-shooting-in-jupiter" TargetMode="External"/><Relationship Id="rId4527" Type="http://schemas.openxmlformats.org/officeDocument/2006/relationships/hyperlink" Target="http://www.cbs46.com/story/37938935/swat-team-on-scene-after-man-fires-shots-from-his-home" TargetMode="External"/><Relationship Id="rId5925" Type="http://schemas.openxmlformats.org/officeDocument/2006/relationships/hyperlink" Target="https://www.wcnc.com/article/news/crime/suspect-dead-after-officer-involved-shooting-in-mount-holly/275-94910db0-3dd6-4e49-b1f3-6d2a73028f5e" TargetMode="External"/><Relationship Id="rId10" Type="http://schemas.openxmlformats.org/officeDocument/2006/relationships/hyperlink" Target="http://www.killedbypolice.net/victims/150895.jpg" TargetMode="External"/><Relationship Id="rId397" Type="http://schemas.openxmlformats.org/officeDocument/2006/relationships/hyperlink" Target="http://nypost.com/2014/09/06/man-who-shot-nypd-cop-dies-after-surgery/" TargetMode="External"/><Relationship Id="rId2078" Type="http://schemas.openxmlformats.org/officeDocument/2006/relationships/hyperlink" Target="http://www.wyff4.com/news/man-in-standoff-with-deputies-officials-say/41121980" TargetMode="External"/><Relationship Id="rId2492" Type="http://schemas.openxmlformats.org/officeDocument/2006/relationships/hyperlink" Target="http://pittsburgh.cbslocal.com/2016/12/16/suspect-shot-during-avella-domestic-dispute-call-dies-in-hospital/" TargetMode="External"/><Relationship Id="rId3129" Type="http://schemas.openxmlformats.org/officeDocument/2006/relationships/hyperlink" Target="http://www.nbcbayarea.com/news/local/Livermore-Police-Shoot-Kill-Allegedly-Armed-Man-Who-Set-Mobile-Home-Ablaze-440886053.html" TargetMode="External"/><Relationship Id="rId3890" Type="http://schemas.openxmlformats.org/officeDocument/2006/relationships/hyperlink" Target="http://krqe.com/2017/11/25/state-police-investigate-officer-involved-shooting-in-penasco-new-mexico/" TargetMode="External"/><Relationship Id="rId4941" Type="http://schemas.openxmlformats.org/officeDocument/2006/relationships/hyperlink" Target="https://www.fox23.com/news/one-shot-after-bixby-officer-involved-shooting/795679658" TargetMode="External"/><Relationship Id="rId7000" Type="http://schemas.openxmlformats.org/officeDocument/2006/relationships/hyperlink" Target="https://fatalencounters.org/wp-content/uploads/2019/12/Victor-A.-Parsons.jpg" TargetMode="External"/><Relationship Id="rId464" Type="http://schemas.openxmlformats.org/officeDocument/2006/relationships/hyperlink" Target="http://www.news-graphic.com/image_5c8d94e0-b110-11e2-af2b-001a4bcf887a.html" TargetMode="External"/><Relationship Id="rId1094" Type="http://schemas.openxmlformats.org/officeDocument/2006/relationships/hyperlink" Target="http://www.killedbypolice.net/victims/150930.jpg" TargetMode="External"/><Relationship Id="rId2145" Type="http://schemas.openxmlformats.org/officeDocument/2006/relationships/hyperlink" Target="http://www.fatalencounters.org/wp-content/uploads/2013/10/Angel-Torres-Jr..jpg" TargetMode="External"/><Relationship Id="rId3543" Type="http://schemas.openxmlformats.org/officeDocument/2006/relationships/hyperlink" Target="http://www.tennessean.com/story/news/crime/2017/03/27/active-shooter-reported-lewisburg-business/99689606/" TargetMode="External"/><Relationship Id="rId6699" Type="http://schemas.openxmlformats.org/officeDocument/2006/relationships/hyperlink" Target="https://minnesota.cbslocal.com/2019/09/01/fatal-officer-involved-shooting-in-brooklyn-center/" TargetMode="External"/><Relationship Id="rId117" Type="http://schemas.openxmlformats.org/officeDocument/2006/relationships/hyperlink" Target="http://www.grandforksherald.com/news/region/3770087-family-alleged-police-shooting-victim-speaks-out" TargetMode="External"/><Relationship Id="rId3610" Type="http://schemas.openxmlformats.org/officeDocument/2006/relationships/hyperlink" Target="http://koin.com/2017/02/21/police-responding-to-active-situation-in-beaverton/" TargetMode="External"/><Relationship Id="rId6766" Type="http://schemas.openxmlformats.org/officeDocument/2006/relationships/hyperlink" Target="https://fatalencounters.org/wp-content/uploads/2019/09/jeffrey-michael-gibble.png" TargetMode="External"/><Relationship Id="rId531" Type="http://schemas.openxmlformats.org/officeDocument/2006/relationships/hyperlink" Target="http://www.chicagotribune.com/news/local/breaking/chi-at-least-1-wounded-in-policeinvolved-shooting-in-posen-20131004,0,7140004.story" TargetMode="External"/><Relationship Id="rId1161" Type="http://schemas.openxmlformats.org/officeDocument/2006/relationships/hyperlink" Target="http://woio.images.worldnow.com/images/7942214_G.jpg" TargetMode="External"/><Relationship Id="rId2212" Type="http://schemas.openxmlformats.org/officeDocument/2006/relationships/hyperlink" Target="http://www.kcrg.com/content/news/393298031.html" TargetMode="External"/><Relationship Id="rId5368" Type="http://schemas.openxmlformats.org/officeDocument/2006/relationships/hyperlink" Target="https://www.fatalencounters.org/wp-content/uploads/2018/11/Anovath-Troy-Kongvongxay.jpg" TargetMode="External"/><Relationship Id="rId5782" Type="http://schemas.openxmlformats.org/officeDocument/2006/relationships/hyperlink" Target="http://www.kake.com/story/39864359/sheriffs-office-identifies-man-shot-killed-by-deputy-in-south-wichita" TargetMode="External"/><Relationship Id="rId6419" Type="http://schemas.openxmlformats.org/officeDocument/2006/relationships/hyperlink" Target="https://www.1011now.com/content/news/Authorities-investigate-gunfire-in-Bellevue-511938992.html" TargetMode="External"/><Relationship Id="rId6833" Type="http://schemas.openxmlformats.org/officeDocument/2006/relationships/hyperlink" Target="https://chicago.suntimes.com/2019/10/1/20894520/bridgeview-cop-shoots-man-joseph-jesk" TargetMode="External"/><Relationship Id="rId1978" Type="http://schemas.openxmlformats.org/officeDocument/2006/relationships/hyperlink" Target="http://www.fatalencounters.org/wp-content/uploads/2013/10/Gavin-Eugene-Long.jpg" TargetMode="External"/><Relationship Id="rId4384" Type="http://schemas.openxmlformats.org/officeDocument/2006/relationships/hyperlink" Target="https://www.knoxnews.com/story/news/local/clarksville/2018/03/16/clarksville-pd-tactical-unit-responding-barricaded-suspect/433384002/" TargetMode="External"/><Relationship Id="rId5435" Type="http://schemas.openxmlformats.org/officeDocument/2006/relationships/hyperlink" Target="https://www.fatalencounters.org/wp-content/uploads/2018/11/Keaton-Larson.jpg" TargetMode="External"/><Relationship Id="rId4037" Type="http://schemas.openxmlformats.org/officeDocument/2006/relationships/hyperlink" Target="http://www.ledger-enquirer.com/news/local/crime/article192283674.html" TargetMode="External"/><Relationship Id="rId4451" Type="http://schemas.openxmlformats.org/officeDocument/2006/relationships/hyperlink" Target="http://www.fatalencounters.org/wp-content/uploads/2018/04/jason-alan-birt.jpg" TargetMode="External"/><Relationship Id="rId5502" Type="http://schemas.openxmlformats.org/officeDocument/2006/relationships/hyperlink" Target="https://www.fatalencounters.org/wp-content/uploads/2018/12/Jason-Paul-OBannon.jpg" TargetMode="External"/><Relationship Id="rId6900" Type="http://schemas.openxmlformats.org/officeDocument/2006/relationships/hyperlink" Target="https://www.palestineherald.com/news/his-life-crumbling-local-man-killed-by-state-trooper-after/article_38d23eda-f375-11e9-963c-0f69816a9f47.html" TargetMode="External"/><Relationship Id="rId3053" Type="http://schemas.openxmlformats.org/officeDocument/2006/relationships/hyperlink" Target="http://www.fatalencounters.org/wp-content/uploads/2013/10/Josue-Javier-Diaz.png" TargetMode="External"/><Relationship Id="rId4104" Type="http://schemas.openxmlformats.org/officeDocument/2006/relationships/hyperlink" Target="http://www.fatalencounters.org/wp-content/uploads/2018/01/Jason-D.-Whittemore.jpg" TargetMode="External"/><Relationship Id="rId3120" Type="http://schemas.openxmlformats.org/officeDocument/2006/relationships/hyperlink" Target="http://www.chicagotribune.com/news/local/breaking/ct-man-dies-while-detained-by-police-20170905-story.html" TargetMode="External"/><Relationship Id="rId6276" Type="http://schemas.openxmlformats.org/officeDocument/2006/relationships/hyperlink" Target="https://www.tcpalm.com/story/news/crime/indian-river-county/2019/05/28/ryan-brett-thomas-satellite-beach-killed-95-shootout-indian-river-deputies/1257876001/" TargetMode="External"/><Relationship Id="rId6690" Type="http://schemas.openxmlformats.org/officeDocument/2006/relationships/hyperlink" Target="http://www.kake.com/story/40975578/kbi-investigates-officer-involved-shooting-in-salina" TargetMode="External"/><Relationship Id="rId2886" Type="http://schemas.openxmlformats.org/officeDocument/2006/relationships/hyperlink" Target="http://www.fatalencounters.org/wp-content/uploads/2013/10/Rodolfo-Ballardo.jpg" TargetMode="External"/><Relationship Id="rId3937" Type="http://schemas.openxmlformats.org/officeDocument/2006/relationships/hyperlink" Target="http://www.fatalencounters.org/wp-content/uploads/2013/10/Frederick-Douglas-Wilburn-Jr..jpg" TargetMode="External"/><Relationship Id="rId5292" Type="http://schemas.openxmlformats.org/officeDocument/2006/relationships/hyperlink" Target="https://www.fatalencounters.org/wp-content/uploads/2018/10/KeyshonParhamI.jpg" TargetMode="External"/><Relationship Id="rId6343" Type="http://schemas.openxmlformats.org/officeDocument/2006/relationships/hyperlink" Target="https://kfor.com/2019/06/10/osbi-officials-investigating-fatal-officer-involved-shooting-in-lawton/" TargetMode="External"/><Relationship Id="rId858" Type="http://schemas.openxmlformats.org/officeDocument/2006/relationships/hyperlink" Target="http://www.latimes.com/local/lanow/la-me-ln-in-custody-death-long-beach-20150906-story.html" TargetMode="External"/><Relationship Id="rId1488" Type="http://schemas.openxmlformats.org/officeDocument/2006/relationships/hyperlink" Target="https://www.dnainfo.com/chicago/20160131/west-englewood/officers-shoot-kill-person-after-alleged-home-invasion-sunday-police" TargetMode="External"/><Relationship Id="rId2539" Type="http://schemas.openxmlformats.org/officeDocument/2006/relationships/hyperlink" Target="http://www.pe.com/articles/dec-821328-police-killed.html" TargetMode="External"/><Relationship Id="rId2953" Type="http://schemas.openxmlformats.org/officeDocument/2006/relationships/hyperlink" Target="http://www.fatalencounters.org/wp-content/uploads/2013/10/HectorSoria.jpg" TargetMode="External"/><Relationship Id="rId6410" Type="http://schemas.openxmlformats.org/officeDocument/2006/relationships/hyperlink" Target="https://fatalencounters.org/wp-content/uploads/2019/07/Elijah-Collins.jpg" TargetMode="External"/><Relationship Id="rId925" Type="http://schemas.openxmlformats.org/officeDocument/2006/relationships/hyperlink" Target="http://www.cleveland.com/parma/index.ssf/2015/10/suspect_in_robbery_of_parma_pa.html" TargetMode="External"/><Relationship Id="rId1555" Type="http://schemas.openxmlformats.org/officeDocument/2006/relationships/hyperlink" Target="http://www.wsiltv.com/story/31708416/isp-suspect-in-chase-killed-by-officers-shots" TargetMode="External"/><Relationship Id="rId2606" Type="http://schemas.openxmlformats.org/officeDocument/2006/relationships/hyperlink" Target="http://ktla.com/2017/01/12/deputies-fatally-shoot-suspected-dui-driver-following-erratic-pursuit-in-lake-elsinore-area/" TargetMode="External"/><Relationship Id="rId5012" Type="http://schemas.openxmlformats.org/officeDocument/2006/relationships/hyperlink" Target="https://fox4kc.com/2018/08/04/man-threatening-suicide-talking-about-mass-shooting-gets-killed-in-liberty-officer-involved-shooting/" TargetMode="External"/><Relationship Id="rId1208" Type="http://schemas.openxmlformats.org/officeDocument/2006/relationships/hyperlink" Target="http://www.swoknews.com/local/man-waving-gun-sheridan-lee-shot-killed-police" TargetMode="External"/><Relationship Id="rId7184" Type="http://schemas.openxmlformats.org/officeDocument/2006/relationships/hyperlink" Target="http://www.dallasnews.com/news/20130408-police-woman-killed-along-north-central-in-richardson-this-morning-had-outstanding-narcotics-warrants.ece" TargetMode="External"/><Relationship Id="rId1622" Type="http://schemas.openxmlformats.org/officeDocument/2006/relationships/hyperlink" Target="http://www.21alive.com/news/local/Shooting-on-East-Rudisill-leaves-one-dead-one-injured-372889371.html" TargetMode="External"/><Relationship Id="rId4778" Type="http://schemas.openxmlformats.org/officeDocument/2006/relationships/hyperlink" Target="https://www.fatalencounters.org/wp-content/uploads/2018/06/TerrenceWhite.jpg" TargetMode="External"/><Relationship Id="rId5829" Type="http://schemas.openxmlformats.org/officeDocument/2006/relationships/hyperlink" Target="https://www.seattletimes.com/seattle-news/crime/man-fatally-shot-by-officers-after-stabbing-woman-to-death-in-north-seattle-police-way/" TargetMode="External"/><Relationship Id="rId7251" Type="http://schemas.openxmlformats.org/officeDocument/2006/relationships/hyperlink" Target="https://scontent.fsnc1-2.fna.fbcdn.net/v/t1.0-9/529498_1384063595171635_357602758_n.jpg?oh=1bbea0de5c7ca969e473c4e4963c0199&amp;oe=57FA1D88" TargetMode="External"/><Relationship Id="rId3794" Type="http://schemas.openxmlformats.org/officeDocument/2006/relationships/hyperlink" Target="http://www.clarionledger.com/story/news/local/2017/11/04/one-dead-officer-involved-shooting/832137001/" TargetMode="External"/><Relationship Id="rId4845" Type="http://schemas.openxmlformats.org/officeDocument/2006/relationships/hyperlink" Target="https://www.detroitnews.com/story/news/local/oakland-county/2018/06/29/waterford-cops-shoot-kill-suspect-after-chase/744910002/" TargetMode="External"/><Relationship Id="rId2396" Type="http://schemas.openxmlformats.org/officeDocument/2006/relationships/hyperlink" Target="http://www.fatalencounters.org/wp-content/uploads/2013/10/Gabriel-Parker.jpg" TargetMode="External"/><Relationship Id="rId3447" Type="http://schemas.openxmlformats.org/officeDocument/2006/relationships/hyperlink" Target="http://www.fatalencounters.org/wp-content/uploads/2013/10/ShawnBuck.jpg" TargetMode="External"/><Relationship Id="rId3861" Type="http://schemas.openxmlformats.org/officeDocument/2006/relationships/hyperlink" Target="http://www.thenewsstar.com/story/news/crime/2017/11/17/wm-police-scene-officer-involved-shooting/876603001/" TargetMode="External"/><Relationship Id="rId4912" Type="http://schemas.openxmlformats.org/officeDocument/2006/relationships/hyperlink" Target="https://www.fatalencounters.org/wp-content/uploads/2018/08/Isaac-Ovidio-Chapa-III.jpg" TargetMode="External"/><Relationship Id="rId368" Type="http://schemas.openxmlformats.org/officeDocument/2006/relationships/hyperlink" Target="http://www.yakimaherald.com/news/latestlocalnews/2632541-8/man-fatally-shot-by-yakima-county-deputy" TargetMode="External"/><Relationship Id="rId782" Type="http://schemas.openxmlformats.org/officeDocument/2006/relationships/hyperlink" Target="http://www.khou.com/story/news/local/2015/08/09/man-killed-in-officer-involved-shooting-in-waller-county/31363535/" TargetMode="External"/><Relationship Id="rId2049" Type="http://schemas.openxmlformats.org/officeDocument/2006/relationships/hyperlink" Target="http://www.fatalencounters.org/wp-content/uploads/2013/10/Bradley-Carey.jpg" TargetMode="External"/><Relationship Id="rId2463" Type="http://schemas.openxmlformats.org/officeDocument/2006/relationships/hyperlink" Target="http://www.arkansasonline.com/news/2016/dec/01/state-police-en-route-shooting-pope-county-spokesm/?f=news-arkansas" TargetMode="External"/><Relationship Id="rId3514" Type="http://schemas.openxmlformats.org/officeDocument/2006/relationships/hyperlink" Target="http://www.fatalencounters.org/wp-content/uploads/2013/10/michaeldial3.jpg" TargetMode="External"/><Relationship Id="rId435" Type="http://schemas.openxmlformats.org/officeDocument/2006/relationships/hyperlink" Target="http://www.ky3.com/news/local/deadly-offiverinvolved-shooting-kills-cassville-man-officer-injured/21048998_26424836" TargetMode="External"/><Relationship Id="rId1065" Type="http://schemas.openxmlformats.org/officeDocument/2006/relationships/hyperlink" Target="http://www.19actionnews.com/story/28380324/one-dead-after-officer-involved-shooting-in-cleveland" TargetMode="External"/><Relationship Id="rId2116" Type="http://schemas.openxmlformats.org/officeDocument/2006/relationships/hyperlink" Target="http://ksn.com/2016/08/18/man-killed-in-officer-involved-shooting-in-hays/" TargetMode="External"/><Relationship Id="rId2530" Type="http://schemas.openxmlformats.org/officeDocument/2006/relationships/hyperlink" Target="http://www.heraldnet.com/news/lynnwood-officer-fatally-shoots-suspect-during-struggle/" TargetMode="External"/><Relationship Id="rId5686" Type="http://schemas.openxmlformats.org/officeDocument/2006/relationships/hyperlink" Target="https://cnycentral.com/news/local/utica-police-off-duty-police-officer-shoots-kills-syracuse-man-during-reported-robbery" TargetMode="External"/><Relationship Id="rId6737" Type="http://schemas.openxmlformats.org/officeDocument/2006/relationships/hyperlink" Target="https://www.kiro7.com/news/south-sound-news/officer-involved-shooting-monday-in-aberdeen/984539556" TargetMode="External"/><Relationship Id="rId502" Type="http://schemas.openxmlformats.org/officeDocument/2006/relationships/hyperlink" Target="http://www.delmarvanow.com/article/20140205/NEWS/302050037" TargetMode="External"/><Relationship Id="rId1132" Type="http://schemas.openxmlformats.org/officeDocument/2006/relationships/hyperlink" Target="http://www.ajc.com/news/news/crime-law/officer-involved-shooting-reported-near-downtown-a/npY4J/" TargetMode="External"/><Relationship Id="rId4288" Type="http://schemas.openxmlformats.org/officeDocument/2006/relationships/hyperlink" Target="http://www.fatalencounters.org/wp-content/uploads/2018/03/taylorhaydon.jpg" TargetMode="External"/><Relationship Id="rId5339" Type="http://schemas.openxmlformats.org/officeDocument/2006/relationships/hyperlink" Target="https://www.fatalencounters.org/wp-content/uploads/2018/10/johnsonbillyjo.jpg" TargetMode="External"/><Relationship Id="rId4355" Type="http://schemas.openxmlformats.org/officeDocument/2006/relationships/hyperlink" Target="http://www.kob.com/new-mexico-news/shooting-suspect-andy-lucero-shot-killed-by-police/4822517/" TargetMode="External"/><Relationship Id="rId5753" Type="http://schemas.openxmlformats.org/officeDocument/2006/relationships/hyperlink" Target="https://www.fatalencounters.org/wp-content/uploads/2019/01/Jose-Mercado.jpg" TargetMode="External"/><Relationship Id="rId6804" Type="http://schemas.openxmlformats.org/officeDocument/2006/relationships/hyperlink" Target="https://www.wowktv.com/news/local/huntington-police-on-scene-of-shooting/" TargetMode="External"/><Relationship Id="rId1949" Type="http://schemas.openxmlformats.org/officeDocument/2006/relationships/hyperlink" Target="http://heavy.com/news/2016/07/micah-xavier-x-johnson-dallas-police-shooting-sniper-gunman-shooter-suspect-name-identified-photos-facebook-video/" TargetMode="External"/><Relationship Id="rId4008" Type="http://schemas.openxmlformats.org/officeDocument/2006/relationships/hyperlink" Target="https://www.yakimaherald.com/news/crime_and_courts/blind-man-killed-after-confrontation-with-yakima-pd/article_004cfacc-ea54-11e7-9465-130f28e3aef2.html" TargetMode="External"/><Relationship Id="rId5406" Type="http://schemas.openxmlformats.org/officeDocument/2006/relationships/hyperlink" Target="https://www.fatalencounters.org/wp-content/uploads/2018/11/JohnManning.jpg" TargetMode="External"/><Relationship Id="rId5820" Type="http://schemas.openxmlformats.org/officeDocument/2006/relationships/hyperlink" Target="https://www.newschannel5.com/news/man-shot-killed-during-standoff-with-rutherford-co-deputies" TargetMode="External"/><Relationship Id="rId292" Type="http://schemas.openxmlformats.org/officeDocument/2006/relationships/hyperlink" Target="http://www.10tv.com/content/stories/2015/03/29/pike-county-ohio--officer-involved-shooting-leaves-one-dead.html" TargetMode="External"/><Relationship Id="rId3371" Type="http://schemas.openxmlformats.org/officeDocument/2006/relationships/hyperlink" Target="http://www.seattletimes.com/seattle-news/man-killed-by-troopers-on-i-5-identified-as-guard-reservist/" TargetMode="External"/><Relationship Id="rId4422" Type="http://schemas.openxmlformats.org/officeDocument/2006/relationships/hyperlink" Target="http://www.fatalencounters.org/wp-content/uploads/2018/03/NathanCastle.jpg" TargetMode="External"/><Relationship Id="rId3024" Type="http://schemas.openxmlformats.org/officeDocument/2006/relationships/hyperlink" Target="http://www.fatalencounters.org/wp-content/uploads/2013/10/Bartolo-Justice-Sambrano.jpg" TargetMode="External"/><Relationship Id="rId6594" Type="http://schemas.openxmlformats.org/officeDocument/2006/relationships/hyperlink" Target="https://www.deseretnews.com/article/900082858/man-killed-by-salt-lake-police-fired-gun-riche-antonio-santiago.html" TargetMode="External"/><Relationship Id="rId2040" Type="http://schemas.openxmlformats.org/officeDocument/2006/relationships/hyperlink" Target="http://losangeles.cbslocal.com/2016/08/02/suspect-dies-following-deputy-involved-shooting-in-castaic/" TargetMode="External"/><Relationship Id="rId5196" Type="http://schemas.openxmlformats.org/officeDocument/2006/relationships/hyperlink" Target="https://abc7.com/suspects-in-east-la-gunfight-with-deputies-idd-as-known-gang-members/4296571/" TargetMode="External"/><Relationship Id="rId6247" Type="http://schemas.openxmlformats.org/officeDocument/2006/relationships/hyperlink" Target="https://www.thedenverchannel.com/news/crime/man-shot-and-killed-at-on-ramp-to-i-25-in-trinidad-after-fleeing-officers-cbi-says" TargetMode="External"/><Relationship Id="rId6661" Type="http://schemas.openxmlformats.org/officeDocument/2006/relationships/hyperlink" Target="https://5newsonline.com/2019/08/22/state-police-investigate-officer-involved-shooting-after-rescue-of-9-year-old-in-standoff/" TargetMode="External"/><Relationship Id="rId5263" Type="http://schemas.openxmlformats.org/officeDocument/2006/relationships/hyperlink" Target="https://www.fatalencounters.org/wp-content/uploads/2018/10/Ramirez27.jpg" TargetMode="External"/><Relationship Id="rId6314" Type="http://schemas.openxmlformats.org/officeDocument/2006/relationships/hyperlink" Target="https://www.modbee.com/news/local/crime/article231247008.html" TargetMode="External"/><Relationship Id="rId1459" Type="http://schemas.openxmlformats.org/officeDocument/2006/relationships/hyperlink" Target="http://www.charlotteobserver.com/news/local/atzw18/picture52910980/ALTERNATES/FREE_320/James_Hampton_Evans" TargetMode="External"/><Relationship Id="rId2857" Type="http://schemas.openxmlformats.org/officeDocument/2006/relationships/hyperlink" Target="http://www.nbc12.com/story/34345766/va-man-with-schizophrenia-dies-after-being-shot-with-taser-by-law-enforcement" TargetMode="External"/><Relationship Id="rId3908" Type="http://schemas.openxmlformats.org/officeDocument/2006/relationships/hyperlink" Target="http://www.killedbypolice.net/victims/171098.jpg" TargetMode="External"/><Relationship Id="rId5330" Type="http://schemas.openxmlformats.org/officeDocument/2006/relationships/hyperlink" Target="https://www.fatalencounters.org/wp-content/uploads/2018/11/Langley-J-portrait-final.jpg" TargetMode="External"/><Relationship Id="rId98" Type="http://schemas.openxmlformats.org/officeDocument/2006/relationships/hyperlink" Target="http://abc30.com/news/man-wanted-after-deadly-fresno-county-deputy-involved-shooting-identified/808781/" TargetMode="External"/><Relationship Id="rId829" Type="http://schemas.openxmlformats.org/officeDocument/2006/relationships/hyperlink" Target="http://www.startribune.com/man-fatally-shot-by-itasca-county-deputy-is-id-d/322626551/" TargetMode="External"/><Relationship Id="rId1873" Type="http://schemas.openxmlformats.org/officeDocument/2006/relationships/hyperlink" Target="http://www.fatalencounters.org/wp-content/uploads/2013/10/Mills.jpg" TargetMode="External"/><Relationship Id="rId2924" Type="http://schemas.openxmlformats.org/officeDocument/2006/relationships/hyperlink" Target="http://valleycentral.com/news/local/42-year-old-man-killed-in-gunfire-exchange-with-mission-police" TargetMode="External"/><Relationship Id="rId7088" Type="http://schemas.openxmlformats.org/officeDocument/2006/relationships/hyperlink" Target="https://www.azfamily.com/news/phoenix-man-armed-with-kitchen-knife-shot-killed-by-globe/article_97121636-2daa-11ea-8116-074893fe7e9b.html" TargetMode="External"/><Relationship Id="rId1526" Type="http://schemas.openxmlformats.org/officeDocument/2006/relationships/hyperlink" Target="http://www.ksla.com/story/31298829/la-state-police-investigates-deadly-officer-involved-shooting-in-baton-rouge" TargetMode="External"/><Relationship Id="rId1940" Type="http://schemas.openxmlformats.org/officeDocument/2006/relationships/hyperlink" Target="http://www.fatalencounters.org/wp-content/uploads/2013/10/HT_PhilandoCastile.jpg" TargetMode="External"/><Relationship Id="rId3698" Type="http://schemas.openxmlformats.org/officeDocument/2006/relationships/hyperlink" Target="http://www.wusa9.com/news/local/man-dies-after-police-involved-shooting-in-howard-county/383409128" TargetMode="External"/><Relationship Id="rId4749" Type="http://schemas.openxmlformats.org/officeDocument/2006/relationships/hyperlink" Target="http://www.wsfa.com/story/38388975/wife-husband-unarmed-when-he-was-shot-three-times-by-madison-co-sheriffs-deputy" TargetMode="External"/><Relationship Id="rId7155" Type="http://schemas.openxmlformats.org/officeDocument/2006/relationships/hyperlink" Target="https://usgunviolence.files.wordpress.com/2013/11/jimmy-wayne-birchfield1.png?w=625" TargetMode="External"/><Relationship Id="rId3765" Type="http://schemas.openxmlformats.org/officeDocument/2006/relationships/hyperlink" Target="http://www.fatalencounters.org/wp-content/uploads/2013/10/eric-higgs.jpg" TargetMode="External"/><Relationship Id="rId4816" Type="http://schemas.openxmlformats.org/officeDocument/2006/relationships/hyperlink" Target="https://theworldlink.com/news/local/crime-and-courts/dead-in-officer-involved-shooting-in-coos-bay/article_33499447-ddd8-5887-b30d-66f9feb77aec.html" TargetMode="External"/><Relationship Id="rId6171" Type="http://schemas.openxmlformats.org/officeDocument/2006/relationships/hyperlink" Target="https://www.news9.com/story/40385906/officerinvolved-shooting-reported-in-edmond" TargetMode="External"/><Relationship Id="rId7222" Type="http://schemas.openxmlformats.org/officeDocument/2006/relationships/hyperlink" Target="http://komonews.com/news/local/deputy-cleared-in-fatal-shooting-of-fugitive-at-buckley-motel" TargetMode="External"/><Relationship Id="rId686" Type="http://schemas.openxmlformats.org/officeDocument/2006/relationships/hyperlink" Target="http://ktla.com/2015/11/20/fontana-officer-fatally-shoots-allegedly-armed-man/" TargetMode="External"/><Relationship Id="rId2367" Type="http://schemas.openxmlformats.org/officeDocument/2006/relationships/hyperlink" Target="http://www.fatalencounters.org/wp-content/uploads/2013/10/CarlosMendez.jpg" TargetMode="External"/><Relationship Id="rId2781" Type="http://schemas.openxmlformats.org/officeDocument/2006/relationships/hyperlink" Target="http://www.jacksonsun.com/story/news/crime/2017/03/16/officer-involved-shooting-alamo/99271940/" TargetMode="External"/><Relationship Id="rId3418" Type="http://schemas.openxmlformats.org/officeDocument/2006/relationships/hyperlink" Target="http://5newsonline.com/2017/06/09/man-shot-killed-in-sequoyah-county-standoff/" TargetMode="External"/><Relationship Id="rId339" Type="http://schemas.openxmlformats.org/officeDocument/2006/relationships/hyperlink" Target="http://www.arklatexhomepage.com/media/lib/186/8/4/d/84d8a85a-cc51-4371-b6d1-6a6fb81977f1/Story.jpg" TargetMode="External"/><Relationship Id="rId753" Type="http://schemas.openxmlformats.org/officeDocument/2006/relationships/hyperlink" Target="http://www.gannett-cdn.com/-mm-/2feee69581913188b2cf299f4cee3495a99e38ea/r=537&amp;c=0-0-534-712/http/cdn.tegna-tv.com/-mm-/79df8fa93a29cda0ccbefa9253fdd7143b4ca437/c=16-0-399-511/local/-/media/2015/08/24/WTLV/WTLV/635760223283433872-110.jpg" TargetMode="External"/><Relationship Id="rId1383" Type="http://schemas.openxmlformats.org/officeDocument/2006/relationships/hyperlink" Target="http://ktla.com/2016/02/09/man-22-killed-in-officer-involved-shooting-in-anaheims-sage-park/" TargetMode="External"/><Relationship Id="rId2434" Type="http://schemas.openxmlformats.org/officeDocument/2006/relationships/hyperlink" Target="http://www.chicagotribune.com/news/local/breaking/ct-police-involved-fatal-shooting-20161125-story.html" TargetMode="External"/><Relationship Id="rId3832" Type="http://schemas.openxmlformats.org/officeDocument/2006/relationships/hyperlink" Target="http://www.startribune.com/man-fatally-shot-by-police-officers-in-crystal/456770083/" TargetMode="External"/><Relationship Id="rId6988" Type="http://schemas.openxmlformats.org/officeDocument/2006/relationships/hyperlink" Target="https://www.channel3000.com/news/crime/23-year-old-victim-identified-in-officer-involved-shooting-in-beloit/1150819308" TargetMode="External"/><Relationship Id="rId406" Type="http://schemas.openxmlformats.org/officeDocument/2006/relationships/hyperlink" Target="http://kbmt.images.worldnow.com/images/4452029_G.jpg" TargetMode="External"/><Relationship Id="rId1036" Type="http://schemas.openxmlformats.org/officeDocument/2006/relationships/hyperlink" Target="http://mugshots.com/search.html?q=alexia%20christian&amp;c=119250" TargetMode="External"/><Relationship Id="rId820" Type="http://schemas.openxmlformats.org/officeDocument/2006/relationships/hyperlink" Target="http://www.timesfreepress.com/news/local/story/2015/aug/27/police-highway-153-blocked-after-fatal-shooting-hixson/322021/" TargetMode="External"/><Relationship Id="rId1450" Type="http://schemas.openxmlformats.org/officeDocument/2006/relationships/hyperlink" Target="http://www.chieftain.com/news/4553421-120/troopers-gonzalez-reportedly-vehicle" TargetMode="External"/><Relationship Id="rId2501" Type="http://schemas.openxmlformats.org/officeDocument/2006/relationships/hyperlink" Target="http://www.wfmz.com/news/top-stories/man-shot-and-killed-by-forks-township-police-officer/203462830" TargetMode="External"/><Relationship Id="rId5657" Type="http://schemas.openxmlformats.org/officeDocument/2006/relationships/hyperlink" Target="https://www.fatalencounters.org/wp-content/uploads/2019/01/Abiel-Innis-De-Joel-Rios.jpeg" TargetMode="External"/><Relationship Id="rId6708" Type="http://schemas.openxmlformats.org/officeDocument/2006/relationships/hyperlink" Target="https://okcfox.com/news/local/osbi-identifies-suspect-in-deadly-officer-involved-shooting" TargetMode="External"/><Relationship Id="rId1103" Type="http://schemas.openxmlformats.org/officeDocument/2006/relationships/hyperlink" Target="http://bloximages.newyork1.vip.townnews.com/oanow.com/content/tncms/assets/v3/editorial/4/24/42460824-81ce-11e5-8788-17b5c2efa76d/563814cfd1a5a.image.jpg?resize=300%2C169" TargetMode="External"/><Relationship Id="rId4259" Type="http://schemas.openxmlformats.org/officeDocument/2006/relationships/hyperlink" Target="http://www.wsaz.com/content/news/Officer-involved-shooting-reported-in-Kanawha-County-474322563.html" TargetMode="External"/><Relationship Id="rId4673" Type="http://schemas.openxmlformats.org/officeDocument/2006/relationships/hyperlink" Target="http://www.kentucky.com/news/state/article211562049.html" TargetMode="External"/><Relationship Id="rId5724" Type="http://schemas.openxmlformats.org/officeDocument/2006/relationships/hyperlink" Target="https://azdailysun.com/news/state-and-regional/arizona-police-to-re-interview-people-in-teenage-boy-s/article_87ff8528-ab00-5eb7-b05b-f6d8d953da06.html" TargetMode="External"/><Relationship Id="rId3275" Type="http://schemas.openxmlformats.org/officeDocument/2006/relationships/hyperlink" Target="http://www.fatalencounters.org/wp-content/uploads/2013/10/Kristen-Ambury.jpg" TargetMode="External"/><Relationship Id="rId4326" Type="http://schemas.openxmlformats.org/officeDocument/2006/relationships/hyperlink" Target="http://www.wymt.com/content/news/Police-surround-home-after-gunshots-heard-inside-475940063.html" TargetMode="External"/><Relationship Id="rId4740" Type="http://schemas.openxmlformats.org/officeDocument/2006/relationships/hyperlink" Target="https://www.fatalencounters.org/wp-content/uploads/2018/06/Roger-Dale-Sims.jpg" TargetMode="External"/><Relationship Id="rId196" Type="http://schemas.openxmlformats.org/officeDocument/2006/relationships/hyperlink" Target="http://www.thv11.com/story/news/crime/2015/05/19/police-respond-to-cabot-shooting/27627629/" TargetMode="External"/><Relationship Id="rId2291" Type="http://schemas.openxmlformats.org/officeDocument/2006/relationships/hyperlink" Target="http://www.seattletimes.com/news/woman-fatally-shot-by-deputies-was-pregnant-relative-says/" TargetMode="External"/><Relationship Id="rId3342" Type="http://schemas.openxmlformats.org/officeDocument/2006/relationships/hyperlink" Target="http://www.star-telegram.com/news/local/community/arlington/article161616958.html" TargetMode="External"/><Relationship Id="rId6498" Type="http://schemas.openxmlformats.org/officeDocument/2006/relationships/hyperlink" Target="https://www.covnews.com/news/crime/breaking-gbi-scene-officer-involved-shooting-porterdale/" TargetMode="External"/><Relationship Id="rId263" Type="http://schemas.openxmlformats.org/officeDocument/2006/relationships/hyperlink" Target="http://fox2now.com/2015/04/14/man-identified-in-alton-officer-involved-shooting/" TargetMode="External"/><Relationship Id="rId6565" Type="http://schemas.openxmlformats.org/officeDocument/2006/relationships/hyperlink" Target="http://www.fox13news.com/news/local-news/deputy-involved-in-shooting-in-temple-terrace" TargetMode="External"/><Relationship Id="rId330" Type="http://schemas.openxmlformats.org/officeDocument/2006/relationships/hyperlink" Target="http://www.wthr.com/story/27658447/police-pursuit-standoff-shuts-down-state-road-67-at-owen-morgan-county-line" TargetMode="External"/><Relationship Id="rId2011" Type="http://schemas.openxmlformats.org/officeDocument/2006/relationships/hyperlink" Target="http://www.fatalencounters.org/wp-content/uploads/2013/10/Dylan-Liberti.png" TargetMode="External"/><Relationship Id="rId5167" Type="http://schemas.openxmlformats.org/officeDocument/2006/relationships/hyperlink" Target="https://www.fatalencounters.org/wp-content/uploads/2018/09/chris-leonard-.jpg" TargetMode="External"/><Relationship Id="rId6218" Type="http://schemas.openxmlformats.org/officeDocument/2006/relationships/hyperlink" Target="https://vtdigger.org/2019/05/12/police-fatally-shoot-subject-bethel-area-manhunt-hostage-unharmed/" TargetMode="External"/><Relationship Id="rId4183" Type="http://schemas.openxmlformats.org/officeDocument/2006/relationships/hyperlink" Target="https://www.click2houston.com/news/conroe-police-to-address-officer-involved-shooting-in-montgomery-county" TargetMode="External"/><Relationship Id="rId5581" Type="http://schemas.openxmlformats.org/officeDocument/2006/relationships/hyperlink" Target="https://www.fatalencounters.org/wp-content/uploads/2018/12/davidbarstad.jpg" TargetMode="External"/><Relationship Id="rId6632" Type="http://schemas.openxmlformats.org/officeDocument/2006/relationships/hyperlink" Target="https://www.joplinglobe.com/news/local_news/updated-joplin-officer-involved-shooting-victim-identified/article_0b0fa421-6071-55b5-83df-711ab8b89dc2.html" TargetMode="External"/><Relationship Id="rId1777" Type="http://schemas.openxmlformats.org/officeDocument/2006/relationships/hyperlink" Target="http://www.oregonlive.com/tualatin/index.ssf/2016/05/tualatin_police_shoot_man.html" TargetMode="External"/><Relationship Id="rId2828" Type="http://schemas.openxmlformats.org/officeDocument/2006/relationships/hyperlink" Target="http://www.greensboro.com/news/suspect-who-shot-greensboro-police-officer-during-traffic-stop-dies/article_243c5e7a-435b-5309-97d4-3d40da2860f4.html" TargetMode="External"/><Relationship Id="rId5234" Type="http://schemas.openxmlformats.org/officeDocument/2006/relationships/hyperlink" Target="https://www.kivitv.com/news/nampa-man-dies-in-officer-involved-shooting" TargetMode="External"/><Relationship Id="rId69" Type="http://schemas.openxmlformats.org/officeDocument/2006/relationships/hyperlink" Target="http://www.kansascity.com/news/local/crime/iwklhy/picture26752486/ALTERNATES/FREE_640/Booth" TargetMode="External"/><Relationship Id="rId1844" Type="http://schemas.openxmlformats.org/officeDocument/2006/relationships/hyperlink" Target="http://helenair.com/news/crime-and-courts/police-identify-man-shot-thursday-by-butte-police-as-peter/article_14a3da13-8702-5b25-964d-a16a0359237d.html" TargetMode="External"/><Relationship Id="rId4250" Type="http://schemas.openxmlformats.org/officeDocument/2006/relationships/hyperlink" Target="http://www.al.com/news/mobile/index.ssf/2018/02/swat_kills_mobile_man_after_st.html" TargetMode="External"/><Relationship Id="rId5301" Type="http://schemas.openxmlformats.org/officeDocument/2006/relationships/hyperlink" Target="https://www.courierpostonline.com/story/news/crime/2018/10/18/traffic-snarled-delsea-drive-and-boulevard/1688014002/" TargetMode="External"/><Relationship Id="rId7059" Type="http://schemas.openxmlformats.org/officeDocument/2006/relationships/hyperlink" Target="https://www.news9.com/story/41492867/police-suspect-dead-after-officerinvolved-shooting-at-okc-sonic" TargetMode="External"/><Relationship Id="rId1911" Type="http://schemas.openxmlformats.org/officeDocument/2006/relationships/hyperlink" Target="http://www.wkow.com/story/32351785/2016/06/30/police-respond-to-report-of-residential-break-in-on-madisons-near-east-side" TargetMode="External"/><Relationship Id="rId3669" Type="http://schemas.openxmlformats.org/officeDocument/2006/relationships/hyperlink" Target="http://woodtv.com/2017/01/24/officers-responding-to-shooting-north-of-rockford/" TargetMode="External"/><Relationship Id="rId6075" Type="http://schemas.openxmlformats.org/officeDocument/2006/relationships/hyperlink" Target="https://fatalencounters.org/wp-content/uploads/2019/09/israel-miranda-jr.jpg" TargetMode="External"/><Relationship Id="rId7126" Type="http://schemas.openxmlformats.org/officeDocument/2006/relationships/hyperlink" Target="http://www.troybsmith.com/sitemaker/memsol_data/1628/925756/925756_profile_pic.jpeg" TargetMode="External"/><Relationship Id="rId5091" Type="http://schemas.openxmlformats.org/officeDocument/2006/relationships/hyperlink" Target="https://www.denverpost.com/2018/08/27/man-shot-by-westminster-officer-identified/" TargetMode="External"/><Relationship Id="rId6142" Type="http://schemas.openxmlformats.org/officeDocument/2006/relationships/hyperlink" Target="https://fatalencounters.org/wp-content/uploads/2019/08/Sean-Michael-Collins.jpg" TargetMode="External"/><Relationship Id="rId1287" Type="http://schemas.openxmlformats.org/officeDocument/2006/relationships/hyperlink" Target="http://content.wfaa.com/photo/2016/03/07/mark-minnick_1457373452280_894376_ver1.0.jpg" TargetMode="External"/><Relationship Id="rId2685" Type="http://schemas.openxmlformats.org/officeDocument/2006/relationships/hyperlink" Target="http://www.postandcourier.com/news/updated-man-shot-by-north-charleston-police-sunday-night-has/article_4d7e1f06-5a5d-11e7-a14e-cbbada610957.html" TargetMode="External"/><Relationship Id="rId3736" Type="http://schemas.openxmlformats.org/officeDocument/2006/relationships/hyperlink" Target="http://www.fatalencounters.org/wp-content/uploads/2013/10/Nicholas-Pimentel.jpg" TargetMode="External"/><Relationship Id="rId657" Type="http://schemas.openxmlformats.org/officeDocument/2006/relationships/hyperlink" Target="http://www.killedbypolice.net/victims/151011.jpg" TargetMode="External"/><Relationship Id="rId2338" Type="http://schemas.openxmlformats.org/officeDocument/2006/relationships/hyperlink" Target="http://www.houmatoday.com/news/20161102/terrebonne-deputy-kills-man-who-shot-himself-then-pointed-gun-at-officer" TargetMode="External"/><Relationship Id="rId2752" Type="http://schemas.openxmlformats.org/officeDocument/2006/relationships/hyperlink" Target="http://www.fatalencounters.org/wp-content/uploads/2013/10/Keith-Price.png" TargetMode="External"/><Relationship Id="rId3803" Type="http://schemas.openxmlformats.org/officeDocument/2006/relationships/hyperlink" Target="http://www.fatalencounters.org/wp-content/uploads/2013/10/Eddie-Patterson.png" TargetMode="External"/><Relationship Id="rId6959" Type="http://schemas.openxmlformats.org/officeDocument/2006/relationships/hyperlink" Target="https://cbs12.com/news/local/shoot-me-sword-wielding-man-killed-by-deputies" TargetMode="External"/><Relationship Id="rId724" Type="http://schemas.openxmlformats.org/officeDocument/2006/relationships/hyperlink" Target="http://www.wxii12.com/news/stabbing-standoff-reported-in-stokes-co/34345684" TargetMode="External"/><Relationship Id="rId1354" Type="http://schemas.openxmlformats.org/officeDocument/2006/relationships/hyperlink" Target="http://www.ledger-enquirer.com/news/local/crime/article57379388.html" TargetMode="External"/><Relationship Id="rId2405" Type="http://schemas.openxmlformats.org/officeDocument/2006/relationships/hyperlink" Target="http://ktla.com/2016/11/20/suspect-wanted-for-allegedly-ramming-car-into-another-vehicle-on-91-freeway-fatally-shot-by-anaheim-police-no-officers-injured/" TargetMode="External"/><Relationship Id="rId5975" Type="http://schemas.openxmlformats.org/officeDocument/2006/relationships/hyperlink" Target="https://www.fatalencounters.org/wp-content/uploads/2019/03/HenryRivera.jpg" TargetMode="External"/><Relationship Id="rId60" Type="http://schemas.openxmlformats.org/officeDocument/2006/relationships/hyperlink" Target="http://www.azcentral.com/story/news/local/phoenix/2015/07/10/phoenix-police-shooting-suspect-cactus-abrk/29978125/" TargetMode="External"/><Relationship Id="rId1007" Type="http://schemas.openxmlformats.org/officeDocument/2006/relationships/hyperlink" Target="http://www.killedbypolice.net/victims/150504.jpg" TargetMode="External"/><Relationship Id="rId1421" Type="http://schemas.openxmlformats.org/officeDocument/2006/relationships/hyperlink" Target="http://www.presstelegram.com/general-news/20160229/norwalk-man-killed-in-deputy-involved-shooting-in-cerritos-is-identified" TargetMode="External"/><Relationship Id="rId4577" Type="http://schemas.openxmlformats.org/officeDocument/2006/relationships/hyperlink" Target="http://www.fatalencounters.org/wp-content/uploads/2018/05/Charles-Boeh.png" TargetMode="External"/><Relationship Id="rId4991" Type="http://schemas.openxmlformats.org/officeDocument/2006/relationships/hyperlink" Target="https://www.fatalencounters.org/wp-content/uploads/2018/08/Tramaine-Marquese-Poole.jpg" TargetMode="External"/><Relationship Id="rId5628" Type="http://schemas.openxmlformats.org/officeDocument/2006/relationships/hyperlink" Target="http://www.kansascity.com/news/local/crime/article193662789.html" TargetMode="External"/><Relationship Id="rId3179" Type="http://schemas.openxmlformats.org/officeDocument/2006/relationships/hyperlink" Target="http://abc7.com/news/car-theft-suspect-shot-dead-by-police-after-chase-in-south-gate/2122782/" TargetMode="External"/><Relationship Id="rId3593" Type="http://schemas.openxmlformats.org/officeDocument/2006/relationships/hyperlink" Target="http://www.wjfw.com/storydetails/20170227215335/breaking_lincoln_county_deputy_involved_in_deadly_critical_incident" TargetMode="External"/><Relationship Id="rId4644" Type="http://schemas.openxmlformats.org/officeDocument/2006/relationships/hyperlink" Target="https://newsok.com/article/5594611/names-of-troopers-released-in-friday-shootout" TargetMode="External"/><Relationship Id="rId7050" Type="http://schemas.openxmlformats.org/officeDocument/2006/relationships/hyperlink" Target="https://www.hattiesburgamerican.com/story/news/crime/2019/12/26/man-identified-officer-involved-shooting-hattiesburg/2750402001/" TargetMode="External"/><Relationship Id="rId2195" Type="http://schemas.openxmlformats.org/officeDocument/2006/relationships/hyperlink" Target="http://www.tampabay.com/news/publicsafety/pinellas-sheriffs-office-investigating-death-of-oldsmar-man-under/2292707" TargetMode="External"/><Relationship Id="rId3246" Type="http://schemas.openxmlformats.org/officeDocument/2006/relationships/hyperlink" Target="https://www.google.com/url?q=http://media.graytvinc.com/images/690*388/Matthew%2BZank%2Band%2BOfficer%2BKristopher%2BO%2BNeill.jpg&amp;sa=D&amp;ust=1508882833425000&amp;usg=AFQjCNETdtvbQDGm8L-YHOeC5yZKnahv6A" TargetMode="External"/><Relationship Id="rId167" Type="http://schemas.openxmlformats.org/officeDocument/2006/relationships/hyperlink" Target="http://www.killedbypolice.net/victims/150479.jpg" TargetMode="External"/><Relationship Id="rId581" Type="http://schemas.openxmlformats.org/officeDocument/2006/relationships/hyperlink" Target="http://www.killedbypolice.net/victims/150986.jpg" TargetMode="External"/><Relationship Id="rId2262" Type="http://schemas.openxmlformats.org/officeDocument/2006/relationships/hyperlink" Target="http://www.kentreporter.com/news/396875551.html" TargetMode="External"/><Relationship Id="rId3660" Type="http://schemas.openxmlformats.org/officeDocument/2006/relationships/hyperlink" Target="http://wtvm.images.worldnow.com/images/13036002_G.png" TargetMode="External"/><Relationship Id="rId4711" Type="http://schemas.openxmlformats.org/officeDocument/2006/relationships/hyperlink" Target="http://www.valdostadailytimes.com/news/national_international/man-armed-with-pickax-dies-in-officer-involved-shooting-in/article_637b2de8-975b-57b6-bc45-a79707549130.html" TargetMode="External"/><Relationship Id="rId234" Type="http://schemas.openxmlformats.org/officeDocument/2006/relationships/hyperlink" Target="http://www.mansfieldnewsjournal.com/story/news/local/2015/04/27/mansfield-police-scene-standoff/26457727/" TargetMode="External"/><Relationship Id="rId3313" Type="http://schemas.openxmlformats.org/officeDocument/2006/relationships/hyperlink" Target="http://www.fatalencounters.org/wp-content/uploads/2013/10/Garrell-Byrd.jpg" TargetMode="External"/><Relationship Id="rId6469" Type="http://schemas.openxmlformats.org/officeDocument/2006/relationships/hyperlink" Target="https://www.fox16.com/news/breaking-news-one-dead-in-officer-involved-shooting-in-jacksonville/" TargetMode="External"/><Relationship Id="rId6883" Type="http://schemas.openxmlformats.org/officeDocument/2006/relationships/hyperlink" Target="https://fatalencounters.org/wp-content/uploads/2019/10/DennisPatrick.jpg" TargetMode="External"/><Relationship Id="rId5485" Type="http://schemas.openxmlformats.org/officeDocument/2006/relationships/hyperlink" Target="https://www.fatalencounters.org/wp-content/uploads/2018/12/MICHAELTAYLOR.png" TargetMode="External"/><Relationship Id="rId6536" Type="http://schemas.openxmlformats.org/officeDocument/2006/relationships/hyperlink" Target="https://www.krdo.com/news/family-member-identifies-suspect-killed-by-colorado-springs-police-officer/1099293650" TargetMode="External"/><Relationship Id="rId6950" Type="http://schemas.openxmlformats.org/officeDocument/2006/relationships/hyperlink" Target="https://www.wbaltv.com/article/breaking-police-involved-shooting-in-north-baltimore-authorities-say/29637604" TargetMode="External"/><Relationship Id="rId301" Type="http://schemas.openxmlformats.org/officeDocument/2006/relationships/hyperlink" Target="http://losangeles.cbslocal.com/2015/02/04/police-fatally-shoot-bank-robbery-suspect-in-chino-following-high-speed-chase/" TargetMode="External"/><Relationship Id="rId4087" Type="http://schemas.openxmlformats.org/officeDocument/2006/relationships/hyperlink" Target="http://www.commercialappeal.com/story/news/crime/2018/01/08/authorities-investigating-officer-involved-shooting-horn-lake/1012194001/" TargetMode="External"/><Relationship Id="rId5138" Type="http://schemas.openxmlformats.org/officeDocument/2006/relationships/hyperlink" Target="http://www.moultrieobserver.com/news/local_news/update-subject-apprehended-in-attack-on-deputies/article_6488a19c-b242-11e8-8fb0-fb809ba14717.html" TargetMode="External"/><Relationship Id="rId5552" Type="http://schemas.openxmlformats.org/officeDocument/2006/relationships/hyperlink" Target="https://abc30.com/suspect-killed-after-holding-his-own-child-at-knifepoint-identified-/4910509/" TargetMode="External"/><Relationship Id="rId6603" Type="http://schemas.openxmlformats.org/officeDocument/2006/relationships/hyperlink" Target="https://www.cbs19.tv/article/news/local/suspect-killed-in-longview-officer-involved-shooting-texas-rangers-investigating/501-85f5495a-bfbb-482e-9713-4fe4ecf08bde" TargetMode="External"/><Relationship Id="rId1748" Type="http://schemas.openxmlformats.org/officeDocument/2006/relationships/hyperlink" Target="http://media.oregonlive.com/gresham_impact/photo/bodhi-wilson-dean-phelps-8f692b99d7717bc2.jpg" TargetMode="External"/><Relationship Id="rId4154" Type="http://schemas.openxmlformats.org/officeDocument/2006/relationships/hyperlink" Target="http://www.snjtoday.com/story/37322352/police-officer-shoots-kills-man-in-millville-following-911-call" TargetMode="External"/><Relationship Id="rId5205" Type="http://schemas.openxmlformats.org/officeDocument/2006/relationships/hyperlink" Target="https://q13fox.com/2018/09/23/man-shot-killed-by-police-outside-oak-harbor-walmart/" TargetMode="External"/><Relationship Id="rId3170" Type="http://schemas.openxmlformats.org/officeDocument/2006/relationships/hyperlink" Target="http://www.13wmaz.com/news/local/gbi-investigating-officer-involved-shooting-in-bonaire/453969732" TargetMode="External"/><Relationship Id="rId4221" Type="http://schemas.openxmlformats.org/officeDocument/2006/relationships/hyperlink" Target="http://ktla.com/2018/02/07/65-year-old-man-dies-after-being-shot-by-deputies-in-laguna-woods-retirement-community-ocsd/" TargetMode="External"/><Relationship Id="rId1815" Type="http://schemas.openxmlformats.org/officeDocument/2006/relationships/hyperlink" Target="http://www.officer.com/news/12220262/north-carolina-deputies-kill-bat-wielding-suspect" TargetMode="External"/><Relationship Id="rId6393" Type="http://schemas.openxmlformats.org/officeDocument/2006/relationships/hyperlink" Target="https://fatalencounters.org/wp-content/uploads/2019/06/Joshua-Florez.jpg" TargetMode="External"/><Relationship Id="rId3987" Type="http://schemas.openxmlformats.org/officeDocument/2006/relationships/hyperlink" Target="http://www.fatalencounters.org/wp-content/uploads/2013/10/Frankie-Larry-Anchondo.jpg" TargetMode="External"/><Relationship Id="rId6046" Type="http://schemas.openxmlformats.org/officeDocument/2006/relationships/hyperlink" Target="https://www.fatalencounters.org/wp-content/uploads/2019/04/OndraeHutchinson.jpg" TargetMode="External"/><Relationship Id="rId2589" Type="http://schemas.openxmlformats.org/officeDocument/2006/relationships/hyperlink" Target="http://ak-cache.legacy.net/legacy/images/Cobrands/houmatoday/Photos/f3861fa5-2770-4b7b-95cc-ba2129098b58.jpg" TargetMode="External"/><Relationship Id="rId6460" Type="http://schemas.openxmlformats.org/officeDocument/2006/relationships/hyperlink" Target="https://fatalencounters.org/wp-content/uploads/2019/07/Angel-Ramos-Otero.jpg" TargetMode="External"/><Relationship Id="rId975" Type="http://schemas.openxmlformats.org/officeDocument/2006/relationships/hyperlink" Target="http://www.ajc.com/news/news/crime-law/man-dies-after-being-shot-by-newton-deputies/nmxjG/" TargetMode="External"/><Relationship Id="rId2656" Type="http://schemas.openxmlformats.org/officeDocument/2006/relationships/hyperlink" Target="http://www.fatalencounters.org/wp-content/uploads/2013/10/Aries-Clark.png" TargetMode="External"/><Relationship Id="rId3707" Type="http://schemas.openxmlformats.org/officeDocument/2006/relationships/hyperlink" Target="http://www.amnews.com/2017/01/04/reported-shooting-involving-law-enforcement-officer-in-garrard-county/" TargetMode="External"/><Relationship Id="rId5062" Type="http://schemas.openxmlformats.org/officeDocument/2006/relationships/hyperlink" Target="https://www.kxan.com/news/crime/police-shoot-kill-man-near-sixth-street/1377623458" TargetMode="External"/><Relationship Id="rId6113" Type="http://schemas.openxmlformats.org/officeDocument/2006/relationships/hyperlink" Target="https://fatalencounters.org/wp-content/uploads/2019/09/JuliusGraves.jpg" TargetMode="External"/><Relationship Id="rId628" Type="http://schemas.openxmlformats.org/officeDocument/2006/relationships/hyperlink" Target="http://www.killedbypolice.net/victims/151075.jpg" TargetMode="External"/><Relationship Id="rId1258" Type="http://schemas.openxmlformats.org/officeDocument/2006/relationships/hyperlink" Target="http://media2.kjrh.com/photo/2016/02/04/neuman_1454602954724_31350671_ver1.0_640_480.jpg" TargetMode="External"/><Relationship Id="rId1672" Type="http://schemas.openxmlformats.org/officeDocument/2006/relationships/hyperlink" Target="http://www.ozarksfirst.com/news/trooper-shoots-kills-suspected-armed-man-after-altercation" TargetMode="External"/><Relationship Id="rId2309" Type="http://schemas.openxmlformats.org/officeDocument/2006/relationships/hyperlink" Target="http://www.newson6.com/story/33498943/osbi-identifies-man-shot-and-killed-by-bartlesville-police" TargetMode="External"/><Relationship Id="rId2723" Type="http://schemas.openxmlformats.org/officeDocument/2006/relationships/hyperlink" Target="http://www.fatalencounters.org/wp-content/uploads/2013/10/Terry-Campbell.png" TargetMode="External"/><Relationship Id="rId5879" Type="http://schemas.openxmlformats.org/officeDocument/2006/relationships/hyperlink" Target="https://www.fatalencounters.org/wp-content/uploads/2019/03/ChristopherMahrt.jpg" TargetMode="External"/><Relationship Id="rId1325" Type="http://schemas.openxmlformats.org/officeDocument/2006/relationships/hyperlink" Target="http://www.azcentral.com/story/news/local/mesa/breaking/2016/01/19/1-dead-after-police-involved-shooting-mesa/79019960/" TargetMode="External"/><Relationship Id="rId3497" Type="http://schemas.openxmlformats.org/officeDocument/2006/relationships/hyperlink" Target="http://www.fatalencounters.org/wp-content/uploads/2013/10/Gene-Bernhardt.png" TargetMode="External"/><Relationship Id="rId4895" Type="http://schemas.openxmlformats.org/officeDocument/2006/relationships/hyperlink" Target="https://www.fatalencounters.org/wp-content/uploads/2018/07/joeyLoop.jpg" TargetMode="External"/><Relationship Id="rId5946" Type="http://schemas.openxmlformats.org/officeDocument/2006/relationships/hyperlink" Target="https://www.bdtonline.com/news/gray-dies-in-shootout-police-confirm-man-wanted-in-officer/article_db6f6d78-4085-11e9-b9df-eb8e3ba4379d.html" TargetMode="External"/><Relationship Id="rId31" Type="http://schemas.openxmlformats.org/officeDocument/2006/relationships/hyperlink" Target="http://www.walb.com/story/29631891/1-dead-after-officer-involved-shooting-in-decatur-co" TargetMode="External"/><Relationship Id="rId2099" Type="http://schemas.openxmlformats.org/officeDocument/2006/relationships/hyperlink" Target="http://www.tucsonnewsnow.com/story/32776153/pima-co-sheriff-deputy-involved-shooting-on-the-southwest-side" TargetMode="External"/><Relationship Id="rId4548" Type="http://schemas.openxmlformats.org/officeDocument/2006/relationships/hyperlink" Target="http://www.fatalencounters.org/wp-content/uploads/2018/04/Charles-Douglas-Whitley.jpg" TargetMode="External"/><Relationship Id="rId4962" Type="http://schemas.openxmlformats.org/officeDocument/2006/relationships/hyperlink" Target="https://www.newschannel5.com/news/tbi-investigates-officer-involved-shooting-in-nashville" TargetMode="External"/><Relationship Id="rId7021" Type="http://schemas.openxmlformats.org/officeDocument/2006/relationships/hyperlink" Target="https://fatalencounters.org/wp-content/uploads/2019/12/DanaBrown.jpg" TargetMode="External"/><Relationship Id="rId3564" Type="http://schemas.openxmlformats.org/officeDocument/2006/relationships/hyperlink" Target="http://www.fatalencounters.org/wp-content/uploads/2013/10/Daniel-Donarski.jpg" TargetMode="External"/><Relationship Id="rId4615" Type="http://schemas.openxmlformats.org/officeDocument/2006/relationships/hyperlink" Target="http://www.koco.com/article/man-shot-killed-after-pursuit-ends-in-crash-in-seminole-county-officials-say/20198346" TargetMode="External"/><Relationship Id="rId485" Type="http://schemas.openxmlformats.org/officeDocument/2006/relationships/hyperlink" Target="http://www.peacefulalternatives.com/fh/obituaries/obituary.cfm?o_id=2458194&amp;fh_id=14153" TargetMode="External"/><Relationship Id="rId2166" Type="http://schemas.openxmlformats.org/officeDocument/2006/relationships/hyperlink" Target="http://www.thenewstribune.com/news/local/crime/article98794767.html" TargetMode="External"/><Relationship Id="rId2580" Type="http://schemas.openxmlformats.org/officeDocument/2006/relationships/hyperlink" Target="http://news3lv.com/news/local/suspect-in-fatal-shootings-that-involved-k-9-nicky-dies-from-wounds" TargetMode="External"/><Relationship Id="rId3217" Type="http://schemas.openxmlformats.org/officeDocument/2006/relationships/hyperlink" Target="https://www.google.com/url?q=http://content.kens5.com/photo/2017/04/21/rayvaldez_1492816841136_9282736_ver1.0.JPG&amp;sa=D&amp;ust=1508882833368000&amp;usg=AFQjCNHwjIrua6h4buiZsCA2kUL9wpzYLA" TargetMode="External"/><Relationship Id="rId3631" Type="http://schemas.openxmlformats.org/officeDocument/2006/relationships/hyperlink" Target="http://www.fatalencounters.org/wp-content/uploads/2013/10/Jason-Robert-Mendez.jpg" TargetMode="External"/><Relationship Id="rId6787" Type="http://schemas.openxmlformats.org/officeDocument/2006/relationships/hyperlink" Target="https://wreg.com/2019/09/19/sources-identify-deputy-shot-in-south-memphis-community-hails-him-as-heroic/" TargetMode="External"/><Relationship Id="rId138" Type="http://schemas.openxmlformats.org/officeDocument/2006/relationships/hyperlink" Target="http://www.wsmv.com/story/29298752/officer-involved-fatal-shooting-reported-in-columbia" TargetMode="External"/><Relationship Id="rId552" Type="http://schemas.openxmlformats.org/officeDocument/2006/relationships/hyperlink" Target="http://pjmedia.com/tatler/2013/07/30/the-strange-killing-of-larry-eugene-jackson-jr-by-an-austin-police-detective/" TargetMode="External"/><Relationship Id="rId1182" Type="http://schemas.openxmlformats.org/officeDocument/2006/relationships/hyperlink" Target="http://articles.philly.com/2015-08-27/news/65891377_1_county-courthouse-smith-deputy-sheriff-shot" TargetMode="External"/><Relationship Id="rId2233" Type="http://schemas.openxmlformats.org/officeDocument/2006/relationships/hyperlink" Target="http://www.fatalencounters.org/wp-content/uploads/2013/10/RickyHall.jpg" TargetMode="External"/><Relationship Id="rId5389" Type="http://schemas.openxmlformats.org/officeDocument/2006/relationships/hyperlink" Target="https://ktul.com/news/local/osbi-investigating-fatal-officer-involved-shooting-in-downtown-wagoner" TargetMode="External"/><Relationship Id="rId6854" Type="http://schemas.openxmlformats.org/officeDocument/2006/relationships/hyperlink" Target="https://fatalencounters.org/wp-content/uploads/2019/10/Zacharyhall.jpg" TargetMode="External"/><Relationship Id="rId205" Type="http://schemas.openxmlformats.org/officeDocument/2006/relationships/hyperlink" Target="http://www.mlive.com/news/kalamazoo/index.ssf/2015/05/police_kill_1_man_injure_anoth.html" TargetMode="External"/><Relationship Id="rId2300" Type="http://schemas.openxmlformats.org/officeDocument/2006/relationships/hyperlink" Target="http://www.wbko.com/content/news/A-Metcalfe-County-man-is-dead-following-an-officer-involved-shooting-398094441.html" TargetMode="External"/><Relationship Id="rId5456" Type="http://schemas.openxmlformats.org/officeDocument/2006/relationships/hyperlink" Target="https://www.fatalencounters.org/wp-content/uploads/2018/10/Claudine-Ann-Luera.jpg" TargetMode="External"/><Relationship Id="rId6507" Type="http://schemas.openxmlformats.org/officeDocument/2006/relationships/hyperlink" Target="https://www.brownsvilleherald.com/news/texas/man-woman-killed-in-shootout-with-texas-deputy/article_006e6a69-e685-563c-b579-4657ed7367c0.html" TargetMode="External"/><Relationship Id="rId1999" Type="http://schemas.openxmlformats.org/officeDocument/2006/relationships/hyperlink" Target="http://www.fatalencounters.org/wp-content/uploads/2013/10/jeff-tyson.jpg" TargetMode="External"/><Relationship Id="rId4058" Type="http://schemas.openxmlformats.org/officeDocument/2006/relationships/hyperlink" Target="http://www.wsaw.com/content/news/Deadly-shooting-involving-an-officer-in-Forest-County-under-investigation-468065043.html" TargetMode="External"/><Relationship Id="rId4472" Type="http://schemas.openxmlformats.org/officeDocument/2006/relationships/hyperlink" Target="http://www.fatalencounters.org/wp-content/uploads/2018/04/Allan-Farris.jpg" TargetMode="External"/><Relationship Id="rId5109" Type="http://schemas.openxmlformats.org/officeDocument/2006/relationships/hyperlink" Target="https://www.fatalencounters.org/wp-content/uploads/2018/09/Robert_Knox.jpg" TargetMode="External"/><Relationship Id="rId5870" Type="http://schemas.openxmlformats.org/officeDocument/2006/relationships/hyperlink" Target="https://www.clarionledger.com/story/news/2019/02/17/hostage-standoff-4-dead-clinton-ms-domestic-dispute/2899009002/" TargetMode="External"/><Relationship Id="rId6921" Type="http://schemas.openxmlformats.org/officeDocument/2006/relationships/hyperlink" Target="https://www.elpasotimes.com/story/news/crime/2019/10/24/police-chat-after-driver-suv-fatally-shot-while-dragging-two-el-paso-police-officers-through-parking/4081640002/" TargetMode="External"/><Relationship Id="rId3074" Type="http://schemas.openxmlformats.org/officeDocument/2006/relationships/hyperlink" Target="http://www.courierpostonline.com/story/news/crime/2017/01/11/camden-police-shooting-fernandez-ventura/96461236/" TargetMode="External"/><Relationship Id="rId4125" Type="http://schemas.openxmlformats.org/officeDocument/2006/relationships/hyperlink" Target="http://www.fatalencounters.org/wp-content/uploads/2018/01/Bryan-Johnson-Gregory.jpg" TargetMode="External"/><Relationship Id="rId5523" Type="http://schemas.openxmlformats.org/officeDocument/2006/relationships/hyperlink" Target="https://www.fatalencounters.org/wp-content/uploads/2018/12/KyleHart.jpg" TargetMode="External"/><Relationship Id="rId1719" Type="http://schemas.openxmlformats.org/officeDocument/2006/relationships/hyperlink" Target="http://www.11alive.com/news/crime/family-of-man-in-clayton-co-officer-involved-shooting-speaks/199406634" TargetMode="External"/><Relationship Id="rId2090" Type="http://schemas.openxmlformats.org/officeDocument/2006/relationships/hyperlink" Target="http://www.azcentral.com/story/news/local/phoenix-breaking/2016/08/13/phoenix-investigating-fatal-officer-involved-shooting/88669022/" TargetMode="External"/><Relationship Id="rId3141" Type="http://schemas.openxmlformats.org/officeDocument/2006/relationships/hyperlink" Target="https://limaohio.com/news/253996/allen-county-swat-officer-shoots-kills-man-during-search-warrant" TargetMode="External"/><Relationship Id="rId6297" Type="http://schemas.openxmlformats.org/officeDocument/2006/relationships/hyperlink" Target="https://www.kiro7.com/news/local/breaking-police-respond-to-officer-involved-shooting-in-auburn/954181145" TargetMode="External"/><Relationship Id="rId3958" Type="http://schemas.openxmlformats.org/officeDocument/2006/relationships/hyperlink" Target="http://www.killedbypolice.net/victims/171128.jpg" TargetMode="External"/><Relationship Id="rId6364" Type="http://schemas.openxmlformats.org/officeDocument/2006/relationships/hyperlink" Target="https://www.turnto23.com/news/local-news/delano-police-officer-tulare-county-sheriffs-deputy-involved-in-shooting" TargetMode="External"/><Relationship Id="rId879" Type="http://schemas.openxmlformats.org/officeDocument/2006/relationships/hyperlink" Target="http://crimeblog.dallasnews.com/2015/09/police-investigating-officer-involved-shooting-in-north-dallas.html/" TargetMode="External"/><Relationship Id="rId5380" Type="http://schemas.openxmlformats.org/officeDocument/2006/relationships/hyperlink" Target="https://www.deseretnews.com/article/900041434/police-release-identity-of-man-killed-in-officer-involved-shooting.html" TargetMode="External"/><Relationship Id="rId6017" Type="http://schemas.openxmlformats.org/officeDocument/2006/relationships/hyperlink" Target="https://www.witn.com/content/news/Deputies-searching-for-missing-man-who-is-considered-armed-and-dangerous-507534681.html" TargetMode="External"/><Relationship Id="rId6431" Type="http://schemas.openxmlformats.org/officeDocument/2006/relationships/hyperlink" Target="https://www.khou.com/article/news/local/galveston-co-deputies-shoot-and-kill-man-they-say-approached-them-with-shotgun/285-7e512d42-fb9b-4d3b-9ac6-40093691b1d2" TargetMode="External"/><Relationship Id="rId1576" Type="http://schemas.openxmlformats.org/officeDocument/2006/relationships/hyperlink" Target="http://www.startribune.com/bca-man-killed-by-police-while-stabbing-another-man-had-lunged-at-officers/374933131/" TargetMode="External"/><Relationship Id="rId2974" Type="http://schemas.openxmlformats.org/officeDocument/2006/relationships/hyperlink" Target="http://krqe.com/2017/05/26/state-police-investigating-officer-involved-shooting-in-san-rafael/" TargetMode="External"/><Relationship Id="rId5033" Type="http://schemas.openxmlformats.org/officeDocument/2006/relationships/hyperlink" Target="https://www.heraldsun.com/news/local/crime/article216446770.html" TargetMode="External"/><Relationship Id="rId946" Type="http://schemas.openxmlformats.org/officeDocument/2006/relationships/hyperlink" Target="http://www.killedbypolice.net/victims/150755.jpg" TargetMode="External"/><Relationship Id="rId1229" Type="http://schemas.openxmlformats.org/officeDocument/2006/relationships/hyperlink" Target="http://www.fatalencounters.org/wp-content/uploads/2013/10/David-Zollo.png" TargetMode="External"/><Relationship Id="rId1990" Type="http://schemas.openxmlformats.org/officeDocument/2006/relationships/hyperlink" Target="http://www.chicagotribune.com/news/local/breaking/ct-officer-shot-south-loop-20160721-story.html" TargetMode="External"/><Relationship Id="rId2627" Type="http://schemas.openxmlformats.org/officeDocument/2006/relationships/hyperlink" Target="http://www.fatalencounters.org/wp-content/uploads/2013/10/Derrick-Rashard-Brabham.jpg" TargetMode="External"/><Relationship Id="rId5100" Type="http://schemas.openxmlformats.org/officeDocument/2006/relationships/hyperlink" Target="https://www.fatalencounters.org/wp-content/uploads/2018/09/Chad-A.-Setzer.jpg" TargetMode="External"/><Relationship Id="rId1643" Type="http://schemas.openxmlformats.org/officeDocument/2006/relationships/hyperlink" Target="http://www.fatalencounters.org/wp-content/uploads/2013/10/Lanahan.png" TargetMode="External"/><Relationship Id="rId4799" Type="http://schemas.openxmlformats.org/officeDocument/2006/relationships/hyperlink" Target="https://www.ajc.com/news/breaking-news/breaking-man-killed-deputy-involved-shooting-forsyth-county/tzZY2z1jHR5BGGwCVtzOPK/" TargetMode="External"/><Relationship Id="rId1710" Type="http://schemas.openxmlformats.org/officeDocument/2006/relationships/hyperlink" Target="http://www.fatalencounters.org/wp-content/uploads/2013/10/CodyMarch.jpg" TargetMode="External"/><Relationship Id="rId4866" Type="http://schemas.openxmlformats.org/officeDocument/2006/relationships/hyperlink" Target="https://www.fatalencounters.org/wp-content/uploads/2018/07/JOHN-CORRIGAN.jpg" TargetMode="External"/><Relationship Id="rId5917" Type="http://schemas.openxmlformats.org/officeDocument/2006/relationships/hyperlink" Target="https://www.thecalifornian.com/story/news/2019/03/01/east-salinas-shots-fired-police-standoff/3032488002/" TargetMode="External"/><Relationship Id="rId3468" Type="http://schemas.openxmlformats.org/officeDocument/2006/relationships/hyperlink" Target="http://www.fatalencounters.org/wp-content/uploads/2013/10/Jonathan-David-Victor.jpg" TargetMode="External"/><Relationship Id="rId3882" Type="http://schemas.openxmlformats.org/officeDocument/2006/relationships/hyperlink" Target="http://www.kmov.com/story/36914691/police-2-suspects-wounded-in-officer-involved-shooting-in-north-city" TargetMode="External"/><Relationship Id="rId4519" Type="http://schemas.openxmlformats.org/officeDocument/2006/relationships/hyperlink" Target="http://www.fatalencounters.org/wp-content/uploads/2018/04/Chad-Eric-Montgomery.jpg" TargetMode="External"/><Relationship Id="rId4933" Type="http://schemas.openxmlformats.org/officeDocument/2006/relationships/hyperlink" Target="http://www.toledoblade.com/Police-Fire/2018/07/23/Officer-identified-in-Dollar-General-robbery-shooting/stories/20180723127" TargetMode="External"/><Relationship Id="rId389" Type="http://schemas.openxmlformats.org/officeDocument/2006/relationships/hyperlink" Target="http://www.twincities.com/localnews/ci_26675527/hermantown-man-dies-after-police-use-taser" TargetMode="External"/><Relationship Id="rId2484" Type="http://schemas.openxmlformats.org/officeDocument/2006/relationships/hyperlink" Target="http://www.orlandosentinel.com/news/breaking-news/os-officer-involved-shooting-orange-city-20161206-story.html" TargetMode="External"/><Relationship Id="rId3535" Type="http://schemas.openxmlformats.org/officeDocument/2006/relationships/hyperlink" Target="http://www.wkyt.com/content/news/Officer-involved-shooting-in-Anderson-County-417515923.html" TargetMode="External"/><Relationship Id="rId456" Type="http://schemas.openxmlformats.org/officeDocument/2006/relationships/hyperlink" Target="http://www.dcclothesline.com/2014/05/19/veteran-stopped-front-license-plate-beat-death-5-cops/" TargetMode="External"/><Relationship Id="rId870" Type="http://schemas.openxmlformats.org/officeDocument/2006/relationships/hyperlink" Target="http://www.startribune.com/sheriff-deputy-fatally-shoots-man-attacking-him-in-mora/330238731/" TargetMode="External"/><Relationship Id="rId1086" Type="http://schemas.openxmlformats.org/officeDocument/2006/relationships/hyperlink" Target="http://www.killedbypolice.net/victims/150964.jpg" TargetMode="External"/><Relationship Id="rId2137" Type="http://schemas.openxmlformats.org/officeDocument/2006/relationships/hyperlink" Target="http://www.newschannel5.com/news/local-news/1-killed-in-officer-involved-shooting-in-shelbyville" TargetMode="External"/><Relationship Id="rId2551" Type="http://schemas.openxmlformats.org/officeDocument/2006/relationships/hyperlink" Target="http://koin.com/2016/12/26/osp-trooper-shot-in-washington-county/" TargetMode="External"/><Relationship Id="rId109" Type="http://schemas.openxmlformats.org/officeDocument/2006/relationships/hyperlink" Target="http://www.wxii12.com/news/sheriffs-deputy-shot-in-wilkes-county/33705684" TargetMode="External"/><Relationship Id="rId523" Type="http://schemas.openxmlformats.org/officeDocument/2006/relationships/hyperlink" Target="http://www.presstelegram.com/general-news/20131120/man-shot-killed-by-long-beach-police-identified-as-from-rialto" TargetMode="External"/><Relationship Id="rId1153" Type="http://schemas.openxmlformats.org/officeDocument/2006/relationships/hyperlink" Target="http://extras.mnginteractive.com/live/media/site525/2015/0814/20150814_040907_unnamed.jpg" TargetMode="External"/><Relationship Id="rId2204" Type="http://schemas.openxmlformats.org/officeDocument/2006/relationships/hyperlink" Target="http://www.fatalencounters.org/wp-content/uploads/2013/10/tenorio.jpg" TargetMode="External"/><Relationship Id="rId3602" Type="http://schemas.openxmlformats.org/officeDocument/2006/relationships/hyperlink" Target="http://www.wkyt.com/content/news/KSP-Troopers-are-investigating-a-standoff-in-Laurel-County-414775403.html" TargetMode="External"/><Relationship Id="rId6758" Type="http://schemas.openxmlformats.org/officeDocument/2006/relationships/hyperlink" Target="https://fatalencounters.org/wp-content/uploads/2019/09/BrianDryer.jpg" TargetMode="External"/><Relationship Id="rId5774" Type="http://schemas.openxmlformats.org/officeDocument/2006/relationships/hyperlink" Target="https://www.fatalencounters.org/wp-content/uploads/2019/02/Corey_Harris.jpg" TargetMode="External"/><Relationship Id="rId6825" Type="http://schemas.openxmlformats.org/officeDocument/2006/relationships/hyperlink" Target="https://www.nytimes.com/2019/09/30/nyregion/bronx-officer-brian-mulkeen-nypd.html?fbclid=IwAR1c6wFGvlx_gLOh48akcQ1qsJz6Zaco3dZbXTncB5nekEKjwey15Ni9v2s" TargetMode="External"/><Relationship Id="rId1220" Type="http://schemas.openxmlformats.org/officeDocument/2006/relationships/hyperlink" Target="http://www.fredericknewspost.com/news/crime_and_justice/cops_and_crime/maryland-state-trooper-involved-in-shooting-at-east-patrick-street/article_f815b31a-5e20-5a00-9136-c0a71d2c7be7.html" TargetMode="External"/><Relationship Id="rId4376" Type="http://schemas.openxmlformats.org/officeDocument/2006/relationships/hyperlink" Target="https://www.sltrib.com/news/2018/03/14/shooting-reported-near-sandy-trax-station/" TargetMode="External"/><Relationship Id="rId4790" Type="http://schemas.openxmlformats.org/officeDocument/2006/relationships/hyperlink" Target="https://www.fatalencounters.org/wp-content/uploads/2018/06/Abe-Martinez.jpg" TargetMode="External"/><Relationship Id="rId5427" Type="http://schemas.openxmlformats.org/officeDocument/2006/relationships/hyperlink" Target="https://www.wthr.com/article/impd-releases-timeline-leading-deadly-officer-involved-shooting" TargetMode="External"/><Relationship Id="rId5841" Type="http://schemas.openxmlformats.org/officeDocument/2006/relationships/hyperlink" Target="http://www.wistv.com/2019/02/10/man-claiming-poisoning-shot-killed-after-shooting-woman-firing-greenville-county-deputies-official-says/" TargetMode="External"/><Relationship Id="rId3392" Type="http://schemas.openxmlformats.org/officeDocument/2006/relationships/hyperlink" Target="http://www.kwch.com/content/news/Officer-involved-in-shooting-in-Marion-County-429785383.html" TargetMode="External"/><Relationship Id="rId4029" Type="http://schemas.openxmlformats.org/officeDocument/2006/relationships/hyperlink" Target="http://www.fatalencounters.org/wp-content/uploads/2013/10/CoreyBailey.jpg" TargetMode="External"/><Relationship Id="rId4443" Type="http://schemas.openxmlformats.org/officeDocument/2006/relationships/hyperlink" Target="http://www.fatalencounters.org/wp-content/uploads/2018/04/JamesDecoursey.jpg" TargetMode="External"/><Relationship Id="rId3045" Type="http://schemas.openxmlformats.org/officeDocument/2006/relationships/hyperlink" Target="http://mynews4.com/news/local/chp-police-activity-shuts-down-sr-89-from-w-river-rd-to-squaw-valley-rd" TargetMode="External"/><Relationship Id="rId4510" Type="http://schemas.openxmlformats.org/officeDocument/2006/relationships/hyperlink" Target="https://www.dallasnews.com/news/crime/2018/04/10/border-patrol-agent-charged-murder-after-woman-child-found-dead-near-rio-grande" TargetMode="External"/><Relationship Id="rId380" Type="http://schemas.openxmlformats.org/officeDocument/2006/relationships/hyperlink" Target="http://www.jrn.com/ktnv/news/Family-speaks-out-after-man-killed-by-police-in-shootout-278597311.html" TargetMode="External"/><Relationship Id="rId2061" Type="http://schemas.openxmlformats.org/officeDocument/2006/relationships/hyperlink" Target="http://www.fatalencounters.org/wp-content/uploads/2013/10/Jawari-Porter.jpg" TargetMode="External"/><Relationship Id="rId3112" Type="http://schemas.openxmlformats.org/officeDocument/2006/relationships/hyperlink" Target="http://www.miamiherald.com/news/local/community/broward/article173495421.html" TargetMode="External"/><Relationship Id="rId6268" Type="http://schemas.openxmlformats.org/officeDocument/2006/relationships/hyperlink" Target="http://www.kake.com/story/40522330/family-identify-man-killed-in-shootout-with-wichita-police" TargetMode="External"/><Relationship Id="rId6682" Type="http://schemas.openxmlformats.org/officeDocument/2006/relationships/hyperlink" Target="https://katv.com/news/local/arkansas-state-police-investigating-officer-involved-shooting-homicide" TargetMode="External"/><Relationship Id="rId5284" Type="http://schemas.openxmlformats.org/officeDocument/2006/relationships/hyperlink" Target="https://www.kob.com/new-mexico-news/deadly-state-police-shooting-alamogordo/5108785/?cat=500&amp;fbclid=IwAR1aDvnoLqCG9hxreM3LrHXsxkzNhIRX1w3Zd-i2U-33DmAur_BC0BWR0Y8" TargetMode="External"/><Relationship Id="rId6335" Type="http://schemas.openxmlformats.org/officeDocument/2006/relationships/hyperlink" Target="http://www.riversidesheriff.org/press/per19-0609.asp" TargetMode="External"/><Relationship Id="rId100" Type="http://schemas.openxmlformats.org/officeDocument/2006/relationships/hyperlink" Target="http://www.wthr.com/story/29391400/impd-officer-involved-in-shooting-after-short-pursuit" TargetMode="External"/><Relationship Id="rId2878" Type="http://schemas.openxmlformats.org/officeDocument/2006/relationships/hyperlink" Target="http://www.fatalencounters.org/wp-content/uploads/2013/10/Mark-Guirguis.png" TargetMode="External"/><Relationship Id="rId3929" Type="http://schemas.openxmlformats.org/officeDocument/2006/relationships/hyperlink" Target="http://www.lansingstatejournal.com/story/news/2017/11/28/man-shot-and-killed-eaton-county-deputy-after-chase/902371001/" TargetMode="External"/><Relationship Id="rId1894" Type="http://schemas.openxmlformats.org/officeDocument/2006/relationships/hyperlink" Target="http://www.fox5atlanta.com/news/166118131-story" TargetMode="External"/><Relationship Id="rId2945" Type="http://schemas.openxmlformats.org/officeDocument/2006/relationships/hyperlink" Target="http://www.azcentral.com/story/news/local/phoenix/2017/06/24/phoenix-police-involved-shooting/425907001/" TargetMode="External"/><Relationship Id="rId5351" Type="http://schemas.openxmlformats.org/officeDocument/2006/relationships/hyperlink" Target="https://www.chron.com/houston/article/Man-dead-after-crossfire-with-Harris-County-13352516.php" TargetMode="External"/><Relationship Id="rId6402" Type="http://schemas.openxmlformats.org/officeDocument/2006/relationships/hyperlink" Target="https://www.mysuncoast.com/2019/06/25/man-dies-after-deputy-involved-shooting-englewood/" TargetMode="External"/><Relationship Id="rId917" Type="http://schemas.openxmlformats.org/officeDocument/2006/relationships/hyperlink" Target="http://www.oaoa.com/news/article_56304b5e-70eb-11e5-b3b8-73e54f868fb5.html" TargetMode="External"/><Relationship Id="rId1547" Type="http://schemas.openxmlformats.org/officeDocument/2006/relationships/hyperlink" Target="http://www.nbcnewyork.com/news/local/NYC-Man-Killed-in-Police-Involved-Shooting-in-Queens-375983101.html" TargetMode="External"/><Relationship Id="rId1961" Type="http://schemas.openxmlformats.org/officeDocument/2006/relationships/hyperlink" Target="http://www.nytimes.com/2016/07/12/nyregion/man-killed-by-officers-responding-to-burglary-report-in-brooklyn.html?_r=1" TargetMode="External"/><Relationship Id="rId5004" Type="http://schemas.openxmlformats.org/officeDocument/2006/relationships/hyperlink" Target="https://www.krqe.com/news/new-mexico/las-cruces-police-id-man-killed-in-officer-involved-shooting/1349899185" TargetMode="External"/><Relationship Id="rId1614" Type="http://schemas.openxmlformats.org/officeDocument/2006/relationships/hyperlink" Target="http://www.abqjournal.com/745380/news/1-person-dead-1-officer-injured-after-shooting-near-route-66-casino.html" TargetMode="External"/><Relationship Id="rId4020" Type="http://schemas.openxmlformats.org/officeDocument/2006/relationships/hyperlink" Target="http://www.visaliatimesdelta.com/story/news/2017/12/26/developing-story-officer-involved-shooting-tulare/983473001/" TargetMode="External"/><Relationship Id="rId7176" Type="http://schemas.openxmlformats.org/officeDocument/2006/relationships/hyperlink" Target="http://fox59.com/2013/04/03/officer-recovering-suspect-killed-had-long-criminal-past/" TargetMode="External"/><Relationship Id="rId3786" Type="http://schemas.openxmlformats.org/officeDocument/2006/relationships/hyperlink" Target="http://www.tampabay.com/news/publicsafety/crime/Police-Lakeland-man-71-refused-orders-dies-after-police-confrontation_162282650" TargetMode="External"/><Relationship Id="rId6192" Type="http://schemas.openxmlformats.org/officeDocument/2006/relationships/hyperlink" Target="https://sacramento.cbslocal.com/2019/05/07/stockton-officer-shooting-bat-wielding-suspect/" TargetMode="External"/><Relationship Id="rId7243" Type="http://schemas.openxmlformats.org/officeDocument/2006/relationships/hyperlink" Target="http://crimeblog.dallasnews.com/2013/10/duncanville-police-fatally-shoot-suspect-monday-morning.html/" TargetMode="External"/><Relationship Id="rId2388" Type="http://schemas.openxmlformats.org/officeDocument/2006/relationships/hyperlink" Target="http://www.sandiegouniontribune.com/news/public-safety/sd-me-fatal-ois-20161113-story.html" TargetMode="External"/><Relationship Id="rId3439" Type="http://schemas.openxmlformats.org/officeDocument/2006/relationships/hyperlink" Target="http://www.fatalencounters.org/wp-content/uploads/2013/10/James-Daniel-Hill.jpg" TargetMode="External"/><Relationship Id="rId4837" Type="http://schemas.openxmlformats.org/officeDocument/2006/relationships/hyperlink" Target="http://www.hawaiinewsnow.com/story/38563814/man-sprays-officers-with-pesticides-bites-officers-during-arrest" TargetMode="External"/><Relationship Id="rId3853" Type="http://schemas.openxmlformats.org/officeDocument/2006/relationships/hyperlink" Target="http://newsok.com/suicidal-male-shot-and-killed-by-police-officer-wednesday-in-south-oklahoma-city/article/5572241" TargetMode="External"/><Relationship Id="rId4904" Type="http://schemas.openxmlformats.org/officeDocument/2006/relationships/hyperlink" Target="https://abcnews4.com/news/crime-map/officer-involved-shooting-in-florence-sends-one-person-to-hospital" TargetMode="External"/><Relationship Id="rId774" Type="http://schemas.openxmlformats.org/officeDocument/2006/relationships/hyperlink" Target="http://timesleader.com/news/local/376876/disabled-man-waving-gun-killed-by-police-in-pittston" TargetMode="External"/><Relationship Id="rId1057" Type="http://schemas.openxmlformats.org/officeDocument/2006/relationships/hyperlink" Target="http://www.killedbypolice.net/victims/150297.jpg" TargetMode="External"/><Relationship Id="rId2455" Type="http://schemas.openxmlformats.org/officeDocument/2006/relationships/hyperlink" Target="http://www.independentmail.com/story/news/2016/11/29/deputy-injured-after-shots-fired-near-iva/94610208/" TargetMode="External"/><Relationship Id="rId3506" Type="http://schemas.openxmlformats.org/officeDocument/2006/relationships/hyperlink" Target="https://kobi5.com/news/officer-involved-shooting-in-wolf-creek-suspect-killed-51545/" TargetMode="External"/><Relationship Id="rId3920" Type="http://schemas.openxmlformats.org/officeDocument/2006/relationships/hyperlink" Target="http://abc7ny.com/nypd-man-armed-with-machete-fatally-shot-by-police/2740023/" TargetMode="External"/><Relationship Id="rId427" Type="http://schemas.openxmlformats.org/officeDocument/2006/relationships/hyperlink" Target="http://journaltimes.com/news/local/crime-and-courts/man-fatally-shot-by-police-identified/article_9983c98a-0620-11e4-8f7e-0019bb2963f4.html" TargetMode="External"/><Relationship Id="rId841" Type="http://schemas.openxmlformats.org/officeDocument/2006/relationships/hyperlink" Target="http://www.dentonrc.com/local-news/local-news-headlines/20150928-ponder-officer-kills-man.ece" TargetMode="External"/><Relationship Id="rId1471" Type="http://schemas.openxmlformats.org/officeDocument/2006/relationships/hyperlink" Target="http://www.gannett-cdn.com/-mm-/81cfd8e5b7389a911842f27c11b7f5690961203b/c=37-53-213-185&amp;r=x404&amp;c=534x401/local/-/media/2016/02/15/IAGroup/DesMoines/635911511632480915-yahia.PNG" TargetMode="External"/><Relationship Id="rId2108" Type="http://schemas.openxmlformats.org/officeDocument/2006/relationships/hyperlink" Target="http://www.sacbee.com/news/local/crime/article96600647.html" TargetMode="External"/><Relationship Id="rId2522" Type="http://schemas.openxmlformats.org/officeDocument/2006/relationships/hyperlink" Target="http://www.sgvtribune.com/general-news/20161216/suspect-killed-in-hacienda-heights-deputy-involved-shooting" TargetMode="External"/><Relationship Id="rId5678" Type="http://schemas.openxmlformats.org/officeDocument/2006/relationships/hyperlink" Target="https://www.wyff4.com/article/deputies-fatally-shoot-81-year-old-upstate-man-when-he-fires-shot-at-them-sheriff-says/25760894" TargetMode="External"/><Relationship Id="rId6729" Type="http://schemas.openxmlformats.org/officeDocument/2006/relationships/hyperlink" Target="https://www.kare11.com/article/news/local/police-pursuit-ends-in-officer-involved-shooting/89-256a8af9-779a-4af1-bde8-f182f44e6e2a" TargetMode="External"/><Relationship Id="rId1124" Type="http://schemas.openxmlformats.org/officeDocument/2006/relationships/hyperlink" Target="http://www.homefacts.com/images/offenders/michigan/thumb/2013445.jpg" TargetMode="External"/><Relationship Id="rId4694" Type="http://schemas.openxmlformats.org/officeDocument/2006/relationships/hyperlink" Target="http://fox8.com/2018/05/25/westlake-man-who-was-shot-after-ignoring-deputys-commands-on-i-90-has-died/" TargetMode="External"/><Relationship Id="rId5745" Type="http://schemas.openxmlformats.org/officeDocument/2006/relationships/hyperlink" Target="https://www.ksdk.com/article/news/local/64-year-old-man-dead-after-officer-involved-shooting-in-ofallon-mo/63-016cc951-5985-496a-a682-b4e2540bea83" TargetMode="External"/><Relationship Id="rId3296" Type="http://schemas.openxmlformats.org/officeDocument/2006/relationships/hyperlink" Target="http://www.fatalencounters.org/wp-content/uploads/2013/10/Clarence-Belsar-III.jpg" TargetMode="External"/><Relationship Id="rId4347" Type="http://schemas.openxmlformats.org/officeDocument/2006/relationships/hyperlink" Target="http://www.nbc12.com/story/37688260/teen-killed-in-deputy-involved-shooting-in-spotsylvania" TargetMode="External"/><Relationship Id="rId4761" Type="http://schemas.openxmlformats.org/officeDocument/2006/relationships/hyperlink" Target="https://www.fatalencounters.org/wp-content/uploads/2018/07/DaNathe-M.-Gulliford.jpg" TargetMode="External"/><Relationship Id="rId3363" Type="http://schemas.openxmlformats.org/officeDocument/2006/relationships/hyperlink" Target="https://lasvegassun.com/news/2017/jul/11/metro-police-shoot-wound-man-in-north-valley/" TargetMode="External"/><Relationship Id="rId4414" Type="http://schemas.openxmlformats.org/officeDocument/2006/relationships/hyperlink" Target="http://www.mlive.com/news/flint/index.ssf/2018/03/police_identify_man_in_deadly.html" TargetMode="External"/><Relationship Id="rId5812" Type="http://schemas.openxmlformats.org/officeDocument/2006/relationships/hyperlink" Target="https://www.fatalencounters.org/wp-content/uploads/2019/02/coreyJohnson.png" TargetMode="External"/><Relationship Id="rId284" Type="http://schemas.openxmlformats.org/officeDocument/2006/relationships/hyperlink" Target="http://mugshot-record-search.com/mugshot/AZ/Maricopa-County-Sheriff-Office/2015-Mar-16/8155067/Kenneth-Cockerel" TargetMode="External"/><Relationship Id="rId3016" Type="http://schemas.openxmlformats.org/officeDocument/2006/relationships/hyperlink" Target="http://www.abc15.com/news/region-phoenix-metro/central-phoenix/officer-involved-shooting-reported-near-sky-harbor" TargetMode="External"/><Relationship Id="rId3430" Type="http://schemas.openxmlformats.org/officeDocument/2006/relationships/hyperlink" Target="http://www.theledger.com/news/20170605/polk-deputy-kills-man-in-lake-wales-shootout" TargetMode="External"/><Relationship Id="rId5188" Type="http://schemas.openxmlformats.org/officeDocument/2006/relationships/hyperlink" Target="https://abc7.com/man-hurt-in-officer-involved-shooting-at-garden-grove-ralphs/4279319/" TargetMode="External"/><Relationship Id="rId6586" Type="http://schemas.openxmlformats.org/officeDocument/2006/relationships/hyperlink" Target="https://fatalencounters.org/wp-content/uploads/2019/09/connor-betts.jpg" TargetMode="External"/><Relationship Id="rId351" Type="http://schemas.openxmlformats.org/officeDocument/2006/relationships/hyperlink" Target="http://www.thenewsstar.com/story/news/local/2014/12/23/officer-involved-shooting-named-separate-case/20814039/" TargetMode="External"/><Relationship Id="rId2032" Type="http://schemas.openxmlformats.org/officeDocument/2006/relationships/hyperlink" Target="http://www.fatalencounters.org/wp-content/uploads/2013/10/Korryn-Gaines.jpg" TargetMode="External"/><Relationship Id="rId6239" Type="http://schemas.openxmlformats.org/officeDocument/2006/relationships/hyperlink" Target="http://www.magnoliareporter.com/news_and_business/regional_news/article_160faad4-7942-11e9-955b-5bb445557284.html" TargetMode="External"/><Relationship Id="rId6653" Type="http://schemas.openxmlformats.org/officeDocument/2006/relationships/hyperlink" Target="https://ktla.com/2019/08/19/buena-park-police-shoot-kill-driver-in-stolen-suv-who-tried-to-ram-patrol-car-during-traffic-stop-in-fullerton-authorities/" TargetMode="External"/><Relationship Id="rId1798" Type="http://schemas.openxmlformats.org/officeDocument/2006/relationships/hyperlink" Target="http://khon2.com/2016/06/06/police-investigate-officer-involved-hilo-shooting/" TargetMode="External"/><Relationship Id="rId2849" Type="http://schemas.openxmlformats.org/officeDocument/2006/relationships/hyperlink" Target="http://www.mcalesternews.com/news/one-dead-in-kiowa-officer-involved-shooting/article_af628ae0-e717-11e6-a073-37d55a5b7721.html" TargetMode="External"/><Relationship Id="rId5255" Type="http://schemas.openxmlformats.org/officeDocument/2006/relationships/hyperlink" Target="https://kval.com/news/local/officer-involved-shooting-in-chiloquin" TargetMode="External"/><Relationship Id="rId6306" Type="http://schemas.openxmlformats.org/officeDocument/2006/relationships/hyperlink" Target="https://www.detroitnews.com/story/news/local/detroit-city/2019/06/03/detroit-police-chase-ends-2-suspects-shot-1-fatally/1333290001/" TargetMode="External"/><Relationship Id="rId6720" Type="http://schemas.openxmlformats.org/officeDocument/2006/relationships/hyperlink" Target="https://fatalencounters.org/wp-content/uploads/2019/09/fares_t1200.jpg" TargetMode="External"/><Relationship Id="rId1865" Type="http://schemas.openxmlformats.org/officeDocument/2006/relationships/hyperlink" Target="http://www.fatalencounters.org/wp-content/uploads/2013/10/Deravis-Caine-Rogers.jpg" TargetMode="External"/><Relationship Id="rId4271" Type="http://schemas.openxmlformats.org/officeDocument/2006/relationships/hyperlink" Target="http://www.star-telegram.com/latest-news/article201011109.html" TargetMode="External"/><Relationship Id="rId5322" Type="http://schemas.openxmlformats.org/officeDocument/2006/relationships/hyperlink" Target="https://www.fatalencounters.org/wp-content/uploads/2018/10/WilliamWillamson.jpg" TargetMode="External"/><Relationship Id="rId1518" Type="http://schemas.openxmlformats.org/officeDocument/2006/relationships/hyperlink" Target="http://www.katc.com/story/30890387/man-dog-dead-following-officer-involved-shooting" TargetMode="External"/><Relationship Id="rId2916" Type="http://schemas.openxmlformats.org/officeDocument/2006/relationships/hyperlink" Target="http://www.fresnobee.com/news/local/crime/article164132172.html" TargetMode="External"/><Relationship Id="rId1932" Type="http://schemas.openxmlformats.org/officeDocument/2006/relationships/hyperlink" Target="http://inforney.com/local-news/item/4587-police-shoot-kill-knife-wielding-assailant-two-airlifted" TargetMode="External"/><Relationship Id="rId6096" Type="http://schemas.openxmlformats.org/officeDocument/2006/relationships/hyperlink" Target="https://www.shreveporttimes.com/story/news/2019/04/10/one-dead-following-officer-involved-shooting-police-chase/3431867002/?fbclid=IwAR33Q9Zd4JJ-Krq_afMty1F6ZCxl1M6eJXtqMNO3NVQvQ5reiTTAp4kKHJM" TargetMode="External"/><Relationship Id="rId7147" Type="http://schemas.openxmlformats.org/officeDocument/2006/relationships/hyperlink" Target="http://latimesblogs.latimes.com/lanow/2013/03/man-with-replica-pistol-killed-by-huntington-beach-police.html" TargetMode="External"/><Relationship Id="rId6163" Type="http://schemas.openxmlformats.org/officeDocument/2006/relationships/hyperlink" Target="https://www.wbay.com/content/news/Green-Bay-Police-identify-man-who-died-in-custody-509965551.html" TargetMode="External"/><Relationship Id="rId3757" Type="http://schemas.openxmlformats.org/officeDocument/2006/relationships/hyperlink" Target="http://local15tv.com/news/local/baldwin-co-sheriffs-deputies-involved-in-shooting-investigation" TargetMode="External"/><Relationship Id="rId4808" Type="http://schemas.openxmlformats.org/officeDocument/2006/relationships/hyperlink" Target="https://www.cleveland.com/metro/index.ssf/2018/06/man_killed_in_shootout_with_pa.html" TargetMode="External"/><Relationship Id="rId7214" Type="http://schemas.openxmlformats.org/officeDocument/2006/relationships/hyperlink" Target="https://usgunviolence.files.wordpress.com/2014/03/demetrice-presnall.jpg?w=625" TargetMode="External"/><Relationship Id="rId678" Type="http://schemas.openxmlformats.org/officeDocument/2006/relationships/hyperlink" Target="http://minnesota.cbslocal.com/2015/11/24/reports-of-shots-fired-in-columbia-heights-police-say/" TargetMode="External"/><Relationship Id="rId2359" Type="http://schemas.openxmlformats.org/officeDocument/2006/relationships/hyperlink" Target="http://www.fatalencounters.org/wp-content/uploads/2013/10/Jimmy-L.-Testa.jpg" TargetMode="External"/><Relationship Id="rId2773" Type="http://schemas.openxmlformats.org/officeDocument/2006/relationships/hyperlink" Target="http://www.fatalencounters.org/wp-content/uploads/2013/10/Trevor-Allen-Brice-Gingras.jpg" TargetMode="External"/><Relationship Id="rId3824" Type="http://schemas.openxmlformats.org/officeDocument/2006/relationships/hyperlink" Target="http://www.fatalencounters.org/wp-content/uploads/2013/10/Kiser-Sturgell.jpg" TargetMode="External"/><Relationship Id="rId6230" Type="http://schemas.openxmlformats.org/officeDocument/2006/relationships/hyperlink" Target="https://www.postcrescent.com/story/news/2019/05/17/appleton-shooting-police-identify-suspect-wednesday-shooting/3708905002/" TargetMode="External"/><Relationship Id="rId745" Type="http://schemas.openxmlformats.org/officeDocument/2006/relationships/hyperlink" Target="http://www.trbimg.com/img-55d2252a/turbine/hc-bolton-chase-update-0818-20150817-001/900/900x506" TargetMode="External"/><Relationship Id="rId1375" Type="http://schemas.openxmlformats.org/officeDocument/2006/relationships/hyperlink" Target="http://www.foxnews.com/us/2016/02/05/massive-search-underway-for-missouri-couple-wanted-in-four-state-crime-spree.html" TargetMode="External"/><Relationship Id="rId2426" Type="http://schemas.openxmlformats.org/officeDocument/2006/relationships/hyperlink" Target="http://www.fatalencounters.org/wp-content/uploads/2013/10/Kajuan-Raye.jpg" TargetMode="External"/><Relationship Id="rId5996" Type="http://schemas.openxmlformats.org/officeDocument/2006/relationships/hyperlink" Target="https://www.fatalencounters.org/wp-content/uploads/2019/03/Jorge-Luis-Rivera-Melendez.jpg" TargetMode="External"/><Relationship Id="rId81" Type="http://schemas.openxmlformats.org/officeDocument/2006/relationships/hyperlink" Target="http://www.dallasnews.com/news/crime/headlines/20150706-austin-police-id-gunman-victim-at-sundays-hotel-shooting.ece" TargetMode="External"/><Relationship Id="rId812" Type="http://schemas.openxmlformats.org/officeDocument/2006/relationships/hyperlink" Target="http://www.westword.com/news/william-rippley-before-cop-killed-him-theres-going-to-be-a-human-sacrifice-7091421" TargetMode="External"/><Relationship Id="rId1028" Type="http://schemas.openxmlformats.org/officeDocument/2006/relationships/hyperlink" Target="http://wtop.com/montgomery-county/2015/05/death-of-man-after-police-tasing-investigated-in-montgomery-county/" TargetMode="External"/><Relationship Id="rId1442" Type="http://schemas.openxmlformats.org/officeDocument/2006/relationships/hyperlink" Target="http://www.democratandchronicle.com/story/news/2016/03/09/rpd-identifies-man-shot-swat-team/81530234/" TargetMode="External"/><Relationship Id="rId2840" Type="http://schemas.openxmlformats.org/officeDocument/2006/relationships/hyperlink" Target="http://www.news4jax.com/news/local/jacksonville/jso-investigating-police-involved-incident-in-northwest-jacksonville" TargetMode="External"/><Relationship Id="rId4598" Type="http://schemas.openxmlformats.org/officeDocument/2006/relationships/hyperlink" Target="http://www.ksfy.com/content/news/Attorney-general-Box-Elder-police-fatally-shoot-man-481512501.html" TargetMode="External"/><Relationship Id="rId5649" Type="http://schemas.openxmlformats.org/officeDocument/2006/relationships/hyperlink" Target="http://www.wmbfnews.com/2019/01/02/person-hospitalized-after-trooper-involved-shooting-near-shallotte/" TargetMode="External"/><Relationship Id="rId7071" Type="http://schemas.openxmlformats.org/officeDocument/2006/relationships/hyperlink" Target="https://www.record-bee.com/2019/12/29/clearlake-oaks-man-shot-and-killed-by-lake-county-sheriffs-deputy/" TargetMode="External"/><Relationship Id="rId3267" Type="http://schemas.openxmlformats.org/officeDocument/2006/relationships/hyperlink" Target="http://www.fatalencounters.org/wp-content/uploads/2013/10/Joshua-Mark-Cloud.jpg" TargetMode="External"/><Relationship Id="rId4665" Type="http://schemas.openxmlformats.org/officeDocument/2006/relationships/hyperlink" Target="https://www.fatalencounters.org/wp-content/uploads/2018/05/DanielJohnson.jpg" TargetMode="External"/><Relationship Id="rId5716" Type="http://schemas.openxmlformats.org/officeDocument/2006/relationships/hyperlink" Target="http://accesswdun.com/article/2019/1/753131/gunman-dead-after-incident-at-dermatology-office-in-gainesville" TargetMode="External"/><Relationship Id="rId188" Type="http://schemas.openxmlformats.org/officeDocument/2006/relationships/hyperlink" Target="http://www.kpho.com/story/29143797/suspect-dead-following-police-shooting-in-eagar-ariz" TargetMode="External"/><Relationship Id="rId3681" Type="http://schemas.openxmlformats.org/officeDocument/2006/relationships/hyperlink" Target="http://wric.com/2017/01/20/caroline-county-deputy-under-investigation-after-shooting-killing-man/" TargetMode="External"/><Relationship Id="rId4318" Type="http://schemas.openxmlformats.org/officeDocument/2006/relationships/hyperlink" Target="http://www.fatalencounters.org/wp-content/uploads/2018/03/BrandonKuhlman.jpg" TargetMode="External"/><Relationship Id="rId4732" Type="http://schemas.openxmlformats.org/officeDocument/2006/relationships/hyperlink" Target="http://www.starnewsonline.com/news/20180605/man-killed-in-ogden-standoff-was-wanted-by-wilmington-police" TargetMode="External"/><Relationship Id="rId2283" Type="http://schemas.openxmlformats.org/officeDocument/2006/relationships/hyperlink" Target="http://www.tulsaworld.com/news/crimewatch/tulsa-police-sniper-reportedly-shoots-kills-armed-man-holding-/article_23ce9eda-4e86-5543-bc9d-7a335020a8b2.html" TargetMode="External"/><Relationship Id="rId3334" Type="http://schemas.openxmlformats.org/officeDocument/2006/relationships/hyperlink" Target="http://www.firstcoastnews.com/news/crime/jso-officer-suspect-shot-after-chase-on-the-westside/459455290" TargetMode="External"/><Relationship Id="rId255" Type="http://schemas.openxmlformats.org/officeDocument/2006/relationships/hyperlink" Target="http://www.pe.com/articles/car-765208-officers-sheriff.html" TargetMode="External"/><Relationship Id="rId2350" Type="http://schemas.openxmlformats.org/officeDocument/2006/relationships/hyperlink" Target="http://www.fatalencounters.org/wp-content/uploads/2013/10/Russell-Elswick.jpg" TargetMode="External"/><Relationship Id="rId3401" Type="http://schemas.openxmlformats.org/officeDocument/2006/relationships/hyperlink" Target="http://www.fatalencounters.org/wp-content/uploads/2013/10/robert-berube-3233c.jpg" TargetMode="External"/><Relationship Id="rId6557" Type="http://schemas.openxmlformats.org/officeDocument/2006/relationships/hyperlink" Target="https://www.cincinnati.com/story/news/2019/08/09/police-shooting-westwood-wont-result-charges-suspect-dies/1968438001/" TargetMode="External"/><Relationship Id="rId6971" Type="http://schemas.openxmlformats.org/officeDocument/2006/relationships/hyperlink" Target="https://q13fox.com/2019/11/15/suspect-dies-after-being-shocked-with-stun-gun-by-everett-police/" TargetMode="External"/><Relationship Id="rId322" Type="http://schemas.openxmlformats.org/officeDocument/2006/relationships/hyperlink" Target="http://www.kvue.com/story/news/state/2014/12/26/police-shoot-kill-man-firing-gun-in-texas-city-parking-lot/20907475/" TargetMode="External"/><Relationship Id="rId2003" Type="http://schemas.openxmlformats.org/officeDocument/2006/relationships/hyperlink" Target="http://www.fatalencounters.org/wp-content/uploads/2013/10/Humberto-Martinez.jpg" TargetMode="External"/><Relationship Id="rId5159" Type="http://schemas.openxmlformats.org/officeDocument/2006/relationships/hyperlink" Target="https://www.reviewjournal.com/crime/homicides/henderson-police-fatally-shoot-man-armed-with-box-cutter/" TargetMode="External"/><Relationship Id="rId5573" Type="http://schemas.openxmlformats.org/officeDocument/2006/relationships/hyperlink" Target="https://www.nbcdfw.com/news/local/Man-Dead-in-Officer-Involved-Shooting-in-Fort-Worth-503111071.html" TargetMode="External"/><Relationship Id="rId6624" Type="http://schemas.openxmlformats.org/officeDocument/2006/relationships/hyperlink" Target="http://www.kake.com/story/40907237/kansas-man-killed-in-officer-involved-shooting" TargetMode="External"/><Relationship Id="rId4175" Type="http://schemas.openxmlformats.org/officeDocument/2006/relationships/hyperlink" Target="http://www.fatalencounters.org/wp-content/uploads/2018/01/christaline-barnes.jpg" TargetMode="External"/><Relationship Id="rId5226" Type="http://schemas.openxmlformats.org/officeDocument/2006/relationships/hyperlink" Target="https://www.khon2.com/news/local-news/officer-involved-shooting-leaves-a-man-dead-in-kalihi/1479244875" TargetMode="External"/><Relationship Id="rId1769" Type="http://schemas.openxmlformats.org/officeDocument/2006/relationships/hyperlink" Target="http://www.wral.com/clinton-police-shoot-armed-man-in-burger-king-parking-lot/15737165/" TargetMode="External"/><Relationship Id="rId3191" Type="http://schemas.openxmlformats.org/officeDocument/2006/relationships/hyperlink" Target="http://www.abc15.com/news/region-phoenix-metro/central-phoenix/phoenix-police-investigating-officer-involved-shooting-near-downtown" TargetMode="External"/><Relationship Id="rId4242" Type="http://schemas.openxmlformats.org/officeDocument/2006/relationships/hyperlink" Target="http://www.burlingtonfreepress.com/story/news/local/2018/02/11/vermont-state-police-police-involved-shooting-closes-one-lane-89/327747002/" TargetMode="External"/><Relationship Id="rId5640" Type="http://schemas.openxmlformats.org/officeDocument/2006/relationships/hyperlink" Target="https://www.eastbaytimes.com/2016/10/06/antioch-man-put-in-police-neck-hold-died-of-asphyxiation-jury-rules-it-an-accident/" TargetMode="External"/><Relationship Id="rId1836" Type="http://schemas.openxmlformats.org/officeDocument/2006/relationships/hyperlink" Target="http://www.fatalencounters.org/wp-content/uploads/2013/10/Mohammad-Sadegh-Moghaddam.jpg" TargetMode="External"/><Relationship Id="rId1903" Type="http://schemas.openxmlformats.org/officeDocument/2006/relationships/hyperlink" Target="http://www.wdel.com/story/75826-police-involved-shooting-near-frederica-after-harrowing-pursuit-led-by-wanted-suspect" TargetMode="External"/><Relationship Id="rId6067" Type="http://schemas.openxmlformats.org/officeDocument/2006/relationships/hyperlink" Target="https://www.fatalencounters.org/wp-content/uploads/2019/04/barryrucker.jpg" TargetMode="External"/><Relationship Id="rId6481" Type="http://schemas.openxmlformats.org/officeDocument/2006/relationships/hyperlink" Target="https://www.cleveland.com/crime/2019/07/man-dead-in-officer-involved-shooting-in-brooklyn-police-say.html" TargetMode="External"/><Relationship Id="rId7118" Type="http://schemas.openxmlformats.org/officeDocument/2006/relationships/hyperlink" Target="http://fox4kc.com/2013/01/03/one-person-dead-following-east-side-wreck-shooting/" TargetMode="External"/><Relationship Id="rId996" Type="http://schemas.openxmlformats.org/officeDocument/2006/relationships/hyperlink" Target="http://www.gannett-cdn.com/-mm-/15e60ce64e0a486e11e80fc1732b57a8401a0831/c=1-0-179-238&amp;r=537&amp;c=0-0-534-712/local/-/media/2015/06/19/Cincinnati/B9317795377Z.1_20150619211539_000_GCBB4NLT3.1-0.jpg" TargetMode="External"/><Relationship Id="rId2677" Type="http://schemas.openxmlformats.org/officeDocument/2006/relationships/hyperlink" Target="http://www.fatalencounters.org/wp-content/uploads/2013/10/Quintec-Locke.png" TargetMode="External"/><Relationship Id="rId3728" Type="http://schemas.openxmlformats.org/officeDocument/2006/relationships/hyperlink" Target="http://www.fatalencounters.org/wp-content/uploads/2013/10/Phillip-Joel-Trammell.jpg" TargetMode="External"/><Relationship Id="rId5083" Type="http://schemas.openxmlformats.org/officeDocument/2006/relationships/hyperlink" Target="https://abc7.com/murder-suspect-killed-in-santa-ana-officer-involved-shooting/4041715/" TargetMode="External"/><Relationship Id="rId6134" Type="http://schemas.openxmlformats.org/officeDocument/2006/relationships/hyperlink" Target="https://www.wdtv.com/content/news/Man-dies-in-officer-involved-shooting-508768671.html" TargetMode="External"/><Relationship Id="rId649" Type="http://schemas.openxmlformats.org/officeDocument/2006/relationships/hyperlink" Target="http://www.killedbypolice.net/victims/151024.jpg" TargetMode="External"/><Relationship Id="rId1279" Type="http://schemas.openxmlformats.org/officeDocument/2006/relationships/hyperlink" Target="http://www.fatalencounters.org/wp-content/uploads/2013/10/Keil.png" TargetMode="External"/><Relationship Id="rId5150" Type="http://schemas.openxmlformats.org/officeDocument/2006/relationships/hyperlink" Target="https://www.wral.com/greenville-police-suspect-killed-in-officer-involved-shooting/17831138/" TargetMode="External"/><Relationship Id="rId6201" Type="http://schemas.openxmlformats.org/officeDocument/2006/relationships/hyperlink" Target="https://fatalencounters.org/wp-content/uploads/2019/05/Francisco-Anthony-Alcaraz-Jr.jpg" TargetMode="External"/><Relationship Id="rId1346" Type="http://schemas.openxmlformats.org/officeDocument/2006/relationships/hyperlink" Target="http://www.santafenewmexican.com/news/local_news/state-police-santa-fe-officer-shot-killed-robbery-suspect-at/article_ac3e3195-db75-5473-951c-a9c794590efc.html" TargetMode="External"/><Relationship Id="rId1693" Type="http://schemas.openxmlformats.org/officeDocument/2006/relationships/hyperlink" Target="http://www.kvia.com/news/suspect-in-officerinvolved-shooting-dies-police-release-idenity/39471430" TargetMode="External"/><Relationship Id="rId2744" Type="http://schemas.openxmlformats.org/officeDocument/2006/relationships/hyperlink" Target="http://www.fatalencounters.org/wp-content/uploads/2013/10/Selwyn-Hall.png" TargetMode="External"/><Relationship Id="rId716" Type="http://schemas.openxmlformats.org/officeDocument/2006/relationships/hyperlink" Target="http://www.sandiegouniontribune.com/news/2015/nov/04/officer-involved-shooting-pacific-beach/" TargetMode="External"/><Relationship Id="rId1760" Type="http://schemas.openxmlformats.org/officeDocument/2006/relationships/hyperlink" Target="http://krqe.com/2016/05/30/police-identify-suspect-shot-killed-by-officers-on-i-25/" TargetMode="External"/><Relationship Id="rId2811" Type="http://schemas.openxmlformats.org/officeDocument/2006/relationships/hyperlink" Target="http://www.stltoday.com/news/local/crime-and-courts/st-louis-police-serving-search-warrant-come-under-fire-fatally/article_9f1522b2-cd29-56eb-a7eb-d2e80496b538.html" TargetMode="External"/><Relationship Id="rId5967" Type="http://schemas.openxmlformats.org/officeDocument/2006/relationships/hyperlink" Target="https://denver.cbslocal.com/2019/03/11/lakewood-police-active-shooter-sanderson-creek/" TargetMode="External"/><Relationship Id="rId52" Type="http://schemas.openxmlformats.org/officeDocument/2006/relationships/hyperlink" Target="http://www.oakpark.com/News/Articles/7-13-2015/Three-injured,-two-killed-in-River-Forest/" TargetMode="External"/><Relationship Id="rId1413" Type="http://schemas.openxmlformats.org/officeDocument/2006/relationships/hyperlink" Target="http://www.krgv.com/story/31284012/1-dead-in-officer-involved-shooting" TargetMode="External"/><Relationship Id="rId4569" Type="http://schemas.openxmlformats.org/officeDocument/2006/relationships/hyperlink" Target="http://www.woodtv.com/news/muskegon-county/1-dead-1-wounded-in-muskegon-shooting/1133559523" TargetMode="External"/><Relationship Id="rId4983" Type="http://schemas.openxmlformats.org/officeDocument/2006/relationships/hyperlink" Target="http://www.kfvs12.com/story/38771011/suspect-identified-in-deadly-shootout-with-asp" TargetMode="External"/><Relationship Id="rId3585" Type="http://schemas.openxmlformats.org/officeDocument/2006/relationships/hyperlink" Target="http://www.fatalencounters.org/wp-content/uploads/2013/10/Roy-Dale-Evans-Jr..jpg" TargetMode="External"/><Relationship Id="rId4636" Type="http://schemas.openxmlformats.org/officeDocument/2006/relationships/hyperlink" Target="http://www.wlox.com/story/38149334/officer-shoots-suspect-at-mississippi-gas-station" TargetMode="External"/><Relationship Id="rId7042" Type="http://schemas.openxmlformats.org/officeDocument/2006/relationships/hyperlink" Target="https://myfox8.com/2019/12/20/shooter-deceased-victim-identified-in-shooting-at-winston-salem-sanitation-department/" TargetMode="External"/><Relationship Id="rId2187" Type="http://schemas.openxmlformats.org/officeDocument/2006/relationships/hyperlink" Target="http://www.fatalencounters.org/wp-content/uploads/2013/10/Dylan-Papa.jpg" TargetMode="External"/><Relationship Id="rId3238" Type="http://schemas.openxmlformats.org/officeDocument/2006/relationships/hyperlink" Target="http://www.tulsaworld.com/news/crimewatch/domestic-altercation-officer-involved-shooting-leave-one-dead-one-critically/article_1449d4e7-8e18-5886-879b-438de1152c94.html" TargetMode="External"/><Relationship Id="rId3652" Type="http://schemas.openxmlformats.org/officeDocument/2006/relationships/hyperlink" Target="http://www.charlotteobserver.com/news/local/y6df4t/picture130575044/ALTERNATES/FREE_320/2-3-2017%20WHETSTONE,%20WILLIAM%20DAVID" TargetMode="External"/><Relationship Id="rId4703" Type="http://schemas.openxmlformats.org/officeDocument/2006/relationships/hyperlink" Target="http://kdvr.com/2018/05/28/man-dies-after-exchanging-gunfire-with-blm-rangers-in-mesa-county/" TargetMode="External"/><Relationship Id="rId159" Type="http://schemas.openxmlformats.org/officeDocument/2006/relationships/hyperlink" Target="http://www.wboy.com/story/29256189/monongalia-county-deputies-shoot-suspect-after-vehicle-pursuit" TargetMode="External"/><Relationship Id="rId573" Type="http://schemas.openxmlformats.org/officeDocument/2006/relationships/hyperlink" Target="http://wreg.com/2013/01/18/man-shot-killed-by-memphis-police/" TargetMode="External"/><Relationship Id="rId2254" Type="http://schemas.openxmlformats.org/officeDocument/2006/relationships/hyperlink" Target="http://www.newswest9.com/story/33360172/man-dies-following-officer-involved-shooting-in-midland" TargetMode="External"/><Relationship Id="rId3305" Type="http://schemas.openxmlformats.org/officeDocument/2006/relationships/hyperlink" Target="http://www.fatalencounters.org/wp-content/uploads/2013/10/markCoffey.jpg" TargetMode="External"/><Relationship Id="rId226" Type="http://schemas.openxmlformats.org/officeDocument/2006/relationships/hyperlink" Target="http://www.cbs8.com/story/28940667/homicide-detectives-on-scene-after-officer-involved-shooting-in-midway" TargetMode="External"/><Relationship Id="rId1270" Type="http://schemas.openxmlformats.org/officeDocument/2006/relationships/hyperlink" Target="https://cbsdallas.files.wordpress.com/2016/02/padron_ronnie_lee.jpg?w=625&amp;h=352&amp;crop=1" TargetMode="External"/><Relationship Id="rId5477" Type="http://schemas.openxmlformats.org/officeDocument/2006/relationships/hyperlink" Target="https://www.azfamily.com/news/police-identify-suspect-killed-in-officer-involved-shooting-in-west/article_e88943c2-f82c-11e8-a849-979a905d99f8.html" TargetMode="External"/><Relationship Id="rId6875" Type="http://schemas.openxmlformats.org/officeDocument/2006/relationships/hyperlink" Target="https://myfox8.com/2019/10/14/standoff-on-braddock-road-in-high-point-ends-with-suspect-dead-2-deputies-shot/" TargetMode="External"/><Relationship Id="rId640" Type="http://schemas.openxmlformats.org/officeDocument/2006/relationships/hyperlink" Target="http://www.killedbypolice.net/victims/151040.jpg" TargetMode="External"/><Relationship Id="rId2321" Type="http://schemas.openxmlformats.org/officeDocument/2006/relationships/hyperlink" Target="http://www.fatalencounters.org/wp-content/uploads/2013/10/Jason-King.jpg" TargetMode="External"/><Relationship Id="rId4079" Type="http://schemas.openxmlformats.org/officeDocument/2006/relationships/hyperlink" Target="http://www.ksby.com/story/37211493/officer-involved-shooting-reported-in-santa-maria" TargetMode="External"/><Relationship Id="rId5891" Type="http://schemas.openxmlformats.org/officeDocument/2006/relationships/hyperlink" Target="https://www.wsaz.com/content/news/Suspect-injured-after-officer-involved-shooting-in-Roane-County-506239521.html" TargetMode="External"/><Relationship Id="rId6528" Type="http://schemas.openxmlformats.org/officeDocument/2006/relationships/hyperlink" Target="https://fatalencounters.org/wp-content/uploads/2019/07/Elisha-Lucero.jpg" TargetMode="External"/><Relationship Id="rId6942" Type="http://schemas.openxmlformats.org/officeDocument/2006/relationships/hyperlink" Target="https://ktul.com/news/local/police-investigate-possible-officer-involved-shooting" TargetMode="External"/><Relationship Id="rId4493" Type="http://schemas.openxmlformats.org/officeDocument/2006/relationships/hyperlink" Target="http://www.fatalencounters.org/wp-content/uploads/2018/04/John-Andrew-Elifritz.png" TargetMode="External"/><Relationship Id="rId5544" Type="http://schemas.openxmlformats.org/officeDocument/2006/relationships/hyperlink" Target="https://www.fatalencounters.org/wp-content/uploads/2018/12/Andre-Horton.jpg" TargetMode="External"/><Relationship Id="rId3095" Type="http://schemas.openxmlformats.org/officeDocument/2006/relationships/hyperlink" Target="http://www.kotatv.com/content/news/Man-shot-and-killed-by-Oglala-Sioux-tribal-police-419209844.html" TargetMode="External"/><Relationship Id="rId4146" Type="http://schemas.openxmlformats.org/officeDocument/2006/relationships/hyperlink" Target="http://www.fatalencounters.org/wp-content/uploads/2018/01/Aaron-Olivarez-Candanoza.jpg" TargetMode="External"/><Relationship Id="rId4560" Type="http://schemas.openxmlformats.org/officeDocument/2006/relationships/hyperlink" Target="https://www.clickorlando.com/news/deputy-involved-shooting-takes-place-in-orlando-officials-say" TargetMode="External"/><Relationship Id="rId5611" Type="http://schemas.openxmlformats.org/officeDocument/2006/relationships/hyperlink" Target="https://www.heraldandnews.com/news/local_news/police/man-dead-after-beatty-area-officer-involved-shooting/article_ea51e9e2-3ece-5d01-91d2-4fc2a772ad77.html" TargetMode="External"/><Relationship Id="rId1807" Type="http://schemas.openxmlformats.org/officeDocument/2006/relationships/hyperlink" Target="http://www.yumasun.com/news/border-agent-shoots-kills-illegal-entrant-who-was-attacking-him/article_b115c42a-2f33-11e6-97ba-2f90c328452a.html" TargetMode="External"/><Relationship Id="rId3162" Type="http://schemas.openxmlformats.org/officeDocument/2006/relationships/hyperlink" Target="http://kstp.com/news/suspect-dead-child-safe-north-branch-carjacking/4538090/" TargetMode="External"/><Relationship Id="rId4213" Type="http://schemas.openxmlformats.org/officeDocument/2006/relationships/hyperlink" Target="https://www.denverpost.com/2018/02/05/colorado-springs-police-shooting-report/" TargetMode="External"/><Relationship Id="rId6385" Type="http://schemas.openxmlformats.org/officeDocument/2006/relationships/hyperlink" Target="https://www.elpasotimes.com/story/news/2019/06/17/man-who-shot-and-wounded-las-cruces-nm-officer-later-shot-and-killed-police/1476201001/?utm_source=google&amp;utm_medium=amp&amp;utm_campaign=speakable" TargetMode="External"/><Relationship Id="rId150" Type="http://schemas.openxmlformats.org/officeDocument/2006/relationships/hyperlink" Target="http://www.killedbypolice.net/victims/150499.jpg" TargetMode="External"/><Relationship Id="rId3979" Type="http://schemas.openxmlformats.org/officeDocument/2006/relationships/hyperlink" Target="http://www.fatalencounters.org/wp-content/uploads/2013/10/Tommy-Heath.jpg" TargetMode="External"/><Relationship Id="rId6038" Type="http://schemas.openxmlformats.org/officeDocument/2006/relationships/hyperlink" Target="https://www.fatalencounters.org/wp-content/uploads/2019/04/Brandon-Michael-Jacque.jpg" TargetMode="External"/><Relationship Id="rId6452" Type="http://schemas.openxmlformats.org/officeDocument/2006/relationships/hyperlink" Target="https://www.kvia.com/crime/woman-shot-killed-by-el-paso-swat-during-standoff-was-armed-with-pellet-gun/1092124412?fbclid=IwAR3GVN10OH7uwYpOCrKS6TwcfauqMn5M2eui4-j1kLiELmkxBdh8peRR7So" TargetMode="External"/><Relationship Id="rId2995" Type="http://schemas.openxmlformats.org/officeDocument/2006/relationships/hyperlink" Target="http://www.fatalencounters.org/wp-content/uploads/2013/10/Isaiah-Murrietta.png" TargetMode="External"/><Relationship Id="rId5054" Type="http://schemas.openxmlformats.org/officeDocument/2006/relationships/hyperlink" Target="https://www.kcci.com/article/officer-suspect-named-in-deadly-shooting/22759045" TargetMode="External"/><Relationship Id="rId6105" Type="http://schemas.openxmlformats.org/officeDocument/2006/relationships/hyperlink" Target="https://www.ktsm.com/crime/epcso-responds-to-deputy-involved-shooting-in-canutillo/1918919348" TargetMode="External"/><Relationship Id="rId967" Type="http://schemas.openxmlformats.org/officeDocument/2006/relationships/hyperlink" Target="http://www.cincinnati.com/story/news/2015/07/29/publish/30830777/" TargetMode="External"/><Relationship Id="rId1597" Type="http://schemas.openxmlformats.org/officeDocument/2006/relationships/hyperlink" Target="http://www.fatalencounters.org/wp-content/uploads/2013/10/Deriante-Deon-Miller.jpg" TargetMode="External"/><Relationship Id="rId2648" Type="http://schemas.openxmlformats.org/officeDocument/2006/relationships/hyperlink" Target="http://www.baltimoresun.com/news/maryland/crime/bs-md-co-police-shooting-ruled-justified-20170814-story.html" TargetMode="External"/><Relationship Id="rId1664" Type="http://schemas.openxmlformats.org/officeDocument/2006/relationships/hyperlink" Target="http://www.fatalencounters.org/wp-content/uploads/2013/10/Clinkscales.jpg" TargetMode="External"/><Relationship Id="rId2715" Type="http://schemas.openxmlformats.org/officeDocument/2006/relationships/hyperlink" Target="http://wjhl.com/2017/05/15/suspect-shot-and-killed-after-police-pursuit-in-carter-county-and-johnson-city/" TargetMode="External"/><Relationship Id="rId4070" Type="http://schemas.openxmlformats.org/officeDocument/2006/relationships/hyperlink" Target="http://www.newson6.com/story/37208083/pott-county-deputies-respond-to-officer-involved-shooting-near-shawnee" TargetMode="External"/><Relationship Id="rId5121" Type="http://schemas.openxmlformats.org/officeDocument/2006/relationships/hyperlink" Target="https://www.ajc.com/news/crime--law/breaking-held-after-covington-officer-shooting-are-juveniles/4NMhBdQ0lQDPxx1YTlsDqI/" TargetMode="External"/><Relationship Id="rId1317" Type="http://schemas.openxmlformats.org/officeDocument/2006/relationships/hyperlink" Target="http://homicide.latimes.com/post/miguel-hernandez-2016-00421/" TargetMode="External"/><Relationship Id="rId1731" Type="http://schemas.openxmlformats.org/officeDocument/2006/relationships/hyperlink" Target="http://www.miamiherald.com/news/local/crime/article78685602.html" TargetMode="External"/><Relationship Id="rId4887" Type="http://schemas.openxmlformats.org/officeDocument/2006/relationships/hyperlink" Target="http://www.fox4news.com/news/man-wielding-large-knives-killed-by-garland-police-officer" TargetMode="External"/><Relationship Id="rId5938" Type="http://schemas.openxmlformats.org/officeDocument/2006/relationships/hyperlink" Target="https://www.turnto23.com/news/local-news/coroner-victim-involved-in-east-bakersfield-ois-died-from-gunshot-wound-to-chest" TargetMode="External"/><Relationship Id="rId23" Type="http://schemas.openxmlformats.org/officeDocument/2006/relationships/hyperlink" Target="http://bloximages.chicago2.vip.townnews.com/news.hjnews.com/content/tncms/assets/v3/editorial/c/a4/ca4f81e2-cf7d-5033-933f-f993eb1d4c29/55ba527445ee0.image.jpg" TargetMode="External"/><Relationship Id="rId3489" Type="http://schemas.openxmlformats.org/officeDocument/2006/relationships/hyperlink" Target="http://www.mercurynews.com/2017/05/03/san-jose-swat-team-called-to-willow-glen-neighborhood/" TargetMode="External"/><Relationship Id="rId3556" Type="http://schemas.openxmlformats.org/officeDocument/2006/relationships/hyperlink" Target="http://www.ksdk.com/news/local/officer-involved-shooting-leaves-1-man-dead/423730926" TargetMode="External"/><Relationship Id="rId4954" Type="http://schemas.openxmlformats.org/officeDocument/2006/relationships/hyperlink" Target="https://www.fatalencounters.org/wp-content/uploads/2018/07/dmarioperkins.jpg" TargetMode="External"/><Relationship Id="rId7013" Type="http://schemas.openxmlformats.org/officeDocument/2006/relationships/hyperlink" Target="http://www.wtmj.com/news/purusit-leads-to-officer-involved-shooting-near-47th-and-hampton/1151646086" TargetMode="External"/><Relationship Id="rId477" Type="http://schemas.openxmlformats.org/officeDocument/2006/relationships/hyperlink" Target="http://www.washingtonpost.com/national/police-officer-fatally-shot-in-upstate-new-york/2014/03/31/ad349cc6-b8f4-11e3-80de-2ff8801f27af_story.html" TargetMode="External"/><Relationship Id="rId2158" Type="http://schemas.openxmlformats.org/officeDocument/2006/relationships/hyperlink" Target="http://www.nydailynews.com/news/national/armed-north-carolina-man-fatally-shot-foot-chase-article-1.2770838" TargetMode="External"/><Relationship Id="rId3209" Type="http://schemas.openxmlformats.org/officeDocument/2006/relationships/hyperlink" Target="http://www.pennlive.com/news/2017/04/man_shot_and_killed_by_police.html" TargetMode="External"/><Relationship Id="rId3970" Type="http://schemas.openxmlformats.org/officeDocument/2006/relationships/hyperlink" Target="http://www.killedbypolice.net/victims/171138.jpg" TargetMode="External"/><Relationship Id="rId4607" Type="http://schemas.openxmlformats.org/officeDocument/2006/relationships/hyperlink" Target="http://bangordailynews.com/2018/05/06/news/aroostook/maine-man-shot-by-state-police-dies/" TargetMode="External"/><Relationship Id="rId891" Type="http://schemas.openxmlformats.org/officeDocument/2006/relationships/hyperlink" Target="http://www.ksfy.com/home/headlines/Suspect-shot-during-chase-near-ski-resort-in-Lead-dies-327960971.html" TargetMode="External"/><Relationship Id="rId2572" Type="http://schemas.openxmlformats.org/officeDocument/2006/relationships/hyperlink" Target="http://www.kcra.com/article/sheriffs-office-investigates-deputy-involved-shooting-in-stockton/8526219" TargetMode="External"/><Relationship Id="rId3623" Type="http://schemas.openxmlformats.org/officeDocument/2006/relationships/hyperlink" Target="http://www.tristatehomepage.com/news/local-news/suspect-hurt-in-shootout-with-isp-in-vincennes/656138153" TargetMode="External"/><Relationship Id="rId6779" Type="http://schemas.openxmlformats.org/officeDocument/2006/relationships/hyperlink" Target="https://www.wtxl.com/news/local-news/suspect-was-on-phone-with-family-during-six-hour-stand-off-in-leon-county" TargetMode="External"/><Relationship Id="rId544" Type="http://schemas.openxmlformats.org/officeDocument/2006/relationships/hyperlink" Target="http://www.khq.com/story/23228789/officer-involved-shooting-in-n-spokane" TargetMode="External"/><Relationship Id="rId1174" Type="http://schemas.openxmlformats.org/officeDocument/2006/relationships/hyperlink" Target="http://mauinow.com/2015/08/10/man-killed-in-keopuolani-shootout-identified/" TargetMode="External"/><Relationship Id="rId2225" Type="http://schemas.openxmlformats.org/officeDocument/2006/relationships/hyperlink" Target="http://www.wtsp.com/news/suspect-shot-by-hillsborough-deputy-after-crash/329024294" TargetMode="External"/><Relationship Id="rId5795" Type="http://schemas.openxmlformats.org/officeDocument/2006/relationships/hyperlink" Target="https://www.fatalencounters.org/wp-content/uploads/2019/02/Siatuu-Tauai.png" TargetMode="External"/><Relationship Id="rId6846" Type="http://schemas.openxmlformats.org/officeDocument/2006/relationships/hyperlink" Target="https://www.kmov.com/news/man-killed-by-officers-in-maryland-heights-identified-police-release/article_00f844d2-e87b-11e9-956e-775d55291c46.html" TargetMode="External"/><Relationship Id="rId611" Type="http://schemas.openxmlformats.org/officeDocument/2006/relationships/hyperlink" Target="http://www.houstonchronicle.com/news/houston-texas/houston/article/Police-fatally-shoot-man-barricaded-in-house-6575018.php" TargetMode="External"/><Relationship Id="rId1241" Type="http://schemas.openxmlformats.org/officeDocument/2006/relationships/hyperlink" Target="http://www.fatalencounters.org/wp-content/uploads/2013/10/CoryLHenderson.png" TargetMode="External"/><Relationship Id="rId4397" Type="http://schemas.openxmlformats.org/officeDocument/2006/relationships/hyperlink" Target="http://komonews.com/news/local/pierce-county-deputy-shoots-kills-man-near-graham" TargetMode="External"/><Relationship Id="rId5448" Type="http://schemas.openxmlformats.org/officeDocument/2006/relationships/hyperlink" Target="https://www.freep.com/story/news/local/michigan/wayne/2018/11/26/pandemonium-inmate-shot-sheriffs-deputy-ambulance/2117121002/" TargetMode="External"/><Relationship Id="rId5862" Type="http://schemas.openxmlformats.org/officeDocument/2006/relationships/hyperlink" Target="https://www.kvrr.com/2019/02/18/update-deputies-in-officer-involved-shooting-in-nevis-identified/" TargetMode="External"/><Relationship Id="rId6913" Type="http://schemas.openxmlformats.org/officeDocument/2006/relationships/hyperlink" Target="https://ktla.com/2019/10/22/man-dies-after-confrontation-with-probation-officers-serving-warrant-in-carson/" TargetMode="External"/><Relationship Id="rId4464" Type="http://schemas.openxmlformats.org/officeDocument/2006/relationships/hyperlink" Target="http://fox4kc.com/2018/04/02/man-fatally-shot-by-belton-police-after-allegedly-threatening-officers-with-knife/" TargetMode="External"/><Relationship Id="rId5515" Type="http://schemas.openxmlformats.org/officeDocument/2006/relationships/hyperlink" Target="https://pix11.com/2018/12/09/nypd-officer-shot-on-staten-island/" TargetMode="External"/><Relationship Id="rId3066" Type="http://schemas.openxmlformats.org/officeDocument/2006/relationships/hyperlink" Target="http://www.fatalencounters.org/wp-content/uploads/2013/10/Christopher-Garza.jpg" TargetMode="External"/><Relationship Id="rId3480" Type="http://schemas.openxmlformats.org/officeDocument/2006/relationships/hyperlink" Target="http://www.13abc.com/content/news/State-Route-231-closed-in-Tiffin-as-officers-respond-to-situation-421783453.html" TargetMode="External"/><Relationship Id="rId4117" Type="http://schemas.openxmlformats.org/officeDocument/2006/relationships/hyperlink" Target="http://www.kmvt.com/content/news/Suspect-struck-in-officer-involved-shooting-near-Gooding-469633493.html" TargetMode="External"/><Relationship Id="rId4531" Type="http://schemas.openxmlformats.org/officeDocument/2006/relationships/hyperlink" Target="http://www.arkansasonline.com/news/2018/apr/12/authorities-arkansas-officer-fatally-shoots-man-wh/" TargetMode="External"/><Relationship Id="rId2082" Type="http://schemas.openxmlformats.org/officeDocument/2006/relationships/hyperlink" Target="http://www.wtvq.com/2016/08/14/father-harlan-co-man-shot-fire-investigator-reacts-sons-death/" TargetMode="External"/><Relationship Id="rId3133" Type="http://schemas.openxmlformats.org/officeDocument/2006/relationships/hyperlink" Target="http://www.dailynews.com/general-news/20170812/west-hollywood-man-found-dead-after-pacific-palisades-standoff-identified" TargetMode="External"/><Relationship Id="rId6289" Type="http://schemas.openxmlformats.org/officeDocument/2006/relationships/hyperlink" Target="https://abc7.com/armed-woman-dog-die-after-ontario-officer-involved-shooting/5324184/" TargetMode="External"/><Relationship Id="rId2899" Type="http://schemas.openxmlformats.org/officeDocument/2006/relationships/hyperlink" Target="http://guymondailyherald.com/content/ohp-releases-statement-officer-involved-shooting-texas-county" TargetMode="External"/><Relationship Id="rId3200" Type="http://schemas.openxmlformats.org/officeDocument/2006/relationships/hyperlink" Target="http://abc13.com/news/swat-officers-fatally-shoot-armed-woman-in-katy-home/1954987/" TargetMode="External"/><Relationship Id="rId6356" Type="http://schemas.openxmlformats.org/officeDocument/2006/relationships/hyperlink" Target="https://www.kltv.com/2019/06/17/texas-rangers-investigating-fatal-deputy-involved-shooting-hopkins-county/" TargetMode="External"/><Relationship Id="rId6770" Type="http://schemas.openxmlformats.org/officeDocument/2006/relationships/hyperlink" Target="https://fatalencounters.org/wp-content/uploads/2019/09/Edward-Mathew-Guerrero-Cruz.jpg" TargetMode="External"/><Relationship Id="rId121" Type="http://schemas.openxmlformats.org/officeDocument/2006/relationships/hyperlink" Target="http://abc30.com/news/visalia-police-shoot-and-kill-man-shortly-after-arriving-at-vacant-business-complex/789315/" TargetMode="External"/><Relationship Id="rId2966" Type="http://schemas.openxmlformats.org/officeDocument/2006/relationships/hyperlink" Target="https://www.abqjournal.com/1012327/apd-man-dies-after-police-use-less-lethal-force-during-arrest.html" TargetMode="External"/><Relationship Id="rId5372" Type="http://schemas.openxmlformats.org/officeDocument/2006/relationships/hyperlink" Target="http://www.winknews.com/2018/11/08/charlotte-county-sheriff-identifies-deputies-involved-in-monday-shooting/" TargetMode="External"/><Relationship Id="rId6009" Type="http://schemas.openxmlformats.org/officeDocument/2006/relationships/hyperlink" Target="https://www.ktnv.com/news/watch-lvmpd-shares-new-details-on-march-19-police-involved-shooting" TargetMode="External"/><Relationship Id="rId6423" Type="http://schemas.openxmlformats.org/officeDocument/2006/relationships/hyperlink" Target="https://thetandd.com/news/local/crime-and-courts/man-killed-in-orangeburg-county-officer-involved-shooting-was-on/article_4417ad16-1fe3-52af-8dfb-507638c463b8.html" TargetMode="External"/><Relationship Id="rId938" Type="http://schemas.openxmlformats.org/officeDocument/2006/relationships/hyperlink" Target="http://www.adn.com/article/20151025/man-shot-killed-confrontation-trooper-kenai-peninsula" TargetMode="External"/><Relationship Id="rId1568" Type="http://schemas.openxmlformats.org/officeDocument/2006/relationships/hyperlink" Target="http://www.sacbee.com/news/local/crime/article70938582.html" TargetMode="External"/><Relationship Id="rId2619" Type="http://schemas.openxmlformats.org/officeDocument/2006/relationships/hyperlink" Target="http://www.fox2detroit.com/news/local-news/276406214-story" TargetMode="External"/><Relationship Id="rId5025" Type="http://schemas.openxmlformats.org/officeDocument/2006/relationships/hyperlink" Target="https://www.wishtv.com/news/crime-watch-8/officer-involved-shooting-reported-in-monroe-county/1351100059" TargetMode="External"/><Relationship Id="rId1635" Type="http://schemas.openxmlformats.org/officeDocument/2006/relationships/hyperlink" Target="http://www.wsmv.com/story/31475336/1-killed-3-shot-in-officer-involved-shooting-in-russellville-ky" TargetMode="External"/><Relationship Id="rId1982" Type="http://schemas.openxmlformats.org/officeDocument/2006/relationships/hyperlink" Target="http://www.tulsaworld.com/news/crimewatch/man-dies-following-officer-involved-shooting-in-northeast-tulsa/article_3dc1d796-4c8b-11e6-9187-2788d9f21ddc.html" TargetMode="External"/><Relationship Id="rId4041" Type="http://schemas.openxmlformats.org/officeDocument/2006/relationships/hyperlink" Target="https://www.denverpost.com/2017/12/31/officers-down-and-swat-on-scene-in-douglas-county/" TargetMode="External"/><Relationship Id="rId7197" Type="http://schemas.openxmlformats.org/officeDocument/2006/relationships/hyperlink" Target="http://d3trabu2dfbdfb.cloudfront.net/2/5/2524755_300x300_1.jpeg" TargetMode="External"/><Relationship Id="rId1702" Type="http://schemas.openxmlformats.org/officeDocument/2006/relationships/hyperlink" Target="http://www.greeleytribune.com/news/21985903-113/breaking-news-greeley-police-shoot-kill-robbery-suspect" TargetMode="External"/><Relationship Id="rId4858" Type="http://schemas.openxmlformats.org/officeDocument/2006/relationships/hyperlink" Target="http://www.kswo.com/story/38579678/suspect-lpd-officers-involved-in-deadly-encounter-identified" TargetMode="External"/><Relationship Id="rId5909" Type="http://schemas.openxmlformats.org/officeDocument/2006/relationships/hyperlink" Target="https://www.fatalencounters.org/wp-content/uploads/2019/03/BrandonShmitt.jpg" TargetMode="External"/><Relationship Id="rId3874" Type="http://schemas.openxmlformats.org/officeDocument/2006/relationships/hyperlink" Target="http://www.fatalencounters.org/wp-content/uploads/2013/10/SethHardwick.jpg" TargetMode="External"/><Relationship Id="rId4925" Type="http://schemas.openxmlformats.org/officeDocument/2006/relationships/hyperlink" Target="https://www.pantagraph.com/news/local/crime-and-courts/peoria-officers-on-leave-after-latest-fatal-shooting/article_9f6e0570-a7e2-5a55-8226-f73640f51af9.html" TargetMode="External"/><Relationship Id="rId6280" Type="http://schemas.openxmlformats.org/officeDocument/2006/relationships/hyperlink" Target="https://chicago.suntimes.com/crime/2019/5/27/18641525/joliet-police-shooting-suspect-killed-hostage-justice-lake-drive" TargetMode="External"/><Relationship Id="rId795" Type="http://schemas.openxmlformats.org/officeDocument/2006/relationships/hyperlink" Target="http://www.nevadaappeal.com/news/17729220-113/several-popping-noises-right-consecutive" TargetMode="External"/><Relationship Id="rId2476" Type="http://schemas.openxmlformats.org/officeDocument/2006/relationships/hyperlink" Target="http://www.lcsun-news.com/story/news/2016/12/03/officers-fatally-shoot-suicidal-man-las-cruces-hotel/94880692/" TargetMode="External"/><Relationship Id="rId2890" Type="http://schemas.openxmlformats.org/officeDocument/2006/relationships/hyperlink" Target="http://chicago.suntimes.com/news/person-shot-by-chicago-police-officer-hit-by-car-on-northwest-side/" TargetMode="External"/><Relationship Id="rId3527" Type="http://schemas.openxmlformats.org/officeDocument/2006/relationships/hyperlink" Target="http://www.fatalencounters.org/wp-content/uploads/2013/10/Austin-Snyder.jpg" TargetMode="External"/><Relationship Id="rId3941" Type="http://schemas.openxmlformats.org/officeDocument/2006/relationships/hyperlink" Target="http://www.fatalencounters.org/wp-content/uploads/2013/10/John-Souder.jpg" TargetMode="External"/><Relationship Id="rId448" Type="http://schemas.openxmlformats.org/officeDocument/2006/relationships/hyperlink" Target="http://www.bakersfieldnow.com/news/local/1-shot-killed-by-KC-deputy-in-Lebec-260562651.html" TargetMode="External"/><Relationship Id="rId862" Type="http://schemas.openxmlformats.org/officeDocument/2006/relationships/hyperlink" Target="http://lostcoastoutpost.com/2015/sep/5/man-shot-killed-near-weitchpec-shootout-hoopa-trib/" TargetMode="External"/><Relationship Id="rId1078" Type="http://schemas.openxmlformats.org/officeDocument/2006/relationships/hyperlink" Target="http://www.killedbypolice.net/victims/150984.jpg" TargetMode="External"/><Relationship Id="rId1492" Type="http://schemas.openxmlformats.org/officeDocument/2006/relationships/hyperlink" Target="http://www.syracuse.com/crime/index.ssf/2016/02/syracuse_police_investigating_shooting_at_north_side_apartments_officer_reported.html" TargetMode="External"/><Relationship Id="rId2129" Type="http://schemas.openxmlformats.org/officeDocument/2006/relationships/hyperlink" Target="http://www.fatalencounters.org/wp-content/uploads/2013/10/Brandon-Coles.jpg" TargetMode="External"/><Relationship Id="rId2543" Type="http://schemas.openxmlformats.org/officeDocument/2006/relationships/hyperlink" Target="https://docs.google.com/document/d/1fkduqEJcScHfb4-cNvDSiXYEsTCBh8cD2_Qpo3FoBGo/edit?usp=sharing" TargetMode="External"/><Relationship Id="rId5699" Type="http://schemas.openxmlformats.org/officeDocument/2006/relationships/hyperlink" Target="https://www.registerguard.com/news/20190112/eugene-man-killed-in-officer-involved-shooting-identified" TargetMode="External"/><Relationship Id="rId6000" Type="http://schemas.openxmlformats.org/officeDocument/2006/relationships/hyperlink" Target="https://www.fatalencounters.org/wp-content/uploads/2019/03/JesusCalderone.jpg" TargetMode="External"/><Relationship Id="rId515" Type="http://schemas.openxmlformats.org/officeDocument/2006/relationships/hyperlink" Target="http://www.wilsontimes.com/News/Feature/Story/28048226---Deputies--Man-fatally-shot-after-killing-2" TargetMode="External"/><Relationship Id="rId1145" Type="http://schemas.openxmlformats.org/officeDocument/2006/relationships/hyperlink" Target="http://www.gannett-cdn.com/-mm-/02917320db0bb106be0fa752e1f70cf8886fb7bf/c=96-0-673-434&amp;r=x404&amp;c=534x401/local/-/media/2015/08/10/Indianapolis/Indianapolis/635747915088190620-andre-green-fox59.jpg" TargetMode="External"/><Relationship Id="rId5766" Type="http://schemas.openxmlformats.org/officeDocument/2006/relationships/hyperlink" Target="https://navajotimes.com/reznews/police-confirm-shooting-death-involved-officer/" TargetMode="External"/><Relationship Id="rId1212" Type="http://schemas.openxmlformats.org/officeDocument/2006/relationships/hyperlink" Target="http://archive.ydr.com/local/ci_28983263/police-respond-saturday-afternoon-shooting-york" TargetMode="External"/><Relationship Id="rId2610" Type="http://schemas.openxmlformats.org/officeDocument/2006/relationships/hyperlink" Target="http://www.sacbee.com/news/local/crime/article171993292.html" TargetMode="External"/><Relationship Id="rId4368" Type="http://schemas.openxmlformats.org/officeDocument/2006/relationships/hyperlink" Target="http://www.wxii12.com/article/deadly-officer-involved-shooting-in-davidson-county/19417026" TargetMode="External"/><Relationship Id="rId5419" Type="http://schemas.openxmlformats.org/officeDocument/2006/relationships/hyperlink" Target="http://www.wsfa.com/2018/11/15/west-alabama-district-attorney-gregory-griggers-involved-shooting/" TargetMode="External"/><Relationship Id="rId6817" Type="http://schemas.openxmlformats.org/officeDocument/2006/relationships/hyperlink" Target="https://www.thedenverchannel.com/news/local-news/suspect-killed-in-officer-involved-shooting-in-monument" TargetMode="External"/><Relationship Id="rId4782" Type="http://schemas.openxmlformats.org/officeDocument/2006/relationships/hyperlink" Target="https://www.fatalencounters.org/wp-content/uploads/2018/06/DavidHicks.jpg" TargetMode="External"/><Relationship Id="rId5833" Type="http://schemas.openxmlformats.org/officeDocument/2006/relationships/hyperlink" Target="https://www.ohio.com/news/20190208/barberton-officer-shot-new-franklin-man-killed-after-8-hour-standoff-ends-in-gunfire" TargetMode="External"/><Relationship Id="rId3037" Type="http://schemas.openxmlformats.org/officeDocument/2006/relationships/hyperlink" Target="http://www.heraldnet.com/news/man-dies-after-lake-stevens-officer-involved-shooting/" TargetMode="External"/><Relationship Id="rId3384" Type="http://schemas.openxmlformats.org/officeDocument/2006/relationships/hyperlink" Target="http://www.oregonlive.com/hillsboro/index.ssf/2017/07/police_investigating_reported.html" TargetMode="External"/><Relationship Id="rId4435" Type="http://schemas.openxmlformats.org/officeDocument/2006/relationships/hyperlink" Target="http://www.fatalencounters.org/wp-content/uploads/2018/04/Aaron-Wagdy-Ibrahem.jpg" TargetMode="External"/><Relationship Id="rId5900" Type="http://schemas.openxmlformats.org/officeDocument/2006/relationships/hyperlink" Target="https://www.mlive.com/news/flint/2019/02/three-flint-police-officers-on-leave-after-fatal-shooting-incident.html" TargetMode="External"/><Relationship Id="rId3451" Type="http://schemas.openxmlformats.org/officeDocument/2006/relationships/hyperlink" Target="http://www.nbcbayarea.com/news/local/One-Dead-After-Officer-Involved-Shooting-in-South-San-Francisco-424055604.html" TargetMode="External"/><Relationship Id="rId4502" Type="http://schemas.openxmlformats.org/officeDocument/2006/relationships/hyperlink" Target="http://www.latimes.com/local/lanow/la-me-ln-lapd-shooting-20180409-story.html" TargetMode="External"/><Relationship Id="rId372" Type="http://schemas.openxmlformats.org/officeDocument/2006/relationships/hyperlink" Target="http://www.wdbj7.com/news/local/lynchburg-bedford/deputy-involved-in-bedford-county-shooting/29390802" TargetMode="External"/><Relationship Id="rId2053" Type="http://schemas.openxmlformats.org/officeDocument/2006/relationships/hyperlink" Target="http://wjhl.com/2016/08/05/breaking-hawkins-county-deputies-shoot-kill-suspect-following-pursuit-into-virginia/" TargetMode="External"/><Relationship Id="rId3104" Type="http://schemas.openxmlformats.org/officeDocument/2006/relationships/hyperlink" Target="http://www.inforum.com/news/4198746-suspect-home-invasion-shot-killed-mille-lacs-deputy" TargetMode="External"/><Relationship Id="rId6674" Type="http://schemas.openxmlformats.org/officeDocument/2006/relationships/hyperlink" Target="https://www.cbs8.com/article/news/crime/man-killed-in-officer-involved-shooting-in-el-cerrito-identified-by-family/509-a2c5c43b-f6bf-413d-b550-e28c172b1670" TargetMode="External"/><Relationship Id="rId2120" Type="http://schemas.openxmlformats.org/officeDocument/2006/relationships/hyperlink" Target="http://www.azfamily.com/story/32796225/suspect-dead-after-officer-involved-shooting-in-phoenix" TargetMode="External"/><Relationship Id="rId5276" Type="http://schemas.openxmlformats.org/officeDocument/2006/relationships/hyperlink" Target="https://www.azcentral.com/story/news/local/chandler-breaking/2018/10/13/chandler-arizona-police-shooting-man-shot-identified/1628919002/" TargetMode="External"/><Relationship Id="rId5690" Type="http://schemas.openxmlformats.org/officeDocument/2006/relationships/hyperlink" Target="http://www.kfvs12.com/2019/01/09/dead-after-officer-involved-shooting-st-francois-county-mo/" TargetMode="External"/><Relationship Id="rId6327" Type="http://schemas.openxmlformats.org/officeDocument/2006/relationships/hyperlink" Target="https://www.clarionledger.com/story/news/2019/06/06/mississippi-agriculture-commissioner-andy-gipson-father-killed-simpson-county-deputy/1368089001/" TargetMode="External"/><Relationship Id="rId6741" Type="http://schemas.openxmlformats.org/officeDocument/2006/relationships/hyperlink" Target="https://www.kwqc.com/content/news/Burlington-Police-investigating-active-crime-scene-witnesses-report-hearing-several-gunshots--560010421.html" TargetMode="External"/><Relationship Id="rId4292" Type="http://schemas.openxmlformats.org/officeDocument/2006/relationships/hyperlink" Target="http://gilroydispatch.com/2018/02/27/gilroy-man-dies-police-custody/" TargetMode="External"/><Relationship Id="rId5343" Type="http://schemas.openxmlformats.org/officeDocument/2006/relationships/hyperlink" Target="https://www.abc15.com/news/region-southeast-valley/tempe/tempe-cop-hurt-in-officer-involved-shooting-near-mill-avenue_baseline-police-say" TargetMode="External"/><Relationship Id="rId1886" Type="http://schemas.openxmlformats.org/officeDocument/2006/relationships/hyperlink" Target="http://www.ajc.com/news/news/crime-law/cop-shot-and-killed-man-accused-of-breaking-into-a/nrmCS/" TargetMode="External"/><Relationship Id="rId2937" Type="http://schemas.openxmlformats.org/officeDocument/2006/relationships/hyperlink" Target="http://www.9news.com/news/crime/man-shot-killed-by-police-had-lengthy-criminal-history/454111891" TargetMode="External"/><Relationship Id="rId909" Type="http://schemas.openxmlformats.org/officeDocument/2006/relationships/hyperlink" Target="http://www.fox8live.com/story/30234295/one-dead-following-officer-involved-shooting-at-a-lake-charles-home" TargetMode="External"/><Relationship Id="rId1539" Type="http://schemas.openxmlformats.org/officeDocument/2006/relationships/hyperlink" Target="http://www.wcnc.com/news/local/swat-situation-blocks-west-charlotte-road/142535525" TargetMode="External"/><Relationship Id="rId1953" Type="http://schemas.openxmlformats.org/officeDocument/2006/relationships/hyperlink" Target="http://newsok.com/article/5509016" TargetMode="External"/><Relationship Id="rId5410" Type="http://schemas.openxmlformats.org/officeDocument/2006/relationships/hyperlink" Target="https://www.fatalencounters.org/wp-content/uploads/2018/11/Olajuwon-Raekwon-Murphy.jpg" TargetMode="External"/><Relationship Id="rId7168" Type="http://schemas.openxmlformats.org/officeDocument/2006/relationships/hyperlink" Target="http://www.kpho.com/story/21836047/arrest-made-in-police-shooting-that-killed-1-suspect-wounded-another" TargetMode="External"/><Relationship Id="rId1606" Type="http://schemas.openxmlformats.org/officeDocument/2006/relationships/hyperlink" Target="http://www.nbc12.com/story/31571097/virginia-state-police-investigate-deadly-force-incident" TargetMode="External"/><Relationship Id="rId4012" Type="http://schemas.openxmlformats.org/officeDocument/2006/relationships/hyperlink" Target="http://www.ktuu.com/content/news/466394523.html" TargetMode="External"/><Relationship Id="rId3778" Type="http://schemas.openxmlformats.org/officeDocument/2006/relationships/hyperlink" Target="http://www.elpasoproud.com/news/local/las-cruces-news/daso-woman-armed-with-axe-shot-killed-by-reserve-deputy/849210111" TargetMode="External"/><Relationship Id="rId4829" Type="http://schemas.openxmlformats.org/officeDocument/2006/relationships/hyperlink" Target="https://www.denverpost.com/2018/07/02/coroner-aurora-police-chase-death/" TargetMode="External"/><Relationship Id="rId6184" Type="http://schemas.openxmlformats.org/officeDocument/2006/relationships/hyperlink" Target="https://fatalencounters.org/wp-content/uploads/2019/05/DavidWayneWest.jpeg" TargetMode="External"/><Relationship Id="rId7235" Type="http://schemas.openxmlformats.org/officeDocument/2006/relationships/hyperlink" Target="https://www.fatalencounters.org/wp-content/uploads/2018/12/10-14-2013-shannon-Spencer.png" TargetMode="External"/><Relationship Id="rId699" Type="http://schemas.openxmlformats.org/officeDocument/2006/relationships/hyperlink" Target="http://www.live5news.com/story/30496764/sled-investigating-deputy-involved-shooting-in-aiken" TargetMode="External"/><Relationship Id="rId2794" Type="http://schemas.openxmlformats.org/officeDocument/2006/relationships/hyperlink" Target="http://homicide.latimes.com/post/dennis-todd-rogers/" TargetMode="External"/><Relationship Id="rId3845" Type="http://schemas.openxmlformats.org/officeDocument/2006/relationships/hyperlink" Target="http://www.theadvocate.com/baton_rouge/news/crime_police/article_fd60d696-c8d7-11e7-b40c-fbeb7a620b4a.html" TargetMode="External"/><Relationship Id="rId6251" Type="http://schemas.openxmlformats.org/officeDocument/2006/relationships/hyperlink" Target="https://fatalencounters.org/wp-content/uploads/2019/05/Lori-Markham.jpg" TargetMode="External"/><Relationship Id="rId766" Type="http://schemas.openxmlformats.org/officeDocument/2006/relationships/hyperlink" Target="http://www.gannett-cdn.com/-mm-/ba9b0cd1ff1977f0469200d5bdba66aed4208811/c=0-37-720-578&amp;r=x404&amp;c=534x401/local/-/media/2015/08/27/Nashville/Nashville/635762774997799576-SteveDoddBDay.JPG" TargetMode="External"/><Relationship Id="rId1396" Type="http://schemas.openxmlformats.org/officeDocument/2006/relationships/hyperlink" Target="http://www.abqjournal.com/725696/news/state-police-investigating-fatal-officer-involved-shooting-near-jal.html" TargetMode="External"/><Relationship Id="rId2447" Type="http://schemas.openxmlformats.org/officeDocument/2006/relationships/hyperlink" Target="http://www.bnd.com/news/local/article117611713.html" TargetMode="External"/><Relationship Id="rId419" Type="http://schemas.openxmlformats.org/officeDocument/2006/relationships/hyperlink" Target="http://www.northwestgeorgianews.com/rome/adairsville-officer-on-administrative-leave-after-fatal-shooting/article_7082a720-119e-11e4-8eb9-001a4bcf6878.html" TargetMode="External"/><Relationship Id="rId1049" Type="http://schemas.openxmlformats.org/officeDocument/2006/relationships/hyperlink" Target="http://www.wyff4.com/news/police-find-man-stabbing-wife-shoot-kill-him/32384112" TargetMode="External"/><Relationship Id="rId2861" Type="http://schemas.openxmlformats.org/officeDocument/2006/relationships/hyperlink" Target="http://www.post-gazette.com/local/city/2017/01/22/Larimer-man-dies-during-alleged-burglary-attempt/stories/201701220223" TargetMode="External"/><Relationship Id="rId3912" Type="http://schemas.openxmlformats.org/officeDocument/2006/relationships/hyperlink" Target="http://www.chicagotribune.com/news/local/breaking/ct-police-involved-shooting-king-drive-20171129-story.html" TargetMode="External"/><Relationship Id="rId833" Type="http://schemas.openxmlformats.org/officeDocument/2006/relationships/hyperlink" Target="http://www.al.com/news/birmingham/index.ssf/2015/08/man_fatally_shot_by_tuscaloosa.html" TargetMode="External"/><Relationship Id="rId1116" Type="http://schemas.openxmlformats.org/officeDocument/2006/relationships/hyperlink" Target="http://wach.com/resources/media/283f8404-c162-47c2-aafc-8a93d8b6df7b-large16x9_DemtriusBryant.jpg?1447798547635" TargetMode="External"/><Relationship Id="rId1463" Type="http://schemas.openxmlformats.org/officeDocument/2006/relationships/hyperlink" Target="http://www.fatalencounters.org/wp-content/uploads/2013/10/CraytonWest.png" TargetMode="External"/><Relationship Id="rId2514" Type="http://schemas.openxmlformats.org/officeDocument/2006/relationships/hyperlink" Target="http://www.turnto23.com/news/local-news/bpd-investigating-an-officer-involved-shooting-in-southwest-bakersfield" TargetMode="External"/><Relationship Id="rId7092" Type="http://schemas.openxmlformats.org/officeDocument/2006/relationships/hyperlink" Target="https://www.wtva.com/content/news/Tippah-County-coroner-identifies-man-who-died-in-officer-involved-shooting--566694301.html" TargetMode="External"/><Relationship Id="rId900" Type="http://schemas.openxmlformats.org/officeDocument/2006/relationships/hyperlink" Target="http://www.kgw.com/story/news/local/washington-county/2015/10/02/officer-shoots-woman-aloha/73258098/" TargetMode="External"/><Relationship Id="rId1530" Type="http://schemas.openxmlformats.org/officeDocument/2006/relationships/hyperlink" Target="http://cbs12.com/news/local/21-year-old-dead-after-officer-involved-shooting" TargetMode="External"/><Relationship Id="rId4686" Type="http://schemas.openxmlformats.org/officeDocument/2006/relationships/hyperlink" Target="https://chicago.suntimes.com/crime/cops-say-fatal-police-shooting-in-gurnee-connected-with-earlier-antioch-standoff/" TargetMode="External"/><Relationship Id="rId5737" Type="http://schemas.openxmlformats.org/officeDocument/2006/relationships/hyperlink" Target="https://www.greeleytribune.com/news/investigators-release-identity-of-fort-lupton-man-shot-by-police/" TargetMode="External"/><Relationship Id="rId3288" Type="http://schemas.openxmlformats.org/officeDocument/2006/relationships/hyperlink" Target="http://www.wsoctv.com/news/local/sbi-investigates-deadly-officer-involved-shooting-in-burke-county/596248662" TargetMode="External"/><Relationship Id="rId4339" Type="http://schemas.openxmlformats.org/officeDocument/2006/relationships/hyperlink" Target="http://www.arklatexhomepage.com/news/local-news/east-texas-man-dies-in-deputy-involved-shooting/1021190038" TargetMode="External"/><Relationship Id="rId4753" Type="http://schemas.openxmlformats.org/officeDocument/2006/relationships/hyperlink" Target="https://www.thedenverchannel.com/news/local-news/police-shoot-kill-kidnapping-suspect-after-pursuit-in-adams-county" TargetMode="External"/><Relationship Id="rId5804" Type="http://schemas.openxmlformats.org/officeDocument/2006/relationships/hyperlink" Target="https://www.kcra.com/article/man-who-stabbed-woman-dies-after-shot-by-stockton-police/26122222" TargetMode="External"/><Relationship Id="rId3355" Type="http://schemas.openxmlformats.org/officeDocument/2006/relationships/hyperlink" Target="http://www.fatalencounters.org/wp-content/uploads/2013/10/Justine.jpg" TargetMode="External"/><Relationship Id="rId4406" Type="http://schemas.openxmlformats.org/officeDocument/2006/relationships/hyperlink" Target="http://www.kron4.com/news/bay-area/suspect-dies-after-shootout-with-san-francisco-police/1069807366" TargetMode="External"/><Relationship Id="rId276" Type="http://schemas.openxmlformats.org/officeDocument/2006/relationships/hyperlink" Target="http://www.ksat.com/content/pns/ksat/news/2015/04/10/man-shot--killed-by-police-id-d.html" TargetMode="External"/><Relationship Id="rId690" Type="http://schemas.openxmlformats.org/officeDocument/2006/relationships/hyperlink" Target="http://www.wfaa.com/story/news/crime/2015/11/17/weatherford-officer-fatally-shoots-man-in-patrol-vehicle/75931948/" TargetMode="External"/><Relationship Id="rId2371" Type="http://schemas.openxmlformats.org/officeDocument/2006/relationships/hyperlink" Target="http://www.fatalencounters.org/wp-content/uploads/2013/10/Kenton-J.-Kobza.jpg" TargetMode="External"/><Relationship Id="rId3008" Type="http://schemas.openxmlformats.org/officeDocument/2006/relationships/hyperlink" Target="http://www.fatalencounters.org/wp-content/uploads/2013/10/MarioBSimoes-1.jpg" TargetMode="External"/><Relationship Id="rId3422" Type="http://schemas.openxmlformats.org/officeDocument/2006/relationships/hyperlink" Target="http://www.fatalencounters.org/wp-content/uploads/2013/10/Donald-Marcus-Smith.png" TargetMode="External"/><Relationship Id="rId4820" Type="http://schemas.openxmlformats.org/officeDocument/2006/relationships/hyperlink" Target="https://www.idahostatesman.com/news/local/community/west-ada/article213865874.html" TargetMode="External"/><Relationship Id="rId6578" Type="http://schemas.openxmlformats.org/officeDocument/2006/relationships/hyperlink" Target="https://www.abcactionnews.com/news/region-pinellas/homicide-leads-to-deadly-deputy-involved-shooting-in-safety-harbor" TargetMode="External"/><Relationship Id="rId343" Type="http://schemas.openxmlformats.org/officeDocument/2006/relationships/hyperlink" Target="http://www.wbir.com/story/news/local/sevierville-sevier/2014/12/13/spd-officer-shoots-kills-man-standoff/20349589/" TargetMode="External"/><Relationship Id="rId2024" Type="http://schemas.openxmlformats.org/officeDocument/2006/relationships/hyperlink" Target="http://www.al.com/news/birmingham/index.ssf/2016/08/tennessee_woman_idd_as_robber.html" TargetMode="External"/><Relationship Id="rId6992" Type="http://schemas.openxmlformats.org/officeDocument/2006/relationships/hyperlink" Target="https://www.ocregister.com/2019/12/13/authorities-identify-man-killed-by-police-in-orange/" TargetMode="External"/><Relationship Id="rId1040" Type="http://schemas.openxmlformats.org/officeDocument/2006/relationships/hyperlink" Target="http://www.wwltv.com/story/news/crime/2015/04/28/nopd-on-scene-of-officer-needing-assistance/26555847/" TargetMode="External"/><Relationship Id="rId4196" Type="http://schemas.openxmlformats.org/officeDocument/2006/relationships/hyperlink" Target="http://www.fatalencounters.org/wp-content/uploads/2018/02/Daniel-O.-El.png" TargetMode="External"/><Relationship Id="rId5247" Type="http://schemas.openxmlformats.org/officeDocument/2006/relationships/hyperlink" Target="https://www.cbs46.com/news/grandmother-killed-during-domestic-incident-in-mableton-suspect-shot-by/article_bc9036b2-c687-11e8-9a8a-7b40f8f04739.html" TargetMode="External"/><Relationship Id="rId5594" Type="http://schemas.openxmlformats.org/officeDocument/2006/relationships/hyperlink" Target="https://www.azcentral.com/story/news/local/arizona-breaking/2018/12/27/shootout-between-antonia-ramos-buckeye-police-described-neighbor/2423328002/" TargetMode="External"/><Relationship Id="rId6645" Type="http://schemas.openxmlformats.org/officeDocument/2006/relationships/hyperlink" Target="https://fatalencounters.org/wp-content/uploads/2019/08/mike-parsley-2.jpg" TargetMode="External"/><Relationship Id="rId410" Type="http://schemas.openxmlformats.org/officeDocument/2006/relationships/hyperlink" Target="http://www.local10.com/news/1-killed-in-policeinvolved-shooting-in-miami-springs/26847256" TargetMode="External"/><Relationship Id="rId5661" Type="http://schemas.openxmlformats.org/officeDocument/2006/relationships/hyperlink" Target="https://www.fatalencounters.org/wp-content/uploads/2019/01/Robert-Myers.jpg" TargetMode="External"/><Relationship Id="rId6712" Type="http://schemas.openxmlformats.org/officeDocument/2006/relationships/hyperlink" Target="http://brooklyn.news12.com/story/40990934/police-man-dead-in-policeinvolved-shooting-in-brownsville" TargetMode="External"/><Relationship Id="rId1857" Type="http://schemas.openxmlformats.org/officeDocument/2006/relationships/hyperlink" Target="http://www.syracuse.com/news/index.ssf/2016/06/syracuse_shooting_victim_pregnant_fiancee_hit_by_bullets_family_seeks_answers.html" TargetMode="External"/><Relationship Id="rId2908" Type="http://schemas.openxmlformats.org/officeDocument/2006/relationships/hyperlink" Target="http://www.fatalencounters.org/wp-content/uploads/2013/10/Jose-M.-Ortiz.png" TargetMode="External"/><Relationship Id="rId4263" Type="http://schemas.openxmlformats.org/officeDocument/2006/relationships/hyperlink" Target="https://www.heraldmailmedia.com/news/local/two-berkeley-county-deputies-on-leave-after-fatal-shooting/article_d9017f46-13f3-11e8-8e3a-4342faca0d74.html" TargetMode="External"/><Relationship Id="rId5314" Type="http://schemas.openxmlformats.org/officeDocument/2006/relationships/hyperlink" Target="https://www.kxii.com/content/news/Man-shot-and-killed-by-Paris-officers-identified-498243501.html" TargetMode="External"/><Relationship Id="rId1924" Type="http://schemas.openxmlformats.org/officeDocument/2006/relationships/hyperlink" Target="http://www.fatalencounters.org/wp-content/uploads/2013/10/AnthonyNunez.jpg" TargetMode="External"/><Relationship Id="rId4330" Type="http://schemas.openxmlformats.org/officeDocument/2006/relationships/hyperlink" Target="http://www.fatalencounters.org/wp-content/uploads/2018/03/MichaelKline.jpg" TargetMode="External"/><Relationship Id="rId6088" Type="http://schemas.openxmlformats.org/officeDocument/2006/relationships/hyperlink" Target="https://www.fatalencounters.org/wp-content/uploads/2019/04/MichaelGully.jpg" TargetMode="External"/><Relationship Id="rId7139" Type="http://schemas.openxmlformats.org/officeDocument/2006/relationships/hyperlink" Target="http://bloximages.chicago2.vip.townnews.com/wacotrib.com/content/tncms/assets/v3/editorial/0/97/097adbca-3fb7-5236-a95c-3dcafc155273/514aa5c80bcd3.image.jpg" TargetMode="External"/><Relationship Id="rId2698" Type="http://schemas.openxmlformats.org/officeDocument/2006/relationships/hyperlink" Target="http://www.mysanantonio.com/news/local/crime/article/Police-responding-to-scene-of-reported-shooting-11196840.php" TargetMode="External"/><Relationship Id="rId6155" Type="http://schemas.openxmlformats.org/officeDocument/2006/relationships/hyperlink" Target="https://fatalencounters.org/wp-content/uploads/2019/09/James-Aaron-McBrayer.jpg" TargetMode="External"/><Relationship Id="rId7206" Type="http://schemas.openxmlformats.org/officeDocument/2006/relationships/hyperlink" Target="http://www.wacotrib.com/news/police/bosque-county-sheriff-s-deputy-fatally-shoots-armed-man-authorities/article_c4b46d9b-06b0-5fb7-8577-ad4fc0c30851.html" TargetMode="External"/><Relationship Id="rId3749" Type="http://schemas.openxmlformats.org/officeDocument/2006/relationships/hyperlink" Target="http://www.fatalencounters.org/wp-content/uploads/2013/10/Sean-Bohinski.jpg" TargetMode="External"/><Relationship Id="rId5171" Type="http://schemas.openxmlformats.org/officeDocument/2006/relationships/hyperlink" Target="https://www.fatalencounters.org/wp-content/uploads/2018/10/Griselda-Alicia-Hernandez-Cantu.jpg" TargetMode="External"/><Relationship Id="rId6222" Type="http://schemas.openxmlformats.org/officeDocument/2006/relationships/hyperlink" Target="https://fatalencounters.org/wp-content/uploads/2019/05/PamelaTurner.jpg" TargetMode="External"/><Relationship Id="rId2765" Type="http://schemas.openxmlformats.org/officeDocument/2006/relationships/hyperlink" Target="http://www.fatalencounters.org/wp-content/uploads/2013/10/Reno-Joseph-Owens-Jr..jpg" TargetMode="External"/><Relationship Id="rId3816" Type="http://schemas.openxmlformats.org/officeDocument/2006/relationships/hyperlink" Target="http://wset.com/news/local/breaking-roanoke-police-on-scene-in-roanoke" TargetMode="External"/><Relationship Id="rId737" Type="http://schemas.openxmlformats.org/officeDocument/2006/relationships/hyperlink" Target="https://mgtvwhtm.files.wordpress.com/2015/08/55c248d06dc55-image.jpg?w=300" TargetMode="External"/><Relationship Id="rId1367" Type="http://schemas.openxmlformats.org/officeDocument/2006/relationships/hyperlink" Target="http://www.kjrh.com/news/local-news/okmulgee-county-identifies-person-in-fatal-deputy-involved-shooting-as-murder-suspect" TargetMode="External"/><Relationship Id="rId1781" Type="http://schemas.openxmlformats.org/officeDocument/2006/relationships/hyperlink" Target="http://www.fatalencounters.org/wp-content/uploads/2013/10/MichaelJohnson.jpg" TargetMode="External"/><Relationship Id="rId2418" Type="http://schemas.openxmlformats.org/officeDocument/2006/relationships/hyperlink" Target="http://www.fatalencounters.org/wp-content/uploads/2013/10/Greta-Kurian.jpg" TargetMode="External"/><Relationship Id="rId2832" Type="http://schemas.openxmlformats.org/officeDocument/2006/relationships/hyperlink" Target="http://www.nj.com/cumberland/index.ssf/2017/02/man_dies_in_police-involved_shooting_authorities_s.html" TargetMode="External"/><Relationship Id="rId5988" Type="http://schemas.openxmlformats.org/officeDocument/2006/relationships/hyperlink" Target="https://okcfox.com/news/local/osbi-investigating-officer-involved-shooting-in-sequoyah-county" TargetMode="External"/><Relationship Id="rId73" Type="http://schemas.openxmlformats.org/officeDocument/2006/relationships/hyperlink" Target="http://www.fox10phoenix.com/story/29484924/2015/07/06/suspect-hospitalized-after-officer-involved-shooting-in-mesa" TargetMode="External"/><Relationship Id="rId804" Type="http://schemas.openxmlformats.org/officeDocument/2006/relationships/hyperlink" Target="http://www.nj.com/ocean/index.ssf/2015/08/family_says_emotional_goodbye_to_brick_man_shot_by.html" TargetMode="External"/><Relationship Id="rId1434" Type="http://schemas.openxmlformats.org/officeDocument/2006/relationships/hyperlink" Target="http://www.bgdailynews.com/news/state/man-dies-after-being-shot-by-constable-in-laurel-county/article_fb43de48-bcc9-53eb-a526-7cdf3a51de7f.html" TargetMode="External"/><Relationship Id="rId1501" Type="http://schemas.openxmlformats.org/officeDocument/2006/relationships/hyperlink" Target="http://www.cnn.com/2016/03/16/us/maryland-police-officer-killed/" TargetMode="External"/><Relationship Id="rId4657" Type="http://schemas.openxmlformats.org/officeDocument/2006/relationships/hyperlink" Target="https://www.fatalencounters.org/wp-content/uploads/2018/05/CodyReynolds.jpg" TargetMode="External"/><Relationship Id="rId5708" Type="http://schemas.openxmlformats.org/officeDocument/2006/relationships/hyperlink" Target="https://www.blackhillsfox.com/content/news/Man-shot-by-officer-at-rest-stop-identified-as-Wisconsin-man-504557801.html" TargetMode="External"/><Relationship Id="rId7063" Type="http://schemas.openxmlformats.org/officeDocument/2006/relationships/hyperlink" Target="https://www.wesh.com/article/deadly-deputy-involved-shooting-under-investigation-in-polk-county-1577459744/30344888" TargetMode="External"/><Relationship Id="rId3259" Type="http://schemas.openxmlformats.org/officeDocument/2006/relationships/hyperlink" Target="http://www.miamiherald.com/news/local/community/miami-dade/kendall/article171314187.html" TargetMode="External"/><Relationship Id="rId7130" Type="http://schemas.openxmlformats.org/officeDocument/2006/relationships/hyperlink" Target="http://www.fugitive.com/2013/03/19/angelo-d-moreno-shot-by-american-canyon-police-officers/" TargetMode="External"/><Relationship Id="rId594" Type="http://schemas.openxmlformats.org/officeDocument/2006/relationships/hyperlink" Target="http://www.kristv.com/story/30317738/man-dies-in-corpus-christi-pd-custody" TargetMode="External"/><Relationship Id="rId2275" Type="http://schemas.openxmlformats.org/officeDocument/2006/relationships/hyperlink" Target="http://www.abcactionnews.com/news/region-pasco/man-killed-by-pasco-deputies-wanted-suicide-by-cop-charged-at-deputies-with-knife" TargetMode="External"/><Relationship Id="rId3326" Type="http://schemas.openxmlformats.org/officeDocument/2006/relationships/hyperlink" Target="http://ktla.com/2017/07/27/barricaded-suspect-in-standoff-with-lapd-officers-at-motel-6-in-hollywood/" TargetMode="External"/><Relationship Id="rId3673" Type="http://schemas.openxmlformats.org/officeDocument/2006/relationships/hyperlink" Target="http://www.stltoday.com/news/local/crime-and-courts/combative-man-dies-in-st-louis-county-police-custody-after/article_a73047e4-ceae-5f3e-a5e1-701fbeb8c77e.html" TargetMode="External"/><Relationship Id="rId4724" Type="http://schemas.openxmlformats.org/officeDocument/2006/relationships/hyperlink" Target="https://www.fatalencounters.org/wp-content/uploads/2018/06/Shamir-Deangelo-Terry.jpg" TargetMode="External"/><Relationship Id="rId247" Type="http://schemas.openxmlformats.org/officeDocument/2006/relationships/hyperlink" Target="http://www.nytimes.com/2015/04/24/nyregion/man-killed-by-police-in-queens-had-a-history-of-instability.html?_r=0" TargetMode="External"/><Relationship Id="rId3740" Type="http://schemas.openxmlformats.org/officeDocument/2006/relationships/hyperlink" Target="http://www.ktvn.com/story/36653411/officer-involved-shooting-in-sparks" TargetMode="External"/><Relationship Id="rId6896" Type="http://schemas.openxmlformats.org/officeDocument/2006/relationships/hyperlink" Target="https://fatalencounters.org/wp-content/uploads/2019/10/Charles-Chuck-Tsakiris.jpg" TargetMode="External"/><Relationship Id="rId661" Type="http://schemas.openxmlformats.org/officeDocument/2006/relationships/hyperlink" Target="http://www.killedbypolice.net/victims/151005.jpg" TargetMode="External"/><Relationship Id="rId1291" Type="http://schemas.openxmlformats.org/officeDocument/2006/relationships/hyperlink" Target="http://d1t3gia0in9tdj.cloudfront.net/photo/tributes/t/8/r/207x207/3661403/Wesley-Sheppard-1457800784.png" TargetMode="External"/><Relationship Id="rId2342" Type="http://schemas.openxmlformats.org/officeDocument/2006/relationships/hyperlink" Target="http://www.fatalencounters.org/wp-content/uploads/2013/10/Ferguson-Claude-Laurent-Jr..jpg" TargetMode="External"/><Relationship Id="rId5498" Type="http://schemas.openxmlformats.org/officeDocument/2006/relationships/hyperlink" Target="https://www.star-telegram.com/news/local/community/dallas/article222654265.html" TargetMode="External"/><Relationship Id="rId6549" Type="http://schemas.openxmlformats.org/officeDocument/2006/relationships/hyperlink" Target="http://www.altoonamirror.com/news/local-news/2019/07/family-reeling-from-shooting/" TargetMode="External"/><Relationship Id="rId6963" Type="http://schemas.openxmlformats.org/officeDocument/2006/relationships/hyperlink" Target="https://fatalencounters.org/wp-content/uploads/2019/11/John-Hale.jpg" TargetMode="External"/><Relationship Id="rId314" Type="http://schemas.openxmlformats.org/officeDocument/2006/relationships/hyperlink" Target="http://www.firstcoastnews.com/story/news/local/2014/12/29/st-johns-county-armed-suspect-killed/21031459/" TargetMode="External"/><Relationship Id="rId5565" Type="http://schemas.openxmlformats.org/officeDocument/2006/relationships/hyperlink" Target="https://www.citynews1130.com/2018/12/18/woman-suspected-in-armed-robbery-shot-killed-by-police/" TargetMode="External"/><Relationship Id="rId6616" Type="http://schemas.openxmlformats.org/officeDocument/2006/relationships/hyperlink" Target="https://fatalencounters.org/wp-content/uploads/2019/08/Freddrick-Andrews-Hadden.jpg" TargetMode="External"/><Relationship Id="rId1011" Type="http://schemas.openxmlformats.org/officeDocument/2006/relationships/hyperlink" Target="http://www.killedbypolice.net/victims/150490.jpg" TargetMode="External"/><Relationship Id="rId4167" Type="http://schemas.openxmlformats.org/officeDocument/2006/relationships/hyperlink" Target="http://www.lasvegasnow.com/news/man-fatally-shot-by-police-after-allegedly-killing-his-wife/941126959" TargetMode="External"/><Relationship Id="rId4581" Type="http://schemas.openxmlformats.org/officeDocument/2006/relationships/hyperlink" Target="http://www.whas11.com/article/news/crime/suspect-shot-and-killed-by-lmpd-officer-wednesday-night-identified/417-545972618" TargetMode="External"/><Relationship Id="rId5218" Type="http://schemas.openxmlformats.org/officeDocument/2006/relationships/hyperlink" Target="https://www.poughkeepsiejournal.com/story/news/local/2018/09/26/stanfordville-man-knife-shot-state-police/1431650002/" TargetMode="External"/><Relationship Id="rId5632" Type="http://schemas.openxmlformats.org/officeDocument/2006/relationships/hyperlink" Target="https://www.ksat.com/news/defenders/report-on-march-standoff-doesnt-say-who-killed-elderly-hostage" TargetMode="External"/><Relationship Id="rId3183" Type="http://schemas.openxmlformats.org/officeDocument/2006/relationships/hyperlink" Target="http://www.columbian.com/news/2017/jun/06/report-of-bank-robbery-pursuit-shots-fired/" TargetMode="External"/><Relationship Id="rId4234" Type="http://schemas.openxmlformats.org/officeDocument/2006/relationships/hyperlink" Target="https://kdminer.com/news/2018/feb/12/man-killed-kingman-police-saturday-night/" TargetMode="External"/><Relationship Id="rId1828" Type="http://schemas.openxmlformats.org/officeDocument/2006/relationships/hyperlink" Target="http://www.fatalencounters.org/wp-content/uploads/2013/10/Edward-Acquisto.jpg" TargetMode="External"/><Relationship Id="rId3250" Type="http://schemas.openxmlformats.org/officeDocument/2006/relationships/hyperlink" Target="http://www.wmcactionnews5.com/story/36392591/1-person-dead-in-officer-involved-shooting-in-calhoun-co" TargetMode="External"/><Relationship Id="rId171" Type="http://schemas.openxmlformats.org/officeDocument/2006/relationships/hyperlink" Target="http://www.killedbypolice.net/victims/150475.jpg" TargetMode="External"/><Relationship Id="rId4301" Type="http://schemas.openxmlformats.org/officeDocument/2006/relationships/hyperlink" Target="http://www.fatalencounters.org/wp-content/uploads/2018/03/marlon-smith.png" TargetMode="External"/><Relationship Id="rId6059" Type="http://schemas.openxmlformats.org/officeDocument/2006/relationships/hyperlink" Target="https://fatalencounters.org/wp-content/uploads/2019/05/Wally-A.-McCurdy.jpeg" TargetMode="External"/><Relationship Id="rId6473" Type="http://schemas.openxmlformats.org/officeDocument/2006/relationships/hyperlink" Target="https://chicago.suntimes.com/crime/2019/7/9/20687362/luis-vasquez-suspected-kidnapper-killed-police-belmont-central-identified" TargetMode="External"/><Relationship Id="rId988" Type="http://schemas.openxmlformats.org/officeDocument/2006/relationships/hyperlink" Target="http://www.gannett-cdn.com/-mm-/8334042135d7f679c06190b7cdf533ced74a407e/c=15-0-465-600&amp;r=537&amp;c=0-0-534-712/local/-/media/2015/06/24/WVEC/WVEC/635707581920059394-DamienAlexanderHarrell.jpg" TargetMode="External"/><Relationship Id="rId2669" Type="http://schemas.openxmlformats.org/officeDocument/2006/relationships/hyperlink" Target="http://www.fatalencounters.org/wp-content/uploads/2013/10/AlexanderBonds.jpg" TargetMode="External"/><Relationship Id="rId5075" Type="http://schemas.openxmlformats.org/officeDocument/2006/relationships/hyperlink" Target="https://www.fatalencounters.org/wp-content/uploads/2018/08/Jeffrey-Dennis.jpg" TargetMode="External"/><Relationship Id="rId6126" Type="http://schemas.openxmlformats.org/officeDocument/2006/relationships/hyperlink" Target="https://fatalencounters.org/wp-content/uploads/2019/08/Tyler-R.-Johnson.jpg" TargetMode="External"/><Relationship Id="rId6540" Type="http://schemas.openxmlformats.org/officeDocument/2006/relationships/hyperlink" Target="https://fatalencounters.org/wp-content/uploads/2019/09/Ross-Alan-Rittacco.jpg" TargetMode="External"/><Relationship Id="rId1685" Type="http://schemas.openxmlformats.org/officeDocument/2006/relationships/hyperlink" Target="http://bangordailynews.com/2016/05/10/news/aroostook/man-shot-by-officer-in-presque-isle-dies-at-hospital/" TargetMode="External"/><Relationship Id="rId2736" Type="http://schemas.openxmlformats.org/officeDocument/2006/relationships/hyperlink" Target="http://www.fatalencounters.org/wp-content/uploads/2013/10/JordanEdwards.jpeg" TargetMode="External"/><Relationship Id="rId4091" Type="http://schemas.openxmlformats.org/officeDocument/2006/relationships/hyperlink" Target="http://elkodaily.com/news/local/crime-and-courts/two-dead-in-spring-creek-shooting/article_42737c70-18fa-546d-ac08-525c7538860e.html" TargetMode="External"/><Relationship Id="rId5142" Type="http://schemas.openxmlformats.org/officeDocument/2006/relationships/hyperlink" Target="https://www.chron.com/neighborhood/galveston/article/Police-identify-Galveston-woman-shot-and-killed-13218502.php" TargetMode="External"/><Relationship Id="rId708" Type="http://schemas.openxmlformats.org/officeDocument/2006/relationships/hyperlink" Target="http://www.lmtonline.com/front-news/article_2cdd3578-870c-11e5-96b2-1fbfed068503.html" TargetMode="External"/><Relationship Id="rId1338" Type="http://schemas.openxmlformats.org/officeDocument/2006/relationships/hyperlink" Target="http://fox40.com/2016/01/19/police-home-intruder-dead-after-physical-altercation-with-stockton-officers/" TargetMode="External"/><Relationship Id="rId1405" Type="http://schemas.openxmlformats.org/officeDocument/2006/relationships/hyperlink" Target="http://wjhl.com/2016/02/19/shooting-reported-in-elizabethton-multiple-agencies-responding/" TargetMode="External"/><Relationship Id="rId1752" Type="http://schemas.openxmlformats.org/officeDocument/2006/relationships/hyperlink" Target="http://browardarrests.org/pics/DOLL_PIERRE-LOUIS_501503507.jpg" TargetMode="External"/><Relationship Id="rId2803" Type="http://schemas.openxmlformats.org/officeDocument/2006/relationships/hyperlink" Target="http://gunmemorial.org/2017/02/23/timothy-lionel-williams" TargetMode="External"/><Relationship Id="rId5959" Type="http://schemas.openxmlformats.org/officeDocument/2006/relationships/hyperlink" Target="https://www.wkrn.com/news/tbi-investigates-officer-involved-shooting-that-leaves-woman-dead/1837400986" TargetMode="External"/><Relationship Id="rId44" Type="http://schemas.openxmlformats.org/officeDocument/2006/relationships/hyperlink" Target="http://www.nbc15.com/home/headlines/Reports-of-shooting-in-Monroe-318229761.html" TargetMode="External"/><Relationship Id="rId4975" Type="http://schemas.openxmlformats.org/officeDocument/2006/relationships/hyperlink" Target="https://www.fatalencounters.org/wp-content/uploads/2018/08/JosephSantos.jpg" TargetMode="External"/><Relationship Id="rId7034" Type="http://schemas.openxmlformats.org/officeDocument/2006/relationships/hyperlink" Target="https://www.foxnews.com/us/florida-man-on-run-killed-standoff-shooting-police-captain" TargetMode="External"/><Relationship Id="rId498" Type="http://schemas.openxmlformats.org/officeDocument/2006/relationships/hyperlink" Target="http://www.spokesman.com/stories/2014/feb/11/possible-officer-involved-shooting-spokane-valley/" TargetMode="External"/><Relationship Id="rId2179" Type="http://schemas.openxmlformats.org/officeDocument/2006/relationships/hyperlink" Target="http://abc7.com/news/long-beach-police-fatally-shoot-man-armed-with-knife-officials-say/1498809/" TargetMode="External"/><Relationship Id="rId3577" Type="http://schemas.openxmlformats.org/officeDocument/2006/relationships/hyperlink" Target="http://www.10news.com/news/police-activity-reported-on-james-street-in-escondido-031017" TargetMode="External"/><Relationship Id="rId3991" Type="http://schemas.openxmlformats.org/officeDocument/2006/relationships/hyperlink" Target="http://www.mysanantonio.com/news/local/crime/article/Schertz-junior-high-school-on-lockout-during-12448095.php" TargetMode="External"/><Relationship Id="rId4628" Type="http://schemas.openxmlformats.org/officeDocument/2006/relationships/hyperlink" Target="http://tucson.com/news/local/tucson-circle-k-where-police-shot-and-killed-man-draws/article_53a4ca00-5472-11e8-8a3f-ab3bb9a45621.html" TargetMode="External"/><Relationship Id="rId2593" Type="http://schemas.openxmlformats.org/officeDocument/2006/relationships/hyperlink" Target="https://drive.google.com/file/d/0B-l9Ys3cd80fMFFTUjBuUk9Yekk/view?usp=sharing" TargetMode="External"/><Relationship Id="rId3644" Type="http://schemas.openxmlformats.org/officeDocument/2006/relationships/hyperlink" Target="http://www.wcpo.com/news/crime/indiana-state-police-suspect-shot-by-police-taken-to-hospital" TargetMode="External"/><Relationship Id="rId6050" Type="http://schemas.openxmlformats.org/officeDocument/2006/relationships/hyperlink" Target="https://www.adn.com/alaska-news/crime-courts/2019/04/01/suspect-killed-in-troopers-involved-shooting-in-fairbanks/" TargetMode="External"/><Relationship Id="rId7101" Type="http://schemas.openxmlformats.org/officeDocument/2006/relationships/hyperlink" Target="http://www.wftv.com/news/news/local/crash-heavy-law-enforcement-presence-causes-delays/npJ6S/" TargetMode="External"/><Relationship Id="rId565" Type="http://schemas.openxmlformats.org/officeDocument/2006/relationships/hyperlink" Target="http://crimeblog.dallasnews.com/2013/03/dallas-police-officer-fatally-shoots-suspect-after-major-disturbance-at-apartment-complex.html/" TargetMode="External"/><Relationship Id="rId1195" Type="http://schemas.openxmlformats.org/officeDocument/2006/relationships/hyperlink" Target="http://abc11.com/news/armed-man-killed-after-police-standoff-in-durham/971330/" TargetMode="External"/><Relationship Id="rId2246" Type="http://schemas.openxmlformats.org/officeDocument/2006/relationships/hyperlink" Target="http://www.modbee.com/news/local/crime/article106987017.html" TargetMode="External"/><Relationship Id="rId2660" Type="http://schemas.openxmlformats.org/officeDocument/2006/relationships/hyperlink" Target="http://www.kansascity.com/news/local/crime/article164014312.html" TargetMode="External"/><Relationship Id="rId3711" Type="http://schemas.openxmlformats.org/officeDocument/2006/relationships/hyperlink" Target="http://www.ajc.com/news/crime--law/cherokee-county-police-chase-ends-with-driver-fatally-shot-officer-wounded/ccnNLcAXEfvvkIicNUslYL/" TargetMode="External"/><Relationship Id="rId6867" Type="http://schemas.openxmlformats.org/officeDocument/2006/relationships/hyperlink" Target="https://www.azcentral.com/story/news/local/southwest-valley/2019/10/13/buckeye-police-shoot-kill-person-suspected-shooting-incident/3972655002/" TargetMode="External"/><Relationship Id="rId218" Type="http://schemas.openxmlformats.org/officeDocument/2006/relationships/hyperlink" Target="http://www.wkyt.com/wymt/home/headlines/Police-investigating-officer-involved-shooting-in-Perry-County-302391481.html" TargetMode="External"/><Relationship Id="rId632" Type="http://schemas.openxmlformats.org/officeDocument/2006/relationships/hyperlink" Target="http://www.killedbypolice.net/victims/151067.jpg" TargetMode="External"/><Relationship Id="rId1262" Type="http://schemas.openxmlformats.org/officeDocument/2006/relationships/hyperlink" Target="http://www.hawaiipolice.com/wp-content/gallery/01-20-16-wanted-ronald-barawis-jr/ronald-barawis.jpg" TargetMode="External"/><Relationship Id="rId2313" Type="http://schemas.openxmlformats.org/officeDocument/2006/relationships/hyperlink" Target="http://www.fatalencounters.org/wp-content/uploads/2013/10/Edwin-Amaya-Maldonado.jpg" TargetMode="External"/><Relationship Id="rId5469" Type="http://schemas.openxmlformats.org/officeDocument/2006/relationships/hyperlink" Target="https://www.courier-journal.com/story/news/crime/2018/11/29/louisville-police-officer-kills-person/2146834002/" TargetMode="External"/><Relationship Id="rId4485" Type="http://schemas.openxmlformats.org/officeDocument/2006/relationships/hyperlink" Target="http://www.fatalencounters.org/wp-content/uploads/2018/04/Robert-Litolff.jpg" TargetMode="External"/><Relationship Id="rId5536" Type="http://schemas.openxmlformats.org/officeDocument/2006/relationships/hyperlink" Target="https://www.stltoday.com/news/local/crime-and-courts/police-identify-man-shot-and-killed-in-stolen-car-by/article_004654a1-ce34-513a-99bd-2852828b28d2.html" TargetMode="External"/><Relationship Id="rId5883" Type="http://schemas.openxmlformats.org/officeDocument/2006/relationships/hyperlink" Target="https://www.fatalencounters.org/wp-content/uploads/2019/02/Kyron-Marcell-Sands.jpg" TargetMode="External"/><Relationship Id="rId6934" Type="http://schemas.openxmlformats.org/officeDocument/2006/relationships/hyperlink" Target="https://fatalencounters.org/wp-content/uploads/2019/10/Anthony-John-Michael-Zappier.png" TargetMode="External"/><Relationship Id="rId3087" Type="http://schemas.openxmlformats.org/officeDocument/2006/relationships/hyperlink" Target="http://www.fatalencounters.org/wp-content/uploads/2013/10/Littlecloud.png" TargetMode="External"/><Relationship Id="rId4138" Type="http://schemas.openxmlformats.org/officeDocument/2006/relationships/hyperlink" Target="http://www.wsbtv.com/news/local/dekalb-county/armed-robbery-suspect-shot-by-officer-in-shopping-center-parking-lot-gbi-says/686698480" TargetMode="External"/><Relationship Id="rId5950" Type="http://schemas.openxmlformats.org/officeDocument/2006/relationships/hyperlink" Target="https://katu.com/news/local/officer-involved-shooting-in-hazel-dell" TargetMode="External"/><Relationship Id="rId4552" Type="http://schemas.openxmlformats.org/officeDocument/2006/relationships/hyperlink" Target="http://www.fatalencounters.org/wp-content/uploads/2018/04/Delorean-Pikyavit.jpg" TargetMode="External"/><Relationship Id="rId5603" Type="http://schemas.openxmlformats.org/officeDocument/2006/relationships/hyperlink" Target="https://azdailysun.com/news/state-and-regional/phoenix-police-identify-suspect-shot-by-officer-in-apartment/article_8232bb61-f932-5b7f-be81-1455125dd866.html?fbclid=IwAR07HdpOgPPBGLt7Bkrq1f6QyHVqzXvJvcWcHJwlLFmLRp6ldQqaSYT3uW4" TargetMode="External"/><Relationship Id="rId3154" Type="http://schemas.openxmlformats.org/officeDocument/2006/relationships/hyperlink" Target="http://www.13newsnow.com/news/police-investigate-shooting-outside-of-naval-station-norfolk/457458135" TargetMode="External"/><Relationship Id="rId4205" Type="http://schemas.openxmlformats.org/officeDocument/2006/relationships/hyperlink" Target="http://ktxs.com/news/big-country/man-shot-killed-by-runnels-county-deputies" TargetMode="External"/><Relationship Id="rId2170" Type="http://schemas.openxmlformats.org/officeDocument/2006/relationships/hyperlink" Target="http://www.latimes.com/local/lanow/la-me-ln-deputy-shots-man-20160901-snap-story.html" TargetMode="External"/><Relationship Id="rId3221" Type="http://schemas.openxmlformats.org/officeDocument/2006/relationships/hyperlink" Target="http://www.northjersey.com/story/news/passaic/paterson/2017/04/14/man-killed-shooting-paterson-cop-sources-say/100475558/" TargetMode="External"/><Relationship Id="rId6377" Type="http://schemas.openxmlformats.org/officeDocument/2006/relationships/hyperlink" Target="https://www.yaktrinews.com/news/man-fatally-shot-by-police-in-toppenish-identified/1087375565" TargetMode="External"/><Relationship Id="rId6791" Type="http://schemas.openxmlformats.org/officeDocument/2006/relationships/hyperlink" Target="https://www.wrcbtv.com/story/41075221/update-police-say-man-confronted-them-with-weapon-in-deadly-shooting" TargetMode="External"/><Relationship Id="rId8" Type="http://schemas.openxmlformats.org/officeDocument/2006/relationships/hyperlink" Target="http://www.killedbypolice.net/victims/150901.jpg" TargetMode="External"/><Relationship Id="rId142" Type="http://schemas.openxmlformats.org/officeDocument/2006/relationships/hyperlink" Target="http://www.killedbypolice.net/victims/150501.jpg" TargetMode="External"/><Relationship Id="rId2987" Type="http://schemas.openxmlformats.org/officeDocument/2006/relationships/hyperlink" Target="http://www.fatalencounters.org/wp-content/uploads/2013/10/Jose-Hernandez-Rossy.png" TargetMode="External"/><Relationship Id="rId5393" Type="http://schemas.openxmlformats.org/officeDocument/2006/relationships/hyperlink" Target="https://okcfox.com/news/local/deadly-officer-involved-shooting-in-muskogee" TargetMode="External"/><Relationship Id="rId6444" Type="http://schemas.openxmlformats.org/officeDocument/2006/relationships/hyperlink" Target="https://www.twincities.com/2019/07/08/family-of-man-fatally-shot-by-police-in-eagan-seeks-answers/" TargetMode="External"/><Relationship Id="rId959" Type="http://schemas.openxmlformats.org/officeDocument/2006/relationships/hyperlink" Target="https://drive.google.com/file/d/0B-l9Ys3cd80fdWxndDUyT05Fb0k/view?usp=sharing" TargetMode="External"/><Relationship Id="rId1589" Type="http://schemas.openxmlformats.org/officeDocument/2006/relationships/hyperlink" Target="http://www.fatalencounters.org/wp-content/uploads/2013/10/Nonny.png" TargetMode="External"/><Relationship Id="rId5046" Type="http://schemas.openxmlformats.org/officeDocument/2006/relationships/hyperlink" Target="https://www.cbs19.tv/article/news/local/update-standoff-ends-after-woman-shoots-self/501-583362575" TargetMode="External"/><Relationship Id="rId5460" Type="http://schemas.openxmlformats.org/officeDocument/2006/relationships/hyperlink" Target="https://www.wate.com/news/local-news/suspect-injured-in-south-knoxvile-shooting-involving-police-officer/1619593851" TargetMode="External"/><Relationship Id="rId6511" Type="http://schemas.openxmlformats.org/officeDocument/2006/relationships/hyperlink" Target="https://www.modbee.com/news/local/crime/article232822747.html" TargetMode="External"/><Relationship Id="rId4062" Type="http://schemas.openxmlformats.org/officeDocument/2006/relationships/hyperlink" Target="http://www.news-leader.com/story/news/breaking-news/2018/01/05/police-respond-shooting-north-national-avenue/1008291001/" TargetMode="External"/><Relationship Id="rId5113" Type="http://schemas.openxmlformats.org/officeDocument/2006/relationships/hyperlink" Target="https://cityofhouston.news/update-investigation-into-shooting-incident-at-8500-east-freeway/" TargetMode="External"/><Relationship Id="rId1656" Type="http://schemas.openxmlformats.org/officeDocument/2006/relationships/hyperlink" Target="http://www.fatalencounters.org/wp-content/uploads/2013/10/Chin.png" TargetMode="External"/><Relationship Id="rId2707" Type="http://schemas.openxmlformats.org/officeDocument/2006/relationships/hyperlink" Target="http://www.fatalencounters.org/wp-content/uploads/2013/10/Adam-Trammell.png" TargetMode="External"/><Relationship Id="rId1309" Type="http://schemas.openxmlformats.org/officeDocument/2006/relationships/hyperlink" Target="http://local12.com/news/local/cpd-outline-events-leading-up-to-deadly-officer-involved-shooting" TargetMode="External"/><Relationship Id="rId1723" Type="http://schemas.openxmlformats.org/officeDocument/2006/relationships/hyperlink" Target="http://www.nydailynews.com/new-york/man-shot-dead-nypd-involved-shooting-hell-kitchen-article-1.2641080" TargetMode="External"/><Relationship Id="rId4879" Type="http://schemas.openxmlformats.org/officeDocument/2006/relationships/hyperlink" Target="https://www.fatalencounters.org/wp-content/uploads/2018/07/Kelly-Kenneth-Sutton.jpg" TargetMode="External"/><Relationship Id="rId15" Type="http://schemas.openxmlformats.org/officeDocument/2006/relationships/hyperlink" Target="http://www.tylerpaper.com/TP-Breaking+Silent/224089/jeffrey-brooks-fugitive-shot-and-killed-by-law-enforcement-officers-near-clute" TargetMode="External"/><Relationship Id="rId3895" Type="http://schemas.openxmlformats.org/officeDocument/2006/relationships/hyperlink" Target="http://www.sun-sentinel.com/local/palm-beach/delray-beach/fl-pn-fhp-fatal-shoot-20170328-story.html" TargetMode="External"/><Relationship Id="rId4946" Type="http://schemas.openxmlformats.org/officeDocument/2006/relationships/hyperlink" Target="https://www.heraldcourier.com/news/officer-involved-shooting-remains-under-investigation/article_d76b74c1-39f8-53f1-8122-5afdc3b8f7fe.html" TargetMode="External"/><Relationship Id="rId2497" Type="http://schemas.openxmlformats.org/officeDocument/2006/relationships/hyperlink" Target="http://www.fatalencounters.org/wp-content/uploads/2013/10/stephen-joshua-whitney.jpeg" TargetMode="External"/><Relationship Id="rId3548" Type="http://schemas.openxmlformats.org/officeDocument/2006/relationships/hyperlink" Target="http://www.fatalencounters.org/wp-content/uploads/2013/10/Michael-Hornibrook.jpg" TargetMode="External"/><Relationship Id="rId7005" Type="http://schemas.openxmlformats.org/officeDocument/2006/relationships/hyperlink" Target="https://www.detroitnews.com/story/news/local/wayne-county/2019/12/16/police-id-suspect-redford-homicide-killed-shootout-cops/2661987001/" TargetMode="External"/><Relationship Id="rId469" Type="http://schemas.openxmlformats.org/officeDocument/2006/relationships/hyperlink" Target="http://www.kansas.com/2014/04/10/3396426/man-dead-after-officer-involved.html" TargetMode="External"/><Relationship Id="rId883" Type="http://schemas.openxmlformats.org/officeDocument/2006/relationships/hyperlink" Target="http://www.wfaa.com/story/news/crime/2015/09/24/mckinney-police-violence-shooting-officers-joseph-khammash/72761076/" TargetMode="External"/><Relationship Id="rId1099" Type="http://schemas.openxmlformats.org/officeDocument/2006/relationships/hyperlink" Target="http://www.nbcwashington.com/news/local/1-Injured-in-NW-DC-Shooting-337103121.html" TargetMode="External"/><Relationship Id="rId2564" Type="http://schemas.openxmlformats.org/officeDocument/2006/relationships/hyperlink" Target="http://mynews4.com/news/local/police-activity-outside-gold-dust-west-in-reno" TargetMode="External"/><Relationship Id="rId3615" Type="http://schemas.openxmlformats.org/officeDocument/2006/relationships/hyperlink" Target="http://www.arkansasonline.com/news/2017/feb/19/state-police-investigate-officer-involved-shooting/" TargetMode="External"/><Relationship Id="rId3962" Type="http://schemas.openxmlformats.org/officeDocument/2006/relationships/hyperlink" Target="http://denver.cbslocal.com/2017/12/13/officer-involved-shooting-northglenn/" TargetMode="External"/><Relationship Id="rId6021" Type="http://schemas.openxmlformats.org/officeDocument/2006/relationships/hyperlink" Target="https://www.starfl.com/news/20190324/tennessee-man-dead-after-officer-involved-shooting" TargetMode="External"/><Relationship Id="rId536" Type="http://schemas.openxmlformats.org/officeDocument/2006/relationships/hyperlink" Target="http://www.culvercityobserver.com/story/2013/10/10/news/man-shot-at-ccpd-hq-identified/3089.html" TargetMode="External"/><Relationship Id="rId1166" Type="http://schemas.openxmlformats.org/officeDocument/2006/relationships/hyperlink" Target="http://wnct.com/2015/08/08/officer-involved-shooting-at-buffalo-wild-wings/" TargetMode="External"/><Relationship Id="rId2217" Type="http://schemas.openxmlformats.org/officeDocument/2006/relationships/hyperlink" Target="http://abc7.com/news/1-killed-following-officer-involved-shooting-in-south-la/1536579/" TargetMode="External"/><Relationship Id="rId950" Type="http://schemas.openxmlformats.org/officeDocument/2006/relationships/hyperlink" Target="http://www.fresnobee.com/news/local/crime/article37140321.html" TargetMode="External"/><Relationship Id="rId1580" Type="http://schemas.openxmlformats.org/officeDocument/2006/relationships/hyperlink" Target="http://www.indystar.com/story/news/crime/2016/04/03/suspect-shot-killed-police-mcdonalds-robbbery/82579924/" TargetMode="External"/><Relationship Id="rId2631" Type="http://schemas.openxmlformats.org/officeDocument/2006/relationships/hyperlink" Target="https://youtu.be/NYSr9w5Eqno" TargetMode="External"/><Relationship Id="rId4389" Type="http://schemas.openxmlformats.org/officeDocument/2006/relationships/hyperlink" Target="http://www.fatalencounters.org/wp-content/uploads/2018/03/Stephen-Clark.png" TargetMode="External"/><Relationship Id="rId5787" Type="http://schemas.openxmlformats.org/officeDocument/2006/relationships/hyperlink" Target="https://www.fatalencounters.org/wp-content/uploads/2019/02/Nekiylo-Dawayne-Graves1.jpg" TargetMode="External"/><Relationship Id="rId6838" Type="http://schemas.openxmlformats.org/officeDocument/2006/relationships/hyperlink" Target="https://www.augustachronicle.com/news/20191008/da-clears-columbia-county-deputies-in-grovetown-mans-death" TargetMode="External"/><Relationship Id="rId603" Type="http://schemas.openxmlformats.org/officeDocument/2006/relationships/hyperlink" Target="http://www.killedbypolice.net/victims/150953.jpg" TargetMode="External"/><Relationship Id="rId1233" Type="http://schemas.openxmlformats.org/officeDocument/2006/relationships/hyperlink" Target="http://www.fatalencounters.org/wp-content/uploads/2013/10/Tenbrink.jpg" TargetMode="External"/><Relationship Id="rId5854" Type="http://schemas.openxmlformats.org/officeDocument/2006/relationships/hyperlink" Target="https://www.khou.com/article/news/crime/violent-robbery-suspects-in-cinco-ranch-shootout-identified/285-9e195196-7cca-410a-b399-94a18e3436c7" TargetMode="External"/><Relationship Id="rId6905" Type="http://schemas.openxmlformats.org/officeDocument/2006/relationships/hyperlink" Target="https://www.kmov.com/news/man-killed-after-pointing-gun-at-officers-in-north-st/article_3d3310e6-f323-11e9-b164-7fe28a52eed9.html" TargetMode="External"/><Relationship Id="rId1300" Type="http://schemas.openxmlformats.org/officeDocument/2006/relationships/hyperlink" Target="http://philadelphia.cbslocal.com/2016/01/06/745839/" TargetMode="External"/><Relationship Id="rId4456" Type="http://schemas.openxmlformats.org/officeDocument/2006/relationships/hyperlink" Target="http://www.wfla.com/news/hillsborough-county/police-investigate-officer-involved-shooting-in-tampa-no-officers-hurt/1092264485" TargetMode="External"/><Relationship Id="rId4870" Type="http://schemas.openxmlformats.org/officeDocument/2006/relationships/hyperlink" Target="http://www.azfamily.com/story/38583752/woman-in-critical-condition-after-shooting-in-east-phoenix-firefighters-say" TargetMode="External"/><Relationship Id="rId5507" Type="http://schemas.openxmlformats.org/officeDocument/2006/relationships/hyperlink" Target="https://www.10tv.com/article/family-looking-answers-after-columbus-swat-officer-shoots-kills-16-year-old-armed-robbery" TargetMode="External"/><Relationship Id="rId5921" Type="http://schemas.openxmlformats.org/officeDocument/2006/relationships/hyperlink" Target="https://www.fatalencounters.org/wp-content/uploads/2019/03/Clair-Beth-Neubecker-Jewell.jpg" TargetMode="External"/><Relationship Id="rId3058" Type="http://schemas.openxmlformats.org/officeDocument/2006/relationships/hyperlink" Target="http://www.lcsun-news.com/story/news/2017/01/24/police-investigate-officer-involved-shooting-las-cruces/96996834/" TargetMode="External"/><Relationship Id="rId3472" Type="http://schemas.openxmlformats.org/officeDocument/2006/relationships/hyperlink" Target="http://kron4.com/2017/05/12/man-tased-by-police-dies-after-altercation-at-rohnert-park-budget-inn-hotel/" TargetMode="External"/><Relationship Id="rId4109" Type="http://schemas.openxmlformats.org/officeDocument/2006/relationships/hyperlink" Target="http://www.cleveland.com/metro/index.ssf/2018/01/police_officer_shoots_man_at_c.html" TargetMode="External"/><Relationship Id="rId4523" Type="http://schemas.openxmlformats.org/officeDocument/2006/relationships/hyperlink" Target="http://abc7.com/suspect-dead-after-officer-involved-shooting-in-gardena/3329379/" TargetMode="External"/><Relationship Id="rId393" Type="http://schemas.openxmlformats.org/officeDocument/2006/relationships/hyperlink" Target="http://www.al.com/news/birmingham/index.ssf/2014/09/jefferson_county_inmate_dies_a.html" TargetMode="External"/><Relationship Id="rId2074" Type="http://schemas.openxmlformats.org/officeDocument/2006/relationships/hyperlink" Target="http://www.cbsnews.com/news/mary-knowlton-death-husband-speaks-about-shooting/" TargetMode="External"/><Relationship Id="rId3125" Type="http://schemas.openxmlformats.org/officeDocument/2006/relationships/hyperlink" Target="http://abc3340.com/news/local/officer-injured-suspect-dead-after-officer-involved-shooting-in-homewood" TargetMode="External"/><Relationship Id="rId6695" Type="http://schemas.openxmlformats.org/officeDocument/2006/relationships/hyperlink" Target="https://fatalencounters.org/wp-content/uploads/2019/09/Alberto-Wayne-Martinez.jpg" TargetMode="External"/><Relationship Id="rId460" Type="http://schemas.openxmlformats.org/officeDocument/2006/relationships/hyperlink" Target="http://www.statesmanjournal.com/story/news/crime/2014/05/19/grand-jury-officer-justified-shooting-killing-armed-suspect/9307783/" TargetMode="External"/><Relationship Id="rId1090" Type="http://schemas.openxmlformats.org/officeDocument/2006/relationships/hyperlink" Target="http://www.killedbypolice.net/victims/150946.jpg" TargetMode="External"/><Relationship Id="rId2141" Type="http://schemas.openxmlformats.org/officeDocument/2006/relationships/hyperlink" Target="http://www.fatalencounters.org/wp-content/uploads/2013/10/Donta-Taylor.png" TargetMode="External"/><Relationship Id="rId5297" Type="http://schemas.openxmlformats.org/officeDocument/2006/relationships/hyperlink" Target="https://www.fatalencounters.org/wp-content/uploads/2018/10/Andrey-Tkachenko.jpg" TargetMode="External"/><Relationship Id="rId6348" Type="http://schemas.openxmlformats.org/officeDocument/2006/relationships/hyperlink" Target="http://www.riversidesheriff.org/press/chu19-0611.asp" TargetMode="External"/><Relationship Id="rId113" Type="http://schemas.openxmlformats.org/officeDocument/2006/relationships/hyperlink" Target="http://www.chron.com/news/houston-texas/article/Deputy-fatally-shoots-man-after-he-charges-6340675.php" TargetMode="External"/><Relationship Id="rId6762" Type="http://schemas.openxmlformats.org/officeDocument/2006/relationships/hyperlink" Target="https://mpdc.dc.gov/release/mpd-officer-involved-shooting-2200-block-savannah-terrace-southeast" TargetMode="External"/><Relationship Id="rId2958" Type="http://schemas.openxmlformats.org/officeDocument/2006/relationships/hyperlink" Target="http://www.wfaa.com/news/local/collin-county/plano-policewoman-shoots-kills-man-at-gas-station/448136711" TargetMode="External"/><Relationship Id="rId5017" Type="http://schemas.openxmlformats.org/officeDocument/2006/relationships/hyperlink" Target="https://abc7.com/hesperia-barricade-suspect-dies-after-deputy-involved-shooting/3890620/" TargetMode="External"/><Relationship Id="rId5364" Type="http://schemas.openxmlformats.org/officeDocument/2006/relationships/hyperlink" Target="https://www.fatalencounters.org/wp-content/uploads/2018/11/Ryan-Michael-Millsap.png" TargetMode="External"/><Relationship Id="rId6415" Type="http://schemas.openxmlformats.org/officeDocument/2006/relationships/hyperlink" Target="https://www.desertsun.com/story/news/crime_courts/2019/06/27/yucca-valley-man-eric-sandoval-fatally-shot-police-after-standoff-woman-held-hostage/1590021001/" TargetMode="External"/><Relationship Id="rId1974" Type="http://schemas.openxmlformats.org/officeDocument/2006/relationships/hyperlink" Target="http://losangeles.cbslocal.com/2016/07/16/police-shoot-and-kill-driver-in-san-bernardino/" TargetMode="External"/><Relationship Id="rId4380" Type="http://schemas.openxmlformats.org/officeDocument/2006/relationships/hyperlink" Target="http://www.theadvocate.com/baton_rouge/news/crime_police/article_be25f36c-27cd-11e8-a06c-07c66266f7bc.html" TargetMode="External"/><Relationship Id="rId5431" Type="http://schemas.openxmlformats.org/officeDocument/2006/relationships/hyperlink" Target="https://www.10tv.com/article/police-armed-man-killed-officer-involved-shooting-franklinton" TargetMode="External"/><Relationship Id="rId1627" Type="http://schemas.openxmlformats.org/officeDocument/2006/relationships/hyperlink" Target="http://www.sfgate.com/crime/article/Police-shooting-in-Byron-after-warrant-standoff-6922401.php" TargetMode="External"/><Relationship Id="rId4033" Type="http://schemas.openxmlformats.org/officeDocument/2006/relationships/hyperlink" Target="https://www.whittierdailynews.com/2017/12/28/man-killed-in-officer-involved-shooting-in-south-gate/" TargetMode="External"/><Relationship Id="rId7189" Type="http://schemas.openxmlformats.org/officeDocument/2006/relationships/hyperlink" Target="http://www.dailystandard.com/archive/2013-04-11/stories/20770/armed-man-killed-by-cop" TargetMode="External"/><Relationship Id="rId3799" Type="http://schemas.openxmlformats.org/officeDocument/2006/relationships/hyperlink" Target="https://www.wthr.com/article/update-suspect-identified-in-owen-county-standoff" TargetMode="External"/><Relationship Id="rId4100" Type="http://schemas.openxmlformats.org/officeDocument/2006/relationships/hyperlink" Target="http://www.oregonlive.com/washingtoncounty/index.ssf/2018/01/armored_vehicle_rams_truck_in.html" TargetMode="External"/><Relationship Id="rId7256" Type="http://schemas.openxmlformats.org/officeDocument/2006/relationships/drawing" Target="../drawings/drawing1.xml"/><Relationship Id="rId6272" Type="http://schemas.openxmlformats.org/officeDocument/2006/relationships/hyperlink" Target="https://midhudsonnews.com/2019/05/24/man-shot-by-trooper-on-i-84-tried-to-get-into-moving-police-car/" TargetMode="External"/><Relationship Id="rId3866" Type="http://schemas.openxmlformats.org/officeDocument/2006/relationships/hyperlink" Target="http://www.kentucky.com/news/local/crime/article185446533.html" TargetMode="External"/><Relationship Id="rId4917" Type="http://schemas.openxmlformats.org/officeDocument/2006/relationships/hyperlink" Target="http://www.ktvn.com/story/38669922/police-activity-at-london-circle-and-manchester-way1" TargetMode="External"/><Relationship Id="rId787" Type="http://schemas.openxmlformats.org/officeDocument/2006/relationships/hyperlink" Target="http://www.spokesman.com/stories/2015/aug/11/man-dies-after-police-shooting-sandpoint/" TargetMode="External"/><Relationship Id="rId2468" Type="http://schemas.openxmlformats.org/officeDocument/2006/relationships/hyperlink" Target="http://www.fatalencounters.org/wp-content/uploads/2013/10/Derek-Lynn-Scott.jpg" TargetMode="External"/><Relationship Id="rId2882" Type="http://schemas.openxmlformats.org/officeDocument/2006/relationships/hyperlink" Target="http://losangeles.cbslocal.com/2017/09/17/boyle-heights-fatal-shooting/" TargetMode="External"/><Relationship Id="rId3519" Type="http://schemas.openxmlformats.org/officeDocument/2006/relationships/hyperlink" Target="http://www.azcentral.com/story/news/local/southwest-valley/2017/04/12/police-scene-officer-involved-shooting-avondale/100402584/" TargetMode="External"/><Relationship Id="rId3933" Type="http://schemas.openxmlformats.org/officeDocument/2006/relationships/hyperlink" Target="https://www.nbcmiami.com/news/local/Suspect-Injured-in-Deputy-Involved-Shooting-in-Lauderdale-Lakes-462384163.html" TargetMode="External"/><Relationship Id="rId854" Type="http://schemas.openxmlformats.org/officeDocument/2006/relationships/hyperlink" Target="http://www.fresnobee.com/news/local/crime/article34390473.html" TargetMode="External"/><Relationship Id="rId1484" Type="http://schemas.openxmlformats.org/officeDocument/2006/relationships/hyperlink" Target="http://www.theepochtimes.com/n3/1947370-eufaula-oklahoma-2-dead-after-bank-robbery-and-shootout/" TargetMode="External"/><Relationship Id="rId2535" Type="http://schemas.openxmlformats.org/officeDocument/2006/relationships/hyperlink" Target="http://www.kyma.com/news/fatal-officer-involved-shooting-in-brawley/222871814" TargetMode="External"/><Relationship Id="rId507" Type="http://schemas.openxmlformats.org/officeDocument/2006/relationships/hyperlink" Target="http://www.ivpressonline.com/news/local/one-suspect-dead-in-el-centro-shooting/article_8fb45b2a-8a44-11e3-8222-001a4bcf6878.html" TargetMode="External"/><Relationship Id="rId921" Type="http://schemas.openxmlformats.org/officeDocument/2006/relationships/hyperlink" Target="http://www.reviewjournal.com/news/las-vegas/metro-woman-killed-after-firing-officers-stolen-car" TargetMode="External"/><Relationship Id="rId1137" Type="http://schemas.openxmlformats.org/officeDocument/2006/relationships/hyperlink" Target="http://www.nbclosangeles.com/news/local/Fatal-Deputy-Involved-Shooting-in-Moreno-Valley-315985111.html" TargetMode="External"/><Relationship Id="rId1551" Type="http://schemas.openxmlformats.org/officeDocument/2006/relationships/hyperlink" Target="http://www.kwch.com/content/news/KBI-investigating-deputy-involved-shooting-in-McPherson-County-375804401.html" TargetMode="External"/><Relationship Id="rId2602" Type="http://schemas.openxmlformats.org/officeDocument/2006/relationships/hyperlink" Target="http://www.fatalencounters.org/wp-content/uploads/2013/10/Nengmy-Vang.png" TargetMode="External"/><Relationship Id="rId5758" Type="http://schemas.openxmlformats.org/officeDocument/2006/relationships/hyperlink" Target="https://www.fatalencounters.org/wp-content/uploads/2019/01/JimmyAtchison.jpg" TargetMode="External"/><Relationship Id="rId6809" Type="http://schemas.openxmlformats.org/officeDocument/2006/relationships/hyperlink" Target="https://abc7.com/la-habra-police-kill-suspect-after-responding-to-burglary-call/5570544/" TargetMode="External"/><Relationship Id="rId1204" Type="http://schemas.openxmlformats.org/officeDocument/2006/relationships/hyperlink" Target="http://fox13now.com/2015/09/23/officer-kills-burglary-suspect-found-stabbing-woman-in-salt-lake-break-in/" TargetMode="External"/><Relationship Id="rId4774" Type="http://schemas.openxmlformats.org/officeDocument/2006/relationships/hyperlink" Target="https://kdvr.com/2018/06/14/officer-involved-shooting-in-adams-county/" TargetMode="External"/><Relationship Id="rId5825" Type="http://schemas.openxmlformats.org/officeDocument/2006/relationships/hyperlink" Target="https://www.fatalencounters.org/wp-content/uploads/2019/02/Jason-Matthew-Hill.jpg" TargetMode="External"/><Relationship Id="rId7180" Type="http://schemas.openxmlformats.org/officeDocument/2006/relationships/hyperlink" Target="http://www.duhonfuneralhome.com/include/storage/67735/DeathRecordStub/1540757/converted/150x227-adam_james_trahan.jpg" TargetMode="External"/><Relationship Id="rId3376" Type="http://schemas.openxmlformats.org/officeDocument/2006/relationships/hyperlink" Target="http://www.fatalencounters.org/wp-content/uploads/2013/10/Edwin-J.-Beanie-Esker.png" TargetMode="External"/><Relationship Id="rId4427" Type="http://schemas.openxmlformats.org/officeDocument/2006/relationships/hyperlink" Target="http://abc11.com/police-3-sanford-officers-on-administrative-leave-after-fatally-shooting-man-who-shot-at-them/3272903/" TargetMode="External"/><Relationship Id="rId297" Type="http://schemas.openxmlformats.org/officeDocument/2006/relationships/hyperlink" Target="http://www.starfl.com/news/local-news/officer-involved-shooting-under-investigation-1.440104" TargetMode="External"/><Relationship Id="rId2392" Type="http://schemas.openxmlformats.org/officeDocument/2006/relationships/hyperlink" Target="http://www.redding.com/news/local/Shooting-reported-in-east-Redding-401541246.html" TargetMode="External"/><Relationship Id="rId3029" Type="http://schemas.openxmlformats.org/officeDocument/2006/relationships/hyperlink" Target="http://gazette.com/suspect-shot-and-killed-in-colorado-springs/article/1597375" TargetMode="External"/><Relationship Id="rId3790" Type="http://schemas.openxmlformats.org/officeDocument/2006/relationships/hyperlink" Target="http://www.kait8.com/story/36761863/officer-shot-in-batesville-asp-investigates" TargetMode="External"/><Relationship Id="rId4841" Type="http://schemas.openxmlformats.org/officeDocument/2006/relationships/hyperlink" Target="https://www.fatalencounters.org/wp-content/uploads/2018/07/Jason-Erik-Washington.jpg" TargetMode="External"/><Relationship Id="rId6599" Type="http://schemas.openxmlformats.org/officeDocument/2006/relationships/hyperlink" Target="https://abcnews.go.com/US/high-school-math-teacher-pennsylvania-shot-killed-confrontation/story?id=64828155&amp;fbclid=IwAR1hCaUYUik4MHNdRfUUdCqmVER2v3ZGWrUaKxgEjMuZip0FMYnXGmYw_6Y" TargetMode="External"/><Relationship Id="rId364" Type="http://schemas.openxmlformats.org/officeDocument/2006/relationships/hyperlink" Target="http://www.jacksonsun.com/story/news/local/2014/11/11/parents-man-shot-officer-speak-tbi-investigate/18836355/" TargetMode="External"/><Relationship Id="rId2045" Type="http://schemas.openxmlformats.org/officeDocument/2006/relationships/hyperlink" Target="http://www.fatalencounters.org/wp-content/uploads/2013/10/Adam-Jo-Klimek.png" TargetMode="External"/><Relationship Id="rId3443" Type="http://schemas.openxmlformats.org/officeDocument/2006/relationships/hyperlink" Target="http://www.kansascity.com/news/local/article153204509.html" TargetMode="External"/><Relationship Id="rId3510" Type="http://schemas.openxmlformats.org/officeDocument/2006/relationships/hyperlink" Target="http://www.fatalencounters.org/wp-content/uploads/2013/10/Casey-Edward-Desper.jpg" TargetMode="External"/><Relationship Id="rId6666" Type="http://schemas.openxmlformats.org/officeDocument/2006/relationships/hyperlink" Target="https://fatalencounters.org/wp-content/uploads/2019/10/Gary-E.-Strobridge.jpg" TargetMode="External"/><Relationship Id="rId431" Type="http://schemas.openxmlformats.org/officeDocument/2006/relationships/hyperlink" Target="http://www.nj.com/hudson/index.ssf/2014/06/authorities_release_identity_of_20-year-old_man_shot_by_police.html" TargetMode="External"/><Relationship Id="rId1061" Type="http://schemas.openxmlformats.org/officeDocument/2006/relationships/hyperlink" Target="http://www.killedbypolice.net/victims/150292.jpg" TargetMode="External"/><Relationship Id="rId2112" Type="http://schemas.openxmlformats.org/officeDocument/2006/relationships/hyperlink" Target="http://www.marinij.com/article/NO/20160818/NEWS/160819821" TargetMode="External"/><Relationship Id="rId5268" Type="http://schemas.openxmlformats.org/officeDocument/2006/relationships/hyperlink" Target="https://news3lv.com/news/local/two-las-vegas-police-officers-identified-in-deadly-shooting-of-suspect" TargetMode="External"/><Relationship Id="rId5682" Type="http://schemas.openxmlformats.org/officeDocument/2006/relationships/hyperlink" Target="https://www.click2houston.com/news/2-people-barricaded-inside-nw-harris-county-home-during-swat-standoff-deputies-say" TargetMode="External"/><Relationship Id="rId6319" Type="http://schemas.openxmlformats.org/officeDocument/2006/relationships/hyperlink" Target="https://abc7.com/san-gabriel-barricade-suspect-identified-as-35-year-old-man/5337613/" TargetMode="External"/><Relationship Id="rId6733" Type="http://schemas.openxmlformats.org/officeDocument/2006/relationships/hyperlink" Target="https://www.azcentral.com/story/news/local/phoenix/2019/09/10/man-fatally-shot-phoenix-police-identified-hector-miranda/2277322001/" TargetMode="External"/><Relationship Id="rId1878" Type="http://schemas.openxmlformats.org/officeDocument/2006/relationships/hyperlink" Target="http://www.shelbystar.com/news/20160622/sheriffs-office-deputy-used-deadly-force-after-attacked-with-chair-345-pm-update" TargetMode="External"/><Relationship Id="rId2929" Type="http://schemas.openxmlformats.org/officeDocument/2006/relationships/hyperlink" Target="https://chicago.suntimes.com/news/person-shot-by-chicago-police-in-belmont-cragin/" TargetMode="External"/><Relationship Id="rId4284" Type="http://schemas.openxmlformats.org/officeDocument/2006/relationships/hyperlink" Target="http://www.tristatehomepage.com/news/local-news/evansville-police-involved-in-deadly-shooting/989106016" TargetMode="External"/><Relationship Id="rId5335" Type="http://schemas.openxmlformats.org/officeDocument/2006/relationships/hyperlink" Target="https://www.fatalencounters.org/wp-content/uploads/2018/10/Lloyd-Gerald-Napouk.jpg" TargetMode="External"/><Relationship Id="rId4351" Type="http://schemas.openxmlformats.org/officeDocument/2006/relationships/hyperlink" Target="http://www.timesherald.com/general-news/20180309/update-da-investigates-officer-involved-fatal-shooting-in-pottstown" TargetMode="External"/><Relationship Id="rId5402" Type="http://schemas.openxmlformats.org/officeDocument/2006/relationships/hyperlink" Target="https://newsok.com/article/5614832/police-open-fire-person-killed-monday-in-southeast-oklahoma-city-after-armed-robbery-reported" TargetMode="External"/><Relationship Id="rId6800" Type="http://schemas.openxmlformats.org/officeDocument/2006/relationships/hyperlink" Target="https://patch.com/texas/downtownaustin/police-swat-team-dispatched-east-austin" TargetMode="External"/><Relationship Id="rId1945" Type="http://schemas.openxmlformats.org/officeDocument/2006/relationships/hyperlink" Target="http://www.al.com/news/index.ssf/2016/07/selma_police_officer_returns_f.html" TargetMode="External"/><Relationship Id="rId4004" Type="http://schemas.openxmlformats.org/officeDocument/2006/relationships/hyperlink" Target="http://valleycentral.com/news/local/officer-involved-shooting-victim-identified" TargetMode="External"/><Relationship Id="rId3020" Type="http://schemas.openxmlformats.org/officeDocument/2006/relationships/hyperlink" Target="http://www.fatalencounters.org/wp-content/uploads/2013/10/Jose-Olivares.png" TargetMode="External"/><Relationship Id="rId6176" Type="http://schemas.openxmlformats.org/officeDocument/2006/relationships/hyperlink" Target="https://spectrumlocalnews.com/nc/triad/news/2019/05/01/davidson-officer-involved-shooting" TargetMode="External"/><Relationship Id="rId7227" Type="http://schemas.openxmlformats.org/officeDocument/2006/relationships/hyperlink" Target="http://www.boston.com/metrodesk/2013/09/23/suspect-wounded-after-gunfire-exchanged-brockton-area-police-chase/Yb1fAdD313eSbWwhRfOYBM/story.html" TargetMode="External"/><Relationship Id="rId6590" Type="http://schemas.openxmlformats.org/officeDocument/2006/relationships/hyperlink" Target="https://www.rifleco.org/CivicAlerts.aspx?aid=291&amp;utm_source=dlvr.it&amp;utm_medium=twitter" TargetMode="External"/><Relationship Id="rId2786" Type="http://schemas.openxmlformats.org/officeDocument/2006/relationships/hyperlink" Target="http://www.fatalencounters.org/wp-content/uploads/2013/10/Elena-Mondragon.png" TargetMode="External"/><Relationship Id="rId3837" Type="http://schemas.openxmlformats.org/officeDocument/2006/relationships/hyperlink" Target="http://www.fatalencounters.org/wp-content/uploads/2013/10/Shane-Allen-Jensen.png" TargetMode="External"/><Relationship Id="rId5192" Type="http://schemas.openxmlformats.org/officeDocument/2006/relationships/hyperlink" Target="https://www.fatalencounters.org/wp-content/uploads/2018/09/MatthewGraves.jpg" TargetMode="External"/><Relationship Id="rId6243" Type="http://schemas.openxmlformats.org/officeDocument/2006/relationships/hyperlink" Target="https://gazette.com/news/man-killed-by-police-in-gunbattle-after-hourslong-standoff-at/article_808ac768-79f1-11e9-8f16-3fbd0d647cbf.html" TargetMode="External"/><Relationship Id="rId758" Type="http://schemas.openxmlformats.org/officeDocument/2006/relationships/hyperlink" Target="http://www.reviewjournal.com/sites/default/files/styles/large/public/field/media/1003395444%20OISBRIEFING_0815.jpg?itok=K0Dq-QFt" TargetMode="External"/><Relationship Id="rId1388" Type="http://schemas.openxmlformats.org/officeDocument/2006/relationships/hyperlink" Target="http://www.wfaa.com/news/crime/swat-at-scene-where-man-barricaded-in-kaufman-county/39266940" TargetMode="External"/><Relationship Id="rId2439" Type="http://schemas.openxmlformats.org/officeDocument/2006/relationships/hyperlink" Target="http://www.theadvocate.com/baton_rouge/news/crime_police/article_afa3af80-b4fd-11e6-86ea-5fc86837b8ba.html" TargetMode="External"/><Relationship Id="rId2853" Type="http://schemas.openxmlformats.org/officeDocument/2006/relationships/hyperlink" Target="http://www.cbs46.com/story/34359129/police-investigate-shooting-in-atlanta" TargetMode="External"/><Relationship Id="rId3904" Type="http://schemas.openxmlformats.org/officeDocument/2006/relationships/hyperlink" Target="http://www.richmond.com/news/local/crime/off-duty-richmond-police-officer-wounded-teenager-killed-in-early/article_935f2ecb-3b76-503f-b210-4909070626eb.html" TargetMode="External"/><Relationship Id="rId6310" Type="http://schemas.openxmlformats.org/officeDocument/2006/relationships/hyperlink" Target="https://wreg.com/2019/06/03/tbi-investigating-officer-involved-shooting-in-collierville/" TargetMode="External"/><Relationship Id="rId94" Type="http://schemas.openxmlformats.org/officeDocument/2006/relationships/hyperlink" Target="http://www.news9.com/story/29443076/tahlequah-police-release-body-cam-video-in-fatal-officer-involved-shooting" TargetMode="External"/><Relationship Id="rId825" Type="http://schemas.openxmlformats.org/officeDocument/2006/relationships/hyperlink" Target="http://www.azcentral.com/story/news/local/phoenix/breaking/2015/08/25/phoenix-pd-working-active-shooting-scene/32360753/" TargetMode="External"/><Relationship Id="rId1455" Type="http://schemas.openxmlformats.org/officeDocument/2006/relationships/hyperlink" Target="http://www.fatalencounters.org/wp-content/uploads/2013/10/Gunn.png" TargetMode="External"/><Relationship Id="rId2506" Type="http://schemas.openxmlformats.org/officeDocument/2006/relationships/hyperlink" Target="http://www.fatalencounters.org/wp-content/uploads/2013/10/Waltki-Cermoun-Williams.jpg" TargetMode="External"/><Relationship Id="rId1108" Type="http://schemas.openxmlformats.org/officeDocument/2006/relationships/hyperlink" Target="http://www.pe.com/articles/death-787032-altercation-deputy.html" TargetMode="External"/><Relationship Id="rId2920" Type="http://schemas.openxmlformats.org/officeDocument/2006/relationships/hyperlink" Target="http://www.wmcactionnews5.com/story/35955401/mbi-investigates-officer-involved-shooting-in-southaven" TargetMode="External"/><Relationship Id="rId4678" Type="http://schemas.openxmlformats.org/officeDocument/2006/relationships/hyperlink" Target="https://www.wftv.com/news/local/man-who-died-after-police-takedown-in-publix-had-no-gross-trauma-to-neck-police-say/754540502" TargetMode="External"/><Relationship Id="rId7084" Type="http://schemas.openxmlformats.org/officeDocument/2006/relationships/hyperlink" Target="https://krcgtv.com/news/local/victim-of-officer-involved-shooting-dies-in-hospital" TargetMode="External"/><Relationship Id="rId1522" Type="http://schemas.openxmlformats.org/officeDocument/2006/relationships/hyperlink" Target="http://www.tmj4.com/news/local-news/sheriff-suspect-shot-by-deputy-in-east-troy-has-died" TargetMode="External"/><Relationship Id="rId5729" Type="http://schemas.openxmlformats.org/officeDocument/2006/relationships/hyperlink" Target="https://www.fatalencounters.org/wp-content/uploads/2019/01/Dettrick-Griffin.jpg" TargetMode="External"/><Relationship Id="rId7151" Type="http://schemas.openxmlformats.org/officeDocument/2006/relationships/hyperlink" Target="http://i0.huffpost.com/gen/1053207/images/s-EVAN-SPENCER-EBEL-large.jpg" TargetMode="External"/><Relationship Id="rId3694" Type="http://schemas.openxmlformats.org/officeDocument/2006/relationships/hyperlink" Target="http://wset.com/news/local/man-shot-by-giles-county-deputy-dies-from-his-injuries" TargetMode="External"/><Relationship Id="rId4745" Type="http://schemas.openxmlformats.org/officeDocument/2006/relationships/hyperlink" Target="https://www.statesman.com/news/local/officer-involved-shooting-southeast-austin-police-say/PPZIK552bxH4DiPmgT06MM/" TargetMode="External"/><Relationship Id="rId2296" Type="http://schemas.openxmlformats.org/officeDocument/2006/relationships/hyperlink" Target="http://abc3340.com/news/local/deputy-involved-shooting-in-shelby-county-leaves-1-dead" TargetMode="External"/><Relationship Id="rId3347" Type="http://schemas.openxmlformats.org/officeDocument/2006/relationships/hyperlink" Target="http://www.mlive.com/news/saginaw/index.ssf/2017/07/man_killed_in_traffic_stop_alt.html" TargetMode="External"/><Relationship Id="rId3761" Type="http://schemas.openxmlformats.org/officeDocument/2006/relationships/hyperlink" Target="https://www.thenewsguard.com/news/shooting-police-shooting--year-old-killed/article_1bf6acd4-bbe5-11e7-8737-ab058898a5e7.html" TargetMode="External"/><Relationship Id="rId4812" Type="http://schemas.openxmlformats.org/officeDocument/2006/relationships/hyperlink" Target="https://www.timesunion.com/news/article/Albany-officer-killed-man-as-he-stabbed-woman-13019663.php?utm_campaign=timesunion_breakingnews&amp;utm_source=email&amp;utm_medium=newsletter" TargetMode="External"/><Relationship Id="rId268" Type="http://schemas.openxmlformats.org/officeDocument/2006/relationships/hyperlink" Target="http://www.appeal-democrat.com/corning_observer/deputy-shoots-kills-corning-man-stabbing-father/article_800aa990-e23b-11e4-9469-435eb6fa3396.html" TargetMode="External"/><Relationship Id="rId682" Type="http://schemas.openxmlformats.org/officeDocument/2006/relationships/hyperlink" Target="http://www.denverpost.com/news/ci_29154811/denver-police-fatally-shoot-gunman-during-standoff" TargetMode="External"/><Relationship Id="rId2363" Type="http://schemas.openxmlformats.org/officeDocument/2006/relationships/hyperlink" Target="http://ktla.com/2016/11/07/man-shot-killed-during-altercation-with-officers-in-santa-ana/" TargetMode="External"/><Relationship Id="rId3414" Type="http://schemas.openxmlformats.org/officeDocument/2006/relationships/hyperlink" Target="http://www.bigcountryhomepage.com/news/main-news/texas-rangers-release-statement-on-officer-involved-shooting-in-abilene/739191775" TargetMode="External"/><Relationship Id="rId6984" Type="http://schemas.openxmlformats.org/officeDocument/2006/relationships/hyperlink" Target="https://thecount.com/2019/12/11/daniel-dan-eric-condon-shot-by-cops-police-piseco-ny/" TargetMode="External"/><Relationship Id="rId335" Type="http://schemas.openxmlformats.org/officeDocument/2006/relationships/hyperlink" Target="http://www.ocregister.com/articles/mesa-645510-costa-warrants.html" TargetMode="External"/><Relationship Id="rId2016" Type="http://schemas.openxmlformats.org/officeDocument/2006/relationships/hyperlink" Target="http://www.fatalencounters.org/wp-content/uploads/2013/10/Jesus-Rael.jpg" TargetMode="External"/><Relationship Id="rId2430" Type="http://schemas.openxmlformats.org/officeDocument/2006/relationships/hyperlink" Target="http://www.tennessean.com/story/life/2016/11/24/pathways-employee-stabbed-suspect-shot-police/94395888/" TargetMode="External"/><Relationship Id="rId5586" Type="http://schemas.openxmlformats.org/officeDocument/2006/relationships/hyperlink" Target="http://www.wistv.com/2018/12/22/sled-investigating-officer-involved-shooting-lexington-co-no-officers-injured/" TargetMode="External"/><Relationship Id="rId6637" Type="http://schemas.openxmlformats.org/officeDocument/2006/relationships/hyperlink" Target="https://www.11alive.com/article/news/crime/deputies-forced-to-make-split-second-decision-by-shooting-suicidal-man-at-park-who-produced-gun-they-say/85-e7b718b9-0875-41c6-a114-246ecc7ae4f4" TargetMode="External"/><Relationship Id="rId402" Type="http://schemas.openxmlformats.org/officeDocument/2006/relationships/hyperlink" Target="http://www.philly.com/philly/news/20140820_Cop_grazed_by_bullet__suspect_killed.html" TargetMode="External"/><Relationship Id="rId1032" Type="http://schemas.openxmlformats.org/officeDocument/2006/relationships/hyperlink" Target="http://www.nola.com/crime/index.ssf/2015/05/officer-involved_shooting_repo.html" TargetMode="External"/><Relationship Id="rId4188" Type="http://schemas.openxmlformats.org/officeDocument/2006/relationships/hyperlink" Target="https://www.thedenverchannel.com/news/local-news/arvada-police-shoot-kill-knife-wielding-man-in-apartment-complex" TargetMode="External"/><Relationship Id="rId5239" Type="http://schemas.openxmlformats.org/officeDocument/2006/relationships/hyperlink" Target="https://www.fatalencounters.org/wp-content/uploads/2018/10/Keagan-Johnson-Lloyd.jpg" TargetMode="External"/><Relationship Id="rId4255" Type="http://schemas.openxmlformats.org/officeDocument/2006/relationships/hyperlink" Target="https://durangoherald.com/articles/209022-one-suspect-dies-after-shootout-with-montezuma-county-deputies" TargetMode="External"/><Relationship Id="rId5306" Type="http://schemas.openxmlformats.org/officeDocument/2006/relationships/hyperlink" Target="https://www.fatalencounters.org/wp-content/uploads/2018/10/JonathonTubby.jpg" TargetMode="External"/><Relationship Id="rId5653" Type="http://schemas.openxmlformats.org/officeDocument/2006/relationships/hyperlink" Target="http://www.wmcactionnews5.com/2019/01/03/investigators-identify-man-killed-by-memphis-police-whitehaven/" TargetMode="External"/><Relationship Id="rId6704" Type="http://schemas.openxmlformats.org/officeDocument/2006/relationships/hyperlink" Target="https://fatalencounters.org/wp-content/uploads/2019/09/seth-ator.jpg" TargetMode="External"/><Relationship Id="rId1849" Type="http://schemas.openxmlformats.org/officeDocument/2006/relationships/hyperlink" Target="http://www.fatalencounters.org/wp-content/uploads/2013/10/Antwun-Shumpert.jpg" TargetMode="External"/><Relationship Id="rId5720" Type="http://schemas.openxmlformats.org/officeDocument/2006/relationships/hyperlink" Target="https://www.oaoa.com/news/crime_justice/law_enforcement/article_0d11e5e4-1a94-11e9-afc7-23daa14fa97c.html" TargetMode="External"/><Relationship Id="rId192" Type="http://schemas.openxmlformats.org/officeDocument/2006/relationships/hyperlink" Target="http://www.elpasotimes.com/latestnews/ci_28159979/officer-involved-shooting-northeast-el-paso" TargetMode="External"/><Relationship Id="rId1916" Type="http://schemas.openxmlformats.org/officeDocument/2006/relationships/hyperlink" Target="http://fox6now.com/2016/07/01/one-woman-taken-to-hospital-following-officer-involved-critical-incident-in-village-of-jackson/" TargetMode="External"/><Relationship Id="rId3271" Type="http://schemas.openxmlformats.org/officeDocument/2006/relationships/hyperlink" Target="http://www.wfsb.com/story/36235978/man-killed-in-officer-involved-shooting-in-new-milford" TargetMode="External"/><Relationship Id="rId4322" Type="http://schemas.openxmlformats.org/officeDocument/2006/relationships/hyperlink" Target="http://www.fatalencounters.org/wp-content/uploads/2018/03/Robert-Lewis-Yates-Jr.jpg" TargetMode="External"/><Relationship Id="rId6494" Type="http://schemas.openxmlformats.org/officeDocument/2006/relationships/hyperlink" Target="https://fatalencounters.org/wp-content/uploads/2019/07/BligeCypress.jpg" TargetMode="External"/><Relationship Id="rId5096" Type="http://schemas.openxmlformats.org/officeDocument/2006/relationships/hyperlink" Target="https://www.reviewjournal.com/crime/shootings/man-shot-killed-during-standoff-with-las-vegas-police/" TargetMode="External"/><Relationship Id="rId6147" Type="http://schemas.openxmlformats.org/officeDocument/2006/relationships/hyperlink" Target="http://www.fatalencounters.org/wp-content/uploads/2019/04/soheilAntonioMojarrad.jpg" TargetMode="External"/><Relationship Id="rId6561" Type="http://schemas.openxmlformats.org/officeDocument/2006/relationships/hyperlink" Target="https://www.kens5.com/article/news/crime/sapd-man-who-tried-to-kill-ex-wife-was-shot-and-killed-by-officers/273-c5bbef4d-7aa9-48fe-95bc-437e33dce5d4" TargetMode="External"/><Relationship Id="rId5163" Type="http://schemas.openxmlformats.org/officeDocument/2006/relationships/hyperlink" Target="https://www.detroitnews.com/story/news/local/detroit-city/2018/09/14/detroit-police-shoot-kill-suspect-girls-death/1300279002/" TargetMode="External"/><Relationship Id="rId6214" Type="http://schemas.openxmlformats.org/officeDocument/2006/relationships/hyperlink" Target="https://chicago.suntimes.com/news/sharrell-brown-man-shot-by-chicago-police-officer-lanwdale-identified/" TargetMode="External"/><Relationship Id="rId729" Type="http://schemas.openxmlformats.org/officeDocument/2006/relationships/hyperlink" Target="http://www.nbcsandiego.com/news/local/Man-with-Knife-Shot-Killed-by-San-Diego-Police-Officer-Identified-311679131.html" TargetMode="External"/><Relationship Id="rId1359" Type="http://schemas.openxmlformats.org/officeDocument/2006/relationships/hyperlink" Target="http://www.news-press.com/story/news/crime/2016/02/01/armed-immokalee-suspect-shot-killed-deputy/79630136/" TargetMode="External"/><Relationship Id="rId2757" Type="http://schemas.openxmlformats.org/officeDocument/2006/relationships/hyperlink" Target="http://ktla.com/2017/04/12/man-fatally-shot-by-deputies-responding-to-burglary-call-in-south-l-a-area/" TargetMode="External"/><Relationship Id="rId3808" Type="http://schemas.openxmlformats.org/officeDocument/2006/relationships/hyperlink" Target="https://www.wsls.com/news/virginia/lynchburg/update-woman-killed-in-officer-involved-shooting-in-lynchburg" TargetMode="External"/><Relationship Id="rId5230" Type="http://schemas.openxmlformats.org/officeDocument/2006/relationships/hyperlink" Target="https://abcnews4.com/news/crime-news/suspect-identified-in-officer-involved-shooting-on-johns-island" TargetMode="External"/><Relationship Id="rId1773" Type="http://schemas.openxmlformats.org/officeDocument/2006/relationships/hyperlink" Target="http://abc13.com/news/mystery-surrounds-west-houston-mass-shooting/1362286/" TargetMode="External"/><Relationship Id="rId2824" Type="http://schemas.openxmlformats.org/officeDocument/2006/relationships/hyperlink" Target="http://www.detroitnews.com/story/news/local/detroit-city/2017/02/14/coalition-demands-answers-fatal-police-shooting/97900586/" TargetMode="External"/><Relationship Id="rId65" Type="http://schemas.openxmlformats.org/officeDocument/2006/relationships/hyperlink" Target="http://www.kgw.com/story/news/local/washington-county/2015/07/08/beaverton-officer-shot-trailer-hidden-estate/29857719/" TargetMode="External"/><Relationship Id="rId1426" Type="http://schemas.openxmlformats.org/officeDocument/2006/relationships/hyperlink" Target="http://www.wbrc.com/story/31341469/authorities-id-man-killed-in-ashville-officer-involved-shooting" TargetMode="External"/><Relationship Id="rId1840" Type="http://schemas.openxmlformats.org/officeDocument/2006/relationships/hyperlink" Target="http://wbay.com/2016/06/15/large-police-presence-near-pembine/" TargetMode="External"/><Relationship Id="rId4996" Type="http://schemas.openxmlformats.org/officeDocument/2006/relationships/hyperlink" Target="https://www.fatalencounters.org/wp-content/uploads/2018/08/Carltyson.jpg" TargetMode="External"/><Relationship Id="rId3598" Type="http://schemas.openxmlformats.org/officeDocument/2006/relationships/hyperlink" Target="http://www.sltrib.com/home/4987147-155/police-shoot-and-kill-a-man" TargetMode="External"/><Relationship Id="rId4649" Type="http://schemas.openxmlformats.org/officeDocument/2006/relationships/hyperlink" Target="http://wtkr.com/2018/05/14/suspect-killed-by-portsmouth-officer-in-reported-home-invasion/" TargetMode="External"/><Relationship Id="rId7055" Type="http://schemas.openxmlformats.org/officeDocument/2006/relationships/hyperlink" Target="https://www.mysanantonio.com/news/local/crime/article/SAPD-reports-officer-involved-shooting-in-14928821.php" TargetMode="External"/><Relationship Id="rId3665" Type="http://schemas.openxmlformats.org/officeDocument/2006/relationships/hyperlink" Target="http://nbc4i.com/2017/01/27/sheriffs-office-bci-investigating-officer-involved-shooting/" TargetMode="External"/><Relationship Id="rId4716" Type="http://schemas.openxmlformats.org/officeDocument/2006/relationships/hyperlink" Target="https://www.fatalencounters.org/wp-content/uploads/2018/06/Ricardo-Cisneros-Piceno.jpg" TargetMode="External"/><Relationship Id="rId6071" Type="http://schemas.openxmlformats.org/officeDocument/2006/relationships/hyperlink" Target="https://ktla.com/2019/04/04/1-fatally-shot-by-police-as-authorities-serve-search-warrant-in-anaheim/" TargetMode="External"/><Relationship Id="rId7122" Type="http://schemas.openxmlformats.org/officeDocument/2006/relationships/hyperlink" Target="http://www.northescambia.com/2013/01/burglary-suspect-shot-by-deputies-is-identified" TargetMode="External"/><Relationship Id="rId586" Type="http://schemas.openxmlformats.org/officeDocument/2006/relationships/hyperlink" Target="http://www.killedbypolice.net/victims/150979.jpg" TargetMode="External"/><Relationship Id="rId2267" Type="http://schemas.openxmlformats.org/officeDocument/2006/relationships/hyperlink" Target="http://www.oregonlive.com/pacific-northwest-news/index.ssf/2016/10/post_244.html" TargetMode="External"/><Relationship Id="rId2681" Type="http://schemas.openxmlformats.org/officeDocument/2006/relationships/hyperlink" Target="http://www.theindychannel.com/news/crime/police-shoot-kill-person-on-indianapolis-west-side" TargetMode="External"/><Relationship Id="rId3318" Type="http://schemas.openxmlformats.org/officeDocument/2006/relationships/hyperlink" Target="http://mtairynews.com/news/53027/apparent-stand-off-unfolding-on-red-brush-road" TargetMode="External"/><Relationship Id="rId6888" Type="http://schemas.openxmlformats.org/officeDocument/2006/relationships/hyperlink" Target="https://fatalencounters.org/wp-content/uploads/2019/10/Chase-Andrew-Austin.jpg" TargetMode="External"/><Relationship Id="rId239" Type="http://schemas.openxmlformats.org/officeDocument/2006/relationships/hyperlink" Target="http://www.wftv.com/news/news/local/1-fatally-shot-lake-county-deputy-involved-shootin/nk3ng/" TargetMode="External"/><Relationship Id="rId653" Type="http://schemas.openxmlformats.org/officeDocument/2006/relationships/hyperlink" Target="http://www.killedbypolice.net/victims/151018.jpg" TargetMode="External"/><Relationship Id="rId1283" Type="http://schemas.openxmlformats.org/officeDocument/2006/relationships/hyperlink" Target="http://www.star-telegram.com/news/local/community/northeast-tarrant/se43gt/picture63583772/ALTERNATES/FREE_960/gonzales3" TargetMode="External"/><Relationship Id="rId2334" Type="http://schemas.openxmlformats.org/officeDocument/2006/relationships/hyperlink" Target="http://www.recordnet.com/news/20161102/masked-man-killed-by-off-duty-sj-deputy" TargetMode="External"/><Relationship Id="rId3732" Type="http://schemas.openxmlformats.org/officeDocument/2006/relationships/hyperlink" Target="http://www.chron.com/houston/article/Officer-involved-shooting-in-NW-Houston-12295202.php" TargetMode="External"/><Relationship Id="rId306" Type="http://schemas.openxmlformats.org/officeDocument/2006/relationships/hyperlink" Target="http://www.miamiherald.com/news/local/community/florida-keys/tfsh2c/picture5621952/ALTERNATES/FREE_960/Roberto.jpg" TargetMode="External"/><Relationship Id="rId6955" Type="http://schemas.openxmlformats.org/officeDocument/2006/relationships/hyperlink" Target="https://www.walb.com/2019/10/31/gbi-responds-officer-involved-shooting-atkinson-co/" TargetMode="External"/><Relationship Id="rId720" Type="http://schemas.openxmlformats.org/officeDocument/2006/relationships/hyperlink" Target="http://www.kivitv.com/news/idaho-state-police-investigating-officer-involved-shooting" TargetMode="External"/><Relationship Id="rId1350" Type="http://schemas.openxmlformats.org/officeDocument/2006/relationships/hyperlink" Target="http://www.wistv.com/story/31073065/man-killed-during-confrontation-with-dillon-county-deputy-near-latta" TargetMode="External"/><Relationship Id="rId2401" Type="http://schemas.openxmlformats.org/officeDocument/2006/relationships/hyperlink" Target="http://www.wtvm.com/story/33746792/suspect-in-sumter-shoot-out-with-deputies-killed-after-fatally-wounding-us-marshal" TargetMode="External"/><Relationship Id="rId4159" Type="http://schemas.openxmlformats.org/officeDocument/2006/relationships/hyperlink" Target="http://savannahnow.com/news/crime-courts/2018-01-23/update-gbi-investigating-after-man-killed-during-officer-involved" TargetMode="External"/><Relationship Id="rId5557" Type="http://schemas.openxmlformats.org/officeDocument/2006/relationships/hyperlink" Target="https://wpde.com/news/local/sled-investigating-officer-involved-shooting-in-darlington-county" TargetMode="External"/><Relationship Id="rId5971" Type="http://schemas.openxmlformats.org/officeDocument/2006/relationships/hyperlink" Target="https://wsvn.com/news/local/woman-dead-in-shooting-involving-fhp-trooper-in-north-miami-dade/" TargetMode="External"/><Relationship Id="rId6608" Type="http://schemas.openxmlformats.org/officeDocument/2006/relationships/hyperlink" Target="https://www.wlox.com/2019/08/12/community-gathers-call-justice-fatal-officer-involved-shooting/" TargetMode="External"/><Relationship Id="rId1003" Type="http://schemas.openxmlformats.org/officeDocument/2006/relationships/hyperlink" Target="http://i.dailymail.co.uk/i/pix/2015/06/12/08/298F3F8200000578-3120464-image-m-3_1434095771297.jpg" TargetMode="External"/><Relationship Id="rId4573" Type="http://schemas.openxmlformats.org/officeDocument/2006/relationships/hyperlink" Target="http://abc7amarillo.com/features/keep-it-local/report-officer-involved-shooting-near-downtown-hospital" TargetMode="External"/><Relationship Id="rId5624" Type="http://schemas.openxmlformats.org/officeDocument/2006/relationships/hyperlink" Target="https://dallasnews.imgix.net/1512779535-timpa.JPG?auto=format&amp;q=40&amp;or=0&amp;w=600" TargetMode="External"/><Relationship Id="rId3175" Type="http://schemas.openxmlformats.org/officeDocument/2006/relationships/hyperlink" Target="http://abc7.com/news/fatal-officer-involved-shooting-reported-in-westlake-district/2161807/" TargetMode="External"/><Relationship Id="rId4226" Type="http://schemas.openxmlformats.org/officeDocument/2006/relationships/hyperlink" Target="https://www.abc15.com/news/region-northern-az/flagstaff/police-man-dies-after-officer-involved-shooting-in-flagstaff" TargetMode="External"/><Relationship Id="rId4640" Type="http://schemas.openxmlformats.org/officeDocument/2006/relationships/hyperlink" Target="http://www.14news.com/story/38175115/suspect-in-deadly-evansville-shooting-dies" TargetMode="External"/><Relationship Id="rId2191" Type="http://schemas.openxmlformats.org/officeDocument/2006/relationships/hyperlink" Target="http://www.wowt.com/content/news/Reports-Police-respond-to-help-an-officer-call-in-south-Omaha-392488871.html" TargetMode="External"/><Relationship Id="rId3242" Type="http://schemas.openxmlformats.org/officeDocument/2006/relationships/hyperlink" Target="http://www.daily-times.com/story/news/crime/2017/02/10/fbi-investigating-officer-involved-shooting/97744996/" TargetMode="External"/><Relationship Id="rId6398" Type="http://schemas.openxmlformats.org/officeDocument/2006/relationships/hyperlink" Target="https://www.sfgate.com/bayarea/article/Man-fatally-shot-by-park-rangers-at-Pfeiffer-Big-14031502.php" TargetMode="External"/><Relationship Id="rId163" Type="http://schemas.openxmlformats.org/officeDocument/2006/relationships/hyperlink" Target="http://www.koat.com/news/valencia-county-deputy-involved-in-shooting/33383626" TargetMode="External"/><Relationship Id="rId6465" Type="http://schemas.openxmlformats.org/officeDocument/2006/relationships/hyperlink" Target="https://www.ky3.com/content/news/Officer-involved-shooting-kills-one-injures-deputy-in-Wright-County-Mo-512268601.html" TargetMode="External"/><Relationship Id="rId230" Type="http://schemas.openxmlformats.org/officeDocument/2006/relationships/hyperlink" Target="http://www.sacbee.com/news/local/crime/article19860156.html" TargetMode="External"/><Relationship Id="rId5067" Type="http://schemas.openxmlformats.org/officeDocument/2006/relationships/hyperlink" Target="https://www.modbee.com/news/local/crime/article216983690.html" TargetMode="External"/><Relationship Id="rId6118" Type="http://schemas.openxmlformats.org/officeDocument/2006/relationships/hyperlink" Target="https://www.1011now.com/content/news/Deputy-fatally-shoots-man-at-church-during-Palm-Sunday-Mass-508588881.html" TargetMode="External"/><Relationship Id="rId4083" Type="http://schemas.openxmlformats.org/officeDocument/2006/relationships/hyperlink" Target="http://www.weau.com/content/news/Police-respond-to-incident-in-Sparta--468289643.html" TargetMode="External"/><Relationship Id="rId5481" Type="http://schemas.openxmlformats.org/officeDocument/2006/relationships/hyperlink" Target="https://www.reviewjournal.com/crime/homicides/authorities-id-man-killed-las-vegas-police-officer-who-shot-him-1541402/" TargetMode="External"/><Relationship Id="rId6532" Type="http://schemas.openxmlformats.org/officeDocument/2006/relationships/hyperlink" Target="https://www.wbrc.com/2019/07/22/man-barricaded-inside-east-alabama-home/" TargetMode="External"/><Relationship Id="rId1677" Type="http://schemas.openxmlformats.org/officeDocument/2006/relationships/hyperlink" Target="http://www.nola.com/crime/index.ssf/2016/05/gretna_officer-involved_shooti.html" TargetMode="External"/><Relationship Id="rId2728" Type="http://schemas.openxmlformats.org/officeDocument/2006/relationships/hyperlink" Target="http://wrbl.com/2017/05/07/officer-involved-shooting-confirmed-in-phenix-city/" TargetMode="External"/><Relationship Id="rId5134" Type="http://schemas.openxmlformats.org/officeDocument/2006/relationships/hyperlink" Target="https://www.nytimes.com/2018/09/10/us/dallas-police-shooting-guyger-jean.html" TargetMode="External"/><Relationship Id="rId1744" Type="http://schemas.openxmlformats.org/officeDocument/2006/relationships/hyperlink" Target="http://www.news4jax.com/news/local/jacksonville/mom-of-man-shot-by-officer-you-took-my-boys-life" TargetMode="External"/><Relationship Id="rId4150" Type="http://schemas.openxmlformats.org/officeDocument/2006/relationships/hyperlink" Target="http://www.fatalencounters.org/wp-content/uploads/2018/03/JoshuahDalePrough.jpg" TargetMode="External"/><Relationship Id="rId5201" Type="http://schemas.openxmlformats.org/officeDocument/2006/relationships/hyperlink" Target="https://kdvr.com/2018/09/21/man-killed-in-longmont-officer-involved-shooting-identified/" TargetMode="External"/><Relationship Id="rId36" Type="http://schemas.openxmlformats.org/officeDocument/2006/relationships/hyperlink" Target="http://www.visaliatimesdelta.com/story/news/local/2015/07/22/single-bullet-killed-farmersville-man/30501679/" TargetMode="External"/><Relationship Id="rId4967" Type="http://schemas.openxmlformats.org/officeDocument/2006/relationships/hyperlink" Target="https://www.fatalencounters.org/wp-content/uploads/2018/07/Kenneth-Edwin-Martell.jpg" TargetMode="External"/><Relationship Id="rId1811" Type="http://schemas.openxmlformats.org/officeDocument/2006/relationships/hyperlink" Target="http://kfdm.com/news/local/new-information-on-shooting-of-port-arthur-walgreens-robbery-suspect" TargetMode="External"/><Relationship Id="rId3569" Type="http://schemas.openxmlformats.org/officeDocument/2006/relationships/hyperlink" Target="http://www.fatalencounters.org/wp-content/uploads/2013/10/Shawn-Anthony-Dumitras.jpg" TargetMode="External"/><Relationship Id="rId7026" Type="http://schemas.openxmlformats.org/officeDocument/2006/relationships/hyperlink" Target="https://www.wect.com/2019/12/18/suspect-killed-officer-involved-shooting-connected-charlotte-incident/" TargetMode="External"/><Relationship Id="rId3983" Type="http://schemas.openxmlformats.org/officeDocument/2006/relationships/hyperlink" Target="http://komonews.com/news/local/police-man-wielding-assault-rifle-shot-and-killed-by-officer-in-kirkland" TargetMode="External"/><Relationship Id="rId6042" Type="http://schemas.openxmlformats.org/officeDocument/2006/relationships/hyperlink" Target="https://www.fatalencounters.org/wp-content/uploads/2019/04/Augustine-Gutierrez.jpg" TargetMode="External"/><Relationship Id="rId1187" Type="http://schemas.openxmlformats.org/officeDocument/2006/relationships/hyperlink" Target="http://www.kansascity.com/news/local/crime/article34741230.html" TargetMode="External"/><Relationship Id="rId2585" Type="http://schemas.openxmlformats.org/officeDocument/2006/relationships/hyperlink" Target="http://www.fatalencounters.org/wp-content/uploads/2013/10/Gary-Don-Lafon.jpg" TargetMode="External"/><Relationship Id="rId3636" Type="http://schemas.openxmlformats.org/officeDocument/2006/relationships/hyperlink" Target="http://www.pressherald.com/2017/02/10/report-police-involved-shooting-leaves-1-dead-1-wounded-in-vassalboro/" TargetMode="External"/><Relationship Id="rId557" Type="http://schemas.openxmlformats.org/officeDocument/2006/relationships/hyperlink" Target="http://newsok.com/family-member-identifies-man-shot-by-oklahoma-city-police/article/3861642" TargetMode="External"/><Relationship Id="rId971" Type="http://schemas.openxmlformats.org/officeDocument/2006/relationships/hyperlink" Target="http://www.clickorlando.com/news/1-dead-in-deputyinvolved-shooting-in-lake-county/34153664" TargetMode="External"/><Relationship Id="rId2238" Type="http://schemas.openxmlformats.org/officeDocument/2006/relationships/hyperlink" Target="http://www.fatalencounters.org/wp-content/uploads/2013/10/Joseph-S.-Schroeder.jpg" TargetMode="External"/><Relationship Id="rId2652" Type="http://schemas.openxmlformats.org/officeDocument/2006/relationships/hyperlink" Target="http://nypost.com/2017/07/31/nypd-cops-shoot-man-in-brooklyn/" TargetMode="External"/><Relationship Id="rId3703" Type="http://schemas.openxmlformats.org/officeDocument/2006/relationships/hyperlink" Target="http://www.fatalencounters.org/wp-content/uploads/2013/10/Sean-Hake.jpg" TargetMode="External"/><Relationship Id="rId6859" Type="http://schemas.openxmlformats.org/officeDocument/2006/relationships/hyperlink" Target="https://kfor.com/2019/10/11/man-identified-after-deadly-officer-involved-shooting/" TargetMode="External"/><Relationship Id="rId624" Type="http://schemas.openxmlformats.org/officeDocument/2006/relationships/hyperlink" Target="http://www.killedbypolice.net/victims/151082.jpg" TargetMode="External"/><Relationship Id="rId1254" Type="http://schemas.openxmlformats.org/officeDocument/2006/relationships/hyperlink" Target="http://d1jrw5jterzxwu.cloudfront.net/sites/default/files/default/files/uploads/jacqueline_salyers_fatally_shot_by_tacoma_police_on_january_28_2016_-_courtesy_family_of_jacqueline_salyers.jpeg" TargetMode="External"/><Relationship Id="rId2305" Type="http://schemas.openxmlformats.org/officeDocument/2006/relationships/hyperlink" Target="http://www.cecildaily.com/spotlight/article_037af5f7-dd09-5eb9-a7f9-f7b9247159fe.html" TargetMode="External"/><Relationship Id="rId5875" Type="http://schemas.openxmlformats.org/officeDocument/2006/relationships/hyperlink" Target="https://www.wbir.com/article/news/crime/tbi-identifies-sevierville-woman-killed-in-officer-involved-shooting-after-thp-car-chase/51-b3af76b4-d7df-480e-acd2-99fa48ea2999" TargetMode="External"/><Relationship Id="rId6926" Type="http://schemas.openxmlformats.org/officeDocument/2006/relationships/hyperlink" Target="https://www.wrcbtv.com/story/41234682/update-gbi-responding-to-officerinvolved-shooting-in-whitfield-county-deputy-uninjured" TargetMode="External"/><Relationship Id="rId1321" Type="http://schemas.openxmlformats.org/officeDocument/2006/relationships/hyperlink" Target="http://www.dailynews.com/general-news/20160117/burglary-suspect-fatally-shot-by-police-in-hollywood-hills" TargetMode="External"/><Relationship Id="rId4477" Type="http://schemas.openxmlformats.org/officeDocument/2006/relationships/hyperlink" Target="http://q13fox.com/2018/04/05/standoff-house-in-federal-way-torn-up-but-missing-cat-named-puppy-is-found-safe/" TargetMode="External"/><Relationship Id="rId4891" Type="http://schemas.openxmlformats.org/officeDocument/2006/relationships/hyperlink" Target="https://www.reviewjournal.com/crime/homicides/officers-involved-in-fatal-shooting-of-homicide-suspect-idd/" TargetMode="External"/><Relationship Id="rId5528" Type="http://schemas.openxmlformats.org/officeDocument/2006/relationships/hyperlink" Target="https://www.fatalencounters.org/wp-content/uploads/2018/12/Haze-Martin.jpg" TargetMode="External"/><Relationship Id="rId3079" Type="http://schemas.openxmlformats.org/officeDocument/2006/relationships/hyperlink" Target="https://www.abqjournal.com/923172/albuquerque-police-shoot-kill-armed-robbery-suspect.html" TargetMode="External"/><Relationship Id="rId3493" Type="http://schemas.openxmlformats.org/officeDocument/2006/relationships/hyperlink" Target="http://www.khou.com/news/crime/conroe-pd-one-dead-after-shooting-inside-home/435750489" TargetMode="External"/><Relationship Id="rId4544" Type="http://schemas.openxmlformats.org/officeDocument/2006/relationships/hyperlink" Target="http://www.kxii.com/content/news/Police-investigating-officer-involved-shooting---480075123.html" TargetMode="External"/><Relationship Id="rId5942" Type="http://schemas.openxmlformats.org/officeDocument/2006/relationships/hyperlink" Target="https://www.thv11.com/article/news/crime/arkansas-man-shot-killed-by-deputy-near-mississippi-delta-casino-state-investigating/91-e1b58d38-1bdd-43de-a89b-45a32bec9dd7" TargetMode="External"/><Relationship Id="rId2095" Type="http://schemas.openxmlformats.org/officeDocument/2006/relationships/hyperlink" Target="http://www.fatalencounters.org/wp-content/uploads/2013/10/Danny-Pirtle.jpg" TargetMode="External"/><Relationship Id="rId3146" Type="http://schemas.openxmlformats.org/officeDocument/2006/relationships/hyperlink" Target="http://www.kmbc.com/article/police-investigate-officer-involved-shooting-near-44th-chestnut/10375933" TargetMode="External"/><Relationship Id="rId481" Type="http://schemas.openxmlformats.org/officeDocument/2006/relationships/hyperlink" Target="http://www.tennessean.com/story/news/crime/2014/03/21/dozens-officers-scene-elliston-place-shooting/6716709/" TargetMode="External"/><Relationship Id="rId2162" Type="http://schemas.openxmlformats.org/officeDocument/2006/relationships/hyperlink" Target="http://wfla.com/2016/08/30/hillsborough-deputy-is-on-paid-leave-after-firing-shot-killing-suspect/" TargetMode="External"/><Relationship Id="rId3560" Type="http://schemas.openxmlformats.org/officeDocument/2006/relationships/hyperlink" Target="http://www.fatalencounters.org/wp-content/uploads/2013/10/Benjamin-C.-Barnes.jpg" TargetMode="External"/><Relationship Id="rId4611" Type="http://schemas.openxmlformats.org/officeDocument/2006/relationships/hyperlink" Target="http://www.fatalencounters.org/wp-content/uploads/2018/05/Mitchell-Simmons.jpg" TargetMode="External"/><Relationship Id="rId6369" Type="http://schemas.openxmlformats.org/officeDocument/2006/relationships/hyperlink" Target="https://www.ktuu.com/content/news/Troopers-injured-and-one-person-dead-after-a-shooting-in-Fairbanks-511349622.html" TargetMode="External"/><Relationship Id="rId134" Type="http://schemas.openxmlformats.org/officeDocument/2006/relationships/hyperlink" Target="http://victimsofpolice.com/2015/images/Mark-Flores-Jr.jpg" TargetMode="External"/><Relationship Id="rId3213" Type="http://schemas.openxmlformats.org/officeDocument/2006/relationships/hyperlink" Target="http://www.ydr.com/story/news/crime/2017/04/24/hopewell-twp-man-killed-police-involved-shooting/100834720/" TargetMode="External"/><Relationship Id="rId6783" Type="http://schemas.openxmlformats.org/officeDocument/2006/relationships/hyperlink" Target="https://pittsburgh.cbslocal.com/2019/09/19/shawn-stevens-shot-and-killed-by-police/" TargetMode="External"/><Relationship Id="rId2979" Type="http://schemas.openxmlformats.org/officeDocument/2006/relationships/hyperlink" Target="http://www.orlandosentinel.com/news/breaking-news/os-osceola-deputy-shoots-suspect-who-fled-20170521-story.html" TargetMode="External"/><Relationship Id="rId5385" Type="http://schemas.openxmlformats.org/officeDocument/2006/relationships/hyperlink" Target="https://www.fatalencounters.org/wp-content/uploads/2018/11/Travis-Jordan.png" TargetMode="External"/><Relationship Id="rId6436" Type="http://schemas.openxmlformats.org/officeDocument/2006/relationships/hyperlink" Target="https://patch.com/georgia/athens/gbi-names-man-who-died-after-charging-athens-officers-police" TargetMode="External"/><Relationship Id="rId6850" Type="http://schemas.openxmlformats.org/officeDocument/2006/relationships/hyperlink" Target="https://kfdm.com/news/local/sheriff-says-deputy-forced-to-kill-a-man-who-confronted-him-with-a-knife-and-tree-limb" TargetMode="External"/><Relationship Id="rId201" Type="http://schemas.openxmlformats.org/officeDocument/2006/relationships/hyperlink" Target="http://www.baynews9.com/content/news/baynews9/news/article.html/content/news/articles/bn9/2015/5/17/st_pete_officer_shot.html" TargetMode="External"/><Relationship Id="rId1995" Type="http://schemas.openxmlformats.org/officeDocument/2006/relationships/hyperlink" Target="http://www.latimes.com/local/lanow/la-me-ln-lapd-officer-shot-20160725-snap-story.html" TargetMode="External"/><Relationship Id="rId5038" Type="http://schemas.openxmlformats.org/officeDocument/2006/relationships/hyperlink" Target="https://abc22now.com/news/local/suspect-in-critical-condition-after-officer-involved-shooting-in-north-columbus" TargetMode="External"/><Relationship Id="rId5452" Type="http://schemas.openxmlformats.org/officeDocument/2006/relationships/hyperlink" Target="https://www.fatalencounters.org/wp-content/uploads/2018/10/Nikki-Enriquez.jpg" TargetMode="External"/><Relationship Id="rId6503" Type="http://schemas.openxmlformats.org/officeDocument/2006/relationships/hyperlink" Target="https://fatalencounters.org/wp-content/uploads/2019/07/Jose-Javier-Gonzalez.jpg" TargetMode="External"/><Relationship Id="rId1648" Type="http://schemas.openxmlformats.org/officeDocument/2006/relationships/hyperlink" Target="http://bloximages.chicago2.vip.townnews.com/fredericksburg.com/content/tncms/assets/v3/editorial/b/05/b0548fbc-f11c-11e5-903f-ff53c26c8289/56f2d275892cc.image.png?crop=239%2C353%2C39%2C10" TargetMode="External"/><Relationship Id="rId4054" Type="http://schemas.openxmlformats.org/officeDocument/2006/relationships/hyperlink" Target="http://kron4.com/2018/01/04/man-killed-in-police-shooting-near-west-oakland-bart-identified/" TargetMode="External"/><Relationship Id="rId5105" Type="http://schemas.openxmlformats.org/officeDocument/2006/relationships/hyperlink" Target="https://www.redding.com/story/news/2018/08/27/officer-involved-shooting-reported-off-east-cypress-avenue-redding/1110245002/" TargetMode="External"/><Relationship Id="rId3070" Type="http://schemas.openxmlformats.org/officeDocument/2006/relationships/hyperlink" Target="http://www.dallasnews.com/news/crime/2017/01/18/2-suspects-reportedly-injured-officer-involved-shooting-old-east-dallas" TargetMode="External"/><Relationship Id="rId4121" Type="http://schemas.openxmlformats.org/officeDocument/2006/relationships/hyperlink" Target="https://www.azcentral.com/story/news/local/phoenix-breaking/2018/01/17/person-injured-phoenix-police-shooting/1043023001/" TargetMode="External"/><Relationship Id="rId1715" Type="http://schemas.openxmlformats.org/officeDocument/2006/relationships/hyperlink" Target="http://thesouthern.com/news/police-shooting-suspect-killed-in-gunfight-with-authorities/article_633ae6fd-f8cc-5af0-955e-544f72791bd1.html" TargetMode="External"/><Relationship Id="rId6293" Type="http://schemas.openxmlformats.org/officeDocument/2006/relationships/hyperlink" Target="https://www.centralmaine.com/2019/06/01/standish-man-32-identified-as-victim-in-police-shooting/" TargetMode="External"/><Relationship Id="rId3887" Type="http://schemas.openxmlformats.org/officeDocument/2006/relationships/hyperlink" Target="http://www.fatalencounters.org/wp-content/uploads/2013/10/Rocky-Miles-West.jpg" TargetMode="External"/><Relationship Id="rId4938" Type="http://schemas.openxmlformats.org/officeDocument/2006/relationships/hyperlink" Target="https://www.fatalencounters.org/wp-content/uploads/2018/07/Vincent-James-Ewer-II.jpg" TargetMode="External"/><Relationship Id="rId2489" Type="http://schemas.openxmlformats.org/officeDocument/2006/relationships/hyperlink" Target="http://www.fatalencounters.org/wp-content/uploads/2013/10/Mark-Anthony-Hicks.jpg" TargetMode="External"/><Relationship Id="rId3954" Type="http://schemas.openxmlformats.org/officeDocument/2006/relationships/hyperlink" Target="http://www.fatalencounters.org/wp-content/uploads/2013/10/Kyle-Zahacefski.jpg" TargetMode="External"/><Relationship Id="rId6360" Type="http://schemas.openxmlformats.org/officeDocument/2006/relationships/hyperlink" Target="https://fatalencounters.org/wp-content/uploads/2019/06/Juan-Moreno-Jr.jpg" TargetMode="External"/><Relationship Id="rId875" Type="http://schemas.openxmlformats.org/officeDocument/2006/relationships/hyperlink" Target="http://www.latimes.com/local/lanow/la-me-ln-lapd-homicide-suspect-dies-20150917-story.html" TargetMode="External"/><Relationship Id="rId2556" Type="http://schemas.openxmlformats.org/officeDocument/2006/relationships/hyperlink" Target="http://5newsonline.com/2016/12/25/one-man-dead-after-officer-involved-shooting-in-independence-county/" TargetMode="External"/><Relationship Id="rId2970" Type="http://schemas.openxmlformats.org/officeDocument/2006/relationships/hyperlink" Target="https://www.reviewjournal.com/crime/homicides/police-kill-man-after-he-shoots-at-officers-in-east-las-vegas/" TargetMode="External"/><Relationship Id="rId3607" Type="http://schemas.openxmlformats.org/officeDocument/2006/relationships/hyperlink" Target="http://www.fatalencounters.org/wp-content/uploads/2013/10/Kevin-Johnson.jpg" TargetMode="External"/><Relationship Id="rId6013" Type="http://schemas.openxmlformats.org/officeDocument/2006/relationships/hyperlink" Target="https://www.ksat.com/news/woman-killed-in-officer-involved-shooting-idd-gun-she-possessed-was-fake-police-say" TargetMode="External"/><Relationship Id="rId528" Type="http://schemas.openxmlformats.org/officeDocument/2006/relationships/hyperlink" Target="http://www.koat.com/news/fatal-roswell-shootout-caught-on-camera/22577824" TargetMode="External"/><Relationship Id="rId942" Type="http://schemas.openxmlformats.org/officeDocument/2006/relationships/hyperlink" Target="http://www.nbcnews.com/news/us-news/fugitive-rapist-floyd-ray-cook-shot-killed-kentucky-police-n454186" TargetMode="External"/><Relationship Id="rId1158" Type="http://schemas.openxmlformats.org/officeDocument/2006/relationships/hyperlink" Target="http://media.philly.com/images/180*200/20150826_inq_sshooting26z-f.JPG" TargetMode="External"/><Relationship Id="rId1572" Type="http://schemas.openxmlformats.org/officeDocument/2006/relationships/hyperlink" Target="http://www.wsaz.com/content/news/Intruder-shot-and-killed-by-law-enforcement-officer-374750511.html" TargetMode="External"/><Relationship Id="rId2209" Type="http://schemas.openxmlformats.org/officeDocument/2006/relationships/hyperlink" Target="http://wvmetronews.com/2016/09/10/man-killed-in-officer-involved-shooting-in-mercer-county/" TargetMode="External"/><Relationship Id="rId2623" Type="http://schemas.openxmlformats.org/officeDocument/2006/relationships/hyperlink" Target="http://www.fatalencounters.org/wp-content/uploads/2013/10/K.-Kiwi-Herring.png" TargetMode="External"/><Relationship Id="rId5779" Type="http://schemas.openxmlformats.org/officeDocument/2006/relationships/hyperlink" Target="https://www.chicoer.com/2019/01/28/butte-county-deputies-shoot-man-suspected-of-domestic-violence-attempted-murder-in-red-bluff/" TargetMode="External"/><Relationship Id="rId1225" Type="http://schemas.openxmlformats.org/officeDocument/2006/relationships/hyperlink" Target="http://lgbtweekly.com/wp-content/uploads/2016/01/190_5385_8067.jpg" TargetMode="External"/><Relationship Id="rId3397" Type="http://schemas.openxmlformats.org/officeDocument/2006/relationships/hyperlink" Target="http://www.fatalencounters.org/wp-content/uploads/2013/10/Nathan-Banks.png" TargetMode="External"/><Relationship Id="rId4795" Type="http://schemas.openxmlformats.org/officeDocument/2006/relationships/hyperlink" Target="https://www.wkyc.com/article/news/local/summit-county/akron-man-dies-in-springfield-township-police-custody/95-565656814" TargetMode="External"/><Relationship Id="rId5846" Type="http://schemas.openxmlformats.org/officeDocument/2006/relationships/hyperlink" Target="https://www.fatalencounters.org/wp-content/uploads/2019/02/Tyrell-Pounds.png" TargetMode="External"/><Relationship Id="rId4448" Type="http://schemas.openxmlformats.org/officeDocument/2006/relationships/hyperlink" Target="http://www.mercedsunstar.com/news/local/crime/article207500929.html" TargetMode="External"/><Relationship Id="rId4862" Type="http://schemas.openxmlformats.org/officeDocument/2006/relationships/hyperlink" Target="https://www.fatalencounters.org/wp-content/uploads/2018/07/Frank-W.-FrankoDripps-IV.jpg" TargetMode="External"/><Relationship Id="rId5913" Type="http://schemas.openxmlformats.org/officeDocument/2006/relationships/hyperlink" Target="https://www.fatalencounters.org/wp-content/uploads/2019/03/Kenneth-Joseph-Sisneros.jpg" TargetMode="External"/><Relationship Id="rId3464" Type="http://schemas.openxmlformats.org/officeDocument/2006/relationships/hyperlink" Target="http://www.fatalencounters.org/wp-content/uploads/2013/10/Marshall-Barrus.jpg" TargetMode="External"/><Relationship Id="rId4515" Type="http://schemas.openxmlformats.org/officeDocument/2006/relationships/hyperlink" Target="https://www.nbclosangeles.com/news/local/Shooting-Officer-Crenshaw-Mall-Man-Knife-Wounded-Closed-479344273.html" TargetMode="External"/><Relationship Id="rId385" Type="http://schemas.openxmlformats.org/officeDocument/2006/relationships/hyperlink" Target="http://www.wfaa.com/story/news/crime/2014/09/23/man-death-police-custody-pepper-spray-dallas-university-park-police/16100715/" TargetMode="External"/><Relationship Id="rId2066" Type="http://schemas.openxmlformats.org/officeDocument/2006/relationships/hyperlink" Target="http://www.wkyt.com/content/news/KSP-Pursuit-ends-with-officer-involved-shooting-in-Scott-County-389532492.html" TargetMode="External"/><Relationship Id="rId2480" Type="http://schemas.openxmlformats.org/officeDocument/2006/relationships/hyperlink" Target="http://www.fatalencounters.org/wp-content/uploads/2013/10/James-Dean-Smith.jpg" TargetMode="External"/><Relationship Id="rId3117" Type="http://schemas.openxmlformats.org/officeDocument/2006/relationships/hyperlink" Target="http://abc13.com/1-killed-4-in-custody-after-deputy-involved-shooting/2377497/" TargetMode="External"/><Relationship Id="rId3531" Type="http://schemas.openxmlformats.org/officeDocument/2006/relationships/hyperlink" Target="http://www.fatalencounters.org/wp-content/uploads/2013/10/Christopher-Angelo-Pizzichetta.png" TargetMode="External"/><Relationship Id="rId6687" Type="http://schemas.openxmlformats.org/officeDocument/2006/relationships/hyperlink" Target="https://fatalencounters.org/wp-content/uploads/2019/09/Wallace-Wilder.jpg" TargetMode="External"/><Relationship Id="rId452" Type="http://schemas.openxmlformats.org/officeDocument/2006/relationships/hyperlink" Target="http://www.wdbj7.com/news/local/developing-story-officerinvolved-shooting-in-giles-county/26045058" TargetMode="External"/><Relationship Id="rId1082" Type="http://schemas.openxmlformats.org/officeDocument/2006/relationships/hyperlink" Target="http://www.killedbypolice.net/victims/150972.jpg" TargetMode="External"/><Relationship Id="rId2133" Type="http://schemas.openxmlformats.org/officeDocument/2006/relationships/hyperlink" Target="http://www.fatalencounters.org/wp-content/uploads/2013/10/Bobby-Lyn-Buck.jpg" TargetMode="External"/><Relationship Id="rId5289" Type="http://schemas.openxmlformats.org/officeDocument/2006/relationships/hyperlink" Target="https://www.10tv.com/article/authorities-identify-man-killed-deputy-involved-shooting-west-columbus" TargetMode="External"/><Relationship Id="rId6754" Type="http://schemas.openxmlformats.org/officeDocument/2006/relationships/hyperlink" Target="https://fatalencounters.org/wp-content/uploads/2019/09/Jose-Orona.jpg" TargetMode="External"/><Relationship Id="rId105" Type="http://schemas.openxmlformats.org/officeDocument/2006/relationships/hyperlink" Target="http://www.sacbee.com/news/local/crime/article25297567.html" TargetMode="External"/><Relationship Id="rId2200" Type="http://schemas.openxmlformats.org/officeDocument/2006/relationships/hyperlink" Target="http://www.walb.com/story/33035760/officer-stabbed-suspect-dies-after-being-shot" TargetMode="External"/><Relationship Id="rId5356" Type="http://schemas.openxmlformats.org/officeDocument/2006/relationships/hyperlink" Target="https://www.fatalencounters.org/wp-content/uploads/2018/11/JesseQuinton.jpg" TargetMode="External"/><Relationship Id="rId6407" Type="http://schemas.openxmlformats.org/officeDocument/2006/relationships/hyperlink" Target="https://wsvn.com/news/local/man-fatally-shot-by-officers-after-allegedly-stabbing-woman-in-miami/" TargetMode="External"/><Relationship Id="rId1899" Type="http://schemas.openxmlformats.org/officeDocument/2006/relationships/hyperlink" Target="http://www.wilx.com/content/news/One-man-dead-following-officer-involved-shooting-in-Jackson-County-384475561.html" TargetMode="External"/><Relationship Id="rId4372" Type="http://schemas.openxmlformats.org/officeDocument/2006/relationships/hyperlink" Target="http://abc30.com/tulare-police-shoot-kill-suspect-after-confrontation-chase/3207780/" TargetMode="External"/><Relationship Id="rId5009" Type="http://schemas.openxmlformats.org/officeDocument/2006/relationships/hyperlink" Target="https://www.kxly.com/news/officer-involved-shooting-leaves-one-man-dead-in-deer-park/777107558" TargetMode="External"/><Relationship Id="rId5770" Type="http://schemas.openxmlformats.org/officeDocument/2006/relationships/hyperlink" Target="https://www.12news.com/article/news/local/arizona/man-shot-killed-by-police-in-arizona-after-146-mile-pursuit/75-0392a1fc-2044-498e-864f-ee7482f49658" TargetMode="External"/><Relationship Id="rId6821" Type="http://schemas.openxmlformats.org/officeDocument/2006/relationships/hyperlink" Target="https://www.baltimoresun.com/news/crime/bs-md-co-cr-hunt-valley-stabbing-20190928-sw2nwxf4x5ecpo7nvp2ukdbg5m-story.html" TargetMode="External"/><Relationship Id="rId1966" Type="http://schemas.openxmlformats.org/officeDocument/2006/relationships/hyperlink" Target="http://www.recordonline.com/news/20160713/middletown-cops-involved-in-fatal-shooting" TargetMode="External"/><Relationship Id="rId4025" Type="http://schemas.openxmlformats.org/officeDocument/2006/relationships/hyperlink" Target="http://www.fatalencounters.org/wp-content/uploads/2013/10/KennethPerna-Rutsky.jpg" TargetMode="External"/><Relationship Id="rId5423" Type="http://schemas.openxmlformats.org/officeDocument/2006/relationships/hyperlink" Target="https://billingsgazette.com/news/state-and-regional/missoula-police-one-dead-after-officer-involved-shooting/article_ec8cbf47-7ccb-58b3-8c94-58cdab9c80b7.html" TargetMode="External"/><Relationship Id="rId1619" Type="http://schemas.openxmlformats.org/officeDocument/2006/relationships/hyperlink" Target="http://www.wtae.com/news/sources-state-police-shoot-kill-man-in-south-greensburg/38627246" TargetMode="External"/><Relationship Id="rId3041" Type="http://schemas.openxmlformats.org/officeDocument/2006/relationships/hyperlink" Target="http://www.fatalencounters.org/wp-content/uploads/2013/10/Andrew-Byrd.jpg" TargetMode="External"/><Relationship Id="rId6197" Type="http://schemas.openxmlformats.org/officeDocument/2006/relationships/hyperlink" Target="https://fatalencounters.org/wp-content/uploads/2019/08/Pedro-Colazo-Villa.jpg" TargetMode="External"/><Relationship Id="rId7248" Type="http://schemas.openxmlformats.org/officeDocument/2006/relationships/hyperlink" Target="http://www.star-telegram.com/news/local/crime/article3837531.html" TargetMode="External"/><Relationship Id="rId3858" Type="http://schemas.openxmlformats.org/officeDocument/2006/relationships/hyperlink" Target="http://www.stargazette.com/story/news/2017/11/16/subject-elmira-police-standoff-dead/870362001/" TargetMode="External"/><Relationship Id="rId4909" Type="http://schemas.openxmlformats.org/officeDocument/2006/relationships/hyperlink" Target="http://www.kctv5.com/story/38648834/3-detectives-shot-in-kansas-city-person-of-interest-in-homicide-killed" TargetMode="External"/><Relationship Id="rId6264" Type="http://schemas.openxmlformats.org/officeDocument/2006/relationships/hyperlink" Target="https://fatalencounters.org/wp-content/uploads/2019/05/David-Marcus-Reece.jpg" TargetMode="External"/><Relationship Id="rId779" Type="http://schemas.openxmlformats.org/officeDocument/2006/relationships/hyperlink" Target="http://foxct.com/2015/08/08/combative-man-hit-by-taser-in-hartford-dies/" TargetMode="External"/><Relationship Id="rId5280" Type="http://schemas.openxmlformats.org/officeDocument/2006/relationships/hyperlink" Target="https://gephardtdaily.com/local/suspect-in-poor-condition-after-orem-officer-involved-shooting/" TargetMode="External"/><Relationship Id="rId6331" Type="http://schemas.openxmlformats.org/officeDocument/2006/relationships/hyperlink" Target="https://www.clickorlando.com/news/1-dead-after-officer-involved-shooting-in-clearwater" TargetMode="External"/><Relationship Id="rId1476" Type="http://schemas.openxmlformats.org/officeDocument/2006/relationships/hyperlink" Target="http://www.fatalencounters.org/wp-content/uploads/2013/10/jacai-colson-3.jpg" TargetMode="External"/><Relationship Id="rId2874" Type="http://schemas.openxmlformats.org/officeDocument/2006/relationships/hyperlink" Target="http://www.fatalencounters.org/wp-content/uploads/2013/10/Muhammad-Abdul-Muhaymin.png" TargetMode="External"/><Relationship Id="rId3925" Type="http://schemas.openxmlformats.org/officeDocument/2006/relationships/hyperlink" Target="http://www.fatalencounters.org/wp-content/uploads/2013/10/gregory-ham.jpg" TargetMode="External"/><Relationship Id="rId846" Type="http://schemas.openxmlformats.org/officeDocument/2006/relationships/hyperlink" Target="http://www.recordnet.com/article/20150910/NEWS/150919974" TargetMode="External"/><Relationship Id="rId1129" Type="http://schemas.openxmlformats.org/officeDocument/2006/relationships/hyperlink" Target="http://www.miamiherald.com/news/local/community/miami-dade/article45170145.html" TargetMode="External"/><Relationship Id="rId1890" Type="http://schemas.openxmlformats.org/officeDocument/2006/relationships/hyperlink" Target="http://www.northjersey.com/news/authorities-man-dead-in-exchange-of-gunfire-with-paterson-police-officers-1.1621357" TargetMode="External"/><Relationship Id="rId2527" Type="http://schemas.openxmlformats.org/officeDocument/2006/relationships/hyperlink" Target="http://ktla.com/2016/12/17/man-shot-in-deputy-involved-shooting-in-east-los-angeles/" TargetMode="External"/><Relationship Id="rId2941" Type="http://schemas.openxmlformats.org/officeDocument/2006/relationships/hyperlink" Target="http://www.fatalencounters.org/wp-content/uploads/2013/10/Jose-Guillermo-Flores-Colon.png" TargetMode="External"/><Relationship Id="rId5000" Type="http://schemas.openxmlformats.org/officeDocument/2006/relationships/hyperlink" Target="https://katv.com/news/local/suspect-dead-in-pine-bluff-officer-involved-shooting" TargetMode="External"/><Relationship Id="rId913" Type="http://schemas.openxmlformats.org/officeDocument/2006/relationships/hyperlink" Target="http://www.salemnews.com/news/local_news/hamilton-man-killed-after-police-involved-shooting-in-beverly/article_ec3bb5b9-6453-5915-8189-4894e3d43a40.html" TargetMode="External"/><Relationship Id="rId1543" Type="http://schemas.openxmlformats.org/officeDocument/2006/relationships/hyperlink" Target="http://www.courierpostonline.com/story/news/2016/04/17/vineland-police-officers-involved-fatal-shooting-overnight/83154550/" TargetMode="External"/><Relationship Id="rId4699" Type="http://schemas.openxmlformats.org/officeDocument/2006/relationships/hyperlink" Target="https://www.fatalencounters.org/wp-content/uploads/2018/07/Albert-Guerra-Jr.jpg" TargetMode="External"/><Relationship Id="rId1610" Type="http://schemas.openxmlformats.org/officeDocument/2006/relationships/hyperlink" Target="http://www.koat.com/news/man-armed-with-shotgun-fatally-shot-by-roswell-police-officer/38718482" TargetMode="External"/><Relationship Id="rId4766" Type="http://schemas.openxmlformats.org/officeDocument/2006/relationships/hyperlink" Target="https://www.fatalencounters.org/wp-content/uploads/2018/06/DillanEzell.jpg" TargetMode="External"/><Relationship Id="rId5817" Type="http://schemas.openxmlformats.org/officeDocument/2006/relationships/hyperlink" Target="https://www.fatalencounters.org/wp-content/uploads/2019/02/SethMALLARD.jpg" TargetMode="External"/><Relationship Id="rId7172" Type="http://schemas.openxmlformats.org/officeDocument/2006/relationships/hyperlink" Target="http://www.westword.com/news/joshua-stevens-heres-why-da-says-his-killing-by-lieutenant-prosecutor-was-justified-5896049" TargetMode="External"/><Relationship Id="rId3368" Type="http://schemas.openxmlformats.org/officeDocument/2006/relationships/hyperlink" Target="http://www.ohio.com/news/local/update-uniontown-police-officer-shot-repeatedly-while-responding-to-call-suspect-killed-1.779355" TargetMode="External"/><Relationship Id="rId3782" Type="http://schemas.openxmlformats.org/officeDocument/2006/relationships/hyperlink" Target="http://www.lex18.com/story/36741834/ksp-officer-involved-shooting-in-pippa-passes" TargetMode="External"/><Relationship Id="rId4419" Type="http://schemas.openxmlformats.org/officeDocument/2006/relationships/hyperlink" Target="http://www.fatalencounters.org/wp-content/uploads/2018/03/Kaitlin-Marie-Demeo.jpg" TargetMode="External"/><Relationship Id="rId4833" Type="http://schemas.openxmlformats.org/officeDocument/2006/relationships/hyperlink" Target="https://www.fatalencounters.org/wp-content/uploads/2018/07/Joshua-Kenneth-James-Cartwright-1.jpg" TargetMode="External"/><Relationship Id="rId289" Type="http://schemas.openxmlformats.org/officeDocument/2006/relationships/hyperlink" Target="http://www.kfvs12.com/story/28708976/man-identified-following-officer-involved-shooting-in-metropolis" TargetMode="External"/><Relationship Id="rId2384" Type="http://schemas.openxmlformats.org/officeDocument/2006/relationships/hyperlink" Target="http://www.fatalencounters.org/wp-content/uploads/2013/10/Richard-T.-Herrera-Jr..jpg" TargetMode="External"/><Relationship Id="rId3435" Type="http://schemas.openxmlformats.org/officeDocument/2006/relationships/hyperlink" Target="http://www.abc15.com/news/region-west-valley/avondale/avondale-police-shoot-and-kill-disorderly-person-with-a-gun" TargetMode="External"/><Relationship Id="rId356" Type="http://schemas.openxmlformats.org/officeDocument/2006/relationships/hyperlink" Target="http://crimeblog.dallasnews.com/2014/11/balch-springs-police-say-man-died-in-custody-tuesday-after-he-fought-arresting-officers.html/" TargetMode="External"/><Relationship Id="rId770" Type="http://schemas.openxmlformats.org/officeDocument/2006/relationships/hyperlink" Target="https://localtvwghp.files.wordpress.com/2015/08/untitled-213.jpg?w=770" TargetMode="External"/><Relationship Id="rId2037" Type="http://schemas.openxmlformats.org/officeDocument/2006/relationships/hyperlink" Target="http://www.fatalencounters.org/wp-content/uploads/2013/10/Kenneth-Eugene-Bonanno.jpg" TargetMode="External"/><Relationship Id="rId2451" Type="http://schemas.openxmlformats.org/officeDocument/2006/relationships/hyperlink" Target="http://www.fatalencounters.org/wp-content/uploads/2013/10/BradleyKing.jpg" TargetMode="External"/><Relationship Id="rId4900" Type="http://schemas.openxmlformats.org/officeDocument/2006/relationships/hyperlink" Target="https://www.fatalencounters.org/wp-content/uploads/2018/07/Juan-Luna.jpeg" TargetMode="External"/><Relationship Id="rId6658" Type="http://schemas.openxmlformats.org/officeDocument/2006/relationships/hyperlink" Target="https://www.lex18.com/news/covering-kentucky/officer-fatally-shoots-man-in-nicholasville" TargetMode="External"/><Relationship Id="rId423" Type="http://schemas.openxmlformats.org/officeDocument/2006/relationships/hyperlink" Target="http://www.fox5vegas.com/story/26071249/coroner-identifies-man-shot-by-nlv-police" TargetMode="External"/><Relationship Id="rId1053" Type="http://schemas.openxmlformats.org/officeDocument/2006/relationships/hyperlink" Target="http://www.wctv.tv/home/headlines/Police-Respond-to-Apparent-Shooting-in-Valdosta-299123481.html" TargetMode="External"/><Relationship Id="rId2104" Type="http://schemas.openxmlformats.org/officeDocument/2006/relationships/hyperlink" Target="http://www.wcnc.com/news/crime/officer-involved-shooting-outside-walmart/299515668" TargetMode="External"/><Relationship Id="rId3502" Type="http://schemas.openxmlformats.org/officeDocument/2006/relationships/hyperlink" Target="http://wjactv.com/news/local/2-who-died-in-richland-township-murder-suicide-identified" TargetMode="External"/><Relationship Id="rId5674" Type="http://schemas.openxmlformats.org/officeDocument/2006/relationships/hyperlink" Target="http://www.cbs8.com/story/39740142/san-diego-deputies-fatally-wound-armed-suspect-inside-lemon-grove-eatery" TargetMode="External"/><Relationship Id="rId6725" Type="http://schemas.openxmlformats.org/officeDocument/2006/relationships/hyperlink" Target="https://fatalencounters.org/wp-content/uploads/2019/09/CortezShepherd.jpg" TargetMode="External"/><Relationship Id="rId1120" Type="http://schemas.openxmlformats.org/officeDocument/2006/relationships/hyperlink" Target="https://www.poncacitynow.com/8/images/media/JerayChatham.png" TargetMode="External"/><Relationship Id="rId4276" Type="http://schemas.openxmlformats.org/officeDocument/2006/relationships/hyperlink" Target="http://www.wfaa.com/news/incident-reported-in-brandywine-police-say/521649112" TargetMode="External"/><Relationship Id="rId4690" Type="http://schemas.openxmlformats.org/officeDocument/2006/relationships/hyperlink" Target="http://kdvr.com/2018/05/26/double-homicide-suspect-shot-outside-fort-morgan-walmart-dies/" TargetMode="External"/><Relationship Id="rId5327" Type="http://schemas.openxmlformats.org/officeDocument/2006/relationships/hyperlink" Target="https://www.fatalencounters.org/wp-content/uploads/2018/10/ShaundayMullins2.png" TargetMode="External"/><Relationship Id="rId5741" Type="http://schemas.openxmlformats.org/officeDocument/2006/relationships/hyperlink" Target="https://wjla.com/news/local/silver-spring-bank-robbery-suspect-killed-police-identified" TargetMode="External"/><Relationship Id="rId1937" Type="http://schemas.openxmlformats.org/officeDocument/2006/relationships/hyperlink" Target="http://www.fatalencounters.org/wp-content/uploads/2013/10/JoshuaBolster.jpg" TargetMode="External"/><Relationship Id="rId3292" Type="http://schemas.openxmlformats.org/officeDocument/2006/relationships/hyperlink" Target="http://www.fatalencounters.org/wp-content/uploads/2013/10/Kellen-Kelly-Kyle.jpg" TargetMode="External"/><Relationship Id="rId4343" Type="http://schemas.openxmlformats.org/officeDocument/2006/relationships/hyperlink" Target="https://www.statesman.com/news/local/police-responding-shooting-involving-officer-east-austin/G5WcKOAyjWFPvq1M39qlFJ/" TargetMode="External"/><Relationship Id="rId4410" Type="http://schemas.openxmlformats.org/officeDocument/2006/relationships/hyperlink" Target="http://www.fatalencounters.org/wp-content/uploads/2018/03/AR-Santiago-Calderon.jpg" TargetMode="External"/><Relationship Id="rId280" Type="http://schemas.openxmlformats.org/officeDocument/2006/relationships/hyperlink" Target="http://www.turnto23.com/news/local-news/suspect-dies-after-officer-involved-shooting-in-tehachapi-040615" TargetMode="External"/><Relationship Id="rId3012" Type="http://schemas.openxmlformats.org/officeDocument/2006/relationships/hyperlink" Target="http://kpug1170.com/news/007700-man-with-knife-shot-killed-by-bellingham-police/" TargetMode="External"/><Relationship Id="rId6168" Type="http://schemas.openxmlformats.org/officeDocument/2006/relationships/hyperlink" Target="https://www.abc15.com/news/region-phoenix-metro/central-phoenix/suspect-hurt-in-officer-involved-shooting-near-40th-and-van-buren-streets" TargetMode="External"/><Relationship Id="rId6582" Type="http://schemas.openxmlformats.org/officeDocument/2006/relationships/hyperlink" Target="https://fatalencounters.org/wp-content/uploads/2019/08/Robert-Clay-Wilsford.jpg" TargetMode="External"/><Relationship Id="rId7219" Type="http://schemas.openxmlformats.org/officeDocument/2006/relationships/hyperlink" Target="http://www.houstontx.gov/police/nr/2013/aug/nr080613-1.htm" TargetMode="External"/><Relationship Id="rId5184" Type="http://schemas.openxmlformats.org/officeDocument/2006/relationships/hyperlink" Target="http://www.nydailynews.com/new-york/nyc-crime/ny-metro-police-shoot-person-queens-home-20180917-story.html" TargetMode="External"/><Relationship Id="rId6235" Type="http://schemas.openxmlformats.org/officeDocument/2006/relationships/hyperlink" Target="https://fatalencounters.org/wp-content/uploads/2019/05/Luis-Lomante.jpg" TargetMode="External"/><Relationship Id="rId2778" Type="http://schemas.openxmlformats.org/officeDocument/2006/relationships/hyperlink" Target="http://www.fatalencounters.org/wp-content/uploads/2013/10/Jermaine-Claybrooks.png" TargetMode="External"/><Relationship Id="rId3829" Type="http://schemas.openxmlformats.org/officeDocument/2006/relationships/hyperlink" Target="http://www.wwltv.com/news/local/lafourche-terrebonne/man-shot-killed-during-standoff-in-terrebonne-parish-state-police-say/491066293" TargetMode="External"/><Relationship Id="rId1794" Type="http://schemas.openxmlformats.org/officeDocument/2006/relationships/hyperlink" Target="http://www.thestarpress.com/story/news/crime/2016/06/04/man-injured-police-action-shooting-muncie/85419012/" TargetMode="External"/><Relationship Id="rId2845" Type="http://schemas.openxmlformats.org/officeDocument/2006/relationships/hyperlink" Target="https://alamedasun.com/news/duty-sheriff%E2%80%99s-deputy-fatally-shoots-burglar" TargetMode="External"/><Relationship Id="rId5251" Type="http://schemas.openxmlformats.org/officeDocument/2006/relationships/hyperlink" Target="https://www.fatalencounters.org/wp-content/uploads/2018/10/Toby-D.-Bailey-Sr.jpg" TargetMode="External"/><Relationship Id="rId6302" Type="http://schemas.openxmlformats.org/officeDocument/2006/relationships/hyperlink" Target="https://www.dallasnews.com/news/crime/2019/06/03/barricaded-man-pointed-flashlight-officers-before-fatally-shot-fort-worth-police-say" TargetMode="External"/><Relationship Id="rId86" Type="http://schemas.openxmlformats.org/officeDocument/2006/relationships/hyperlink" Target="http://www.enterprisenews.com/galleryimage/WL/20150702/PHOTOGALLERY/702009988/PH/0/6/PH-702009988.jpg" TargetMode="External"/><Relationship Id="rId817" Type="http://schemas.openxmlformats.org/officeDocument/2006/relationships/hyperlink" Target="http://www.mysanantonio.com/news/local/article/Officer-involved-shooting-leaves-one-dead-on-6473238.php" TargetMode="External"/><Relationship Id="rId1447" Type="http://schemas.openxmlformats.org/officeDocument/2006/relationships/hyperlink" Target="http://www.times-standard.com/general-news/20160311/coroner-man-killed-in-officer-involved-shooting-in-biloxi" TargetMode="External"/><Relationship Id="rId1861" Type="http://schemas.openxmlformats.org/officeDocument/2006/relationships/hyperlink" Target="http://www.fatalencounters.org/wp-content/uploads/2013/10/Lane-Lesko.jpg" TargetMode="External"/><Relationship Id="rId2912" Type="http://schemas.openxmlformats.org/officeDocument/2006/relationships/hyperlink" Target="http://sanfrancisco.cbslocal.com/2017/08/02/police-chase-fatal-shooting-suspect-richmond/" TargetMode="External"/><Relationship Id="rId1514" Type="http://schemas.openxmlformats.org/officeDocument/2006/relationships/hyperlink" Target="http://www.fatalencounters.org/wp-content/uploads/2013/10/EricSenegal.jpg" TargetMode="External"/><Relationship Id="rId7076" Type="http://schemas.openxmlformats.org/officeDocument/2006/relationships/hyperlink" Target="https://fatalencounters.org/wp-content/uploads/2019/12/Albert-Benjamin.jpg" TargetMode="External"/><Relationship Id="rId3686" Type="http://schemas.openxmlformats.org/officeDocument/2006/relationships/hyperlink" Target="http://www.wrcbtv.com/story/34282397/officer-involved-shooting-in-soddy-daisy" TargetMode="External"/><Relationship Id="rId6092" Type="http://schemas.openxmlformats.org/officeDocument/2006/relationships/hyperlink" Target="https://www.kesq.com/news/officer-involved-shooting-confirmed-in-indio/1067815268" TargetMode="External"/><Relationship Id="rId7143" Type="http://schemas.openxmlformats.org/officeDocument/2006/relationships/hyperlink" Target="http://articles.chicagotribune.com/2013-03-27/news/chi-family-of-man-shot-to-death-by-chicago-police-officer-files-suit-20130327_1_wrongful-death-lawsuit-chicago-officers-federal-lawsuit" TargetMode="External"/><Relationship Id="rId2288" Type="http://schemas.openxmlformats.org/officeDocument/2006/relationships/hyperlink" Target="http://www.fatalencounters.org/wp-content/uploads/2013/10/Jacob-DePetris.jpg" TargetMode="External"/><Relationship Id="rId3339" Type="http://schemas.openxmlformats.org/officeDocument/2006/relationships/hyperlink" Target="http://www.chicoer.com/general-news/20170724/chico-police-officer-fatally-shoots-man-in-downtown-burglary-investigation" TargetMode="External"/><Relationship Id="rId4737" Type="http://schemas.openxmlformats.org/officeDocument/2006/relationships/hyperlink" Target="https://www.10tv.com/article/man-killed-deputies-delaware-county-identified" TargetMode="External"/><Relationship Id="rId7210" Type="http://schemas.openxmlformats.org/officeDocument/2006/relationships/hyperlink" Target="http://www.gannett-cdn.com/-mm-/314c2d22da7f4e7ae723393a42231f3caae60371/c=0-0-680-510&amp;r=x404&amp;c=534x401/http/archive.news10.net/images/680/510/2/assetpool/images/130528123744_john-torretti-640.jpg" TargetMode="External"/><Relationship Id="rId3753" Type="http://schemas.openxmlformats.org/officeDocument/2006/relationships/hyperlink" Target="http://www.fatalencounters.org/wp-content/uploads/2013/10/Timothy-Earl-Jackson.png" TargetMode="External"/><Relationship Id="rId4804" Type="http://schemas.openxmlformats.org/officeDocument/2006/relationships/hyperlink" Target="https://www.fatalencounters.org/wp-content/uploads/2018/06/AnthonyGreen.jpg" TargetMode="External"/><Relationship Id="rId674" Type="http://schemas.openxmlformats.org/officeDocument/2006/relationships/hyperlink" Target="http://www.ky3.com/news/local/man-shot-dead-in-confrontation-with-stone-county-deputies/21048998_36683524" TargetMode="External"/><Relationship Id="rId2355" Type="http://schemas.openxmlformats.org/officeDocument/2006/relationships/hyperlink" Target="http://wfla.com/2016/11/06/deputy-involved-shooting-in-pinellas/" TargetMode="External"/><Relationship Id="rId3406" Type="http://schemas.openxmlformats.org/officeDocument/2006/relationships/hyperlink" Target="http://wreg.com/2017/06/14/tbi-investigating-officer-involved-shooting-in-somerville/" TargetMode="External"/><Relationship Id="rId3820" Type="http://schemas.openxmlformats.org/officeDocument/2006/relationships/hyperlink" Target="http://www.salisburypost.com/2017/11/09/suspect-shot-dead-after-bank-robbery/" TargetMode="External"/><Relationship Id="rId6976" Type="http://schemas.openxmlformats.org/officeDocument/2006/relationships/hyperlink" Target="https://www.fox10tv.com/news/mobile_county/developing-deputy-shot-subject-that-is-suspected-of-shooting-at/article_312e9cc8-1bc5-11ea-bcd2-ff77c1f63257.html" TargetMode="External"/><Relationship Id="rId327" Type="http://schemas.openxmlformats.org/officeDocument/2006/relationships/hyperlink" Target="http://www.doverpost.com/article/20141221/NEWS/141229971/13421/NEWS" TargetMode="External"/><Relationship Id="rId741" Type="http://schemas.openxmlformats.org/officeDocument/2006/relationships/hyperlink" Target="http://media.graytvinc.com/images/EricTompkins.jpg" TargetMode="External"/><Relationship Id="rId1371" Type="http://schemas.openxmlformats.org/officeDocument/2006/relationships/hyperlink" Target="http://www.kfoxtv.com/news/features/top-stories/stories/Two-dead-after-downtown-El-Paso-shooting-involving-Border-Patrol-252745.shtml" TargetMode="External"/><Relationship Id="rId2008" Type="http://schemas.openxmlformats.org/officeDocument/2006/relationships/hyperlink" Target="http://www.wausaudailyherald.com/story/news/2016/07/26/police-kill-suspect-merrill-standoff/87563238/" TargetMode="External"/><Relationship Id="rId2422" Type="http://schemas.openxmlformats.org/officeDocument/2006/relationships/hyperlink" Target="http://www.fatalencounters.org/wp-content/uploads/2013/10/Ivory-C.-Pantallion-III.jpg" TargetMode="External"/><Relationship Id="rId5578" Type="http://schemas.openxmlformats.org/officeDocument/2006/relationships/hyperlink" Target="https://www.azcentral.com/story/news/local/phoenix-breaking/2018/12/19/phoenix-police-scene-shooting-involving-officer/2372812002/?fbclid=IwAR15GU13PF5ZqTe1FKpv0FP_8knKW4zhT8K3iNdSYR8GjmgSSmVRw2MjlZI" TargetMode="External"/><Relationship Id="rId5992" Type="http://schemas.openxmlformats.org/officeDocument/2006/relationships/hyperlink" Target="https://www.dothaneagle.com/news/ap/state/the-latest-vegas-man-killed-by-police-in-casino-heist/article_6413b8a0-b766-59cc-acea-7c9e776abd88.html?fbclid=IwAR3VQvycVW0oRZX7cKT5MPZIMfoZJIhqiHiczE8S0YhGZDF66AUbAeS97Bg" TargetMode="External"/><Relationship Id="rId6629" Type="http://schemas.openxmlformats.org/officeDocument/2006/relationships/hyperlink" Target="https://fatalencounters.org/wp-content/uploads/2019/08/Antony-French.jpg" TargetMode="External"/><Relationship Id="rId1024" Type="http://schemas.openxmlformats.org/officeDocument/2006/relationships/hyperlink" Target="http://www.abcnews4.com/story/29122044/police-close-off-downtown-charleston-streets-believe-lt-rogers-shooting-suspect-inside" TargetMode="External"/><Relationship Id="rId4594" Type="http://schemas.openxmlformats.org/officeDocument/2006/relationships/hyperlink" Target="https://www.click2houston.com/news/man-shot-killed-during-police-raid-in-league-city-authorities-say" TargetMode="External"/><Relationship Id="rId5645" Type="http://schemas.openxmlformats.org/officeDocument/2006/relationships/hyperlink" Target="https://www.star-telegram.com/news/local/fort-worth/article219303070.html" TargetMode="External"/><Relationship Id="rId3196" Type="http://schemas.openxmlformats.org/officeDocument/2006/relationships/hyperlink" Target="http://www.khou.com/news/local/2-off-duty-deputies-involved-in-deadly-shooting-in-ne-harris-county-1/439104111" TargetMode="External"/><Relationship Id="rId4247" Type="http://schemas.openxmlformats.org/officeDocument/2006/relationships/hyperlink" Target="http://www.9news.com/article/news/officer-involved-shooting-in-se-denver-no-officers-injured/73-518582921" TargetMode="External"/><Relationship Id="rId4661" Type="http://schemas.openxmlformats.org/officeDocument/2006/relationships/hyperlink" Target="https://www.ksat.com/news/one-suspect-confirmed-dead-in-officer-involved-shooting" TargetMode="External"/><Relationship Id="rId3263" Type="http://schemas.openxmlformats.org/officeDocument/2006/relationships/hyperlink" Target="http://koin.com/2017/09/04/longview-police-investigate-officer-involved-shooting/" TargetMode="External"/><Relationship Id="rId4314" Type="http://schemas.openxmlformats.org/officeDocument/2006/relationships/hyperlink" Target="http://www.tucsonnewsnow.com/story/37640340/breaking-no-deputies-hurt-in-shooting-southwest-of-tucson" TargetMode="External"/><Relationship Id="rId5712" Type="http://schemas.openxmlformats.org/officeDocument/2006/relationships/hyperlink" Target="https://www.fatalencounters.org/wp-content/uploads/2019/01/jahmal-derrick-stewart.jpg" TargetMode="External"/><Relationship Id="rId184" Type="http://schemas.openxmlformats.org/officeDocument/2006/relationships/hyperlink" Target="http://kfor.com/2015/05/27/breaking-news-officer-involved-shooting-in-edmond/" TargetMode="External"/><Relationship Id="rId1908" Type="http://schemas.openxmlformats.org/officeDocument/2006/relationships/hyperlink" Target="http://www.lex18.com/story/32343200/1-dead-in-officer-involved-shooting-in-knox-county" TargetMode="External"/><Relationship Id="rId251" Type="http://schemas.openxmlformats.org/officeDocument/2006/relationships/hyperlink" Target="http://www.wtok.com/news/headlines/Lauderdale-County-Man-Dies-after-Arrest-300851931.html" TargetMode="External"/><Relationship Id="rId3330" Type="http://schemas.openxmlformats.org/officeDocument/2006/relationships/hyperlink" Target="http://www.tcpalm.com/story/news/crime/indian-river-county/2017/07/27/officials-scene-incident-south-vero-beach/515105001/" TargetMode="External"/><Relationship Id="rId5088" Type="http://schemas.openxmlformats.org/officeDocument/2006/relationships/hyperlink" Target="https://www.turnto23.com/news/local-news/chp-involved-in-shooting-on-99" TargetMode="External"/><Relationship Id="rId6139" Type="http://schemas.openxmlformats.org/officeDocument/2006/relationships/hyperlink" Target="http://www.fatalencounters.org/wp-content/uploads/2019/04/Luis-Leizado.jpg" TargetMode="External"/><Relationship Id="rId6486" Type="http://schemas.openxmlformats.org/officeDocument/2006/relationships/hyperlink" Target="https://www.meridianstar.com/news/neshoba-county-deputies-shoot-kill-armed-suspect-shooting-was-self/article_0ad3f49c-a438-11e9-8d14-4baf1a88e173.html?fbclid=IwAR27FR8yrM6QNPf5xJ23ibxCJqr-iiSKt8xWF4fLFH453Ab0VL-FnChBOOo" TargetMode="External"/><Relationship Id="rId6553" Type="http://schemas.openxmlformats.org/officeDocument/2006/relationships/hyperlink" Target="https://www.palmbeachpost.com/news/20190729/boynton-police-id-alleged-gunman-whom-officers-fatally-shot-sunday" TargetMode="External"/><Relationship Id="rId1698" Type="http://schemas.openxmlformats.org/officeDocument/2006/relationships/hyperlink" Target="http://www.fatalencounters.org/wp-content/uploads/2013/10/Thongsoune-Vilaysane.jpg" TargetMode="External"/><Relationship Id="rId2749" Type="http://schemas.openxmlformats.org/officeDocument/2006/relationships/hyperlink" Target="http://www.fatalencounters.org/wp-content/uploads/2013/10/William-D.-Spates.jpg" TargetMode="External"/><Relationship Id="rId5155" Type="http://schemas.openxmlformats.org/officeDocument/2006/relationships/hyperlink" Target="https://www.fatalencounters.org/wp-content/uploads/2018/09/Garrett-Finley-Mitchell.jpg" TargetMode="External"/><Relationship Id="rId6206" Type="http://schemas.openxmlformats.org/officeDocument/2006/relationships/hyperlink" Target="https://www.kgun9.com/news/local-news/phoenix-police-release-id-of-man-fatally-shot-by-officers" TargetMode="External"/><Relationship Id="rId6620" Type="http://schemas.openxmlformats.org/officeDocument/2006/relationships/hyperlink" Target="https://www.wtva.com/content/news/1-Dead-In-Officer-Involved-Shooting-At-Ripley-Church-535549451.html" TargetMode="External"/><Relationship Id="rId1765" Type="http://schemas.openxmlformats.org/officeDocument/2006/relationships/hyperlink" Target="http://www.fatalencounters.org/wp-content/uploads/2013/10/Brooks.png" TargetMode="External"/><Relationship Id="rId4171" Type="http://schemas.openxmlformats.org/officeDocument/2006/relationships/hyperlink" Target="http://www.saukvalley.com/2018/01/27/family-ids-driver-shot-killed-by-rock-falls-police/aiqxqqv/" TargetMode="External"/><Relationship Id="rId5222" Type="http://schemas.openxmlformats.org/officeDocument/2006/relationships/hyperlink" Target="https://www.nola.com/crime/index.ssf/2018/09/trooper-involved_shooting_leav.html" TargetMode="External"/><Relationship Id="rId57" Type="http://schemas.openxmlformats.org/officeDocument/2006/relationships/hyperlink" Target="http://bloximages.newyork1.vip.townnews.com/appeal-democrat.com/content/tncms/assets/v3/editorial/a/50/a5039184-2b6b-11e5-b28b-c7b5c40fdd3d/55a726cc3856f.image.jpg?resize=631%2C760" TargetMode="External"/><Relationship Id="rId1418" Type="http://schemas.openxmlformats.org/officeDocument/2006/relationships/hyperlink" Target="http://www.azcentral.com/story/news/local/phoenix/breaking/2016/02/24/officer-involved-shooting-investigation-underway-west-phoenix/80876092/" TargetMode="External"/><Relationship Id="rId2816" Type="http://schemas.openxmlformats.org/officeDocument/2006/relationships/hyperlink" Target="http://www.fatalencounters.org/wp-content/uploads/2013/10/Jean-R.-Valescot.png" TargetMode="External"/><Relationship Id="rId1832" Type="http://schemas.openxmlformats.org/officeDocument/2006/relationships/hyperlink" Target="http://www.fatalencounters.org/wp-content/uploads/2013/10/Noel-Rodriguez.jpg" TargetMode="External"/><Relationship Id="rId4988" Type="http://schemas.openxmlformats.org/officeDocument/2006/relationships/hyperlink" Target="http://www.fox5dc.com/news/local-news/murder-suspect-killed-by-prince-georges-county-police-in-oxon-hill-identified" TargetMode="External"/><Relationship Id="rId7047" Type="http://schemas.openxmlformats.org/officeDocument/2006/relationships/hyperlink" Target="https://13wham.com/news/local/police-man-shot-and-killed-after-attacking-officer-with-large-knife-in-ithaca-12-21-2019" TargetMode="External"/><Relationship Id="rId6063" Type="http://schemas.openxmlformats.org/officeDocument/2006/relationships/hyperlink" Target="https://www.redding.com/story/news/2019/04/04/investigators-havent-found-gun-shooting-probe/3370709002/" TargetMode="External"/><Relationship Id="rId3657" Type="http://schemas.openxmlformats.org/officeDocument/2006/relationships/hyperlink" Target="http://www.firstcoastnews.com/news/crime/suspect-shot-and-killed-in-deputy-involved-shooting-in-orange-park/396039090" TargetMode="External"/><Relationship Id="rId4708" Type="http://schemas.openxmlformats.org/officeDocument/2006/relationships/hyperlink" Target="http://www.modbee.com/news/local/crime/article212118164.html" TargetMode="External"/><Relationship Id="rId7114" Type="http://schemas.openxmlformats.org/officeDocument/2006/relationships/hyperlink" Target="https://www.usnews.com/news/best-states/california/articles/2018-11-30/3-dead-8-injured-after-fleeing-truck-rollover-in-california" TargetMode="External"/><Relationship Id="rId578" Type="http://schemas.openxmlformats.org/officeDocument/2006/relationships/hyperlink" Target="http://www.tricitytribuneusa.com/wp-content/uploads/Chavez_Mug0642-300x300.jpg" TargetMode="External"/><Relationship Id="rId992" Type="http://schemas.openxmlformats.org/officeDocument/2006/relationships/hyperlink" Target="http://www.chicagotribune.com/news/local/breaking/ct-alfontish-cockerham-shot-by-police-20150626-story.html" TargetMode="External"/><Relationship Id="rId2259" Type="http://schemas.openxmlformats.org/officeDocument/2006/relationships/hyperlink" Target="http://www.seattletimes.com/seattle-news/remaining-residents-to-be-moved-out-of-the-jungle/" TargetMode="External"/><Relationship Id="rId2673" Type="http://schemas.openxmlformats.org/officeDocument/2006/relationships/hyperlink" Target="http://www.fatalencounters.org/wp-content/uploads/2013/10/Zepp.jpg" TargetMode="External"/><Relationship Id="rId3724" Type="http://schemas.openxmlformats.org/officeDocument/2006/relationships/hyperlink" Target="http://www.fatalencounters.org/wp-content/uploads/2013/10/ArmandoFrank_Horizontal.jpg" TargetMode="External"/><Relationship Id="rId6130" Type="http://schemas.openxmlformats.org/officeDocument/2006/relationships/hyperlink" Target="http://www.fatalencounters.org/wp-content/uploads/2019/04/Daniel-Danny-Cook-Jr.jpg" TargetMode="External"/><Relationship Id="rId645" Type="http://schemas.openxmlformats.org/officeDocument/2006/relationships/hyperlink" Target="http://www.killedbypolice.net/victims/151030.jpg" TargetMode="External"/><Relationship Id="rId1275" Type="http://schemas.openxmlformats.org/officeDocument/2006/relationships/hyperlink" Target="http://alaska-native-news.com/wp-content/uploads/2016/02/image22-02-2016-08.59.26-283x300.jpg" TargetMode="External"/><Relationship Id="rId2326" Type="http://schemas.openxmlformats.org/officeDocument/2006/relationships/hyperlink" Target="http://www.fatalencounters.org/wp-content/uploads/2013/10/Michael-Dale-Vance-Jr..jpg" TargetMode="External"/><Relationship Id="rId2740" Type="http://schemas.openxmlformats.org/officeDocument/2006/relationships/hyperlink" Target="http://www.fatalencounters.org/wp-content/uploads/2013/10/AveryRichard.jpg" TargetMode="External"/><Relationship Id="rId5896" Type="http://schemas.openxmlformats.org/officeDocument/2006/relationships/hyperlink" Target="https://www.wrcbtv.com/story/40017356/tennessee-officer-fatally-shoots-man-during-foot-pursuit" TargetMode="External"/><Relationship Id="rId6947" Type="http://schemas.openxmlformats.org/officeDocument/2006/relationships/hyperlink" Target="https://abc30.com/authorities-investigating-deadly-officer-involved-shooting-on-hwy-41/5661488/" TargetMode="External"/><Relationship Id="rId712" Type="http://schemas.openxmlformats.org/officeDocument/2006/relationships/hyperlink" Target="http://www.kmov.com/story/30452751/police-open-fire-on-suspect-charging-at-them-with-weapon" TargetMode="External"/><Relationship Id="rId1342" Type="http://schemas.openxmlformats.org/officeDocument/2006/relationships/hyperlink" Target="http://www.al.com/news/birmingham/index.ssf/2016/01/man_fatally_shot_by_chilton_co.html" TargetMode="External"/><Relationship Id="rId4498" Type="http://schemas.openxmlformats.org/officeDocument/2006/relationships/hyperlink" Target="http://www.fatalencounters.org/wp-content/uploads/2018/04/Juan-Markee-Jones.jpg" TargetMode="External"/><Relationship Id="rId5549" Type="http://schemas.openxmlformats.org/officeDocument/2006/relationships/hyperlink" Target="https://www.nj.com/essex/2018/12/authorities-name-man-shot-dead-by-police-during-standoff.html" TargetMode="External"/><Relationship Id="rId5963" Type="http://schemas.openxmlformats.org/officeDocument/2006/relationships/hyperlink" Target="https://www.redding.com/story/news/2019/03/11/police-shoot-armed-non-complaint-suspect-east-redding/3127557002/" TargetMode="External"/><Relationship Id="rId3167" Type="http://schemas.openxmlformats.org/officeDocument/2006/relationships/hyperlink" Target="http://www.tri-cityherald.com/news/local/crime/article159675924.html" TargetMode="External"/><Relationship Id="rId4565" Type="http://schemas.openxmlformats.org/officeDocument/2006/relationships/hyperlink" Target="http://wreg.com/2018/04/21/memphis-police-involved-in-shooting-in-berclair/" TargetMode="External"/><Relationship Id="rId5616" Type="http://schemas.openxmlformats.org/officeDocument/2006/relationships/hyperlink" Target="https://www.fatalencounters.org/wp-content/uploads/2019/01/JesusRamos.jpg" TargetMode="External"/><Relationship Id="rId3581" Type="http://schemas.openxmlformats.org/officeDocument/2006/relationships/hyperlink" Target="http://www.fatalencounters.org/wp-content/uploads/2013/10/Iaroslav-Mosiiuk.png" TargetMode="External"/><Relationship Id="rId4218" Type="http://schemas.openxmlformats.org/officeDocument/2006/relationships/hyperlink" Target="https://www.denverpost.com/2018/02/06/denver-shooting-south-alcott-street/" TargetMode="External"/><Relationship Id="rId4632" Type="http://schemas.openxmlformats.org/officeDocument/2006/relationships/hyperlink" Target="http://www.pennlive.com/news/2018/05/coroner_homicide_in_death_of_m.html" TargetMode="External"/><Relationship Id="rId2183" Type="http://schemas.openxmlformats.org/officeDocument/2006/relationships/hyperlink" Target="http://komonews.com/news/local/east-wenatchee-officer-shoots-kills-man" TargetMode="External"/><Relationship Id="rId3234" Type="http://schemas.openxmlformats.org/officeDocument/2006/relationships/hyperlink" Target="https://www.google.com/url?q=http://ak-cache.legacy.net/legacy/images/Cobrands/Spokesman/Photos/4e969a6236184d98803fda498a93_0_d13b724dc9a9ff1f56ab5539b14a_033141.jpg&amp;sa=D&amp;ust=1508882833406000&amp;usg=AFQjCNF1lzVi0ehzJgDlhxfljk6XFB3mww" TargetMode="External"/><Relationship Id="rId155" Type="http://schemas.openxmlformats.org/officeDocument/2006/relationships/hyperlink" Target="http://www.denverpost.com/news/ci_28264788/man-was-fatally-shot-following-high-speed-chase" TargetMode="External"/><Relationship Id="rId2250" Type="http://schemas.openxmlformats.org/officeDocument/2006/relationships/hyperlink" Target="http://www.12news.com/news/local/valley/loop-101-reopens-in-scottsdale-after-troopers-chase-shoot-suspect/333205961" TargetMode="External"/><Relationship Id="rId3301" Type="http://schemas.openxmlformats.org/officeDocument/2006/relationships/hyperlink" Target="https://www.news4jax.com/news/local/jacksonville/sources-jso-officer-shoots-carjacking-suspect-on-westside" TargetMode="External"/><Relationship Id="rId6457" Type="http://schemas.openxmlformats.org/officeDocument/2006/relationships/hyperlink" Target="https://www.keyt.com/news/ventura-county/chp-officer-involved-shooting-leaves-one-dead-in-ventura-county/1092374696" TargetMode="External"/><Relationship Id="rId6871" Type="http://schemas.openxmlformats.org/officeDocument/2006/relationships/hyperlink" Target="https://www.ajc.com/news/crime--law/breaking-gbi-investigating-officer-involved-shooting-athens/r6cavC3efadgrSKYcjWl0K/" TargetMode="External"/><Relationship Id="rId222" Type="http://schemas.openxmlformats.org/officeDocument/2006/relationships/hyperlink" Target="http://www.deseretnews.com/article/865627866/Roosevelt-police-shoot-kill-man-wielding-handgun-near-hospital.html?pg=all" TargetMode="External"/><Relationship Id="rId5059" Type="http://schemas.openxmlformats.org/officeDocument/2006/relationships/hyperlink" Target="http://www.cbs7.com/content/news/Midland-police-searching-for-man-who-shot-killed-ex-girlfriend-491023131.html" TargetMode="External"/><Relationship Id="rId5473" Type="http://schemas.openxmlformats.org/officeDocument/2006/relationships/hyperlink" Target="https://www.thedenverchannel.com/news/crime/police-man-shooting-off-rounds-near-lakewood-park-shot-and-killed-by-agent" TargetMode="External"/><Relationship Id="rId6524" Type="http://schemas.openxmlformats.org/officeDocument/2006/relationships/hyperlink" Target="https://www.dallasnews.com/news/fort-worth/2019/07/18/officers-responding-active-shooter-situation-fort-worth-police-say" TargetMode="External"/><Relationship Id="rId4075" Type="http://schemas.openxmlformats.org/officeDocument/2006/relationships/hyperlink" Target="https://d2g8igdw686xgo.cloudfront.net/26927508_15158235270_r.jpeg" TargetMode="External"/><Relationship Id="rId5126" Type="http://schemas.openxmlformats.org/officeDocument/2006/relationships/hyperlink" Target="http://www.khq.com/story/39018574/knife-wielding-man-killed-by-officers-in-cheney-identified" TargetMode="External"/><Relationship Id="rId1669" Type="http://schemas.openxmlformats.org/officeDocument/2006/relationships/hyperlink" Target="http://www.visaliatimesdelta.com/story/news/2016/05/03/least-one-shot-officer-involved-shooting/83869488/" TargetMode="External"/><Relationship Id="rId3091" Type="http://schemas.openxmlformats.org/officeDocument/2006/relationships/hyperlink" Target="http://www.omaha.com/news/crime/man-who-was-hit-with-taser-by-omaha-police-early/article_288c7d14-49d7-11e7-9ed4-83fc5e66d19e.html" TargetMode="External"/><Relationship Id="rId4142" Type="http://schemas.openxmlformats.org/officeDocument/2006/relationships/hyperlink" Target="http://www.fatalencounters.org/wp-content/uploads/2018/01/Ronald-Jay-Lawson.png" TargetMode="External"/><Relationship Id="rId5540" Type="http://schemas.openxmlformats.org/officeDocument/2006/relationships/hyperlink" Target="https://www.jacksonville.com/news/20181212/2-dead-in-separate-jacksonville-police-shootings-wednesday-1-had-bb-gun" TargetMode="External"/><Relationship Id="rId1736" Type="http://schemas.openxmlformats.org/officeDocument/2006/relationships/hyperlink" Target="http://www.ketv.com/news/family-of-man-killed-by-police-speaks-out/39656646" TargetMode="External"/><Relationship Id="rId28" Type="http://schemas.openxmlformats.org/officeDocument/2006/relationships/hyperlink" Target="http://www.wistv.com/story/29644189/sled-investigating-deputy-involved-shooting-in-lexington-county" TargetMode="External"/><Relationship Id="rId1803" Type="http://schemas.openxmlformats.org/officeDocument/2006/relationships/hyperlink" Target="http://www.newson6.com/story/32161369/25-year-old-man-shot-killed-by-wagoner-police-officer" TargetMode="External"/><Relationship Id="rId4959" Type="http://schemas.openxmlformats.org/officeDocument/2006/relationships/hyperlink" Target="https://www.wate.com/news/local-news/campbell-county-sheriff-suspect-who-shot-killed-wife-injured-in-standoff-with-deputies/1323512900" TargetMode="External"/><Relationship Id="rId3975" Type="http://schemas.openxmlformats.org/officeDocument/2006/relationships/hyperlink" Target="http://www.killedbypolice.net/victims/171141.jpg" TargetMode="External"/><Relationship Id="rId6381" Type="http://schemas.openxmlformats.org/officeDocument/2006/relationships/hyperlink" Target="https://tucson.com/news/local/tucson-police-id-man-killed-in-officer-involved-shooting/article_330cb2e2-905a-11e9-aaf4-67841d1878f0.html?fbclid=IwAR0NSAH6-IEGlDKOwNCSVBla3jjIkvosQfz0gRZNyRytlKRsujQJ6M3AF9E" TargetMode="External"/><Relationship Id="rId7018" Type="http://schemas.openxmlformats.org/officeDocument/2006/relationships/hyperlink" Target="https://www.khon2.com/local-news/heavy-police-presence-after-shots-fired-near-car-dealership/" TargetMode="External"/><Relationship Id="rId896" Type="http://schemas.openxmlformats.org/officeDocument/2006/relationships/hyperlink" Target="http://www.montereyherald.com/general-news/20150922/sand-city-shooting-mother-of-dead-suspect-recalls-sons-troubles" TargetMode="External"/><Relationship Id="rId2577" Type="http://schemas.openxmlformats.org/officeDocument/2006/relationships/hyperlink" Target="http://www.click2houston.com/news/hcso-county-investigator-opens-fire-on-gunman-at-restaurant/31046648" TargetMode="External"/><Relationship Id="rId3628" Type="http://schemas.openxmlformats.org/officeDocument/2006/relationships/hyperlink" Target="http://www.reviewjournal.com/crime/shootings/man-dies-after-exchanging-gunfire-deputies-northwest-arizona" TargetMode="External"/><Relationship Id="rId6034" Type="http://schemas.openxmlformats.org/officeDocument/2006/relationships/hyperlink" Target="https://www.nola.com/crime/2019/03/after-bullets-fly-during-terrytown-drug-bust-families-question-jpso-use-of-force.html" TargetMode="External"/><Relationship Id="rId549" Type="http://schemas.openxmlformats.org/officeDocument/2006/relationships/hyperlink" Target="http://www.huffingtonpost.com/2013/08/05/shaaliver-douse-shooting_n_3705623.html" TargetMode="External"/><Relationship Id="rId1179" Type="http://schemas.openxmlformats.org/officeDocument/2006/relationships/hyperlink" Target="http://www.nydailynews.com/new-york/bystander-dies-hit-nypd-bullets-article-1.2341345" TargetMode="External"/><Relationship Id="rId1593" Type="http://schemas.openxmlformats.org/officeDocument/2006/relationships/hyperlink" Target="http://www.kctv5.com/story/31554750/robbery-suspect-shot-killed-by-police-outsideblue-springs-walgreens" TargetMode="External"/><Relationship Id="rId2991" Type="http://schemas.openxmlformats.org/officeDocument/2006/relationships/hyperlink" Target="http://www.nbcbayarea.com/news/local/Shooting-Investigation-Shuts-Down-Lanes-on-Highway-101-in-San-Mateo-CHP-420790124.html" TargetMode="External"/><Relationship Id="rId5050" Type="http://schemas.openxmlformats.org/officeDocument/2006/relationships/hyperlink" Target="https://chicago.suntimes.com/crime/man-fatally-shot-by-south-suburban-police-following-park-forest-shooting/" TargetMode="External"/><Relationship Id="rId6101" Type="http://schemas.openxmlformats.org/officeDocument/2006/relationships/hyperlink" Target="https://www.fatalencounters.org/wp-content/uploads/2019/04/PHilipMarshall.jpg" TargetMode="External"/><Relationship Id="rId963" Type="http://schemas.openxmlformats.org/officeDocument/2006/relationships/hyperlink" Target="http://www.miamiherald.com/news/local/crime/article28915918.html" TargetMode="External"/><Relationship Id="rId1246" Type="http://schemas.openxmlformats.org/officeDocument/2006/relationships/hyperlink" Target="http://cdn.tegna-tv.com/-mm-/ef9b2ca2d5ef7ecd13b667d99dbef64dfa052bcf/c=10-0-290-373&amp;r=537&amp;c=0-0-534-712/local/-/media/2016/01/19/WFAA/WFAA/635888104699272438-gary-wayne-jones.jpg" TargetMode="External"/><Relationship Id="rId2644" Type="http://schemas.openxmlformats.org/officeDocument/2006/relationships/hyperlink" Target="http://www.fatalencounters.org/wp-content/uploads/2013/10/PrestonThornton.jpg" TargetMode="External"/><Relationship Id="rId616" Type="http://schemas.openxmlformats.org/officeDocument/2006/relationships/hyperlink" Target="http://www.killedbypolice.net/victims/150922.jpg" TargetMode="External"/><Relationship Id="rId1660" Type="http://schemas.openxmlformats.org/officeDocument/2006/relationships/hyperlink" Target="https://mgtvwate.files.wordpress.com/2016/03/vlcsnap-2016-03-14-15h35m19s208-e1457984178225.jpg?w=300&amp;h=452" TargetMode="External"/><Relationship Id="rId2711" Type="http://schemas.openxmlformats.org/officeDocument/2006/relationships/hyperlink" Target="http://www.ksla.com/story/35481659/police-chief-kills-man-during-altercation-in-sabine-parish" TargetMode="External"/><Relationship Id="rId5867" Type="http://schemas.openxmlformats.org/officeDocument/2006/relationships/hyperlink" Target="https://www.fatalencounters.org/wp-content/uploads/2019/02/Michael-Elam.jpg" TargetMode="External"/><Relationship Id="rId6918" Type="http://schemas.openxmlformats.org/officeDocument/2006/relationships/hyperlink" Target="https://pix11.com/2019/10/23/nypd-officer-and-suspect-shot-in-harlem-shootout-officials/" TargetMode="External"/><Relationship Id="rId1313" Type="http://schemas.openxmlformats.org/officeDocument/2006/relationships/hyperlink" Target="http://wtkr.com/2016/01/10/police-on-scene-of-barricade-situation-in-norfolk-2/" TargetMode="External"/><Relationship Id="rId4469" Type="http://schemas.openxmlformats.org/officeDocument/2006/relationships/hyperlink" Target="http://www.fatalencounters.org/wp-content/uploads/2018/04/Adan-Rene-Marrero.jpg" TargetMode="External"/><Relationship Id="rId4883" Type="http://schemas.openxmlformats.org/officeDocument/2006/relationships/hyperlink" Target="http://www.kfyrtv.com/content/news/Suspect-fatally-shot-by-Grand-Forks-police-487603001.html" TargetMode="External"/><Relationship Id="rId5934" Type="http://schemas.openxmlformats.org/officeDocument/2006/relationships/hyperlink" Target="https://www.ksat.com/news/second-sapd-officer-involved-in-shooting-in-12-hours" TargetMode="External"/><Relationship Id="rId3485" Type="http://schemas.openxmlformats.org/officeDocument/2006/relationships/hyperlink" Target="http://www.fatalencounters.org/wp-content/uploads/2013/10/Steven-Allen-Price.png" TargetMode="External"/><Relationship Id="rId4536" Type="http://schemas.openxmlformats.org/officeDocument/2006/relationships/hyperlink" Target="http://www.wacotrib.com/news/police/police-knife-wielding-man-shot-killed-by-officer/article_e23663e1-b0cb-5ed2-a06d-3662c300a6e1.html" TargetMode="External"/><Relationship Id="rId4950" Type="http://schemas.openxmlformats.org/officeDocument/2006/relationships/hyperlink" Target="http://www.jacksonville.com/news/20180725/last-suspect-jailed-after-police-involved-shooting-leaves-1-dead-in-starke" TargetMode="External"/><Relationship Id="rId2087" Type="http://schemas.openxmlformats.org/officeDocument/2006/relationships/hyperlink" Target="http://www.fatalencounters.org/wp-content/uploads/2013/10/Ruben.jpg" TargetMode="External"/><Relationship Id="rId3138" Type="http://schemas.openxmlformats.org/officeDocument/2006/relationships/hyperlink" Target="http://www.nbclosangeles.com/news/local/Man-Shot-and-Killed-LAPD-Pacific-Officer-Venice-438693073.html" TargetMode="External"/><Relationship Id="rId3552" Type="http://schemas.openxmlformats.org/officeDocument/2006/relationships/hyperlink" Target="http://www.lex18.com/story/34978955/deadly-officer-involved-shooting-in-owsley-co" TargetMode="External"/><Relationship Id="rId4603" Type="http://schemas.openxmlformats.org/officeDocument/2006/relationships/hyperlink" Target="http://www.ledger-enquirer.com/news/local/crime/article210432304.html" TargetMode="External"/><Relationship Id="rId473" Type="http://schemas.openxmlformats.org/officeDocument/2006/relationships/hyperlink" Target="http://www.click2houston.com/news/man-killed-after-pulling-gun-on-deputies-serving-warrant/25349872" TargetMode="External"/><Relationship Id="rId2154" Type="http://schemas.openxmlformats.org/officeDocument/2006/relationships/hyperlink" Target="http://www.abc15.com/news/region-northern-az/other/mohave-county-sheriffs-office-investigating-deadly-officer-involved-shooting-in-kingman" TargetMode="External"/><Relationship Id="rId3205" Type="http://schemas.openxmlformats.org/officeDocument/2006/relationships/hyperlink" Target="https://www.google.com/url?q=http://ak-cache.legacy.net//legacy/images/cobrands/StarLedger/photos/slb17NicholsonS.jpg_20170519.jpg&amp;sa=D&amp;ust=1508882833352000&amp;usg=AFQjCNES3Eq_EJ-KprxAidy_YACVmtQR-w" TargetMode="External"/><Relationship Id="rId126" Type="http://schemas.openxmlformats.org/officeDocument/2006/relationships/hyperlink" Target="https://5f0ad1906cfcc43aa1e6-196c176a9165c4fb91294bcccfeafde1.ssl.cf1.rackcdn.com/b383b173-9988-4244-8538-f5128397eb44_profile.jpg" TargetMode="External"/><Relationship Id="rId540" Type="http://schemas.openxmlformats.org/officeDocument/2006/relationships/hyperlink" Target="http://www.wtva.com/news/national/story/Grand-jury-no-indictments-in-officer-involved/EE5Am7KlmUmIECC8X0k4Wg.cspx" TargetMode="External"/><Relationship Id="rId1170" Type="http://schemas.openxmlformats.org/officeDocument/2006/relationships/hyperlink" Target="http://www.chron.com/houston/article/Officer-involved-shooting-in-Northeast-Houston-6449062.php" TargetMode="External"/><Relationship Id="rId2221" Type="http://schemas.openxmlformats.org/officeDocument/2006/relationships/hyperlink" Target="http://losangeles.cbslocal.com/2016/10/04/man-dies-after-confrontation-with-burbank-police/" TargetMode="External"/><Relationship Id="rId5377" Type="http://schemas.openxmlformats.org/officeDocument/2006/relationships/hyperlink" Target="https://www.ksat.com/news/gunfire-during-officer-involved-shooting-also-hits-window-of-popular-downtown-restaurant" TargetMode="External"/><Relationship Id="rId6428" Type="http://schemas.openxmlformats.org/officeDocument/2006/relationships/hyperlink" Target="https://www.inquirer.com/news/shooting-district-court-linwood-delaware-county-20190628.html" TargetMode="External"/><Relationship Id="rId6775" Type="http://schemas.openxmlformats.org/officeDocument/2006/relationships/hyperlink" Target="https://patch.com/new-york/longbeach/nassau-officers-kill-man-who-attacked-them-sword" TargetMode="External"/><Relationship Id="rId5791" Type="http://schemas.openxmlformats.org/officeDocument/2006/relationships/hyperlink" Target="https://www.fatalencounters.org/wp-content/uploads/2019/02/DennisTuttle.jpg" TargetMode="External"/><Relationship Id="rId6842" Type="http://schemas.openxmlformats.org/officeDocument/2006/relationships/hyperlink" Target="https://www.spokesman.com/stories/2019/oct/06/man-dies-saturday-night-after-spokane-county-sheri/" TargetMode="External"/><Relationship Id="rId1987" Type="http://schemas.openxmlformats.org/officeDocument/2006/relationships/hyperlink" Target="http://rep-am.com/news/local/doc578f6b5132c08416884246.txt" TargetMode="External"/><Relationship Id="rId4393" Type="http://schemas.openxmlformats.org/officeDocument/2006/relationships/hyperlink" Target="http://www.fatalencounters.org/wp-content/uploads/2018/03/Michael-Holliman.jpg" TargetMode="External"/><Relationship Id="rId5444" Type="http://schemas.openxmlformats.org/officeDocument/2006/relationships/hyperlink" Target="https://www.denverpost.com/2018/11/23/fatal-officer-involved-shooting-gunnison-county/" TargetMode="External"/><Relationship Id="rId4046" Type="http://schemas.openxmlformats.org/officeDocument/2006/relationships/hyperlink" Target="http://www.wrcbtv.com/story/37168755/at-least-one-person-killed-in-officer-involved-shooting-walker-county" TargetMode="External"/><Relationship Id="rId4460" Type="http://schemas.openxmlformats.org/officeDocument/2006/relationships/hyperlink" Target="http://www.mlive.com/news/jackson/index.ssf/2018/04/police_officer_wounded_in_jack.html" TargetMode="External"/><Relationship Id="rId5511" Type="http://schemas.openxmlformats.org/officeDocument/2006/relationships/hyperlink" Target="https://www.ksl.com/article/46443596/police-1-dead-in-west-wendover-officer-involved-shooting" TargetMode="External"/><Relationship Id="rId1707" Type="http://schemas.openxmlformats.org/officeDocument/2006/relationships/hyperlink" Target="http://www.fatalencounters.org/wp-content/uploads/2013/10/francis-clark.jpg" TargetMode="External"/><Relationship Id="rId3062" Type="http://schemas.openxmlformats.org/officeDocument/2006/relationships/hyperlink" Target="http://lancasteronline.com/news/local/teenager-killed-following-exchange-of-gunfire-with-lancaster-city-police/article_69e5fb1e-e23a-11e6-8fc0-f7e36e08d4ed.html" TargetMode="External"/><Relationship Id="rId4113" Type="http://schemas.openxmlformats.org/officeDocument/2006/relationships/hyperlink" Target="http://www.fatalencounters.org/wp-content/uploads/2018/01/James-Hawkins.jpg" TargetMode="External"/><Relationship Id="rId6285" Type="http://schemas.openxmlformats.org/officeDocument/2006/relationships/hyperlink" Target="https://www.starnewsonline.com/news/20190531/wilmington-police-id-victim-officers-in-fatal-officer-involved-shooting" TargetMode="External"/><Relationship Id="rId3879" Type="http://schemas.openxmlformats.org/officeDocument/2006/relationships/hyperlink" Target="http://abc3340.com/news/local/1-dead-in-pell-city-officer-involved-shooting" TargetMode="External"/><Relationship Id="rId6352" Type="http://schemas.openxmlformats.org/officeDocument/2006/relationships/hyperlink" Target="https://fatalencounters.org/wp-content/uploads/2019/06/EddieSegura.jpg" TargetMode="External"/><Relationship Id="rId2895" Type="http://schemas.openxmlformats.org/officeDocument/2006/relationships/hyperlink" Target="http://www.wbtv.com/story/36307021/alleged-suspect-killed-in-officer-involved-shooting-in-northeast-charlotte" TargetMode="External"/><Relationship Id="rId3946" Type="http://schemas.openxmlformats.org/officeDocument/2006/relationships/hyperlink" Target="http://www.redding.com/story/news/local/2017/12/08/officer-involved-shooting-reported/934273001/" TargetMode="External"/><Relationship Id="rId6005" Type="http://schemas.openxmlformats.org/officeDocument/2006/relationships/hyperlink" Target="https://www.stltoday.com/news/local/crime-and-courts/man-shot-by-university-city-police-officer-was-distraught-over/article_2f4cfb8c-2b8f-5a5f-b0a9-0a6740649fd4.html" TargetMode="External"/><Relationship Id="rId867" Type="http://schemas.openxmlformats.org/officeDocument/2006/relationships/hyperlink" Target="http://krqe.com/2015/09/01/artesia-man-killed-after-shootout-with-police/" TargetMode="External"/><Relationship Id="rId1497" Type="http://schemas.openxmlformats.org/officeDocument/2006/relationships/hyperlink" Target="http://www.seattletimes.com/seattle-news/crime/1-wounded-in-seattle-shooting/?utm_source=RSS" TargetMode="External"/><Relationship Id="rId2548" Type="http://schemas.openxmlformats.org/officeDocument/2006/relationships/hyperlink" Target="http://www.tampabay.com/projects/2017/investigations/florida-police-shootings/database/48/" TargetMode="External"/><Relationship Id="rId2962" Type="http://schemas.openxmlformats.org/officeDocument/2006/relationships/hyperlink" Target="http://www.fatalencounters.org/wp-content/uploads/2013/10/Oscar-Junior.jpg" TargetMode="External"/><Relationship Id="rId934" Type="http://schemas.openxmlformats.org/officeDocument/2006/relationships/hyperlink" Target="http://www.fresnobee.com/news/local/crime/article40741638.html" TargetMode="External"/><Relationship Id="rId1564" Type="http://schemas.openxmlformats.org/officeDocument/2006/relationships/hyperlink" Target="http://6abc.com/news/off-duty-police-officer-shoots-robbery-suspect-in-olney-/1284067/" TargetMode="External"/><Relationship Id="rId2615" Type="http://schemas.openxmlformats.org/officeDocument/2006/relationships/hyperlink" Target="http://chicago.suntimes.com/news/police-off-duty-cpd-officer-fatally-shoots-robber-in-hazel-crest/" TargetMode="External"/><Relationship Id="rId5021" Type="http://schemas.openxmlformats.org/officeDocument/2006/relationships/hyperlink" Target="http://www.philly.com/philly/news/philadelphia-police-officer-wounded-swat-warrant-germantown-20180806.html" TargetMode="External"/><Relationship Id="rId1217" Type="http://schemas.openxmlformats.org/officeDocument/2006/relationships/hyperlink" Target="http://www.shreveporttimes.com/story/news/2015/10/22/police-man-knife-shot-officer/74382544/" TargetMode="External"/><Relationship Id="rId1631" Type="http://schemas.openxmlformats.org/officeDocument/2006/relationships/hyperlink" Target="http://homicide.latimes.com/post/cristian-rene-medina/" TargetMode="External"/><Relationship Id="rId4787" Type="http://schemas.openxmlformats.org/officeDocument/2006/relationships/hyperlink" Target="https://www.fatalencounters.org/wp-content/uploads/2018/06/Richard-RiveraJPG.jpg" TargetMode="External"/><Relationship Id="rId5838" Type="http://schemas.openxmlformats.org/officeDocument/2006/relationships/hyperlink" Target="http://www.newson6.com/story/39943875/man-killed-in-del-city-officerinvolved-shooting-identified" TargetMode="External"/><Relationship Id="rId7193" Type="http://schemas.openxmlformats.org/officeDocument/2006/relationships/hyperlink" Target="http://www.nbcwashington.com/news/local/Culpeper-Deputy-Shoots-and-Kills-Suspect-202675951.html" TargetMode="External"/><Relationship Id="rId3389" Type="http://schemas.openxmlformats.org/officeDocument/2006/relationships/hyperlink" Target="http://www.tulsaworld.com/homepagelatest/tulsa-police-officer-fires-weapon-during-altercation-in-east-tulsa/article_b72aa9d0-7273-55d6-8bfb-0eca35d7cc05.html" TargetMode="External"/><Relationship Id="rId3456" Type="http://schemas.openxmlformats.org/officeDocument/2006/relationships/hyperlink" Target="http://www.fatalencounters.org/wp-content/uploads/2013/10/Kelly-Pastrana.jpg" TargetMode="External"/><Relationship Id="rId4854" Type="http://schemas.openxmlformats.org/officeDocument/2006/relationships/hyperlink" Target="https://www.fatalencounters.org/wp-content/uploads/2018/07/Christian-T.-Webb.jpg" TargetMode="External"/><Relationship Id="rId5905" Type="http://schemas.openxmlformats.org/officeDocument/2006/relationships/hyperlink" Target="https://www.fatalencounters.org/wp-content/uploads/2019/03/Tyler-Schmidtbauer.jpg" TargetMode="External"/><Relationship Id="rId377" Type="http://schemas.openxmlformats.org/officeDocument/2006/relationships/hyperlink" Target="http://www.al.com/news/huntsville/index.ssf/2014/10/officer-involved_shooting_at_m.html" TargetMode="External"/><Relationship Id="rId2058" Type="http://schemas.openxmlformats.org/officeDocument/2006/relationships/hyperlink" Target="http://www.wsbtv.com/news/local/south-fulton-county/police-shooting-suspect-killed-in-shootout-with-us-marshals/417909111" TargetMode="External"/><Relationship Id="rId3109" Type="http://schemas.openxmlformats.org/officeDocument/2006/relationships/hyperlink" Target="http://www.hawaiinewsnow.com/story/34482112/police-investigating-officer-involved-shooting-across-pearlridge" TargetMode="External"/><Relationship Id="rId3870" Type="http://schemas.openxmlformats.org/officeDocument/2006/relationships/hyperlink" Target="http://baycitytribune.com/community/article_24db8e94-ccb3-11e7-bd83-d38af6b04fa9.html" TargetMode="External"/><Relationship Id="rId4507" Type="http://schemas.openxmlformats.org/officeDocument/2006/relationships/hyperlink" Target="http://www.fatalencounters.org/wp-content/uploads/2018/04/Dominick-Alexander-Hernandez.jpg" TargetMode="External"/><Relationship Id="rId4921" Type="http://schemas.openxmlformats.org/officeDocument/2006/relationships/hyperlink" Target="https://www.click2houston.com/news/friends-remember-apparent-unintended-target-in-deadly-officer-involved-shooting" TargetMode="External"/><Relationship Id="rId791" Type="http://schemas.openxmlformats.org/officeDocument/2006/relationships/hyperlink" Target="http://www.courant.com/breaking-news/hc-bolton-chase-update-0818-20150817-story.html" TargetMode="External"/><Relationship Id="rId1074" Type="http://schemas.openxmlformats.org/officeDocument/2006/relationships/hyperlink" Target="http://www.omaha.com/news/crime/autopsy-results-to-be-released-soon-in-case-of-man/article_57e6f9c6-981e-11e4-84ef-dfff4d2c6e13.html" TargetMode="External"/><Relationship Id="rId2472" Type="http://schemas.openxmlformats.org/officeDocument/2006/relationships/hyperlink" Target="http://www.wtsp.com/news/crime/deputy-not-hurt-in-shooting-at-brandon-walmart/362274329" TargetMode="External"/><Relationship Id="rId3523" Type="http://schemas.openxmlformats.org/officeDocument/2006/relationships/hyperlink" Target="http://www.fatalencounters.org/wp-content/uploads/2013/10/Benjamin-Ailstock.jpg" TargetMode="External"/><Relationship Id="rId6679" Type="http://schemas.openxmlformats.org/officeDocument/2006/relationships/hyperlink" Target="https://fatalencounters.org/wp-content/uploads/2019/09/Channara-Tom-Pheap.jpg" TargetMode="External"/><Relationship Id="rId444" Type="http://schemas.openxmlformats.org/officeDocument/2006/relationships/hyperlink" Target="http://www.kake.com/home/headlines/Officer-involved-shooting-reported-south-of-Dexter-in-Cowley-County-261401221.html" TargetMode="External"/><Relationship Id="rId2125" Type="http://schemas.openxmlformats.org/officeDocument/2006/relationships/hyperlink" Target="http://www.wkow.com/story/32799691/2016/08/19/one-dead-in-new-london-officer-involved-shooting" TargetMode="External"/><Relationship Id="rId5695" Type="http://schemas.openxmlformats.org/officeDocument/2006/relationships/hyperlink" Target="https://trib.com/news/local/crime-and-courts/riverton-police-shoot-and-kill-man-chief-says-man-shot/article_3634a9f1-27b1-59e3-953a-374a4ba284a6.html" TargetMode="External"/><Relationship Id="rId6746" Type="http://schemas.openxmlformats.org/officeDocument/2006/relationships/hyperlink" Target="https://abc13.com/teen-who-shot-hpd-officer-was-out-on-bond-police/5536540/" TargetMode="External"/><Relationship Id="rId511" Type="http://schemas.openxmlformats.org/officeDocument/2006/relationships/hyperlink" Target="http://www.wyliefh.com/printguestbook.php?id=2166&amp;rid=15392" TargetMode="External"/><Relationship Id="rId1141" Type="http://schemas.openxmlformats.org/officeDocument/2006/relationships/hyperlink" Target="https://img.washingtonpost.com/wp-apps/imrs.php?src=https://img.washingtonpost.com/rf/image_908w/2010-2019/Wires/Images/2015-08-08/AP/Killings_by_Police-Football_Player-01655.jpg&amp;w=1484" TargetMode="External"/><Relationship Id="rId4297" Type="http://schemas.openxmlformats.org/officeDocument/2006/relationships/hyperlink" Target="http://ktla.com/2018/02/26/man-fatally-shot-by-officer-after-lapd-receives-call-about-allegedly-armed-possibly-mentally-ill-man-in-panorama-city/" TargetMode="External"/><Relationship Id="rId5348" Type="http://schemas.openxmlformats.org/officeDocument/2006/relationships/hyperlink" Target="https://www.fox5vegas.com/news/coroner-identifies-man-shot-killed-by-north-las-vegas-police/article_2cd5d7f6-ded9-11e8-94a9-277894d5ab05.html" TargetMode="External"/><Relationship Id="rId5762" Type="http://schemas.openxmlformats.org/officeDocument/2006/relationships/hyperlink" Target="https://www.fatalencounters.org/wp-content/uploads/2019/01/Preston-Oszust.jpg" TargetMode="External"/><Relationship Id="rId6813" Type="http://schemas.openxmlformats.org/officeDocument/2006/relationships/hyperlink" Target="https://fatalencounters.org/wp-content/uploads/2019/10/ChadHuggins.jpg" TargetMode="External"/><Relationship Id="rId4364" Type="http://schemas.openxmlformats.org/officeDocument/2006/relationships/hyperlink" Target="http://brooklyn.news12.com/story/37704529/police-officer-fatally-shot-bat-wielding-suspect-in-great-neck" TargetMode="External"/><Relationship Id="rId5415" Type="http://schemas.openxmlformats.org/officeDocument/2006/relationships/hyperlink" Target="https://www.fatalencounters.org/wp-content/uploads/2018/11/GDHendrix.jpg" TargetMode="External"/><Relationship Id="rId1958" Type="http://schemas.openxmlformats.org/officeDocument/2006/relationships/hyperlink" Target="http://www.freep.com/story/news/local/michigan/wayne/2016/07/11/romulus-police-fatally-shoot-homicide-suspect-hotel/86950836/" TargetMode="External"/><Relationship Id="rId3380" Type="http://schemas.openxmlformats.org/officeDocument/2006/relationships/hyperlink" Target="http://5newsonline.com/2017/07/05/fort-smith-police-searching-for-possibly-armed-and-dangerous-suspect/" TargetMode="External"/><Relationship Id="rId4017" Type="http://schemas.openxmlformats.org/officeDocument/2006/relationships/hyperlink" Target="https://www.wkrn.com/news/crime-tracker/grundy-co-deputy-charged-in-2017-officer-involved-shooting/1597560942" TargetMode="External"/><Relationship Id="rId4431" Type="http://schemas.openxmlformats.org/officeDocument/2006/relationships/hyperlink" Target="http://www.lakeconews.com/index.php/news/55210-regional-man-who-fought-with-police-dies-after-taser-deployment" TargetMode="External"/><Relationship Id="rId3033" Type="http://schemas.openxmlformats.org/officeDocument/2006/relationships/hyperlink" Target="http://www.nydailynews.com/new-york/brooklyn/cops-fire-shots-brooklyn-deli-wounded-article-1.2976505" TargetMode="External"/><Relationship Id="rId6189" Type="http://schemas.openxmlformats.org/officeDocument/2006/relationships/hyperlink" Target="http://ktar.com/story/2565075/suspect-killed-in-officer-involved-shooting-in-southern-arizona/" TargetMode="External"/><Relationship Id="rId2799" Type="http://schemas.openxmlformats.org/officeDocument/2006/relationships/hyperlink" Target="http://abc13.com/news/suspect-killed-in-shooting-that-wounded-2-officers/1777497/" TargetMode="External"/><Relationship Id="rId3100" Type="http://schemas.openxmlformats.org/officeDocument/2006/relationships/hyperlink" Target="http://www.fatalencounters.org/wp-content/uploads/2013/10/Melvin-DeLong.png" TargetMode="External"/><Relationship Id="rId6256" Type="http://schemas.openxmlformats.org/officeDocument/2006/relationships/hyperlink" Target="https://www.kentucky.com/news/local/crime/article230711249.html" TargetMode="External"/><Relationship Id="rId6670" Type="http://schemas.openxmlformats.org/officeDocument/2006/relationships/hyperlink" Target="https://www.news-gazette.com/news/inmate-who-was-shot-after-stabbing-deputy-identified/article_b36b5c6f-6dd1-5b67-9cfb-a1367b1db799.html" TargetMode="External"/><Relationship Id="rId2866" Type="http://schemas.openxmlformats.org/officeDocument/2006/relationships/hyperlink" Target="http://www.nwitimes.com/news/local/crime-and-courts/police-suspect-in-officer-involved-shooting-dies/article_af899574-e08e-5ecf-b7a1-35d00e64b3df.html" TargetMode="External"/><Relationship Id="rId3917" Type="http://schemas.openxmlformats.org/officeDocument/2006/relationships/hyperlink" Target="http://www.wcnc.com/news/crime/authorities-investigating-officer-involved-shooting-in-york/496006675" TargetMode="External"/><Relationship Id="rId5272" Type="http://schemas.openxmlformats.org/officeDocument/2006/relationships/hyperlink" Target="https://www.elpasotimes.com/story/news/crime/2018/10/11/el-paso-police-identify-richard-palafox-killed-pebble-hills-police-station-shooting/1603278002/" TargetMode="External"/><Relationship Id="rId6323" Type="http://schemas.openxmlformats.org/officeDocument/2006/relationships/hyperlink" Target="https://www.modbee.com/news/local/crime/article231284628.html" TargetMode="External"/><Relationship Id="rId838" Type="http://schemas.openxmlformats.org/officeDocument/2006/relationships/hyperlink" Target="http://www.latimes.com/local/lanow/la-me-ln-san-diego-police-fatal-shooting-20150928-story.html" TargetMode="External"/><Relationship Id="rId1468" Type="http://schemas.openxmlformats.org/officeDocument/2006/relationships/hyperlink" Target="https://cbsdallas.files.wordpress.com/2016/01/christopher-michael-dew.jpg?w=640&amp;h=360&amp;crop=1" TargetMode="External"/><Relationship Id="rId1882" Type="http://schemas.openxmlformats.org/officeDocument/2006/relationships/hyperlink" Target="http://www.commercialappeal.com/news/suburbs/desoto/desoto-law-enforcement-involved-in-standoff-35e24788-9a06-77ad-e053-0100007fda6a-384029591.html" TargetMode="External"/><Relationship Id="rId2519" Type="http://schemas.openxmlformats.org/officeDocument/2006/relationships/hyperlink" Target="http://www.cbs46.com/story/34040709/police-man-shot-by-officer-after-refusing-to-drop-weapon" TargetMode="External"/><Relationship Id="rId1535" Type="http://schemas.openxmlformats.org/officeDocument/2006/relationships/hyperlink" Target="http://www.statesman.com/news/news/crime-law/austin-police-responding-to-officer-involved-shoot/nq9q4/" TargetMode="External"/><Relationship Id="rId2933" Type="http://schemas.openxmlformats.org/officeDocument/2006/relationships/hyperlink" Target="http://www.fatalencounters.org/wp-content/uploads/2013/10/JonathanCoronel.png" TargetMode="External"/><Relationship Id="rId7097" Type="http://schemas.openxmlformats.org/officeDocument/2006/relationships/hyperlink" Target="http://chicago.suntimes.com/news/second-cpd-officer-to-be-released-from-hospital-after-fatal-chase/" TargetMode="External"/><Relationship Id="rId905" Type="http://schemas.openxmlformats.org/officeDocument/2006/relationships/hyperlink" Target="http://www.wptv.com/news/region-c-palm-beach-county/west-palm-beach/palm-beach-county-sheriffs-office-investigating-officer-involved-shooting" TargetMode="External"/><Relationship Id="rId7164" Type="http://schemas.openxmlformats.org/officeDocument/2006/relationships/hyperlink" Target="http://www.times-news.com/news/local_news/police-rawlings-shooter-dead/article_309f8d7f-af13-5009-8646-fb8089da9710.html" TargetMode="External"/><Relationship Id="rId1602" Type="http://schemas.openxmlformats.org/officeDocument/2006/relationships/hyperlink" Target="http://wspa.com/2016/03/29/one-killed-in-greenville-co-officer-involved-shooting/" TargetMode="External"/><Relationship Id="rId4758" Type="http://schemas.openxmlformats.org/officeDocument/2006/relationships/hyperlink" Target="https://mpdc.dc.gov/release/mpd-officer-involved-shooting-3700-block-1st-street-southeast-0" TargetMode="External"/><Relationship Id="rId5809" Type="http://schemas.openxmlformats.org/officeDocument/2006/relationships/hyperlink" Target="https://www.dailyherald.com/news/20190208/authorities-identify-man-who-was-fatally-shot-by-waukegan-police" TargetMode="External"/><Relationship Id="rId6180" Type="http://schemas.openxmlformats.org/officeDocument/2006/relationships/hyperlink" Target="https://fatalencounters.org/wp-content/uploads/2019/05/Isaac-Pineda.jpg" TargetMode="External"/><Relationship Id="rId3774" Type="http://schemas.openxmlformats.org/officeDocument/2006/relationships/hyperlink" Target="http://abcnews.go.com/US/wireStory/motives-probed-man-killed-holding-teacher-hostage-50854456" TargetMode="External"/><Relationship Id="rId4825" Type="http://schemas.openxmlformats.org/officeDocument/2006/relationships/hyperlink" Target="https://www.thetimes-tribune.com/news/man-shot-killed-by-police-during-standoff-in-wayne-county-1.2354318" TargetMode="External"/><Relationship Id="rId7231" Type="http://schemas.openxmlformats.org/officeDocument/2006/relationships/hyperlink" Target="http://www.nj.com/news/index.ssf/2013/10/nj_attorney_general_investigating_fatal_shooting_of_newark_man_by_nj_state_police.html" TargetMode="External"/><Relationship Id="rId695" Type="http://schemas.openxmlformats.org/officeDocument/2006/relationships/hyperlink" Target="http://www.jacksonsun.com/story/news/crime/2015/11/14/tbi-investigating-officer-involved-shooting-trenton/75775108/" TargetMode="External"/><Relationship Id="rId2376" Type="http://schemas.openxmlformats.org/officeDocument/2006/relationships/hyperlink" Target="http://www.fatalencounters.org/wp-content/uploads/2013/10/George-Delacruz-Jr..jpg" TargetMode="External"/><Relationship Id="rId2790" Type="http://schemas.openxmlformats.org/officeDocument/2006/relationships/hyperlink" Target="http://baltimore.cbslocal.com/2017/03/14/police-investigate-officer-involved-shooting-in-woodlawn-3-suspects-injured/" TargetMode="External"/><Relationship Id="rId3427" Type="http://schemas.openxmlformats.org/officeDocument/2006/relationships/hyperlink" Target="http://www.kmov.com/story/35611447/suspect-shot-while-exchanging-gunfire-with-officers-police-say" TargetMode="External"/><Relationship Id="rId3841" Type="http://schemas.openxmlformats.org/officeDocument/2006/relationships/hyperlink" Target="http://www.fatalencounters.org/wp-content/uploads/2013/10/Larry-Ruiz-Barreto.jpg" TargetMode="External"/><Relationship Id="rId6997" Type="http://schemas.openxmlformats.org/officeDocument/2006/relationships/hyperlink" Target="https://fatalencounters.org/wp-content/uploads/2019/12/Cade-Humphrey.jpg" TargetMode="External"/><Relationship Id="rId348" Type="http://schemas.openxmlformats.org/officeDocument/2006/relationships/hyperlink" Target="http://ktla.com/2014/12/05/armed-man-shot-by-officers-near-hollywood-and-highland-lapd/" TargetMode="External"/><Relationship Id="rId762" Type="http://schemas.openxmlformats.org/officeDocument/2006/relationships/hyperlink" Target="http://media.ksat.com/photo/2015/09/02/Roger-Albrecht-shot-by-SAPD_1441236920219_158947_ver1.0_1280_720.jpg" TargetMode="External"/><Relationship Id="rId1392" Type="http://schemas.openxmlformats.org/officeDocument/2006/relationships/hyperlink" Target="http://www.bradenton.com/news/local/crime/article60461361.html" TargetMode="External"/><Relationship Id="rId2029" Type="http://schemas.openxmlformats.org/officeDocument/2006/relationships/hyperlink" Target="http://nj1015.com/manchester-cops-shoot-kill-suicidal-male-police-say/" TargetMode="External"/><Relationship Id="rId2443" Type="http://schemas.openxmlformats.org/officeDocument/2006/relationships/hyperlink" Target="http://ktla.com/2016/11/28/man-shot-dead-by-police-during-foot-chase-in-historic-south-central-lapd/" TargetMode="External"/><Relationship Id="rId5599" Type="http://schemas.openxmlformats.org/officeDocument/2006/relationships/hyperlink" Target="https://www.wfla.com/news/pinellas-county/man-shot-killed-after-opening-fire-on-clearwater-officers-during-domestic-call/1674973826" TargetMode="External"/><Relationship Id="rId415" Type="http://schemas.openxmlformats.org/officeDocument/2006/relationships/hyperlink" Target="http://www.8newsnow.com/story/26137424/breaking-news-police-investigate-officer-involved-shooting" TargetMode="External"/><Relationship Id="rId1045" Type="http://schemas.openxmlformats.org/officeDocument/2006/relationships/hyperlink" Target="http://www.nj.com/middlesex/index.ssf/2015/04/man_killed_by_state_trooper_released_from_state_pr.html" TargetMode="External"/><Relationship Id="rId2510" Type="http://schemas.openxmlformats.org/officeDocument/2006/relationships/hyperlink" Target="http://www.omaha.com/news/crime/nebraska-man-dies-after-being-wounded-in-officer-related-shooting/article_6bab2ede-bfd4-11e6-9825-f7f3cfdfdaa7.html" TargetMode="External"/><Relationship Id="rId5666" Type="http://schemas.openxmlformats.org/officeDocument/2006/relationships/hyperlink" Target="https://www.klfy.com/top-stories/officer-shot-suspect-killed-in-orleans-avenue-shootout/1687798327" TargetMode="External"/><Relationship Id="rId1112" Type="http://schemas.openxmlformats.org/officeDocument/2006/relationships/hyperlink" Target="https://www.washingtonpost.com/local/public-safety/dc-police-investigate-death-of-man-found-unconscious-and-in-handcuffs/2015/11/04/205105a8-8317-11e5-9afb-0c971f713d0c_story.html" TargetMode="External"/><Relationship Id="rId4268" Type="http://schemas.openxmlformats.org/officeDocument/2006/relationships/hyperlink" Target="https://www.mysanantonio.com/news/local/crime/article/Suspect-in-shoot-out-with-DPS-trooper-dies-12625202.php?ipid=brkbar" TargetMode="External"/><Relationship Id="rId5319" Type="http://schemas.openxmlformats.org/officeDocument/2006/relationships/hyperlink" Target="https://www.fatalencounters.org/wp-content/uploads/2018/10/Jason-Whittle.png" TargetMode="External"/><Relationship Id="rId6717" Type="http://schemas.openxmlformats.org/officeDocument/2006/relationships/hyperlink" Target="https://www.postcrescent.com/story/news/2019/09/03/kaukauna-police-shooting-person-shot-police-after-chase/2195474001/" TargetMode="External"/><Relationship Id="rId3284" Type="http://schemas.openxmlformats.org/officeDocument/2006/relationships/hyperlink" Target="http://www.abc10.com/news/local/armed-man-killed-in-butte-county-officer-involved-shooting/466769163" TargetMode="External"/><Relationship Id="rId4682" Type="http://schemas.openxmlformats.org/officeDocument/2006/relationships/hyperlink" Target="http://www.kristv.com/story/38253569/mathis-police-investigating-a-shooting" TargetMode="External"/><Relationship Id="rId5733" Type="http://schemas.openxmlformats.org/officeDocument/2006/relationships/hyperlink" Target="https://www.fatalencounters.org/wp-content/uploads/2019/01/deangelo-brown.jpg" TargetMode="External"/><Relationship Id="rId1929" Type="http://schemas.openxmlformats.org/officeDocument/2006/relationships/hyperlink" Target="http://pix11.com/2016/07/04/off-duty-cop-shoots-motorist-in-brooklyn-road-rage-incident-police-sources/" TargetMode="External"/><Relationship Id="rId4335" Type="http://schemas.openxmlformats.org/officeDocument/2006/relationships/hyperlink" Target="http://www.daily-times.com/story/news/2018/03/06/farmington-swat-officer-kills-armed-suspect-after-standoff-motel-6/398546002/" TargetMode="External"/><Relationship Id="rId5800" Type="http://schemas.openxmlformats.org/officeDocument/2006/relationships/hyperlink" Target="https://www.fatalencounters.org/wp-content/uploads/2019/02/Anthony-Patrick-Pellissier.jpg" TargetMode="External"/><Relationship Id="rId3351" Type="http://schemas.openxmlformats.org/officeDocument/2006/relationships/hyperlink" Target="http://registerguard.com/rg/news/local/35777958-75/story.csp" TargetMode="External"/><Relationship Id="rId4402" Type="http://schemas.openxmlformats.org/officeDocument/2006/relationships/hyperlink" Target="http://www.fatalencounters.org/wp-content/uploads/2018/03/Angel-Dray-Ulloa.jpg" TargetMode="External"/><Relationship Id="rId272" Type="http://schemas.openxmlformats.org/officeDocument/2006/relationships/hyperlink" Target="http://www.wyff4.com/news/family-of-man-killed-by-deputies-hires-attorney/32601896" TargetMode="External"/><Relationship Id="rId3004" Type="http://schemas.openxmlformats.org/officeDocument/2006/relationships/hyperlink" Target="http://ktla.com/2017/03/25/1-killed-in-boyle-heights-officer-involved-shooting-lapd/" TargetMode="External"/><Relationship Id="rId6574" Type="http://schemas.openxmlformats.org/officeDocument/2006/relationships/hyperlink" Target="http://www.startribune.com/minneapolis-police-shoot-kill-man-at-apparent-domestic-call/514155142/" TargetMode="External"/><Relationship Id="rId2020" Type="http://schemas.openxmlformats.org/officeDocument/2006/relationships/hyperlink" Target="http://www.desertsun.com/story/news/local/la-quinta/2016/07/30/officer-involved-shooting-la-quinta/87760224/" TargetMode="External"/><Relationship Id="rId5176" Type="http://schemas.openxmlformats.org/officeDocument/2006/relationships/hyperlink" Target="http://www.wbrz.com/news/one-killed-two-injured-in-shreveport-officer-involved-shootings/?utm_source=feedburner&amp;utm_medium=feed&amp;utm_campaign=Feed%3A+wbrz%2Fnews+%28WBRZ+News%29" TargetMode="External"/><Relationship Id="rId5590" Type="http://schemas.openxmlformats.org/officeDocument/2006/relationships/hyperlink" Target="https://www.star-telegram.com/news/politics-government/national-politics/article223515400.html" TargetMode="External"/><Relationship Id="rId6227" Type="http://schemas.openxmlformats.org/officeDocument/2006/relationships/hyperlink" Target="https://fatalencounters.org/wp-content/uploads/2019/05/Djuantez-Anthony-Mitchell.jpg" TargetMode="External"/><Relationship Id="rId6641" Type="http://schemas.openxmlformats.org/officeDocument/2006/relationships/hyperlink" Target="https://fatalencounters.org/wp-content/uploads/2019/08/Jovany-Mercado-Bedolla.jpg" TargetMode="External"/><Relationship Id="rId4192" Type="http://schemas.openxmlformats.org/officeDocument/2006/relationships/hyperlink" Target="http://helenair.com/news/crime/suspect-dead-in-officer-involved-shooting-near-east-helena/article_f88cb418-c01a-5213-836a-a3fbfb86198b.html" TargetMode="External"/><Relationship Id="rId5243" Type="http://schemas.openxmlformats.org/officeDocument/2006/relationships/hyperlink" Target="https://www.khou.com/article/news/local/deputies-shoot-kill-suspect-while-serving-warrant-in-the-heights/285-599779605" TargetMode="External"/><Relationship Id="rId1786" Type="http://schemas.openxmlformats.org/officeDocument/2006/relationships/hyperlink" Target="http://www.wcnc.com/news/crime/cmpd-officer-shoots-kills-suspect/229338499" TargetMode="External"/><Relationship Id="rId2837" Type="http://schemas.openxmlformats.org/officeDocument/2006/relationships/hyperlink" Target="http://www.baltimoresun.com/news/maryland/crime/bs-md-ci-police-shooting-20170207-story.html" TargetMode="External"/><Relationship Id="rId78" Type="http://schemas.openxmlformats.org/officeDocument/2006/relationships/hyperlink" Target="http://cdn.patch.com/users/1372433/2015/07/T800x600/201507559ff12e799d0.png" TargetMode="External"/><Relationship Id="rId809" Type="http://schemas.openxmlformats.org/officeDocument/2006/relationships/hyperlink" Target="http://abc30.com/news/fresno-county-officer-involved-shooting-leaves-suspect-dead/910392/" TargetMode="External"/><Relationship Id="rId1439" Type="http://schemas.openxmlformats.org/officeDocument/2006/relationships/hyperlink" Target="http://www.wfaa.com/news/crime/man-with-gun-shot-killed-by-azle-police-sunday/71853175" TargetMode="External"/><Relationship Id="rId1853" Type="http://schemas.openxmlformats.org/officeDocument/2006/relationships/hyperlink" Target="http://www.clickorlando.com/news/one-person-shot-by-off-duty-deputy-in-road-rage-incident-in-palm-bay" TargetMode="External"/><Relationship Id="rId2904" Type="http://schemas.openxmlformats.org/officeDocument/2006/relationships/hyperlink" Target="http://www.fatalencounters.org/wp-content/uploads/2013/10/Christopher-Michael-Diaz.jpg" TargetMode="External"/><Relationship Id="rId5310" Type="http://schemas.openxmlformats.org/officeDocument/2006/relationships/hyperlink" Target="https://www.scnow.com/townnews/weaponry/article_ecfd1c0a-d4a3-11e8-acbc-a3a6e17af672.html" TargetMode="External"/><Relationship Id="rId7068" Type="http://schemas.openxmlformats.org/officeDocument/2006/relationships/hyperlink" Target="https://fatalencounters.org/wp-content/uploads/2019/12/frederick-atkin.jpg" TargetMode="External"/><Relationship Id="rId1506" Type="http://schemas.openxmlformats.org/officeDocument/2006/relationships/hyperlink" Target="http://www.chron.com/news/houston-texas/article/Two-persons-shot-dead-by-police-identified-6889325.php" TargetMode="External"/><Relationship Id="rId1920" Type="http://schemas.openxmlformats.org/officeDocument/2006/relationships/hyperlink" Target="http://www.citizen-times.com/story/news/local/2016/07/07/chief-addresses-community-concerns-wake-shooting/86743940/" TargetMode="External"/><Relationship Id="rId3678" Type="http://schemas.openxmlformats.org/officeDocument/2006/relationships/hyperlink" Target="http://www.wmtw.com/article/man-dead-following-police-involved-shooting-in-waldoboro/8624870" TargetMode="External"/><Relationship Id="rId4729" Type="http://schemas.openxmlformats.org/officeDocument/2006/relationships/hyperlink" Target="http://abc7.com/suspected-dui-driver-shot-dead-by-deputies-in-jurupa-valley-/3557770/" TargetMode="External"/><Relationship Id="rId6084" Type="http://schemas.openxmlformats.org/officeDocument/2006/relationships/hyperlink" Target="https://www.fatalencounters.org/wp-content/uploads/2019/04/Harold-Vincent-Robinson.jpg" TargetMode="External"/><Relationship Id="rId7135" Type="http://schemas.openxmlformats.org/officeDocument/2006/relationships/hyperlink" Target="http://losangeles.cbslocal.com/2013/03/16/san-bernardino-county-sheriffs-kill-man-they-allege-tried-to-run-them-down-with-big-rig/" TargetMode="External"/><Relationship Id="rId599" Type="http://schemas.openxmlformats.org/officeDocument/2006/relationships/hyperlink" Target="http://www.killedbypolice.net/victims/150957.jpg" TargetMode="External"/><Relationship Id="rId2694" Type="http://schemas.openxmlformats.org/officeDocument/2006/relationships/hyperlink" Target="http://www.fatalencounters.org/wp-content/uploads/2013/10/David-Thomas-Jones.png" TargetMode="External"/><Relationship Id="rId3745" Type="http://schemas.openxmlformats.org/officeDocument/2006/relationships/hyperlink" Target="http://www.kfyrtv.com/content/news/Man-killed-in-officer-involved-shooting-on-Standing-Rock-Reservation-453136573.html" TargetMode="External"/><Relationship Id="rId6151" Type="http://schemas.openxmlformats.org/officeDocument/2006/relationships/hyperlink" Target="https://www.greatfallstribune.com/story/news/2019/04/24/kevin-shooting-victim-homicide-suspect-idd-toole-county-sheriffs-office-shelby-montana/3564578002/" TargetMode="External"/><Relationship Id="rId7202" Type="http://schemas.openxmlformats.org/officeDocument/2006/relationships/hyperlink" Target="http://thedailyreview.com/news/man-sought-in-county-killed-maher-failed-to-show-up-at-march-sentencing-shot-in-oklahoma-1.1484838" TargetMode="External"/><Relationship Id="rId666" Type="http://schemas.openxmlformats.org/officeDocument/2006/relationships/hyperlink" Target="http://www.killedbypolice.net/victims/150996.jpg" TargetMode="External"/><Relationship Id="rId1296" Type="http://schemas.openxmlformats.org/officeDocument/2006/relationships/hyperlink" Target="http://www.bigcountryhomepage.com/news/breaking-news/murder-suspect-shot-by-sweetwater-police-officer-has-died" TargetMode="External"/><Relationship Id="rId2347" Type="http://schemas.openxmlformats.org/officeDocument/2006/relationships/hyperlink" Target="http://www.desertsun.com/story/news/crime_courts/2016/11/04/palm-springs-police-shooting/93304396/" TargetMode="External"/><Relationship Id="rId319" Type="http://schemas.openxmlformats.org/officeDocument/2006/relationships/hyperlink" Target="http://www.wesh.com/image/view/-/30418970/medRes/2/-/maxh/220/maxw/220/-/o2mpgg/-/Quinten-Jamal-Smith-jpg.jpg" TargetMode="External"/><Relationship Id="rId1363" Type="http://schemas.openxmlformats.org/officeDocument/2006/relationships/hyperlink" Target="http://www.sacbee.com/news/local/crime/article58084653.html" TargetMode="External"/><Relationship Id="rId2761" Type="http://schemas.openxmlformats.org/officeDocument/2006/relationships/hyperlink" Target="http://nbc4i.com/2017/04/06/columbus-police-involved-in-reported-shooting-at-mt-carmel-st-anns/" TargetMode="External"/><Relationship Id="rId3812" Type="http://schemas.openxmlformats.org/officeDocument/2006/relationships/hyperlink" Target="http://www.mdjonline.com/news/year-old-east-cobb-woman-killed-by-police/article_81652200-c412-11e7-832c-eb56d72b6353.html" TargetMode="External"/><Relationship Id="rId6968" Type="http://schemas.openxmlformats.org/officeDocument/2006/relationships/hyperlink" Target="https://www.thenewstribune.com/news/local/crime/article236991269.html" TargetMode="External"/><Relationship Id="rId733" Type="http://schemas.openxmlformats.org/officeDocument/2006/relationships/hyperlink" Target="http://www.kansas.com/news/local/crime/r08yss/picture32105475/ALTERNATES/FREE_320/Nicholas%20Garner%201" TargetMode="External"/><Relationship Id="rId1016" Type="http://schemas.openxmlformats.org/officeDocument/2006/relationships/hyperlink" Target="http://www.democratandchronicle.com/story/news/2015/05/31/police-holding-press-briefing-tremont-st-incident/28263079/" TargetMode="External"/><Relationship Id="rId2414" Type="http://schemas.openxmlformats.org/officeDocument/2006/relationships/hyperlink" Target="http://www.ksat.com/news/standoff-ends-with-man-killed-in-officer-involved-shooting" TargetMode="External"/><Relationship Id="rId5984" Type="http://schemas.openxmlformats.org/officeDocument/2006/relationships/hyperlink" Target="https://www.news4jax.com/news/local/jacksonville/police-investigation-at-gate-gas-station-on-emerson" TargetMode="External"/><Relationship Id="rId800" Type="http://schemas.openxmlformats.org/officeDocument/2006/relationships/hyperlink" Target="http://www.startribune.com/man-shot-in-gunfire-exchange-with-officers-in-north-carolina/322391871/" TargetMode="External"/><Relationship Id="rId1430" Type="http://schemas.openxmlformats.org/officeDocument/2006/relationships/hyperlink" Target="http://www.star-telegram.com/news/local/community/northeast-tarrant/article63564422.html" TargetMode="External"/><Relationship Id="rId4586" Type="http://schemas.openxmlformats.org/officeDocument/2006/relationships/hyperlink" Target="https://www.ajc.com/news/crime--law/woman-dies-after-officer-involved-shooting-johns-creek/XLNOHy21kHFHb25CXozk3I/" TargetMode="External"/><Relationship Id="rId5637" Type="http://schemas.openxmlformats.org/officeDocument/2006/relationships/hyperlink" Target="https://www.arklatexhomepage.com/news/local-news/lsp-investigate-officer-involved-fatal-shooting/1260606360" TargetMode="External"/><Relationship Id="rId3188" Type="http://schemas.openxmlformats.org/officeDocument/2006/relationships/hyperlink" Target="http://www.wsbtv.com/news/local/cobb-county/fight-at-sweet-16-birthday-party-sparks-officer-involved-shooting/527142936" TargetMode="External"/><Relationship Id="rId4239" Type="http://schemas.openxmlformats.org/officeDocument/2006/relationships/hyperlink" Target="http://www.fatalencounters.org/wp-content/uploads/2018/02/mark-daniels.jpg" TargetMode="External"/><Relationship Id="rId4653" Type="http://schemas.openxmlformats.org/officeDocument/2006/relationships/hyperlink" Target="https://www.fatalencounters.org/wp-content/uploads/2018/05/Marcus-David-L.-Peters.jpg" TargetMode="External"/><Relationship Id="rId5704" Type="http://schemas.openxmlformats.org/officeDocument/2006/relationships/hyperlink" Target="https://gazette.com/news/man-dead-after-officer-involved-shooting-near-motor-city-in/article_c7d787c4-1672-11e9-a5f3-97bd2d409f58.html" TargetMode="External"/><Relationship Id="rId3255" Type="http://schemas.openxmlformats.org/officeDocument/2006/relationships/hyperlink" Target="http://www.fatalencounters.org/wp-content/uploads/2013/10/Spencer-James-Hight.jpg" TargetMode="External"/><Relationship Id="rId4306" Type="http://schemas.openxmlformats.org/officeDocument/2006/relationships/hyperlink" Target="http://www.fatalencounters.org/wp-content/uploads/2018/03/Erik-Christopher-Dunham.jpg" TargetMode="External"/><Relationship Id="rId4720" Type="http://schemas.openxmlformats.org/officeDocument/2006/relationships/hyperlink" Target="http://ktla.com/2018/06/01/person-brandishing-knife-near-torrance-gym-fatally-shot-by-police-officials-say/" TargetMode="External"/><Relationship Id="rId176" Type="http://schemas.openxmlformats.org/officeDocument/2006/relationships/hyperlink" Target="http://www.thelevisalazer.com/news/local-news/11484-louisa-man-dies-after-being-tasered-by-police-during-arrest.html" TargetMode="External"/><Relationship Id="rId590" Type="http://schemas.openxmlformats.org/officeDocument/2006/relationships/hyperlink" Target="http://www.killedbypolice.net/victims/150970.jpg" TargetMode="External"/><Relationship Id="rId2271" Type="http://schemas.openxmlformats.org/officeDocument/2006/relationships/hyperlink" Target="http://www.latimes.com/local/lanow/la-me-ln-san-francisco-police-shooting-suspect-dies-20161017-snap-story.html" TargetMode="External"/><Relationship Id="rId3322" Type="http://schemas.openxmlformats.org/officeDocument/2006/relationships/hyperlink" Target="http://www.fatalencounters.org/wp-content/uploads/2013/10/Brian-Skinner.png" TargetMode="External"/><Relationship Id="rId6478" Type="http://schemas.openxmlformats.org/officeDocument/2006/relationships/hyperlink" Target="https://www.wave3.com/2019/07/10/dead-officer-involved-shooting-powell-county/" TargetMode="External"/><Relationship Id="rId243" Type="http://schemas.openxmlformats.org/officeDocument/2006/relationships/hyperlink" Target="http://www.presstelegram.com/general-news/20150424/police-no-weapon-found-at-scene-of-officer-involved-shooting-in-long-beach-thursday" TargetMode="External"/><Relationship Id="rId5494" Type="http://schemas.openxmlformats.org/officeDocument/2006/relationships/hyperlink" Target="https://fox2now.com/2018/12/06/st-louis-police-identify-two-men-killed-in-shootout-chase/" TargetMode="External"/><Relationship Id="rId6892" Type="http://schemas.openxmlformats.org/officeDocument/2006/relationships/hyperlink" Target="https://nypost.com/2019/10/17/nypd-sergeant-fatally-shoots-man-in-the-bronx-cops/?utm_source=maropost&amp;utm_medium=email&amp;utm_campaign=nypevening&amp;utm_content=20191017&amp;tpcc=evening_update&amp;mpweb=755-8332139-720226743" TargetMode="External"/><Relationship Id="rId310" Type="http://schemas.openxmlformats.org/officeDocument/2006/relationships/hyperlink" Target="http://www.miamiherald.com/news/local/crime/2xyin4/picture5303859/ALTERNATES/FREE_960/Eric%20Tyrone%20Forbes.jpg" TargetMode="External"/><Relationship Id="rId4096" Type="http://schemas.openxmlformats.org/officeDocument/2006/relationships/hyperlink" Target="http://www.wbtv.com/story/37250065/cmpd-man-wanted-in-homicide-ambushes-police-shot-dead-at-headquarters" TargetMode="External"/><Relationship Id="rId5147" Type="http://schemas.openxmlformats.org/officeDocument/2006/relationships/hyperlink" Target="https://www.thecallnews.com/2018/09/07/citronelle-police-officers-and-satsuma-police-chief-involved-in-suspect-shooting/" TargetMode="External"/><Relationship Id="rId6545" Type="http://schemas.openxmlformats.org/officeDocument/2006/relationships/hyperlink" Target="https://www.wacotrib.com/news/police/fbi-man-dies-in-agent-involved-shooting-at-robinson-home/article_48879475-63d9-5bf9-945f-d1fc1b3f3842.html" TargetMode="External"/><Relationship Id="rId5561" Type="http://schemas.openxmlformats.org/officeDocument/2006/relationships/hyperlink" Target="https://www.sentinelcolorado.com/news/metro/aurora-chief-said-unstoppable-man-who-died-after-attacking-family-cops-was-one-of-the-most-violent-hed-ever-seen/" TargetMode="External"/><Relationship Id="rId6612" Type="http://schemas.openxmlformats.org/officeDocument/2006/relationships/hyperlink" Target="https://www.kshb.com/news/crime/kck-police-identify-suspect-killed-in-officer-involved-shooting" TargetMode="External"/><Relationship Id="rId1757" Type="http://schemas.openxmlformats.org/officeDocument/2006/relationships/hyperlink" Target="http://minnesota.cbslocal.com/2016/05/27/sp-ois-id/" TargetMode="External"/><Relationship Id="rId2808" Type="http://schemas.openxmlformats.org/officeDocument/2006/relationships/hyperlink" Target="http://www.mysanantonio.com/news/article/One-woman-one-suspect-dead-in-officer-involved-10950338.php" TargetMode="External"/><Relationship Id="rId4163" Type="http://schemas.openxmlformats.org/officeDocument/2006/relationships/hyperlink" Target="http://www.kens5.com/news/crime/sapddd-investigating-officer-involved-shooting-on-north-side/511601973" TargetMode="External"/><Relationship Id="rId5214" Type="http://schemas.openxmlformats.org/officeDocument/2006/relationships/hyperlink" Target="https://www.fatalencounters.org/wp-content/uploads/2018/10/AllanTravers.jpeg" TargetMode="External"/><Relationship Id="rId49" Type="http://schemas.openxmlformats.org/officeDocument/2006/relationships/hyperlink" Target="http://media.mlive.com/grpress/news_impact/photo/eugene-kailingjpg-1325419215b33c26.jpg" TargetMode="External"/><Relationship Id="rId1824" Type="http://schemas.openxmlformats.org/officeDocument/2006/relationships/hyperlink" Target="http://www.fatalencounters.org/wp-content/uploads/2013/10/frank-anthony-kelley.jpg" TargetMode="External"/><Relationship Id="rId4230" Type="http://schemas.openxmlformats.org/officeDocument/2006/relationships/hyperlink" Target="http://www.fatalencounters.org/wp-content/uploads/2018/02/Richardo-Colon.jpg" TargetMode="External"/><Relationship Id="rId7039" Type="http://schemas.openxmlformats.org/officeDocument/2006/relationships/hyperlink" Target="https://fatalencounters.org/wp-content/uploads/2019/12/John-Resetar.jpg" TargetMode="External"/><Relationship Id="rId2598" Type="http://schemas.openxmlformats.org/officeDocument/2006/relationships/hyperlink" Target="http://www.tulsaworld.com/news/crimewatch/officer-fires-at-shooting-suspect-who-pulls-gun-on-officer/article_fa9d352b-726d-5aeb-a434-441e14512c66.html" TargetMode="External"/><Relationship Id="rId3996" Type="http://schemas.openxmlformats.org/officeDocument/2006/relationships/hyperlink" Target="http://www.fatalencounters.org/wp-content/uploads/2013/10/Ahmed-Aminamin-El-Mofty.jpg" TargetMode="External"/><Relationship Id="rId6055" Type="http://schemas.openxmlformats.org/officeDocument/2006/relationships/hyperlink" Target="https://www.kezi.com/content/news/One-person-dead-two-officers-injured-in-shooting-507932501.html" TargetMode="External"/><Relationship Id="rId7106" Type="http://schemas.openxmlformats.org/officeDocument/2006/relationships/hyperlink" Target="http://wrbl.com/2017/05/18/police-officer-suspect-hit-by-vehicles-at-cusseta-road-and-25th-avenue-suspect-killed/" TargetMode="External"/><Relationship Id="rId3649" Type="http://schemas.openxmlformats.org/officeDocument/2006/relationships/hyperlink" Target="http://www.fatalencounters.org/wp-content/uploads/2013/10/Richard-Latimer.png" TargetMode="External"/><Relationship Id="rId5071" Type="http://schemas.openxmlformats.org/officeDocument/2006/relationships/hyperlink" Target="https://www.ajc.com/news/crime--law/breaking-officers-shoot-kill-man-after-pointed-gun-them-apd-says/PlPyt5WlNYzE50hhkNDQQN/" TargetMode="External"/><Relationship Id="rId6122" Type="http://schemas.openxmlformats.org/officeDocument/2006/relationships/hyperlink" Target="https://www.fatalencounters.org/wp-content/uploads/2019/04/BrianButts.jpg" TargetMode="External"/><Relationship Id="rId984" Type="http://schemas.openxmlformats.org/officeDocument/2006/relationships/hyperlink" Target="http://jacksonville.com/sites/default/files/imagecache/premium_415_wide_scale/Suspect_1.jpg" TargetMode="External"/><Relationship Id="rId2665" Type="http://schemas.openxmlformats.org/officeDocument/2006/relationships/hyperlink" Target="http://www.fatalencounters.org/wp-content/uploads/2013/10/Brian-Easley.jpg" TargetMode="External"/><Relationship Id="rId3716" Type="http://schemas.openxmlformats.org/officeDocument/2006/relationships/hyperlink" Target="http://wric.com/2017/10/18/officer-involved-shooting-investigation-underway-at-hampton-convenience-store/" TargetMode="External"/><Relationship Id="rId637" Type="http://schemas.openxmlformats.org/officeDocument/2006/relationships/hyperlink" Target="http://www.killedbypolice.net/victims/151061.jpg" TargetMode="External"/><Relationship Id="rId1267" Type="http://schemas.openxmlformats.org/officeDocument/2006/relationships/hyperlink" Target="https://cbsdallas.files.wordpress.com/2016/02/watson-david-glen-cid-0617788.jpg?w=600&amp;h=750" TargetMode="External"/><Relationship Id="rId1681" Type="http://schemas.openxmlformats.org/officeDocument/2006/relationships/hyperlink" Target="http://www.presstelegram.com/general-news/20160507/fatal-officer-involved-shooting-investigated-in-south-wrigley-area-of-long-beach" TargetMode="External"/><Relationship Id="rId2318" Type="http://schemas.openxmlformats.org/officeDocument/2006/relationships/hyperlink" Target="http://www.kare11.com/news/man-shot-and-killed-by-police-in-western-minn/344029754" TargetMode="External"/><Relationship Id="rId2732" Type="http://schemas.openxmlformats.org/officeDocument/2006/relationships/hyperlink" Target="http://woodtv.com/2017/05/03/grand-rapids-police-respond-to-officer-involved-shooting/" TargetMode="External"/><Relationship Id="rId5888" Type="http://schemas.openxmlformats.org/officeDocument/2006/relationships/hyperlink" Target="https://www.fatalencounters.org/wp-content/uploads/2019/02/kasim-kahrim.jpg" TargetMode="External"/><Relationship Id="rId6939" Type="http://schemas.openxmlformats.org/officeDocument/2006/relationships/hyperlink" Target="https://www.kcra.com/article/man-woman-killed-deputy-involved-shooting-carmichael/29602765" TargetMode="External"/><Relationship Id="rId704" Type="http://schemas.openxmlformats.org/officeDocument/2006/relationships/hyperlink" Target="http://www.mercurynews.com/crime-courts/ci_29098278/san-jose-authorities-identify-gunman-victim-deadly-cambrian" TargetMode="External"/><Relationship Id="rId1334" Type="http://schemas.openxmlformats.org/officeDocument/2006/relationships/hyperlink" Target="http://www.insidebayarea.com/breaking-news/ci_29403791/union-city-police-fatally-shoot-suspect-backyard-home" TargetMode="External"/><Relationship Id="rId5955" Type="http://schemas.openxmlformats.org/officeDocument/2006/relationships/hyperlink" Target="https://www.azfamily.com/news/pd-man-detained-after-officer-involved-shooting-in-east-phoenix/article_2969065c-42dd-11e9-ac68-df3eee4d0930.html" TargetMode="External"/><Relationship Id="rId40" Type="http://schemas.openxmlformats.org/officeDocument/2006/relationships/hyperlink" Target="http://www.click2houston.com/news/hpd-investigating-after-possible-incustody-death-in-southeast-houston/34238632" TargetMode="External"/><Relationship Id="rId1401" Type="http://schemas.openxmlformats.org/officeDocument/2006/relationships/hyperlink" Target="http://www.latimes.com/local/lanow/la-me-ln-police-shooting-santa-ana-two-dead-20160218-story.html" TargetMode="External"/><Relationship Id="rId4557" Type="http://schemas.openxmlformats.org/officeDocument/2006/relationships/hyperlink" Target="http://www.11alive.com/article/news/local/douglasville/man-claims-hes-poisoned-at-sheriffs-office-stabs-deputy-after-calling-911/85-541915867" TargetMode="External"/><Relationship Id="rId5608" Type="http://schemas.openxmlformats.org/officeDocument/2006/relationships/hyperlink" Target="https://www.wsmv.com/news/man-killed-in-officer-involved-shooting-inside-tullahoma-walmart/article_6128e320-0b90-11e9-8e42-73398da530c0.html" TargetMode="External"/><Relationship Id="rId3159" Type="http://schemas.openxmlformats.org/officeDocument/2006/relationships/hyperlink" Target="http://www.azfamily.com/story/35879923/suspect-wounded-in-deputy-involved-shooting-in-goodyear" TargetMode="External"/><Relationship Id="rId3573" Type="http://schemas.openxmlformats.org/officeDocument/2006/relationships/hyperlink" Target="http://www.kiro7.com/news/local/one-dead-in-officer-involved-shooting-at-fife-motel-6-parking-lot/502598856" TargetMode="External"/><Relationship Id="rId4971" Type="http://schemas.openxmlformats.org/officeDocument/2006/relationships/hyperlink" Target="https://www.wsav.com/top-stories/bystander-shot-in-savannah-during-officer-involved-shooting/1331134706" TargetMode="External"/><Relationship Id="rId7030" Type="http://schemas.openxmlformats.org/officeDocument/2006/relationships/hyperlink" Target="https://www.kold.com/2019/12/20/dps-involved-officer-involved-shooting-tempe/" TargetMode="External"/><Relationship Id="rId494" Type="http://schemas.openxmlformats.org/officeDocument/2006/relationships/hyperlink" Target="http://thenewsherald.com/articles/2014/02/28/news/doc5310a54ba9b5b176742526.txt" TargetMode="External"/><Relationship Id="rId2175" Type="http://schemas.openxmlformats.org/officeDocument/2006/relationships/hyperlink" Target="http://chicago.suntimes.com/news/man-fatally-shot-by-round-lake-police-officer/" TargetMode="External"/><Relationship Id="rId3226" Type="http://schemas.openxmlformats.org/officeDocument/2006/relationships/hyperlink" Target="http://www.northescambia.com/2017/04/suspect-shot-and-killed-by-escambia-deputy-in-cantonment" TargetMode="External"/><Relationship Id="rId4624" Type="http://schemas.openxmlformats.org/officeDocument/2006/relationships/hyperlink" Target="http://www.fatalencounters.org/wp-content/uploads/2018/05/Juan-Alberto-Silva.jpg" TargetMode="External"/><Relationship Id="rId147" Type="http://schemas.openxmlformats.org/officeDocument/2006/relationships/hyperlink" Target="http://www.ocregister.com/articles/shooting-665164-personnel-dispatchers.html" TargetMode="External"/><Relationship Id="rId1191" Type="http://schemas.openxmlformats.org/officeDocument/2006/relationships/hyperlink" Target="http://fox59.com/2015/09/10/officer-shot-in-hand-on-northwest-side/" TargetMode="External"/><Relationship Id="rId3640" Type="http://schemas.openxmlformats.org/officeDocument/2006/relationships/hyperlink" Target="http://www.news9.com/story/34477126/one-injured-after-officer-involved-shooting-in-bethany" TargetMode="External"/><Relationship Id="rId6796" Type="http://schemas.openxmlformats.org/officeDocument/2006/relationships/hyperlink" Target="https://www.myhighplains.com/news/oklahoma/29-year-old-man-dead-in-oklahoma-officer-involved-shooting/" TargetMode="External"/><Relationship Id="rId561" Type="http://schemas.openxmlformats.org/officeDocument/2006/relationships/hyperlink" Target="http://www.wsfa.com/story/22481859/selma-police-stunned-that-off-duty-officer-killed-two-then-self-over-the-weekend" TargetMode="External"/><Relationship Id="rId2242" Type="http://schemas.openxmlformats.org/officeDocument/2006/relationships/hyperlink" Target="http://wgxa.tv/news/local/man-killed-in-deputy-involved-shooting-in-macon" TargetMode="External"/><Relationship Id="rId5398" Type="http://schemas.openxmlformats.org/officeDocument/2006/relationships/hyperlink" Target="https://www.fatalencounters.org/wp-content/uploads/2018/11/Edward-M.-Walsh.jpg" TargetMode="External"/><Relationship Id="rId6449" Type="http://schemas.openxmlformats.org/officeDocument/2006/relationships/hyperlink" Target="https://www.desmoinesregister.com/story/news/crime-and-courts/2019/07/05/west-des-moines-police-fatal-shooting-domestic-officer-involved-jonathan-pingel-substance-abuse/1653380001/" TargetMode="External"/><Relationship Id="rId6863" Type="http://schemas.openxmlformats.org/officeDocument/2006/relationships/hyperlink" Target="https://fatalencounters.org/wp-content/uploads/2019/10/Sayven-Lane-Rowland.jpg" TargetMode="External"/><Relationship Id="rId214" Type="http://schemas.openxmlformats.org/officeDocument/2006/relationships/hyperlink" Target="http://www.wsoctv.com/news/news/local/police-investigate-officer-involved-shooting-wake-/nmBQL/" TargetMode="External"/><Relationship Id="rId5465" Type="http://schemas.openxmlformats.org/officeDocument/2006/relationships/hyperlink" Target="https://www.cjonline.com/news/20181129/topeka-police-locate-one-of-two-women-being-sought-in-fatal-police-shooting" TargetMode="External"/><Relationship Id="rId6516" Type="http://schemas.openxmlformats.org/officeDocument/2006/relationships/hyperlink" Target="https://fatalencounters.org/wp-content/uploads/2019/07/LeoBrooks.jpg" TargetMode="External"/><Relationship Id="rId6930" Type="http://schemas.openxmlformats.org/officeDocument/2006/relationships/hyperlink" Target="https://www.krqe.com/top-stories/police-activity-reported-near-menaul-carlisle/" TargetMode="External"/><Relationship Id="rId4067" Type="http://schemas.openxmlformats.org/officeDocument/2006/relationships/hyperlink" Target="http://www.fatalencounters.org/wp-content/uploads/2018/01/john-bailon.jpg" TargetMode="External"/><Relationship Id="rId4481" Type="http://schemas.openxmlformats.org/officeDocument/2006/relationships/hyperlink" Target="http://www.wbaltv.com/article/us-park-police-officer-wife-dead-in-murder-suicide/19703719" TargetMode="External"/><Relationship Id="rId5118" Type="http://schemas.openxmlformats.org/officeDocument/2006/relationships/hyperlink" Target="https://www.thedenverchannel.com/news/crime/suspect-shot-and-killed-by-douglas-county-deputies-following-traffic-stop-on-highway-85" TargetMode="External"/><Relationship Id="rId5532" Type="http://schemas.openxmlformats.org/officeDocument/2006/relationships/hyperlink" Target="https://www.mytwintiers.com/news/local-news/buffalo-police-identify-deceased-suspect-and-officer-involved-in-deadly-shooting/1656896792" TargetMode="External"/><Relationship Id="rId3083" Type="http://schemas.openxmlformats.org/officeDocument/2006/relationships/hyperlink" Target="http://www.fatalencounters.org/wp-content/uploads/2013/10/Jose-Nieves.png" TargetMode="External"/><Relationship Id="rId4134" Type="http://schemas.openxmlformats.org/officeDocument/2006/relationships/hyperlink" Target="http://www.fatalencounters.org/wp-content/uploads/2018/01/John-Albers.png" TargetMode="External"/><Relationship Id="rId1728" Type="http://schemas.openxmlformats.org/officeDocument/2006/relationships/hyperlink" Target="http://www.fatalencounters.org/wp-content/uploads/2013/10/Ide.jpg" TargetMode="External"/><Relationship Id="rId3150" Type="http://schemas.openxmlformats.org/officeDocument/2006/relationships/hyperlink" Target="http://www.kspr.com/content/news/435579933.html" TargetMode="External"/><Relationship Id="rId4201" Type="http://schemas.openxmlformats.org/officeDocument/2006/relationships/hyperlink" Target="http://www.cbs46.com/story/37405599/gbi-investigating-fatal-officer-involved-shooting-in-rabun-county" TargetMode="External"/><Relationship Id="rId3967" Type="http://schemas.openxmlformats.org/officeDocument/2006/relationships/hyperlink" Target="http://www.fatalencounters.org/wp-content/uploads/2013/10/Zoe-Dowdell.png" TargetMode="External"/><Relationship Id="rId6373" Type="http://schemas.openxmlformats.org/officeDocument/2006/relationships/hyperlink" Target="https://www.click2houston.com/news/man-shot-killed-after-reported-hostage-situation-at-pearland-dairy-queen-police-say" TargetMode="External"/><Relationship Id="rId4" Type="http://schemas.openxmlformats.org/officeDocument/2006/relationships/hyperlink" Target="http://www.killedbypolice.net/victims/150911.jpg" TargetMode="External"/><Relationship Id="rId888" Type="http://schemas.openxmlformats.org/officeDocument/2006/relationships/hyperlink" Target="http://www.pe.com/articles/activity-780802-police-freeway.html" TargetMode="External"/><Relationship Id="rId2569" Type="http://schemas.openxmlformats.org/officeDocument/2006/relationships/hyperlink" Target="http://kfor.com/2016/12/21/one-man-killed-another-injured-in-ponca-city-shooting/" TargetMode="External"/><Relationship Id="rId2983" Type="http://schemas.openxmlformats.org/officeDocument/2006/relationships/hyperlink" Target="https://kdminer.com/news/2017/may/14/police-action-andy-devine-avenue-and-interstate-40/" TargetMode="External"/><Relationship Id="rId6026" Type="http://schemas.openxmlformats.org/officeDocument/2006/relationships/hyperlink" Target="https://www.stltoday.com/news/local/crime-and-courts/armed-man-killed-by-officer-in-st-louis-had-just/article_89041f98-55bf-53ce-b050-3d580d86fd4f.html" TargetMode="External"/><Relationship Id="rId6440" Type="http://schemas.openxmlformats.org/officeDocument/2006/relationships/hyperlink" Target="https://fatalencounters.org/wp-content/uploads/2019/09/Jeffrey-Philip-Krueger.jpg" TargetMode="External"/><Relationship Id="rId955" Type="http://schemas.openxmlformats.org/officeDocument/2006/relationships/hyperlink" Target="http://www.kxii.com/home/headlines/Officer-involved-shooting-in-Healdton-361681811.html" TargetMode="External"/><Relationship Id="rId1585" Type="http://schemas.openxmlformats.org/officeDocument/2006/relationships/hyperlink" Target="http://www.brownsvilleherald.com/news/texas/article_cd4e572b-f2e1-507e-b563-700c2c6893af.html" TargetMode="External"/><Relationship Id="rId2636" Type="http://schemas.openxmlformats.org/officeDocument/2006/relationships/hyperlink" Target="http://www.fatalencounters.org/wp-content/uploads/2013/10/Eugene-Nelson.jpg" TargetMode="External"/><Relationship Id="rId5042" Type="http://schemas.openxmlformats.org/officeDocument/2006/relationships/hyperlink" Target="https://www.theadvocate.com/baton_rouge/news/crime_police/article_d4888b0c-9ca2-11e8-9362-570b0f757205.html" TargetMode="External"/><Relationship Id="rId608" Type="http://schemas.openxmlformats.org/officeDocument/2006/relationships/hyperlink" Target="http://www.killedbypolice.net/victims/150944.jpg" TargetMode="External"/><Relationship Id="rId1238" Type="http://schemas.openxmlformats.org/officeDocument/2006/relationships/hyperlink" Target="http://kusi.images.worldnow.com/images/9684589_G.jpg" TargetMode="External"/><Relationship Id="rId1652" Type="http://schemas.openxmlformats.org/officeDocument/2006/relationships/hyperlink" Target="http://www.gannett-cdn.com/-mm-/52c4e718188c0034b1145c348f906dda2c3db18b/c=0-51-1080-863&amp;r=x408&amp;c=540x405/local/-/media/2016/03/22/Burlington/Burlington/635942631525741703-12874328-10154006990181085-1278947929-o.jpg" TargetMode="External"/><Relationship Id="rId1305" Type="http://schemas.openxmlformats.org/officeDocument/2006/relationships/hyperlink" Target="http://www.santacruzsentinel.com/general-news/20160109/gbi-man-killed-after-pointing-gun-at-deputies" TargetMode="External"/><Relationship Id="rId2703" Type="http://schemas.openxmlformats.org/officeDocument/2006/relationships/hyperlink" Target="http://www.wral.com/after-burglary-call-man-killed-in-officer-involved-shooting-in-cary/16728709/" TargetMode="External"/><Relationship Id="rId5859" Type="http://schemas.openxmlformats.org/officeDocument/2006/relationships/hyperlink" Target="https://www.fatalencounters.org/wp-content/uploads/2019/02/Mark-Morasky.jpg" TargetMode="External"/><Relationship Id="rId4875" Type="http://schemas.openxmlformats.org/officeDocument/2006/relationships/hyperlink" Target="https://www.fatalencounters.org/wp-content/uploads/2018/07/Eric-Hash.jpg" TargetMode="External"/><Relationship Id="rId5926" Type="http://schemas.openxmlformats.org/officeDocument/2006/relationships/hyperlink" Target="https://www.weau.com/content/news/Details-on-deadly-officer-involved-shooting-near-Augusta-506666251.html" TargetMode="External"/><Relationship Id="rId11" Type="http://schemas.openxmlformats.org/officeDocument/2006/relationships/hyperlink" Target="http://www.local10.com/news/man-killed-in-policeinvolved-shooting-in-sw-miamidade/35298042" TargetMode="External"/><Relationship Id="rId398" Type="http://schemas.openxmlformats.org/officeDocument/2006/relationships/hyperlink" Target="http://www.king5.com/story/news/local/seattle/2014/09/01/police-find-gun-arsenal-queen-anne-home-shooting/14946055/" TargetMode="External"/><Relationship Id="rId2079" Type="http://schemas.openxmlformats.org/officeDocument/2006/relationships/hyperlink" Target="http://www.fatalencounters.org/wp-content/uploads/2013/10/Sergio.jpg" TargetMode="External"/><Relationship Id="rId3477" Type="http://schemas.openxmlformats.org/officeDocument/2006/relationships/hyperlink" Target="http://www.nbcsandiego.com/news/local/Law-Enforcement-Activity-Northeast-of-Barona-Indian-Reservation-421924474.html" TargetMode="External"/><Relationship Id="rId3891" Type="http://schemas.openxmlformats.org/officeDocument/2006/relationships/hyperlink" Target="http://www.kctv5.com/story/36926489/lenexa-police-working-shooting-at-costco" TargetMode="External"/><Relationship Id="rId4528" Type="http://schemas.openxmlformats.org/officeDocument/2006/relationships/hyperlink" Target="http://www.koaa.com/story/37952534/officer-involved-shooting-in-trinidad" TargetMode="External"/><Relationship Id="rId4942" Type="http://schemas.openxmlformats.org/officeDocument/2006/relationships/hyperlink" Target="http://www.kktv.com/content/news/Fatal-shooting-in-eastern-El-Paso-County-488831351.html" TargetMode="External"/><Relationship Id="rId2493" Type="http://schemas.openxmlformats.org/officeDocument/2006/relationships/hyperlink" Target="http://www.fatalencounters.org/wp-content/uploads/2013/10/Murray2.jpg" TargetMode="External"/><Relationship Id="rId3544" Type="http://schemas.openxmlformats.org/officeDocument/2006/relationships/hyperlink" Target="http://www.wusa9.com/news/local/police-investigate-fatal-officer-involved-shooting-in-montgomery-village/426068530" TargetMode="External"/><Relationship Id="rId7001" Type="http://schemas.openxmlformats.org/officeDocument/2006/relationships/hyperlink" Target="https://www.kgun9.com/news/local-news/tucson-police-dealing-with-barricaded-subject" TargetMode="External"/><Relationship Id="rId465" Type="http://schemas.openxmlformats.org/officeDocument/2006/relationships/hyperlink" Target="http://www.natchezdemocrat.com/2014/04/25/man-dies-after-stun-gun-shock-state-agency-inspecting-acso-traffic-stop-death/" TargetMode="External"/><Relationship Id="rId1095" Type="http://schemas.openxmlformats.org/officeDocument/2006/relationships/hyperlink" Target="http://www.killedbypolice.net/victims/2797.jpg" TargetMode="External"/><Relationship Id="rId2146" Type="http://schemas.openxmlformats.org/officeDocument/2006/relationships/hyperlink" Target="http://www.azcentral.com/story/news/local/phoenix-breaking/2016/08/28/phoenix-police-id-man-shot-killed-after-pointing-gun-officer/89508198/" TargetMode="External"/><Relationship Id="rId2560" Type="http://schemas.openxmlformats.org/officeDocument/2006/relationships/hyperlink" Target="http://www.al.com/news/anniston-gadsden/index.ssf/2016/12/woman_dead_man_shot_by_police.html" TargetMode="External"/><Relationship Id="rId3611" Type="http://schemas.openxmlformats.org/officeDocument/2006/relationships/hyperlink" Target="http://www.fatalencounters.org/wp-content/uploads/2013/10/Jason-Fanning.jpg" TargetMode="External"/><Relationship Id="rId6767" Type="http://schemas.openxmlformats.org/officeDocument/2006/relationships/hyperlink" Target="https://wcyb.com/news/local/tbi-suspect-dead-fired-at-officers-first-in-elizabethton-shooting" TargetMode="External"/><Relationship Id="rId118" Type="http://schemas.openxmlformats.org/officeDocument/2006/relationships/hyperlink" Target="http://www.montgomeryadvertiser.com/story/news/local/progress/2015/06/18/sbi-investigate-officer-involved-shooting/28954689/" TargetMode="External"/><Relationship Id="rId532" Type="http://schemas.openxmlformats.org/officeDocument/2006/relationships/hyperlink" Target="http://pgpolice.blogspot.com/2013/10/pgpd-investigates-police-involved.html" TargetMode="External"/><Relationship Id="rId1162" Type="http://schemas.openxmlformats.org/officeDocument/2006/relationships/hyperlink" Target="http://abc7.com/news/armed-woman-shot-by-police-in-crenshaw-district/925223/" TargetMode="External"/><Relationship Id="rId2213" Type="http://schemas.openxmlformats.org/officeDocument/2006/relationships/hyperlink" Target="http://www.fatalencounters.org/wp-content/uploads/2013/10/Reginald-Thomas-Jr..jpg" TargetMode="External"/><Relationship Id="rId5369" Type="http://schemas.openxmlformats.org/officeDocument/2006/relationships/hyperlink" Target="https://abcnews4.com/news/local/sheriffs-deputies-shoot-kill-man-approaching-them-with-ax-11-06-2018" TargetMode="External"/><Relationship Id="rId5783" Type="http://schemas.openxmlformats.org/officeDocument/2006/relationships/hyperlink" Target="https://www.fatalencounters.org/wp-content/uploads/2019/02/Joey-Duane-Ramirez.jpg" TargetMode="External"/><Relationship Id="rId4385" Type="http://schemas.openxmlformats.org/officeDocument/2006/relationships/hyperlink" Target="https://www.knoxnews.com/story/news/2018/03/16/tbi-investigates-officer-involved-shooting-jonesborough-one-two-state-friday/433894002/" TargetMode="External"/><Relationship Id="rId5436" Type="http://schemas.openxmlformats.org/officeDocument/2006/relationships/hyperlink" Target="https://kstp.com/news/bca-identifies-officers-stillwater-shooting/5153301/?cat=1&amp;fbclid=IwAR1waGvoXuoW1CyrvDI0VkmjU8wrnhREMw3bBoD7hGiEtmIIvMvcqP9gix0" TargetMode="External"/><Relationship Id="rId6834" Type="http://schemas.openxmlformats.org/officeDocument/2006/relationships/hyperlink" Target="https://fatalencounters.org/wp-content/uploads/2019/10/Roy-Tucker.jpg" TargetMode="External"/><Relationship Id="rId1979" Type="http://schemas.openxmlformats.org/officeDocument/2006/relationships/hyperlink" Target="http://www.wafb.com/story/32463160/baton-rouge-police-respond-to-report-of-officers-down?clienttype=generic&amp;sf31129941=2" TargetMode="External"/><Relationship Id="rId4038" Type="http://schemas.openxmlformats.org/officeDocument/2006/relationships/hyperlink" Target="http://abc7news.com/redwood-city-police-investigating-deadly-officer-involved-shooting/2842453/" TargetMode="External"/><Relationship Id="rId5850" Type="http://schemas.openxmlformats.org/officeDocument/2006/relationships/hyperlink" Target="https://www.fatalencounters.org/wp-content/uploads/2019/02/Johnny-Carnell-Mathis.jpg" TargetMode="External"/><Relationship Id="rId6901" Type="http://schemas.openxmlformats.org/officeDocument/2006/relationships/hyperlink" Target="https://fatalencounters.org/wp-content/uploads/2019/10/Ronald-Dale-McLemore.jpg" TargetMode="External"/><Relationship Id="rId3054" Type="http://schemas.openxmlformats.org/officeDocument/2006/relationships/hyperlink" Target="http://www.charlotteobserver.com/news/local/article128920384.html" TargetMode="External"/><Relationship Id="rId4452" Type="http://schemas.openxmlformats.org/officeDocument/2006/relationships/hyperlink" Target="http://kfor.com/2018/03/31/police-respond-to-officer-involved-shooting-in-guthrie/" TargetMode="External"/><Relationship Id="rId5503" Type="http://schemas.openxmlformats.org/officeDocument/2006/relationships/hyperlink" Target="https://www.fox5vegas.com/news/nye-county-sheriff-s-office-identifies-suspect-killed-officer-involved/article_3042edd8-fa23-11e8-b525-37f7bc995e3f.html" TargetMode="External"/><Relationship Id="rId4105" Type="http://schemas.openxmlformats.org/officeDocument/2006/relationships/hyperlink" Target="https://www.newschannel5.com/news/portland-homicide-suspect-killed-in-kentucky" TargetMode="External"/><Relationship Id="rId2070" Type="http://schemas.openxmlformats.org/officeDocument/2006/relationships/hyperlink" Target="http://www.thestate.com/news/local/article94505672.html" TargetMode="External"/><Relationship Id="rId3121" Type="http://schemas.openxmlformats.org/officeDocument/2006/relationships/hyperlink" Target="http://www.pe.com/2017/09/02/beaumont-police-shoot-kill-domestic-violence-suspect/" TargetMode="External"/><Relationship Id="rId6277" Type="http://schemas.openxmlformats.org/officeDocument/2006/relationships/hyperlink" Target="https://www.khou.com/article/news/crime/armed-man-shot-killed-by-hpd-officers-on-houstons-southside/285-5b297289-9881-4aca-826c-227334597bf2?fbclid=IwAR0MySIgaQcJSZiMJu-QNiqH0VjGqRSWq1-7AmqAr29EiU_klHRnplKYkTw" TargetMode="External"/><Relationship Id="rId6691" Type="http://schemas.openxmlformats.org/officeDocument/2006/relationships/hyperlink" Target="https://fatalencounters.org/wp-content/uploads/2019/09/tyrone-banks.jpg" TargetMode="External"/><Relationship Id="rId2887" Type="http://schemas.openxmlformats.org/officeDocument/2006/relationships/hyperlink" Target="http://www.abc15.com/news/state/man-fires-at-arizona-state-trooper-during-traffic-stop-then-leads-officers-on-chase" TargetMode="External"/><Relationship Id="rId5293" Type="http://schemas.openxmlformats.org/officeDocument/2006/relationships/hyperlink" Target="http://www.wmcactionnews5.com/2018/10/17/shelby-county-deputy-shot-apartment-complex/" TargetMode="External"/><Relationship Id="rId6344" Type="http://schemas.openxmlformats.org/officeDocument/2006/relationships/hyperlink" Target="https://fatalencounters.org/wp-content/uploads/2019/08/Vincense-Williams.jpg" TargetMode="External"/><Relationship Id="rId859" Type="http://schemas.openxmlformats.org/officeDocument/2006/relationships/hyperlink" Target="http://www.mitchellrepublic.com/news/local/3832217-authorities-mitchell-man-fatally-shot-own-gun-police-officer" TargetMode="External"/><Relationship Id="rId1489" Type="http://schemas.openxmlformats.org/officeDocument/2006/relationships/hyperlink" Target="http://nbc4i.com/2016/02/07/cpd-suspect-killed-in-officer-involved-shooting/" TargetMode="External"/><Relationship Id="rId3938" Type="http://schemas.openxmlformats.org/officeDocument/2006/relationships/hyperlink" Target="http://www.tucsonnewsnow.com/story/37022262/authorities-respond-to-officer-involved-shooting-on-east-side" TargetMode="External"/><Relationship Id="rId5360" Type="http://schemas.openxmlformats.org/officeDocument/2006/relationships/hyperlink" Target="https://www.eastbaytimes.com/2018/11/04/sheriff-names-suspect-deputy-in-danville-officer-involved-shooting/" TargetMode="External"/><Relationship Id="rId6411" Type="http://schemas.openxmlformats.org/officeDocument/2006/relationships/hyperlink" Target="https://www.daily-jeff.com/news/20190626/sugarcreek-officer-injured-suspect-dead/3" TargetMode="External"/><Relationship Id="rId2954" Type="http://schemas.openxmlformats.org/officeDocument/2006/relationships/hyperlink" Target="http://ktla.com/2017/06/16/1-killed-in-rialto-officer-involved-shooting-police/" TargetMode="External"/><Relationship Id="rId5013" Type="http://schemas.openxmlformats.org/officeDocument/2006/relationships/hyperlink" Target="https://www.fatalencounters.org/wp-content/uploads/2018/08/John-Randolph.jpg" TargetMode="External"/><Relationship Id="rId926" Type="http://schemas.openxmlformats.org/officeDocument/2006/relationships/hyperlink" Target="http://www.pe.com/articles/shooting-782957-information-officer.html" TargetMode="External"/><Relationship Id="rId1556" Type="http://schemas.openxmlformats.org/officeDocument/2006/relationships/hyperlink" Target="http://www.newsherald.com/news/20160413/update-more-details-released-in-holmes-county-police-chase-fatal-shooting" TargetMode="External"/><Relationship Id="rId1970" Type="http://schemas.openxmlformats.org/officeDocument/2006/relationships/hyperlink" Target="http://www.wbaltv.com/news/police-involved-in-shooting-in-west-baltimore/40716923" TargetMode="External"/><Relationship Id="rId2607" Type="http://schemas.openxmlformats.org/officeDocument/2006/relationships/hyperlink" Target="https://www.theet.com/news/free/suspect-shot-after-firing-at-police-dies-other-suspects-in/article_1efa4521-c84a-5efc-9f37-c12667e40e4b.html" TargetMode="External"/><Relationship Id="rId7185" Type="http://schemas.openxmlformats.org/officeDocument/2006/relationships/hyperlink" Target="https://portal.ct.gov/DCJ/Whats-News/Reports-on-the-Use-of-Force-by-Peace-Officers/2013---April---Jonathan-Alvarado---Westbrook" TargetMode="External"/><Relationship Id="rId1209" Type="http://schemas.openxmlformats.org/officeDocument/2006/relationships/hyperlink" Target="http://www.dispatch.com/content/stories/local/2015/10/15/officer-kills-suspect-during-far-east-side-robbery.html" TargetMode="External"/><Relationship Id="rId1623" Type="http://schemas.openxmlformats.org/officeDocument/2006/relationships/hyperlink" Target="http://www.nbc12.com/story/31521884/hopewell-police-identify-man-killed-in-officer-involved-shooting" TargetMode="External"/><Relationship Id="rId4779" Type="http://schemas.openxmlformats.org/officeDocument/2006/relationships/hyperlink" Target="http://www.fox5vegas.com/story/38440216/suspect-shot-by-7-las-vegas-officers-in-northeast-valley-identified" TargetMode="External"/><Relationship Id="rId3795" Type="http://schemas.openxmlformats.org/officeDocument/2006/relationships/hyperlink" Target="http://www.fatalencounters.org/wp-content/uploads/2013/10/Michael-Wayne-Marin.jpg" TargetMode="External"/><Relationship Id="rId4846" Type="http://schemas.openxmlformats.org/officeDocument/2006/relationships/hyperlink" Target="https://losangeles.cbslocal.com/2018/06/29/campus-officer-fatally-stabbed-suspect-mortally-wounded/" TargetMode="External"/><Relationship Id="rId7252" Type="http://schemas.openxmlformats.org/officeDocument/2006/relationships/hyperlink" Target="http://www.examiner.net/article/20131208/NEWS/131209042" TargetMode="External"/><Relationship Id="rId2397" Type="http://schemas.openxmlformats.org/officeDocument/2006/relationships/hyperlink" Target="http://www.12news.com/news/local/arizona/casa-grande-man-with-machete-shot-killed-by-police/353965824" TargetMode="External"/><Relationship Id="rId3448" Type="http://schemas.openxmlformats.org/officeDocument/2006/relationships/hyperlink" Target="http://www.ktuu.com/content/news/Man-dies-after-shooting-in-Fairbanks-involving-law-enforcement-424487033.html" TargetMode="External"/><Relationship Id="rId3862" Type="http://schemas.openxmlformats.org/officeDocument/2006/relationships/hyperlink" Target="http://www.walb.com/story/36888057/prichard-police-officer-identified-in-deadly-officer-involved-shooting" TargetMode="External"/><Relationship Id="rId369" Type="http://schemas.openxmlformats.org/officeDocument/2006/relationships/hyperlink" Target="http://www.wsaz.com/home/headlines/Officers-Shoot-and-Kill-Suspect-During-Drug-Raid-in-Lawrence-County-Ohiog---281476761.html" TargetMode="External"/><Relationship Id="rId783" Type="http://schemas.openxmlformats.org/officeDocument/2006/relationships/hyperlink" Target="http://www.pe.com/articles/vallejo-776889-convicted-shot.html" TargetMode="External"/><Relationship Id="rId2464" Type="http://schemas.openxmlformats.org/officeDocument/2006/relationships/hyperlink" Target="http://www.fatalencounters.org/wp-content/uploads/2013/10/Jose-Noe-Barron-Gomez2.jpg" TargetMode="External"/><Relationship Id="rId3515" Type="http://schemas.openxmlformats.org/officeDocument/2006/relationships/hyperlink" Target="http://wkrn.com/2017/04/17/wife-says-husband-killed-in-officer-involved-shooting-was-shot-in-head/" TargetMode="External"/><Relationship Id="rId4913" Type="http://schemas.openxmlformats.org/officeDocument/2006/relationships/hyperlink" Target="http://thefacts.com/free_share/article_f8426fce-c1ff-53eb-baf4-3b48170a48ee.html" TargetMode="External"/><Relationship Id="rId436" Type="http://schemas.openxmlformats.org/officeDocument/2006/relationships/hyperlink" Target="http://www.nbcnews.com/storyline/vegas-cop-killers/police-fatally-shot-las-vegas-gunman-jerad-miller-during-gunfight-n128546" TargetMode="External"/><Relationship Id="rId1066" Type="http://schemas.openxmlformats.org/officeDocument/2006/relationships/hyperlink" Target="http://crimeblog.dallasnews.com/2015/02/live-video-dallas-police-on-the-scene-of-officer-involved-shooting-at-bonnie-view-and-i-20.html/" TargetMode="External"/><Relationship Id="rId1480" Type="http://schemas.openxmlformats.org/officeDocument/2006/relationships/hyperlink" Target="http://www.theoaklandpress.com/general-news/20160116/officer-shot-suspect-killed-in-southfield-standoff" TargetMode="External"/><Relationship Id="rId2117" Type="http://schemas.openxmlformats.org/officeDocument/2006/relationships/hyperlink" Target="http://www.fatalencounters.org/wp-content/uploads/2013/10/Daniel-Harris.jpg" TargetMode="External"/><Relationship Id="rId850" Type="http://schemas.openxmlformats.org/officeDocument/2006/relationships/hyperlink" Target="http://www.adn.com/article/20150910/troopers-identify-man-killed-shootout-police-fairbanks" TargetMode="External"/><Relationship Id="rId1133" Type="http://schemas.openxmlformats.org/officeDocument/2006/relationships/hyperlink" Target="http://philadelphia.cbslocal.com/2015/11/24/camden-county-prosecutor-investigating-fatal-shooting-involving-two-police-officers/" TargetMode="External"/><Relationship Id="rId2531" Type="http://schemas.openxmlformats.org/officeDocument/2006/relationships/hyperlink" Target="http://www.fatalencounters.org/wp-content/uploads/2013/10/Ryan-Joseph.jpg" TargetMode="External"/><Relationship Id="rId4289" Type="http://schemas.openxmlformats.org/officeDocument/2006/relationships/hyperlink" Target="http://kfor.com/2018/02/26/officer-fatally-shoots-man-with-knife-at-n-w-oklahoma-city-hotel/" TargetMode="External"/><Relationship Id="rId5687" Type="http://schemas.openxmlformats.org/officeDocument/2006/relationships/hyperlink" Target="https://www.kjrh.com/news/local-news/police-respond-to-reports-of-shots-fired-in-northeast-tulsa" TargetMode="External"/><Relationship Id="rId6738" Type="http://schemas.openxmlformats.org/officeDocument/2006/relationships/hyperlink" Target="https://fatalencounters.org/wp-content/uploads/2019/09/Bobby-Ray-Duckworth.jpg" TargetMode="External"/><Relationship Id="rId503" Type="http://schemas.openxmlformats.org/officeDocument/2006/relationships/hyperlink" Target="http://www.wtxl.com/news/update-officer-involved-shooting-at-taylor-county-car-dealership/article_a27a9ab0-8e83-11e3-8e81-0017a43b2370.html" TargetMode="External"/><Relationship Id="rId5754" Type="http://schemas.openxmlformats.org/officeDocument/2006/relationships/hyperlink" Target="https://www.tri-cityherald.com/news/local/crime/article224918815.html" TargetMode="External"/><Relationship Id="rId6805" Type="http://schemas.openxmlformats.org/officeDocument/2006/relationships/hyperlink" Target="https://www.fox8live.com/2019/09/26/man-killed-deputy-involved-shooting-lacomb/" TargetMode="External"/><Relationship Id="rId1200" Type="http://schemas.openxmlformats.org/officeDocument/2006/relationships/hyperlink" Target="http://www.sfgate.com/news/article/Man-shot-dead-by-deputies-in-San-Leandro-gun-6527763.php" TargetMode="External"/><Relationship Id="rId4356" Type="http://schemas.openxmlformats.org/officeDocument/2006/relationships/hyperlink" Target="http://www.fatalencounters.org/wp-content/uploads/2018/03/Juan-Garcia-Alvarez.jpg" TargetMode="External"/><Relationship Id="rId4770" Type="http://schemas.openxmlformats.org/officeDocument/2006/relationships/hyperlink" Target="http://www.klfy.com/top-stories/state-police-investigating-stun-gun-incident-involving-carencro-police/1247417218" TargetMode="External"/><Relationship Id="rId5407" Type="http://schemas.openxmlformats.org/officeDocument/2006/relationships/hyperlink" Target="https://www.wyff4.com/article/officer-shoots-man-with-knife-at-upstate-gas-station-sled-official-says/25086835" TargetMode="External"/><Relationship Id="rId5821" Type="http://schemas.openxmlformats.org/officeDocument/2006/relationships/hyperlink" Target="https://www.sbsun.com/2019/02/10/coroner-ids-man-shot-and-killed-in-confrontation-with-banning-officers/" TargetMode="External"/><Relationship Id="rId3372" Type="http://schemas.openxmlformats.org/officeDocument/2006/relationships/hyperlink" Target="http://www.fatalencounters.org/wp-content/uploads/2013/10/Tina-Renee-Medlin.jpg" TargetMode="External"/><Relationship Id="rId4009" Type="http://schemas.openxmlformats.org/officeDocument/2006/relationships/hyperlink" Target="http://www.sfgate.com/crime/article/Sonoma-County-detective-fatally-shoots-burglary-12450910.php" TargetMode="External"/><Relationship Id="rId4423" Type="http://schemas.openxmlformats.org/officeDocument/2006/relationships/hyperlink" Target="http://www.wjhl.com/local/investigation-following-chase-underway-in-big-stone-gap-va-one-person-in-custody/1080571363" TargetMode="External"/><Relationship Id="rId293" Type="http://schemas.openxmlformats.org/officeDocument/2006/relationships/hyperlink" Target="http://www.ksstradio.com/2015/03/09/texas-rangers-investigate-death-of-inmate/" TargetMode="External"/><Relationship Id="rId3025" Type="http://schemas.openxmlformats.org/officeDocument/2006/relationships/hyperlink" Target="http://www.standard.net/Police-Fire/2017/02/22/Ogden-police-shoot-kill-man-in-Junction-parking-garage.html" TargetMode="External"/><Relationship Id="rId6595" Type="http://schemas.openxmlformats.org/officeDocument/2006/relationships/hyperlink" Target="https://www.wboy.com/news/crime/suspect-dead-after-officer-involved-shooting-in-pocahontas-county-trooper-flown-to-hospital/" TargetMode="External"/><Relationship Id="rId360" Type="http://schemas.openxmlformats.org/officeDocument/2006/relationships/hyperlink" Target="http://www.wral.com/family-man-who-shot-fayetteville-officer-suffered-from-mental-illness/14200793/" TargetMode="External"/><Relationship Id="rId2041" Type="http://schemas.openxmlformats.org/officeDocument/2006/relationships/hyperlink" Target="http://www.fatalencounters.org/wp-content/uploads/2013/10/Demarco-Newman.jpg" TargetMode="External"/><Relationship Id="rId5197" Type="http://schemas.openxmlformats.org/officeDocument/2006/relationships/hyperlink" Target="https://www.lmtonline.com/local/article/League-City-Police-Department-releases-name-of-13245172.php" TargetMode="External"/><Relationship Id="rId6248" Type="http://schemas.openxmlformats.org/officeDocument/2006/relationships/hyperlink" Target="https://fatalencounters.org/wp-content/uploads/2019/05/Ronnie-Angelo-Churches.jpg" TargetMode="External"/><Relationship Id="rId5264" Type="http://schemas.openxmlformats.org/officeDocument/2006/relationships/hyperlink" Target="https://www.wvlt.tv/content/news/TBI-Officer-involved-shooting-in-Oak-Ridge-496042391.html" TargetMode="External"/><Relationship Id="rId6662" Type="http://schemas.openxmlformats.org/officeDocument/2006/relationships/hyperlink" Target="https://www.nbclosangeles.com/news/local/Suspect-Dead-After-Police-Pursuit-and-OIS-in-Westminster-557954041.html" TargetMode="External"/><Relationship Id="rId2858" Type="http://schemas.openxmlformats.org/officeDocument/2006/relationships/hyperlink" Target="http://www.fatalencounters.org/wp-content/uploads/2013/10/Arties-Manning-III.png" TargetMode="External"/><Relationship Id="rId3909" Type="http://schemas.openxmlformats.org/officeDocument/2006/relationships/hyperlink" Target="http://www.kq2.com/content/news/461100373.html" TargetMode="External"/><Relationship Id="rId6315" Type="http://schemas.openxmlformats.org/officeDocument/2006/relationships/hyperlink" Target="https://www.mlive.com/news/2019/06/man-allegedly-firing-a-gun-from-bicycle-dies-in-shootout-with-police-in-detroit.html" TargetMode="External"/><Relationship Id="rId99" Type="http://schemas.openxmlformats.org/officeDocument/2006/relationships/hyperlink" Target="http://www.kansas.com/news/local/article25221067.html" TargetMode="External"/><Relationship Id="rId1874" Type="http://schemas.openxmlformats.org/officeDocument/2006/relationships/hyperlink" Target="http://www.fatalencounters.org/wp-content/uploads/2013/10/Reado.jpg" TargetMode="External"/><Relationship Id="rId2925" Type="http://schemas.openxmlformats.org/officeDocument/2006/relationships/hyperlink" Target="http://www.fatalencounters.org/wp-content/uploads/2013/10/Jose-Cazares.jpg" TargetMode="External"/><Relationship Id="rId4280" Type="http://schemas.openxmlformats.org/officeDocument/2006/relationships/hyperlink" Target="http://www.fatalencounters.org/wp-content/uploads/2018/03/IanSagucio.jpg" TargetMode="External"/><Relationship Id="rId5331" Type="http://schemas.openxmlformats.org/officeDocument/2006/relationships/hyperlink" Target="https://www.argusleader.com/story/news/crime/2018/10/29/sioux-falls-man-dies-after-police-use-stun-gun-him-taser/1810084002/" TargetMode="External"/><Relationship Id="rId1527" Type="http://schemas.openxmlformats.org/officeDocument/2006/relationships/hyperlink" Target="http://www.fatalencounters.org/wp-content/uploads/2013/10/Allen.jpg" TargetMode="External"/><Relationship Id="rId1941" Type="http://schemas.openxmlformats.org/officeDocument/2006/relationships/hyperlink" Target="http://abcnews.go.com/US/man-minnesota-police-killed-traffic-stop/story?id=40402805" TargetMode="External"/><Relationship Id="rId7089" Type="http://schemas.openxmlformats.org/officeDocument/2006/relationships/hyperlink" Target="https://www.stltoday.com/news/local/crime-and-courts/officer-struck-by-car-before-shooting-and-killing-driver-at/article_648ca63f-4675-5ac3-8a4c-124dbb011b22.html" TargetMode="External"/><Relationship Id="rId3699" Type="http://schemas.openxmlformats.org/officeDocument/2006/relationships/hyperlink" Target="http://www.fatalencounters.org/wp-content/uploads/2013/10/Daniel-Scott-Giberson.png" TargetMode="External"/><Relationship Id="rId4000" Type="http://schemas.openxmlformats.org/officeDocument/2006/relationships/hyperlink" Target="http://www.localnews8.com/news/crime-tracker/bannock-county-sheriffs-office-investigates-standoff-shooting/676703844" TargetMode="External"/><Relationship Id="rId7156" Type="http://schemas.openxmlformats.org/officeDocument/2006/relationships/hyperlink" Target="http://www.koco.com/news/oklahomanews/around-oklahoma/OSBI-Wheelchair-bound-man-killed-in-Enid-officer-involved-shooting/19452472" TargetMode="External"/><Relationship Id="rId6172" Type="http://schemas.openxmlformats.org/officeDocument/2006/relationships/hyperlink" Target="https://pamplinmedia.com/pt/9-news/426816-333669-police-investigating-officer-involved-shooting" TargetMode="External"/><Relationship Id="rId7223" Type="http://schemas.openxmlformats.org/officeDocument/2006/relationships/hyperlink" Target="http://www.click2houston.com/news/hpd-officer-shoots-man-4-times/21743386" TargetMode="External"/><Relationship Id="rId687" Type="http://schemas.openxmlformats.org/officeDocument/2006/relationships/hyperlink" Target="http://www.wsbtv.com/news/news/local/gbi-investigates-deadly-officer-involved-shooting-/npR4n/" TargetMode="External"/><Relationship Id="rId2368" Type="http://schemas.openxmlformats.org/officeDocument/2006/relationships/hyperlink" Target="http://abc7.com/news/2-dead-including-gunman-2-others-injured-in-azusa-shooting-authorities-say/1596785/" TargetMode="External"/><Relationship Id="rId3766" Type="http://schemas.openxmlformats.org/officeDocument/2006/relationships/hyperlink" Target="http://www.localmemphis.com/news/local-news/officer-involved-standoff-shut-down-i-55-near-senatobia-in-como-mississippi/846965072" TargetMode="External"/><Relationship Id="rId4817" Type="http://schemas.openxmlformats.org/officeDocument/2006/relationships/hyperlink" Target="https://www.khon2.com/news/local-news/man-shot-killed-during-standoff-with-police-on-oahu-s-north-shore/1258707961" TargetMode="External"/><Relationship Id="rId2782" Type="http://schemas.openxmlformats.org/officeDocument/2006/relationships/hyperlink" Target="http://www.fatalencounters.org/wp-content/uploads/2013/10/PatrickGatson.jpg" TargetMode="External"/><Relationship Id="rId3419" Type="http://schemas.openxmlformats.org/officeDocument/2006/relationships/hyperlink" Target="http://www.coloradoan.com/story/news/2017/06/09/1-dead-loveland-police-involved-shooting/383405001/" TargetMode="External"/><Relationship Id="rId3833" Type="http://schemas.openxmlformats.org/officeDocument/2006/relationships/hyperlink" Target="http://www.denverpost.com/2017/11/10/officer-involved-shooting-downtown-denver/" TargetMode="External"/><Relationship Id="rId6989" Type="http://schemas.openxmlformats.org/officeDocument/2006/relationships/hyperlink" Target="https://www.khou.com/article/news/local/officials-league-city-pd-officer-shoots-man-after-being-attacked/285-29b40d30-2f1c-48e0-9242-18aaa61fb102" TargetMode="External"/><Relationship Id="rId754" Type="http://schemas.openxmlformats.org/officeDocument/2006/relationships/hyperlink" Target="http://www.killedbypolice.net/victims/150696.jpg" TargetMode="External"/><Relationship Id="rId1384" Type="http://schemas.openxmlformats.org/officeDocument/2006/relationships/hyperlink" Target="http://www.startribune.com/suspect-shot-dead-by-police-after-k-9-stabbed-in-roseville-altercation/368441451/" TargetMode="External"/><Relationship Id="rId2435" Type="http://schemas.openxmlformats.org/officeDocument/2006/relationships/hyperlink" Target="http://www.clarionledger.com/story/news/local/2016/11/25/injured-officer-involved-shooting-hub-city/94444704/" TargetMode="External"/><Relationship Id="rId3900" Type="http://schemas.openxmlformats.org/officeDocument/2006/relationships/hyperlink" Target="http://www.fatalencounters.org/wp-content/uploads/2013/10/Juan-Luis-Castro.jpg" TargetMode="External"/><Relationship Id="rId90" Type="http://schemas.openxmlformats.org/officeDocument/2006/relationships/hyperlink" Target="http://www.wyff4.com/news/police-man-killed-after-shootout-with-officers/33901040" TargetMode="External"/><Relationship Id="rId407" Type="http://schemas.openxmlformats.org/officeDocument/2006/relationships/hyperlink" Target="http://www.12newsnow.com/story/26251863/family-seeks-answers-after-police-release-unconscious-man-who-died-moments-later" TargetMode="External"/><Relationship Id="rId821" Type="http://schemas.openxmlformats.org/officeDocument/2006/relationships/hyperlink" Target="http://www.sltrib.com/home/2880568-155/police-west-jordan-man-dead-after" TargetMode="External"/><Relationship Id="rId1037" Type="http://schemas.openxmlformats.org/officeDocument/2006/relationships/hyperlink" Target="http://www.ajc.com/news/news/shots-fired-in-downtown-atlanta/nk6jp/" TargetMode="External"/><Relationship Id="rId1451" Type="http://schemas.openxmlformats.org/officeDocument/2006/relationships/hyperlink" Target="http://www.news-gazette.com/news/local/2016-03-12/suicidal-clinton-man-fatally-shot-police.html" TargetMode="External"/><Relationship Id="rId2502" Type="http://schemas.openxmlformats.org/officeDocument/2006/relationships/hyperlink" Target="http://www.fatalencounters.org/wp-content/uploads/2013/10/David-Scott-Winkler.jpg" TargetMode="External"/><Relationship Id="rId5658" Type="http://schemas.openxmlformats.org/officeDocument/2006/relationships/hyperlink" Target="https://www.fresnobee.com/news/local/crime/article223906055.html" TargetMode="External"/><Relationship Id="rId6709" Type="http://schemas.openxmlformats.org/officeDocument/2006/relationships/hyperlink" Target="https://news4sanantonio.com/news/local/teenager-shot-killed-by-kerrville-pd-for-allegedly-threatening-officer-with-knife-idd" TargetMode="External"/><Relationship Id="rId1104" Type="http://schemas.openxmlformats.org/officeDocument/2006/relationships/hyperlink" Target="http://www.ledger-enquirer.com/news/article42133281.html" TargetMode="External"/><Relationship Id="rId4674" Type="http://schemas.openxmlformats.org/officeDocument/2006/relationships/hyperlink" Target="http://www.nbc4i.com/news/local-news/columbus-police-identify-man-killed-in-officer-involved-shooting-during-swat-standoff/1190754850" TargetMode="External"/><Relationship Id="rId5725" Type="http://schemas.openxmlformats.org/officeDocument/2006/relationships/hyperlink" Target="https://www.fatalencounters.org/wp-content/uploads/2019/01/Stephen-Stepanski.jpg" TargetMode="External"/><Relationship Id="rId7080" Type="http://schemas.openxmlformats.org/officeDocument/2006/relationships/hyperlink" Target="https://www.argusleader.com/story/news/crime/2019/12/30/2-dead-rapid-city-officer-involved-shooting/2774218001/" TargetMode="External"/><Relationship Id="rId3276" Type="http://schemas.openxmlformats.org/officeDocument/2006/relationships/hyperlink" Target="http://www.sun-sentinel.com/local/broward/sunrise/fl-sb-sunrise-police-shooting-20170826-story.html" TargetMode="External"/><Relationship Id="rId3690" Type="http://schemas.openxmlformats.org/officeDocument/2006/relationships/hyperlink" Target="http://www.statesman.com/news/local/man-with-rifle-killed-police-shooting-outside-northwest-austin-church/Mt0ow5WaNrRpybpEmnqa8N/" TargetMode="External"/><Relationship Id="rId4327" Type="http://schemas.openxmlformats.org/officeDocument/2006/relationships/hyperlink" Target="http://brooklyn.news12.com/story/37655376/off-duty-officer-fatally-shoots-robbery-suspect-in-canarsie" TargetMode="External"/><Relationship Id="rId197" Type="http://schemas.openxmlformats.org/officeDocument/2006/relationships/hyperlink" Target="http://www.newsnet5.com/news/local-news/oh-summit/summit-county-sheriffs-deputy-fatally-shoots-man-with-knife-in-green" TargetMode="External"/><Relationship Id="rId2292" Type="http://schemas.openxmlformats.org/officeDocument/2006/relationships/hyperlink" Target="http://www.fatalencounters.org/wp-content/uploads/2013/10/William-H.-Frost-Jr..jpg" TargetMode="External"/><Relationship Id="rId3343" Type="http://schemas.openxmlformats.org/officeDocument/2006/relationships/hyperlink" Target="http://www.cbs46.com/story/35943824/gbi-detective-shoots-kills-man-on-his-property" TargetMode="External"/><Relationship Id="rId4741" Type="http://schemas.openxmlformats.org/officeDocument/2006/relationships/hyperlink" Target="https://www.lagrangenews.com/2018/06/06/man-killed-after-firing-guns-at-lpd-sheriffs-deputies/" TargetMode="External"/><Relationship Id="rId6499" Type="http://schemas.openxmlformats.org/officeDocument/2006/relationships/hyperlink" Target="https://fatalencounters.org/wp-content/uploads/2019/07/Ashanti-Pinkney.jpg" TargetMode="External"/><Relationship Id="rId264" Type="http://schemas.openxmlformats.org/officeDocument/2006/relationships/hyperlink" Target="http://fox2now.com/2015/04/14/man-identified-in-alton-officer-involved-shooting/" TargetMode="External"/><Relationship Id="rId3410" Type="http://schemas.openxmlformats.org/officeDocument/2006/relationships/hyperlink" Target="http://www.ksdk.com/news/crime/breaking-overnight-jerseyville-il-officer-shot-by-robbery-suspect/448231600" TargetMode="External"/><Relationship Id="rId6566" Type="http://schemas.openxmlformats.org/officeDocument/2006/relationships/hyperlink" Target="https://www.wtvq.com/2019/08/01/homicide-investigation-underway-montgomery-county/" TargetMode="External"/><Relationship Id="rId6980" Type="http://schemas.openxmlformats.org/officeDocument/2006/relationships/hyperlink" Target="https://fatalencounters.org/wp-content/uploads/2019/12/David-N.-Anderson.png" TargetMode="External"/><Relationship Id="rId331" Type="http://schemas.openxmlformats.org/officeDocument/2006/relationships/hyperlink" Target="http://www.kirotv.com/news/news/deputy-involved-shooting-tacoma/njTnD/" TargetMode="External"/><Relationship Id="rId2012" Type="http://schemas.openxmlformats.org/officeDocument/2006/relationships/hyperlink" Target="http://www.azcentral.com/story/news/local/scottsdale-breaking/2016/07/27/scottsdale-police-involved-shooting-sprouts-parking-lot/87642452/" TargetMode="External"/><Relationship Id="rId5168" Type="http://schemas.openxmlformats.org/officeDocument/2006/relationships/hyperlink" Target="https://www.kcci.com/article/man-dies-following-officer-involved-shooting-in-ankeny/23243079" TargetMode="External"/><Relationship Id="rId5582" Type="http://schemas.openxmlformats.org/officeDocument/2006/relationships/hyperlink" Target="http://www.wtol.com/2018/12/20/man-suspected-killing-grandmother-is-fatally-shot-toledo-police-custody/" TargetMode="External"/><Relationship Id="rId6219" Type="http://schemas.openxmlformats.org/officeDocument/2006/relationships/hyperlink" Target="https://www.dailynews.com/2019/05/13/armed-suspect-wounded-in-officer-involved-shooting-in-gardena/" TargetMode="External"/><Relationship Id="rId6633" Type="http://schemas.openxmlformats.org/officeDocument/2006/relationships/hyperlink" Target="https://fatalencounters.org/wp-content/uploads/2019/08/Cole-Steele-Jessup.jpg" TargetMode="External"/><Relationship Id="rId1778" Type="http://schemas.openxmlformats.org/officeDocument/2006/relationships/hyperlink" Target="http://www.fatalencounters.org/wp-content/uploads/2013/10/Nicholas-Berger.jpg" TargetMode="External"/><Relationship Id="rId2829" Type="http://schemas.openxmlformats.org/officeDocument/2006/relationships/hyperlink" Target="http://www.fatalencounters.org/wp-content/uploads/2013/10/Jocques-Scott-Clemmons.png" TargetMode="External"/><Relationship Id="rId4184" Type="http://schemas.openxmlformats.org/officeDocument/2006/relationships/hyperlink" Target="http://cw39.com/2018/01/29/hcso-officer-involved-shooting-in-northwest-harris-county/" TargetMode="External"/><Relationship Id="rId5235" Type="http://schemas.openxmlformats.org/officeDocument/2006/relationships/hyperlink" Target="https://www.fatalencounters.org/wp-content/uploads/2018/10/Walter-Welch-Jr.jpg" TargetMode="External"/><Relationship Id="rId6700" Type="http://schemas.openxmlformats.org/officeDocument/2006/relationships/hyperlink" Target="https://fatalencounters.org/wp-content/uploads/2019/09/TerryTillman.jpg" TargetMode="External"/><Relationship Id="rId4251" Type="http://schemas.openxmlformats.org/officeDocument/2006/relationships/hyperlink" Target="http://www.nwitimes.com/news/local/crime-and-courts/update-merrillville-car-dealership-suspect-dead-after-officer-involved-shooting/article_50836290-7611-57cf-90db-fe94f80d64b6.html" TargetMode="External"/><Relationship Id="rId5302" Type="http://schemas.openxmlformats.org/officeDocument/2006/relationships/hyperlink" Target="https://www.ajc.com/news/crime--law/breaking-gsp-trooper-shot-bartow-county/FuQG5n48qRhXVCuVzQBcJM/" TargetMode="External"/><Relationship Id="rId1845" Type="http://schemas.openxmlformats.org/officeDocument/2006/relationships/hyperlink" Target="http://www.toledoblade.com/Police-Fire/2016/06/18/Sheriff-says-fatal-shooting-likely-justified.html" TargetMode="External"/><Relationship Id="rId1912" Type="http://schemas.openxmlformats.org/officeDocument/2006/relationships/hyperlink" Target="http://www.douglas-budget.com/news/article_1d12d29e-3f0b-11e6-b619-9f6e6f4f858c.html" TargetMode="External"/><Relationship Id="rId6076" Type="http://schemas.openxmlformats.org/officeDocument/2006/relationships/hyperlink" Target="https://ktla.com/2019/04/07/off-duty-san-bernardino-fatally-shoots-brother-during-alleged-knife-attack-during-family-party-in-bloomington/?fbclid=IwAR1n3AG5l-x02-lHrBhxqFGWkzuFKyn2eQpZZeepjX9SKdkDALzqojBI9uA" TargetMode="External"/><Relationship Id="rId7127" Type="http://schemas.openxmlformats.org/officeDocument/2006/relationships/hyperlink" Target="http://abclocal.go.com/story?section=news/local&amp;id=8991891" TargetMode="External"/><Relationship Id="rId5092" Type="http://schemas.openxmlformats.org/officeDocument/2006/relationships/hyperlink" Target="https://www.wsoctv.com/news/local/cmpd-investigating-deadly-shooting-involving-a-federal-agent-in-north-charlotte/820266258" TargetMode="External"/><Relationship Id="rId6490" Type="http://schemas.openxmlformats.org/officeDocument/2006/relationships/hyperlink" Target="http://www.fox4news.com/news/suspect-fatally-shot-by-dallas-officers-identified" TargetMode="External"/><Relationship Id="rId2686" Type="http://schemas.openxmlformats.org/officeDocument/2006/relationships/hyperlink" Target="https://www.auburn-reporter.com/news/auburn-man-shot-killed-after-vehicle-pursuit/" TargetMode="External"/><Relationship Id="rId3737" Type="http://schemas.openxmlformats.org/officeDocument/2006/relationships/hyperlink" Target="http://www.kcra.com/article/man-killed-in-officer-involved-shooting-in-modesto/13066545" TargetMode="External"/><Relationship Id="rId6143" Type="http://schemas.openxmlformats.org/officeDocument/2006/relationships/hyperlink" Target="https://gazette.com/news/authorities-identify-man-killed-in-gunbattle-with-colorado-springs-police/article_98b5a5dc-7da8-11e9-9e4c-633d71f35aa5.html" TargetMode="External"/><Relationship Id="rId658" Type="http://schemas.openxmlformats.org/officeDocument/2006/relationships/hyperlink" Target="http://www.killedbypolice.net/victims/151008.jpg" TargetMode="External"/><Relationship Id="rId1288" Type="http://schemas.openxmlformats.org/officeDocument/2006/relationships/hyperlink" Target="http://www.gannett-cdn.com/-mm-/0c5dbc40536f426fd1e922257edee4059af6bbcc/c=0-0-351-468&amp;r=537&amp;c=0-0-534-712/local/-/media/2016/03/09/TXNMGroup/Carlsbad/635931229320708002-chavez.jpg" TargetMode="External"/><Relationship Id="rId2339" Type="http://schemas.openxmlformats.org/officeDocument/2006/relationships/hyperlink" Target="http://www.sltrib.com/home/4537376-155/shooting-reported-in-west-jordan" TargetMode="External"/><Relationship Id="rId2753" Type="http://schemas.openxmlformats.org/officeDocument/2006/relationships/hyperlink" Target="http://6abc.com/news/suspect-killed-by-police-after-confrontation-in-wilmington/1892435/" TargetMode="External"/><Relationship Id="rId3804" Type="http://schemas.openxmlformats.org/officeDocument/2006/relationships/hyperlink" Target="https://chicago.suntimes.com/news/rockford-officer-killed-another-hurt-in-crash-possible-shooting/" TargetMode="External"/><Relationship Id="rId6210" Type="http://schemas.openxmlformats.org/officeDocument/2006/relationships/hyperlink" Target="https://www.fox23.com/news/i-44-closed-in-midtown-tulsa-due-to-police-search/948365449" TargetMode="External"/><Relationship Id="rId725" Type="http://schemas.openxmlformats.org/officeDocument/2006/relationships/hyperlink" Target="http://www.kctv5.com/story/29494552/armed-carjacking-suspect-dead-in-police-shooting" TargetMode="External"/><Relationship Id="rId1355" Type="http://schemas.openxmlformats.org/officeDocument/2006/relationships/hyperlink" Target="http://www.northwestgeorgianews.com/catwalkchatt/year-old-man-shot-killed-in-swat-standoff-in-walker/article_921cb0e4-c780-11e5-a29b-734852374ac2.html" TargetMode="External"/><Relationship Id="rId2406" Type="http://schemas.openxmlformats.org/officeDocument/2006/relationships/hyperlink" Target="http://www.fatalencounters.org/wp-content/uploads/2013/10/Erickson-Gomez-Brito.jpg" TargetMode="External"/><Relationship Id="rId1008" Type="http://schemas.openxmlformats.org/officeDocument/2006/relationships/hyperlink" Target="http://media2.wcpo.com/photo/2015/06/10/16x9/Cincinnati_fatal_officer_involved_shooti_3047750000_19584286_ver1.0_640_480.jpg" TargetMode="External"/><Relationship Id="rId1422" Type="http://schemas.openxmlformats.org/officeDocument/2006/relationships/hyperlink" Target="http://www.rgj.com/story/news/crime/2016/02/26/deputy-shot-2-suspects-hurt-silver-springs-shooting/80985964/" TargetMode="External"/><Relationship Id="rId2820" Type="http://schemas.openxmlformats.org/officeDocument/2006/relationships/hyperlink" Target="http://www.dailybreeze.com/general-news/20170217/man-fatally-wounded-during-confrontation-with-gardena-police-officer" TargetMode="External"/><Relationship Id="rId4578" Type="http://schemas.openxmlformats.org/officeDocument/2006/relationships/hyperlink" Target="https://www.thedenverchannel.com/news/crime/police-investigate-officer-involved-shooting-in-denver-no-officers-injured" TargetMode="External"/><Relationship Id="rId5976" Type="http://schemas.openxmlformats.org/officeDocument/2006/relationships/hyperlink" Target="https://www.12news.com/article/news/local/valley/he-was-a-family-man-fiancee-of-man-fatally-shot-by-pd-remembers-a-loving-partner-and-father/75-d90e6e8f-d241-4cb7-b862-bfc950082bc7" TargetMode="External"/><Relationship Id="rId61" Type="http://schemas.openxmlformats.org/officeDocument/2006/relationships/hyperlink" Target="http://www.santacruzsentinel.com/20150714/memorial-fund-started-for-boulder-creek-teen-killed-by-deputies" TargetMode="External"/><Relationship Id="rId4992" Type="http://schemas.openxmlformats.org/officeDocument/2006/relationships/hyperlink" Target="https://www.13newsnow.com/article/news/local/virginia/k-9-officer-killed-driver-dead-after-virginia-state-police-troopers-exchange-gunfire-with-driver/291-579381620" TargetMode="External"/><Relationship Id="rId5629" Type="http://schemas.openxmlformats.org/officeDocument/2006/relationships/hyperlink" Target="http://www.wboy.com/news/emergencies/update-deputies-release-more-information-regarding-fatal-standoff-with-62-year-old-man/991698375" TargetMode="External"/><Relationship Id="rId7051" Type="http://schemas.openxmlformats.org/officeDocument/2006/relationships/hyperlink" Target="https://fatalencounters.org/wp-content/uploads/2019/12/Romir-Talley.jpg" TargetMode="External"/><Relationship Id="rId2196" Type="http://schemas.openxmlformats.org/officeDocument/2006/relationships/hyperlink" Target="http://www.fatalencounters.org/wp-content/uploads/2013/10/Francis-Perry.jpg" TargetMode="External"/><Relationship Id="rId3594" Type="http://schemas.openxmlformats.org/officeDocument/2006/relationships/hyperlink" Target="http://www.wcnc.com/news/crime/suspect-killed-by-shelby-officer-police-say/415355405" TargetMode="External"/><Relationship Id="rId4645" Type="http://schemas.openxmlformats.org/officeDocument/2006/relationships/hyperlink" Target="http://www.fatalencounters.org/wp-content/uploads/2018/05/DarrellJ.Bruffy.jpg" TargetMode="External"/><Relationship Id="rId168" Type="http://schemas.openxmlformats.org/officeDocument/2006/relationships/hyperlink" Target="http://crimeblog.dallasnews.com/2015/06/tarrant-county-sheriffs-deputy-fatally-shoots-azle-man-who-stabbed-three-relatives.html/" TargetMode="External"/><Relationship Id="rId3247" Type="http://schemas.openxmlformats.org/officeDocument/2006/relationships/hyperlink" Target="http://www.weau.com/content/news/BREAKING-OFFICER-INVOLVED-SHOOTING-IN-EAU-CLAIRE-412039935.html" TargetMode="External"/><Relationship Id="rId3661" Type="http://schemas.openxmlformats.org/officeDocument/2006/relationships/hyperlink" Target="http://www.wtvm.com/story/34394591/gbi-investigating-after-lagrange-man-dies-while-in-custody" TargetMode="External"/><Relationship Id="rId4712" Type="http://schemas.openxmlformats.org/officeDocument/2006/relationships/hyperlink" Target="https://www.fatalencounters.org/wp-content/uploads/2018/06/JuvonLeroySimon.jpg" TargetMode="External"/><Relationship Id="rId582" Type="http://schemas.openxmlformats.org/officeDocument/2006/relationships/hyperlink" Target="http://www.kgw.com/story/news/local/2015/10/29/police-chase-hwy-26-ends-crash-man-hospitalized/74787522/" TargetMode="External"/><Relationship Id="rId2263" Type="http://schemas.openxmlformats.org/officeDocument/2006/relationships/hyperlink" Target="http://www.fatalencounters.org/wp-content/uploads/2013/10/Rex-Vance-Wilson.jpg" TargetMode="External"/><Relationship Id="rId3314" Type="http://schemas.openxmlformats.org/officeDocument/2006/relationships/hyperlink" Target="http://www.newswest9.com/story/36066838/texas-rangers-investigating-officer-involved-shooting-neighbors-shocked" TargetMode="External"/><Relationship Id="rId6884" Type="http://schemas.openxmlformats.org/officeDocument/2006/relationships/hyperlink" Target="https://myfox8.com/2019/10/15/man-killed-in-deputy-involved-shooting-on-bales-chapel-road-in-jamestown-identified/" TargetMode="External"/><Relationship Id="rId235" Type="http://schemas.openxmlformats.org/officeDocument/2006/relationships/hyperlink" Target="http://abc7.com/news/burglary-suspect-killed-in-officer-involved-shooting-in-fountain-valley/682399/" TargetMode="External"/><Relationship Id="rId2330" Type="http://schemas.openxmlformats.org/officeDocument/2006/relationships/hyperlink" Target="http://ktla.com/2016/10/31/man-shot-by-police-during-confrontation-in-torrance/" TargetMode="External"/><Relationship Id="rId5486" Type="http://schemas.openxmlformats.org/officeDocument/2006/relationships/hyperlink" Target="https://www.wtva.com/content/news/Officer-involved-shooting-reported-in-Yalobusha-County-501757721.html" TargetMode="External"/><Relationship Id="rId6537" Type="http://schemas.openxmlformats.org/officeDocument/2006/relationships/hyperlink" Target="https://fatalencounters.org/wp-content/uploads/2019/08/James-Manzo.jpg" TargetMode="External"/><Relationship Id="rId302" Type="http://schemas.openxmlformats.org/officeDocument/2006/relationships/hyperlink" Target="http://newsok.com/new-details-released-in-stillwater-homicide-officer-shooting/article/5389230" TargetMode="External"/><Relationship Id="rId4088" Type="http://schemas.openxmlformats.org/officeDocument/2006/relationships/hyperlink" Target="http://wjhl.com/2018/01/08/sheriff-one-man-dead-in-hawkins-co-officer-involved-shooting/" TargetMode="External"/><Relationship Id="rId5139" Type="http://schemas.openxmlformats.org/officeDocument/2006/relationships/hyperlink" Target="https://www.fatalencounters.org/wp-content/uploads/2018/09/Omar_Enrique_Santa-Perez.jpg" TargetMode="External"/><Relationship Id="rId5553" Type="http://schemas.openxmlformats.org/officeDocument/2006/relationships/hyperlink" Target="https://patch.com/new-york/sachem/s/gkqs7/suicidal-man-shot-killed-by-officer-in-confrontation-idd-cops?utm_source=alert-breakingnews&amp;utm_medium=email&amp;utm_term=weather&amp;utm_campaign=alert" TargetMode="External"/><Relationship Id="rId6951" Type="http://schemas.openxmlformats.org/officeDocument/2006/relationships/hyperlink" Target="http://wvmetronews.com/2019/10/31/sheriff-man-shot-and-killed-by-deputies-was-under-investigation-for-ona-vfd-shooting/" TargetMode="External"/><Relationship Id="rId4155" Type="http://schemas.openxmlformats.org/officeDocument/2006/relationships/hyperlink" Target="https://www.eastidahonews.com/2018/01/ifpd-holding-news-conference-regarding-officer-involved-shooting/" TargetMode="External"/><Relationship Id="rId5206" Type="http://schemas.openxmlformats.org/officeDocument/2006/relationships/hyperlink" Target="http://www.baltimoresun.com/news/maryland/crime/bs-md-ci-officer-shot-20180923-story.html" TargetMode="External"/><Relationship Id="rId6604" Type="http://schemas.openxmlformats.org/officeDocument/2006/relationships/hyperlink" Target="https://www.wave3.com/2019/08/09/man-shot-killed-by-law-enforcement-breckinridge-county-identified/" TargetMode="External"/><Relationship Id="rId1749" Type="http://schemas.openxmlformats.org/officeDocument/2006/relationships/hyperlink" Target="http://www.oregonlive.com/gresham/index.ssf/2016/05/man_shot_killed_by_police_afte.html" TargetMode="External"/><Relationship Id="rId3171" Type="http://schemas.openxmlformats.org/officeDocument/2006/relationships/hyperlink" Target="http://www.kxly.com/news/local-news/spokane-police-involved-in-south-hill-shooting/573014127" TargetMode="External"/><Relationship Id="rId5620" Type="http://schemas.openxmlformats.org/officeDocument/2006/relationships/hyperlink" Target="https://abc7.com/knife-wielding-suspect-killed-in-lapd-shooting-in-van-nuys/4995348/" TargetMode="External"/><Relationship Id="rId1816" Type="http://schemas.openxmlformats.org/officeDocument/2006/relationships/hyperlink" Target="http://www.yakimaherald.com/news/crime_and_courts/man-shot-and-killed-by-yakima-police-identified/article_29b696c6-3014-11e6-95e5-8f6bf16c087a.html" TargetMode="External"/><Relationship Id="rId4222" Type="http://schemas.openxmlformats.org/officeDocument/2006/relationships/hyperlink" Target="http://www.fatalencounters.org/wp-content/uploads/2018/02/Hugo-Steven-Selva.png" TargetMode="External"/><Relationship Id="rId3988" Type="http://schemas.openxmlformats.org/officeDocument/2006/relationships/hyperlink" Target="http://www.daily-times.com/story/news/local/2017/12/20/officer-involved-shooting-north-bloomfield-highway/972062001/" TargetMode="External"/><Relationship Id="rId6394" Type="http://schemas.openxmlformats.org/officeDocument/2006/relationships/hyperlink" Target="https://q13fox.com/2019/06/18/centralia-police-officer-shoots-burglary-suspect-after-responding-to-reports-of-armed-man/" TargetMode="External"/><Relationship Id="rId6047" Type="http://schemas.openxmlformats.org/officeDocument/2006/relationships/hyperlink" Target="https://www.wfmynews2.com/article/news/local/durham-police-shoot-kill-man-during-struggle-at-domestic-situation-officials-say/83-c476494e-cb31-4259-be51-c9af4585d20a" TargetMode="External"/><Relationship Id="rId6461" Type="http://schemas.openxmlformats.org/officeDocument/2006/relationships/hyperlink" Target="https://www.abcactionnews.com/news/region-hillsborough/sheriffs-office-investigating-deputy-involved-shooting-in-ruskin" TargetMode="External"/><Relationship Id="rId976" Type="http://schemas.openxmlformats.org/officeDocument/2006/relationships/hyperlink" Target="http://chicago.suntimes.com/crime/7/71/759984/chicago-police-involved-grand-crossing-shooting" TargetMode="External"/><Relationship Id="rId2657" Type="http://schemas.openxmlformats.org/officeDocument/2006/relationships/hyperlink" Target="http://katv.com/news/local/officer-involved-shooting-in-marion-injures-teenager" TargetMode="External"/><Relationship Id="rId5063" Type="http://schemas.openxmlformats.org/officeDocument/2006/relationships/hyperlink" Target="https://www.dallasnews.com/news/crime/2018/08/17/officer-hospitalized-possible-shooting-incident-pleasant-grove" TargetMode="External"/><Relationship Id="rId6114" Type="http://schemas.openxmlformats.org/officeDocument/2006/relationships/hyperlink" Target="https://www.stltoday.com/news/local/crime-and-courts/homeless-maplewood-man-dies-after-taser-shocks-by-st-louis/article_5500ca20-b98f-5be0-89d8-7a8b6ffcec86.html?fbclid=IwAR0DKYYjAckeh-9c97yrHAwiOii9kn-jhzUJr7NHp8wPdiv2mVXFjsnmePs" TargetMode="External"/><Relationship Id="rId629" Type="http://schemas.openxmlformats.org/officeDocument/2006/relationships/hyperlink" Target="http://www.killedbypolice.net/victims/151074.jpg" TargetMode="External"/><Relationship Id="rId1259" Type="http://schemas.openxmlformats.org/officeDocument/2006/relationships/hyperlink" Target="http://www.fatalencounters.org/wp-content/uploads/2013/10/KaydenClarke.png" TargetMode="External"/><Relationship Id="rId3708" Type="http://schemas.openxmlformats.org/officeDocument/2006/relationships/hyperlink" Target="http://www.wlky.com/article/isp-investigate-officer-involved-shooting-in-crawford-county/8564108" TargetMode="External"/><Relationship Id="rId5130" Type="http://schemas.openxmlformats.org/officeDocument/2006/relationships/hyperlink" Target="https://www.fatalencounters.org/wp-content/uploads/2018/09/Mitchell-Buel.jpg" TargetMode="External"/><Relationship Id="rId1673" Type="http://schemas.openxmlformats.org/officeDocument/2006/relationships/hyperlink" Target="http://6abc.com/traffic/driver-killed-in-police-involved-shooting-in-overbrook/1322605/" TargetMode="External"/><Relationship Id="rId2724" Type="http://schemas.openxmlformats.org/officeDocument/2006/relationships/hyperlink" Target="http://www.news4jax.com/news/local/jacksonville/swat-called-to-sandalwood-area" TargetMode="External"/><Relationship Id="rId1326" Type="http://schemas.openxmlformats.org/officeDocument/2006/relationships/hyperlink" Target="http://fox13now.com/2016/01/17/officer-suspect-shot-in-officer-involved-shooting-in-holladay/" TargetMode="External"/><Relationship Id="rId1740" Type="http://schemas.openxmlformats.org/officeDocument/2006/relationships/hyperlink" Target="http://www.denverpost.com/2016/05/24/erie-man-identified-as-man-shot-by-boulder-police-after-pointing-gun/" TargetMode="External"/><Relationship Id="rId4896" Type="http://schemas.openxmlformats.org/officeDocument/2006/relationships/hyperlink" Target="http://www.kezi.com/content/news/Officer-involved-shooting-in-Cottage-Grove-488011401.html" TargetMode="External"/><Relationship Id="rId5947" Type="http://schemas.openxmlformats.org/officeDocument/2006/relationships/hyperlink" Target="https://www.ktva.com/story/40089756/man-killed-in-officerinvolved-shooting-in-airport-heights" TargetMode="External"/><Relationship Id="rId32" Type="http://schemas.openxmlformats.org/officeDocument/2006/relationships/hyperlink" Target="http://www.nola.com/crime/index.ssf/2015/07/breaking_new_orleans_police_sh.html" TargetMode="External"/><Relationship Id="rId3498" Type="http://schemas.openxmlformats.org/officeDocument/2006/relationships/hyperlink" Target="http://www.hawaiinewsnow.com/story/35286495/man-with-crossbow-killed-in-big-island-officer-involved-shooting" TargetMode="External"/><Relationship Id="rId4549" Type="http://schemas.openxmlformats.org/officeDocument/2006/relationships/hyperlink" Target="http://www.wkyt.com/content/news/Cumberland-man-dies-days-after-being-shot-following-police-pursuit-480289463.html" TargetMode="External"/><Relationship Id="rId4963" Type="http://schemas.openxmlformats.org/officeDocument/2006/relationships/hyperlink" Target="https://www.fatalencounters.org/wp-content/uploads/2018/07/Gavalynn-Gabbie-Mahuka.jpg" TargetMode="External"/><Relationship Id="rId3565" Type="http://schemas.openxmlformats.org/officeDocument/2006/relationships/hyperlink" Target="http://www.wftv.com/news/local/shotgun-wielding-man-dead-in-volusia-county-deputy-involved-shooting-sheriff-office-says/503409399" TargetMode="External"/><Relationship Id="rId4616" Type="http://schemas.openxmlformats.org/officeDocument/2006/relationships/hyperlink" Target="http://www.the-review.com/news/20180507/fairview-resident-killed-in-officer-involved-shooting" TargetMode="External"/><Relationship Id="rId7022" Type="http://schemas.openxmlformats.org/officeDocument/2006/relationships/hyperlink" Target="https://www.staradvertiser.com/2019/12/17/breaking-news/man-27-in-extremely-critical-condition-after-police-shooting-in-campbell-industrial-park/" TargetMode="External"/><Relationship Id="rId486" Type="http://schemas.openxmlformats.org/officeDocument/2006/relationships/hyperlink" Target="http://www.ajc.com/news/news/local/man-shot-and-killed-by-forsyth-county-deputies/nfFC8/" TargetMode="External"/><Relationship Id="rId2167" Type="http://schemas.openxmlformats.org/officeDocument/2006/relationships/hyperlink" Target="http://www.fatalencounters.org/wp-content/uploads/2013/10/MICHAEL-FERGUSON.jpg" TargetMode="External"/><Relationship Id="rId2581" Type="http://schemas.openxmlformats.org/officeDocument/2006/relationships/hyperlink" Target="http://www.tampabay.com/news/publicsafety/crime/riverview-man-shot-in-gunfight-with-hillsborough-deputies-dies-in-hospital/2286666" TargetMode="External"/><Relationship Id="rId3218" Type="http://schemas.openxmlformats.org/officeDocument/2006/relationships/hyperlink" Target="http://news4sanantonio.com/news/local/report-of-shooting-on-west-side" TargetMode="External"/><Relationship Id="rId3632" Type="http://schemas.openxmlformats.org/officeDocument/2006/relationships/hyperlink" Target="http://wspa.com/2017/02/11/suspect-dead-after-officer-involved-shooting-in-greenville-co/" TargetMode="External"/><Relationship Id="rId6788" Type="http://schemas.openxmlformats.org/officeDocument/2006/relationships/hyperlink" Target="https://abc7.com/suspect-fatally-shot-by-police-in-long-beach-was-holding-fake-gun-police-say-/5560480/" TargetMode="External"/><Relationship Id="rId139" Type="http://schemas.openxmlformats.org/officeDocument/2006/relationships/hyperlink" Target="http://www.yourhoustonnews.com/courier/news/one-dead-after-officer-involved-shooting/article_1cfb859f-d481-5895-abe3-9f10b2b50423.html" TargetMode="External"/><Relationship Id="rId553" Type="http://schemas.openxmlformats.org/officeDocument/2006/relationships/hyperlink" Target="http://www.wral.com/suspect-killed-in-officer-involved-shooting-identified/12688890/" TargetMode="External"/><Relationship Id="rId1183" Type="http://schemas.openxmlformats.org/officeDocument/2006/relationships/hyperlink" Target="http://www.freep.com/story/news/local/michigan/oakland/2015/08/20/police-chase-troy-bloomfield-hills-warren-absconder-shooting/32056645/" TargetMode="External"/><Relationship Id="rId2234" Type="http://schemas.openxmlformats.org/officeDocument/2006/relationships/hyperlink" Target="http://www.click2houston.com/news/man-involved-in-deputy-involved-shooting-taken-off-life-support" TargetMode="External"/><Relationship Id="rId206" Type="http://schemas.openxmlformats.org/officeDocument/2006/relationships/hyperlink" Target="http://www.staradvertiser.com/news/breaking/20150512_Man_fatally_shot_at_Chinatown_Gateway_Plaza.html?id=303517261" TargetMode="External"/><Relationship Id="rId6855" Type="http://schemas.openxmlformats.org/officeDocument/2006/relationships/hyperlink" Target="https://kutv.com/news/local/man-shot-by-fugitive-task-force-at-layton-mall-dies" TargetMode="External"/><Relationship Id="rId620" Type="http://schemas.openxmlformats.org/officeDocument/2006/relationships/hyperlink" Target="http://www.killedbypolice.net/victims/150908.jpg" TargetMode="External"/><Relationship Id="rId1250" Type="http://schemas.openxmlformats.org/officeDocument/2006/relationships/hyperlink" Target="http://www.gannett-cdn.com/-mm-/3515ce114adcbc3142682653fc798ef69a04b7c1/c=0-50-321-292&amp;r=x404&amp;c=534x401/local/-/media/2016/01/28/TNGroup/Murfreesboro/635895900684549724-Vandarack.Jpg" TargetMode="External"/><Relationship Id="rId2301" Type="http://schemas.openxmlformats.org/officeDocument/2006/relationships/hyperlink" Target="http://www.kaaltv.com/news/fillmore-county-police-situation/4299498/" TargetMode="External"/><Relationship Id="rId4059" Type="http://schemas.openxmlformats.org/officeDocument/2006/relationships/hyperlink" Target="http://www.fatalencounters.org/wp-content/uploads/2018/01/Andy-Vo.jpg" TargetMode="External"/><Relationship Id="rId5457" Type="http://schemas.openxmlformats.org/officeDocument/2006/relationships/hyperlink" Target="https://abcnews.go.com/US/police-detail-texas-border-patrol-agent-allegedly-targeted/story?id=57871672" TargetMode="External"/><Relationship Id="rId5871" Type="http://schemas.openxmlformats.org/officeDocument/2006/relationships/hyperlink" Target="https://abc7news.com/napa-co-sheriff-investigating-deadly-officer-involved-shooting/5143430/" TargetMode="External"/><Relationship Id="rId6508" Type="http://schemas.openxmlformats.org/officeDocument/2006/relationships/hyperlink" Target="https://fatalencounters.org/wp-content/uploads/2019/07/Roderick-Wilson.jpg" TargetMode="External"/><Relationship Id="rId6922" Type="http://schemas.openxmlformats.org/officeDocument/2006/relationships/hyperlink" Target="https://www.spokesman.com/stories/2019/oct/25/armed-man-fatally-shot-by-spokane-police-officer-n/" TargetMode="External"/><Relationship Id="rId4473" Type="http://schemas.openxmlformats.org/officeDocument/2006/relationships/hyperlink" Target="https://www.freep.com/story/news/local/michigan/wayne/2018/04/04/allan-farris-detroit-canton-carjacking-suspect/487858002/" TargetMode="External"/><Relationship Id="rId5524" Type="http://schemas.openxmlformats.org/officeDocument/2006/relationships/hyperlink" Target="https://www.paloaltoonline.com/news/2018/12/10/palo-alto-teacher-dies-after-officer-involved-shooting" TargetMode="External"/><Relationship Id="rId3075" Type="http://schemas.openxmlformats.org/officeDocument/2006/relationships/hyperlink" Target="http://www.fatalencounters.org/wp-content/uploads/2013/10/Hector-Arreola.png" TargetMode="External"/><Relationship Id="rId4126" Type="http://schemas.openxmlformats.org/officeDocument/2006/relationships/hyperlink" Target="http://wreg.com/2018/01/17/county-official-deputy-shoots-suspect-in-north-memphis/" TargetMode="External"/><Relationship Id="rId4540" Type="http://schemas.openxmlformats.org/officeDocument/2006/relationships/hyperlink" Target="https://www.azcentral.com/story/news/local/phoenix-breaking/2018/04/14/phoenix-police-officers-shoot-second-individual-day/518014002/" TargetMode="External"/><Relationship Id="rId2091" Type="http://schemas.openxmlformats.org/officeDocument/2006/relationships/hyperlink" Target="http://www.nbcbayarea.com/news/local/Suspect-Dies-Days-After-Hayward--390640981.html" TargetMode="External"/><Relationship Id="rId3142" Type="http://schemas.openxmlformats.org/officeDocument/2006/relationships/hyperlink" Target="http://news3lv.com/news/local/shootout-suspect-died-from-bullet-fired-by-police-not-suicide" TargetMode="External"/><Relationship Id="rId6298" Type="http://schemas.openxmlformats.org/officeDocument/2006/relationships/hyperlink" Target="https://www.redding.com/story/news/2019/06/01/officer-involved-shooting-leaves-one-man-dead-anderson-group-home/1318853001/" TargetMode="External"/><Relationship Id="rId6365" Type="http://schemas.openxmlformats.org/officeDocument/2006/relationships/hyperlink" Target="https://fatalencounters.org/wp-content/uploads/2019/06/kenneth-french.jpg" TargetMode="External"/><Relationship Id="rId130" Type="http://schemas.openxmlformats.org/officeDocument/2006/relationships/hyperlink" Target="http://assets.mediaspanonline.com/prod/11889528/7206529_h400.jpg" TargetMode="External"/><Relationship Id="rId3959" Type="http://schemas.openxmlformats.org/officeDocument/2006/relationships/hyperlink" Target="http://www.kiro7.com/news/local/breaking-robbery-suspect-killed-in-officer-involved-shooting/662727642" TargetMode="External"/><Relationship Id="rId5381" Type="http://schemas.openxmlformats.org/officeDocument/2006/relationships/hyperlink" Target="https://www.fatalencounters.org/wp-content/uploads/2018/11/CodyBelgard.jpg" TargetMode="External"/><Relationship Id="rId6018" Type="http://schemas.openxmlformats.org/officeDocument/2006/relationships/hyperlink" Target="https://www.fatalencounters.org/wp-content/uploads/2019/03/DerekSmith.jpg" TargetMode="External"/><Relationship Id="rId2975" Type="http://schemas.openxmlformats.org/officeDocument/2006/relationships/hyperlink" Target="http://ktla.com/2017/05/25/man-killed-in-compton-deputy-involved-shooting-2-deputies-wounded/" TargetMode="External"/><Relationship Id="rId5034" Type="http://schemas.openxmlformats.org/officeDocument/2006/relationships/hyperlink" Target="https://www.omaha.com/news/crime/police-identify-man-fatally-shot-after-cutting-women-at-siena/article_6f356d4e-b239-5724-9e71-29fb6a60d1ff.html" TargetMode="External"/><Relationship Id="rId6432" Type="http://schemas.openxmlformats.org/officeDocument/2006/relationships/hyperlink" Target="https://www.khou.com/article/news/crime/houston-police-officer-lucky-to-be-alive-after-deadly-shootout/285-59d0e714-a205-4579-bf49-19124117a5d7" TargetMode="External"/><Relationship Id="rId947" Type="http://schemas.openxmlformats.org/officeDocument/2006/relationships/hyperlink" Target="https://djournal.com/news/man-dies-after-police-chase-2/" TargetMode="External"/><Relationship Id="rId1577" Type="http://schemas.openxmlformats.org/officeDocument/2006/relationships/hyperlink" Target="http://www.kare11.com/news/local/1-dead-in-officer-involved-shooting-in-eau-claire/117777883" TargetMode="External"/><Relationship Id="rId1991" Type="http://schemas.openxmlformats.org/officeDocument/2006/relationships/hyperlink" Target="http://www.wvgazettemail.com/news/20160722/upshur-deputy-shoots-and-kills-pennsylvania-man" TargetMode="External"/><Relationship Id="rId2628" Type="http://schemas.openxmlformats.org/officeDocument/2006/relationships/hyperlink" Target="http://jacksonville.com/news/public-safety/2017-08-18/jacksonville-sheriff-identifies-officers-shot-suspect-killed-friday" TargetMode="External"/><Relationship Id="rId1644" Type="http://schemas.openxmlformats.org/officeDocument/2006/relationships/hyperlink" Target="http://www.fatalencounters.org/wp-content/uploads/2013/10/Blackburn.jpg" TargetMode="External"/><Relationship Id="rId4050" Type="http://schemas.openxmlformats.org/officeDocument/2006/relationships/hyperlink" Target="http://www.fatalencounters.org/wp-content/uploads/2018/01/RonEliot.jpg" TargetMode="External"/><Relationship Id="rId5101" Type="http://schemas.openxmlformats.org/officeDocument/2006/relationships/hyperlink" Target="http://www.bradfordera.com/news/shaffer-setzer-used-stolen-gun-to-fire-at-police/article_d0e0aec6-afdf-11e8-9357-33f2bddfe878.html" TargetMode="External"/><Relationship Id="rId1711" Type="http://schemas.openxmlformats.org/officeDocument/2006/relationships/hyperlink" Target="http://jacksonville.com/news/crime/2016-05-16/story/knife-wielding-19-year-old-orange-park-man-shot-after-charging" TargetMode="External"/><Relationship Id="rId4867" Type="http://schemas.openxmlformats.org/officeDocument/2006/relationships/hyperlink" Target="http://www.recordnet.com/news/20180706/officers-in-calaveras-county-shoot-kill-man-armed-with-automatic-air-rifle" TargetMode="External"/><Relationship Id="rId3469" Type="http://schemas.openxmlformats.org/officeDocument/2006/relationships/hyperlink" Target="http://kfor.com/2017/05/15/man-dead-after-hostage-situation-turned-into-standoff-in-wewoka/" TargetMode="External"/><Relationship Id="rId5918" Type="http://schemas.openxmlformats.org/officeDocument/2006/relationships/hyperlink" Target="https://www.khon2.com/news/local-news/shooting-investigation-in-kalihi/1821503438" TargetMode="External"/><Relationship Id="rId2485" Type="http://schemas.openxmlformats.org/officeDocument/2006/relationships/hyperlink" Target="http://www.kansas.com/news/local/crime/article119125213.html" TargetMode="External"/><Relationship Id="rId3883" Type="http://schemas.openxmlformats.org/officeDocument/2006/relationships/hyperlink" Target="http://www.fatalencounters.org/wp-content/uploads/2013/10/Steve-Steenhard.jpg" TargetMode="External"/><Relationship Id="rId4934" Type="http://schemas.openxmlformats.org/officeDocument/2006/relationships/hyperlink" Target="http://abc7.com/anaheim-officer-involved-shooting-leaves-suspect-dead/3800936/" TargetMode="External"/><Relationship Id="rId457" Type="http://schemas.openxmlformats.org/officeDocument/2006/relationships/hyperlink" Target="http://www.suntimes.com/27377311-761/armed-man-shot-by-police-on-west-side-dies.html" TargetMode="External"/><Relationship Id="rId1087" Type="http://schemas.openxmlformats.org/officeDocument/2006/relationships/hyperlink" Target="http://www.killedbypolice.net/victims/150954.jpg" TargetMode="External"/><Relationship Id="rId2138" Type="http://schemas.openxmlformats.org/officeDocument/2006/relationships/hyperlink" Target="http://www.dallasnews.com/news/local-news/20160824-suspect-shot-by-police-after-traffic-stop-in-west-oak-cliff.ece" TargetMode="External"/><Relationship Id="rId3536" Type="http://schemas.openxmlformats.org/officeDocument/2006/relationships/hyperlink" Target="http://www.news9.com/story/35026010/suspect-killed-following-officer-involved-shooting-in-mcclain-county" TargetMode="External"/><Relationship Id="rId3950" Type="http://schemas.openxmlformats.org/officeDocument/2006/relationships/hyperlink" Target="http://www.fatalencounters.org/wp-content/uploads/2013/10/Ira-Crawford.jpg" TargetMode="External"/><Relationship Id="rId664" Type="http://schemas.openxmlformats.org/officeDocument/2006/relationships/hyperlink" Target="http://www.killedbypolice.net/victims/150998.jpg" TargetMode="External"/><Relationship Id="rId871" Type="http://schemas.openxmlformats.org/officeDocument/2006/relationships/hyperlink" Target="http://www.cleveland.com/akron/index.ssf/2015/10/akron_hookah_bar_owner_shot_du.html" TargetMode="External"/><Relationship Id="rId2345" Type="http://schemas.openxmlformats.org/officeDocument/2006/relationships/hyperlink" Target="http://www.nydailynews.com/new-york/nyc-crime/nypd-sergeant-shot-dead-wounded-bronx-gunman-ambush-article-1.2858556" TargetMode="External"/><Relationship Id="rId2552" Type="http://schemas.openxmlformats.org/officeDocument/2006/relationships/hyperlink" Target="http://www.fatalencounters.org/wp-content/uploads/2013/10/James-Tylka.png" TargetMode="External"/><Relationship Id="rId3603" Type="http://schemas.openxmlformats.org/officeDocument/2006/relationships/hyperlink" Target="http://www.readingeagle.com/news/article/reading-man-fatally-shot-by-police-officer&amp;template=mobileart" TargetMode="External"/><Relationship Id="rId3810" Type="http://schemas.openxmlformats.org/officeDocument/2006/relationships/hyperlink" Target="http://www.vvdailypress.com/news/20171107/suspect-killed-in-officer-involved-shooting-following-pursuit-in-barstow" TargetMode="External"/><Relationship Id="rId6759" Type="http://schemas.openxmlformats.org/officeDocument/2006/relationships/hyperlink" Target="https://www.news9.com/story/41055036/suspect-shot-killed-by-okc-officers-lived-in-mental-health-transitional-home" TargetMode="External"/><Relationship Id="rId6966" Type="http://schemas.openxmlformats.org/officeDocument/2006/relationships/hyperlink" Target="https://www.azcentral.com/story/news/local/phoenix-breaking/2019/11/03/2-police-officers-injured-suspect-shot-south-phoenix/4148571002/" TargetMode="External"/><Relationship Id="rId317" Type="http://schemas.openxmlformats.org/officeDocument/2006/relationships/hyperlink" Target="http://www.actionnewsjax.com/news/news/local/swat-called-out-fort-caroline-area/njbtC/" TargetMode="External"/><Relationship Id="rId524" Type="http://schemas.openxmlformats.org/officeDocument/2006/relationships/hyperlink" Target="http://www.startribune.com/local/west/232358621.html" TargetMode="External"/><Relationship Id="rId731" Type="http://schemas.openxmlformats.org/officeDocument/2006/relationships/hyperlink" Target="http://www.mlive.com/news/grand-rapids/index.ssf/2015/07/no_reason_to_shoot_him_step-da.html" TargetMode="External"/><Relationship Id="rId1154" Type="http://schemas.openxmlformats.org/officeDocument/2006/relationships/hyperlink" Target="https://ioneadwnews.files.wordpress.com/2015/08/troy.jpg?w=221&amp;h=228" TargetMode="External"/><Relationship Id="rId1361" Type="http://schemas.openxmlformats.org/officeDocument/2006/relationships/hyperlink" Target="http://bakersfieldnow.com/news/local/chp-involved-in-an-officer-involved-shooting-on-weedpatch-hwy" TargetMode="External"/><Relationship Id="rId2205" Type="http://schemas.openxmlformats.org/officeDocument/2006/relationships/hyperlink" Target="http://www.commercialappeal.com/news/crime/suspect-who-tried-to-run-over-deputies-shot-to-death-by-authorites-3c11ff98-c8b4-78f4-e053-0100007f0-392861021.html" TargetMode="External"/><Relationship Id="rId2412" Type="http://schemas.openxmlformats.org/officeDocument/2006/relationships/hyperlink" Target="http://www.santacruzsentinel.com/general-news/20161119/sheriffs-deputy-shoots-kills-knife-wielding-teen-after-two-stabbed-outside-watsonville" TargetMode="External"/><Relationship Id="rId5568" Type="http://schemas.openxmlformats.org/officeDocument/2006/relationships/hyperlink" Target="https://www.tribstar.com/news/update-name-of-suspect-killed-in-police-shooting-released/article_90d1de0e-037c-11e9-bdb0-a7755e2779db.html" TargetMode="External"/><Relationship Id="rId5775" Type="http://schemas.openxmlformats.org/officeDocument/2006/relationships/hyperlink" Target="http://www.wlbt.com/2019/01/25/one-arrested-after-body-missing-raymond-man-found-abandoned-building/" TargetMode="External"/><Relationship Id="rId5982" Type="http://schemas.openxmlformats.org/officeDocument/2006/relationships/hyperlink" Target="https://pittsburgh.cbslocal.com/2019/03/14/greensburg-woman-police-involved-shooting-victim-identified/" TargetMode="External"/><Relationship Id="rId6619" Type="http://schemas.openxmlformats.org/officeDocument/2006/relationships/hyperlink" Target="https://fatalencounters.org/wp-content/uploads/2019/09/Patrick-Sanders.jpg" TargetMode="External"/><Relationship Id="rId6826" Type="http://schemas.openxmlformats.org/officeDocument/2006/relationships/hyperlink" Target="https://fatalencounters.org/wp-content/uploads/2019/10/Dewayne-Morgan.jpg" TargetMode="External"/><Relationship Id="rId1014" Type="http://schemas.openxmlformats.org/officeDocument/2006/relationships/hyperlink" Target="http://www.killedbypolice.net/victims/150478.jpg" TargetMode="External"/><Relationship Id="rId1221" Type="http://schemas.openxmlformats.org/officeDocument/2006/relationships/hyperlink" Target="http://www.wtoc.com/story/30372168/gbi-releases-new-details-on-officer-involved-shooting-in-savannah" TargetMode="External"/><Relationship Id="rId4377" Type="http://schemas.openxmlformats.org/officeDocument/2006/relationships/hyperlink" Target="http://rapidcityjournal.com/news/local/man-killed-in-officer-involved-shooting-on-rosebud-reservation/article_4026a795-1ed1-5ee0-9031-4c5bf4ce9a4b.html" TargetMode="External"/><Relationship Id="rId4584" Type="http://schemas.openxmlformats.org/officeDocument/2006/relationships/hyperlink" Target="http://www.kcra.com/article/elk-grove-police-investigate-officer-involved-shooting-near-i-5/20093231" TargetMode="External"/><Relationship Id="rId4791" Type="http://schemas.openxmlformats.org/officeDocument/2006/relationships/hyperlink" Target="http://fox13now.com/2018/06/17/police-responding-to-swat-situation-in-south-salt-lake-home/" TargetMode="External"/><Relationship Id="rId5428" Type="http://schemas.openxmlformats.org/officeDocument/2006/relationships/hyperlink" Target="https://www.12news.com/article/news/local/valley/authorities-man-shot-by-us-marshals-tuesday-was-71-years-old/75-17ddf3fa-08c6-4e0e-9643-c83dc932d942" TargetMode="External"/><Relationship Id="rId5635" Type="http://schemas.openxmlformats.org/officeDocument/2006/relationships/hyperlink" Target="https://www.news-leader.com/story/news/crime/2018/05/07/father-woman-shot-aurora-police-says-wound-fatal/586815002/" TargetMode="External"/><Relationship Id="rId5842" Type="http://schemas.openxmlformats.org/officeDocument/2006/relationships/hyperlink" Target="https://www.fatalencounters.org/wp-content/uploads/2019/02/Ted-Schmitz.jpeg" TargetMode="External"/><Relationship Id="rId3186" Type="http://schemas.openxmlformats.org/officeDocument/2006/relationships/hyperlink" Target="http://www.nbcmiami.com/news/local/Miami-Beach-Police-Investigating-Officer-Involved-Shooting-425028794.html" TargetMode="External"/><Relationship Id="rId3393" Type="http://schemas.openxmlformats.org/officeDocument/2006/relationships/hyperlink" Target="http://www.tennessean.com/story/news/local/williamson/2017/06/20/peytonsville-road-bridge-closed-over-interstate-65-police-activity/412513001/" TargetMode="External"/><Relationship Id="rId4237" Type="http://schemas.openxmlformats.org/officeDocument/2006/relationships/hyperlink" Target="http://www.fatalencounters.org/wp-content/uploads/2018/02/Sidney-T.-Richardson.jpg" TargetMode="External"/><Relationship Id="rId4444" Type="http://schemas.openxmlformats.org/officeDocument/2006/relationships/hyperlink" Target="http://wreg.com/2018/03/30/suspect-in-kentucky-officers-death-killed-in-tennessee/" TargetMode="External"/><Relationship Id="rId4651" Type="http://schemas.openxmlformats.org/officeDocument/2006/relationships/hyperlink" Target="https://www.detroitnews.com/story/news/local/wayne-county/2018/05/13/dearborn-hts-officer-shoots-kills-man-gun/605738002/" TargetMode="External"/><Relationship Id="rId3046" Type="http://schemas.openxmlformats.org/officeDocument/2006/relationships/hyperlink" Target="http://www.nbcchicago.com/news/local/Officer-Involved-Shooting-Reported-near-Oak-Park--412755723.html" TargetMode="External"/><Relationship Id="rId3253" Type="http://schemas.openxmlformats.org/officeDocument/2006/relationships/hyperlink" Target="http://www.fatalencounters.org/wp-content/uploads/2013/10/BrianPatrickAllen.jpg" TargetMode="External"/><Relationship Id="rId3460" Type="http://schemas.openxmlformats.org/officeDocument/2006/relationships/hyperlink" Target="http://www.mcall.com/news/local/police/mc-lower-mount-bethel-20170520-story.html" TargetMode="External"/><Relationship Id="rId4304" Type="http://schemas.openxmlformats.org/officeDocument/2006/relationships/hyperlink" Target="http://wavy.com/2018/03/01/suspect-shot-killed-by-police-after-chase-on-i-64-in-henrico-county/" TargetMode="External"/><Relationship Id="rId5702" Type="http://schemas.openxmlformats.org/officeDocument/2006/relationships/hyperlink" Target="https://ktla.com/2019/01/13/man-killed-in-police-shooting-following-pursuit-standoff-on-101-freeway-in-calabasas-identified/" TargetMode="External"/><Relationship Id="rId174" Type="http://schemas.openxmlformats.org/officeDocument/2006/relationships/hyperlink" Target="http://koin.com/2015/05/30/osp-troopers-shoot-kill-man-in-wilderville/" TargetMode="External"/><Relationship Id="rId381" Type="http://schemas.openxmlformats.org/officeDocument/2006/relationships/hyperlink" Target="http://www.washingtonpost.com/local/man-shot-and-killed-by-officers-trying-to-serve-a-warrant-in-southeast-dc/2014/10/05/b755dfea-4c9b-11e4-aa5e-7153e466a02d_story.html" TargetMode="External"/><Relationship Id="rId2062" Type="http://schemas.openxmlformats.org/officeDocument/2006/relationships/hyperlink" Target="http://www.cincinnati.com/story/news/2016/08/07/police-shoot-kill-downtown-robbery-suspect/88361704/" TargetMode="External"/><Relationship Id="rId3113" Type="http://schemas.openxmlformats.org/officeDocument/2006/relationships/hyperlink" Target="http://www.wsaz.com/content/news/WVSP-Person-dead-after-officer-involved-shooting-in-Braxton-County-444446453.html" TargetMode="External"/><Relationship Id="rId4511" Type="http://schemas.openxmlformats.org/officeDocument/2006/relationships/hyperlink" Target="http://billingsgazette.com/news/local/man-shot-dead-by-police-at-billings-casino-second-police/article_13c3e094-429b-592b-9a3c-e1e2cfb19224.html" TargetMode="External"/><Relationship Id="rId6269" Type="http://schemas.openxmlformats.org/officeDocument/2006/relationships/hyperlink" Target="https://fatalencounters.org/wp-content/uploads/2019/05/Adam-Michael-McCoy.jpg" TargetMode="External"/><Relationship Id="rId241" Type="http://schemas.openxmlformats.org/officeDocument/2006/relationships/hyperlink" Target="http://www.statesmanjournal.com/story/news/2015/04/25/man-shot-killed-salem-police-identified/26377897/" TargetMode="External"/><Relationship Id="rId3320" Type="http://schemas.openxmlformats.org/officeDocument/2006/relationships/hyperlink" Target="http://www.fatalencounters.org/wp-content/uploads/2013/10/Robert-Savelli.png" TargetMode="External"/><Relationship Id="rId5078" Type="http://schemas.openxmlformats.org/officeDocument/2006/relationships/hyperlink" Target="https://www.fatalencounters.org/wp-content/uploads/2018/08/Donna-Castleberry.jpg" TargetMode="External"/><Relationship Id="rId6476" Type="http://schemas.openxmlformats.org/officeDocument/2006/relationships/hyperlink" Target="https://www.sacbee.com/news/local/crime/article232536522.html" TargetMode="External"/><Relationship Id="rId6683" Type="http://schemas.openxmlformats.org/officeDocument/2006/relationships/hyperlink" Target="https://www.kcra.com/article/east-stockton-officer-involved-shooting/28830496" TargetMode="External"/><Relationship Id="rId6890" Type="http://schemas.openxmlformats.org/officeDocument/2006/relationships/hyperlink" Target="https://5newsonline.com/2019/10/17/1-dead-after-officer-involved-shooting-in-southern-arkansas/" TargetMode="External"/><Relationship Id="rId2879" Type="http://schemas.openxmlformats.org/officeDocument/2006/relationships/hyperlink" Target="http://dfw.cbslocal.com/2017/01/03/one-dead-one-injured-after-officer-involved-shooting-in-allen/" TargetMode="External"/><Relationship Id="rId5285" Type="http://schemas.openxmlformats.org/officeDocument/2006/relationships/hyperlink" Target="https://www.11alive.com/article/news/crime/man-killed-by-deputies-at-conclusion-of-hall-co-swat-standoff/85-604207944" TargetMode="External"/><Relationship Id="rId5492" Type="http://schemas.openxmlformats.org/officeDocument/2006/relationships/hyperlink" Target="http://www.nbc12.com/2018/12/06/police-id-triple-stabbing-suspect-officers-who-killed-him/" TargetMode="External"/><Relationship Id="rId6129" Type="http://schemas.openxmlformats.org/officeDocument/2006/relationships/hyperlink" Target="https://www.wyff4.com/article/police-officer-fatally-shoots-motorist-on-wall-street-in-fountain-inn-near-bojangles-sled-says/27166865" TargetMode="External"/><Relationship Id="rId6336" Type="http://schemas.openxmlformats.org/officeDocument/2006/relationships/hyperlink" Target="https://fatalencounters.org/wp-content/uploads/2019/06/David-Wayne-Downs.jpg" TargetMode="External"/><Relationship Id="rId6543" Type="http://schemas.openxmlformats.org/officeDocument/2006/relationships/hyperlink" Target="https://www.wafb.com/2019/07/26/officer-involved-shooting-report-port-allen/" TargetMode="External"/><Relationship Id="rId6750" Type="http://schemas.openxmlformats.org/officeDocument/2006/relationships/hyperlink" Target="https://www.theadvocate.com/baton_rouge/news/crime_police/article_c341e610-d7f5-11e9-8339-1bbe52311076.html" TargetMode="External"/><Relationship Id="rId101" Type="http://schemas.openxmlformats.org/officeDocument/2006/relationships/hyperlink" Target="http://bloximages.chicago2.vip.townnews.com/weatherforddemocrat.com/content/tncms/assets/v3/editorial/c/9c/c9c251be-1a8f-11e5-9a9f-0358863fe83b/558addd0ba8d6.image.jpg?resize=300%2C300" TargetMode="External"/><Relationship Id="rId1688" Type="http://schemas.openxmlformats.org/officeDocument/2006/relationships/hyperlink" Target="http://www.startribune.com/large-police-presense-in-st-paul-neighborhood-where-shots-rang-out-early-monday/378615361/" TargetMode="External"/><Relationship Id="rId1895" Type="http://schemas.openxmlformats.org/officeDocument/2006/relationships/hyperlink" Target="http://www.abcactionnews.com/news/region-pinellas/pinellas-park-police-investigating-an-officer-involved-shooting" TargetMode="External"/><Relationship Id="rId2739" Type="http://schemas.openxmlformats.org/officeDocument/2006/relationships/hyperlink" Target="http://www.13newsnow.com/news/local/mycity/newport-news/officer-involved-in-shooting-in-newport-news/435151201" TargetMode="External"/><Relationship Id="rId2946" Type="http://schemas.openxmlformats.org/officeDocument/2006/relationships/hyperlink" Target="http://www.fatalencounters.org/wp-content/uploads/2013/10/Santino-Trevino.jpg" TargetMode="External"/><Relationship Id="rId4094" Type="http://schemas.openxmlformats.org/officeDocument/2006/relationships/hyperlink" Target="http://www.thestate.com/news/local/crime/article194335194.html" TargetMode="External"/><Relationship Id="rId5145" Type="http://schemas.openxmlformats.org/officeDocument/2006/relationships/hyperlink" Target="https://deltadailynews.com/suspect-killed-by-greenville-police-identified/" TargetMode="External"/><Relationship Id="rId5352" Type="http://schemas.openxmlformats.org/officeDocument/2006/relationships/hyperlink" Target="https://www.fatalencounters.org/wp-content/uploads/2018/11/TonySmith.png" TargetMode="External"/><Relationship Id="rId6403" Type="http://schemas.openxmlformats.org/officeDocument/2006/relationships/hyperlink" Target="https://fatalencounters.org/wp-content/uploads/2019/06/Jaymil-Ellerbe.jpg" TargetMode="External"/><Relationship Id="rId6610" Type="http://schemas.openxmlformats.org/officeDocument/2006/relationships/hyperlink" Target="https://www.northjersey.com/story/news/new-jersey/2019/08/08/irvington-nj-police-officer-shot/1955336001/" TargetMode="External"/><Relationship Id="rId918" Type="http://schemas.openxmlformats.org/officeDocument/2006/relationships/hyperlink" Target="http://wjtv.com/2015/10/13/suspect-identified-in-brookhaven-standoff-2-officers-injured/" TargetMode="External"/><Relationship Id="rId1548" Type="http://schemas.openxmlformats.org/officeDocument/2006/relationships/hyperlink" Target="http://www.chicagotribune.com/news/local/breaking/ct-bar-and-grill-scene-of-fatal-antioch-shooting-20160416-story.html" TargetMode="External"/><Relationship Id="rId1755" Type="http://schemas.openxmlformats.org/officeDocument/2006/relationships/hyperlink" Target="http://ktla.com/2016/05/26/missing-bay-area-teen-was-last-seen-bleeding-screaming-for-help-man-sought-authorities/" TargetMode="External"/><Relationship Id="rId4161" Type="http://schemas.openxmlformats.org/officeDocument/2006/relationships/hyperlink" Target="http://abc3340.com/news/local/man-dies-after-physical-altercation-with-deputies-involving-a-taser" TargetMode="External"/><Relationship Id="rId5005" Type="http://schemas.openxmlformats.org/officeDocument/2006/relationships/hyperlink" Target="https://www.fatalencounters.org/wp-content/uploads/2018/08/JohnnyKelley.jpg" TargetMode="External"/><Relationship Id="rId5212" Type="http://schemas.openxmlformats.org/officeDocument/2006/relationships/hyperlink" Target="https://www.fatalencounters.org/wp-content/uploads/2018/10/michael-stout.jpg" TargetMode="External"/><Relationship Id="rId1408" Type="http://schemas.openxmlformats.org/officeDocument/2006/relationships/hyperlink" Target="http://www.abqjournal.com/727690/news/state-police-confirm-name-of-man-killed-during-u-s-marshals-operation.html" TargetMode="External"/><Relationship Id="rId1962" Type="http://schemas.openxmlformats.org/officeDocument/2006/relationships/hyperlink" Target="http://www.ktva.com/robbery-turns-into-officer-involved-shooting-behind-anchorage-home-depot-400/" TargetMode="External"/><Relationship Id="rId2806" Type="http://schemas.openxmlformats.org/officeDocument/2006/relationships/hyperlink" Target="http://mynews4.com/news/local/heavy-police-activity-near-eldorado-casino-in-downtown-reno" TargetMode="External"/><Relationship Id="rId4021" Type="http://schemas.openxmlformats.org/officeDocument/2006/relationships/hyperlink" Target="http://www.fatalencounters.org/wp-content/uploads/2013/10/Robo-Raikoglo.png" TargetMode="External"/><Relationship Id="rId7177" Type="http://schemas.openxmlformats.org/officeDocument/2006/relationships/hyperlink" Target="http://media2.wxyz.com/photo/2013/04/03/Matthew_Renard_Joseph_20130403124725_640_480.JPG" TargetMode="External"/><Relationship Id="rId47" Type="http://schemas.openxmlformats.org/officeDocument/2006/relationships/hyperlink" Target="http://www.myfoxal.com/story/29566625/man-in-opp-officer-involved-shooting-dies" TargetMode="External"/><Relationship Id="rId1615" Type="http://schemas.openxmlformats.org/officeDocument/2006/relationships/hyperlink" Target="http://www.thedenverchannel.com/news/front-range/thornton/man-who-shot-thornton-officer-killed-by-police" TargetMode="External"/><Relationship Id="rId1822" Type="http://schemas.openxmlformats.org/officeDocument/2006/relationships/hyperlink" Target="http://www.glasgowdailytimes.com/news/update-shooting-in-hiseville-leaves-one-man-dead/article_1424ae2c-3133-11e6-9ef6-ab99744949e6.html" TargetMode="External"/><Relationship Id="rId4978" Type="http://schemas.openxmlformats.org/officeDocument/2006/relationships/hyperlink" Target="https://denver.cbslocal.com/2018/07/29/police-aurora-deadly-shooting-adams-county/" TargetMode="External"/><Relationship Id="rId6193" Type="http://schemas.openxmlformats.org/officeDocument/2006/relationships/hyperlink" Target="https://fatalencounters.org/wp-content/uploads/2019/05/Timothy-Russell-Majchrzak.jpg" TargetMode="External"/><Relationship Id="rId7037" Type="http://schemas.openxmlformats.org/officeDocument/2006/relationships/hyperlink" Target="https://fatalencounters.org/wp-content/uploads/2019/12/Gary-Wayne-Madewell.jpg" TargetMode="External"/><Relationship Id="rId7244" Type="http://schemas.openxmlformats.org/officeDocument/2006/relationships/hyperlink" Target="http://media.graytvinc.com/images/440*350/THOMAS+L+ARDD.jpg" TargetMode="External"/><Relationship Id="rId3787" Type="http://schemas.openxmlformats.org/officeDocument/2006/relationships/hyperlink" Target="https://www.clickondetroit.com/news/michigan-state-police-respond-to-scene-of-officer-involved-shooting-in-inkster" TargetMode="External"/><Relationship Id="rId3994" Type="http://schemas.openxmlformats.org/officeDocument/2006/relationships/hyperlink" Target="http://www.fatalencounters.org/wp-content/uploads/2013/10/Jose-Angel-Aguero.png" TargetMode="External"/><Relationship Id="rId4838" Type="http://schemas.openxmlformats.org/officeDocument/2006/relationships/hyperlink" Target="https://kdvr.com/2018/06/29/suspect-shot-in-aurora-officer-involved-shooting/" TargetMode="External"/><Relationship Id="rId6053" Type="http://schemas.openxmlformats.org/officeDocument/2006/relationships/hyperlink" Target="https://www.ajc.com/news/crime--law/breaking-man-shot-killed-atlanta-officer-during-foot-chase-police-say/T2Bre2KTzASg4LaPrYZ2iK/" TargetMode="External"/><Relationship Id="rId2389" Type="http://schemas.openxmlformats.org/officeDocument/2006/relationships/hyperlink" Target="http://abc7.com/news/suspect-killed-in-temecula-deputy-involved-shooting-/1608428/" TargetMode="External"/><Relationship Id="rId2596" Type="http://schemas.openxmlformats.org/officeDocument/2006/relationships/hyperlink" Target="http://www.ajc.com/news/news/local/coweta-man-dies-after-being-tasered-by-deputies/npSZB/" TargetMode="External"/><Relationship Id="rId3647" Type="http://schemas.openxmlformats.org/officeDocument/2006/relationships/hyperlink" Target="http://whnt.com/2017/02/07/1-person-killed-following-deputy-involved-shooting-in-pisgah/" TargetMode="External"/><Relationship Id="rId3854" Type="http://schemas.openxmlformats.org/officeDocument/2006/relationships/hyperlink" Target="http://www.fatalencounters.org/wp-content/uploads/2013/10/Thomas-Barclay.png" TargetMode="External"/><Relationship Id="rId4905" Type="http://schemas.openxmlformats.org/officeDocument/2006/relationships/hyperlink" Target="https://www.nbclosangeles.com/news/local/Man-Armed-Shotgun-Shot-Dead-Police-488194131.html" TargetMode="External"/><Relationship Id="rId6260" Type="http://schemas.openxmlformats.org/officeDocument/2006/relationships/hyperlink" Target="https://fatalencounters.org/wp-content/uploads/2019/05/MilesFrazier.jpg" TargetMode="External"/><Relationship Id="rId7104" Type="http://schemas.openxmlformats.org/officeDocument/2006/relationships/hyperlink" Target="http://www.wesh.com/news/fatal-crash-under-investigation-in-lake-county-fhp-says/39523620" TargetMode="External"/><Relationship Id="rId568" Type="http://schemas.openxmlformats.org/officeDocument/2006/relationships/hyperlink" Target="http://www.myfoxhouston.com/story/21431932/suspected-purse-snatcher-shot-by-houston-police-officer" TargetMode="External"/><Relationship Id="rId775" Type="http://schemas.openxmlformats.org/officeDocument/2006/relationships/hyperlink" Target="http://www.kansas.com/news/local/crime/article32105529.html" TargetMode="External"/><Relationship Id="rId982" Type="http://schemas.openxmlformats.org/officeDocument/2006/relationships/hyperlink" Target="http://kwtv.images.worldnow.com/images/8241047_G.jpg" TargetMode="External"/><Relationship Id="rId1198" Type="http://schemas.openxmlformats.org/officeDocument/2006/relationships/hyperlink" Target="http://www.theneworleansadvocate.com/news/13509012-75/man-was-shot-by-st" TargetMode="External"/><Relationship Id="rId2249" Type="http://schemas.openxmlformats.org/officeDocument/2006/relationships/hyperlink" Target="http://www.fatalencounters.org/wp-content/uploads/2013/10/Luis-Michael-Hoff.jpg" TargetMode="External"/><Relationship Id="rId2456" Type="http://schemas.openxmlformats.org/officeDocument/2006/relationships/hyperlink" Target="http://www.fatalencounters.org/wp-content/uploads/2013/10/Toby-Cummins.jpg" TargetMode="External"/><Relationship Id="rId2663" Type="http://schemas.openxmlformats.org/officeDocument/2006/relationships/hyperlink" Target="http://www.fatalencounters.org/wp-content/uploads/2013/10/Kareem-Ali-Nadir-Jones.png" TargetMode="External"/><Relationship Id="rId2870" Type="http://schemas.openxmlformats.org/officeDocument/2006/relationships/hyperlink" Target="http://www.fatalencounters.org/wp-content/uploads/2013/10/Darrion-M.-Barnhill.png" TargetMode="External"/><Relationship Id="rId3507" Type="http://schemas.openxmlformats.org/officeDocument/2006/relationships/hyperlink" Target="http://www.cincinnati.com/story/news/2017/04/22/police-investigating-hamilton-shooting/100796584/" TargetMode="External"/><Relationship Id="rId3714" Type="http://schemas.openxmlformats.org/officeDocument/2006/relationships/hyperlink" Target="http://www.mercedsunstar.com/news/article179348586.html" TargetMode="External"/><Relationship Id="rId3921" Type="http://schemas.openxmlformats.org/officeDocument/2006/relationships/hyperlink" Target="http://www.fatalencounters.org/wp-content/uploads/2013/10/Delbert-McNeil.png" TargetMode="External"/><Relationship Id="rId6120" Type="http://schemas.openxmlformats.org/officeDocument/2006/relationships/hyperlink" Target="https://www.nbcnewyork.com/news/local/Police-Involved-Shooting-Bronx-NYPD-Grand-Avenue-508583391.html" TargetMode="External"/><Relationship Id="rId428" Type="http://schemas.openxmlformats.org/officeDocument/2006/relationships/hyperlink" Target="http://www.ajc.com/news/news/officer-involved-shooting-in-se-atlanta/ngYcr/" TargetMode="External"/><Relationship Id="rId635" Type="http://schemas.openxmlformats.org/officeDocument/2006/relationships/hyperlink" Target="http://www.killedbypolice.net/victims/151063.jpg" TargetMode="External"/><Relationship Id="rId842" Type="http://schemas.openxmlformats.org/officeDocument/2006/relationships/hyperlink" Target="http://www.kob.com/article/stories/s3923423.shtml" TargetMode="External"/><Relationship Id="rId1058" Type="http://schemas.openxmlformats.org/officeDocument/2006/relationships/hyperlink" Target="http://kwqc.com/2015/04/03/r-i-county-coroner-identifies-man-killed-in-officer-involved-shooting/" TargetMode="External"/><Relationship Id="rId1265" Type="http://schemas.openxmlformats.org/officeDocument/2006/relationships/hyperlink" Target="http://stmedia.startribune.com/images/1birk021216.jpg" TargetMode="External"/><Relationship Id="rId1472" Type="http://schemas.openxmlformats.org/officeDocument/2006/relationships/hyperlink" Target="http://pbs.twimg.com/media/Cbtnol9UcAArqof.jpg" TargetMode="External"/><Relationship Id="rId2109" Type="http://schemas.openxmlformats.org/officeDocument/2006/relationships/hyperlink" Target="http://www.northcoastjournal.com/NewsBlog/archives/2016/08/17/3rd-update-suspect-killed-in-mckinleyville-standoff" TargetMode="External"/><Relationship Id="rId2316" Type="http://schemas.openxmlformats.org/officeDocument/2006/relationships/hyperlink" Target="http://www.fatalencounters.org/wp-content/uploads/2013/10/Lamont-Perry.jpg" TargetMode="External"/><Relationship Id="rId2523" Type="http://schemas.openxmlformats.org/officeDocument/2006/relationships/hyperlink" Target="http://www.fatalencounters.org/wp-content/uploads/2013/10/Marlon-Lewis.jpg" TargetMode="External"/><Relationship Id="rId2730" Type="http://schemas.openxmlformats.org/officeDocument/2006/relationships/hyperlink" Target="http://www.kvue.com/news/local/one-dead-after-officer-involved-shooting-in-downtown-austin/437567270" TargetMode="External"/><Relationship Id="rId5679" Type="http://schemas.openxmlformats.org/officeDocument/2006/relationships/hyperlink" Target="http://www.kswo.com/2019/01/07/early-morning-gun-battle-cache-leaves-two-dead-sends-one-comanche-county-deputy-hospital/" TargetMode="External"/><Relationship Id="rId5886" Type="http://schemas.openxmlformats.org/officeDocument/2006/relationships/hyperlink" Target="https://www.fatalencounters.org/wp-content/uploads/2019/02/Bradley-Blackshire.png" TargetMode="External"/><Relationship Id="rId702" Type="http://schemas.openxmlformats.org/officeDocument/2006/relationships/hyperlink" Target="http://www.dailycamera.com/news/boulder/ci_29097757/suspects-reported-armed-robbery-high-speed-chase-boulder" TargetMode="External"/><Relationship Id="rId1125" Type="http://schemas.openxmlformats.org/officeDocument/2006/relationships/hyperlink" Target="http://www.wndu.com/home/headlines/Police-investigating-alleged-kidnapping-at-assisted-living-facililty-351375961.html" TargetMode="External"/><Relationship Id="rId1332" Type="http://schemas.openxmlformats.org/officeDocument/2006/relationships/hyperlink" Target="http://www.orlandosentinel.com/news/breaking-news/os-eric-provost-opd-officer-shootings-20160119-story.html" TargetMode="External"/><Relationship Id="rId4488" Type="http://schemas.openxmlformats.org/officeDocument/2006/relationships/hyperlink" Target="http://www.wfmj.com/story/37890419/suspect-killed-officer-injured-in-police-involved-shooting-near-volant" TargetMode="External"/><Relationship Id="rId4695" Type="http://schemas.openxmlformats.org/officeDocument/2006/relationships/hyperlink" Target="https://www.kivitv.com/news/1-man-killed-in-officer-involved-shooting-in-elmore-county" TargetMode="External"/><Relationship Id="rId5539" Type="http://schemas.openxmlformats.org/officeDocument/2006/relationships/hyperlink" Target="https://www.fatalencounters.org/wp-content/uploads/2018/12/Jason-Emerson-Connell.jpg" TargetMode="External"/><Relationship Id="rId6937" Type="http://schemas.openxmlformats.org/officeDocument/2006/relationships/hyperlink" Target="https://upnorthlive.com/news/local/suicidal-man-killed-in-officer-involved-shooting-identified" TargetMode="External"/><Relationship Id="rId3297" Type="http://schemas.openxmlformats.org/officeDocument/2006/relationships/hyperlink" Target="http://www.post-gazette.com/local/region/2017/08/18/State-trooper-shot-Fairchance-Fayette-County-Uniontown/stories/201708180193" TargetMode="External"/><Relationship Id="rId4348" Type="http://schemas.openxmlformats.org/officeDocument/2006/relationships/hyperlink" Target="http://www.tampabay.com/news/publicsafety/Tarpon-Springs-officer-fatally-shoots-woman-armed-with-knives-w-video-_166224913" TargetMode="External"/><Relationship Id="rId5746" Type="http://schemas.openxmlformats.org/officeDocument/2006/relationships/hyperlink" Target="https://minnesota.cbslocal.com/2019/01/20/st-louis-park-officer-involved-shooting-fatal/" TargetMode="External"/><Relationship Id="rId5953" Type="http://schemas.openxmlformats.org/officeDocument/2006/relationships/hyperlink" Target="https://azdailysun.com/news/state-and-regional/suspect-fatally-shot-after-firing-on-dps-officer-in-buckeye/article_bccfd07d-9294-54ae-aaeb-1e4699974251.html" TargetMode="External"/><Relationship Id="rId3157" Type="http://schemas.openxmlformats.org/officeDocument/2006/relationships/hyperlink" Target="https://www.dallasnews.com/news/crime/2017/07/15/suspect-killed-officer-involved-shooting-west-arlington" TargetMode="External"/><Relationship Id="rId4555" Type="http://schemas.openxmlformats.org/officeDocument/2006/relationships/hyperlink" Target="http://www.miamiherald.com/news/local/community/broward/article209305159.html" TargetMode="External"/><Relationship Id="rId4762" Type="http://schemas.openxmlformats.org/officeDocument/2006/relationships/hyperlink" Target="http://www.illinoishomepage.net/news/local-news/armed-man-killed-by-police/1233841661" TargetMode="External"/><Relationship Id="rId5606" Type="http://schemas.openxmlformats.org/officeDocument/2006/relationships/hyperlink" Target="https://www.fatalencounters.org/wp-content/uploads/2018/12/Glenn-A.-Rightsell.jpg" TargetMode="External"/><Relationship Id="rId5813" Type="http://schemas.openxmlformats.org/officeDocument/2006/relationships/hyperlink" Target="http://www.nbc12.com/2019/02/05/virginia-state-police-trooper-suspect-dead-after-shooting-drug-raid/" TargetMode="External"/><Relationship Id="rId285" Type="http://schemas.openxmlformats.org/officeDocument/2006/relationships/hyperlink" Target="http://www.abc15.com/news/region-phoenix-metro/north-phoenix/police-identify-ken-cockerel-as-man-who-stabbed-himself-then-threatened-officers-with-knives" TargetMode="External"/><Relationship Id="rId3364" Type="http://schemas.openxmlformats.org/officeDocument/2006/relationships/hyperlink" Target="http://www.wisn.com/article/deputies-respond-to-reports-of-armed-naked-man-at-johnson-creek-outlet-mall/10290690" TargetMode="External"/><Relationship Id="rId3571" Type="http://schemas.openxmlformats.org/officeDocument/2006/relationships/hyperlink" Target="http://www.fatalencounters.org/wp-content/uploads/2013/10/Alexander-Meltz.png" TargetMode="External"/><Relationship Id="rId4208" Type="http://schemas.openxmlformats.org/officeDocument/2006/relationships/hyperlink" Target="http://www.charlotteobserver.com/news/local/article198073594.html" TargetMode="External"/><Relationship Id="rId4415" Type="http://schemas.openxmlformats.org/officeDocument/2006/relationships/hyperlink" Target="http://www.fatalencounters.org/wp-content/uploads/2018/03/Linus-F.-Phillip.jpg" TargetMode="External"/><Relationship Id="rId4622" Type="http://schemas.openxmlformats.org/officeDocument/2006/relationships/hyperlink" Target="http://www.fatalencounters.org/wp-content/uploads/2018/05/Lisa-Michelle.jpg" TargetMode="External"/><Relationship Id="rId492" Type="http://schemas.openxmlformats.org/officeDocument/2006/relationships/hyperlink" Target="http://www.utsandiego.com/news/2014/feb/26/suicidal-man-rifle-downtown-san-diego/" TargetMode="External"/><Relationship Id="rId2173" Type="http://schemas.openxmlformats.org/officeDocument/2006/relationships/hyperlink" Target="http://www.toledoblade.com/Police-Fire/2016/09/01/Police-investigate-early-morning-incident-in-Sylvania-Township.html" TargetMode="External"/><Relationship Id="rId2380" Type="http://schemas.openxmlformats.org/officeDocument/2006/relationships/hyperlink" Target="http://www.cbs46.com/story/33685267/man-shot-killed-during-scuffle-with-police-officers" TargetMode="External"/><Relationship Id="rId3017" Type="http://schemas.openxmlformats.org/officeDocument/2006/relationships/hyperlink" Target="http://www.rgj.com/story/news/crime/2017/03/03/officer-hurt-suspect-dies-south-reno-exchange-gunfire/98683212/" TargetMode="External"/><Relationship Id="rId3224" Type="http://schemas.openxmlformats.org/officeDocument/2006/relationships/hyperlink" Target="https://www.google.com/url?q=https://www.rlsmedia.com/sites/default/files/styles/hd/public/field/image/article/img_2607.jpg?itok%3Ds27hWlxe&amp;sa=D&amp;ust=1508882833379000&amp;usg=AFQjCNEVS1oN32WuvqPlihkqr1Z5mZL5Pg" TargetMode="External"/><Relationship Id="rId3431" Type="http://schemas.openxmlformats.org/officeDocument/2006/relationships/hyperlink" Target="http://www.fatalencounters.org/wp-content/uploads/2013/10/Charles-Edgar-Mullins.jpg" TargetMode="External"/><Relationship Id="rId6587" Type="http://schemas.openxmlformats.org/officeDocument/2006/relationships/hyperlink" Target="https://www.nytimes.com/2019/08/04/us/dayton-ohio-shooting.html" TargetMode="External"/><Relationship Id="rId6794" Type="http://schemas.openxmlformats.org/officeDocument/2006/relationships/hyperlink" Target="https://fatalencounters.org/wp-content/uploads/2019/09/Fernando-Rodriquez.jpg" TargetMode="External"/><Relationship Id="rId145" Type="http://schemas.openxmlformats.org/officeDocument/2006/relationships/hyperlink" Target="http://www.wftv.com/news/news/local/police-person-interest-killed-melbourne-officer-in/nmX7b/" TargetMode="External"/><Relationship Id="rId352" Type="http://schemas.openxmlformats.org/officeDocument/2006/relationships/hyperlink" Target="http://www.star-telegram.com/2014/12/03/6335890/fort-worth-police-fatally-shoot.html?rh=1" TargetMode="External"/><Relationship Id="rId2033" Type="http://schemas.openxmlformats.org/officeDocument/2006/relationships/hyperlink" Target="http://www.baltimoresun.com/news/maryland/crime/bs-md-co-police-barricade-20160801-story.html" TargetMode="External"/><Relationship Id="rId2240" Type="http://schemas.openxmlformats.org/officeDocument/2006/relationships/hyperlink" Target="http://www.fatalencounters.org/wp-content/uploads/2013/10/EddieCollins.jpg" TargetMode="External"/><Relationship Id="rId5189" Type="http://schemas.openxmlformats.org/officeDocument/2006/relationships/hyperlink" Target="https://www.fatalencounters.org/wp-content/uploads/2018/09/WalterWiemann.jpg" TargetMode="External"/><Relationship Id="rId5396" Type="http://schemas.openxmlformats.org/officeDocument/2006/relationships/hyperlink" Target="https://www.fatalencounters.org/wp-content/uploads/2018/11/Daniel-Ayala.jpg" TargetMode="External"/><Relationship Id="rId6447" Type="http://schemas.openxmlformats.org/officeDocument/2006/relationships/hyperlink" Target="http://www.chroniclet.com/cops-and-courts/2019/07/03/Susp.html?fbclid=IwAR0DrCXzM3FN8D92qbC0d28-Kbs2lMe8Yn6TjWhxzfRoB3w62eIbVz4syVo" TargetMode="External"/><Relationship Id="rId6654" Type="http://schemas.openxmlformats.org/officeDocument/2006/relationships/hyperlink" Target="https://ktla.com/2019/08/19/man-apparently-dead-after-lapd-shooting-in-residential-area-of-arleta/" TargetMode="External"/><Relationship Id="rId6861" Type="http://schemas.openxmlformats.org/officeDocument/2006/relationships/hyperlink" Target="https://www.kold.com/2019/10/11/tucson-police-investigate-officer-involved-shooting-east-side/" TargetMode="External"/><Relationship Id="rId212" Type="http://schemas.openxmlformats.org/officeDocument/2006/relationships/hyperlink" Target="http://www.localsyr.com/story/d/story/authorities-investigating-fatal-officer-involved-s/67882/io8DUgiTsEG_yMWZyCVbHw" TargetMode="External"/><Relationship Id="rId1799" Type="http://schemas.openxmlformats.org/officeDocument/2006/relationships/hyperlink" Target="http://nbc4i.com/2016/06/06/reported-north-columbus-shooting-leaves-1-in-critical-condition/" TargetMode="External"/><Relationship Id="rId2100" Type="http://schemas.openxmlformats.org/officeDocument/2006/relationships/hyperlink" Target="http://www.fatalencounters.org/wp-content/uploads/2013/10/Colby-Friday.jpg" TargetMode="External"/><Relationship Id="rId5049" Type="http://schemas.openxmlformats.org/officeDocument/2006/relationships/hyperlink" Target="https://kfor.com/2018/08/13/its-just-crazy-over-here-witnesses-concerned-about-drug-activity-after-officer-involved-shooting/" TargetMode="External"/><Relationship Id="rId5256" Type="http://schemas.openxmlformats.org/officeDocument/2006/relationships/hyperlink" Target="https://www.civilbeat.org/2018/10/experts-lack-of-mental-health-treatment-among-the-culprits-in-police-shootings/" TargetMode="External"/><Relationship Id="rId5463" Type="http://schemas.openxmlformats.org/officeDocument/2006/relationships/hyperlink" Target="https://www.brainerddispatch.com/news/crime-and-courts/4535011-suspect-shot-killed-police-northeast-minnesota" TargetMode="External"/><Relationship Id="rId5670" Type="http://schemas.openxmlformats.org/officeDocument/2006/relationships/hyperlink" Target="https://www.fatalencounters.org/wp-content/uploads/2019/01/John-Richard-Camacho.jpg" TargetMode="External"/><Relationship Id="rId6307" Type="http://schemas.openxmlformats.org/officeDocument/2006/relationships/hyperlink" Target="https://fatalencounters.org/wp-content/uploads/2019/06/Samuel-Galberth.jpg" TargetMode="External"/><Relationship Id="rId6514" Type="http://schemas.openxmlformats.org/officeDocument/2006/relationships/hyperlink" Target="https://fatalencounters.org/wp-content/uploads/2019/09/Omar-Shado-Stevens.jpg" TargetMode="External"/><Relationship Id="rId4065" Type="http://schemas.openxmlformats.org/officeDocument/2006/relationships/hyperlink" Target="http://www.fatalencounters.org/wp-content/uploads/2018/01/TylerMiller.png" TargetMode="External"/><Relationship Id="rId4272" Type="http://schemas.openxmlformats.org/officeDocument/2006/relationships/hyperlink" Target="http://www.king5.com/article/news/local/seattle/suspect-dead-after-seattle-officer-involved-shooting/281-520546144" TargetMode="External"/><Relationship Id="rId5116" Type="http://schemas.openxmlformats.org/officeDocument/2006/relationships/hyperlink" Target="https://whnt.com/2018/08/31/former-er-actress-vanessa-marquez-shot-dead-by-police/" TargetMode="External"/><Relationship Id="rId5323" Type="http://schemas.openxmlformats.org/officeDocument/2006/relationships/hyperlink" Target="https://www.knoxnews.com/story/news/2018/10/22/cocke-county-newport-officer-involved-shooting-tennessee-bureau-investigates/1727073002/" TargetMode="External"/><Relationship Id="rId6721" Type="http://schemas.openxmlformats.org/officeDocument/2006/relationships/hyperlink" Target="https://www.krem.com/article/news/local/kootenai-county/shooting-in-coeur-d-alene-idaho-near-silver-lake-mall/293-5e59a20f-a2e1-4472-8f6c-a7af1a96904d" TargetMode="External"/><Relationship Id="rId1659" Type="http://schemas.openxmlformats.org/officeDocument/2006/relationships/hyperlink" Target="https://cbsdallas.files.wordpress.com/2016/03/dad-mciver.jpg?w=640&amp;h=360&amp;crop=1" TargetMode="External"/><Relationship Id="rId1866" Type="http://schemas.openxmlformats.org/officeDocument/2006/relationships/hyperlink" Target="http://www.fatalencounters.org/wp-content/uploads/2013/10/Jay-Anderson.jpg" TargetMode="External"/><Relationship Id="rId2917" Type="http://schemas.openxmlformats.org/officeDocument/2006/relationships/hyperlink" Target="http://www.fatalencounters.org/wp-content/uploads/2013/10/moises.jpg" TargetMode="External"/><Relationship Id="rId3081" Type="http://schemas.openxmlformats.org/officeDocument/2006/relationships/hyperlink" Target="http://www.fatalencounters.org/wp-content/uploads/2013/10/Joshua-Martino.png" TargetMode="External"/><Relationship Id="rId4132" Type="http://schemas.openxmlformats.org/officeDocument/2006/relationships/hyperlink" Target="http://www.fatalencounters.org/wp-content/uploads/2018/01/Kevin-Sturgis.jpg" TargetMode="External"/><Relationship Id="rId5530" Type="http://schemas.openxmlformats.org/officeDocument/2006/relationships/hyperlink" Target="https://www.macon.com/news/local/crime/article222952010.html" TargetMode="External"/><Relationship Id="rId1519" Type="http://schemas.openxmlformats.org/officeDocument/2006/relationships/hyperlink" Target="http://www.wsmv.com/story/31072865/tbi-takes-over-officer-involved-shooting" TargetMode="External"/><Relationship Id="rId1726" Type="http://schemas.openxmlformats.org/officeDocument/2006/relationships/hyperlink" Target="http://www.fatalencounters.org/wp-content/uploads/2013/10/Williams.png" TargetMode="External"/><Relationship Id="rId1933" Type="http://schemas.openxmlformats.org/officeDocument/2006/relationships/hyperlink" Target="http://www.al.com/news/index.ssf/2016/07/knife-wielding_arizona_woman_s.html" TargetMode="External"/><Relationship Id="rId6097" Type="http://schemas.openxmlformats.org/officeDocument/2006/relationships/hyperlink" Target="https://www.fatalencounters.org/wp-content/uploads/2019/04/Theresa.jpg" TargetMode="External"/><Relationship Id="rId18" Type="http://schemas.openxmlformats.org/officeDocument/2006/relationships/hyperlink" Target="http://www.killedbypolice.net/victims/150680.jpg" TargetMode="External"/><Relationship Id="rId3898" Type="http://schemas.openxmlformats.org/officeDocument/2006/relationships/hyperlink" Target="http://www.abc15.com/news/region-southeast-valley/apache-junction/suspect-identified-in-deadly-apache-junction-police-shooting" TargetMode="External"/><Relationship Id="rId4949" Type="http://schemas.openxmlformats.org/officeDocument/2006/relationships/hyperlink" Target="https://www.fatalencounters.org/wp-content/uploads/2018/07/Devaughdre-Delsha-Rogers.jpg" TargetMode="External"/><Relationship Id="rId7148" Type="http://schemas.openxmlformats.org/officeDocument/2006/relationships/hyperlink" Target="http://fox40.com/2013/03/26/elderly-modesto-man-killed-in-officer-involved-shooting-identified/" TargetMode="External"/><Relationship Id="rId3758" Type="http://schemas.openxmlformats.org/officeDocument/2006/relationships/hyperlink" Target="http://www.goerie.com/news/20171027/news-conference-set-in-officer-involved-shooting-in-erie" TargetMode="External"/><Relationship Id="rId3965" Type="http://schemas.openxmlformats.org/officeDocument/2006/relationships/hyperlink" Target="http://wkrn.com/2017/12/15/tbi-investigates-officer-involved-shooting-near-mcminnville/" TargetMode="External"/><Relationship Id="rId4809" Type="http://schemas.openxmlformats.org/officeDocument/2006/relationships/hyperlink" Target="http://www.wlwt.com/article/chief-officer-shoots-kills-man-who-fatally-stabbed-woman-in-fairfield/21761061" TargetMode="External"/><Relationship Id="rId6164" Type="http://schemas.openxmlformats.org/officeDocument/2006/relationships/hyperlink" Target="https://www.chieftain.com/news/20190427/pueblo-police-kill-man-in-overnight-standoff" TargetMode="External"/><Relationship Id="rId6371" Type="http://schemas.openxmlformats.org/officeDocument/2006/relationships/hyperlink" Target="https://www.unionleader.com/news/crime/fatal-officer-involved-shooting-under-investigation-on-south-road-in/article_fc265beb-228a-57aa-884b-a65693b61f62.html" TargetMode="External"/><Relationship Id="rId7008" Type="http://schemas.openxmlformats.org/officeDocument/2006/relationships/hyperlink" Target="https://www.mprnews.org/story/2019/12/16/wife-of-man-fatally-shot-by-mpls-police-downplays-threatening-behavior" TargetMode="External"/><Relationship Id="rId7215" Type="http://schemas.openxmlformats.org/officeDocument/2006/relationships/hyperlink" Target="http://www.mlive.com/news/flint/index.ssf/2013/10/prosecutor_says_michigan_state.html" TargetMode="External"/><Relationship Id="rId679" Type="http://schemas.openxmlformats.org/officeDocument/2006/relationships/hyperlink" Target="http://lasvegas.cbslocal.com/2015/11/24/officer-involved-shooting-in-las-vegas/" TargetMode="External"/><Relationship Id="rId886" Type="http://schemas.openxmlformats.org/officeDocument/2006/relationships/hyperlink" Target="http://www.9and10news.com/story/30057906/gladwin-county-man-dead-after-shooting-at-deputies" TargetMode="External"/><Relationship Id="rId2567" Type="http://schemas.openxmlformats.org/officeDocument/2006/relationships/hyperlink" Target="http://www.news9.com/story/34104435/officers-shoot-chase-suspect-in-burns-flat" TargetMode="External"/><Relationship Id="rId2774" Type="http://schemas.openxmlformats.org/officeDocument/2006/relationships/hyperlink" Target="http://www.floridatoday.com/story/news/2017/03/19/deputy-involved-shooting-reported-cape-canaveral/99396440/" TargetMode="External"/><Relationship Id="rId3618" Type="http://schemas.openxmlformats.org/officeDocument/2006/relationships/hyperlink" Target="http://www.fatalencounters.org/wp-content/uploads/2013/10/Jesse-Enjaian.jpg" TargetMode="External"/><Relationship Id="rId5180" Type="http://schemas.openxmlformats.org/officeDocument/2006/relationships/hyperlink" Target="http://www.kwch.com/content/news/Authorities-responding-to-suspected-officer-involved-shooting-near-Garden-Plain--493421411.html" TargetMode="External"/><Relationship Id="rId6024" Type="http://schemas.openxmlformats.org/officeDocument/2006/relationships/hyperlink" Target="https://www.fatalencounters.org/wp-content/uploads/2019/03/Abraham-Arellano.jpg" TargetMode="External"/><Relationship Id="rId6231" Type="http://schemas.openxmlformats.org/officeDocument/2006/relationships/hyperlink" Target="https://fatalencounters.org/wp-content/uploads/2019/05/Michael-Nieto.jpg" TargetMode="External"/><Relationship Id="rId2" Type="http://schemas.openxmlformats.org/officeDocument/2006/relationships/hyperlink" Target="http://www.killedbypolice.net/victims/150912.jpg" TargetMode="External"/><Relationship Id="rId539" Type="http://schemas.openxmlformats.org/officeDocument/2006/relationships/hyperlink" Target="http://triblive.com/news/allegheny/4669466-74/officer-police-victim" TargetMode="External"/><Relationship Id="rId746" Type="http://schemas.openxmlformats.org/officeDocument/2006/relationships/hyperlink" Target="http://www.trbimg.com/img-55d0c66a/turbine/la-ashley-la0030492077-20150816/378/378x213" TargetMode="External"/><Relationship Id="rId1169" Type="http://schemas.openxmlformats.org/officeDocument/2006/relationships/hyperlink" Target="http://www.sfgate.com/crime/article/Prostitution-call-preceded-fatal-Sunnyvale-police-6448999.php" TargetMode="External"/><Relationship Id="rId1376" Type="http://schemas.openxmlformats.org/officeDocument/2006/relationships/hyperlink" Target="http://bigislandnow.com/2016/02/05/hpd-identifies-wanted-man-killed-in-officer-involved-shooting/" TargetMode="External"/><Relationship Id="rId1583" Type="http://schemas.openxmlformats.org/officeDocument/2006/relationships/hyperlink" Target="http://www.fatalencounters.org/wp-content/uploads/2013/10/OrlandoCollinscopy.jpg" TargetMode="External"/><Relationship Id="rId2427" Type="http://schemas.openxmlformats.org/officeDocument/2006/relationships/hyperlink" Target="http://wgntv.com/2016/11/24/19-year-old-fatally-shot-by-chicago-police-in-west-englewood/" TargetMode="External"/><Relationship Id="rId2981" Type="http://schemas.openxmlformats.org/officeDocument/2006/relationships/hyperlink" Target="http://www.latimes.com/local/lanow/la-me-tustin-police-fatal-shooting-20170517-story.html" TargetMode="External"/><Relationship Id="rId3825" Type="http://schemas.openxmlformats.org/officeDocument/2006/relationships/hyperlink" Target="http://www.wsaz.com/content/news/Large-police-presence-at-Flatwoods-Ky-incident-456544353.html" TargetMode="External"/><Relationship Id="rId5040" Type="http://schemas.openxmlformats.org/officeDocument/2006/relationships/hyperlink" Target="https://www.reviewjournal.com/crime/shootings/stabbing-suspect-killed-by-las-vegas-police-officer-idd/" TargetMode="External"/><Relationship Id="rId953" Type="http://schemas.openxmlformats.org/officeDocument/2006/relationships/hyperlink" Target="http://www.abc-7.com/story/30262286/ccso-suspect-dies-after-deputy-involved-shooting" TargetMode="External"/><Relationship Id="rId1029" Type="http://schemas.openxmlformats.org/officeDocument/2006/relationships/hyperlink" Target="http://www.nbcwashington.com/news/local/Prince-Georges-County-Sheriffs-Deputy-Involved-in-Fatal-Shooting-303283731.html" TargetMode="External"/><Relationship Id="rId1236" Type="http://schemas.openxmlformats.org/officeDocument/2006/relationships/hyperlink" Target="http://bloximages.newyork1.vip.townnews.com/pilotonline.com/content/tncms/assets/v3/editorial/3/a7/3a7e2d6d-7259-58c5-ac89-1ec96f63cb50/56957532c6402.image.jpg" TargetMode="External"/><Relationship Id="rId1790" Type="http://schemas.openxmlformats.org/officeDocument/2006/relationships/hyperlink" Target="http://www.ksfy.com/content/news/Man-shot-by-tribal-police-officer-in-emergency-room-dies-383111841.html" TargetMode="External"/><Relationship Id="rId2634" Type="http://schemas.openxmlformats.org/officeDocument/2006/relationships/hyperlink" Target="http://www.fatalencounters.org/wp-content/uploads/2013/10/TyreaseCarlyle.jpg" TargetMode="External"/><Relationship Id="rId2841" Type="http://schemas.openxmlformats.org/officeDocument/2006/relationships/hyperlink" Target="http://www.whio.com/news/local/suspect-shot-englewood-officer-died-multiple-gunshot-wounds/tzxNLkzR6txCkXFQBmykUO/" TargetMode="External"/><Relationship Id="rId5997" Type="http://schemas.openxmlformats.org/officeDocument/2006/relationships/hyperlink" Target="https://www.clickorlando.com/news/lake-county-deputy-shoots-kills-man-involved-in-domestic-dispute" TargetMode="External"/><Relationship Id="rId82" Type="http://schemas.openxmlformats.org/officeDocument/2006/relationships/hyperlink" Target="http://kxan.com/2015/07/06/police-say-man-killed-in-north-austin-aimed-a-bb-pistol-at-officers/" TargetMode="External"/><Relationship Id="rId606" Type="http://schemas.openxmlformats.org/officeDocument/2006/relationships/hyperlink" Target="http://www.killedbypolice.net/victims/150949.jpg" TargetMode="External"/><Relationship Id="rId813" Type="http://schemas.openxmlformats.org/officeDocument/2006/relationships/hyperlink" Target="http://www.kvoa.com/story/29916976/officer-involved-shooting-near-park-and-drexel" TargetMode="External"/><Relationship Id="rId1443" Type="http://schemas.openxmlformats.org/officeDocument/2006/relationships/hyperlink" Target="http://www.dothaneagle.com/news/ap/state/state-police-investigate-carlsbad-officer-involved-shooting/article_6582484b-ac35-5ff7-ae15-e972e92a453c.html" TargetMode="External"/><Relationship Id="rId1650" Type="http://schemas.openxmlformats.org/officeDocument/2006/relationships/hyperlink" Target="http://www.fatalencounters.org/wp-content/uploads/2013/10/edward-gorinski.jpg" TargetMode="External"/><Relationship Id="rId2701" Type="http://schemas.openxmlformats.org/officeDocument/2006/relationships/hyperlink" Target="http://www.chicagotribune.com/news/local/breaking/ct-washington-park-police-shooting-20170603-story.html" TargetMode="External"/><Relationship Id="rId4599" Type="http://schemas.openxmlformats.org/officeDocument/2006/relationships/hyperlink" Target="http://www.fatalencounters.org/wp-content/uploads/2018/05/Billy-Pike-Jr..jpg" TargetMode="External"/><Relationship Id="rId5857" Type="http://schemas.openxmlformats.org/officeDocument/2006/relationships/hyperlink" Target="https://www.pennlive.com/news/2019/02/trooper-fatally-shot-man-trying-to-stab-his-brother-police.html" TargetMode="External"/><Relationship Id="rId6908" Type="http://schemas.openxmlformats.org/officeDocument/2006/relationships/hyperlink" Target="https://fatalencounters.org/wp-content/uploads/2019/10/JosephKiser.jpg" TargetMode="External"/><Relationship Id="rId7072" Type="http://schemas.openxmlformats.org/officeDocument/2006/relationships/hyperlink" Target="https://www.turnto23.com/news/crime/coroner-identifies-man-who-died-after-kcso-deputy-involved-shooting-saturday" TargetMode="External"/><Relationship Id="rId1303" Type="http://schemas.openxmlformats.org/officeDocument/2006/relationships/hyperlink" Target="http://www.kob.com/article/stories/S4010182.shtml?cat=504" TargetMode="External"/><Relationship Id="rId1510" Type="http://schemas.openxmlformats.org/officeDocument/2006/relationships/hyperlink" Target="http://www.wlwt.com/news/police-officerinvolved-shooting-on-harrison-avenue/38047306" TargetMode="External"/><Relationship Id="rId4459" Type="http://schemas.openxmlformats.org/officeDocument/2006/relationships/hyperlink" Target="http://www.klfy.com/top-stories/deputy-involved-shooting-in-vernon-parish/1092503492" TargetMode="External"/><Relationship Id="rId4666" Type="http://schemas.openxmlformats.org/officeDocument/2006/relationships/hyperlink" Target="http://kfor.com/2018/05/17/shootout-between-suspect-federal-authorities-leaves-one-person-dead/" TargetMode="External"/><Relationship Id="rId4873" Type="http://schemas.openxmlformats.org/officeDocument/2006/relationships/hyperlink" Target="https://www.fatalencounters.org/wp-content/uploads/2018/07/Charles-Webb-1.png" TargetMode="External"/><Relationship Id="rId5717" Type="http://schemas.openxmlformats.org/officeDocument/2006/relationships/hyperlink" Target="https://www.fatalencounters.org/wp-content/uploads/2019/01/Williamowens.jpeg" TargetMode="External"/><Relationship Id="rId5924" Type="http://schemas.openxmlformats.org/officeDocument/2006/relationships/hyperlink" Target="https://www.fatalencounters.org/wp-content/uploads/2019/03/Larry-Todd-Hoover.png" TargetMode="External"/><Relationship Id="rId3268" Type="http://schemas.openxmlformats.org/officeDocument/2006/relationships/hyperlink" Target="https://www.ktbs.com/news/deadly-officer-involved-shooting-in-lincoln-parish/article_66f7b1ac-8ce6-11e7-9734-b39da7982681.html" TargetMode="External"/><Relationship Id="rId3475" Type="http://schemas.openxmlformats.org/officeDocument/2006/relationships/hyperlink" Target="http://www.fatalencounters.org/wp-content/uploads/2013/10/PhilipOshea.jpg" TargetMode="External"/><Relationship Id="rId3682" Type="http://schemas.openxmlformats.org/officeDocument/2006/relationships/hyperlink" Target="http://www.stltoday.com/news/local/crime-and-courts/florissant-police-kill-man-in-confrontation-at-his-home/article_5dbd7d22-85de-5981-b305-b4fb2a506a9c.html" TargetMode="External"/><Relationship Id="rId4319" Type="http://schemas.openxmlformats.org/officeDocument/2006/relationships/hyperlink" Target="http://www.khq.com/story/37646989/sandpoint-police-identify-officers-suspect-involved-in-shooting" TargetMode="External"/><Relationship Id="rId4526" Type="http://schemas.openxmlformats.org/officeDocument/2006/relationships/hyperlink" Target="http://www.fatalencounters.org/wp-content/uploads/2018/04/Dashaun-Shepard.jpg" TargetMode="External"/><Relationship Id="rId4733" Type="http://schemas.openxmlformats.org/officeDocument/2006/relationships/hyperlink" Target="http://abc13.com/suspect-dies-after-being-shot-by-police-outside-pearland-walmart/3565622/" TargetMode="External"/><Relationship Id="rId4940" Type="http://schemas.openxmlformats.org/officeDocument/2006/relationships/hyperlink" Target="http://www.azfamily.com/story/38697858/mesa-police-investigating-an-officer-involved-shooting" TargetMode="External"/><Relationship Id="rId189" Type="http://schemas.openxmlformats.org/officeDocument/2006/relationships/hyperlink" Target="http://www.kshb.com/news/crime/james-horn-man-who-locked-woman-in-box-wanted-in-connection-to-double-murder" TargetMode="External"/><Relationship Id="rId396" Type="http://schemas.openxmlformats.org/officeDocument/2006/relationships/hyperlink" Target="http://www.cleveland.com/metro/index.ssf/2014/09/man_shot_killed_by_cleveland_p.html" TargetMode="External"/><Relationship Id="rId2077" Type="http://schemas.openxmlformats.org/officeDocument/2006/relationships/hyperlink" Target="http://www.fatalencounters.org/wp-content/uploads/2013/10/Jeffrey-Allen-Morris.jpg" TargetMode="External"/><Relationship Id="rId2284" Type="http://schemas.openxmlformats.org/officeDocument/2006/relationships/hyperlink" Target="http://www.fatalencounters.org/wp-content/uploads/2013/10/Anthony-Garcia.jpg" TargetMode="External"/><Relationship Id="rId2491" Type="http://schemas.openxmlformats.org/officeDocument/2006/relationships/hyperlink" Target="http://www.fatalencounters.org/wp-content/uploads/2013/10/Steven-Garrett-Ward.jpg" TargetMode="External"/><Relationship Id="rId3128" Type="http://schemas.openxmlformats.org/officeDocument/2006/relationships/hyperlink" Target="http://www.azcentral.com/story/news/local/phoenix-breaking/2017/08/17/phoenix-police-shooting-injure-suspect/576002001/" TargetMode="External"/><Relationship Id="rId3335" Type="http://schemas.openxmlformats.org/officeDocument/2006/relationships/hyperlink" Target="http://www.fatalencounters.org/wp-content/uploads/2013/10/Jerrod-Kershaw.png" TargetMode="External"/><Relationship Id="rId3542" Type="http://schemas.openxmlformats.org/officeDocument/2006/relationships/hyperlink" Target="http://www.fatalencounters.org/wp-content/uploads/2013/10/Steven-Hopwood.png" TargetMode="External"/><Relationship Id="rId6698" Type="http://schemas.openxmlformats.org/officeDocument/2006/relationships/hyperlink" Target="https://nypost.com/2019/08/30/murder-suspect-killed-in-gunfight-with-cops-in-queens/" TargetMode="External"/><Relationship Id="rId256" Type="http://schemas.openxmlformats.org/officeDocument/2006/relationships/hyperlink" Target="http://www.bakersfieldnow.com/news/local/Questions-raised-after-officer-involved-shooting-in-Shafter-300410121.html" TargetMode="External"/><Relationship Id="rId463" Type="http://schemas.openxmlformats.org/officeDocument/2006/relationships/hyperlink" Target="http://m.union-bulletin.com/news/2014/apr/29/update-investigation-continues-athena-mans-fatal-s/?templates=mobile" TargetMode="External"/><Relationship Id="rId670" Type="http://schemas.openxmlformats.org/officeDocument/2006/relationships/hyperlink" Target="http://www.kshb.com/news/crime/man-dead-in-officer-involved-shooting-in-dekalb-county-missouri" TargetMode="External"/><Relationship Id="rId1093" Type="http://schemas.openxmlformats.org/officeDocument/2006/relationships/hyperlink" Target="http://www.killedbypolice.net/victims/150937.jpg" TargetMode="External"/><Relationship Id="rId2144" Type="http://schemas.openxmlformats.org/officeDocument/2006/relationships/hyperlink" Target="http://lasvegassun.com/news/2016/aug/28/man-fatally-shot-in-gunfight-with-nevada-trooper-i/" TargetMode="External"/><Relationship Id="rId2351" Type="http://schemas.openxmlformats.org/officeDocument/2006/relationships/hyperlink" Target="http://wvmetronews.com/2016/11/06/clendenin-man-killed-following-officer-involved-shooting/" TargetMode="External"/><Relationship Id="rId3402" Type="http://schemas.openxmlformats.org/officeDocument/2006/relationships/hyperlink" Target="http://www.msnewsnow.com/story/35682977/one-dead-deputy-wounded-in-officer-involved-shooting-in-yalobusha-co" TargetMode="External"/><Relationship Id="rId4800" Type="http://schemas.openxmlformats.org/officeDocument/2006/relationships/hyperlink" Target="https://www.fatalencounters.org/wp-content/uploads/2018/06/JonathonBuckley.jpg" TargetMode="External"/><Relationship Id="rId6558" Type="http://schemas.openxmlformats.org/officeDocument/2006/relationships/hyperlink" Target="https://www.timesfreepress.com/news/breakingnews/story/2019/jul/31/disorder-call-ends-officer-involved-shooting-kellys-ferry-road/500155/" TargetMode="External"/><Relationship Id="rId116" Type="http://schemas.openxmlformats.org/officeDocument/2006/relationships/hyperlink" Target="http://www.nydailynews.com/new-york/suspect-shot-killed-cops-stabbing-officer-police-article-1.2262745" TargetMode="External"/><Relationship Id="rId323" Type="http://schemas.openxmlformats.org/officeDocument/2006/relationships/hyperlink" Target="http://www.19actionnews.com/story/27709268/bedford-resident-shot-and-killed-during-confrontation-with-police" TargetMode="External"/><Relationship Id="rId530" Type="http://schemas.openxmlformats.org/officeDocument/2006/relationships/hyperlink" Target="http://bangordailynews.com/2013/10/10/news/bangor/police-identify-2-dead-in-old-town-stabbing-standoff/" TargetMode="External"/><Relationship Id="rId1160" Type="http://schemas.openxmlformats.org/officeDocument/2006/relationships/hyperlink" Target="https://cbssanfran.files.wordpress.com/2015/08/nathaniel_wilks_081415.jpg" TargetMode="External"/><Relationship Id="rId2004" Type="http://schemas.openxmlformats.org/officeDocument/2006/relationships/hyperlink" Target="http://www.sfgate.com/news/bayarea/article/Update-Suspect-Dies-During-Arrest-After-Leading-8439025.php" TargetMode="External"/><Relationship Id="rId2211" Type="http://schemas.openxmlformats.org/officeDocument/2006/relationships/hyperlink" Target="http://www.sbsun.com/general-news/20160912/colton-police-shoot-kill-man-following-pursuit" TargetMode="External"/><Relationship Id="rId5367" Type="http://schemas.openxmlformats.org/officeDocument/2006/relationships/hyperlink" Target="https://www.freep.com/story/news/local/michigan/macomb/2018/11/05/man-identified-st-clair-shores-shooting-dog/1890421002/" TargetMode="External"/><Relationship Id="rId6765" Type="http://schemas.openxmlformats.org/officeDocument/2006/relationships/hyperlink" Target="https://www.kmov.com/news/man-dead-shortly-after-altercation-with-deputies-in-madison-county/article_b5741944-da4e-11e9-88a8-d354ae83c1e3.html" TargetMode="External"/><Relationship Id="rId6972" Type="http://schemas.openxmlformats.org/officeDocument/2006/relationships/hyperlink" Target="https://fatalencounters.org/wp-content/uploads/2020/01/Nathaniel-Robert-Pinnock.jpg" TargetMode="External"/><Relationship Id="rId4176" Type="http://schemas.openxmlformats.org/officeDocument/2006/relationships/hyperlink" Target="http://www.wapt.com/article/jackson-police-officers-at-scene-of-apparent-shooting/15902334" TargetMode="External"/><Relationship Id="rId5574" Type="http://schemas.openxmlformats.org/officeDocument/2006/relationships/hyperlink" Target="https://www.fatalencounters.org/wp-content/uploads/2018/12/Keith-A.-Hawley.jpg" TargetMode="External"/><Relationship Id="rId5781" Type="http://schemas.openxmlformats.org/officeDocument/2006/relationships/hyperlink" Target="https://www.fatalencounters.org/wp-content/uploads/2019/02/David-Michael-Bosiljevac.jpg" TargetMode="External"/><Relationship Id="rId6418" Type="http://schemas.openxmlformats.org/officeDocument/2006/relationships/hyperlink" Target="https://www.wbko.com/content/news/Coroner-identifies-man-shot-and-killed-by-state-troopers-in-Wolfe-County-511955322.html" TargetMode="External"/><Relationship Id="rId6625" Type="http://schemas.openxmlformats.org/officeDocument/2006/relationships/hyperlink" Target="https://fatalencounters.org/wp-content/uploads/2019/09/JavaonOusley.jpg" TargetMode="External"/><Relationship Id="rId6832" Type="http://schemas.openxmlformats.org/officeDocument/2006/relationships/hyperlink" Target="https://fatalencounters.org/wp-content/uploads/2019/10/Joseph-Jesk.jpg" TargetMode="External"/><Relationship Id="rId1020" Type="http://schemas.openxmlformats.org/officeDocument/2006/relationships/hyperlink" Target="http://www.waaytv.com/appnews/huntsville-police-investigate-fatal-officer-involved-shooting/article_ed55e3aa-035d-11e5-86b1-a7abaa619c23.html" TargetMode="External"/><Relationship Id="rId1977" Type="http://schemas.openxmlformats.org/officeDocument/2006/relationships/hyperlink" Target="http://www.nj.com/ocean/index.ssf/2016/07/state_investigating_ocean_county_swat_team_shootin.html" TargetMode="External"/><Relationship Id="rId4383" Type="http://schemas.openxmlformats.org/officeDocument/2006/relationships/hyperlink" Target="http://wlos.com/news/local/sbi-investigating-deputy-involved-shooting-in-yancey-county" TargetMode="External"/><Relationship Id="rId4590" Type="http://schemas.openxmlformats.org/officeDocument/2006/relationships/hyperlink" Target="http://www.kcrg.com/content/news/Man-dead-after-exchanging-gunfire-with-Iowa-State-Patrol-Trooper-481189781.html" TargetMode="External"/><Relationship Id="rId5227" Type="http://schemas.openxmlformats.org/officeDocument/2006/relationships/hyperlink" Target="https://www.tri-cityherald.com/news/local/article219217875.html" TargetMode="External"/><Relationship Id="rId5434" Type="http://schemas.openxmlformats.org/officeDocument/2006/relationships/hyperlink" Target="http://www.waff.com/2018/11/21/officer-shot-suspect-another-person-dead-talladega-walmart/" TargetMode="External"/><Relationship Id="rId5641" Type="http://schemas.openxmlformats.org/officeDocument/2006/relationships/hyperlink" Target="https://www.azcentral.com/story/news/local/phoenix/2017/12/19/excessive-force-lawsuit-filed-over-mans-death-struggle-phoenix-cops/966954001/" TargetMode="External"/><Relationship Id="rId1837" Type="http://schemas.openxmlformats.org/officeDocument/2006/relationships/hyperlink" Target="http://heavy.com/news/2016/06/mohammad-sadegh-moghaddam-amarillo-texas-walmart-gunman-shooter-hostage-somalia-somalian-wife-leila-gachlou-photos/" TargetMode="External"/><Relationship Id="rId3192" Type="http://schemas.openxmlformats.org/officeDocument/2006/relationships/hyperlink" Target="http://www.cbs8.com/story/35435395/deputy-involved-shooting-reported-in-solana-beach" TargetMode="External"/><Relationship Id="rId4036" Type="http://schemas.openxmlformats.org/officeDocument/2006/relationships/hyperlink" Target="https://cdn.officer.com/files/base/cygnus/ofcr/image/2018/01/640w/suspect.5a4b7e111991c.jpg" TargetMode="External"/><Relationship Id="rId4243" Type="http://schemas.openxmlformats.org/officeDocument/2006/relationships/hyperlink" Target="https://www.local10.com/news/florida/miami-dade/police-involved-shooting-2-12-18" TargetMode="External"/><Relationship Id="rId4450" Type="http://schemas.openxmlformats.org/officeDocument/2006/relationships/hyperlink" Target="http://www.journalnow.com/news/crime/man-fatally-shot-by-police-officer-after-traffic-stop/article_f3e8adf0-8a48-507d-928c-c5cbffc377b4.html" TargetMode="External"/><Relationship Id="rId5501" Type="http://schemas.openxmlformats.org/officeDocument/2006/relationships/hyperlink" Target="https://www.ajc.com/news/crime--law/breaking-officer-shot-during-incident-henry-county/308BYwH1k41wbRQmoKl1WM/" TargetMode="External"/><Relationship Id="rId3052" Type="http://schemas.openxmlformats.org/officeDocument/2006/relationships/hyperlink" Target="http://www.pasadenastarnews.com/general-news/20170128/officials-man-killed-in-shootout-with-alhambra-police" TargetMode="External"/><Relationship Id="rId4103" Type="http://schemas.openxmlformats.org/officeDocument/2006/relationships/hyperlink" Target="https://www.nbcbayarea.com/news/local/Pittsburg-Police-Shoot-Kill-Man-as-he-Allegedly-Reached-for-Gun-469154863.html" TargetMode="External"/><Relationship Id="rId4310" Type="http://schemas.openxmlformats.org/officeDocument/2006/relationships/hyperlink" Target="https://www.nbclosangeles.com/news/local/Man-Killed-in-7-Eleven-Parking-Lot-After-Garden-Grove-Police-Open-Fire-475732823.html" TargetMode="External"/><Relationship Id="rId180" Type="http://schemas.openxmlformats.org/officeDocument/2006/relationships/hyperlink" Target="http://www.wsoctv.com/news/news/local/sled-responding-possible-officer-involved-shooting/nmQSJ/" TargetMode="External"/><Relationship Id="rId1904" Type="http://schemas.openxmlformats.org/officeDocument/2006/relationships/hyperlink" Target="http://whotv.com/2016/06/28/dci-investigating-boone-officer-involved-shooting/" TargetMode="External"/><Relationship Id="rId6068" Type="http://schemas.openxmlformats.org/officeDocument/2006/relationships/hyperlink" Target="https://www.wthr.com/article/1-dead-following-police-involved-shooting-brownstown" TargetMode="External"/><Relationship Id="rId6275" Type="http://schemas.openxmlformats.org/officeDocument/2006/relationships/hyperlink" Target="https://fatalencounters.org/wp-content/uploads/2019/05/Ryan-Brett-Thomas.jpg" TargetMode="External"/><Relationship Id="rId6482" Type="http://schemas.openxmlformats.org/officeDocument/2006/relationships/hyperlink" Target="https://fatalencounters.org/wp-content/uploads/2019/07/DarrellAllen.jpg" TargetMode="External"/><Relationship Id="rId7119" Type="http://schemas.openxmlformats.org/officeDocument/2006/relationships/hyperlink" Target="http://woodsvalentinefh.frontrunnerpro.com/book-of-memories/1475128/Smith-Dushine/obituary.php" TargetMode="External"/><Relationship Id="rId3869" Type="http://schemas.openxmlformats.org/officeDocument/2006/relationships/hyperlink" Target="http://www.greenvilleonline.com/story/news/local/2017/11/19/least-one-greenville-county-sheriffs-deputy-involved-shooting/879559001/" TargetMode="External"/><Relationship Id="rId5084" Type="http://schemas.openxmlformats.org/officeDocument/2006/relationships/hyperlink" Target="https://fox2now.com/2018/08/24/police-fatally-shoot-driver-in-i-55-chase-incident-may-be-related-to-sex-offender-warning/" TargetMode="External"/><Relationship Id="rId5291" Type="http://schemas.openxmlformats.org/officeDocument/2006/relationships/hyperlink" Target="https://www.ksat.com/news/sapd-investigating-whether-man-shot-by-officer-reached-for-his-own-weapon" TargetMode="External"/><Relationship Id="rId6135" Type="http://schemas.openxmlformats.org/officeDocument/2006/relationships/hyperlink" Target="http://www.fatalencounters.org/wp-content/uploads/2019/04/Michael-Allen-Felch.jpg" TargetMode="External"/><Relationship Id="rId6342" Type="http://schemas.openxmlformats.org/officeDocument/2006/relationships/hyperlink" Target="https://fatalencounters.org/wp-content/uploads/2019/06/Brent-Durbin-Daniel.jpg" TargetMode="External"/><Relationship Id="rId997" Type="http://schemas.openxmlformats.org/officeDocument/2006/relationships/hyperlink" Target="http://www.cincinnati.com/story/news/2015/06/19/trepierre-hummons-past/29018599/" TargetMode="External"/><Relationship Id="rId2678" Type="http://schemas.openxmlformats.org/officeDocument/2006/relationships/hyperlink" Target="http://www.chicagotribune.com/news/local/breaking/ct-police-shooting-lawndale-chicago-20170702-story.html" TargetMode="External"/><Relationship Id="rId2885" Type="http://schemas.openxmlformats.org/officeDocument/2006/relationships/hyperlink" Target="http://www.fauquier.com/prince_william_times/news/updated-teenager-dead-after-police-involved-shooting-in-haymarket/article_8707f1f6-9a32-11e7-b530-bbb63eb1df09.html" TargetMode="External"/><Relationship Id="rId3729" Type="http://schemas.openxmlformats.org/officeDocument/2006/relationships/hyperlink" Target="http://5newsonline.com/2017/10/20/sequoyah-county-deputy-taken-to-hospital-with-stab-wounds/" TargetMode="External"/><Relationship Id="rId3936" Type="http://schemas.openxmlformats.org/officeDocument/2006/relationships/hyperlink" Target="http://kgab.com/armed-motorist-reported-at-dell-range-and-ridge-road/" TargetMode="External"/><Relationship Id="rId5151" Type="http://schemas.openxmlformats.org/officeDocument/2006/relationships/hyperlink" Target="https://cw39.com/2018/09/10/woman-dead-after-officer-involved-shooting-in-missouri-city-area/" TargetMode="External"/><Relationship Id="rId857" Type="http://schemas.openxmlformats.org/officeDocument/2006/relationships/hyperlink" Target="http://www.ktbs.com/story/29975939/update-police-pursuit-ends-in-death-of-mentally-ill-suspect" TargetMode="External"/><Relationship Id="rId1487" Type="http://schemas.openxmlformats.org/officeDocument/2006/relationships/hyperlink" Target="http://www.star-telegram.com/news/local/crime/article57357633.html" TargetMode="External"/><Relationship Id="rId1694" Type="http://schemas.openxmlformats.org/officeDocument/2006/relationships/hyperlink" Target="http://ktre.images.worldnow.com/images/10524302_G.jpg" TargetMode="External"/><Relationship Id="rId2538" Type="http://schemas.openxmlformats.org/officeDocument/2006/relationships/hyperlink" Target="http://www.fatalencounters.org/wp-content/uploads/2013/10/Nick-Hamilton.png" TargetMode="External"/><Relationship Id="rId2745" Type="http://schemas.openxmlformats.org/officeDocument/2006/relationships/hyperlink" Target="http://www.fatalencounters.org/wp-content/uploads/2013/10/Hakim-McNair.jpg" TargetMode="External"/><Relationship Id="rId2952" Type="http://schemas.openxmlformats.org/officeDocument/2006/relationships/hyperlink" Target="http://www.fatalencounters.org/wp-content/uploads/2013/10/ChristopherReyes.jpg" TargetMode="External"/><Relationship Id="rId6202" Type="http://schemas.openxmlformats.org/officeDocument/2006/relationships/hyperlink" Target="https://ktla.com/2019/05/08/santa-barbara-man-dies-following-shootout-with-police/" TargetMode="External"/><Relationship Id="rId717" Type="http://schemas.openxmlformats.org/officeDocument/2006/relationships/hyperlink" Target="http://www.mercedsunstar.com/news/local/education/uc-merced/article42944028.html" TargetMode="External"/><Relationship Id="rId924" Type="http://schemas.openxmlformats.org/officeDocument/2006/relationships/hyperlink" Target="http://www.sfexaminer.com/new-details-emerge-fatal-mid-market-police-shooting/" TargetMode="External"/><Relationship Id="rId1347" Type="http://schemas.openxmlformats.org/officeDocument/2006/relationships/hyperlink" Target="http://www.local8now.com/news/headlines/Loudon-Co-deputies-respond-to-shooting-366757421.html" TargetMode="External"/><Relationship Id="rId1554" Type="http://schemas.openxmlformats.org/officeDocument/2006/relationships/hyperlink" Target="http://sacramento.cbslocal.com/2016/04/13/stockton-police-kill-carjacking-suspect/" TargetMode="External"/><Relationship Id="rId1761" Type="http://schemas.openxmlformats.org/officeDocument/2006/relationships/hyperlink" Target="http://www.ksat.com/news/motel-guest-man-shot-killed-by-police-had-been-acting-strangely" TargetMode="External"/><Relationship Id="rId2605" Type="http://schemas.openxmlformats.org/officeDocument/2006/relationships/hyperlink" Target="http://abc7.com/news/woman-reportedly-armed-with-knife-shot-by-police-in-long-beach/1704155/" TargetMode="External"/><Relationship Id="rId2812" Type="http://schemas.openxmlformats.org/officeDocument/2006/relationships/hyperlink" Target="http://www.kentwired.com/latest_updates/article_99d5a8d0-f728-11e6-9b63-9f9037395213.html" TargetMode="External"/><Relationship Id="rId5011" Type="http://schemas.openxmlformats.org/officeDocument/2006/relationships/hyperlink" Target="https://www.fatalencounters.org/wp-content/uploads/2018/08/Eric-Richards.jpeg" TargetMode="External"/><Relationship Id="rId5968" Type="http://schemas.openxmlformats.org/officeDocument/2006/relationships/hyperlink" Target="https://baltimore.cbslocal.com/2019/03/13/maryland-state-police-trooper-fatal-shooting/" TargetMode="External"/><Relationship Id="rId53" Type="http://schemas.openxmlformats.org/officeDocument/2006/relationships/hyperlink" Target="http://media.cmgdigital.com/shared/lt/lt_cache/thumbnail/600/img/photos/2015/07/13/35/c5/DavidLepine_1.jpg" TargetMode="External"/><Relationship Id="rId1207" Type="http://schemas.openxmlformats.org/officeDocument/2006/relationships/hyperlink" Target="http://homicide.latimes.com/post/dion-lamont-ramirez/" TargetMode="External"/><Relationship Id="rId1414" Type="http://schemas.openxmlformats.org/officeDocument/2006/relationships/hyperlink" Target="http://www.denverpost.com/news/ci_29550970/denver-cop-shot-burglary-once-called-her-job" TargetMode="External"/><Relationship Id="rId1621" Type="http://schemas.openxmlformats.org/officeDocument/2006/relationships/hyperlink" Target="http://www.burlingtonfreepress.com/story/news/2016/03/22/officer-involved-shooting-update/82126210/" TargetMode="External"/><Relationship Id="rId4777" Type="http://schemas.openxmlformats.org/officeDocument/2006/relationships/hyperlink" Target="https://www.kshb.com/news/crime/kcpd-continue-to-investigate-barney-allis-plaza-officer-involved-shooting" TargetMode="External"/><Relationship Id="rId4984" Type="http://schemas.openxmlformats.org/officeDocument/2006/relationships/hyperlink" Target="http://www.kvoa.com/story/38782586/neighborhood-evacuated-following-swat-situation-near-alvernon-and-valencia" TargetMode="External"/><Relationship Id="rId5828" Type="http://schemas.openxmlformats.org/officeDocument/2006/relationships/hyperlink" Target="https://www.reporternews.com/story/news/crime/2019/02/08/snyder-texas-police-officer-whitney-merket-fatally-shoots-suspect-during-altercation/2812053002/" TargetMode="External"/><Relationship Id="rId7183" Type="http://schemas.openxmlformats.org/officeDocument/2006/relationships/hyperlink" Target="http://i0.huffpost.com/gen/1080573/images/s-EMILY-KRUMREI-large.jpg" TargetMode="External"/><Relationship Id="rId3379" Type="http://schemas.openxmlformats.org/officeDocument/2006/relationships/hyperlink" Target="http://www.fatalencounters.org/wp-content/uploads/2013/10/James-William-Huskey.png" TargetMode="External"/><Relationship Id="rId3586" Type="http://schemas.openxmlformats.org/officeDocument/2006/relationships/hyperlink" Target="http://www.newsnet5.com/traffic/traffic-news/i-71-southbound-near-i-271-is-closed-due-to-a-police-crash-that-ended-in-a-chase" TargetMode="External"/><Relationship Id="rId3793" Type="http://schemas.openxmlformats.org/officeDocument/2006/relationships/hyperlink" Target="http://www.arkansasonline.com/news/2017/nov/04/arkansas-state-police-investigating-officer-involv/?f=news-arkansas" TargetMode="External"/><Relationship Id="rId4637" Type="http://schemas.openxmlformats.org/officeDocument/2006/relationships/hyperlink" Target="http://www.fatalencounters.org/wp-content/uploads/2018/05/Michael-E.-Hutchman.jpg" TargetMode="External"/><Relationship Id="rId7043" Type="http://schemas.openxmlformats.org/officeDocument/2006/relationships/hyperlink" Target="https://fatalencounters.org/wp-content/uploads/2019/12/Marc-Denver-Thompson.jpg" TargetMode="External"/><Relationship Id="rId7250" Type="http://schemas.openxmlformats.org/officeDocument/2006/relationships/hyperlink" Target="https://www.abqjournal.com/808551/da-clears-officers-in-2013-shooting.html" TargetMode="External"/><Relationship Id="rId2188" Type="http://schemas.openxmlformats.org/officeDocument/2006/relationships/hyperlink" Target="http://www.abc15.com/news/region-phoenix-metro/central-phoenix/phx-pd-involved-in-fatal-shooting-for-second-time-in-12-hours" TargetMode="External"/><Relationship Id="rId2395" Type="http://schemas.openxmlformats.org/officeDocument/2006/relationships/hyperlink" Target="http://abc7.com/news/man-armed-with-machete-fatally-shot-by-whittier-police/1610061/" TargetMode="External"/><Relationship Id="rId3239" Type="http://schemas.openxmlformats.org/officeDocument/2006/relationships/hyperlink" Target="https://www.google.com/url?q=http://www.renakerklockgether.com/fh_live/12200/12260/images/obituaries/4131152_fbs.jpg&amp;sa=D&amp;ust=1508882833414000&amp;usg=AFQjCNH7VgyNi5omfPuvJU6rb5JIscG4qg" TargetMode="External"/><Relationship Id="rId3446" Type="http://schemas.openxmlformats.org/officeDocument/2006/relationships/hyperlink" Target="http://www.tucsonnewsnow.com/story/35530465/officer-involved-shooting-near-park-and-drexel" TargetMode="External"/><Relationship Id="rId4844" Type="http://schemas.openxmlformats.org/officeDocument/2006/relationships/hyperlink" Target="https://www.fatalencounters.org/wp-content/uploads/2018/07/stevenballard.jpg" TargetMode="External"/><Relationship Id="rId7110" Type="http://schemas.openxmlformats.org/officeDocument/2006/relationships/hyperlink" Target="http://www.tulsaworld.com/homepagelatest/most-wanted-suspect-dies-after-police-car-runs-her-over/article_99c70fd2-c58c-5379-bd96-e8f20cd7a8c1.html" TargetMode="External"/><Relationship Id="rId367" Type="http://schemas.openxmlformats.org/officeDocument/2006/relationships/hyperlink" Target="https://www.facebook.com/groups/387178151407408/" TargetMode="External"/><Relationship Id="rId574" Type="http://schemas.openxmlformats.org/officeDocument/2006/relationships/hyperlink" Target="http://www.baynews9.com/content/dam/news/images/2012/12/Suspect-killed-110.jpg" TargetMode="External"/><Relationship Id="rId2048" Type="http://schemas.openxmlformats.org/officeDocument/2006/relationships/hyperlink" Target="http://www.live5news.com/story/32595164/coroner-identifies-wanted-virginia-suspect-shot-and-killed-by-lake-city-police" TargetMode="External"/><Relationship Id="rId2255" Type="http://schemas.openxmlformats.org/officeDocument/2006/relationships/hyperlink" Target="http://www.fatalencounters.org/wp-content/uploads/2013/10/Devan-Desnoyers.jpg" TargetMode="External"/><Relationship Id="rId3653" Type="http://schemas.openxmlformats.org/officeDocument/2006/relationships/hyperlink" Target="http://www.charlotteobserver.com/news/local/article130526329.html" TargetMode="External"/><Relationship Id="rId3860" Type="http://schemas.openxmlformats.org/officeDocument/2006/relationships/hyperlink" Target="https://www.abqjournal.com/1094256/bcso-deputies-involved-in-shooting-on-coors-near-hanover.html" TargetMode="External"/><Relationship Id="rId4704" Type="http://schemas.openxmlformats.org/officeDocument/2006/relationships/hyperlink" Target="http://www.ky3.com/content/news/Suicidal-man-shot-and-killed-after-confronting-deputy-with-knife-483997471.html" TargetMode="External"/><Relationship Id="rId4911" Type="http://schemas.openxmlformats.org/officeDocument/2006/relationships/hyperlink" Target="https://www.fatalencounters.org/wp-content/uploads/2018/05/Kevin-Robert-Holroyd.jpg" TargetMode="External"/><Relationship Id="rId227" Type="http://schemas.openxmlformats.org/officeDocument/2006/relationships/hyperlink" Target="http://www.azcentral.com/story/news/local/mesa/2015/04/29/mesa-police-officer-involved-fatal-shooting-abrk/26610825/" TargetMode="External"/><Relationship Id="rId781" Type="http://schemas.openxmlformats.org/officeDocument/2006/relationships/hyperlink" Target="http://www.khq.com/story/29771812/man-killed-in-officer-involved-shooting-identified" TargetMode="External"/><Relationship Id="rId2462" Type="http://schemas.openxmlformats.org/officeDocument/2006/relationships/hyperlink" Target="http://www.fatalencounters.org/wp-content/uploads/2013/10/Quinton-Phillips.jpg" TargetMode="External"/><Relationship Id="rId3306" Type="http://schemas.openxmlformats.org/officeDocument/2006/relationships/hyperlink" Target="http://wgntv.com/2017/08/10/fatal-police-involved-shooting-in-dyer-after-chase-in-illinois/" TargetMode="External"/><Relationship Id="rId3513" Type="http://schemas.openxmlformats.org/officeDocument/2006/relationships/hyperlink" Target="http://www.theolympian.com/news/local/crime/article144583509.html" TargetMode="External"/><Relationship Id="rId3720" Type="http://schemas.openxmlformats.org/officeDocument/2006/relationships/hyperlink" Target="http://www.fatalencounters.org/wp-content/uploads/2013/10/Mitchell-Fox.png" TargetMode="External"/><Relationship Id="rId6669" Type="http://schemas.openxmlformats.org/officeDocument/2006/relationships/hyperlink" Target="https://fatalencounters.org/wp-content/uploads/2019/09/Daryl-L.-Perkins.jpg" TargetMode="External"/><Relationship Id="rId6876" Type="http://schemas.openxmlformats.org/officeDocument/2006/relationships/hyperlink" Target="https://fatalencounters.org/wp-content/uploads/2020/01/Daniel-James-Wood.jpg" TargetMode="External"/><Relationship Id="rId434" Type="http://schemas.openxmlformats.org/officeDocument/2006/relationships/hyperlink" Target="http://www.wsp.wa.gov/information/releases/2014_archive/mr061714.htm" TargetMode="External"/><Relationship Id="rId641" Type="http://schemas.openxmlformats.org/officeDocument/2006/relationships/hyperlink" Target="http://www.killedbypolice.net/victims/151038.jpg" TargetMode="External"/><Relationship Id="rId1064" Type="http://schemas.openxmlformats.org/officeDocument/2006/relationships/hyperlink" Target="http://www.vcstar.com/news/local-news/oxnard/oxnard-woman-killed-by-police-after-domestic-dispute-call_34372240" TargetMode="External"/><Relationship Id="rId1271" Type="http://schemas.openxmlformats.org/officeDocument/2006/relationships/hyperlink" Target="http://www.fatalencounters.org/wp-content/uploads/2013/10/Justin-Patrick-Moses.png" TargetMode="External"/><Relationship Id="rId2115" Type="http://schemas.openxmlformats.org/officeDocument/2006/relationships/hyperlink" Target="http://www.fatalencounters.org/wp-content/uploads/2013/10/Joseph-Nathaniel-Weber.png" TargetMode="External"/><Relationship Id="rId2322" Type="http://schemas.openxmlformats.org/officeDocument/2006/relationships/hyperlink" Target="http://www.sacbee.com/news/local/crime/article111315152.html" TargetMode="External"/><Relationship Id="rId5478" Type="http://schemas.openxmlformats.org/officeDocument/2006/relationships/hyperlink" Target="https://www.grandforksherald.com/news/crime-and-courts/4536723-man-shot-killed-after-allegedly-firing-south-dakota-deputies-during" TargetMode="External"/><Relationship Id="rId5685" Type="http://schemas.openxmlformats.org/officeDocument/2006/relationships/hyperlink" Target="https://www.11alive.com/article/news/local/2-shot-off-candler-road-in-dekalb-county-officer-involved-shooting/85-20d01d2d-18f6-4622-bc39-a4b683e99e53" TargetMode="External"/><Relationship Id="rId5892" Type="http://schemas.openxmlformats.org/officeDocument/2006/relationships/hyperlink" Target="https://www.fatalencounters.org/wp-content/uploads/2019/02/Daniel-David-Messmer.png" TargetMode="External"/><Relationship Id="rId6529" Type="http://schemas.openxmlformats.org/officeDocument/2006/relationships/hyperlink" Target="https://www.abqjournal.com/1343341/bcso-deputies-shoot-kill-woman-in-south-valley.html" TargetMode="External"/><Relationship Id="rId6736" Type="http://schemas.openxmlformats.org/officeDocument/2006/relationships/hyperlink" Target="https://fatalencounters.org/wp-content/uploads/2019/09/Kristopher-Fitzpatrick.jpg" TargetMode="External"/><Relationship Id="rId6943" Type="http://schemas.openxmlformats.org/officeDocument/2006/relationships/hyperlink" Target="https://www.nbc15.com/content/news/Man-dead-after-officer-involved-shooting-in-Madison-563963901.html" TargetMode="External"/><Relationship Id="rId501" Type="http://schemas.openxmlformats.org/officeDocument/2006/relationships/hyperlink" Target="http://www.ktbs.com/story/24667057/officer-involved-shooting-in-ruston-leaves-one-dead" TargetMode="External"/><Relationship Id="rId1131" Type="http://schemas.openxmlformats.org/officeDocument/2006/relationships/hyperlink" Target="http://www.killedbypolice.net/victims/151072.jpg" TargetMode="External"/><Relationship Id="rId4287" Type="http://schemas.openxmlformats.org/officeDocument/2006/relationships/hyperlink" Target="http://trib.com/news/state-and-regional/man-wielding-sword-dies-in-casper-police-officer-shooting/article_5b973baa-093c-59f1-be77-66dda320a4f3.html" TargetMode="External"/><Relationship Id="rId4494" Type="http://schemas.openxmlformats.org/officeDocument/2006/relationships/hyperlink" Target="http://www.koin.com/news/crime/suspect-dead-in-officer-involved-shooting-in-se-portland/1106839697" TargetMode="External"/><Relationship Id="rId5338" Type="http://schemas.openxmlformats.org/officeDocument/2006/relationships/hyperlink" Target="https://www.abc15.com/news/region-phoenix-metro/central-phoenix/end-of-pursuit-shuts-down-lanes-of-interstate-17-at-7th-street-dps-says" TargetMode="External"/><Relationship Id="rId5545" Type="http://schemas.openxmlformats.org/officeDocument/2006/relationships/hyperlink" Target="https://wreg.com/2018/12/14/man-killed-by-memphis-police-after-pointing-gun-at-drivers-identified/" TargetMode="External"/><Relationship Id="rId5752" Type="http://schemas.openxmlformats.org/officeDocument/2006/relationships/hyperlink" Target="https://ktvq.com/news/local-news/2019/01/21/billings-police-chief-shepherd-man-shot-and-killed-by-officers-had-violent-history/" TargetMode="External"/><Relationship Id="rId6803" Type="http://schemas.openxmlformats.org/officeDocument/2006/relationships/hyperlink" Target="https://www.cbs17.com/news/local-news/officer-and-robbery-suspect-identified-in-sanford-officer-involved-shooting/" TargetMode="External"/><Relationship Id="rId3096" Type="http://schemas.openxmlformats.org/officeDocument/2006/relationships/hyperlink" Target="https://www.adn.com/alaska-news/crime-courts/2017/03/26/troopers-shoot-kill-wasilla-man-who-fatally-wounded-k-9/" TargetMode="External"/><Relationship Id="rId4147" Type="http://schemas.openxmlformats.org/officeDocument/2006/relationships/hyperlink" Target="http://www.wfaa.com/news/crime/burglary-suspect-fatally-shot-by-irving-officer/510511648" TargetMode="External"/><Relationship Id="rId4354" Type="http://schemas.openxmlformats.org/officeDocument/2006/relationships/hyperlink" Target="http://www.fatalencounters.org/wp-content/uploads/2018/03/Andy-Lucero.jpg" TargetMode="External"/><Relationship Id="rId4561" Type="http://schemas.openxmlformats.org/officeDocument/2006/relationships/hyperlink" Target="http://www.fatalencounters.org/wp-content/uploads/2018/04/Lockwood-Adrian-Gibson.jpg" TargetMode="External"/><Relationship Id="rId5405" Type="http://schemas.openxmlformats.org/officeDocument/2006/relationships/hyperlink" Target="https://www.al.com/news/2018/11/man-shot-killed-by-police-in-lowndes-county.html" TargetMode="External"/><Relationship Id="rId5612" Type="http://schemas.openxmlformats.org/officeDocument/2006/relationships/hyperlink" Target="http://www.newspressnow.com/news/local_news/one-seriously-injured-in-officer-involved-shooting/article_10b4efee-d129-57a0-ac94-12ae2462ddf2.html" TargetMode="External"/><Relationship Id="rId1948" Type="http://schemas.openxmlformats.org/officeDocument/2006/relationships/hyperlink" Target="https://timedotcom.files.wordpress.com/2016/07/micah_johnson_dallas.jpg?quality=75&amp;strip=color&amp;w=1012" TargetMode="External"/><Relationship Id="rId3163" Type="http://schemas.openxmlformats.org/officeDocument/2006/relationships/hyperlink" Target="http://www.cleveland19.com/story/35842182/akron-standoff-ends-with-a-man-dead?utm_content=buffera139f&amp;utm_medium=social&amp;utm_source=facebook.com&amp;utm_campaign=buffer" TargetMode="External"/><Relationship Id="rId3370" Type="http://schemas.openxmlformats.org/officeDocument/2006/relationships/hyperlink" Target="http://www.fatalencounters.org/wp-content/uploads/2013/10/Michael-Anthony-Rude.jpg" TargetMode="External"/><Relationship Id="rId4007" Type="http://schemas.openxmlformats.org/officeDocument/2006/relationships/hyperlink" Target="http://fox41yakima.com/wsp-investigating-fatal-officer-involved-shooting/" TargetMode="External"/><Relationship Id="rId4214" Type="http://schemas.openxmlformats.org/officeDocument/2006/relationships/hyperlink" Target="http://www.fatalencounters.org/wp-content/uploads/2018/02/Lizana-Ernie-218x150.jpg" TargetMode="External"/><Relationship Id="rId4421" Type="http://schemas.openxmlformats.org/officeDocument/2006/relationships/hyperlink" Target="http://www.ktva.com/story/37803146/1-dead-in-nikolaevsk-trooper-involved-shooting" TargetMode="External"/><Relationship Id="rId291" Type="http://schemas.openxmlformats.org/officeDocument/2006/relationships/hyperlink" Target="http://www.click2houston.com/news/pd-man-with-pellet-gun-shot-dead-by-baytown-police-officer/32108156" TargetMode="External"/><Relationship Id="rId1808" Type="http://schemas.openxmlformats.org/officeDocument/2006/relationships/hyperlink" Target="http://www.uppermichiganssource.com/content/news/Police-responding-to-Ishpeming-Twp-incident-382352271.html" TargetMode="External"/><Relationship Id="rId3023" Type="http://schemas.openxmlformats.org/officeDocument/2006/relationships/hyperlink" Target="http://www.wibw.com/content/news/Four-dead-including-suspect-in-Newton-officer-involved-shooting-414582423.html" TargetMode="External"/><Relationship Id="rId6179" Type="http://schemas.openxmlformats.org/officeDocument/2006/relationships/hyperlink" Target="https://www.mypanhandle.com/news/fdle-investigating-officer-involved-shooting-in-walton-county/1970299679" TargetMode="External"/><Relationship Id="rId6386" Type="http://schemas.openxmlformats.org/officeDocument/2006/relationships/hyperlink" Target="https://fatalencounters.org/wp-content/uploads/2019/06/GALVAN-MARK-ANTHONY.jpg" TargetMode="External"/><Relationship Id="rId151" Type="http://schemas.openxmlformats.org/officeDocument/2006/relationships/hyperlink" Target="http://www.nydailynews.com/new-york/bronx/bronx-man-shocked-taser-cops-dies-sources-article-1.2250703" TargetMode="External"/><Relationship Id="rId3230" Type="http://schemas.openxmlformats.org/officeDocument/2006/relationships/hyperlink" Target="http://www.kesq.com/news/officer-involved-shooting-in-desert-hot-springs/404165473" TargetMode="External"/><Relationship Id="rId5195" Type="http://schemas.openxmlformats.org/officeDocument/2006/relationships/hyperlink" Target="https://www.wpxi.com/news/top-stories/gunman-killed-by-police-after-shooting-4-at-judge-s-office/837563998" TargetMode="External"/><Relationship Id="rId6039" Type="http://schemas.openxmlformats.org/officeDocument/2006/relationships/hyperlink" Target="https://www.kxan.com/news/local-news/burnet-man-shot-and-killed-after-driving-over-officer-s-foot/1880169931" TargetMode="External"/><Relationship Id="rId6593" Type="http://schemas.openxmlformats.org/officeDocument/2006/relationships/hyperlink" Target="https://fatalencounters.org/wp-content/uploads/2019/08/Riche-Antonio-Santiago.jpg" TargetMode="External"/><Relationship Id="rId2789" Type="http://schemas.openxmlformats.org/officeDocument/2006/relationships/hyperlink" Target="http://www.fatalencounters.org/wp-content/uploads/2013/10/Rashad-Daquan-Opher.jpg" TargetMode="External"/><Relationship Id="rId2996" Type="http://schemas.openxmlformats.org/officeDocument/2006/relationships/hyperlink" Target="http://www.yourcentralvalley.com/news/breaking-16-year-old-involved-in-officer-involved-shooting-dies/696949563" TargetMode="External"/><Relationship Id="rId6246" Type="http://schemas.openxmlformats.org/officeDocument/2006/relationships/hyperlink" Target="https://www.fresnobee.com/news/local/crime/article230600959.html" TargetMode="External"/><Relationship Id="rId6453" Type="http://schemas.openxmlformats.org/officeDocument/2006/relationships/hyperlink" Target="https://fatalencounters.org/wp-content/uploads/2019/07/Stonechild-Chiefstick.jpeg" TargetMode="External"/><Relationship Id="rId6660" Type="http://schemas.openxmlformats.org/officeDocument/2006/relationships/hyperlink" Target="https://fatalencounters.org/wp-content/uploads/2019/09/William-Lloyd-Jones.jpg" TargetMode="External"/><Relationship Id="rId968" Type="http://schemas.openxmlformats.org/officeDocument/2006/relationships/hyperlink" Target="http://www.orlandosentinel.com/news/breaking-news/os-orlando-police-suspect-shooting-20150717-story.html" TargetMode="External"/><Relationship Id="rId1598" Type="http://schemas.openxmlformats.org/officeDocument/2006/relationships/hyperlink" Target="http://www.fatalencounters.org/wp-content/uploads/2013/10/Seales.jpg" TargetMode="External"/><Relationship Id="rId2649" Type="http://schemas.openxmlformats.org/officeDocument/2006/relationships/hyperlink" Target="http://www.fatalencounters.org/wp-content/uploads/2013/10/Bradley-1.jpg" TargetMode="External"/><Relationship Id="rId2856" Type="http://schemas.openxmlformats.org/officeDocument/2006/relationships/hyperlink" Target="http://www.fatalencounters.org/wp-content/uploads/2013/10/Sabin-Marcus-Jones.png" TargetMode="External"/><Relationship Id="rId3907" Type="http://schemas.openxmlformats.org/officeDocument/2006/relationships/hyperlink" Target="http://www.kolotv.com/content/news/Active-Shooter-Call-at-the-Montage--460661813.html" TargetMode="External"/><Relationship Id="rId5055" Type="http://schemas.openxmlformats.org/officeDocument/2006/relationships/hyperlink" Target="https://www.yourcentralvalley.com/news/local-news/police-respond-to-possible-officer-involved-shooting-in-southeast-fresno/1368436573" TargetMode="External"/><Relationship Id="rId5262" Type="http://schemas.openxmlformats.org/officeDocument/2006/relationships/hyperlink" Target="https://www.denverpost.com/2018/10/12/larimer-officer-involved-shooting-ids/" TargetMode="External"/><Relationship Id="rId6106" Type="http://schemas.openxmlformats.org/officeDocument/2006/relationships/hyperlink" Target="https://www.fatalencounters.org/wp-content/uploads/2019/04/Marcus-McVae.jpg" TargetMode="External"/><Relationship Id="rId6313" Type="http://schemas.openxmlformats.org/officeDocument/2006/relationships/hyperlink" Target="https://www.kait8.com/2019/06/06/police-respond-shooting-call-jonesboro/" TargetMode="External"/><Relationship Id="rId6520" Type="http://schemas.openxmlformats.org/officeDocument/2006/relationships/hyperlink" Target="https://wvva.com/news/national-news-from-the-associated-press/2019/07/19/police-id-suspect-in-shooting-of-arkansas-sheriffs-deputy/" TargetMode="External"/><Relationship Id="rId97" Type="http://schemas.openxmlformats.org/officeDocument/2006/relationships/hyperlink" Target="http://www.nbcnews.com/storyline/new-york-prison-escape/autopsy-shows-prison-escapee-richard-matt-was-drunk-when-he-n404676" TargetMode="External"/><Relationship Id="rId828" Type="http://schemas.openxmlformats.org/officeDocument/2006/relationships/hyperlink" Target="http://www.bakersfieldnow.com/news/local/Family-demands-investigation-after-police-shooting-322761581.html" TargetMode="External"/><Relationship Id="rId1458" Type="http://schemas.openxmlformats.org/officeDocument/2006/relationships/hyperlink" Target="http://wncn.com/2016/02/29/raleigh-police-investigate-officer-involved-shooting/" TargetMode="External"/><Relationship Id="rId1665" Type="http://schemas.openxmlformats.org/officeDocument/2006/relationships/hyperlink" Target="http://www.independentmail.com/news/state-investigating-death-of-man-in-anderson-police-custody-31cbe416-5ee0-5824-e053-0100007ff462-377746431.html" TargetMode="External"/><Relationship Id="rId1872" Type="http://schemas.openxmlformats.org/officeDocument/2006/relationships/hyperlink" Target="http://www.fatalencounters.org/wp-content/uploads/2013/10/Prak.jpg" TargetMode="External"/><Relationship Id="rId2509" Type="http://schemas.openxmlformats.org/officeDocument/2006/relationships/hyperlink" Target="http://www.kansas.com/news/local/crime/article120423998.html" TargetMode="External"/><Relationship Id="rId2716" Type="http://schemas.openxmlformats.org/officeDocument/2006/relationships/hyperlink" Target="http://www.nbc12.com/story/35435450/police-investigating-officer-involved-shooting-in-south-richmond" TargetMode="External"/><Relationship Id="rId4071" Type="http://schemas.openxmlformats.org/officeDocument/2006/relationships/hyperlink" Target="http://www.al.com/news/birmingham/index.ssf/2018/01/domestic_violence_suspect_wavi.html" TargetMode="External"/><Relationship Id="rId5122" Type="http://schemas.openxmlformats.org/officeDocument/2006/relationships/hyperlink" Target="https://imagesvc.timeincapp.com/v3/mm/image?url=https%3A%2F%2Fpeopledotcom.files.wordpress.com%2F2018%2F09%2Fmary-wheat.jpg%3Fw%3D1500&amp;w=700&amp;c=sc&amp;poi=face&amp;q=85" TargetMode="External"/><Relationship Id="rId1318" Type="http://schemas.openxmlformats.org/officeDocument/2006/relationships/hyperlink" Target="http://www.wpsdlocal6.com/story/30970664/officer-involved-shooting-in-hurst-ill" TargetMode="External"/><Relationship Id="rId1525" Type="http://schemas.openxmlformats.org/officeDocument/2006/relationships/hyperlink" Target="http://www.ksla.com/story/31172316/jp-deputies-fatally-shoot-suspect-in-orleans-after-incident-at-oakwood-mall" TargetMode="External"/><Relationship Id="rId2923" Type="http://schemas.openxmlformats.org/officeDocument/2006/relationships/hyperlink" Target="http://www.fatalencounters.org/wp-content/uploads/2013/10/Vicente-Velasquez.jpg" TargetMode="External"/><Relationship Id="rId7087" Type="http://schemas.openxmlformats.org/officeDocument/2006/relationships/hyperlink" Target="https://fatalencounters.org/wp-content/uploads/2020/01/Eric-M.-Tellez-Jr..jpg" TargetMode="External"/><Relationship Id="rId1732" Type="http://schemas.openxmlformats.org/officeDocument/2006/relationships/hyperlink" Target="http://www.fatalencounters.org/wp-content/uploads/2013/10/Cruz.jpg" TargetMode="External"/><Relationship Id="rId4888" Type="http://schemas.openxmlformats.org/officeDocument/2006/relationships/hyperlink" Target="https://www.fatalencounters.org/wp-content/uploads/2018/07/WilliamMcCollum.jpg" TargetMode="External"/><Relationship Id="rId5939" Type="http://schemas.openxmlformats.org/officeDocument/2006/relationships/hyperlink" Target="https://www.news4jax.com/news/local/jacksonville/jso-officer-involved-in-incident-on-arlington-road" TargetMode="External"/><Relationship Id="rId7154" Type="http://schemas.openxmlformats.org/officeDocument/2006/relationships/hyperlink" Target="http://sanfrancisco.cbslocal.com/2013/03/25/man-shot-by-deputies-in-castro-valley-dies-in-hospital/" TargetMode="External"/><Relationship Id="rId24" Type="http://schemas.openxmlformats.org/officeDocument/2006/relationships/hyperlink" Target="http://images1.westword.com/imager/u/745xauto/6970529/sam.forgy.portrait.800.cropped.jpg" TargetMode="External"/><Relationship Id="rId2299" Type="http://schemas.openxmlformats.org/officeDocument/2006/relationships/hyperlink" Target="http://www.fatalencounters.org/wp-content/uploads/2013/10/Kenny-Tomblin.jpg" TargetMode="External"/><Relationship Id="rId3697" Type="http://schemas.openxmlformats.org/officeDocument/2006/relationships/hyperlink" Target="http://www.cbs46.com/story/34212929/officer-shoots-person-in-cumming" TargetMode="External"/><Relationship Id="rId4748" Type="http://schemas.openxmlformats.org/officeDocument/2006/relationships/hyperlink" Target="https://www.fatalencounters.org/wp-content/uploads/2018/06/MichaelRenfroJPG.jpg" TargetMode="External"/><Relationship Id="rId4955" Type="http://schemas.openxmlformats.org/officeDocument/2006/relationships/hyperlink" Target="https://wreg.com/2018/07/26/tbi-investigating-officer-involved-shooting-in-south-memphis/" TargetMode="External"/><Relationship Id="rId7014" Type="http://schemas.openxmlformats.org/officeDocument/2006/relationships/hyperlink" Target="https://fatalencounters.org/wp-content/uploads/2019/12/Bernie-Rascon.jpg" TargetMode="External"/><Relationship Id="rId3557" Type="http://schemas.openxmlformats.org/officeDocument/2006/relationships/hyperlink" Target="http://www.krcrtv.com/news/local/shasta/neighbor-recounts-deadly-shooting-involving-an-off-duty-officer/404217203" TargetMode="External"/><Relationship Id="rId3764" Type="http://schemas.openxmlformats.org/officeDocument/2006/relationships/hyperlink" Target="http://www.weau.com/content/news/Deputy-shoots-kills-man-near-Black-River-Falls-453852213.html" TargetMode="External"/><Relationship Id="rId3971" Type="http://schemas.openxmlformats.org/officeDocument/2006/relationships/hyperlink" Target="http://www.delawareonline.com/story/news/crime/2017/12/15/road-closed-milltown-police-conduct-investigation/957146001/" TargetMode="External"/><Relationship Id="rId4608" Type="http://schemas.openxmlformats.org/officeDocument/2006/relationships/hyperlink" Target="http://www.fatalencounters.org/wp-content/uploads/2018/05/Christopher-Wolfe.jpg" TargetMode="External"/><Relationship Id="rId4815" Type="http://schemas.openxmlformats.org/officeDocument/2006/relationships/hyperlink" Target="https://www.fatalencounters.org/wp-content/uploads/2018/06/Eric-Sweet.jpg" TargetMode="External"/><Relationship Id="rId6170" Type="http://schemas.openxmlformats.org/officeDocument/2006/relationships/hyperlink" Target="https://www.clarionledger.com/story/news/2019/04/30/mississippi-coast-deputies-shoot-and-kill-man-they-tried-arrest/3626358002/" TargetMode="External"/><Relationship Id="rId7221" Type="http://schemas.openxmlformats.org/officeDocument/2006/relationships/hyperlink" Target="http://media.cmgdigital.com/shared/lt/lt_cache/thumbnail/400/img/photos/2013/08/22/1b/14/Justin-Linn.jpg" TargetMode="External"/><Relationship Id="rId478" Type="http://schemas.openxmlformats.org/officeDocument/2006/relationships/hyperlink" Target="http://www.myfoxchicago.com/story/25108986/raason-shaw-man-shot-to-death-by-police-in-woodlawn" TargetMode="External"/><Relationship Id="rId685" Type="http://schemas.openxmlformats.org/officeDocument/2006/relationships/hyperlink" Target="http://www.pe.com/articles/report-787263-suspect-officers.html" TargetMode="External"/><Relationship Id="rId892" Type="http://schemas.openxmlformats.org/officeDocument/2006/relationships/hyperlink" Target="http://www.kltv.com/story/30089332/identity-of-man-killed-in-altercation-with-dps-trooper-released" TargetMode="External"/><Relationship Id="rId2159" Type="http://schemas.openxmlformats.org/officeDocument/2006/relationships/hyperlink" Target="http://www.fatalencounters.org/wp-content/uploads/2013/10/Richards.jpg" TargetMode="External"/><Relationship Id="rId2366" Type="http://schemas.openxmlformats.org/officeDocument/2006/relationships/hyperlink" Target="http://www.newsnet5.com/news/local-news/oh-ashtabula/officer-involved-shooting-in-ashtabula" TargetMode="External"/><Relationship Id="rId2573" Type="http://schemas.openxmlformats.org/officeDocument/2006/relationships/hyperlink" Target="http://www.fresnobee.com/news/local/crime/article122278694.html" TargetMode="External"/><Relationship Id="rId2780" Type="http://schemas.openxmlformats.org/officeDocument/2006/relationships/hyperlink" Target="http://www.fatalencounters.org/wp-content/uploads/2013/10/Rodney-James-Hess.png" TargetMode="External"/><Relationship Id="rId3417" Type="http://schemas.openxmlformats.org/officeDocument/2006/relationships/hyperlink" Target="http://www.fatalencounters.org/wp-content/uploads/2013/10/Paul-E-Mashburn.jpg" TargetMode="External"/><Relationship Id="rId3624" Type="http://schemas.openxmlformats.org/officeDocument/2006/relationships/hyperlink" Target="http://cbs4indy.com/2017/02/16/autopsy-confirms-bullet-that-killed-shelbyville-man-came-from-officer/" TargetMode="External"/><Relationship Id="rId3831" Type="http://schemas.openxmlformats.org/officeDocument/2006/relationships/hyperlink" Target="http://www.fatalencounters.org/wp-content/uploads/2013/10/Ronald-L.-Klitzka.png" TargetMode="External"/><Relationship Id="rId6030" Type="http://schemas.openxmlformats.org/officeDocument/2006/relationships/hyperlink" Target="https://www.presstelegram.com/2019/04/01/sword-wielding-suspect-killed-at-church-of-scientology-in-inglewood-is-idd-as-la-man/" TargetMode="External"/><Relationship Id="rId6987" Type="http://schemas.openxmlformats.org/officeDocument/2006/relationships/hyperlink" Target="https://fatalencounters.org/wp-content/uploads/2019/12/Montay-Steven-Penning.jpg" TargetMode="External"/><Relationship Id="rId338" Type="http://schemas.openxmlformats.org/officeDocument/2006/relationships/hyperlink" Target="http://www.tennessean.com/story/news/crime/2014/12/14/suspect-killed-officer-injured-south-nashville/20418519/" TargetMode="External"/><Relationship Id="rId545" Type="http://schemas.openxmlformats.org/officeDocument/2006/relationships/hyperlink" Target="http://blog.gulflive.com/mississippi-press-news/2013/10/gloster_police_offer_reinstate.html" TargetMode="External"/><Relationship Id="rId752" Type="http://schemas.openxmlformats.org/officeDocument/2006/relationships/hyperlink" Target="https://localtvwhnt.files.wordpress.com/2015/08/christopher-tompkins.jpg?w=770" TargetMode="External"/><Relationship Id="rId1175" Type="http://schemas.openxmlformats.org/officeDocument/2006/relationships/hyperlink" Target="http://www.elpasotimes.com/news/ci_28636541/el-paso-police-id-man-killed-officer-involved" TargetMode="External"/><Relationship Id="rId1382" Type="http://schemas.openxmlformats.org/officeDocument/2006/relationships/hyperlink" Target="http://westhawaiitoday.com/news/local-news/police-investigate-2nd-fatal-officer-involved-shooting-less-week" TargetMode="External"/><Relationship Id="rId2019" Type="http://schemas.openxmlformats.org/officeDocument/2006/relationships/hyperlink" Target="http://abc7.com/news/city-terrace-police-chase-ends-in-officer-involved-shooting/1448038/" TargetMode="External"/><Relationship Id="rId2226" Type="http://schemas.openxmlformats.org/officeDocument/2006/relationships/hyperlink" Target="http://www.fatalencounters.org/wp-content/uploads/2013/10/Zachary-Sutton.jpg" TargetMode="External"/><Relationship Id="rId2433" Type="http://schemas.openxmlformats.org/officeDocument/2006/relationships/hyperlink" Target="http://www.fatalencounters.org/wp-content/uploads/2013/10/Cleotha-Mitchell.jpg" TargetMode="External"/><Relationship Id="rId2640" Type="http://schemas.openxmlformats.org/officeDocument/2006/relationships/hyperlink" Target="https://ebwiki.org/articles?utf8=%E2%9C%93&amp;state_id=&amp;query=Danatae+Franklin&amp;commit=Search" TargetMode="External"/><Relationship Id="rId5589" Type="http://schemas.openxmlformats.org/officeDocument/2006/relationships/hyperlink" Target="http://www.mauinews.com/news/local-news/2018/12/police-shoot-kill-fugitive/" TargetMode="External"/><Relationship Id="rId5796" Type="http://schemas.openxmlformats.org/officeDocument/2006/relationships/hyperlink" Target="https://www.kitv.com/story/39869806/ewa-beach-man-killed-in-officer-involved-shooting-has-extensive-criminal-history" TargetMode="External"/><Relationship Id="rId6847" Type="http://schemas.openxmlformats.org/officeDocument/2006/relationships/hyperlink" Target="https://fatalencounters.org/wp-content/uploads/2019/10/BobbyLeeVaughn.jpg" TargetMode="External"/><Relationship Id="rId405" Type="http://schemas.openxmlformats.org/officeDocument/2006/relationships/hyperlink" Target="http://neshobademocrat.com/main.asp?SectionID=2&amp;SubSectionID=297&amp;ArticleID=33427" TargetMode="External"/><Relationship Id="rId612" Type="http://schemas.openxmlformats.org/officeDocument/2006/relationships/hyperlink" Target="http://www.killedbypolice.net/victims/150934.jpg" TargetMode="External"/><Relationship Id="rId1035" Type="http://schemas.openxmlformats.org/officeDocument/2006/relationships/hyperlink" Target="http://www.wfaa.com/story/news/local/2015/05/03/garland-curtis-culwell-center-swat/26848435/" TargetMode="External"/><Relationship Id="rId1242" Type="http://schemas.openxmlformats.org/officeDocument/2006/relationships/hyperlink" Target="http://jacksonville.com/sites/default/files/imagecache/premium_415_wide_scale/met_TalmadgeKing0119.jpg" TargetMode="External"/><Relationship Id="rId2500" Type="http://schemas.openxmlformats.org/officeDocument/2006/relationships/hyperlink" Target="http://www.fatalencounters.org/wp-content/uploads/2013/10/Scott-MacIntosh.jpg" TargetMode="External"/><Relationship Id="rId4398" Type="http://schemas.openxmlformats.org/officeDocument/2006/relationships/hyperlink" Target="http://www.fatalencounters.org/wp-content/uploads/2018/03/ChanceHaegle.jpg" TargetMode="External"/><Relationship Id="rId5449" Type="http://schemas.openxmlformats.org/officeDocument/2006/relationships/hyperlink" Target="https://www.fatalencounters.org/wp-content/uploads/2018/11/Felix-Anthony-Calata.jpg" TargetMode="External"/><Relationship Id="rId5656" Type="http://schemas.openxmlformats.org/officeDocument/2006/relationships/hyperlink" Target="https://www.alabamanews.net/2019/01/03/one-dead-after-officer-involved-shooting-in-elmore-county/" TargetMode="External"/><Relationship Id="rId1102" Type="http://schemas.openxmlformats.org/officeDocument/2006/relationships/hyperlink" Target="http://abc13.com/news/one-dead-in-officer-involved-shooting-in-nw-houston/1035019/" TargetMode="External"/><Relationship Id="rId4258" Type="http://schemas.openxmlformats.org/officeDocument/2006/relationships/hyperlink" Target="http://www.fatalencounters.org/wp-content/uploads/2018/02/Odrey-Paul-Reed.jpg" TargetMode="External"/><Relationship Id="rId4465" Type="http://schemas.openxmlformats.org/officeDocument/2006/relationships/hyperlink" Target="http://www.fatalencounters.org/wp-content/uploads/2018/04/JefferyParker.jpg" TargetMode="External"/><Relationship Id="rId5309" Type="http://schemas.openxmlformats.org/officeDocument/2006/relationships/hyperlink" Target="https://www.local10.com/news/florida/miami-dade/man-killed-in-miami-gardens-police-involved-shooting-identified" TargetMode="External"/><Relationship Id="rId5863" Type="http://schemas.openxmlformats.org/officeDocument/2006/relationships/hyperlink" Target="https://www.fatalencounters.org/wp-content/uploads/2019/03/Daniel-E-King.jpg" TargetMode="External"/><Relationship Id="rId6707" Type="http://schemas.openxmlformats.org/officeDocument/2006/relationships/hyperlink" Target="https://fatalencounters.org/wp-content/uploads/2019/09/Robert-Desjarlais-Jr.png" TargetMode="External"/><Relationship Id="rId6914" Type="http://schemas.openxmlformats.org/officeDocument/2006/relationships/hyperlink" Target="https://www.presstelegram.com/2019/10/23/2-dead-another-wounded-in-long-beach-bar-shooting/" TargetMode="External"/><Relationship Id="rId3067" Type="http://schemas.openxmlformats.org/officeDocument/2006/relationships/hyperlink" Target="http://www.newschannel10.com/story/34302630/suspect-in-large-manhunt-shot-and-killed" TargetMode="External"/><Relationship Id="rId3274" Type="http://schemas.openxmlformats.org/officeDocument/2006/relationships/hyperlink" Target="http://www.daytondailynews.com/news/crime--law/police-shooting-kettering-officer-man-killed-identified/i4jc49lBGycVffEKMTgSXO/?ecmp=daytondaily_social_twitter_2014_sfp" TargetMode="External"/><Relationship Id="rId4118" Type="http://schemas.openxmlformats.org/officeDocument/2006/relationships/hyperlink" Target="https://www.denverpost.com/2018/01/17/adams-county-sheriff-officer-involved-shooting/" TargetMode="External"/><Relationship Id="rId4672" Type="http://schemas.openxmlformats.org/officeDocument/2006/relationships/hyperlink" Target="https://www.recordcourier.com/news/breaking-report-of-officer-involved-shooting-in-sunridge/" TargetMode="External"/><Relationship Id="rId5516" Type="http://schemas.openxmlformats.org/officeDocument/2006/relationships/hyperlink" Target="https://www.fatalencounters.org/wp-content/uploads/2018/12/Leslie-Vaughan.jpg" TargetMode="External"/><Relationship Id="rId5723" Type="http://schemas.openxmlformats.org/officeDocument/2006/relationships/hyperlink" Target="https://www.fatalencounters.org/wp-content/uploads/2019/01/Antonio-Arce.jpg" TargetMode="External"/><Relationship Id="rId5930" Type="http://schemas.openxmlformats.org/officeDocument/2006/relationships/hyperlink" Target="https://www.thedenverchannel.com/news/local-news/police-involved-in-shooting-in-north-aurora" TargetMode="External"/><Relationship Id="rId195" Type="http://schemas.openxmlformats.org/officeDocument/2006/relationships/hyperlink" Target="http://www.gillettenewsrecord.com/news/local/article_8ce9749e-ffea-11e4-b7e5-5f207815da4f.html" TargetMode="External"/><Relationship Id="rId1919" Type="http://schemas.openxmlformats.org/officeDocument/2006/relationships/hyperlink" Target="https://mgtvwspa.files.wordpress.com/2016/07/jai-williams-web.jpg?w=338&amp;h=450" TargetMode="External"/><Relationship Id="rId3481" Type="http://schemas.openxmlformats.org/officeDocument/2006/relationships/hyperlink" Target="http://ktla.com/2017/05/08/sunland-home-break-in-leads-to-hourslong-standoff-police-shooting-lapd/" TargetMode="External"/><Relationship Id="rId4325" Type="http://schemas.openxmlformats.org/officeDocument/2006/relationships/hyperlink" Target="http://www.theledger.com/news/20180305/polk-sheriff-grady-judd-deputies-shoot-kill-knife-wielding-man-in-south-lakeland" TargetMode="External"/><Relationship Id="rId4532" Type="http://schemas.openxmlformats.org/officeDocument/2006/relationships/hyperlink" Target="http://www.wtae.com/article/suspect-killed-in-trooper-involved-shooting-in-washington-county/19764256" TargetMode="External"/><Relationship Id="rId2083" Type="http://schemas.openxmlformats.org/officeDocument/2006/relationships/hyperlink" Target="http://www.seattletimes.com/seattle-news/police-officer-has-shot-someone-in-tukwila/" TargetMode="External"/><Relationship Id="rId2290" Type="http://schemas.openxmlformats.org/officeDocument/2006/relationships/hyperlink" Target="http://www.fatalencounters.org/wp-content/uploads/2013/10/Renee-Davis.jpg" TargetMode="External"/><Relationship Id="rId3134" Type="http://schemas.openxmlformats.org/officeDocument/2006/relationships/hyperlink" Target="http://www.kshb.com/news/region-missouri/independence/suspect-hit-in-officer-involved-shooting-in-independence" TargetMode="External"/><Relationship Id="rId3341" Type="http://schemas.openxmlformats.org/officeDocument/2006/relationships/hyperlink" Target="http://www.fatalencounters.org/wp-content/uploads/2013/10/Keith-Wade.jpg" TargetMode="External"/><Relationship Id="rId6497" Type="http://schemas.openxmlformats.org/officeDocument/2006/relationships/hyperlink" Target="https://pittsburgh.cbslocal.com/2019/07/15/penn-hills-officer-involved-fatal-shooting-sharon-court/" TargetMode="External"/><Relationship Id="rId262" Type="http://schemas.openxmlformats.org/officeDocument/2006/relationships/hyperlink" Target="http://www.nj.com/mercer/index.ssf/2015/04/man_shot_by_hamilton_police_in_stabbing_incident_d.html" TargetMode="External"/><Relationship Id="rId2150" Type="http://schemas.openxmlformats.org/officeDocument/2006/relationships/hyperlink" Target="http://www.nj.com/mercer/index.ssf/2016/08/man_shot_while_struggling_with_trenton_officer_ove.html" TargetMode="External"/><Relationship Id="rId3201" Type="http://schemas.openxmlformats.org/officeDocument/2006/relationships/hyperlink" Target="https://www.google.com/url?q=http://media.gunmemorial.org/photo/40580.jpg&amp;sa=D&amp;ust=1508882833348000&amp;usg=AFQjCNEqq_cTbLCRfq8oWJo8ueNA8OYdlQ" TargetMode="External"/><Relationship Id="rId5099" Type="http://schemas.openxmlformats.org/officeDocument/2006/relationships/hyperlink" Target="https://www.local10.com/news/local/miami/man-dies-after-being-shocked-by-police-stun-guns" TargetMode="External"/><Relationship Id="rId6357" Type="http://schemas.openxmlformats.org/officeDocument/2006/relationships/hyperlink" Target="https://www.wsaw.com/content/news/Heavy-police-presence-on-HWY-186-in-Arpin-511162732.html" TargetMode="External"/><Relationship Id="rId6564" Type="http://schemas.openxmlformats.org/officeDocument/2006/relationships/hyperlink" Target="https://ktla.com/2019/08/01/1-hurt-in-hyde-park-after-shooting-breaks-out-during-deputys-encounter-with-motorist-lasd/" TargetMode="External"/><Relationship Id="rId6771" Type="http://schemas.openxmlformats.org/officeDocument/2006/relationships/hyperlink" Target="https://www.pnj.com/story/news/2019/09/19/milton-police-release-name-suspect-officer-involved-shooting-arrested-april-battery-police-officer/2380247001/" TargetMode="External"/><Relationship Id="rId122" Type="http://schemas.openxmlformats.org/officeDocument/2006/relationships/hyperlink" Target="https://tribfox40.files.wordpress.com/2015/06/kenneth-garcia.jpg" TargetMode="External"/><Relationship Id="rId2010" Type="http://schemas.openxmlformats.org/officeDocument/2006/relationships/hyperlink" Target="http://www.azcentral.com/story/news/local/tempe-breaking/2016/07/27/tempe-police-active-shooter-guadalupe-rural/87616946/" TargetMode="External"/><Relationship Id="rId5166" Type="http://schemas.openxmlformats.org/officeDocument/2006/relationships/hyperlink" Target="http://www.newbernsj.com/news/20180916/suspect-died-after-officer-involved-shooting" TargetMode="External"/><Relationship Id="rId5373" Type="http://schemas.openxmlformats.org/officeDocument/2006/relationships/hyperlink" Target="https://www.fatalencounters.org/wp-content/uploads/2018/11/Henry-Gregory-Stroud.jpg" TargetMode="External"/><Relationship Id="rId5580" Type="http://schemas.openxmlformats.org/officeDocument/2006/relationships/hyperlink" Target="https://www.tampabay.com/news/publicsafety/hillsborough-sheriff-calls-news-conference-on-death-investigation-in-plant-city-area-20181219/?fbclid=IwAR0i_XaYmAByOwjSpTfRBsOmzpx190MbKDn02k0vOlnFSBaOPEecklhp3mY" TargetMode="External"/><Relationship Id="rId6217" Type="http://schemas.openxmlformats.org/officeDocument/2006/relationships/hyperlink" Target="https://fatalencounters.org/wp-content/uploads/2019/05/Jeremy-Potwin.jpg" TargetMode="External"/><Relationship Id="rId6424" Type="http://schemas.openxmlformats.org/officeDocument/2006/relationships/hyperlink" Target="https://www.kktv.com/content/news/Suspect-dead-after-officer-involved-shooting-in-Pueblo-511966232.html" TargetMode="External"/><Relationship Id="rId6631" Type="http://schemas.openxmlformats.org/officeDocument/2006/relationships/hyperlink" Target="https://fatalencounters.org/wp-content/uploads/2019/08/David-Tyler-Ingle.jpg" TargetMode="External"/><Relationship Id="rId1569" Type="http://schemas.openxmlformats.org/officeDocument/2006/relationships/hyperlink" Target="http://www.omaha.com/news/crime/police-identify-known-suspect-shot-dead-by-officer-in-south/article_976e1aee-fd07-11e5-86b8-8f1d6e6f9f14.html" TargetMode="External"/><Relationship Id="rId2967" Type="http://schemas.openxmlformats.org/officeDocument/2006/relationships/hyperlink" Target="http://www.fatalencounters.org/wp-content/uploads/2013/10/Antonio-Geraldo-Rodriguez.jpg" TargetMode="External"/><Relationship Id="rId4182" Type="http://schemas.openxmlformats.org/officeDocument/2006/relationships/hyperlink" Target="http://www.fatalencounters.org/wp-content/uploads/2018/03/Gregory-Kocian.jpg" TargetMode="External"/><Relationship Id="rId5026" Type="http://schemas.openxmlformats.org/officeDocument/2006/relationships/hyperlink" Target="https://www.fatalencounters.org/wp-content/uploads/2018/08/Michael-Eugene-Ducote.jpg" TargetMode="External"/><Relationship Id="rId5233" Type="http://schemas.openxmlformats.org/officeDocument/2006/relationships/hyperlink" Target="http://www.newson6.com/story/39200572/osbi-investigating-officer-involved-shooting-in-okmulgee-county" TargetMode="External"/><Relationship Id="rId5440" Type="http://schemas.openxmlformats.org/officeDocument/2006/relationships/hyperlink" Target="https://www.fatalencounters.org/wp-content/uploads/2018/11/Cameron-McCarthy.jpg" TargetMode="External"/><Relationship Id="rId939" Type="http://schemas.openxmlformats.org/officeDocument/2006/relationships/hyperlink" Target="http://www.tampabay.com/news/publicsafety/crime/one-suspect-shot-two-in-custody-and-tampa-police-hunting-for-a-fourth/2251265" TargetMode="External"/><Relationship Id="rId1776" Type="http://schemas.openxmlformats.org/officeDocument/2006/relationships/hyperlink" Target="http://www.fatalencounters.org/wp-content/uploads/2013/10/Robert-Wickizer.jpg" TargetMode="External"/><Relationship Id="rId1983" Type="http://schemas.openxmlformats.org/officeDocument/2006/relationships/hyperlink" Target="http://www.sheboyganpress.com/story/news/2016/07/18/sheboygan-officer-involved-shooting/87240686/" TargetMode="External"/><Relationship Id="rId2827" Type="http://schemas.openxmlformats.org/officeDocument/2006/relationships/hyperlink" Target="http://www.kshb.com/news/local-news/man-killed-in-officer-involved-shooting-after-firing-rifle-off-porch" TargetMode="External"/><Relationship Id="rId4042" Type="http://schemas.openxmlformats.org/officeDocument/2006/relationships/hyperlink" Target="https://www.turnto23.com/news/local-news/suspect-killed-in-officer-involved-shooting-in-delano" TargetMode="External"/><Relationship Id="rId7198" Type="http://schemas.openxmlformats.org/officeDocument/2006/relationships/hyperlink" Target="http://orangecountyda.org/civicax/filebank/blobdload.aspx?BlobID=22841" TargetMode="External"/><Relationship Id="rId68" Type="http://schemas.openxmlformats.org/officeDocument/2006/relationships/hyperlink" Target="http://www.wlky.com/news/man-dies-after-being-shot-by-elizabethtown-police/34052212" TargetMode="External"/><Relationship Id="rId1429" Type="http://schemas.openxmlformats.org/officeDocument/2006/relationships/hyperlink" Target="http://www.clickorlando.com/news/palm-bay-police-investigate-officer-involved-shooting" TargetMode="External"/><Relationship Id="rId1636" Type="http://schemas.openxmlformats.org/officeDocument/2006/relationships/hyperlink" Target="http://dfw.cbslocal.com/2016/03/15/deceased-suspect-idd-as-father-of-other-suspect/" TargetMode="External"/><Relationship Id="rId1843" Type="http://schemas.openxmlformats.org/officeDocument/2006/relationships/hyperlink" Target="http://www.9news.com/news/crime/suspect-dead-after-officer-involved-shooting/246481939" TargetMode="External"/><Relationship Id="rId4999" Type="http://schemas.openxmlformats.org/officeDocument/2006/relationships/hyperlink" Target="https://www.denverpost.com/2018/08/03/westminster-officer-involved-shooting-suspect-identified/" TargetMode="External"/><Relationship Id="rId5300" Type="http://schemas.openxmlformats.org/officeDocument/2006/relationships/hyperlink" Target="https://www.fatalencounters.org/wp-content/uploads/2018/10/JacobServais.jpg" TargetMode="External"/><Relationship Id="rId7058" Type="http://schemas.openxmlformats.org/officeDocument/2006/relationships/hyperlink" Target="https://fatalencounters.org/wp-content/uploads/2019/12/Elray-Barber.jpg" TargetMode="External"/><Relationship Id="rId1703" Type="http://schemas.openxmlformats.org/officeDocument/2006/relationships/hyperlink" Target="http://www.newson6.com/story/31952548/law-enforcement-in-byng-search-for-armed-suspect" TargetMode="External"/><Relationship Id="rId1910" Type="http://schemas.openxmlformats.org/officeDocument/2006/relationships/hyperlink" Target="http://abc6onyourside.com/news/local/suspect-hospitalized-in-officer-involved-shooting" TargetMode="External"/><Relationship Id="rId4859" Type="http://schemas.openxmlformats.org/officeDocument/2006/relationships/hyperlink" Target="https://chicago.suntimes.com/news/cpd-officers-shoot-person-in-west-garfield-park/" TargetMode="External"/><Relationship Id="rId3668" Type="http://schemas.openxmlformats.org/officeDocument/2006/relationships/hyperlink" Target="http://www.fatalencounters.org/wp-content/uploads/2013/10/Jonathan-David-Sper.jpg" TargetMode="External"/><Relationship Id="rId3875" Type="http://schemas.openxmlformats.org/officeDocument/2006/relationships/hyperlink" Target="http://www.tristateupdate.com/story/36867102/update-names-identified-in-violent-home-invasion-in-kanawha-county" TargetMode="External"/><Relationship Id="rId4719" Type="http://schemas.openxmlformats.org/officeDocument/2006/relationships/hyperlink" Target="http://myfox8.com/2018/06/01/police-identify-man-shot-and-killed-by-officer-after-bank-robbery-and-chase-in-thomasville/" TargetMode="External"/><Relationship Id="rId4926" Type="http://schemas.openxmlformats.org/officeDocument/2006/relationships/hyperlink" Target="https://www.wlky.com/article/man-dies-after-being-tased-by-jeffersontown-police-officer/22607247" TargetMode="External"/><Relationship Id="rId6074" Type="http://schemas.openxmlformats.org/officeDocument/2006/relationships/hyperlink" Target="https://chicago.cbslocal.com/2019/04/05/large-police-presence-in-glendale-heights/" TargetMode="External"/><Relationship Id="rId6281" Type="http://schemas.openxmlformats.org/officeDocument/2006/relationships/hyperlink" Target="https://fatalencounters.org/wp-content/uploads/2019/05/Robert-Sabater.jpg" TargetMode="External"/><Relationship Id="rId7125" Type="http://schemas.openxmlformats.org/officeDocument/2006/relationships/hyperlink" Target="http://www.star-telegram.com/news/local/crime/article3862477.html" TargetMode="External"/><Relationship Id="rId589" Type="http://schemas.openxmlformats.org/officeDocument/2006/relationships/hyperlink" Target="http://www.zanesvilletimesrecorder.com/story/news/crime/2015/10/25/sheriff-one-dead-officer-involved-shooting/74581242/" TargetMode="External"/><Relationship Id="rId796" Type="http://schemas.openxmlformats.org/officeDocument/2006/relationships/hyperlink" Target="http://www.sgvtribune.com/general-news/20150816/suspect-dies-after-being-shot-with-taser-by-police" TargetMode="External"/><Relationship Id="rId2477" Type="http://schemas.openxmlformats.org/officeDocument/2006/relationships/hyperlink" Target="http://www.theadvocate.com/new_orleans/news/crime_police/article_ffe052a8-b982-11e6-9834-5329717dee67.html?sr_source=lift_amplify" TargetMode="External"/><Relationship Id="rId2684" Type="http://schemas.openxmlformats.org/officeDocument/2006/relationships/hyperlink" Target="http://www.fatalencounters.org/wp-content/uploads/2013/10/Lawrence-Heyward-Jr.png" TargetMode="External"/><Relationship Id="rId3528" Type="http://schemas.openxmlformats.org/officeDocument/2006/relationships/hyperlink" Target="http://www.arkansasonline.com/news/2017/apr/05/one-dead-officer-involved-shooting-west-little-roc/" TargetMode="External"/><Relationship Id="rId3735" Type="http://schemas.openxmlformats.org/officeDocument/2006/relationships/hyperlink" Target="http://wkbn.com/2017/10/21/departments-on-scene-of-possible-police-involved-shooting-in-girard/" TargetMode="External"/><Relationship Id="rId5090" Type="http://schemas.openxmlformats.org/officeDocument/2006/relationships/hyperlink" Target="https://www.tulsaworld.com/body-camera-footage-released-of-altercation-with-man-who-died/article_5c4785a6-27a6-5664-870e-f0c9f644fd47.html" TargetMode="External"/><Relationship Id="rId6141" Type="http://schemas.openxmlformats.org/officeDocument/2006/relationships/hyperlink" Target="https://www.fox16.com/news/local-news/update-man-id-d-in-deadly-lr-officer-involved-shooting/1943362846?fbclid=IwAR2ikpnryftUbmMwqBmOVe7UexqascI3NFG9Nhuc4FPv_CcBatF6m5-POLQ" TargetMode="External"/><Relationship Id="rId449" Type="http://schemas.openxmlformats.org/officeDocument/2006/relationships/hyperlink" Target="https://www.facebook.com/curtise.welford" TargetMode="External"/><Relationship Id="rId656" Type="http://schemas.openxmlformats.org/officeDocument/2006/relationships/hyperlink" Target="http://www.killedbypolice.net/victims/151012.jpg" TargetMode="External"/><Relationship Id="rId863" Type="http://schemas.openxmlformats.org/officeDocument/2006/relationships/hyperlink" Target="http://www.wfaa.com/story/news/crime/2015/09/05/parker-county-shooting-suspect-springtown/71796330/" TargetMode="External"/><Relationship Id="rId1079" Type="http://schemas.openxmlformats.org/officeDocument/2006/relationships/hyperlink" Target="http://www.killedbypolice.net/victims/150983.jpg" TargetMode="External"/><Relationship Id="rId1286" Type="http://schemas.openxmlformats.org/officeDocument/2006/relationships/hyperlink" Target="http://s3.amazonaws.com/tributecenteronline/Obituaries/817668/Thumbnail.jpg" TargetMode="External"/><Relationship Id="rId1493" Type="http://schemas.openxmlformats.org/officeDocument/2006/relationships/hyperlink" Target="http://www.times-standard.com/general-news/20160213/the-latest-baton-rouge-police-say-2-officers-suspect-shot" TargetMode="External"/><Relationship Id="rId2337" Type="http://schemas.openxmlformats.org/officeDocument/2006/relationships/hyperlink" Target="http://www.fatalencounters.org/wp-content/uploads/2013/10/WiltonHenry.jpg" TargetMode="External"/><Relationship Id="rId2544" Type="http://schemas.openxmlformats.org/officeDocument/2006/relationships/hyperlink" Target="http://www.kentucky.com/news/local/crime/article44428908.html" TargetMode="External"/><Relationship Id="rId2891" Type="http://schemas.openxmlformats.org/officeDocument/2006/relationships/hyperlink" Target="http://www.fatalencounters.org/wp-content/uploads/2013/10/Erick-Perez.jpg" TargetMode="External"/><Relationship Id="rId3942" Type="http://schemas.openxmlformats.org/officeDocument/2006/relationships/hyperlink" Target="http://wnep.com/2017/12/07/police-pursuit-ends-in-lackawanna-county-suspect-taken-in-ambulance/" TargetMode="External"/><Relationship Id="rId6001" Type="http://schemas.openxmlformats.org/officeDocument/2006/relationships/hyperlink" Target="https://www.wfla.com/news/hillsborough-county/hillsborough-county-sheriff-deputy-involved-in-shooting/1860889468" TargetMode="External"/><Relationship Id="rId309" Type="http://schemas.openxmlformats.org/officeDocument/2006/relationships/hyperlink" Target="http://www.alternet.org/news-amp-politics/kevin-davis-called-cops-help-out-friend-trouble-and-was-shot-death-police-his" TargetMode="External"/><Relationship Id="rId516" Type="http://schemas.openxmlformats.org/officeDocument/2006/relationships/hyperlink" Target="http://newsok.com/man-shot-by-oklahoma-highway-patrol-trooper-was-correction-center-escapee/article/3919183" TargetMode="External"/><Relationship Id="rId1146" Type="http://schemas.openxmlformats.org/officeDocument/2006/relationships/hyperlink" Target="http://assets.dnainfo.com/generated/photo/2015/08/garland-tyree-1439558833.jpg/extralarge.jpg" TargetMode="External"/><Relationship Id="rId2751" Type="http://schemas.openxmlformats.org/officeDocument/2006/relationships/hyperlink" Target="http://www.seattletimes.com/seattle-news/crime/2-police-officers-shot-in-downtown-seattle/" TargetMode="External"/><Relationship Id="rId3802" Type="http://schemas.openxmlformats.org/officeDocument/2006/relationships/hyperlink" Target="http://www.azcentral.com/story/news/local/phoenix-breaking/2017/11/04/off-duty-officer-shoots-stabbing-suspect-phoenix/833172001/" TargetMode="External"/><Relationship Id="rId6958" Type="http://schemas.openxmlformats.org/officeDocument/2006/relationships/hyperlink" Target="https://fatalencounters.org/wp-content/uploads/2019/11/Michael-Kifer.jpg" TargetMode="External"/><Relationship Id="rId723" Type="http://schemas.openxmlformats.org/officeDocument/2006/relationships/hyperlink" Target="http://www.vnews.com/news/newsletter/17857473-95/haverhill-officers-unnamed-nh-ag-wont-give-any-shooting-details" TargetMode="External"/><Relationship Id="rId930" Type="http://schemas.openxmlformats.org/officeDocument/2006/relationships/hyperlink" Target="http://www.nola.com/crime/index.ssf/2015/10/man_fatally_shot_by_st_tammany.html" TargetMode="External"/><Relationship Id="rId1006" Type="http://schemas.openxmlformats.org/officeDocument/2006/relationships/hyperlink" Target="http://www.nydailynews.com/new-york/bronx/bronx-man-shot-police-responding-domestic-dispute-article-1.2253127" TargetMode="External"/><Relationship Id="rId1353" Type="http://schemas.openxmlformats.org/officeDocument/2006/relationships/hyperlink" Target="http://www.ketv.com/news/officerinvolved-shooting-suspect-wouldve-chose-gun-battle-before-handcuffs-family-agrees/37709926" TargetMode="External"/><Relationship Id="rId1560" Type="http://schemas.openxmlformats.org/officeDocument/2006/relationships/hyperlink" Target="http://www.fatalencounters.org/wp-content/uploads/2013/10/LuisSoto.png" TargetMode="External"/><Relationship Id="rId2404" Type="http://schemas.openxmlformats.org/officeDocument/2006/relationships/hyperlink" Target="http://www.fatalencounters.org/wp-content/uploads/2013/10/Adalid-Flores.jpg" TargetMode="External"/><Relationship Id="rId2611" Type="http://schemas.openxmlformats.org/officeDocument/2006/relationships/hyperlink" Target="http://www.wmbfnews.com/story/36294574/update-victim-in-myrtle-beach-police-officer-involved-shooting-has-died" TargetMode="External"/><Relationship Id="rId5767" Type="http://schemas.openxmlformats.org/officeDocument/2006/relationships/hyperlink" Target="https://www.fatalencounters.org/wp-content/uploads/2019/01/Dwight-Delando-Steward.jpg" TargetMode="External"/><Relationship Id="rId5974" Type="http://schemas.openxmlformats.org/officeDocument/2006/relationships/hyperlink" Target="https://www.mlive.com/news/kalamazoo/2019/03/employee-killed-after-shooting-at-police-inside-kalamazoo-plasma-center.html" TargetMode="External"/><Relationship Id="rId6818" Type="http://schemas.openxmlformats.org/officeDocument/2006/relationships/hyperlink" Target="https://www.local10.com/news/florida/miami-dade/man-barricaded-inside-apartment-dies-after-exchanging-gunfire-with-police" TargetMode="External"/><Relationship Id="rId1213" Type="http://schemas.openxmlformats.org/officeDocument/2006/relationships/hyperlink" Target="http://www.richmond.com/news/local/chesterfield/article_c725c915-9977-5246-be48-5a2b51f13953.html" TargetMode="External"/><Relationship Id="rId1420" Type="http://schemas.openxmlformats.org/officeDocument/2006/relationships/hyperlink" Target="http://www.kctv5.com/story/31301061/troopers-teen-shot-killed-by-blue-springs-police-was-on-suicide-mission" TargetMode="External"/><Relationship Id="rId4369" Type="http://schemas.openxmlformats.org/officeDocument/2006/relationships/hyperlink" Target="http://www.fatalencounters.org/wp-content/uploads/2018/03/Corky-Lee-Oliver.jpg" TargetMode="External"/><Relationship Id="rId4576" Type="http://schemas.openxmlformats.org/officeDocument/2006/relationships/hyperlink" Target="https://www.abc15.com/news/region-phoenix-metro/central-phoenix/phoenix-pd-suspect-dies-after-becoming-unresponsive-during-arrest" TargetMode="External"/><Relationship Id="rId4783" Type="http://schemas.openxmlformats.org/officeDocument/2006/relationships/hyperlink" Target="http://www.wandtv.com/story/38449533/man-dead-after-officer-involved-shooting" TargetMode="External"/><Relationship Id="rId4990" Type="http://schemas.openxmlformats.org/officeDocument/2006/relationships/hyperlink" Target="http://www.newschannel10.com/story/38801717/police-suspect-in-officer-involved-shooting-pointed-gun-at-officers" TargetMode="External"/><Relationship Id="rId5627" Type="http://schemas.openxmlformats.org/officeDocument/2006/relationships/hyperlink" Target="http://www.thestarpress.com/story/news/local/2017/11/07/new-castle-man-shot-police-dies-injuries/839250001/" TargetMode="External"/><Relationship Id="rId5834" Type="http://schemas.openxmlformats.org/officeDocument/2006/relationships/hyperlink" Target="https://www.fatalencounters.org/wp-content/uploads/2019/02/williemccoy.png" TargetMode="External"/><Relationship Id="rId3178" Type="http://schemas.openxmlformats.org/officeDocument/2006/relationships/hyperlink" Target="http://www.al.com/news/index.ssf/2017/06/sbi_investigating_fatal_office.html" TargetMode="External"/><Relationship Id="rId3385" Type="http://schemas.openxmlformats.org/officeDocument/2006/relationships/hyperlink" Target="http://wtkr.com/2017/07/03/norfolk-police-officer-shot-suspect-killed-in-ocean-view-shooting/" TargetMode="External"/><Relationship Id="rId3592" Type="http://schemas.openxmlformats.org/officeDocument/2006/relationships/hyperlink" Target="http://www.fatalencounters.org/wp-content/uploads/2013/10/IGERSSHAWN-MICHAEL.png" TargetMode="External"/><Relationship Id="rId4229" Type="http://schemas.openxmlformats.org/officeDocument/2006/relationships/hyperlink" Target="http://www.wsbtv.com/news/local/shooting-investigation-underway-in-locust-grove/697113627" TargetMode="External"/><Relationship Id="rId4436" Type="http://schemas.openxmlformats.org/officeDocument/2006/relationships/hyperlink" Target="http://www.mcall.com/news/breaking/mc-pol-walmart-shots-fired-lower-macungie-20180328-story.html" TargetMode="External"/><Relationship Id="rId4643" Type="http://schemas.openxmlformats.org/officeDocument/2006/relationships/hyperlink" Target="http://www.waow.com/story/38175851/2018/05/12/1-person-dead-in-officer-involved-shooting-in-clark-co" TargetMode="External"/><Relationship Id="rId4850" Type="http://schemas.openxmlformats.org/officeDocument/2006/relationships/hyperlink" Target="https://www.idahostatesman.com/news/local/crime/article214232219.html" TargetMode="External"/><Relationship Id="rId5901" Type="http://schemas.openxmlformats.org/officeDocument/2006/relationships/hyperlink" Target="https://www.9news.com/article/news/local/man-dies-after-being-shot-by-denver-officer-at-apartment-complex/73-2a7fb3a9-73a8-4bd9-8aef-8b496d1d8a4b" TargetMode="External"/><Relationship Id="rId2194" Type="http://schemas.openxmlformats.org/officeDocument/2006/relationships/hyperlink" Target="http://www.fatalencounters.org/wp-content/uploads/2013/10/Donald-Degraw.png" TargetMode="External"/><Relationship Id="rId3038" Type="http://schemas.openxmlformats.org/officeDocument/2006/relationships/hyperlink" Target="http://www.fatalencounters.org/wp-content/uploads/2013/10/Michael-Anthony-Barrera.png" TargetMode="External"/><Relationship Id="rId3245" Type="http://schemas.openxmlformats.org/officeDocument/2006/relationships/hyperlink" Target="http://www.nbcconnecticut.com/news/local/State-Police-Responding-to-Incident-in-Montville-412093643.html" TargetMode="External"/><Relationship Id="rId3452" Type="http://schemas.openxmlformats.org/officeDocument/2006/relationships/hyperlink" Target="http://www.fatalencounters.org/wp-content/uploads/2013/10/michael-anthony-bonini.jpg" TargetMode="External"/><Relationship Id="rId4503" Type="http://schemas.openxmlformats.org/officeDocument/2006/relationships/hyperlink" Target="http://www.tulsaworld.com/news/crimewatch/officers-fatally-shoot-man-accused-of-breaking-into-rural-residence/article_757ac0cc-b9f0-5520-ab9f-c725114c1be6.html" TargetMode="External"/><Relationship Id="rId4710" Type="http://schemas.openxmlformats.org/officeDocument/2006/relationships/hyperlink" Target="https://www.sltrib.com/news/2018/06/01/armed-robbery-suspect-shot-by-cottonwood-heights-police-dies/" TargetMode="External"/><Relationship Id="rId166" Type="http://schemas.openxmlformats.org/officeDocument/2006/relationships/hyperlink" Target="http://www.nj.com/sussex-county/index.ssf/2015/06/man_killed_in_sussex_county_police_shooting_authorities_say.html" TargetMode="External"/><Relationship Id="rId373" Type="http://schemas.openxmlformats.org/officeDocument/2006/relationships/hyperlink" Target="http://www.wsvn.com/story/27025232/1-dead-in-hialeah-police-involved-shooting" TargetMode="External"/><Relationship Id="rId580" Type="http://schemas.openxmlformats.org/officeDocument/2006/relationships/hyperlink" Target="http://www.killedbypolice.net/victims/150990.jpg" TargetMode="External"/><Relationship Id="rId2054" Type="http://schemas.openxmlformats.org/officeDocument/2006/relationships/hyperlink" Target="http://www.cbs8.com/story/32697727/santee-man-found-dead-inside-home-after-prompting-swat-standoff" TargetMode="External"/><Relationship Id="rId2261" Type="http://schemas.openxmlformats.org/officeDocument/2006/relationships/hyperlink" Target="http://www.nola.com/crime/index.ssf/2016/10/wanted_man_killed_in_deputy-in.html" TargetMode="External"/><Relationship Id="rId3105" Type="http://schemas.openxmlformats.org/officeDocument/2006/relationships/hyperlink" Target="http://www.fatalencounters.org/wp-content/uploads/2013/10/Dorsey-Glenn-Taulbee-Jr.png" TargetMode="External"/><Relationship Id="rId3312" Type="http://schemas.openxmlformats.org/officeDocument/2006/relationships/hyperlink" Target="http://mynews4.com/news/local/suspect-dead-after-officer-involved-shooting-involving-washoe-county-sheriffs-deputy" TargetMode="External"/><Relationship Id="rId6468" Type="http://schemas.openxmlformats.org/officeDocument/2006/relationships/hyperlink" Target="https://baltimore.cbslocal.com/2019/07/06/baltimore-county-police-investigating-police-involved-shooting-at-the-dukes-motel/" TargetMode="External"/><Relationship Id="rId6675" Type="http://schemas.openxmlformats.org/officeDocument/2006/relationships/hyperlink" Target="https://www.washingtontimes.com/news/2019/aug/26/sheriff-identifies-man-shot-by-deputies-in-cottage/?utm_source=RSS_Feed&amp;utm_medium=RSS" TargetMode="External"/><Relationship Id="rId233" Type="http://schemas.openxmlformats.org/officeDocument/2006/relationships/hyperlink" Target="http://www.mansfieldnewsjournal.com/story/news/local/2015/04/27/mansfield-police-scene-standoff/26457727/" TargetMode="External"/><Relationship Id="rId440" Type="http://schemas.openxmlformats.org/officeDocument/2006/relationships/hyperlink" Target="http://rapidcityjournal.com/news/local/police-rapid-city-man-shot-and-killed-by-officer-had/article_262374b9-bd2f-569a-9635-2170734ac0d0.html" TargetMode="External"/><Relationship Id="rId1070" Type="http://schemas.openxmlformats.org/officeDocument/2006/relationships/hyperlink" Target="http://www.wcnc.com/story/news/crime/2015/02/08/gastoina-police-officer-involved-in-deadly-shooting/23075073/" TargetMode="External"/><Relationship Id="rId2121" Type="http://schemas.openxmlformats.org/officeDocument/2006/relationships/hyperlink" Target="http://www.fatalencounters.org/wp-content/uploads/2013/10/Marcelo-Luna.jpg" TargetMode="External"/><Relationship Id="rId5277" Type="http://schemas.openxmlformats.org/officeDocument/2006/relationships/hyperlink" Target="https://www.mdjonline.com/news/one-dead-in-officer-involved-shooting-in-cumberland/article_28cd154a-ce24-11e8-b9ff-7345e9b43142.html" TargetMode="External"/><Relationship Id="rId5484" Type="http://schemas.openxmlformats.org/officeDocument/2006/relationships/hyperlink" Target="https://weartv.com/news/local/authorities-identify-man-killed-in-escambia-county-officer-involved-shooting" TargetMode="External"/><Relationship Id="rId6328" Type="http://schemas.openxmlformats.org/officeDocument/2006/relationships/hyperlink" Target="https://www.heraldcourier.com/news/he-reached-for-a-gun-officer-fatally-shoots-bristol-man/article_9fa7ad5b-944a-5d2d-b409-8dde921c9646.html" TargetMode="External"/><Relationship Id="rId6882" Type="http://schemas.openxmlformats.org/officeDocument/2006/relationships/hyperlink" Target="https://pleasantonweekly.com/news/2019/10/18/pleasanton-man-killed-in-officer-involved-shooting-in-idaho" TargetMode="External"/><Relationship Id="rId300" Type="http://schemas.openxmlformats.org/officeDocument/2006/relationships/hyperlink" Target="http://www.killedbypolice.net/victims/150102.jpg" TargetMode="External"/><Relationship Id="rId4086" Type="http://schemas.openxmlformats.org/officeDocument/2006/relationships/hyperlink" Target="http://ktla.com/2018/01/08/suspect-struck-by-police-gunfire-in-south-los-angeles-lapd-says/" TargetMode="External"/><Relationship Id="rId5137" Type="http://schemas.openxmlformats.org/officeDocument/2006/relationships/hyperlink" Target="https://www.fatalencounters.org/wp-content/uploads/2018/09/Nick-Warnell.jpg" TargetMode="External"/><Relationship Id="rId5691" Type="http://schemas.openxmlformats.org/officeDocument/2006/relationships/hyperlink" Target="http://www.kcbd.com/2019/01/08/texas-rangers-investigating-officer-involved-shooting-midland/" TargetMode="External"/><Relationship Id="rId6535" Type="http://schemas.openxmlformats.org/officeDocument/2006/relationships/hyperlink" Target="https://fatalencounters.org/wp-content/uploads/2019/08/josh-vigil.jpg" TargetMode="External"/><Relationship Id="rId6742" Type="http://schemas.openxmlformats.org/officeDocument/2006/relationships/hyperlink" Target="https://fatalencounters.org/wp-content/uploads/2019/09/Tasjon-Tyreek-Osbourne.jpg" TargetMode="External"/><Relationship Id="rId1887" Type="http://schemas.openxmlformats.org/officeDocument/2006/relationships/hyperlink" Target="http://www.cbs58.com/story/32288998/update-man-dies-after-officer-involved-shooting-in-tosa-park" TargetMode="External"/><Relationship Id="rId2938" Type="http://schemas.openxmlformats.org/officeDocument/2006/relationships/hyperlink" Target="http://www.fatalencounters.org/wp-content/uploads/2013/10/Stephanie-Lopez.jpg" TargetMode="External"/><Relationship Id="rId4293" Type="http://schemas.openxmlformats.org/officeDocument/2006/relationships/hyperlink" Target="http://www.fatalencounters.org/wp-content/uploads/2018/03/Aaron-Fike.jpg" TargetMode="External"/><Relationship Id="rId5344" Type="http://schemas.openxmlformats.org/officeDocument/2006/relationships/hyperlink" Target="https://ktla.com/2018/10/29/officer-involved-shooting-under-investigation-in-hollywood-lapd/" TargetMode="External"/><Relationship Id="rId5551" Type="http://schemas.openxmlformats.org/officeDocument/2006/relationships/hyperlink" Target="https://www.fatalencounters.org/wp-content/uploads/2018/12/Edgar-Espinoza.jpg" TargetMode="External"/><Relationship Id="rId6602" Type="http://schemas.openxmlformats.org/officeDocument/2006/relationships/hyperlink" Target="https://fatalencounters.org/wp-content/uploads/2019/08/Detravian-Allison.jpg" TargetMode="External"/><Relationship Id="rId1747" Type="http://schemas.openxmlformats.org/officeDocument/2006/relationships/hyperlink" Target="http://www.azcentral.com/story/news/local/arizona/2016/05/23/flagstaff-police-fatally-shoot-man-who-brandished-gun-near-nau/84796144/" TargetMode="External"/><Relationship Id="rId1954" Type="http://schemas.openxmlformats.org/officeDocument/2006/relationships/hyperlink" Target="http://www.fatalencounters.org/wp-content/uploads/2013/10/alva-braziel2-1024x538.jpg" TargetMode="External"/><Relationship Id="rId4153" Type="http://schemas.openxmlformats.org/officeDocument/2006/relationships/hyperlink" Target="http://www.syracuse.com/crime/index.ssf/2018/01/police_investigate_oneida_death.html" TargetMode="External"/><Relationship Id="rId4360" Type="http://schemas.openxmlformats.org/officeDocument/2006/relationships/hyperlink" Target="http://www.kron4.com/news/bay-area/report-officers-respond-to-shooting-in-oakland/1030346287" TargetMode="External"/><Relationship Id="rId5204" Type="http://schemas.openxmlformats.org/officeDocument/2006/relationships/hyperlink" Target="https://www.lasvegasnow.com/news/henderson-police-involved-in-shooting-near-auto-show-drive-gibson-road/1466420378" TargetMode="External"/><Relationship Id="rId5411" Type="http://schemas.openxmlformats.org/officeDocument/2006/relationships/hyperlink" Target="https://www.wdbj7.com/content/news/State-Police-identify-man-killed-in-officer-involved-shooting-in-Wythe-County-500622951.html" TargetMode="External"/><Relationship Id="rId39" Type="http://schemas.openxmlformats.org/officeDocument/2006/relationships/hyperlink" Target="http://www.kake.com/home/headlines/KBI-investigating-officer-involved-shooting-in-northwest-Kansas-316960821.html" TargetMode="External"/><Relationship Id="rId1607" Type="http://schemas.openxmlformats.org/officeDocument/2006/relationships/hyperlink" Target="http://www.live5news.com/story/31570846/one-man-dead-after-officer-involved-shooting-in-myrtle-beach" TargetMode="External"/><Relationship Id="rId1814" Type="http://schemas.openxmlformats.org/officeDocument/2006/relationships/hyperlink" Target="http://gazette.com/man-shot-by-pueblo-police-idd-as-colorado-springs-resident/article/1578192" TargetMode="External"/><Relationship Id="rId4013" Type="http://schemas.openxmlformats.org/officeDocument/2006/relationships/hyperlink" Target="http://www.koat.com/article/one-person-dead-after-officer-involved-shooting/14501045" TargetMode="External"/><Relationship Id="rId4220" Type="http://schemas.openxmlformats.org/officeDocument/2006/relationships/hyperlink" Target="http://www.firstcoastnews.com/article/news/crime/suspect-shot-dead-by-law-enforcement-near-st-augustine-outlet-mall/77-515401074" TargetMode="External"/><Relationship Id="rId7169" Type="http://schemas.openxmlformats.org/officeDocument/2006/relationships/hyperlink" Target="http://cdn.newsserve.net/v/20130402/4001801-More-details-about-police-shooting-in-Delano.jpg" TargetMode="External"/><Relationship Id="rId3779" Type="http://schemas.openxmlformats.org/officeDocument/2006/relationships/hyperlink" Target="http://www.fatalencounters.org/wp-content/uploads/2013/10/Jamee-Almarez.jpg" TargetMode="External"/><Relationship Id="rId6185" Type="http://schemas.openxmlformats.org/officeDocument/2006/relationships/hyperlink" Target="https://www.ajc.com/news/crime--law/breaking-gbi-responding-officer-involved-shooting-wheeler-county/4LNEwbwWn7Ok10MtkUzurM/?fbclid=IwAR2NXSPqe5PhFP8t5eYOZhr_oegzTLqlGOoXwgAIQXDS_7uXmXxvvIPITuc" TargetMode="External"/><Relationship Id="rId6392" Type="http://schemas.openxmlformats.org/officeDocument/2006/relationships/hyperlink" Target="https://www.syracuse.com/crime/2019/06/74-year-old-man-shot-by-syracuse-police-dies.html" TargetMode="External"/><Relationship Id="rId7029" Type="http://schemas.openxmlformats.org/officeDocument/2006/relationships/hyperlink" Target="https://fatalencounters.org/wp-content/uploads/2019/12/Mohamed-Ahmed-E-A-Al-Hashemi.jpg" TargetMode="External"/><Relationship Id="rId7236" Type="http://schemas.openxmlformats.org/officeDocument/2006/relationships/hyperlink" Target="http://www.daytondailynews.com/news/crime--law/man-killed-huber-heights-officer/jiaxOZSkAcDCVp3F1CnpAJ/" TargetMode="External"/><Relationship Id="rId2588" Type="http://schemas.openxmlformats.org/officeDocument/2006/relationships/hyperlink" Target="http://www.dailycamera.com/boulder-county-news/ci_30375073/adrian-joseph-shaffer-dies-us-287-gunfight" TargetMode="External"/><Relationship Id="rId3986" Type="http://schemas.openxmlformats.org/officeDocument/2006/relationships/hyperlink" Target="http://www.ktuu.com/content/news/One-man-dead-in-officer-involved-shooting-465647173.html" TargetMode="External"/><Relationship Id="rId6045" Type="http://schemas.openxmlformats.org/officeDocument/2006/relationships/hyperlink" Target="https://www.miamiherald.com/news/local/crime/article228681769.html" TargetMode="External"/><Relationship Id="rId6252" Type="http://schemas.openxmlformats.org/officeDocument/2006/relationships/hyperlink" Target="https://www.krqe.com/news/new-mexico/nmsp-investigates-carlsbad-officer-involved-shooting/2014479462" TargetMode="External"/><Relationship Id="rId1397" Type="http://schemas.openxmlformats.org/officeDocument/2006/relationships/hyperlink" Target="http://www.nydailynews.com/news/national/officer-involved-shooting-fairfield-conn-article-1.2533111" TargetMode="External"/><Relationship Id="rId2795" Type="http://schemas.openxmlformats.org/officeDocument/2006/relationships/hyperlink" Target="http://losangeles.cbslocal.com/2017/03/08/deputy-involved-shooting-ladera-heights/" TargetMode="External"/><Relationship Id="rId3639" Type="http://schemas.openxmlformats.org/officeDocument/2006/relationships/hyperlink" Target="http://wgntv.com/2017/02/10/police-on-scene-of-reported-shooting-in-north-center/" TargetMode="External"/><Relationship Id="rId3846" Type="http://schemas.openxmlformats.org/officeDocument/2006/relationships/hyperlink" Target="http://www.denverpost.com/2017/11/10/off-duty-police-officer-shoots-intruder/" TargetMode="External"/><Relationship Id="rId5061" Type="http://schemas.openxmlformats.org/officeDocument/2006/relationships/hyperlink" Target="https://www.fatalencounters.org/wp-content/uploads/2018/08/Aquantis-Givens-1.jpg" TargetMode="External"/><Relationship Id="rId6112" Type="http://schemas.openxmlformats.org/officeDocument/2006/relationships/hyperlink" Target="https://www.theadvocate.com/baton_rouge/news/communities/east_feliciana/article_f19fdefe-5f96-11e9-8310-7fdcd4315d17.html" TargetMode="External"/><Relationship Id="rId767" Type="http://schemas.openxmlformats.org/officeDocument/2006/relationships/hyperlink" Target="https://lintvkrqe.files.wordpress.com/2015/08/marvin.png?w=351" TargetMode="External"/><Relationship Id="rId974" Type="http://schemas.openxmlformats.org/officeDocument/2006/relationships/hyperlink" Target="http://www.11alive.com/story/news/local/lawrenceville/2015/07/14/family-questions-procedures-in-gwinnett-police-taser-death/30160171/" TargetMode="External"/><Relationship Id="rId2448" Type="http://schemas.openxmlformats.org/officeDocument/2006/relationships/hyperlink" Target="http://www.charlotteobserver.com/news/local/article117578618.html" TargetMode="External"/><Relationship Id="rId2655" Type="http://schemas.openxmlformats.org/officeDocument/2006/relationships/hyperlink" Target="http://wdtn.com/2017/07/26/reports-police-involved-in-shooting-wednesday-morning/" TargetMode="External"/><Relationship Id="rId2862" Type="http://schemas.openxmlformats.org/officeDocument/2006/relationships/hyperlink" Target="http://www.fatalencounters.org/wp-content/uploads/2013/10/Ronnie-Lee-Shorter.png" TargetMode="External"/><Relationship Id="rId3706" Type="http://schemas.openxmlformats.org/officeDocument/2006/relationships/hyperlink" Target="http://www.tampabay.com/news/publicsafety/police-man-dies-during-arrest-in-st-petersburg/2308363" TargetMode="External"/><Relationship Id="rId3913" Type="http://schemas.openxmlformats.org/officeDocument/2006/relationships/hyperlink" Target="http://ktla.com/2017/11/30/robbery-suspect-shot-after-police-pursuit-ends-in-north-hollywood-lapd/" TargetMode="External"/><Relationship Id="rId627" Type="http://schemas.openxmlformats.org/officeDocument/2006/relationships/hyperlink" Target="http://www.killedbypolice.net/victims/151078.jpg" TargetMode="External"/><Relationship Id="rId834" Type="http://schemas.openxmlformats.org/officeDocument/2006/relationships/hyperlink" Target="http://www.dailybulletin.com/general-news/20150821/ontario-police-identify-teen-killed-in-officer-involved-shooting" TargetMode="External"/><Relationship Id="rId1257" Type="http://schemas.openxmlformats.org/officeDocument/2006/relationships/hyperlink" Target="http://www.fatalencounters.org/wp-content/uploads/2013/10/RaymondGassman.png" TargetMode="External"/><Relationship Id="rId1464" Type="http://schemas.openxmlformats.org/officeDocument/2006/relationships/hyperlink" Target="http://i.dailymail.co.uk/i/pix/2016/01/21/14/306DBEB400000578-3409915-Killed_Saint_Landry_Parish_Sheriffs_Office_SWAT_team_shot_40_yea-a-29_1453385057523.jpg" TargetMode="External"/><Relationship Id="rId1671" Type="http://schemas.openxmlformats.org/officeDocument/2006/relationships/hyperlink" Target="http://b-townblog.com/2016/05/04/followup-burien-man-shot-by-police-wed-morning-identified-as-cayce-ditullio/" TargetMode="External"/><Relationship Id="rId2308" Type="http://schemas.openxmlformats.org/officeDocument/2006/relationships/hyperlink" Target="http://katv.com/news/local/little-rock-police-investigate-deadly-officer-involved-shooting" TargetMode="External"/><Relationship Id="rId2515" Type="http://schemas.openxmlformats.org/officeDocument/2006/relationships/hyperlink" Target="http://www.13wmaz.com/news/local/two-byron-officers-shot-serving-warrant-suspect-dead/368227424" TargetMode="External"/><Relationship Id="rId2722" Type="http://schemas.openxmlformats.org/officeDocument/2006/relationships/hyperlink" Target="http://www.oregonlive.com/portland/index.ssf/2017/05/one_person_dead_in_officer-inv.html" TargetMode="External"/><Relationship Id="rId5878" Type="http://schemas.openxmlformats.org/officeDocument/2006/relationships/hyperlink" Target="https://patch.com/maryland/owingsmills/machete-wielding-man-shot-injured-2-police-aldi-officials" TargetMode="External"/><Relationship Id="rId6929" Type="http://schemas.openxmlformats.org/officeDocument/2006/relationships/hyperlink" Target="https://fatalencounters.org/wp-content/uploads/2020/01/Raymond-V.-Tahod.jpg" TargetMode="External"/><Relationship Id="rId901" Type="http://schemas.openxmlformats.org/officeDocument/2006/relationships/hyperlink" Target="http://www.kvoa.com/story/30178157/shootout-behind-a-sierra-vista-church-leaves-one-man-dead" TargetMode="External"/><Relationship Id="rId1117" Type="http://schemas.openxmlformats.org/officeDocument/2006/relationships/hyperlink" Target="http://www.wltx.com/story/news/2015/11/17/overnight-officer-involved-shooting-cayce/75914374/" TargetMode="External"/><Relationship Id="rId1324" Type="http://schemas.openxmlformats.org/officeDocument/2006/relationships/hyperlink" Target="http://www.wbrc.com/story/30988343/armed-man-dies-in-officer-involved-shooting-in-rainbow-city" TargetMode="External"/><Relationship Id="rId1531" Type="http://schemas.openxmlformats.org/officeDocument/2006/relationships/hyperlink" Target="http://www.abc15.com/news/region-southeast-valley/chandler/two-officers-shot-in-chandler-walmart-suspect-dead" TargetMode="External"/><Relationship Id="rId4687" Type="http://schemas.openxmlformats.org/officeDocument/2006/relationships/hyperlink" Target="http://www.fatalencounters.org/wp-content/uploads/2018/05/Claudia-Patricia-G&#243;mez-Gonz&#225;lezjpeg.jpeg" TargetMode="External"/><Relationship Id="rId4894" Type="http://schemas.openxmlformats.org/officeDocument/2006/relationships/hyperlink" Target="https://www.mercedsunstar.com/news/local/crime/article214713460.html" TargetMode="External"/><Relationship Id="rId5738" Type="http://schemas.openxmlformats.org/officeDocument/2006/relationships/hyperlink" Target="https://www.fatalencounters.org/wp-content/uploads/2019/01/Jesse-Jenson.png" TargetMode="External"/><Relationship Id="rId5945" Type="http://schemas.openxmlformats.org/officeDocument/2006/relationships/hyperlink" Target="https://www.fatalencounters.org/wp-content/uploads/2019/03/Donqualeagray.jpg" TargetMode="External"/><Relationship Id="rId7093" Type="http://schemas.openxmlformats.org/officeDocument/2006/relationships/hyperlink" Target="https://wcfcourier.com/news/local/crime-and-courts/update-man-shot-by-cops-in-highway-incident-was-from/article_e135ef16-c2ae-5c71-9524-caeb7d5a2a02.html" TargetMode="External"/><Relationship Id="rId30" Type="http://schemas.openxmlformats.org/officeDocument/2006/relationships/hyperlink" Target="http://www.independentmail.com/news/man-killed-by-seneca-police-officer" TargetMode="External"/><Relationship Id="rId3289" Type="http://schemas.openxmlformats.org/officeDocument/2006/relationships/hyperlink" Target="http://fox11online.com/news/local/lakeshore/crews-block-off-road-in-kewaunee-county" TargetMode="External"/><Relationship Id="rId3496" Type="http://schemas.openxmlformats.org/officeDocument/2006/relationships/hyperlink" Target="http://www.news9.com/story/35292779/osbi-investigating-fatal-officer-involved-shooting-in-mccurtain-county" TargetMode="External"/><Relationship Id="rId4547" Type="http://schemas.openxmlformats.org/officeDocument/2006/relationships/hyperlink" Target="http://www.13wmaz.com/article/news/suspect-killed-in-officer-involved-shooting-in-cobb-county/85-540627388" TargetMode="External"/><Relationship Id="rId4754" Type="http://schemas.openxmlformats.org/officeDocument/2006/relationships/hyperlink" Target="http://www.fox5dc.com/news/local-news/police-officer-shoots-suspect-in-montgomery-county-officials-say" TargetMode="External"/><Relationship Id="rId7160" Type="http://schemas.openxmlformats.org/officeDocument/2006/relationships/hyperlink" Target="http://investigations.myajc.com/overtheline/database/" TargetMode="External"/><Relationship Id="rId2098" Type="http://schemas.openxmlformats.org/officeDocument/2006/relationships/hyperlink" Target="http://www.abc15.com/news/region-southeast-valley/apache-junction/1-person-injured-during-officer-involved-shooting-in-apache-junction" TargetMode="External"/><Relationship Id="rId3149" Type="http://schemas.openxmlformats.org/officeDocument/2006/relationships/hyperlink" Target="https://www.dcourier.com/news/2017/jul/26/man-shot-police-during-traffic-stop-dies-phoenix-a/" TargetMode="External"/><Relationship Id="rId3356" Type="http://schemas.openxmlformats.org/officeDocument/2006/relationships/hyperlink" Target="http://www.startribune.com/woman-killed-in-officer-involved-shooting-in-south-minneapolis/434782213/" TargetMode="External"/><Relationship Id="rId3563" Type="http://schemas.openxmlformats.org/officeDocument/2006/relationships/hyperlink" Target="http://www.wagmtv.com/content/news/An-officer-involved-shooting--416436843.html" TargetMode="External"/><Relationship Id="rId4407" Type="http://schemas.openxmlformats.org/officeDocument/2006/relationships/hyperlink" Target="http://www.fatalencounters.org/wp-content/uploads/2018/03/MarkAllenLunn.jpg" TargetMode="External"/><Relationship Id="rId4961" Type="http://schemas.openxmlformats.org/officeDocument/2006/relationships/hyperlink" Target="https://www.fatalencounters.org/wp-content/uploads/2018/07/Daniel-Hambrick.jpg" TargetMode="External"/><Relationship Id="rId5805" Type="http://schemas.openxmlformats.org/officeDocument/2006/relationships/hyperlink" Target="https://www.gwinnettdailypost.com/local/suspect-killed-in-officer-involved-shooting-near-buford-following-domestic/article_aabbfc7a-7833-512b-a25f-70c052143081.html" TargetMode="External"/><Relationship Id="rId7020" Type="http://schemas.openxmlformats.org/officeDocument/2006/relationships/hyperlink" Target="https://www.crestviewbulletin.com/news/20191218/ocso-suspect-stole-handgun-from-dadrsquos-safe-before-fatal-shooting" TargetMode="External"/><Relationship Id="rId277" Type="http://schemas.openxmlformats.org/officeDocument/2006/relationships/hyperlink" Target="http://www.ksat.com/content/pns/ksat/news/2015/04/10/man-shot--killed-by-police-id-d.html" TargetMode="External"/><Relationship Id="rId484" Type="http://schemas.openxmlformats.org/officeDocument/2006/relationships/hyperlink" Target="http://www.washingtonpost.com/local/crime/police-involved-in-shooting-person-in-nw/2014/03/18/7f80b924-ae8e-11e3-96dc-d6ea14c099f9_story.html" TargetMode="External"/><Relationship Id="rId2165" Type="http://schemas.openxmlformats.org/officeDocument/2006/relationships/hyperlink" Target="http://www.star-telegram.com/news/local/community/weatherford-star-telegram/article98990042.html" TargetMode="External"/><Relationship Id="rId3009" Type="http://schemas.openxmlformats.org/officeDocument/2006/relationships/hyperlink" Target="http://www.news-journalonline.com/news/20170319/police-1-man-killed-in-deland-in-officer-involved-shooting" TargetMode="External"/><Relationship Id="rId3216" Type="http://schemas.openxmlformats.org/officeDocument/2006/relationships/hyperlink" Target="http://www.prescottenews.com/index.php/news/current-news/item/29859-armed-suspect-killed-in-officer-involved-shooting" TargetMode="External"/><Relationship Id="rId3770" Type="http://schemas.openxmlformats.org/officeDocument/2006/relationships/hyperlink" Target="http://abc7ny.com/2-fatally-shot-by-off-duty-officer-during-robbery-attempt-in-newark/2582986/" TargetMode="External"/><Relationship Id="rId4614" Type="http://schemas.openxmlformats.org/officeDocument/2006/relationships/hyperlink" Target="http://www.foxnews.com/us/2018/05/07/wyoming-shooting-leaves-man-dead-and-officer-injured.html?utm_source=feedburner&amp;utm_medium=feed&amp;utm_campaign=Feed%3A+foxnews%2Fnational+%28Internal+-+US+Latest+-+Text%29" TargetMode="External"/><Relationship Id="rId4821" Type="http://schemas.openxmlformats.org/officeDocument/2006/relationships/hyperlink" Target="http://www.startribune.com/autopsy-man-killed-by-police-shot-multiple-times/486468351/" TargetMode="External"/><Relationship Id="rId137" Type="http://schemas.openxmlformats.org/officeDocument/2006/relationships/hyperlink" Target="http://www.northjersey.com/news/hackensack-man-killed-in-police-involved-shooting-had-knife-officials-say-1.1354435" TargetMode="External"/><Relationship Id="rId344" Type="http://schemas.openxmlformats.org/officeDocument/2006/relationships/hyperlink" Target="http://www.kktv.com/home/headlines/One-Man-Hospialized-After-Officer-Involved-Shooting-285508201.html" TargetMode="External"/><Relationship Id="rId691" Type="http://schemas.openxmlformats.org/officeDocument/2006/relationships/hyperlink" Target="http://www.nbcmontana.com/news/beaverhead-co-sheriffs-office-says-dillon-man-dies-after-officerinvolved-shooting/36485584" TargetMode="External"/><Relationship Id="rId2025" Type="http://schemas.openxmlformats.org/officeDocument/2006/relationships/hyperlink" Target="http://www.fatalencounters.org/wp-content/uploads/2013/10/Melvin-Faison.jpg" TargetMode="External"/><Relationship Id="rId2372" Type="http://schemas.openxmlformats.org/officeDocument/2006/relationships/hyperlink" Target="https://www.hayspost.com/2016/11/08/ellis-co-attorney-driver-dies-at-the-scene-of-deputy-involved-shooting-north-of-hays/" TargetMode="External"/><Relationship Id="rId3423" Type="http://schemas.openxmlformats.org/officeDocument/2006/relationships/hyperlink" Target="http://www.wsoctv.com/news/local/caldwell-co-authorities-investigating-deadly-officer-involved-shooting/531177132" TargetMode="External"/><Relationship Id="rId3630" Type="http://schemas.openxmlformats.org/officeDocument/2006/relationships/hyperlink" Target="http://www.wlky.com/article/lmpd-investigating-shooting-near-churchill-downs/8733626" TargetMode="External"/><Relationship Id="rId6579" Type="http://schemas.openxmlformats.org/officeDocument/2006/relationships/hyperlink" Target="https://www.gwinnettdailypost.com/local/gbi-identifies-suspect-fatally-shot-by-braselton-cop-in-snellville/article_c465d98e-b6e4-11e9-b98c-e7c297e9d81e.html" TargetMode="External"/><Relationship Id="rId6786" Type="http://schemas.openxmlformats.org/officeDocument/2006/relationships/hyperlink" Target="https://fatalencounters.org/wp-content/uploads/2019/09/Willie-Hudson.jpg" TargetMode="External"/><Relationship Id="rId6993" Type="http://schemas.openxmlformats.org/officeDocument/2006/relationships/hyperlink" Target="https://abc7.com/suspect-dead-after-officer-involved-shooting-in-anaheim/5751148/" TargetMode="External"/><Relationship Id="rId551" Type="http://schemas.openxmlformats.org/officeDocument/2006/relationships/hyperlink" Target="http://www.nola.com/crime/index.ssf/2014/04/report_doj_drops_probe_of_fbi-.html" TargetMode="External"/><Relationship Id="rId1181" Type="http://schemas.openxmlformats.org/officeDocument/2006/relationships/hyperlink" Target="http://www.mercurynews.com/crime-courts/ci_28734820/oakland-police-release-name-suspect-officer-fatal-shooting" TargetMode="External"/><Relationship Id="rId2232" Type="http://schemas.openxmlformats.org/officeDocument/2006/relationships/hyperlink" Target="http://www.live5news.com/story/33331129/officials-man-shot-in-exchange-with-deputies-has-died" TargetMode="External"/><Relationship Id="rId5388" Type="http://schemas.openxmlformats.org/officeDocument/2006/relationships/hyperlink" Target="https://www.fox13memphis.com/top-stories/mbi-person-dead-after-officer-involved-shooting-in-mississippi/870903644" TargetMode="External"/><Relationship Id="rId5595" Type="http://schemas.openxmlformats.org/officeDocument/2006/relationships/hyperlink" Target="https://katv.com/news/local/arkansas-state-police-investigate-officer-involved-shooting-in-rector" TargetMode="External"/><Relationship Id="rId6439" Type="http://schemas.openxmlformats.org/officeDocument/2006/relationships/hyperlink" Target="https://www.wfmynews2.com/article/news/local/suspect-dead-after-chase-shootout-involving-an-nc-state-trooper/83-3b4f6acb-25de-49d9-b9db-956aeb262d3d" TargetMode="External"/><Relationship Id="rId6646" Type="http://schemas.openxmlformats.org/officeDocument/2006/relationships/hyperlink" Target="https://fox59.com/2019/08/19/police-deputy-shoots-kills-armed-man-in-lawrence-county/" TargetMode="External"/><Relationship Id="rId6853" Type="http://schemas.openxmlformats.org/officeDocument/2006/relationships/hyperlink" Target="https://kfdm.com/news/local/beaumont-officer-shoots-kills-man-who-assaulted-him-after-attacking-robbing-motel-clerk" TargetMode="External"/><Relationship Id="rId204" Type="http://schemas.openxmlformats.org/officeDocument/2006/relationships/hyperlink" Target="http://www.wrex.com/story/29079166/2015/05/15/officer-involved-shooting-in-rockford" TargetMode="External"/><Relationship Id="rId411" Type="http://schemas.openxmlformats.org/officeDocument/2006/relationships/hyperlink" Target="http://www.cincinnati.com/story/news/2014/08/05/cincinnati-police-officer-shoots-man-killed-traffic-stop/13611479/" TargetMode="External"/><Relationship Id="rId1041" Type="http://schemas.openxmlformats.org/officeDocument/2006/relationships/hyperlink" Target="http://america.aljazeera.com/articles/2015/4/29/terrance-kellom-shot-dead-in-detroit-by-ice-agent.html" TargetMode="External"/><Relationship Id="rId1998" Type="http://schemas.openxmlformats.org/officeDocument/2006/relationships/hyperlink" Target="http://www.kob.com/new-mexico-news/nmsp-investigating-officer-involved-shooting-in-gallup/4209859/" TargetMode="External"/><Relationship Id="rId4197" Type="http://schemas.openxmlformats.org/officeDocument/2006/relationships/hyperlink" Target="http://www.pjstar.com/news/20180201/south-peoria-shootout-leaves-cop-shot-another-person-dead" TargetMode="External"/><Relationship Id="rId5248" Type="http://schemas.openxmlformats.org/officeDocument/2006/relationships/hyperlink" Target="http://www.ktvu.com/news/coroner-identifies-man-who-died-after-fight-with-deputies-in-millbrae" TargetMode="External"/><Relationship Id="rId5455" Type="http://schemas.openxmlformats.org/officeDocument/2006/relationships/hyperlink" Target="https://foxrio2.com/laredo-authorities-investigate-fatal-officer-involved-shooting/" TargetMode="External"/><Relationship Id="rId5662" Type="http://schemas.openxmlformats.org/officeDocument/2006/relationships/hyperlink" Target="http://www.news12.com/story/39727832/officials-at-least-3-shots-fired-amid-greenport-standoff" TargetMode="External"/><Relationship Id="rId6506" Type="http://schemas.openxmlformats.org/officeDocument/2006/relationships/hyperlink" Target="https://www.brownsvilleherald.com/news/texas/man-woman-killed-in-shootout-with-texas-deputy/article_006e6a69-e685-563c-b579-4657ed7367c0.html" TargetMode="External"/><Relationship Id="rId6713" Type="http://schemas.openxmlformats.org/officeDocument/2006/relationships/hyperlink" Target="https://fatalencounters.org/wp-content/uploads/2019/09/TerryPierce.jpg" TargetMode="External"/><Relationship Id="rId6920" Type="http://schemas.openxmlformats.org/officeDocument/2006/relationships/hyperlink" Target="https://katu.com/news/local/man-dies-in-albany-after-being-hit-by-police-stun-gun" TargetMode="External"/><Relationship Id="rId1858" Type="http://schemas.openxmlformats.org/officeDocument/2006/relationships/hyperlink" Target="http://www.fatalencounters.org/wp-content/uploads/2013/10/DevinScott.png" TargetMode="External"/><Relationship Id="rId4057" Type="http://schemas.openxmlformats.org/officeDocument/2006/relationships/hyperlink" Target="http://www.fatalencounters.org/wp-content/uploads/2018/01/Brandon-Cude.jpg" TargetMode="External"/><Relationship Id="rId4264" Type="http://schemas.openxmlformats.org/officeDocument/2006/relationships/hyperlink" Target="http://www.fatalencounters.org/wp-content/uploads/2018/02/Nathaniel-Montoya.jpg" TargetMode="External"/><Relationship Id="rId4471" Type="http://schemas.openxmlformats.org/officeDocument/2006/relationships/hyperlink" Target="https://www.abc15.com/news/region-phoenix-metro/north-phoenix/suspect-down-after-officer-involved-shooting-in-phoenix" TargetMode="External"/><Relationship Id="rId5108" Type="http://schemas.openxmlformats.org/officeDocument/2006/relationships/hyperlink" Target="https://www.usnews.com/news/best-states/arizona/articles/2018-08-27/phoenix-police-say-officer-shot-suspect-who-pointed-gun" TargetMode="External"/><Relationship Id="rId5315" Type="http://schemas.openxmlformats.org/officeDocument/2006/relationships/hyperlink" Target="https://www.fatalencounters.org/wp-content/uploads/2018/10/cedricpritchard.jpg" TargetMode="External"/><Relationship Id="rId5522" Type="http://schemas.openxmlformats.org/officeDocument/2006/relationships/hyperlink" Target="https://www.wivb.com/news/local-news/one-person-confirmed-dead-in-officer-involved-shooting-in-fredonia/1651132011" TargetMode="External"/><Relationship Id="rId2909" Type="http://schemas.openxmlformats.org/officeDocument/2006/relationships/hyperlink" Target="http://www.kake.com/story/36077448/man-dies-in-officer-involved-shooting-in-north-wichita" TargetMode="External"/><Relationship Id="rId3073" Type="http://schemas.openxmlformats.org/officeDocument/2006/relationships/hyperlink" Target="http://www.fatalencounters.org/wp-content/uploads/2013/10/Jose-Antonio-Fernandez-Ventura.png" TargetMode="External"/><Relationship Id="rId3280" Type="http://schemas.openxmlformats.org/officeDocument/2006/relationships/hyperlink" Target="https://www.clickondetroit.com/news/man-shot-killed-by-police-after-standoff-in-waterford-township" TargetMode="External"/><Relationship Id="rId4124" Type="http://schemas.openxmlformats.org/officeDocument/2006/relationships/hyperlink" Target="https://kchanews.com/2018/01/18/iowa-dci-to-investigate-fatal-police-shooting-near-nashua" TargetMode="External"/><Relationship Id="rId4331" Type="http://schemas.openxmlformats.org/officeDocument/2006/relationships/hyperlink" Target="http://wane.com/2018/03/06/north-manchester-officer-involved-in-fatal-shooting/" TargetMode="External"/><Relationship Id="rId1718" Type="http://schemas.openxmlformats.org/officeDocument/2006/relationships/hyperlink" Target="http://www.fatalencounters.org/wp-content/uploads/2013/10/Jabril-Robinson.jpg" TargetMode="External"/><Relationship Id="rId1925" Type="http://schemas.openxmlformats.org/officeDocument/2006/relationships/hyperlink" Target="http://www.mercurynews.com/crime-courts/ci_30090228/san-jose-police-investigating-officer-involved-shooting-man" TargetMode="External"/><Relationship Id="rId3140" Type="http://schemas.openxmlformats.org/officeDocument/2006/relationships/hyperlink" Target="http://www.goerie.com/news/20170804/state-police-probe-warren-officer-involved-shooting" TargetMode="External"/><Relationship Id="rId6089" Type="http://schemas.openxmlformats.org/officeDocument/2006/relationships/hyperlink" Target="https://fox59.com/2019/04/09/update-call-for-person-walking-on-wb-i-70-leads-to-officer-involved-shooting-suspect-died-at-hospital/" TargetMode="External"/><Relationship Id="rId6296" Type="http://schemas.openxmlformats.org/officeDocument/2006/relationships/hyperlink" Target="https://www.wric.com/news/virginia-news/-the-most-devastating-day-12-killed-several-injured-in-virginia-beach-shooting/2042830579" TargetMode="External"/><Relationship Id="rId6156" Type="http://schemas.openxmlformats.org/officeDocument/2006/relationships/hyperlink" Target="https://www.walb.com/2019/04/25/tift-man-dies-law-enforcement-custody/" TargetMode="External"/><Relationship Id="rId2699" Type="http://schemas.openxmlformats.org/officeDocument/2006/relationships/hyperlink" Target="http://www.hattiesburgamerican.com/story/news/crime/2017/06/02/man-dies-after-being-shot-police-petal/365606001/" TargetMode="External"/><Relationship Id="rId3000" Type="http://schemas.openxmlformats.org/officeDocument/2006/relationships/hyperlink" Target="http://www.fatalencounters.org/wp-content/uploads/2013/10/MichaelMaldonado.png" TargetMode="External"/><Relationship Id="rId3957" Type="http://schemas.openxmlformats.org/officeDocument/2006/relationships/hyperlink" Target="http://www.greatfallstribune.com/story/news/2017/12/11/officers-involved-great-falls-shooting/941121001/?hootPostID=636b28a8afc33e157d04a9682ffaa2dd" TargetMode="External"/><Relationship Id="rId6363" Type="http://schemas.openxmlformats.org/officeDocument/2006/relationships/hyperlink" Target="https://www.nbcwashington.com/news/local/Gun-Store-Burglary-Leaves-1-Dead-in-Rockville-Numerous-Suspects-at-Large-511230561.html" TargetMode="External"/><Relationship Id="rId6570" Type="http://schemas.openxmlformats.org/officeDocument/2006/relationships/hyperlink" Target="https://fatalencounters.org/wp-content/uploads/2019/08/Eric-Allen-Toon.jpg" TargetMode="External"/><Relationship Id="rId7207" Type="http://schemas.openxmlformats.org/officeDocument/2006/relationships/hyperlink" Target="http://www.charlotteobserver.com/news/local/crime/bfnace/picture26665492/ALTERNATES/FREE_960/Main%20Art%20for%20now%20Anna%20&amp;%20Randy%20Moore" TargetMode="External"/><Relationship Id="rId878" Type="http://schemas.openxmlformats.org/officeDocument/2006/relationships/hyperlink" Target="http://www.reviewjournal.com/news/las-vegas/man-killed-north-las-vegas-officers-shootout-idd" TargetMode="External"/><Relationship Id="rId2559" Type="http://schemas.openxmlformats.org/officeDocument/2006/relationships/hyperlink" Target="http://www.nbclosangeles.com/news/local/Man-Killed-in-Deputy-Shooting-in-Pico-Rivera-408187075.html" TargetMode="External"/><Relationship Id="rId2766" Type="http://schemas.openxmlformats.org/officeDocument/2006/relationships/hyperlink" Target="http://www.baltimoresun.com/news/maryland/crime/bs-md-ci-police-shooting-20170324-story.html" TargetMode="External"/><Relationship Id="rId2973" Type="http://schemas.openxmlformats.org/officeDocument/2006/relationships/hyperlink" Target="http://www.fatalencounters.org/wp-content/uploads/2013/10/HectorGamboa.jpg" TargetMode="External"/><Relationship Id="rId3817" Type="http://schemas.openxmlformats.org/officeDocument/2006/relationships/hyperlink" Target="http://www.fatalencounters.org/wp-content/uploads/2013/10/Jason-Ike-Pero.png" TargetMode="External"/><Relationship Id="rId5172" Type="http://schemas.openxmlformats.org/officeDocument/2006/relationships/hyperlink" Target="https://www.coloradoan.com/story/news/2018/09/19/fourth-victim-identified-laredo-border-patrol-serial-killings/1358150002/" TargetMode="External"/><Relationship Id="rId6016" Type="http://schemas.openxmlformats.org/officeDocument/2006/relationships/hyperlink" Target="https://www.fatalencounters.org/wp-content/uploads/2019/03/Bruce-Puchel.jpg" TargetMode="External"/><Relationship Id="rId6223" Type="http://schemas.openxmlformats.org/officeDocument/2006/relationships/hyperlink" Target="https://www.chron.com/news/texas/article/Medical-examiner-Police-shooting-of-Texas-woman-13848360.php" TargetMode="External"/><Relationship Id="rId6430" Type="http://schemas.openxmlformats.org/officeDocument/2006/relationships/hyperlink" Target="https://fatalencounters.org/wp-content/uploads/2019/07/ZackHoppe.jpg" TargetMode="External"/><Relationship Id="rId738" Type="http://schemas.openxmlformats.org/officeDocument/2006/relationships/hyperlink" Target="http://www.gannett-cdn.com/-mm-/4a642aabe5f985a52bba9ddf24c8c1b9c310561c/c=0-58-401-593&amp;r=537&amp;c=0-0-534-712/local/-/media/2015/08/03/Muncie/B9318324335Z.1_20150803220258_000_GL1BHGGFA.1-0.jpg" TargetMode="External"/><Relationship Id="rId945" Type="http://schemas.openxmlformats.org/officeDocument/2006/relationships/hyperlink" Target="http://www.wsmv.com/story/30397967/father-of-officer-shooting-suspect-speaks-out" TargetMode="External"/><Relationship Id="rId1368" Type="http://schemas.openxmlformats.org/officeDocument/2006/relationships/hyperlink" Target="http://www.nydailynews.com/news/national/transgender-man-shot-dead-police-hoping-transition-article-1.2522193" TargetMode="External"/><Relationship Id="rId1575" Type="http://schemas.openxmlformats.org/officeDocument/2006/relationships/hyperlink" Target="http://www.indystar.com/story/news/crime/2016/04/05/police-investigate-officer-involved-shooting-east-side/82682546/" TargetMode="External"/><Relationship Id="rId1782" Type="http://schemas.openxmlformats.org/officeDocument/2006/relationships/hyperlink" Target="http://www.ajc.com/news/news/crime-law/man-killed-by-deputies-had-10-outstanding-warrants/nrYnr/" TargetMode="External"/><Relationship Id="rId2419" Type="http://schemas.openxmlformats.org/officeDocument/2006/relationships/hyperlink" Target="http://www.latimes.com/local/lanow/la-me-ln-south-gate-cop-dead-20161122-story.html" TargetMode="External"/><Relationship Id="rId2626" Type="http://schemas.openxmlformats.org/officeDocument/2006/relationships/hyperlink" Target="http://www.app.com/story/news/2017/08/20/one-dead-police-involved-shooting-brick-domestic-dispute/584226001/" TargetMode="External"/><Relationship Id="rId2833" Type="http://schemas.openxmlformats.org/officeDocument/2006/relationships/hyperlink" Target="http://www.fatalencounters.org/wp-content/uploads/2013/10/Quanice-Derrick-Hayes.jpg" TargetMode="External"/><Relationship Id="rId5032" Type="http://schemas.openxmlformats.org/officeDocument/2006/relationships/hyperlink" Target="https://www.local10.com/news/florida/hollywood/gunman-fatally-shot-by-police-after-setting-house-on-fire-during-swat-standoff" TargetMode="External"/><Relationship Id="rId5989" Type="http://schemas.openxmlformats.org/officeDocument/2006/relationships/hyperlink" Target="https://www.idahostatesman.com/news/local/crime/article227832309.html" TargetMode="External"/><Relationship Id="rId74" Type="http://schemas.openxmlformats.org/officeDocument/2006/relationships/hyperlink" Target="http://homicide.latimes.com/post/john-leonard-berry/" TargetMode="External"/><Relationship Id="rId805" Type="http://schemas.openxmlformats.org/officeDocument/2006/relationships/hyperlink" Target="http://www.firstcoastnews.com/story/news/crime/2015/08/23/jso-officer-involved-incident-reported-west-jacksonville/32231241/" TargetMode="External"/><Relationship Id="rId1228" Type="http://schemas.openxmlformats.org/officeDocument/2006/relationships/hyperlink" Target="http://www.fatalencounters.org/wp-content/uploads/2013/10/Stephen-John-Bukwich.jpg" TargetMode="External"/><Relationship Id="rId1435" Type="http://schemas.openxmlformats.org/officeDocument/2006/relationships/hyperlink" Target="http://www.arkansasmatters.com/news/local-news/officer-involved-shooting-leaves-one-dead-in-montgomery-county" TargetMode="External"/><Relationship Id="rId4798" Type="http://schemas.openxmlformats.org/officeDocument/2006/relationships/hyperlink" Target="https://www.fatalencounters.org/wp-content/uploads/2018/06/CharlesLutherSpiller.jpg" TargetMode="External"/><Relationship Id="rId1642" Type="http://schemas.openxmlformats.org/officeDocument/2006/relationships/hyperlink" Target="http://nativenewsonline.net/wp-content/uploads/2016/03/Loreal-Tsingine-1.jpg" TargetMode="External"/><Relationship Id="rId2900" Type="http://schemas.openxmlformats.org/officeDocument/2006/relationships/hyperlink" Target="http://www.sandiegouniontribune.com/news/public-safety/sd-me-lemon-grove-ois-20170824-story.html" TargetMode="External"/><Relationship Id="rId5849" Type="http://schemas.openxmlformats.org/officeDocument/2006/relationships/hyperlink" Target="https://www.ktva.com/story/39953981/suspect-struck-in-fairbanks-officerinvolved-shooting" TargetMode="External"/><Relationship Id="rId7064" Type="http://schemas.openxmlformats.org/officeDocument/2006/relationships/hyperlink" Target="https://fatalencounters.org/wp-content/uploads/2019/12/Anthony-Smith.jpg" TargetMode="External"/><Relationship Id="rId1502" Type="http://schemas.openxmlformats.org/officeDocument/2006/relationships/hyperlink" Target="http://pittsburgh.cbslocal.com/2016/01/31/person-shot-k9-officer-stabbed-killed-in-wilkinsburg/" TargetMode="External"/><Relationship Id="rId4658" Type="http://schemas.openxmlformats.org/officeDocument/2006/relationships/hyperlink" Target="https://www.clickondetroit.com/news/video-shows-moments-before-unarmed-michigan-man-is-fatally-shot-by-police-officer" TargetMode="External"/><Relationship Id="rId4865" Type="http://schemas.openxmlformats.org/officeDocument/2006/relationships/hyperlink" Target="http://www.thedickinsonpress.com/news/crime-and-courts/4469142-authorities-identify-man-shot-devils-lake-police-officer" TargetMode="External"/><Relationship Id="rId5709" Type="http://schemas.openxmlformats.org/officeDocument/2006/relationships/hyperlink" Target="https://komonews.com/news/local/police-lakewood-man-dies-in-officer-involved-shooting-after-charging-at-police-with-knife" TargetMode="External"/><Relationship Id="rId5916" Type="http://schemas.openxmlformats.org/officeDocument/2006/relationships/hyperlink" Target="https://www.columbian.com/news/2019/mar/01/family-man-shot-killed-by-vancouver-police-had-schizophrenia/?utm_source=feedburner&amp;utm_medium=feed&amp;utm_campaign=Feed%3A+the-columbian-local-headlines+%28The+Columbian%3A+Local+Headlines%29" TargetMode="External"/><Relationship Id="rId6080" Type="http://schemas.openxmlformats.org/officeDocument/2006/relationships/hyperlink" Target="https://www.fatalencounters.org/wp-content/uploads/2019/04/AnthonyBowers.jpg" TargetMode="External"/><Relationship Id="rId7131" Type="http://schemas.openxmlformats.org/officeDocument/2006/relationships/hyperlink" Target="http://investigations.myajc.com/overtheline/images/mugs/36.jpg" TargetMode="External"/><Relationship Id="rId388" Type="http://schemas.openxmlformats.org/officeDocument/2006/relationships/hyperlink" Target="http://www.northwestgeorgianews.com/polkfishwrap/news/local/authorities--year-old-levi-weaver-shot-killed-by-polk/article_b26d6dba-408c-11e4-ba96-0017a43b2370.html" TargetMode="External"/><Relationship Id="rId2069" Type="http://schemas.openxmlformats.org/officeDocument/2006/relationships/hyperlink" Target="http://www.wxii12.com/news/deputy-involved-in-shooting-in-wilkes-county/41113068" TargetMode="External"/><Relationship Id="rId3467" Type="http://schemas.openxmlformats.org/officeDocument/2006/relationships/hyperlink" Target="http://wjla.com/news/local/police-woman-appearing-to-have-a-gun-shot-in-police-involved-shooting-in-dc" TargetMode="External"/><Relationship Id="rId3674" Type="http://schemas.openxmlformats.org/officeDocument/2006/relationships/hyperlink" Target="http://www.delawareonline.com/story/news/crime/2017/01/23/wilmington-police-fatally-shoot-armed-man-near-trolley-square/96974292/" TargetMode="External"/><Relationship Id="rId3881" Type="http://schemas.openxmlformats.org/officeDocument/2006/relationships/hyperlink" Target="http://www.ky3.com/content/news/Man-died-after-officer-involved-shooting--459675453.html" TargetMode="External"/><Relationship Id="rId4518" Type="http://schemas.openxmlformats.org/officeDocument/2006/relationships/hyperlink" Target="http://www.knoe.com/content/news/State-Police-investigating-deputy-involved-shooting-in-Winn-Parish-479439343.html" TargetMode="External"/><Relationship Id="rId4725" Type="http://schemas.openxmlformats.org/officeDocument/2006/relationships/hyperlink" Target="https://www.13wmaz.com/article/news/local/update-gbi-investigating-after-bibb-deputies-shoot-kill-armed-robbery-suspect/93-560972332" TargetMode="External"/><Relationship Id="rId4932" Type="http://schemas.openxmlformats.org/officeDocument/2006/relationships/hyperlink" Target="https://www.fatalencounters.org/wp-content/uploads/2018/07/Dale-Slocum.jpg" TargetMode="External"/><Relationship Id="rId595" Type="http://schemas.openxmlformats.org/officeDocument/2006/relationships/hyperlink" Target="http://www.killedbypolice.net/victims/150960.jpg" TargetMode="External"/><Relationship Id="rId2276" Type="http://schemas.openxmlformats.org/officeDocument/2006/relationships/hyperlink" Target="http://www.mercurynews.com/2016/10/17/rake-wielding-man-shot-and-killed-by-santa-cruz-cop/" TargetMode="External"/><Relationship Id="rId2483" Type="http://schemas.openxmlformats.org/officeDocument/2006/relationships/hyperlink" Target="http://www.clickorlando.com/news/deputy-involved-shooting-investigation-underway-in-fruitland-park-deputies-say" TargetMode="External"/><Relationship Id="rId2690" Type="http://schemas.openxmlformats.org/officeDocument/2006/relationships/hyperlink" Target="http://www.fatalencounters.org/wp-content/uploads/2013/10/Avery-D.-Metrejean.png" TargetMode="External"/><Relationship Id="rId3327" Type="http://schemas.openxmlformats.org/officeDocument/2006/relationships/hyperlink" Target="http://www.fatalencounters.org/wp-content/uploads/2013/10/Matthew-L.-Folden.png" TargetMode="External"/><Relationship Id="rId3534" Type="http://schemas.openxmlformats.org/officeDocument/2006/relationships/hyperlink" Target="http://www.mystateline.com/news/shooting-reported-in-stockton/682497014" TargetMode="External"/><Relationship Id="rId3741" Type="http://schemas.openxmlformats.org/officeDocument/2006/relationships/hyperlink" Target="http://www.wjfw.com/storydetails/20171023141408/update__officer_shoots_kills_man_after_traffic_stop_physical_struggle_in_crandon" TargetMode="External"/><Relationship Id="rId6897" Type="http://schemas.openxmlformats.org/officeDocument/2006/relationships/hyperlink" Target="https://www.app.com/story/news/crime/2019/10/20/farmingdale-police-shooting-woman-found-dead-home/4047521002/" TargetMode="External"/><Relationship Id="rId248" Type="http://schemas.openxmlformats.org/officeDocument/2006/relationships/hyperlink" Target="http://www.newson6.com/story/28881786/choctaw-county-law-enforcement-officers-shot-serving-warrant" TargetMode="External"/><Relationship Id="rId455" Type="http://schemas.openxmlformats.org/officeDocument/2006/relationships/hyperlink" Target="http://www.mercurynews.com/my-town/ci_25773669/concord-police-shoot-kill-suspect-thursday-evening" TargetMode="External"/><Relationship Id="rId662" Type="http://schemas.openxmlformats.org/officeDocument/2006/relationships/hyperlink" Target="http://www.killedbypolice.net/victims/151003.jpg" TargetMode="External"/><Relationship Id="rId1085" Type="http://schemas.openxmlformats.org/officeDocument/2006/relationships/hyperlink" Target="http://www.killedbypolice.net/victims/150965.jpg" TargetMode="External"/><Relationship Id="rId1292" Type="http://schemas.openxmlformats.org/officeDocument/2006/relationships/hyperlink" Target="http://www.fatalencounters.org/wp-content/uploads/2013/10/TeodoroValencia.png" TargetMode="External"/><Relationship Id="rId2136" Type="http://schemas.openxmlformats.org/officeDocument/2006/relationships/hyperlink" Target="http://www.fatalencounters.org/wp-content/uploads/2013/10/JeffreyDarrenHosea.jpg" TargetMode="External"/><Relationship Id="rId2343" Type="http://schemas.openxmlformats.org/officeDocument/2006/relationships/hyperlink" Target="http://www.charlotteobserver.com/news/local/article112267557.html" TargetMode="External"/><Relationship Id="rId2550" Type="http://schemas.openxmlformats.org/officeDocument/2006/relationships/hyperlink" Target="http://sacramento.cbslocal.com/2016/12/27/grass-valley-man-35-shot-and-killed-by-deputies/" TargetMode="External"/><Relationship Id="rId3601" Type="http://schemas.openxmlformats.org/officeDocument/2006/relationships/hyperlink" Target="http://www.fatalencounters.org/wp-content/uploads/2013/10/joeyisgriggweb.jpg" TargetMode="External"/><Relationship Id="rId5499" Type="http://schemas.openxmlformats.org/officeDocument/2006/relationships/hyperlink" Target="https://www.fatalencounters.org/wp-content/uploads/2018/12/Benjamin-Larson.jpg.png" TargetMode="External"/><Relationship Id="rId6757" Type="http://schemas.openxmlformats.org/officeDocument/2006/relationships/hyperlink" Target="https://minnesota.cbslocal.com/2019/09/16/its-our-harsh-reality-bca-investigates-st-paul-officer-involved-shooting/" TargetMode="External"/><Relationship Id="rId6964" Type="http://schemas.openxmlformats.org/officeDocument/2006/relationships/hyperlink" Target="https://surfky.com/index.php/179-news/kentucky/145086-ksp-ids-man-in-calloway-co-officer-involved-shooting" TargetMode="External"/><Relationship Id="rId108" Type="http://schemas.openxmlformats.org/officeDocument/2006/relationships/hyperlink" Target="http://bloximages.newyork1.vip.townnews.com/journalnow.com/content/tncms/assets/v3/editorial/4/1f/41fb4001-cb7b-5850-8587-b8e9677b73a9/558828f92bfd8.image.jpg" TargetMode="External"/><Relationship Id="rId315" Type="http://schemas.openxmlformats.org/officeDocument/2006/relationships/hyperlink" Target="http://www.chicoer.com/general-news/20141229/man-shot-killed-by-sheriffs-deputy-in-paradise" TargetMode="External"/><Relationship Id="rId522" Type="http://schemas.openxmlformats.org/officeDocument/2006/relationships/hyperlink" Target="http://www.today.com/news/unjustified-family-student-killed-campus-police-speaks-out-2D11723684" TargetMode="External"/><Relationship Id="rId1152" Type="http://schemas.openxmlformats.org/officeDocument/2006/relationships/hyperlink" Target="http://img.huffingtonpost.com/asset/scalefit_630_noupscale/55cd530e1d00002f00144c8d.jpeg?cache=aG1Q941U8e" TargetMode="External"/><Relationship Id="rId2203" Type="http://schemas.openxmlformats.org/officeDocument/2006/relationships/hyperlink" Target="http://www.mercedsunstar.com/news/local/crime/article100769527.html" TargetMode="External"/><Relationship Id="rId2410" Type="http://schemas.openxmlformats.org/officeDocument/2006/relationships/hyperlink" Target="http://www.news9.com/story/33750775/osbi-investigating-officer-involved-shooting-in-chickasha" TargetMode="External"/><Relationship Id="rId5359" Type="http://schemas.openxmlformats.org/officeDocument/2006/relationships/hyperlink" Target="https://www.detroitnews.com/story/news/local/macomb-county/2018/11/05/shelby-township-officer-leave-fatal-shooting/38395647/?fbclid=IwAR1H0cBXefe3y2-t5TewG4g4sdBM0jyUD70rYqNuLHWHd6ZS2UDbjb5fJYY" TargetMode="External"/><Relationship Id="rId5566" Type="http://schemas.openxmlformats.org/officeDocument/2006/relationships/hyperlink" Target="https://www.mcall.com/news/breaking/mc-pol-carbon-county-pursuit-dies-from-officer-involved-shooting-20181219-story.html" TargetMode="External"/><Relationship Id="rId5773" Type="http://schemas.openxmlformats.org/officeDocument/2006/relationships/hyperlink" Target="https://weartv.com/news/local/breaking-office-involved-shooting-reported-on-highway-97" TargetMode="External"/><Relationship Id="rId6617" Type="http://schemas.openxmlformats.org/officeDocument/2006/relationships/hyperlink" Target="https://www.ajc.com/news/crime--law/cops-kidnapper-shot-woman-twice-before-was-killed-east-georgia-deputy/MXkTHAfLKQZ7KN61zv3xhP/" TargetMode="External"/><Relationship Id="rId1012" Type="http://schemas.openxmlformats.org/officeDocument/2006/relationships/hyperlink" Target="http://www.sfgate.com/crime/article/Oakland-police-shoot-suspect-near-Lake-Merritt-6311221.php" TargetMode="External"/><Relationship Id="rId4168" Type="http://schemas.openxmlformats.org/officeDocument/2006/relationships/hyperlink" Target="https://kxan.com/2018/01/26/one-dead-in-officer-involved-shooting-in-central-austin/" TargetMode="External"/><Relationship Id="rId4375" Type="http://schemas.openxmlformats.org/officeDocument/2006/relationships/hyperlink" Target="http://www.fatalencounters.org/wp-content/uploads/2018/03/Bryan-Keith-Liles.jpg" TargetMode="External"/><Relationship Id="rId5219" Type="http://schemas.openxmlformats.org/officeDocument/2006/relationships/hyperlink" Target="https://www.fatalencounters.org/wp-content/uploads/2018/10/Paul-Braswell.jpg" TargetMode="External"/><Relationship Id="rId5426" Type="http://schemas.openxmlformats.org/officeDocument/2006/relationships/hyperlink" Target="https://www.fatalencounters.org/wp-content/uploads/2018/11/danielcedars.jpg" TargetMode="External"/><Relationship Id="rId5980" Type="http://schemas.openxmlformats.org/officeDocument/2006/relationships/hyperlink" Target="https://www.1011now.com/content/news/Suspect-dead-officer-stabbed-in-officer-involved-shooting-in-Grand-Island-507129991.html" TargetMode="External"/><Relationship Id="rId6824" Type="http://schemas.openxmlformats.org/officeDocument/2006/relationships/hyperlink" Target="https://fatalencounters.org/wp-content/uploads/2019/10/brian-mulkeen.jpg" TargetMode="External"/><Relationship Id="rId1969" Type="http://schemas.openxmlformats.org/officeDocument/2006/relationships/hyperlink" Target="http://fox59.com/2016/07/14/marion-police-search-for-armed-robber-who-shot-k9/" TargetMode="External"/><Relationship Id="rId3184" Type="http://schemas.openxmlformats.org/officeDocument/2006/relationships/hyperlink" Target="http://www.freep.com/story/news/local/michigan/detroit/2017/06/05/detroit-police-officer-injured-fatal-shoot-out/369739001/" TargetMode="External"/><Relationship Id="rId4028" Type="http://schemas.openxmlformats.org/officeDocument/2006/relationships/hyperlink" Target="http://www.al.com/news/birmingham/index.ssf/2017/12/birmingham_officer_involved_in.html" TargetMode="External"/><Relationship Id="rId4235" Type="http://schemas.openxmlformats.org/officeDocument/2006/relationships/hyperlink" Target="http://www.9news.com/article/news/man-shot-by-aurora-police-during-traffic-stop/73-517298682" TargetMode="External"/><Relationship Id="rId4582" Type="http://schemas.openxmlformats.org/officeDocument/2006/relationships/hyperlink" Target="http://krcrtv.com/news/butte-county/breaking-deputy-involved-shooting-in-oroville" TargetMode="External"/><Relationship Id="rId5633" Type="http://schemas.openxmlformats.org/officeDocument/2006/relationships/hyperlink" Target="http://www.lasvegasnow.com/news/metro-officer-shoots-man-on-citys-east-side/1104333447" TargetMode="External"/><Relationship Id="rId5840" Type="http://schemas.openxmlformats.org/officeDocument/2006/relationships/hyperlink" Target="https://www.fatalencounters.org/wp-content/uploads/2019/02/Willie-Jermaine-Robinson.jpg" TargetMode="External"/><Relationship Id="rId1829" Type="http://schemas.openxmlformats.org/officeDocument/2006/relationships/hyperlink" Target="http://patch.com/rhode-island/tiverton/shootings-reported-tiverton" TargetMode="External"/><Relationship Id="rId3391" Type="http://schemas.openxmlformats.org/officeDocument/2006/relationships/hyperlink" Target="http://www.nevadadailymail.com/story/2422652.html" TargetMode="External"/><Relationship Id="rId4442" Type="http://schemas.openxmlformats.org/officeDocument/2006/relationships/hyperlink" Target="http://www.lasvegasnow.com/news/police-investigating-deadly-officer-involved-shooting-near-the-strip/1087554614" TargetMode="External"/><Relationship Id="rId5700" Type="http://schemas.openxmlformats.org/officeDocument/2006/relationships/hyperlink" Target="https://www.star-telegram.com/news/local/crime/article224377460.html" TargetMode="External"/><Relationship Id="rId3044" Type="http://schemas.openxmlformats.org/officeDocument/2006/relationships/hyperlink" Target="http://www.walb.com/story/34528983/man-dies-two-weeks-after-deputy-involved-shooting" TargetMode="External"/><Relationship Id="rId3251" Type="http://schemas.openxmlformats.org/officeDocument/2006/relationships/hyperlink" Target="http://www.fatalencounters.org/wp-content/uploads/2013/10/ScoutSchulz.jpg" TargetMode="External"/><Relationship Id="rId4302" Type="http://schemas.openxmlformats.org/officeDocument/2006/relationships/hyperlink" Target="https://www.nbcdfw.com/news/local/Police-Responding-to-Shooting-in-Downtown-Dallas-475296993.html" TargetMode="External"/><Relationship Id="rId172" Type="http://schemas.openxmlformats.org/officeDocument/2006/relationships/hyperlink" Target="http://www.kplctv.com/story/29203366/palestine-police-id-victim-in-officer-involved-shooting" TargetMode="External"/><Relationship Id="rId2060" Type="http://schemas.openxmlformats.org/officeDocument/2006/relationships/hyperlink" Target="http://www.wiscnews.com/bdc/news/local/article_fc679203-6725-58f8-81f9-b7d94cb136c1.html" TargetMode="External"/><Relationship Id="rId3111" Type="http://schemas.openxmlformats.org/officeDocument/2006/relationships/hyperlink" Target="http://q13fox.com/2017/09/18/island-county-deputy-shoots-man-after-standoff-struggle/" TargetMode="External"/><Relationship Id="rId6267" Type="http://schemas.openxmlformats.org/officeDocument/2006/relationships/hyperlink" Target="https://fatalencounters.org/wp-content/uploads/2019/05/FredBurton.jpg" TargetMode="External"/><Relationship Id="rId6474" Type="http://schemas.openxmlformats.org/officeDocument/2006/relationships/hyperlink" Target="https://www.bakersfield.com/news/one-person-killed-in-officer-involved-shooting/article_86818afe-a24f-11e9-a449-831d4aa1314b.html" TargetMode="External"/><Relationship Id="rId6681" Type="http://schemas.openxmlformats.org/officeDocument/2006/relationships/hyperlink" Target="https://fatalencounters.org/wp-content/uploads/2019/09/Raymond-Williams-Jr.jpg" TargetMode="External"/><Relationship Id="rId989" Type="http://schemas.openxmlformats.org/officeDocument/2006/relationships/hyperlink" Target="http://www.13newsnow.com/story/news/local/peninsulanow/2015/06/24/incident-closes-part-of-ft-eustis-blvd-in-york-co/29204021/" TargetMode="External"/><Relationship Id="rId2877" Type="http://schemas.openxmlformats.org/officeDocument/2006/relationships/hyperlink" Target="http://www.chicagotribune.com/news/local/breaking/ct-dupage-fatal-police-shooting-20170102-story.html" TargetMode="External"/><Relationship Id="rId5076" Type="http://schemas.openxmlformats.org/officeDocument/2006/relationships/hyperlink" Target="https://www.nbcphiladelphia.com/news/local/Police-Involved-Shooting-Officer-Injured-Tacony-Northeast-Philadelphia--491293001.html" TargetMode="External"/><Relationship Id="rId5283" Type="http://schemas.openxmlformats.org/officeDocument/2006/relationships/hyperlink" Target="https://abc30.com/family-grieving-after-17-year-old-shot-and-killed-by-deputies/4491509/" TargetMode="External"/><Relationship Id="rId5490" Type="http://schemas.openxmlformats.org/officeDocument/2006/relationships/hyperlink" Target="https://www.fatalencounters.org/wp-content/uploads/2018/12/Anthony-Ray-Borden-Cortez.jpg" TargetMode="External"/><Relationship Id="rId6127" Type="http://schemas.openxmlformats.org/officeDocument/2006/relationships/hyperlink" Target="https://romesentinel.com/stories/investigation-into-lee-shooting-death-continues,75606" TargetMode="External"/><Relationship Id="rId6334" Type="http://schemas.openxmlformats.org/officeDocument/2006/relationships/hyperlink" Target="https://www.arkansasonline.com/news/2019/jun/10/arkansas-man-41-killed-shootout-deputies-officials/" TargetMode="External"/><Relationship Id="rId6541" Type="http://schemas.openxmlformats.org/officeDocument/2006/relationships/hyperlink" Target="https://www.charlotteobserver.com/news/state/south-carolina/article233102792.html" TargetMode="External"/><Relationship Id="rId849" Type="http://schemas.openxmlformats.org/officeDocument/2006/relationships/hyperlink" Target="http://fox11online.com/news/local/green-bay/ashwaubenon-police-release-identity-of-armed-robbery-suspect" TargetMode="External"/><Relationship Id="rId1479" Type="http://schemas.openxmlformats.org/officeDocument/2006/relationships/hyperlink" Target="http://www.wcnc.com/story/news/crime/2016/01/05/cmpd-respond-to-shots-fired-call-in-west-charlotte/78293778/" TargetMode="External"/><Relationship Id="rId1686" Type="http://schemas.openxmlformats.org/officeDocument/2006/relationships/hyperlink" Target="http://komonews.com/news/local/man-dead-after-officer-involved-shooting-in-lake-stevens" TargetMode="External"/><Relationship Id="rId3928" Type="http://schemas.openxmlformats.org/officeDocument/2006/relationships/hyperlink" Target="http://www.sfgate.com/news/article/SFPD-investigating-officer-involved-shooting-in-12398743.php" TargetMode="External"/><Relationship Id="rId4092" Type="http://schemas.openxmlformats.org/officeDocument/2006/relationships/hyperlink" Target="http://www.star-telegram.com/news/local/community/fort-worth/article194109359.html" TargetMode="External"/><Relationship Id="rId5143" Type="http://schemas.openxmlformats.org/officeDocument/2006/relationships/hyperlink" Target="https://www.fatalencounters.org/wp-content/uploads/2018/09/DaShawn-Cole..jpg" TargetMode="External"/><Relationship Id="rId5350" Type="http://schemas.openxmlformats.org/officeDocument/2006/relationships/hyperlink" Target="https://www.orlandosentinel.com/news/breaking-news/os-ne-port-orange-volusia-shooting-stalking-20181101-story.html" TargetMode="External"/><Relationship Id="rId6401" Type="http://schemas.openxmlformats.org/officeDocument/2006/relationships/hyperlink" Target="https://fatalencounters.org/wp-content/uploads/2019/07/BradleyRundle.jpg" TargetMode="External"/><Relationship Id="rId1339" Type="http://schemas.openxmlformats.org/officeDocument/2006/relationships/hyperlink" Target="http://www.waff.com/story/31019561/man-dies-after-deputy-involved-shooting" TargetMode="External"/><Relationship Id="rId1893" Type="http://schemas.openxmlformats.org/officeDocument/2006/relationships/hyperlink" Target="http://www.yourcentralvalley.com/news/fresno-police-man-shot-in-ois-in-southeast-fresno-dies" TargetMode="External"/><Relationship Id="rId2737" Type="http://schemas.openxmlformats.org/officeDocument/2006/relationships/hyperlink" Target="http://www.wfaa.com/news/local/15-year-old-boy-killed-in-officer-involved-shooting-in-balch-springs/435409090" TargetMode="External"/><Relationship Id="rId2944" Type="http://schemas.openxmlformats.org/officeDocument/2006/relationships/hyperlink" Target="http://amarillo.com/news/local-news/2017-06-27/update-police-release-name-man-killed-officer-involved-shooting" TargetMode="External"/><Relationship Id="rId5003" Type="http://schemas.openxmlformats.org/officeDocument/2006/relationships/hyperlink" Target="https://www.fatalencounters.org/wp-content/uploads/2018/08/James-Bishop.jpg" TargetMode="External"/><Relationship Id="rId5210" Type="http://schemas.openxmlformats.org/officeDocument/2006/relationships/hyperlink" Target="http://www.bereaonline.com/2018/09/officer-involved-shooting-investigation-whitley-county/" TargetMode="External"/><Relationship Id="rId709" Type="http://schemas.openxmlformats.org/officeDocument/2006/relationships/hyperlink" Target="http://www.wftv.com/news/news/local/deputies-deland-police-officer-shoots-kills-uncle-/npHzw/" TargetMode="External"/><Relationship Id="rId916" Type="http://schemas.openxmlformats.org/officeDocument/2006/relationships/hyperlink" Target="http://www.sbsun.com/general-news/20151011/deputies-shoot-kill-man-in-pinon-hills" TargetMode="External"/><Relationship Id="rId1546" Type="http://schemas.openxmlformats.org/officeDocument/2006/relationships/hyperlink" Target="http://wdtn.com/2016/04/17/woman-killed-in-officer-involved-shooting/" TargetMode="External"/><Relationship Id="rId1753" Type="http://schemas.openxmlformats.org/officeDocument/2006/relationships/hyperlink" Target="http://miami.cbslocal.com/2016/05/25/one-dead-after-fhp-involved-shooting-in-miami-gardens/" TargetMode="External"/><Relationship Id="rId1960" Type="http://schemas.openxmlformats.org/officeDocument/2006/relationships/hyperlink" Target="http://www.freep.com/story/news/local/michigan/2016/07/11/reports-shots-fired-berrien-county-courthouse-st-joseph/86953034/" TargetMode="External"/><Relationship Id="rId2804" Type="http://schemas.openxmlformats.org/officeDocument/2006/relationships/hyperlink" Target="http://wjla.com/news/local/police-at-least-one-officer-shot-in-northeast-dc" TargetMode="External"/><Relationship Id="rId7175" Type="http://schemas.openxmlformats.org/officeDocument/2006/relationships/hyperlink" Target="http://tribwxin.files.wordpress.com/2013/04/william-morris-mug.jpg" TargetMode="External"/><Relationship Id="rId45" Type="http://schemas.openxmlformats.org/officeDocument/2006/relationships/hyperlink" Target="http://media.graytvinc.com/images/saige+hack+2.jpg" TargetMode="External"/><Relationship Id="rId1406" Type="http://schemas.openxmlformats.org/officeDocument/2006/relationships/hyperlink" Target="http://www.msnewsnow.com/story/31268746/law-enforcement-at-standoff-in-tishomingo-county" TargetMode="External"/><Relationship Id="rId1613" Type="http://schemas.openxmlformats.org/officeDocument/2006/relationships/hyperlink" Target="http://www.nbclosangeles.com/news/local/Gunman-Holds-Ex-Girlfriend-Hostage-Redlands-Shooting-373430791.html?_osource=SocialFlowFB_LABrand" TargetMode="External"/><Relationship Id="rId1820" Type="http://schemas.openxmlformats.org/officeDocument/2006/relationships/hyperlink" Target="http://www.cnn.com/2016/06/12/us/orlando-shooting-timeline/" TargetMode="External"/><Relationship Id="rId4769" Type="http://schemas.openxmlformats.org/officeDocument/2006/relationships/hyperlink" Target="https://www.fatalencounters.org/wp-content/uploads/2018/07/Nathaniel-McCoy.jpg" TargetMode="External"/><Relationship Id="rId4976" Type="http://schemas.openxmlformats.org/officeDocument/2006/relationships/hyperlink" Target="http://www.mcall.com/news/police/mc-nws-south-whitehall-fatal-police-shooting-victim-20180730-story.html" TargetMode="External"/><Relationship Id="rId3578" Type="http://schemas.openxmlformats.org/officeDocument/2006/relationships/hyperlink" Target="http://www.fatalencounters.org/wp-content/uploads/2013/10/ToniCollins.jpg" TargetMode="External"/><Relationship Id="rId3785" Type="http://schemas.openxmlformats.org/officeDocument/2006/relationships/hyperlink" Target="http://www.fatalencounters.org/wp-content/uploads/2013/10/Jerry-Roach.jpg" TargetMode="External"/><Relationship Id="rId3992" Type="http://schemas.openxmlformats.org/officeDocument/2006/relationships/hyperlink" Target="http://www.fatalencounters.org/wp-content/uploads/2013/10/Amanda-Lenee-Jones.png" TargetMode="External"/><Relationship Id="rId4629" Type="http://schemas.openxmlformats.org/officeDocument/2006/relationships/hyperlink" Target="http://www.fatalencounters.org/wp-content/uploads/2018/05/Phillip-Cameron-Gibson-II.jpg" TargetMode="External"/><Relationship Id="rId4836" Type="http://schemas.openxmlformats.org/officeDocument/2006/relationships/hyperlink" Target="https://thebrunswicknews.com/breaking/suspended-glynn-police-officer-dead-after-allegedly-killing-wife-boyfriend/article_0d995c95-3eae-5c5d-9e15-14d5da38720a.html" TargetMode="External"/><Relationship Id="rId6191" Type="http://schemas.openxmlformats.org/officeDocument/2006/relationships/hyperlink" Target="https://fatalencounters.org/wp-content/uploads/2019/05/Saoun-Pol.jpg" TargetMode="External"/><Relationship Id="rId7035" Type="http://schemas.openxmlformats.org/officeDocument/2006/relationships/hyperlink" Target="https://www.wbtv.com/2019/12/19/manhunt-underway-after-deputy-fired-during-traffic-stop-caldwell-county/" TargetMode="External"/><Relationship Id="rId7242" Type="http://schemas.openxmlformats.org/officeDocument/2006/relationships/hyperlink" Target="http://media.dallasobserver.com/killed-for-running-away.9382505.40.jpg" TargetMode="External"/><Relationship Id="rId499" Type="http://schemas.openxmlformats.org/officeDocument/2006/relationships/hyperlink" Target="http://www.washingtonpost.com/news/morning-mix/wp/2015/04/08/south-carolina-cop-now-faces-felony-charge-for-fatally-shooting-a-black-man-in-his-driveway/" TargetMode="External"/><Relationship Id="rId2387" Type="http://schemas.openxmlformats.org/officeDocument/2006/relationships/hyperlink" Target="http://kfor.com/2016/11/13/police-one-person-shot-in-sw-okc/" TargetMode="External"/><Relationship Id="rId2594" Type="http://schemas.openxmlformats.org/officeDocument/2006/relationships/hyperlink" Target="http://www.killedbypolice.net/victims/150976.jpg" TargetMode="External"/><Relationship Id="rId3438" Type="http://schemas.openxmlformats.org/officeDocument/2006/relationships/hyperlink" Target="http://www.sbsun.com/general-news/20170531/1-dead-1-wounded-in-police-shooting-outside-hesperia-walmart" TargetMode="External"/><Relationship Id="rId3645" Type="http://schemas.openxmlformats.org/officeDocument/2006/relationships/hyperlink" Target="http://www.lex18.com/story/34527731/man-shot-by-state-trooper-has-died" TargetMode="External"/><Relationship Id="rId3852" Type="http://schemas.openxmlformats.org/officeDocument/2006/relationships/hyperlink" Target="http://www.fatalencounters.org/wp-content/uploads/2013/10/Dustin-Robert-Pigeon.jpg" TargetMode="External"/><Relationship Id="rId6051" Type="http://schemas.openxmlformats.org/officeDocument/2006/relationships/hyperlink" Target="https://www.fatalencounters.org/wp-content/uploads/2019/04/Juan_Padilla.jpg" TargetMode="External"/><Relationship Id="rId7102" Type="http://schemas.openxmlformats.org/officeDocument/2006/relationships/hyperlink" Target="http://www.wftv.com/news/news/local/crash-heavy-law-enforcement-presence-causes-delays/npJ6S/" TargetMode="External"/><Relationship Id="rId359" Type="http://schemas.openxmlformats.org/officeDocument/2006/relationships/hyperlink" Target="http://sacramento.cbslocal.com/2014/11/23/suspect-dead-after-shootout-in-downtown-sonora-officer-bystander-hurt/" TargetMode="External"/><Relationship Id="rId566" Type="http://schemas.openxmlformats.org/officeDocument/2006/relationships/hyperlink" Target="http://www.dnainfo.com/new-york/20130310/east-flatbush/police-fatally-shoot-allegedly-armed-teenager-brooklyn" TargetMode="External"/><Relationship Id="rId773" Type="http://schemas.openxmlformats.org/officeDocument/2006/relationships/hyperlink" Target="http://tucson.com/news/blogs/police-beat/man-killed-in-tucson-police-shooting-linked-to-slaying/article_760fd780-3bd7-11e5-9927-0f42f589a5ea.html" TargetMode="External"/><Relationship Id="rId1196" Type="http://schemas.openxmlformats.org/officeDocument/2006/relationships/hyperlink" Target="http://www.wvva.com/story/29931732/2015/09/01/police-engage-active-shooter-in-bluefield" TargetMode="External"/><Relationship Id="rId2247" Type="http://schemas.openxmlformats.org/officeDocument/2006/relationships/hyperlink" Target="http://www.fatalencounters.org/wp-content/uploads/2013/10/Dylan-Rogers.jpg" TargetMode="External"/><Relationship Id="rId2454" Type="http://schemas.openxmlformats.org/officeDocument/2006/relationships/hyperlink" Target="http://www.fatalencounters.org/wp-content/uploads/2013/10/Alexander-Chance-Partain.jpg" TargetMode="External"/><Relationship Id="rId3505" Type="http://schemas.openxmlformats.org/officeDocument/2006/relationships/hyperlink" Target="http://www.fatalencounters.org/wp-content/uploads/2013/10/Jacy-Kevin-McManus.png" TargetMode="External"/><Relationship Id="rId4903" Type="http://schemas.openxmlformats.org/officeDocument/2006/relationships/hyperlink" Target="https://chicago.suntimes.com/news/cpd-releases-body-cam-footage-of-fatal-officer-involved-shooting-in-south-shore/" TargetMode="External"/><Relationship Id="rId219" Type="http://schemas.openxmlformats.org/officeDocument/2006/relationships/hyperlink" Target="http://www.keprtv.com/SWAT-on-scene-of-standoff-in-Kennewick-302418671.html" TargetMode="External"/><Relationship Id="rId426" Type="http://schemas.openxmlformats.org/officeDocument/2006/relationships/hyperlink" Target="http://www.10tv.com/content/stories/2014/07/10/columbus-ohio-probation-officer-among-2-people-shot-in-southeast-columbus.html" TargetMode="External"/><Relationship Id="rId633" Type="http://schemas.openxmlformats.org/officeDocument/2006/relationships/hyperlink" Target="http://www.killedbypolice.net/victims/151066.jpg" TargetMode="External"/><Relationship Id="rId980" Type="http://schemas.openxmlformats.org/officeDocument/2006/relationships/hyperlink" Target="http://homicide.latimes.com/post/jason-m-hendley/" TargetMode="External"/><Relationship Id="rId1056" Type="http://schemas.openxmlformats.org/officeDocument/2006/relationships/hyperlink" Target="http://www.huffingtonpost.com/2015/04/29/justus-howell_n_7172814.html" TargetMode="External"/><Relationship Id="rId1263" Type="http://schemas.openxmlformats.org/officeDocument/2006/relationships/hyperlink" Target="http://www.fatalencounters.org/wp-content/uploads/2013/10/Kid.png" TargetMode="External"/><Relationship Id="rId2107" Type="http://schemas.openxmlformats.org/officeDocument/2006/relationships/hyperlink" Target="http://tdn.com/news/local/officer-involved-shooting-at-kelso-gas-station/article_89d36d2b-c401-5927-a883-1dd8554dd9d9.html" TargetMode="External"/><Relationship Id="rId2314" Type="http://schemas.openxmlformats.org/officeDocument/2006/relationships/hyperlink" Target="http://www.walb.com/story/33503283/gbi-man-dead-in-elberton-officer-involved-shooting" TargetMode="External"/><Relationship Id="rId2661" Type="http://schemas.openxmlformats.org/officeDocument/2006/relationships/hyperlink" Target="http://www.kshb.com/news/crime/officer-involved-shooting-reported-in-leavenworth" TargetMode="External"/><Relationship Id="rId3712" Type="http://schemas.openxmlformats.org/officeDocument/2006/relationships/hyperlink" Target="http://www.tehamaso.org/inmates/ICUP0196.jpg" TargetMode="External"/><Relationship Id="rId6868" Type="http://schemas.openxmlformats.org/officeDocument/2006/relationships/hyperlink" Target="https://fatalencounters.org/wp-content/uploads/2019/10/LevySantibaez.jpg" TargetMode="External"/><Relationship Id="rId840" Type="http://schemas.openxmlformats.org/officeDocument/2006/relationships/hyperlink" Target="http://abc7.com/news/woman-fatally-shot-by-lapd-in-south-los-angeles-identified/1006621/" TargetMode="External"/><Relationship Id="rId1470" Type="http://schemas.openxmlformats.org/officeDocument/2006/relationships/hyperlink" Target="http://www.fatalencounters.org/wp-content/uploads/2013/10/Calvin.png" TargetMode="External"/><Relationship Id="rId2521" Type="http://schemas.openxmlformats.org/officeDocument/2006/relationships/hyperlink" Target="http://baltimore.cbslocal.com/2016/12/13/police-involved-shooting-near-coppin-state/" TargetMode="External"/><Relationship Id="rId4279" Type="http://schemas.openxmlformats.org/officeDocument/2006/relationships/hyperlink" Target="https://www.inforum.com/news/crime-and-courts/4407117-suspect-shot-and-killed-after-pursuit-ended-north-medina" TargetMode="External"/><Relationship Id="rId5677" Type="http://schemas.openxmlformats.org/officeDocument/2006/relationships/hyperlink" Target="https://www.koin.com/news/local/clackamas-county/clackamas-county-deputy-involved-shooting-oak-grove-january-5-2019/1687768410" TargetMode="External"/><Relationship Id="rId5884" Type="http://schemas.openxmlformats.org/officeDocument/2006/relationships/hyperlink" Target="https://www.wtnh.com/news/news-8-exclusive/family-of-suspect-killed-in-willimantic-police-shooting-speaks-out/1799996568" TargetMode="External"/><Relationship Id="rId6728" Type="http://schemas.openxmlformats.org/officeDocument/2006/relationships/hyperlink" Target="https://fatalencounters.org/wp-content/uploads/2019/09/BrianQuinones.jpg" TargetMode="External"/><Relationship Id="rId6935" Type="http://schemas.openxmlformats.org/officeDocument/2006/relationships/hyperlink" Target="https://www.wate.com/news/suspect-killed-deputy-injured-in-hamblen-county-officer-involved-shooting/" TargetMode="External"/><Relationship Id="rId700" Type="http://schemas.openxmlformats.org/officeDocument/2006/relationships/hyperlink" Target="http://sanfrancisco.cbslocal.com/2015/11/11/reports-of-gunman-on-construction-site-near-san-francisco-hospital/" TargetMode="External"/><Relationship Id="rId1123" Type="http://schemas.openxmlformats.org/officeDocument/2006/relationships/hyperlink" Target="http://abc13.com/news/officer-shoots-kills-man-accused-of-pulling-gun-on-police/1067399/" TargetMode="External"/><Relationship Id="rId1330" Type="http://schemas.openxmlformats.org/officeDocument/2006/relationships/hyperlink" Target="http://www.12news.com/story/news/local/valley/2016/01/18/phoenix-police-barricade-situation-near-18th-avepeoria/78990086/" TargetMode="External"/><Relationship Id="rId3088" Type="http://schemas.openxmlformats.org/officeDocument/2006/relationships/hyperlink" Target="http://www.abc10.com/news/local/suspect-who-fatally-shot-sacramento-sheriffs-deputy-dies/470347274" TargetMode="External"/><Relationship Id="rId4486" Type="http://schemas.openxmlformats.org/officeDocument/2006/relationships/hyperlink" Target="http://www.whec.com/news/shooting-near-greece-athena-high-school/4853443/" TargetMode="External"/><Relationship Id="rId4693" Type="http://schemas.openxmlformats.org/officeDocument/2006/relationships/hyperlink" Target="https://www.fatalencounters.org/wp-content/uploads/2018/05/brett-luengo.jpg" TargetMode="External"/><Relationship Id="rId5537" Type="http://schemas.openxmlformats.org/officeDocument/2006/relationships/hyperlink" Target="https://www.fatalencounters.org/wp-content/uploads/2018/12/Dylan-Parker-Thomas.jpg" TargetMode="External"/><Relationship Id="rId5744" Type="http://schemas.openxmlformats.org/officeDocument/2006/relationships/hyperlink" Target="https://www.tulsaworld.com/news/local/crime-and-courts/update-deputy-slain-suspect-identified-after-fatal-shooting-during-domestic/article_9e75b28a-93a0-533b-9bc2-4b0b4c316910.html" TargetMode="External"/><Relationship Id="rId5951" Type="http://schemas.openxmlformats.org/officeDocument/2006/relationships/hyperlink" Target="https://www.fatalencounters.org/wp-content/uploads/2019/03/ThomasSwinford.png" TargetMode="External"/><Relationship Id="rId3295" Type="http://schemas.openxmlformats.org/officeDocument/2006/relationships/hyperlink" Target="http://www.arkansasonline.com/news/2017/aug/20/man-killed-shooting-involving-least-one-arkansas-o/" TargetMode="External"/><Relationship Id="rId4139" Type="http://schemas.openxmlformats.org/officeDocument/2006/relationships/hyperlink" Target="http://www.fatalencounters.org/wp-content/uploads/2018/01/Shannon-Jason-Cables.jpg" TargetMode="External"/><Relationship Id="rId4346" Type="http://schemas.openxmlformats.org/officeDocument/2006/relationships/hyperlink" Target="http://losangeles.cbslocal.com/2018/03/08/suspect-killed-in-jurupa-valley-officer-involved-shooting/" TargetMode="External"/><Relationship Id="rId4553" Type="http://schemas.openxmlformats.org/officeDocument/2006/relationships/hyperlink" Target="https://www.sltrib.com/news/2018/04/18/man-barricades-himself-inside-sugarhouse-home-as-police-ask-neighbors-to-shelter-in-place/" TargetMode="External"/><Relationship Id="rId4760" Type="http://schemas.openxmlformats.org/officeDocument/2006/relationships/hyperlink" Target="http://www.njherald.com/20180613/hardwick-man-32-dies-in-police-involved-shooting" TargetMode="External"/><Relationship Id="rId5604" Type="http://schemas.openxmlformats.org/officeDocument/2006/relationships/hyperlink" Target="https://www.fatalencounters.org/wp-content/uploads/2018/12/David-McNabb.jpg" TargetMode="External"/><Relationship Id="rId5811" Type="http://schemas.openxmlformats.org/officeDocument/2006/relationships/hyperlink" Target="https://www.azcentral.com/story/news/local/phoenix-breaking/2019/02/10/naked-man-tased-phoenix-police-dies-six-days-later/2831458002/" TargetMode="External"/><Relationship Id="rId3155" Type="http://schemas.openxmlformats.org/officeDocument/2006/relationships/hyperlink" Target="http://www.pe.com/2017/07/15/moreno-valley-deputies-shoot-man-at-apartment-complex-grandma-says/" TargetMode="External"/><Relationship Id="rId3362" Type="http://schemas.openxmlformats.org/officeDocument/2006/relationships/hyperlink" Target="http://www.kfvs12.com/story/35862459/1-dead-in-officer-involved-shooting-in-butler-co-mo" TargetMode="External"/><Relationship Id="rId4206" Type="http://schemas.openxmlformats.org/officeDocument/2006/relationships/hyperlink" Target="http://www.wsbtv.com/news/local/police-investigating-officer-involved-shooting-in-southwest-atlanta/693337305" TargetMode="External"/><Relationship Id="rId4413" Type="http://schemas.openxmlformats.org/officeDocument/2006/relationships/hyperlink" Target="http://www.fatalencounters.org/wp-content/uploads/2018/03/KevinHall.jpg" TargetMode="External"/><Relationship Id="rId4620" Type="http://schemas.openxmlformats.org/officeDocument/2006/relationships/hyperlink" Target="http://www.fatalencounters.org/wp-content/uploads/2018/05/peter-boden.png" TargetMode="External"/><Relationship Id="rId283" Type="http://schemas.openxmlformats.org/officeDocument/2006/relationships/hyperlink" Target="http://www.indystar.com/story/news/crime/2015/04/06/armed-man-shot-and-killed-by-police-on-southwestside/25348529/" TargetMode="External"/><Relationship Id="rId490" Type="http://schemas.openxmlformats.org/officeDocument/2006/relationships/hyperlink" Target="http://collegian.csufresno.edu/2014/03/07/woman-shot-twice-killed-by-fresno-police-officer-in-apartment-complex-west-of-campus/" TargetMode="External"/><Relationship Id="rId2171" Type="http://schemas.openxmlformats.org/officeDocument/2006/relationships/hyperlink" Target="http://ktla.com/2016/09/01/man-shot-by-huntington-park-police-condition-unknown/" TargetMode="External"/><Relationship Id="rId3015" Type="http://schemas.openxmlformats.org/officeDocument/2006/relationships/hyperlink" Target="http://www.northjersey.com/story/news/passaic/paterson/2017/03/16/man-shot-paterson-police-march-2-dies-wounds/99271816/" TargetMode="External"/><Relationship Id="rId3222" Type="http://schemas.openxmlformats.org/officeDocument/2006/relationships/hyperlink" Target="http://www.courant.com/breaking-news/hc-suffield-officer-involved-shooting0-0414-20170413-story.html" TargetMode="External"/><Relationship Id="rId6378" Type="http://schemas.openxmlformats.org/officeDocument/2006/relationships/hyperlink" Target="https://fatalencounters.org/wp-content/uploads/2019/06/Tyrese-West.jpg" TargetMode="External"/><Relationship Id="rId6585" Type="http://schemas.openxmlformats.org/officeDocument/2006/relationships/hyperlink" Target="https://boston.cbslocal.com/2019/08/04/police-officer-involved-shooting-revere-everett-washington-ave/" TargetMode="External"/><Relationship Id="rId143" Type="http://schemas.openxmlformats.org/officeDocument/2006/relationships/hyperlink" Target="https://www.toledoblade.com/Police-Fire/2015/06/09/Findlay-officer-involved-in-shooting.html" TargetMode="External"/><Relationship Id="rId350" Type="http://schemas.openxmlformats.org/officeDocument/2006/relationships/hyperlink" Target="http://www.wltx.com/story/news/local/2014/12/05/sled-investigating-officer-involved-shooting/19980013/" TargetMode="External"/><Relationship Id="rId2031" Type="http://schemas.openxmlformats.org/officeDocument/2006/relationships/hyperlink" Target="http://www.ocregister.com/articles/swihart-727579-police-homeless.html" TargetMode="External"/><Relationship Id="rId5187" Type="http://schemas.openxmlformats.org/officeDocument/2006/relationships/hyperlink" Target="https://www.heraldnet.com/news/man-fatally-shot-when-police-respond-to-domestic-dispute/" TargetMode="External"/><Relationship Id="rId5394" Type="http://schemas.openxmlformats.org/officeDocument/2006/relationships/hyperlink" Target="https://www.fatalencounters.org/wp-content/uploads/2018/11/Cesar-Ramos.jpg" TargetMode="External"/><Relationship Id="rId6238" Type="http://schemas.openxmlformats.org/officeDocument/2006/relationships/hyperlink" Target="https://fatalencounters.org/wp-content/uploads/2019/08/Elizabeth-Ann-Harris.jpeg" TargetMode="External"/><Relationship Id="rId6445" Type="http://schemas.openxmlformats.org/officeDocument/2006/relationships/hyperlink" Target="https://www.krqe.com/news/albuquerque-metro/suspect-hospitalized-following-officer-involved-shooting-in-southeast-albuquerque/" TargetMode="External"/><Relationship Id="rId6792" Type="http://schemas.openxmlformats.org/officeDocument/2006/relationships/hyperlink" Target="https://www.thedenverchannel.com/news/crime/lakewood-police-investigating-officer-involved-shooting-outside-police-department" TargetMode="External"/><Relationship Id="rId9" Type="http://schemas.openxmlformats.org/officeDocument/2006/relationships/hyperlink" Target="http://www.killedbypolice.net/victims/150897.jpg" TargetMode="External"/><Relationship Id="rId210" Type="http://schemas.openxmlformats.org/officeDocument/2006/relationships/hyperlink" Target="http://www.wral.com/man-dies-while-in-police-custody-in-enfield/14637653/" TargetMode="External"/><Relationship Id="rId2988" Type="http://schemas.openxmlformats.org/officeDocument/2006/relationships/hyperlink" Target="http://buffalonews.com/2017/05/07/buffalo-police-officer-struck-by-gunfire-after-shooting-in-black-rock/" TargetMode="External"/><Relationship Id="rId5047" Type="http://schemas.openxmlformats.org/officeDocument/2006/relationships/hyperlink" Target="https://www.fatalencounters.org/wp-content/uploads/2018/08/anthonyvargas.jpg" TargetMode="External"/><Relationship Id="rId5254" Type="http://schemas.openxmlformats.org/officeDocument/2006/relationships/hyperlink" Target="https://www.wsmv.com/news/dead-in-north-nashville-shooting-metro-police-officer-injured/article_cdfd3182-c91d-11e8-b4b1-3bae2c5f3856.html" TargetMode="External"/><Relationship Id="rId6652" Type="http://schemas.openxmlformats.org/officeDocument/2006/relationships/hyperlink" Target="https://www.wisn.com/article/report-officer-involved-shooting-being-investigated-in-caledonia/28739150" TargetMode="External"/><Relationship Id="rId1797" Type="http://schemas.openxmlformats.org/officeDocument/2006/relationships/hyperlink" Target="http://www.hawaiipolice.com/wp-content/gallery/04-27-15-wanted-kalyp-rapoza/kalyp-rapoza.JPG" TargetMode="External"/><Relationship Id="rId2848" Type="http://schemas.openxmlformats.org/officeDocument/2006/relationships/hyperlink" Target="http://ktla.com/2017/01/31/lapd-responding-to-report-of-stabbing-at-sunset-and-cahuenga-in-hollywood/" TargetMode="External"/><Relationship Id="rId5461" Type="http://schemas.openxmlformats.org/officeDocument/2006/relationships/hyperlink" Target="https://www.fatalencounters.org/wp-content/uploads/2018/12/Bert-E.-Mercado.jpg" TargetMode="External"/><Relationship Id="rId6305" Type="http://schemas.openxmlformats.org/officeDocument/2006/relationships/hyperlink" Target="https://ktla.com/2019/06/04/border-agents-kill-man-during-shootout-at-san-ysidro-port-of-entry/" TargetMode="External"/><Relationship Id="rId6512" Type="http://schemas.openxmlformats.org/officeDocument/2006/relationships/hyperlink" Target="https://fatalencounters.org/wp-content/uploads/2019/09/Rudy-Santillan.jpg" TargetMode="External"/><Relationship Id="rId89" Type="http://schemas.openxmlformats.org/officeDocument/2006/relationships/hyperlink" Target="http://www.wyff4.com/image/view/-/33914720/highRes/1/-/maxh/630/maxw/1200/-/157k9k3/-/Clay-Alan-Lickteig-jpg.jpg" TargetMode="External"/><Relationship Id="rId1657" Type="http://schemas.openxmlformats.org/officeDocument/2006/relationships/hyperlink" Target="http://www.fatalencounters.org/wp-content/uploads/2013/10/MapKong.png" TargetMode="External"/><Relationship Id="rId1864" Type="http://schemas.openxmlformats.org/officeDocument/2006/relationships/hyperlink" Target="http://www.fatalencounters.org/wp-content/uploads/2013/10/Brown.jpg" TargetMode="External"/><Relationship Id="rId2708" Type="http://schemas.openxmlformats.org/officeDocument/2006/relationships/hyperlink" Target="http://www.wisn.com/article/man-confirmed-dead-after-large-police-response-in-west-milwaukee/9932238" TargetMode="External"/><Relationship Id="rId2915" Type="http://schemas.openxmlformats.org/officeDocument/2006/relationships/hyperlink" Target="http://www.latimes.com/local/lanow/la-me-ln-los-banos-police-shooting-20170801-story.html" TargetMode="External"/><Relationship Id="rId4063" Type="http://schemas.openxmlformats.org/officeDocument/2006/relationships/hyperlink" Target="http://www.fatalencounters.org/wp-content/uploads/2018/01/LedarrenMixon.jpg" TargetMode="External"/><Relationship Id="rId4270" Type="http://schemas.openxmlformats.org/officeDocument/2006/relationships/hyperlink" Target="http://www.wtok.com/content/news/Man-dies-after-leading-MPD-on-chase-474524703.html" TargetMode="External"/><Relationship Id="rId5114" Type="http://schemas.openxmlformats.org/officeDocument/2006/relationships/hyperlink" Target="https://www.10tv.com/article/fayette-county-deputy-shoots-and-kills-72-year-old-suspect-sexual-assault-juvenile" TargetMode="External"/><Relationship Id="rId5321" Type="http://schemas.openxmlformats.org/officeDocument/2006/relationships/hyperlink" Target="https://www.eastbaytimes.com/2018/10/23/pittsburg-police-officers-killed-man-during-shootout/" TargetMode="External"/><Relationship Id="rId1517" Type="http://schemas.openxmlformats.org/officeDocument/2006/relationships/hyperlink" Target="http://www.fatalencounters.org/wp-content/uploads/2013/10/Sandlin.png" TargetMode="External"/><Relationship Id="rId1724" Type="http://schemas.openxmlformats.org/officeDocument/2006/relationships/hyperlink" Target="http://www.fatalencounters.org/wp-content/uploads/2013/10/Weatherby.png" TargetMode="External"/><Relationship Id="rId4130" Type="http://schemas.openxmlformats.org/officeDocument/2006/relationships/hyperlink" Target="http://www.fatalencounters.org/wp-content/uploads/2018/01/Marshall-Coleman.png" TargetMode="External"/><Relationship Id="rId7079" Type="http://schemas.openxmlformats.org/officeDocument/2006/relationships/hyperlink" Target="https://www.jconline.com/story/news/2019/12/30/2-dead-sunday-night-shootings-family-express-near-lafayette/2773121001/" TargetMode="External"/><Relationship Id="rId16" Type="http://schemas.openxmlformats.org/officeDocument/2006/relationships/hyperlink" Target="http://wreg.com/2015/09/24/paris-police-officer-charged-for-murdering-his-own-son/" TargetMode="External"/><Relationship Id="rId1931" Type="http://schemas.openxmlformats.org/officeDocument/2006/relationships/hyperlink" Target="http://counton2.com/2016/07/05/suspect-in-north-charleston-standoff-with-police-dies-in-hospital/" TargetMode="External"/><Relationship Id="rId3689" Type="http://schemas.openxmlformats.org/officeDocument/2006/relationships/hyperlink" Target="http://abc7.com/news/azusa-police-officer-fatally-shoots-man-who-pointed-handgun-at-him/1704688/" TargetMode="External"/><Relationship Id="rId3896" Type="http://schemas.openxmlformats.org/officeDocument/2006/relationships/hyperlink" Target="http://www.krcrtv.com/news/breaking-news/one-dead-after-an-incident-at-motel-in-anderson/418133633" TargetMode="External"/><Relationship Id="rId6095" Type="http://schemas.openxmlformats.org/officeDocument/2006/relationships/hyperlink" Target="https://www.wfla.com/news/pinellas-county/pinellas-park-swat-team-responds-to-shooting-on-66th-st-n/1913676057?fbclid=IwAR3W3ph18KUT1PMi23lWgagE4lI3BG1lpmvtSqvEqaZ23uR3pii1KwbKPd8" TargetMode="External"/><Relationship Id="rId7146" Type="http://schemas.openxmlformats.org/officeDocument/2006/relationships/hyperlink" Target="http://blogs.ocweekly.com/navelgazing/ian-christopher-berrier_square.jpg" TargetMode="External"/><Relationship Id="rId2498" Type="http://schemas.openxmlformats.org/officeDocument/2006/relationships/hyperlink" Target="http://khon2.com/2016/12/09/suspect-killed-in-officer-involved-shooting-on-hawaii-island/" TargetMode="External"/><Relationship Id="rId3549" Type="http://schemas.openxmlformats.org/officeDocument/2006/relationships/hyperlink" Target="http://www.arkansasonline.com/news/2017/mar/26/police-investigate-officer-involved-shooting-downt/" TargetMode="External"/><Relationship Id="rId4947" Type="http://schemas.openxmlformats.org/officeDocument/2006/relationships/hyperlink" Target="http://www.thetimesnews.com/news/20180726/burlington-police-release-id-of-suspect-killed-by-officers" TargetMode="External"/><Relationship Id="rId6162" Type="http://schemas.openxmlformats.org/officeDocument/2006/relationships/hyperlink" Target="https://fatalencounters.org/wp-content/uploads/2019/09/Javier-Francisco-Garcia-Mendez.jpg" TargetMode="External"/><Relationship Id="rId7006" Type="http://schemas.openxmlformats.org/officeDocument/2006/relationships/hyperlink" Target="https://www.yaktrinews.com/news/man-killed-in-pasco-officer-involved-shooting-identified-as-18-year-old/1151557097" TargetMode="External"/><Relationship Id="rId7213" Type="http://schemas.openxmlformats.org/officeDocument/2006/relationships/hyperlink" Target="http://www.wsbtv.com/news/news/local/mother-police-went-overboard-when-shooting-son/nYxYJ/" TargetMode="External"/><Relationship Id="rId677" Type="http://schemas.openxmlformats.org/officeDocument/2006/relationships/hyperlink" Target="http://www.wmicentral.com/officer-involved-shooting-in-eagar/article_3c603f82-9534-11e5-99b8-63c3ec52f2de.html" TargetMode="External"/><Relationship Id="rId2358" Type="http://schemas.openxmlformats.org/officeDocument/2006/relationships/hyperlink" Target="http://www.bdtonline.com/news/man-shot-in-mcdowell-threatened-troopers-with-hammer/article_65c1756c-a50f-11e6-8303-cf97a3e7c2d1.html" TargetMode="External"/><Relationship Id="rId3756" Type="http://schemas.openxmlformats.org/officeDocument/2006/relationships/hyperlink" Target="http://www.stargazette.com/story/news/public-safety/2017/10/26/police-chase-suspect-gunshots-fired-horseheads/802712001/" TargetMode="External"/><Relationship Id="rId3963" Type="http://schemas.openxmlformats.org/officeDocument/2006/relationships/hyperlink" Target="http://www.wtva.com/content/news/Officer-fatally-shoots-person-in-Marion-County-AL-463923343.html" TargetMode="External"/><Relationship Id="rId4807" Type="http://schemas.openxmlformats.org/officeDocument/2006/relationships/hyperlink" Target="http://www.ktvz.com/news/dcso-deputy-shoots-kills-springfield-man-at-campsite-sw-of-bend/756262550" TargetMode="External"/><Relationship Id="rId6022" Type="http://schemas.openxmlformats.org/officeDocument/2006/relationships/hyperlink" Target="https://www.fatalencounters.org/wp-content/uploads/2019/03/Kevin-Bruce-Mason.jpg" TargetMode="External"/><Relationship Id="rId884" Type="http://schemas.openxmlformats.org/officeDocument/2006/relationships/hyperlink" Target="http://wsls.com/2015/09/24/grayson-county-deputy-involved-deadly-shooting/" TargetMode="External"/><Relationship Id="rId2565" Type="http://schemas.openxmlformats.org/officeDocument/2006/relationships/hyperlink" Target="http://www.fatalencounters.org/wp-content/uploads/2013/10/RaymondJamesSalaiz.jpg" TargetMode="External"/><Relationship Id="rId2772" Type="http://schemas.openxmlformats.org/officeDocument/2006/relationships/hyperlink" Target="http://www.wptv.com/news/region-indian-river-county/person-killed-deputy-injured-in-gifford-as-swat-team-attempts-to-serve-warrant" TargetMode="External"/><Relationship Id="rId3409" Type="http://schemas.openxmlformats.org/officeDocument/2006/relationships/hyperlink" Target="http://www.fatalencounters.org/wp-content/uploads/2013/10/AustinDurham.jpg" TargetMode="External"/><Relationship Id="rId3616" Type="http://schemas.openxmlformats.org/officeDocument/2006/relationships/hyperlink" Target="http://www.fatalencounters.org/wp-content/uploads/2013/10/joshua_henry.jpg" TargetMode="External"/><Relationship Id="rId3823" Type="http://schemas.openxmlformats.org/officeDocument/2006/relationships/hyperlink" Target="http://www.wapt.com/article/man-suspected-of-setting-fire-killed-in-officer-involved-shooting/13511379" TargetMode="External"/><Relationship Id="rId6979" Type="http://schemas.openxmlformats.org/officeDocument/2006/relationships/hyperlink" Target="https://www.kwqc.com/content/news/Man-fatally-shot-by-officer-after-report-of-man-armed-with-gun-in-Fort-Madison-566085361.html" TargetMode="External"/><Relationship Id="rId537" Type="http://schemas.openxmlformats.org/officeDocument/2006/relationships/hyperlink" Target="http://homicide.latimes.com/post/ruben-ramos-escobedo/" TargetMode="External"/><Relationship Id="rId744" Type="http://schemas.openxmlformats.org/officeDocument/2006/relationships/hyperlink" Target="http://bloximages.newyork1.vip.townnews.com/oaoa.com/content/tncms/assets/v3/editorial/3/b1/3b1e4ae8-4132-11e5-bdc3-0b12b6b90913/55cbaf23977b2.image.jpg?resize=300%2C225" TargetMode="External"/><Relationship Id="rId951" Type="http://schemas.openxmlformats.org/officeDocument/2006/relationships/hyperlink" Target="http://www.redding.com/news/local-news/happy-valley-road-closing-in-search-for-armed-suspect" TargetMode="External"/><Relationship Id="rId1167" Type="http://schemas.openxmlformats.org/officeDocument/2006/relationships/hyperlink" Target="http://www.indystar.com/story/news/crime/2015/08/10/carjacking-suspect-dead-officer-involved-shooting/31398827/" TargetMode="External"/><Relationship Id="rId1374" Type="http://schemas.openxmlformats.org/officeDocument/2006/relationships/hyperlink" Target="http://www.cnn.com/2016/02/06/us/oregon-police-shooting/index.html?sr=fbnewday0206oregoncopkilled" TargetMode="External"/><Relationship Id="rId1581" Type="http://schemas.openxmlformats.org/officeDocument/2006/relationships/hyperlink" Target="http://www.newswest9.com/story/31628475/man-killed-in-odessa-shooting-identified" TargetMode="External"/><Relationship Id="rId2218" Type="http://schemas.openxmlformats.org/officeDocument/2006/relationships/hyperlink" Target="http://philadelphia.cbslocal.com/2016/10/03/police-shoot-kill-man-following-barricade-situation-in-ventnor/" TargetMode="External"/><Relationship Id="rId2425" Type="http://schemas.openxmlformats.org/officeDocument/2006/relationships/hyperlink" Target="http://www.tampabay.com/news/publicsafety/crime/deputy-involved-shooting-at-st-petersburg-apartment/2304007" TargetMode="External"/><Relationship Id="rId2632" Type="http://schemas.openxmlformats.org/officeDocument/2006/relationships/hyperlink" Target="http://gephardtdaily.com/local/man-killed-in-officer-involved-shooting-in-downtown-salt-lake-city/" TargetMode="External"/><Relationship Id="rId5788" Type="http://schemas.openxmlformats.org/officeDocument/2006/relationships/hyperlink" Target="https://www.reviewjournal.com/crime/shootings/no-bodycam-footage-of-fatal-shooting-at-nevada-national-security-site-video-1586182/" TargetMode="External"/><Relationship Id="rId5995" Type="http://schemas.openxmlformats.org/officeDocument/2006/relationships/hyperlink" Target="https://ktla.com/2019/03/18/man-fatally-shot-at-end-of-standoff-in-palmdale-identified/" TargetMode="External"/><Relationship Id="rId6839" Type="http://schemas.openxmlformats.org/officeDocument/2006/relationships/hyperlink" Target="https://www.news4jax.com/news/local/jacksonville/jso-says-officer-shot-killed-man-armed-with-knives-more" TargetMode="External"/><Relationship Id="rId80" Type="http://schemas.openxmlformats.org/officeDocument/2006/relationships/hyperlink" Target="https://media.licdn.com/media/p/3/000/0d2/16d/29b38bd.jpg" TargetMode="External"/><Relationship Id="rId604" Type="http://schemas.openxmlformats.org/officeDocument/2006/relationships/hyperlink" Target="http://www.killedbypolice.net/victims/150951.jpg" TargetMode="External"/><Relationship Id="rId811" Type="http://schemas.openxmlformats.org/officeDocument/2006/relationships/hyperlink" Target="http://www.wtvm.com/story/29926838/teen-dies-after-police-tasing-incident" TargetMode="External"/><Relationship Id="rId1027" Type="http://schemas.openxmlformats.org/officeDocument/2006/relationships/hyperlink" Target="http://www.chicagotribune.com/news/local/breaking/ct-officials-robbery-suspect-shot-dead-after-opening-fire-on-cops-20150517-story.html" TargetMode="External"/><Relationship Id="rId1234" Type="http://schemas.openxmlformats.org/officeDocument/2006/relationships/hyperlink" Target="https://heavyeditorial.files.wordpress.com/2016/01/ciara-meyer-2.jpg?quality=65&amp;strip=all&amp;strip=all" TargetMode="External"/><Relationship Id="rId1441" Type="http://schemas.openxmlformats.org/officeDocument/2006/relationships/hyperlink" Target="http://billingsgazette.com/news/crime/sheriff-s-office-names-man-killed-in-joliet-following-gunfire/article_0d96f8ba-8a68-5a03-9e3f-4ba41b17f865.html" TargetMode="External"/><Relationship Id="rId4597" Type="http://schemas.openxmlformats.org/officeDocument/2006/relationships/hyperlink" Target="https://www.dallasnews.com/news/crime/2018/05/03/swat-officers-kill-suspect-fired-far-east-dallas" TargetMode="External"/><Relationship Id="rId5648" Type="http://schemas.openxmlformats.org/officeDocument/2006/relationships/hyperlink" Target="https://www.fatalencounters.org/wp-content/uploads/2019/01/BrandonWebster.jpg" TargetMode="External"/><Relationship Id="rId5855" Type="http://schemas.openxmlformats.org/officeDocument/2006/relationships/hyperlink" Target="https://www.fatalencounters.org/wp-content/uploads/2019/02/Greg-Alyn-Carlson.png" TargetMode="External"/><Relationship Id="rId6906" Type="http://schemas.openxmlformats.org/officeDocument/2006/relationships/hyperlink" Target="https://www.thedenverchannel.com/news/local-news/man-shot-and-killed-by-denver-police-monday-after-allegedly-stealing-squad-car-identified" TargetMode="External"/><Relationship Id="rId1301" Type="http://schemas.openxmlformats.org/officeDocument/2006/relationships/hyperlink" Target="http://www.seattletimes.com/seattle-news/crime/authorities-investigating-fatal-officer-involved-shooting-in-thurston-county/?utm_source=RSS&amp;utm_medium=Referral&amp;utm_campaign=RSS_crime" TargetMode="External"/><Relationship Id="rId3199" Type="http://schemas.openxmlformats.org/officeDocument/2006/relationships/hyperlink" Target="http://whdh.com/news/suspect-identified-in-shooting-of-braintree-police-officer/" TargetMode="External"/><Relationship Id="rId4457" Type="http://schemas.openxmlformats.org/officeDocument/2006/relationships/hyperlink" Target="http://www.fatalencounters.org/wp-content/uploads/2018/04/JosephJohnson.jpg" TargetMode="External"/><Relationship Id="rId4664" Type="http://schemas.openxmlformats.org/officeDocument/2006/relationships/hyperlink" Target="http://wtov9.com/news/local/breaking-police-presence-on-washington-blvd-in-martins-ferry" TargetMode="External"/><Relationship Id="rId5508" Type="http://schemas.openxmlformats.org/officeDocument/2006/relationships/hyperlink" Target="https://www.fatalencounters.org/wp-content/uploads/2018/12/Ricardo-Trevino-III.jpg" TargetMode="External"/><Relationship Id="rId5715" Type="http://schemas.openxmlformats.org/officeDocument/2006/relationships/hyperlink" Target="https://www.denverpost.com/2019/01/17/pueblo-county-officer-involved-shooting/" TargetMode="External"/><Relationship Id="rId7070" Type="http://schemas.openxmlformats.org/officeDocument/2006/relationships/hyperlink" Target="https://wtkr.com/2019/12/27/newport-news-police-officer-involved-in-shooting/" TargetMode="External"/><Relationship Id="rId3059" Type="http://schemas.openxmlformats.org/officeDocument/2006/relationships/hyperlink" Target="http://bakersfieldnow.com/news/local/police-investigating-a-shooting-in-northeast-bakersfield" TargetMode="External"/><Relationship Id="rId3266" Type="http://schemas.openxmlformats.org/officeDocument/2006/relationships/hyperlink" Target="http://naplesherald.com/2017/08/31/officer-involved-shooting-fort-myers-beach/" TargetMode="External"/><Relationship Id="rId3473" Type="http://schemas.openxmlformats.org/officeDocument/2006/relationships/hyperlink" Target="http://www.fatalencounters.org/wp-content/uploads/2013/10/Jonathan-David-Victor.jpg" TargetMode="External"/><Relationship Id="rId4317" Type="http://schemas.openxmlformats.org/officeDocument/2006/relationships/hyperlink" Target="http://philadelphia.cbslocal.com/2018/03/04/officer-involved-shooting-montco/" TargetMode="External"/><Relationship Id="rId4524" Type="http://schemas.openxmlformats.org/officeDocument/2006/relationships/hyperlink" Target="http://www.fatalencounters.org/wp-content/uploads/2018/04/Benjamin-William-Evans.jpg" TargetMode="External"/><Relationship Id="rId4871" Type="http://schemas.openxmlformats.org/officeDocument/2006/relationships/hyperlink" Target="https://www.fatalencounters.org/wp-content/uploads/2018/07/Tracy-Richards.jpg" TargetMode="External"/><Relationship Id="rId5922" Type="http://schemas.openxmlformats.org/officeDocument/2006/relationships/hyperlink" Target="https://www.wkyt.com/content/news/One-dead-after-officer-involved-shooting-in-Carter-County-506595391.html" TargetMode="External"/><Relationship Id="rId187" Type="http://schemas.openxmlformats.org/officeDocument/2006/relationships/hyperlink" Target="http://kxan.com/2015/05/25/woman-shot-dead-after-five-hour-standoff-with-apd-swat-officers/" TargetMode="External"/><Relationship Id="rId394" Type="http://schemas.openxmlformats.org/officeDocument/2006/relationships/hyperlink" Target="http://www.wkyt.com/home/headlines/Police-dealing-with-developing-situation-in-Madison-County-275029661.html" TargetMode="External"/><Relationship Id="rId2075" Type="http://schemas.openxmlformats.org/officeDocument/2006/relationships/hyperlink" Target="https://mgtvwcmh.files.wordpress.com/2016/08/vet1.jpg" TargetMode="External"/><Relationship Id="rId2282" Type="http://schemas.openxmlformats.org/officeDocument/2006/relationships/hyperlink" Target="http://www.fatalencounters.org/wp-content/uploads/2013/10/Salvador-Reyes-Sanchez.jpg" TargetMode="External"/><Relationship Id="rId3126" Type="http://schemas.openxmlformats.org/officeDocument/2006/relationships/hyperlink" Target="http://www.nbcnewyork.com/news/local/Police-Involved-Shooting-Bloomfield-New-Jersey-Suspect-Officers-Investigation-440992423.html" TargetMode="External"/><Relationship Id="rId3680" Type="http://schemas.openxmlformats.org/officeDocument/2006/relationships/hyperlink" Target="http://www.alligator.org/news/crime/article_9464b3b4-dfb8-11e6-97fd-0b12d93e81be.html" TargetMode="External"/><Relationship Id="rId4731" Type="http://schemas.openxmlformats.org/officeDocument/2006/relationships/hyperlink" Target="https://www.fatalencounters.org/wp-content/uploads/2018/06/Josh-Nash-Bryant.jpg" TargetMode="External"/><Relationship Id="rId6489" Type="http://schemas.openxmlformats.org/officeDocument/2006/relationships/hyperlink" Target="https://www.rlsmedia.com/article/update-nj-attorney-general-investigate-fatal-police-involved-shooting-senior-building-orange" TargetMode="External"/><Relationship Id="rId254" Type="http://schemas.openxmlformats.org/officeDocument/2006/relationships/hyperlink" Target="http://www.azfamily.com/story/28852387/phoenix-pds-mental-health-squad-looks-to-reduce-violent-encounters" TargetMode="External"/><Relationship Id="rId1091" Type="http://schemas.openxmlformats.org/officeDocument/2006/relationships/hyperlink" Target="http://www.killedbypolice.net/victims/150945.jpg" TargetMode="External"/><Relationship Id="rId3333" Type="http://schemas.openxmlformats.org/officeDocument/2006/relationships/hyperlink" Target="http://www.richmond.com/news/local/crime/police-suspect-wielding-knife-ax-killed-after-confrontation-with-officers/article_50245fb9-761d-5423-9abc-bad546c8ef13.html" TargetMode="External"/><Relationship Id="rId3540" Type="http://schemas.openxmlformats.org/officeDocument/2006/relationships/hyperlink" Target="http://www.mlive.com/news/grand-rapids/index.ssf/2017/03/man_shot_by_police_in_west_mic.html" TargetMode="External"/><Relationship Id="rId5298" Type="http://schemas.openxmlformats.org/officeDocument/2006/relationships/hyperlink" Target="https://www.good4utah.com/news/local-news/wanted-felon-shot-killed-by-officers-in-downtown-salt-lake-city-identified/1534870177" TargetMode="External"/><Relationship Id="rId6696" Type="http://schemas.openxmlformats.org/officeDocument/2006/relationships/hyperlink" Target="https://krcrtv.com/news/tehama-county/one-dead-after-officer-involved-shooting-during-tehama-county-investigation" TargetMode="External"/><Relationship Id="rId114" Type="http://schemas.openxmlformats.org/officeDocument/2006/relationships/hyperlink" Target="http://www.necn.com/news/new-england/Sister-Speaks-Out-About-Police-Involved-Shooting-308721631.html" TargetMode="External"/><Relationship Id="rId461" Type="http://schemas.openxmlformats.org/officeDocument/2006/relationships/hyperlink" Target="http://www.mlive.com/news/grand-rapids/index.ssf/2014/05/two_troopers_one_deputy_on_lea.html" TargetMode="External"/><Relationship Id="rId2142" Type="http://schemas.openxmlformats.org/officeDocument/2006/relationships/hyperlink" Target="http://www.nbclosangeles.com/news/local/Man-Fatally-Shot-by-Sheriffs-Deputies-in-Compton-391385291.html" TargetMode="External"/><Relationship Id="rId3400" Type="http://schemas.openxmlformats.org/officeDocument/2006/relationships/hyperlink" Target="http://www.msnewsnow.com/story/35682977/one-dead-deputy-wounded-in-officer-involved-shooting-in-yalobusha-co" TargetMode="External"/><Relationship Id="rId6349" Type="http://schemas.openxmlformats.org/officeDocument/2006/relationships/hyperlink" Target="https://fatalencounters.org/wp-content/uploads/2019/09/Buddie-Thomas-Nichols-II.jpg" TargetMode="External"/><Relationship Id="rId6556" Type="http://schemas.openxmlformats.org/officeDocument/2006/relationships/hyperlink" Target="https://katu.com/news/local/police-release-identify-of-man-shot-and-killed-by-officer" TargetMode="External"/><Relationship Id="rId6763" Type="http://schemas.openxmlformats.org/officeDocument/2006/relationships/hyperlink" Target="https://fatalencounters.org/wp-content/uploads/2019/09/DonnieHall.jpg" TargetMode="External"/><Relationship Id="rId6970" Type="http://schemas.openxmlformats.org/officeDocument/2006/relationships/hyperlink" Target="https://kvia.com/news/crime/2019/11/04/police-shooting-happens-along-busy-las-cruces-street/" TargetMode="External"/><Relationship Id="rId321" Type="http://schemas.openxmlformats.org/officeDocument/2006/relationships/hyperlink" Target="http://ww3.hdnux.com/photos/33/73/31/7321166/3/622x350.jpg" TargetMode="External"/><Relationship Id="rId2002" Type="http://schemas.openxmlformats.org/officeDocument/2006/relationships/hyperlink" Target="http://www.wbir.com/news/local/maryville-blount/man-involved-in-scuffle-with-blount-deputy-has-died/283514089" TargetMode="External"/><Relationship Id="rId2959" Type="http://schemas.openxmlformats.org/officeDocument/2006/relationships/hyperlink" Target="http://abc7chicago.com/news/state-police-investigating-officer-involved-shooting-in-lyons/2078484/" TargetMode="External"/><Relationship Id="rId5158" Type="http://schemas.openxmlformats.org/officeDocument/2006/relationships/hyperlink" Target="https://chicago.suntimes.com/crime/man-shot-to-death-by-gary-police-after-firing-at-officers/" TargetMode="External"/><Relationship Id="rId5365" Type="http://schemas.openxmlformats.org/officeDocument/2006/relationships/hyperlink" Target="https://kdvr.com/2018/11/04/jeffco-ois/" TargetMode="External"/><Relationship Id="rId5572" Type="http://schemas.openxmlformats.org/officeDocument/2006/relationships/hyperlink" Target="https://www.tampabay.com/news/publicsafety/hillsborough-sheriff-calls-news-conference-on-death-investigation-in-plant-city-area-20181219/?fbclid=IwAR0i_XaYmAByOwjSpTfRBsOmzpx190MbKDn02k0vOlnFSBaOPEecklhp3mY" TargetMode="External"/><Relationship Id="rId6209" Type="http://schemas.openxmlformats.org/officeDocument/2006/relationships/hyperlink" Target="https://fatalencounters.org/wp-content/uploads/2019/05/Derrec-Shaw.jpg" TargetMode="External"/><Relationship Id="rId6416" Type="http://schemas.openxmlformats.org/officeDocument/2006/relationships/hyperlink" Target="https://fatalencounters.org/wp-content/uploads/2019/07/Marvin-Wayne-Green.jpg" TargetMode="External"/><Relationship Id="rId6623" Type="http://schemas.openxmlformats.org/officeDocument/2006/relationships/hyperlink" Target="https://www.latimes.com/california/story/2019-08-13/deadly-shootout-near-215-freeway-in-riverside-motive-unknown" TargetMode="External"/><Relationship Id="rId6830" Type="http://schemas.openxmlformats.org/officeDocument/2006/relationships/hyperlink" Target="https://fatalencounters.org/wp-content/uploads/2019/10/Angela-Perkins.jpg" TargetMode="External"/><Relationship Id="rId1768" Type="http://schemas.openxmlformats.org/officeDocument/2006/relationships/hyperlink" Target="http://www.clickorlando.com/news/deputy-involved-shooting-closes-parts-of-17-92-in-deland" TargetMode="External"/><Relationship Id="rId2819" Type="http://schemas.openxmlformats.org/officeDocument/2006/relationships/hyperlink" Target="http://abc7ny.com/news/suspect-dead-officer-hurt-in-police-involved-shooting-in-brooklyn/1758358/" TargetMode="External"/><Relationship Id="rId4174" Type="http://schemas.openxmlformats.org/officeDocument/2006/relationships/hyperlink" Target="http://news4sanantonio.com/news/local/officer-involved-shooting-reported-on-citys-north-side" TargetMode="External"/><Relationship Id="rId4381" Type="http://schemas.openxmlformats.org/officeDocument/2006/relationships/hyperlink" Target="https://www.abc15.com/news/region-central-southern-az/casa-grande/casa-grande-police-involved-in-shooting" TargetMode="External"/><Relationship Id="rId5018" Type="http://schemas.openxmlformats.org/officeDocument/2006/relationships/hyperlink" Target="http://www.fox9.com/news/one-dead-after-officer-involved-shooting-in-st-paul-minn" TargetMode="External"/><Relationship Id="rId5225" Type="http://schemas.openxmlformats.org/officeDocument/2006/relationships/hyperlink" Target="https://newsok.com/article/5610001/enid-police-id-man-killed-in-thursday-morning-shooting" TargetMode="External"/><Relationship Id="rId5432" Type="http://schemas.openxmlformats.org/officeDocument/2006/relationships/hyperlink" Target="https://www.fatalencounters.org/wp-content/uploads/2018/11/Brianna-Nicole-Post.jpg" TargetMode="External"/><Relationship Id="rId1628" Type="http://schemas.openxmlformats.org/officeDocument/2006/relationships/hyperlink" Target="http://www.wpxi.com/news/news/local/shots-fired-police-during-standoff-beaver-co/nqndk/" TargetMode="External"/><Relationship Id="rId1975" Type="http://schemas.openxmlformats.org/officeDocument/2006/relationships/hyperlink" Target="http://www.firstcoastnews.com/news/swat-presence-in-green-cove-springs/275060143" TargetMode="External"/><Relationship Id="rId3190" Type="http://schemas.openxmlformats.org/officeDocument/2006/relationships/hyperlink" Target="http://www.abc15.com/news/region-southeast-valley/tempe/tempe-police-officer-injured-in-shooting-near-ruralsouthern" TargetMode="External"/><Relationship Id="rId4034" Type="http://schemas.openxmlformats.org/officeDocument/2006/relationships/hyperlink" Target="http://www.fatalencounters.org/wp-content/uploads/2013/10/BrookeAmeliaCamacho.jpg" TargetMode="External"/><Relationship Id="rId4241" Type="http://schemas.openxmlformats.org/officeDocument/2006/relationships/hyperlink" Target="http://www.fatalencounters.org/wp-content/uploads/2018/02/Benjamin-Gregware.png" TargetMode="External"/><Relationship Id="rId1835" Type="http://schemas.openxmlformats.org/officeDocument/2006/relationships/hyperlink" Target="http://fox4kc.com/2016/06/14/lafayette-county-deputy-shoots-kills-armed-man-officials-report/" TargetMode="External"/><Relationship Id="rId3050" Type="http://schemas.openxmlformats.org/officeDocument/2006/relationships/hyperlink" Target="http://www.ocregister.com/articles/dead-742552-police-involved.html" TargetMode="External"/><Relationship Id="rId4101" Type="http://schemas.openxmlformats.org/officeDocument/2006/relationships/hyperlink" Target="http://komonews.com/news/local/valley-avenue-shut-down-after-officer-involved-shooting-in-puyallup" TargetMode="External"/><Relationship Id="rId1902" Type="http://schemas.openxmlformats.org/officeDocument/2006/relationships/hyperlink" Target="http://www.nbcwashington.com/news/local/Officer-Involved-Shooting-Reported-in-NE-DC-384653811.html" TargetMode="External"/><Relationship Id="rId6066" Type="http://schemas.openxmlformats.org/officeDocument/2006/relationships/hyperlink" Target="https://www.palmbeachpost.com/news/20190406/woman-fatally-shot-in-boynton-taught-second-grade-in-palm-springs" TargetMode="External"/><Relationship Id="rId7117" Type="http://schemas.openxmlformats.org/officeDocument/2006/relationships/hyperlink" Target="https://www.koin.com/news/da-wont-charge-officer-who-killed-armed-man-with-car/" TargetMode="External"/><Relationship Id="rId3867" Type="http://schemas.openxmlformats.org/officeDocument/2006/relationships/hyperlink" Target="http://lompocrecord.com/news/local/identities-released-in-lompoc-homicide-officer-involved-shooting/article_b383a982-cb7a-5a09-b6ed-eee83b503d01.html" TargetMode="External"/><Relationship Id="rId4918" Type="http://schemas.openxmlformats.org/officeDocument/2006/relationships/hyperlink" Target="https://www.fatalencounters.org/wp-content/uploads/2018/07/ArthurLujan.jpg" TargetMode="External"/><Relationship Id="rId6273" Type="http://schemas.openxmlformats.org/officeDocument/2006/relationships/hyperlink" Target="https://fatalencounters.org/wp-content/uploads/2019/05/hamid-ould-rouis-ocso.jpg" TargetMode="External"/><Relationship Id="rId6480" Type="http://schemas.openxmlformats.org/officeDocument/2006/relationships/hyperlink" Target="https://www.witn.com/content/news/BREAKING-OVERNIGHT-Shooting-under-investigation-512458491.html" TargetMode="External"/><Relationship Id="rId788" Type="http://schemas.openxmlformats.org/officeDocument/2006/relationships/hyperlink" Target="http://www.kwtx.com/home/headlines/Shooting-Reported-At-Local-H-E-B-Store-321470271.html" TargetMode="External"/><Relationship Id="rId995" Type="http://schemas.openxmlformats.org/officeDocument/2006/relationships/hyperlink" Target="http://www.tuscaloosanews.com/article/20150622/news/150629934?p=1&amp;tc=pg" TargetMode="External"/><Relationship Id="rId2469" Type="http://schemas.openxmlformats.org/officeDocument/2006/relationships/hyperlink" Target="http://whnt.com/2016/12/02/breaking-officer-involved-shooting-under-investigation-in-tuscumbia/" TargetMode="External"/><Relationship Id="rId2676" Type="http://schemas.openxmlformats.org/officeDocument/2006/relationships/hyperlink" Target="http://www.news4jax.com/news/georgia/2-hospitalized-after-officer-involved-shooting-in-brunswick" TargetMode="External"/><Relationship Id="rId2883" Type="http://schemas.openxmlformats.org/officeDocument/2006/relationships/hyperlink" Target="http://sanfrancisco.cbslocal.com/2017/09/18/san-jose-police-officer-involved-shooting-unarmed/" TargetMode="External"/><Relationship Id="rId3727" Type="http://schemas.openxmlformats.org/officeDocument/2006/relationships/hyperlink" Target="https://www.daytondailynews.com/news/local/signal-dropped-officers-report-shots-fired-moraine/ox4L5r7nOvFLpVXdLxQVdI/" TargetMode="External"/><Relationship Id="rId3934" Type="http://schemas.openxmlformats.org/officeDocument/2006/relationships/hyperlink" Target="https://www.nbcmiami.com/news/local/Suicidal-Man-Dead-After-Standoff-With-Coral-Springs-SWAT-462378763.html" TargetMode="External"/><Relationship Id="rId5082" Type="http://schemas.openxmlformats.org/officeDocument/2006/relationships/hyperlink" Target="https://www.abqjournal.com/1212811/state-police-valencia-deputy-shoots-2-suspects-1-fatally.html" TargetMode="External"/><Relationship Id="rId6133" Type="http://schemas.openxmlformats.org/officeDocument/2006/relationships/hyperlink" Target="https://www.kiro7.com/news/local/man-shot-by-police-after-charging-officers-with-sword-in-grays-harbor-county/940795718" TargetMode="External"/><Relationship Id="rId6340" Type="http://schemas.openxmlformats.org/officeDocument/2006/relationships/hyperlink" Target="https://www.star-telegram.com/news/local/community/fort-worth/article231402508.html" TargetMode="External"/><Relationship Id="rId648" Type="http://schemas.openxmlformats.org/officeDocument/2006/relationships/hyperlink" Target="http://www.killedbypolice.net/victims/151025.jpg" TargetMode="External"/><Relationship Id="rId855" Type="http://schemas.openxmlformats.org/officeDocument/2006/relationships/hyperlink" Target="http://archive.currentargus.com/carlsbad-news/ci_28783767/man-shot-and-killed-by-hobbs-police-was" TargetMode="External"/><Relationship Id="rId1278" Type="http://schemas.openxmlformats.org/officeDocument/2006/relationships/hyperlink" Target="http://www.fatalencounters.org/wp-content/uploads/2013/10/Wirth.png" TargetMode="External"/><Relationship Id="rId1485" Type="http://schemas.openxmlformats.org/officeDocument/2006/relationships/hyperlink" Target="http://portlandtribune.com/pt/9-news/291047-168355-mentally-disturbed-man-dies-after-swat-standoff-at-holly-acres-apartment-complex-in-oak-grove" TargetMode="External"/><Relationship Id="rId1692" Type="http://schemas.openxmlformats.org/officeDocument/2006/relationships/hyperlink" Target="http://www.fatalencounters.org/wp-content/uploads/2013/10/ArthurWilliams.jpg" TargetMode="External"/><Relationship Id="rId2329" Type="http://schemas.openxmlformats.org/officeDocument/2006/relationships/hyperlink" Target="http://sfvmedia.com/sfv/man-fatally-shot-police-stabbing-estranged-wife-chatsworth-courthouse-identified/" TargetMode="External"/><Relationship Id="rId2536" Type="http://schemas.openxmlformats.org/officeDocument/2006/relationships/hyperlink" Target="http://www.fatalencounters.org/wp-content/uploads/2013/10/Roy-Lee-Minton.png" TargetMode="External"/><Relationship Id="rId2743" Type="http://schemas.openxmlformats.org/officeDocument/2006/relationships/hyperlink" Target="http://www.delawareonline.com/story/news/crime/2017/04/27/delaware-state-police-shooter-remains-barricaded/100966602/" TargetMode="External"/><Relationship Id="rId5899" Type="http://schemas.openxmlformats.org/officeDocument/2006/relationships/hyperlink" Target="https://www.nbcdfw.com/news/local/Armed-Man-Shot-Killed-By-Police-After-Short-Chase-Saturday-506290851.html" TargetMode="External"/><Relationship Id="rId6200" Type="http://schemas.openxmlformats.org/officeDocument/2006/relationships/hyperlink" Target="https://www.kotatv.com/content/news/Man-dies-after-rampage-and-being-Tasered-by-Rapid-City-police-509566571.html" TargetMode="External"/><Relationship Id="rId508" Type="http://schemas.openxmlformats.org/officeDocument/2006/relationships/hyperlink" Target="http://www.goupstate.com/article/20140124/ARTICLES/140129757?p=1&amp;tc=pg" TargetMode="External"/><Relationship Id="rId715" Type="http://schemas.openxmlformats.org/officeDocument/2006/relationships/hyperlink" Target="http://www.newson6.com/story/30447866/osbi-investigating-officer-involved-shooting-in-osage-county" TargetMode="External"/><Relationship Id="rId922" Type="http://schemas.openxmlformats.org/officeDocument/2006/relationships/hyperlink" Target="http://www.desertsun.com/story/news/crime_courts/2015/10/14/possible-shooting-indio-apartments/73951052/" TargetMode="External"/><Relationship Id="rId1138" Type="http://schemas.openxmlformats.org/officeDocument/2006/relationships/hyperlink" Target="http://www.kansascity.com/news/local/crime/article27006070.html" TargetMode="External"/><Relationship Id="rId1345" Type="http://schemas.openxmlformats.org/officeDocument/2006/relationships/hyperlink" Target="http://www.brownsvilleherald.com/news/local/article_a931ce06-c4e5-11e5-a085-53905371b4e3.html" TargetMode="External"/><Relationship Id="rId1552" Type="http://schemas.openxmlformats.org/officeDocument/2006/relationships/hyperlink" Target="http://keyetv.com/news/local/man-shot-and-killed-by-dps-trooper-in-llano-co-was-round-rock-bank-robbery-suspect" TargetMode="External"/><Relationship Id="rId2603" Type="http://schemas.openxmlformats.org/officeDocument/2006/relationships/hyperlink" Target="http://www.wbay.com/content/news/Wausau-shooting-suspect-dies-417859083.html" TargetMode="External"/><Relationship Id="rId2950" Type="http://schemas.openxmlformats.org/officeDocument/2006/relationships/hyperlink" Target="http://www.tulsaworld.com/homepagelatest/state-investigators-probe-officer-involved-shooting-in-mccurtain-county/article_c64618ce-3e67-5ea4-9f7d-d878459b1e2a.html" TargetMode="External"/><Relationship Id="rId5759" Type="http://schemas.openxmlformats.org/officeDocument/2006/relationships/hyperlink" Target="https://www.ajc.com/news/crime--law/breaking-atlanta-officer-serving-federal-task-force-involved-shooting-police-say/DpMWYgHxDYLDu75ciNpzuJ/" TargetMode="External"/><Relationship Id="rId1205" Type="http://schemas.openxmlformats.org/officeDocument/2006/relationships/hyperlink" Target="http://chicago.suntimes.com/crime/7/71/1011093/fire-official-1-dead-1-hurt-north-lawndale-shooting" TargetMode="External"/><Relationship Id="rId2810" Type="http://schemas.openxmlformats.org/officeDocument/2006/relationships/hyperlink" Target="http://www.fatalencounters.org/wp-content/uploads/2013/10/Don-Clark.jpg" TargetMode="External"/><Relationship Id="rId4568" Type="http://schemas.openxmlformats.org/officeDocument/2006/relationships/hyperlink" Target="http://www.fatalencounters.org/wp-content/uploads/2018/04/MatthewHartman.jpg" TargetMode="External"/><Relationship Id="rId5966" Type="http://schemas.openxmlformats.org/officeDocument/2006/relationships/hyperlink" Target="https://abc7.com/armed-suspect-dies-after-being-shot-by-officer-in-san-bernardino/5182977/" TargetMode="External"/><Relationship Id="rId7181" Type="http://schemas.openxmlformats.org/officeDocument/2006/relationships/hyperlink" Target="http://www.kplctv.com/story/21908625/suspect-killed-deputy-wounded-in-shooting" TargetMode="External"/><Relationship Id="rId51" Type="http://schemas.openxmlformats.org/officeDocument/2006/relationships/hyperlink" Target="http://www.rawstory.com/2015/07/denver-police-shoot-and-kill-a-mentally-ill-native-american-man-holding-a-knife-to-his-own-throat/" TargetMode="External"/><Relationship Id="rId1412" Type="http://schemas.openxmlformats.org/officeDocument/2006/relationships/hyperlink" Target="http://www.daytondailynews.com/news/news/crime-law/police-on-scene-of-apparent-standoff-in-fairborn/nqWHt/" TargetMode="External"/><Relationship Id="rId3377" Type="http://schemas.openxmlformats.org/officeDocument/2006/relationships/hyperlink" Target="http://www.kmov.com/story/35824040/suspect-dead-following-officer-involved-shooting-in-monroe-county" TargetMode="External"/><Relationship Id="rId4775" Type="http://schemas.openxmlformats.org/officeDocument/2006/relationships/hyperlink" Target="http://komonews.com/news/local/police-investigating-officer-involved-shooting-in-kirkland" TargetMode="External"/><Relationship Id="rId4982" Type="http://schemas.openxmlformats.org/officeDocument/2006/relationships/hyperlink" Target="https://www.fatalencounters.org/wp-content/uploads/2018/08/James-Edward-Blackmon.jpg" TargetMode="External"/><Relationship Id="rId5619" Type="http://schemas.openxmlformats.org/officeDocument/2006/relationships/hyperlink" Target="https://www.northcentralpa.com/news/one-dead-after-standoff-in-waterville/article_a002b6be-0d45-11e9-a0a8-07ec099847e9.html" TargetMode="External"/><Relationship Id="rId5826" Type="http://schemas.openxmlformats.org/officeDocument/2006/relationships/hyperlink" Target="https://www.localmemphis.com/news/local-news/tbi-investigating-fatal-deputy-involved-shooting-in-northeast-memphis/1763205125" TargetMode="External"/><Relationship Id="rId7041" Type="http://schemas.openxmlformats.org/officeDocument/2006/relationships/hyperlink" Target="https://fatalencounters.org/wp-content/uploads/2019/12/Steven-Dwayne-Haizlip-Jr.jpg" TargetMode="External"/><Relationship Id="rId298" Type="http://schemas.openxmlformats.org/officeDocument/2006/relationships/hyperlink" Target="http://www.cbsnews.com/news/texas-officer-responding-to-home-fatally-shoots-off-duty-deputy/" TargetMode="External"/><Relationship Id="rId3584" Type="http://schemas.openxmlformats.org/officeDocument/2006/relationships/hyperlink" Target="http://www.post-gazette.com/local/north/2017/03/09/Elderly-man-91-fatally-shot-by-police-in-Lawrence-County-standoff/stories/201703090153" TargetMode="External"/><Relationship Id="rId3791" Type="http://schemas.openxmlformats.org/officeDocument/2006/relationships/hyperlink" Target="http://www.fatalencounters.org/wp-content/uploads/2013/10/Christopher-Edward-Loftis.jpg" TargetMode="External"/><Relationship Id="rId4428" Type="http://schemas.openxmlformats.org/officeDocument/2006/relationships/hyperlink" Target="http://www.fatalencounters.org/wp-content/uploads/2018/04/Gerald-Johns.jpg" TargetMode="External"/><Relationship Id="rId4635" Type="http://schemas.openxmlformats.org/officeDocument/2006/relationships/hyperlink" Target="https://www.thedenverchannel.com/news/crime/man-who-was-shot-injured-by-greeley-police-after-brandishing-knife-dies" TargetMode="External"/><Relationship Id="rId4842" Type="http://schemas.openxmlformats.org/officeDocument/2006/relationships/hyperlink" Target="https://nbc16.com/news/nation-world/portland-state-university-students-renew-push-to-disarm-psu-campus-police-rally-protest-pioneer-square" TargetMode="External"/><Relationship Id="rId158" Type="http://schemas.openxmlformats.org/officeDocument/2006/relationships/hyperlink" Target="http://www.mrt.com/news/crime/article_eccc8aa0-0ccd-11e5-92a5-e30a35ff1af1.html" TargetMode="External"/><Relationship Id="rId2186" Type="http://schemas.openxmlformats.org/officeDocument/2006/relationships/hyperlink" Target="http://keyetv.com/news/local/officer-involved-shooting-in-northeast-austin" TargetMode="External"/><Relationship Id="rId2393" Type="http://schemas.openxmlformats.org/officeDocument/2006/relationships/hyperlink" Target="http://www.fatalencounters.org/wp-content/uploads/2013/10/Bruce-Lee-Edward-Johnson.jpg" TargetMode="External"/><Relationship Id="rId3237" Type="http://schemas.openxmlformats.org/officeDocument/2006/relationships/hyperlink" Target="https://www.google.com/url?q=http://media.gunmemorial.org/photo/31029.jpg&amp;sa=D&amp;ust=1508882833413000&amp;usg=AFQjCNGqI9BFhyo4Gfmedqk9Xf4Sf9_gKw" TargetMode="External"/><Relationship Id="rId3444" Type="http://schemas.openxmlformats.org/officeDocument/2006/relationships/hyperlink" Target="http://www.fatalencounters.org/wp-content/uploads/2013/10/Ron-Harlan-Lewallen.jpg" TargetMode="External"/><Relationship Id="rId3651" Type="http://schemas.openxmlformats.org/officeDocument/2006/relationships/hyperlink" Target="http://www.orlandosentinel.com/news/breaking-news/os-deputy-involved-shooting-deland-lake-county-20170204-story.html" TargetMode="External"/><Relationship Id="rId4702" Type="http://schemas.openxmlformats.org/officeDocument/2006/relationships/hyperlink" Target="http://fox5sandiego.com/2018/05/28/cell-phone-video-captures-knife-wielding-man-killed-by-police/" TargetMode="External"/><Relationship Id="rId365" Type="http://schemas.openxmlformats.org/officeDocument/2006/relationships/hyperlink" Target="http://magicvalley.com/news/local/crime-and-courts/update-man-fatally-shot-by-jerome-county-deputies-identified/article_4355b3bd-44b7-5e74-8937-16ad1d7d96cc.html" TargetMode="External"/><Relationship Id="rId572" Type="http://schemas.openxmlformats.org/officeDocument/2006/relationships/hyperlink" Target="http://jacksonville.com/news/crime/2014-09-06/story/lawsuit-pits-family-against-jacksonville-police-over-fatal-police" TargetMode="External"/><Relationship Id="rId2046" Type="http://schemas.openxmlformats.org/officeDocument/2006/relationships/hyperlink" Target="http://www.echopress.com/news/4086423-update-one-dead-after-officer-involved-shooting-alexandria-wvideo" TargetMode="External"/><Relationship Id="rId2253" Type="http://schemas.openxmlformats.org/officeDocument/2006/relationships/hyperlink" Target="http://www.fayobserver.com/news/local/lumberton-man-killed-by-state-trooper-identified/article_2e8c69f7-0bbe-5e21-9f60-28e5e20b939e.html" TargetMode="External"/><Relationship Id="rId2460" Type="http://schemas.openxmlformats.org/officeDocument/2006/relationships/hyperlink" Target="http://www.fatalencounters.org/wp-content/uploads/2013/10/David-K.-Crosby-Dowdy.jpg" TargetMode="External"/><Relationship Id="rId3304" Type="http://schemas.openxmlformats.org/officeDocument/2006/relationships/hyperlink" Target="http://lacrossetribune.com/news/local/crime-and-courts/la-crosse-police-officers-shoot-man-officers-say-stole-suv/article_25d240ca-decb-57a3-8a36-b79be10b2c9a.html" TargetMode="External"/><Relationship Id="rId3511" Type="http://schemas.openxmlformats.org/officeDocument/2006/relationships/hyperlink" Target="http://www.whsv.com/content/news/One-dead-in-officer-involved-shooting-after-chase-419764503.html" TargetMode="External"/><Relationship Id="rId6667" Type="http://schemas.openxmlformats.org/officeDocument/2006/relationships/hyperlink" Target="https://www.weny.com/story/40981536/man-hospitalized-after-being-taken-into-epd-custody-dies-investigation-underway-by-special-nys-ag-unit" TargetMode="External"/><Relationship Id="rId6874" Type="http://schemas.openxmlformats.org/officeDocument/2006/relationships/hyperlink" Target="https://fatalencounters.org/wp-content/uploads/2019/10/Victor-Ervin-Jarvis.jpg" TargetMode="External"/><Relationship Id="rId225" Type="http://schemas.openxmlformats.org/officeDocument/2006/relationships/hyperlink" Target="http://www.wsmv.com/story/28940658/police-investigating-shooting-in-south-nashville" TargetMode="External"/><Relationship Id="rId432" Type="http://schemas.openxmlformats.org/officeDocument/2006/relationships/hyperlink" Target="http://www.myfoxdfw.com/story/25833600/suspect-killed-in-garland-officer-involved-shooting" TargetMode="External"/><Relationship Id="rId1062" Type="http://schemas.openxmlformats.org/officeDocument/2006/relationships/hyperlink" Target="http://www.nbclosangeles.com/news/local/Fatal-Shooting-May-Have-Started-Over-Laugh-298532211.html" TargetMode="External"/><Relationship Id="rId2113" Type="http://schemas.openxmlformats.org/officeDocument/2006/relationships/hyperlink" Target="http://www.fatalencounters.org/wp-content/uploads/2013/10/Trenton-Lohman.jpg" TargetMode="External"/><Relationship Id="rId2320" Type="http://schemas.openxmlformats.org/officeDocument/2006/relationships/hyperlink" Target="http://www.cleveland.com/north-royalton/index.ssf/2016/10/north_royalton_man_fatally_sho.html" TargetMode="External"/><Relationship Id="rId5269" Type="http://schemas.openxmlformats.org/officeDocument/2006/relationships/hyperlink" Target="https://13wham.com/news/local/police-3-shot-in-rochester-multiple-schools-on-lockout" TargetMode="External"/><Relationship Id="rId5476" Type="http://schemas.openxmlformats.org/officeDocument/2006/relationships/hyperlink" Target="https://bangordailynews.com/2018/11/29/news/bangor/old-town-police-close-stillwater-avenue-after-incident/" TargetMode="External"/><Relationship Id="rId5683" Type="http://schemas.openxmlformats.org/officeDocument/2006/relationships/hyperlink" Target="https://www.wdtv.com/content/news/Officer-shot-in-Putnam-County-identified-suspect-killed-503991341.html" TargetMode="External"/><Relationship Id="rId6527" Type="http://schemas.openxmlformats.org/officeDocument/2006/relationships/hyperlink" Target="https://www.rlsmedia.com/article/man-armed-scythe-fatally-shot-pemberton-police" TargetMode="External"/><Relationship Id="rId6734" Type="http://schemas.openxmlformats.org/officeDocument/2006/relationships/hyperlink" Target="https://fatalencounters.org/wp-content/uploads/2019/09/Quentin-Broadus.jpg" TargetMode="External"/><Relationship Id="rId4078" Type="http://schemas.openxmlformats.org/officeDocument/2006/relationships/hyperlink" Target="http://www.thenewstribune.com/news/local/crime/article193487669.html" TargetMode="External"/><Relationship Id="rId4285" Type="http://schemas.openxmlformats.org/officeDocument/2006/relationships/hyperlink" Target="http://www.fatalencounters.org/wp-content/uploads/2018/03/Mario-Bass.png" TargetMode="External"/><Relationship Id="rId4492" Type="http://schemas.openxmlformats.org/officeDocument/2006/relationships/hyperlink" Target="http://sacramento.cbslocal.com/2018/04/06/marysville-k9-shot/" TargetMode="External"/><Relationship Id="rId5129" Type="http://schemas.openxmlformats.org/officeDocument/2006/relationships/hyperlink" Target="https://wsvn.com/news/local/1-dead-after-police-involved-shooting-in-hollywood/" TargetMode="External"/><Relationship Id="rId5336" Type="http://schemas.openxmlformats.org/officeDocument/2006/relationships/hyperlink" Target="https://www.lasvegasnow.com/news/police-man-shot-by-officers-overnight-had-weapon/1554965118?fbclid=IwAR16LTH1nU78gSICI1MMy9RQwhmRchVHZVe03zXA8XTeQhRd7Jg3V0ytbDA" TargetMode="External"/><Relationship Id="rId5543" Type="http://schemas.openxmlformats.org/officeDocument/2006/relationships/hyperlink" Target="https://sacramento.cbslocal.com/2018/12/13/yuba-county-officer-involved-shooting/" TargetMode="External"/><Relationship Id="rId5890" Type="http://schemas.openxmlformats.org/officeDocument/2006/relationships/hyperlink" Target="https://www.ksat.com/news/man-shot-killed-by-dps-trooper-in-poteet-after-stabbing-2-people-officials-say" TargetMode="External"/><Relationship Id="rId6941" Type="http://schemas.openxmlformats.org/officeDocument/2006/relationships/hyperlink" Target="https://kmph.com/news/local/officer-involved-shooting-investigation-underway-in-porterville" TargetMode="External"/><Relationship Id="rId1879" Type="http://schemas.openxmlformats.org/officeDocument/2006/relationships/hyperlink" Target="http://detroit.cbslocal.com/2016/06/22/flint-double-stabbing-suspect-dies-after-he-was-tasered-by-police/" TargetMode="External"/><Relationship Id="rId3094" Type="http://schemas.openxmlformats.org/officeDocument/2006/relationships/hyperlink" Target="http://www.fatalencounters.org/wp-content/uploads/2013/10/Jeffrey-Lynn-Curry-Jr.png" TargetMode="External"/><Relationship Id="rId4145" Type="http://schemas.openxmlformats.org/officeDocument/2006/relationships/hyperlink" Target="https://www.chieftain.com/news/pueblo/man-fatally-shot-by-pueblo-police-during-chase/article_904b9511-441e-5ba9-80ac-ca8bb8ae1f53.html" TargetMode="External"/><Relationship Id="rId5750" Type="http://schemas.openxmlformats.org/officeDocument/2006/relationships/hyperlink" Target="https://www.knoxnews.com/story/news/crime/2019/01/20/officer-involved-shooting-knoxville-police-jason-minnick/2634704002/" TargetMode="External"/><Relationship Id="rId6801" Type="http://schemas.openxmlformats.org/officeDocument/2006/relationships/hyperlink" Target="https://www.nwahomepage.com/news/knwa/man-in-deputy-involved-shooting-has-died/" TargetMode="External"/><Relationship Id="rId1739" Type="http://schemas.openxmlformats.org/officeDocument/2006/relationships/hyperlink" Target="http://www.wsoctv.com/news/local/officials-investigating-after-fatal-officer-involved-shooting/297346673" TargetMode="External"/><Relationship Id="rId1946" Type="http://schemas.openxmlformats.org/officeDocument/2006/relationships/hyperlink" Target="http://www.fresnobee.com/news/local/crime/article88607337.html" TargetMode="External"/><Relationship Id="rId4005" Type="http://schemas.openxmlformats.org/officeDocument/2006/relationships/hyperlink" Target="http://valleycentral.com/news/local/one-dead-after-officer-involved-shooting-in-progreso" TargetMode="External"/><Relationship Id="rId4352" Type="http://schemas.openxmlformats.org/officeDocument/2006/relationships/hyperlink" Target="http://www.koin.com/news/local/washington-county/hillsboro-police-shoot-kill-man-at-home/1029021490" TargetMode="External"/><Relationship Id="rId5403" Type="http://schemas.openxmlformats.org/officeDocument/2006/relationships/hyperlink" Target="https://www.fatalencounters.org/wp-content/uploads/2018/11/Timothy-Odell-Leon.png" TargetMode="External"/><Relationship Id="rId5610" Type="http://schemas.openxmlformats.org/officeDocument/2006/relationships/hyperlink" Target="https://www.wfsb.com/news/police-one-dead-one-injured-in-officer-involved-shooting-in/article_479ac1f4-0be9-11e9-9a8c-73a417f7180f.html" TargetMode="External"/><Relationship Id="rId1806" Type="http://schemas.openxmlformats.org/officeDocument/2006/relationships/hyperlink" Target="https://s.yimg.com/uu/api/res/1.2/wJW0B82wIMb_Pjg8mCsdNA--/Zmk9c3RyaW07aD0xNzA7cHlvZmY9MDtxPTgwO3c9MTcwO3NtPTE7YXBwaWQ9eXRhY2h5b24-/http:/slingstone.zenfs.com/offnetwork/3fdec23f75cdcfce27f76f3db98f87b5" TargetMode="External"/><Relationship Id="rId3161" Type="http://schemas.openxmlformats.org/officeDocument/2006/relationships/hyperlink" Target="http://www.nbc12.com/story/35861349/police-suspect-takes-his-own-life-during-standoff-at-henrico-walgreens" TargetMode="External"/><Relationship Id="rId4212" Type="http://schemas.openxmlformats.org/officeDocument/2006/relationships/hyperlink" Target="http://www.lakeconews.com/index.php/news/54383-deputy-shoots-kills-armed-man" TargetMode="External"/><Relationship Id="rId3021" Type="http://schemas.openxmlformats.org/officeDocument/2006/relationships/hyperlink" Target="http://www.houmatoday.com/news/20170301/man-killed-by-police-tuesday-night" TargetMode="External"/><Relationship Id="rId3978" Type="http://schemas.openxmlformats.org/officeDocument/2006/relationships/hyperlink" Target="http://www.detroitnews.com/story/news/local/oakland-county/2017/12/18/oak-park-threat/108736780/" TargetMode="External"/><Relationship Id="rId6177" Type="http://schemas.openxmlformats.org/officeDocument/2006/relationships/hyperlink" Target="https://fatalencounters.org/wp-content/uploads/2019/05/Reinaldo-GonzalezJPG.jpg" TargetMode="External"/><Relationship Id="rId6384" Type="http://schemas.openxmlformats.org/officeDocument/2006/relationships/hyperlink" Target="https://fatalencounters.org/wp-content/uploads/2019/06/Francisco-Tarin.jpg" TargetMode="External"/><Relationship Id="rId6591" Type="http://schemas.openxmlformats.org/officeDocument/2006/relationships/hyperlink" Target="https://baltimore.cbslocal.com/2018/11/05/fatal-officer-involved-shooting-in-anne-arundel-county/?fbclid=IwAR1mwsqP8D7ok_S_KCROS6YLFh87KggquBuEZUYKC-lBER9ggd027Ob3TU0" TargetMode="External"/><Relationship Id="rId7228" Type="http://schemas.openxmlformats.org/officeDocument/2006/relationships/hyperlink" Target="http://ak-cache.legacy.net/legacy/Images/Cobrands/DignityMemorial/Photos/971a90e7-e0b0-4720-9c19-df48ab4180ec.jpg" TargetMode="External"/><Relationship Id="rId899" Type="http://schemas.openxmlformats.org/officeDocument/2006/relationships/hyperlink" Target="http://www.kionrightnow.com/news/local-news/update-moco-da-identifies-man-killed-during-officer-involved-shooting/35690628" TargetMode="External"/><Relationship Id="rId2787" Type="http://schemas.openxmlformats.org/officeDocument/2006/relationships/hyperlink" Target="http://www.eastbaytimes.com/2017/03/14/hayward-police-investigate-shooting-near-csu-east-bay/" TargetMode="External"/><Relationship Id="rId3838" Type="http://schemas.openxmlformats.org/officeDocument/2006/relationships/hyperlink" Target="http://www.desmoinesregister.com/story/news/2017/11/11/dakota-city-department-natural-resources-officer-shoots-armed-ma/855737001/" TargetMode="External"/><Relationship Id="rId5193" Type="http://schemas.openxmlformats.org/officeDocument/2006/relationships/hyperlink" Target="http://www.kdrv.com/content/news/One-Person-Dead-After-Officer-Involved-Shooting-493804731.html" TargetMode="External"/><Relationship Id="rId6037" Type="http://schemas.openxmlformats.org/officeDocument/2006/relationships/hyperlink" Target="http://www.news9.com/story/40209211/1-dead-in-chickasha-officerinvolved-shooting" TargetMode="External"/><Relationship Id="rId6244" Type="http://schemas.openxmlformats.org/officeDocument/2006/relationships/hyperlink" Target="https://www.azcentral.com/story/news/local/phoenix-breaking/2019/05/23/officials-identify-phoenix-officers-who-fatally-shot-teen-firing-police/1213275001/" TargetMode="External"/><Relationship Id="rId6451" Type="http://schemas.openxmlformats.org/officeDocument/2006/relationships/hyperlink" Target="https://fatalencounters.org/wp-content/uploads/2019/07/Christine-Soto-Venegas.jpg" TargetMode="External"/><Relationship Id="rId759" Type="http://schemas.openxmlformats.org/officeDocument/2006/relationships/hyperlink" Target="http://ak-cache.legacy.net/legacy/images/Cobrands/Ledger-Enquirer/Photos/LE0040243-1_20150901.jpg" TargetMode="External"/><Relationship Id="rId966" Type="http://schemas.openxmlformats.org/officeDocument/2006/relationships/hyperlink" Target="http://philadelphia.cbslocal.com/2014/09/16/police-id-suspect-in-shooting-death-of-pregnant-woman-unborn-child/" TargetMode="External"/><Relationship Id="rId1389" Type="http://schemas.openxmlformats.org/officeDocument/2006/relationships/hyperlink" Target="http://www.wcnc.com/story/news/crime/2016/02/12/authorities-investigating-deadly-officer-involved-shooting-maiden/80275644/" TargetMode="External"/><Relationship Id="rId1596" Type="http://schemas.openxmlformats.org/officeDocument/2006/relationships/hyperlink" Target="http://www.chicagotribune.com/news/local/breaking/ct-officers-shot-on-west-side-20160314-story.html" TargetMode="External"/><Relationship Id="rId2647" Type="http://schemas.openxmlformats.org/officeDocument/2006/relationships/hyperlink" Target="http://www.wsbtv.com/news/local/dekalb-county/police-officer-suspect-both-shot-during-incident-in-dekalb-county/580039870" TargetMode="External"/><Relationship Id="rId2994" Type="http://schemas.openxmlformats.org/officeDocument/2006/relationships/hyperlink" Target="http://www.wtoc.com/story/35204463/two-officers-involved-in-shooting-in-sanders-subdivision-in-hardeeville" TargetMode="External"/><Relationship Id="rId5053" Type="http://schemas.openxmlformats.org/officeDocument/2006/relationships/hyperlink" Target="https://www.fatalencounters.org/wp-content/uploads/2018/08/ChristopherCameron.jpg" TargetMode="External"/><Relationship Id="rId5260" Type="http://schemas.openxmlformats.org/officeDocument/2006/relationships/hyperlink" Target="https://www.krqe.com/news/new-mexico/nmsp-investigate-officer-involved-shooting-in-clovis/1507097195" TargetMode="External"/><Relationship Id="rId6104" Type="http://schemas.openxmlformats.org/officeDocument/2006/relationships/hyperlink" Target="https://www.kmov.com/news/st-charles-man-killed-in-st-louis-officer-involved-shooting/article_7362da1c-5cbe-11e9-9892-a39931c2d942.html" TargetMode="External"/><Relationship Id="rId6311" Type="http://schemas.openxmlformats.org/officeDocument/2006/relationships/hyperlink" Target="https://fatalencounters.org/wp-content/uploads/2019/06/Erik-Gebauer.jpg" TargetMode="External"/><Relationship Id="rId619" Type="http://schemas.openxmlformats.org/officeDocument/2006/relationships/hyperlink" Target="http://www.killedbypolice.net/victims/150913.jpg" TargetMode="External"/><Relationship Id="rId1249" Type="http://schemas.openxmlformats.org/officeDocument/2006/relationships/hyperlink" Target="http://consciouslyenlightened.com/wp-content/uploads/2016/01/b7ce1d5ed0282fa7.jpg" TargetMode="External"/><Relationship Id="rId2854" Type="http://schemas.openxmlformats.org/officeDocument/2006/relationships/hyperlink" Target="http://www.fatalencounters.org/wp-content/uploads/2013/10/KevinDarnell.jpg" TargetMode="External"/><Relationship Id="rId3905" Type="http://schemas.openxmlformats.org/officeDocument/2006/relationships/hyperlink" Target="http://www.khq.com/story/36939682/yakima-armed-robbery-suspect-killed-in-officer-involved-shooting" TargetMode="External"/><Relationship Id="rId5120" Type="http://schemas.openxmlformats.org/officeDocument/2006/relationships/hyperlink" Target="https://www.wfaa.com/article/news/local/driver-dies-after-officer-involved-shooting-in-arlington-officers-ok/287-590108252" TargetMode="External"/><Relationship Id="rId95" Type="http://schemas.openxmlformats.org/officeDocument/2006/relationships/hyperlink" Target="http://www.mysanantonio.com/news/local/article/Suspect-killed-by-polcie-during-chase-identified-6355557.php" TargetMode="External"/><Relationship Id="rId826" Type="http://schemas.openxmlformats.org/officeDocument/2006/relationships/hyperlink" Target="http://www.tampabay.com/news/publicsafety/crime/hillsborough-deputy-involved-in-shooting-one-suspect-wounded-deputy/2242748" TargetMode="External"/><Relationship Id="rId1109" Type="http://schemas.openxmlformats.org/officeDocument/2006/relationships/hyperlink" Target="http://www.fatalencounters.org/wp-content/uploads/2013/10/Cornelius-Brown-e1448418750146.jpg" TargetMode="External"/><Relationship Id="rId1456" Type="http://schemas.openxmlformats.org/officeDocument/2006/relationships/hyperlink" Target="https://heavyeditorial.files.wordpress.com/2016/02/akiel-denkins-11.jpg?quality=65&amp;strip=all&amp;strip=all" TargetMode="External"/><Relationship Id="rId1663" Type="http://schemas.openxmlformats.org/officeDocument/2006/relationships/hyperlink" Target="http://www.wftv.com/news/local/man-armed-with-gun-killed-by-orlando-police/251456157" TargetMode="External"/><Relationship Id="rId1870" Type="http://schemas.openxmlformats.org/officeDocument/2006/relationships/hyperlink" Target="http://www.fatalencounters.org/wp-content/uploads/2013/10/travis-vierra.jpg" TargetMode="External"/><Relationship Id="rId2507" Type="http://schemas.openxmlformats.org/officeDocument/2006/relationships/hyperlink" Target="http://www.wltx.com/news/local/sumter-police-say-suspect-dead-after-shootout-with-officers/367773380" TargetMode="External"/><Relationship Id="rId2714" Type="http://schemas.openxmlformats.org/officeDocument/2006/relationships/hyperlink" Target="http://www.abc15.com/news/region-west-valley/glendale/glendale-police-investigating-shooting-near-63rd-avenue-and-bethany-home" TargetMode="External"/><Relationship Id="rId2921" Type="http://schemas.openxmlformats.org/officeDocument/2006/relationships/hyperlink" Target="http://www.fatalencounters.org/wp-content/uploads/2013/10/Yahir-Brito-Lucero.png" TargetMode="External"/><Relationship Id="rId7085" Type="http://schemas.openxmlformats.org/officeDocument/2006/relationships/hyperlink" Target="https://abc13.com/chase-ends-with-4-officers-firing-shots-killing-man/5798254/" TargetMode="External"/><Relationship Id="rId1316" Type="http://schemas.openxmlformats.org/officeDocument/2006/relationships/hyperlink" Target="http://dnews.com/news_ap/washington/police-cle-elum-officer-shoots-man-pointing-gun-at-him/article_ef5bbb89-dac8-5c5d-b2bb-fdc695e9fbbb.html" TargetMode="External"/><Relationship Id="rId1523" Type="http://schemas.openxmlformats.org/officeDocument/2006/relationships/hyperlink" Target="http://www.gannett-cdn.com/-mm-/3c0dce3d37195c906778d69a1c791ae276f1cf36/c=245-517-549-923&amp;r=183&amp;c=0-0-180-240/local/-/media/2016/02/03/DetroitFreePress/DetroitFreePress/635901091530191646-IMG-8446.JPG" TargetMode="External"/><Relationship Id="rId1730" Type="http://schemas.openxmlformats.org/officeDocument/2006/relationships/hyperlink" Target="http://www.fatalencounters.org/wp-content/uploads/2013/10/Carraway-COPSHOOT-MH-AF0111.jpg" TargetMode="External"/><Relationship Id="rId4679" Type="http://schemas.openxmlformats.org/officeDocument/2006/relationships/hyperlink" Target="http://www.kesq.com/news/2-dead-following-joshua-tree-shooting/745038009" TargetMode="External"/><Relationship Id="rId4886" Type="http://schemas.openxmlformats.org/officeDocument/2006/relationships/hyperlink" Target="https://wsvn.com/news/local/miami-dade-police-officer-injured-after-shots-fired-near-hialeah-park/" TargetMode="External"/><Relationship Id="rId5937" Type="http://schemas.openxmlformats.org/officeDocument/2006/relationships/hyperlink" Target="https://www.fatalencounters.org/wp-content/uploads/2019/03/StephieQuiroz.png" TargetMode="External"/><Relationship Id="rId22" Type="http://schemas.openxmlformats.org/officeDocument/2006/relationships/hyperlink" Target="http://www.killedbypolice.net/victims/150676.jpg" TargetMode="External"/><Relationship Id="rId3488" Type="http://schemas.openxmlformats.org/officeDocument/2006/relationships/hyperlink" Target="http://www.fatalencounters.org/wp-content/uploads/2013/10/Mirza-Tatlic.png" TargetMode="External"/><Relationship Id="rId3695" Type="http://schemas.openxmlformats.org/officeDocument/2006/relationships/hyperlink" Target="http://www.kare11.com/news/local/officer-involved-shooting-leaves-1-dead-in-austin/385475423" TargetMode="External"/><Relationship Id="rId4539" Type="http://schemas.openxmlformats.org/officeDocument/2006/relationships/hyperlink" Target="https://www.azcentral.com/story/news/local/phoenix-breaking/2018/04/14/phoneix-officer-involved-shooting-after-pursuit-arizona-chase/517110002/" TargetMode="External"/><Relationship Id="rId4746" Type="http://schemas.openxmlformats.org/officeDocument/2006/relationships/hyperlink" Target="https://www.abqjournal.com/1181901/bcso-deputies-involved-in-shooting-in-se-albuquerque.html" TargetMode="External"/><Relationship Id="rId4953" Type="http://schemas.openxmlformats.org/officeDocument/2006/relationships/hyperlink" Target="https://kdminer.com/news/2018/jul/25/one-dead-havasu-officer-involved-shooting/" TargetMode="External"/><Relationship Id="rId7152" Type="http://schemas.openxmlformats.org/officeDocument/2006/relationships/hyperlink" Target="http://www.huffingtonpost.com/2013/03/24/evan-spencer-ebel-colorado_n_2943421.html" TargetMode="External"/><Relationship Id="rId2297" Type="http://schemas.openxmlformats.org/officeDocument/2006/relationships/hyperlink" Target="http://www.fatalencounters.org/wp-content/uploads/2013/10/Demetrious-Mac-Moore.jpg" TargetMode="External"/><Relationship Id="rId3348" Type="http://schemas.openxmlformats.org/officeDocument/2006/relationships/hyperlink" Target="http://www.fatalencounters.org/wp-content/uploads/2013/10/Daniel-Thomas-Reid.jpg" TargetMode="External"/><Relationship Id="rId3555" Type="http://schemas.openxmlformats.org/officeDocument/2006/relationships/hyperlink" Target="http://www.fatalencounters.org/wp-content/uploads/2013/10/Clifton-Knickmeyer.jpg" TargetMode="External"/><Relationship Id="rId3762" Type="http://schemas.openxmlformats.org/officeDocument/2006/relationships/hyperlink" Target="http://www.fatalencounters.org/wp-content/uploads/2013/10/Danny-Sanchez.png" TargetMode="External"/><Relationship Id="rId4606" Type="http://schemas.openxmlformats.org/officeDocument/2006/relationships/hyperlink" Target="https://www.visaliatimesdelta.com/story/news/2018/05/03/breaking-law-enforcement-investigate-tulare-county-officer-involved-shooting/579487002/" TargetMode="External"/><Relationship Id="rId4813" Type="http://schemas.openxmlformats.org/officeDocument/2006/relationships/hyperlink" Target="http://www.nbc29.com/story/38490012/harrisonburg-police-investigate-officer-involved-shooting-at-chilis" TargetMode="External"/><Relationship Id="rId7012" Type="http://schemas.openxmlformats.org/officeDocument/2006/relationships/hyperlink" Target="https://fatalencounters.org/wp-content/uploads/2019/12/Kean-Walker.jpg" TargetMode="External"/><Relationship Id="rId269" Type="http://schemas.openxmlformats.org/officeDocument/2006/relationships/hyperlink" Target="http://www.pennlive.com/midstate/index.ssf/2015/04/adams_county_prison_gunman_die.html" TargetMode="External"/><Relationship Id="rId476" Type="http://schemas.openxmlformats.org/officeDocument/2006/relationships/hyperlink" Target="http://www.wsbtv.com/news/news/local/officer-injured-suspect-killed-lawrenceville-apart/nfQTQ/" TargetMode="External"/><Relationship Id="rId683" Type="http://schemas.openxmlformats.org/officeDocument/2006/relationships/hyperlink" Target="http://www.kolotv.com/home/headlines/Reno-Police-One-Person-Shot-on-Grove-St-352960401.html" TargetMode="External"/><Relationship Id="rId890" Type="http://schemas.openxmlformats.org/officeDocument/2006/relationships/hyperlink" Target="http://www.startribune.com/st-paul-man-killed-in-officer-involved-shooting-is-identified/329566071/" TargetMode="External"/><Relationship Id="rId2157" Type="http://schemas.openxmlformats.org/officeDocument/2006/relationships/hyperlink" Target="http://www.fatalencounters.org/wp-content/uploads/2013/10/jaqwan-taylor.png" TargetMode="External"/><Relationship Id="rId2364" Type="http://schemas.openxmlformats.org/officeDocument/2006/relationships/hyperlink" Target="http://www.fatalencounters.org/wp-content/uploads/2013/10/Darryl-Chisholm.jpg" TargetMode="External"/><Relationship Id="rId2571" Type="http://schemas.openxmlformats.org/officeDocument/2006/relationships/hyperlink" Target="http://wsbt.com/news/local/breaking-indiana-state-police-investigating-officer-involved-shooting-in-knox" TargetMode="External"/><Relationship Id="rId3208" Type="http://schemas.openxmlformats.org/officeDocument/2006/relationships/hyperlink" Target="http://rapidcityjournal.com/news/local/man-barricaded-in-apartment-shot-killed-by-authorities/article_23e9da5d-77b4-52fd-9e15-3d7e5f40aa27.html" TargetMode="External"/><Relationship Id="rId3415" Type="http://schemas.openxmlformats.org/officeDocument/2006/relationships/hyperlink" Target="http://www.miamiherald.com/news/local/crime/article155472114.html" TargetMode="External"/><Relationship Id="rId6778" Type="http://schemas.openxmlformats.org/officeDocument/2006/relationships/hyperlink" Target="https://fatalencounters.org/wp-content/uploads/2019/09/GabrielRouse.jpg" TargetMode="External"/><Relationship Id="rId129" Type="http://schemas.openxmlformats.org/officeDocument/2006/relationships/hyperlink" Target="http://www.dallasnews.com/news/local-news/20150613-report-of-shots-fired-near-dallas-police-headquarters-prompts-chase.ece" TargetMode="External"/><Relationship Id="rId336" Type="http://schemas.openxmlformats.org/officeDocument/2006/relationships/hyperlink" Target="http://whotv.com/2014/12/17/marshalltown-police-critically-wound-armed-suspect-overnight/" TargetMode="External"/><Relationship Id="rId543" Type="http://schemas.openxmlformats.org/officeDocument/2006/relationships/hyperlink" Target="http://www.pe.com/articles/palmer-674426-deputies-phillips.html" TargetMode="External"/><Relationship Id="rId1173" Type="http://schemas.openxmlformats.org/officeDocument/2006/relationships/hyperlink" Target="http://bigstory.ap.org/article/591758407e704e56a35001a00033f9cd/white-officer-recovering-after-shootout-black-suspect" TargetMode="External"/><Relationship Id="rId1380" Type="http://schemas.openxmlformats.org/officeDocument/2006/relationships/hyperlink" Target="http://news10.com/2016/02/11/police-neighbors-still-asking-why-in-colonie-officer-murder-suicide/" TargetMode="External"/><Relationship Id="rId2017" Type="http://schemas.openxmlformats.org/officeDocument/2006/relationships/hyperlink" Target="http://www.kvoa.com/story/32567897/suspect-leads-officers-on-high-speed-chase-through?utm_medium=social&amp;utm_source=facebook_News_4_Tucson_-_KVOA" TargetMode="External"/><Relationship Id="rId2224" Type="http://schemas.openxmlformats.org/officeDocument/2006/relationships/hyperlink" Target="http://www.fatalencounters.org/wp-content/uploads/2013/10/Isaias-Salgado.jpg" TargetMode="External"/><Relationship Id="rId3622" Type="http://schemas.openxmlformats.org/officeDocument/2006/relationships/hyperlink" Target="http://www.wpsdlocal6.com/story/34518287/deadly-shooting-in-cape-under-investigation" TargetMode="External"/><Relationship Id="rId5587" Type="http://schemas.openxmlformats.org/officeDocument/2006/relationships/hyperlink" Target="https://www.sgvtribune.com/2018/12/24/armed-man-killed-in-azusa-officer-involved-shooting-is-identified/" TargetMode="External"/><Relationship Id="rId6985" Type="http://schemas.openxmlformats.org/officeDocument/2006/relationships/hyperlink" Target="https://www.wgal.com/article/update-sert-team-kills-gunman-who-shot-trooper-state-police-say/30195947" TargetMode="External"/><Relationship Id="rId403" Type="http://schemas.openxmlformats.org/officeDocument/2006/relationships/hyperlink" Target="http://homicide.latimes.com/post/andre-maurice-jones/" TargetMode="External"/><Relationship Id="rId750" Type="http://schemas.openxmlformats.org/officeDocument/2006/relationships/hyperlink" Target="http://whns.images.worldnow.com/images/8617596_G.jpg" TargetMode="External"/><Relationship Id="rId1033" Type="http://schemas.openxmlformats.org/officeDocument/2006/relationships/hyperlink" Target="http://ktla.com/2015/05/07/apparent-deputy-involved-shooting-prompts-emergency-response-in-cerritos/" TargetMode="External"/><Relationship Id="rId2431" Type="http://schemas.openxmlformats.org/officeDocument/2006/relationships/hyperlink" Target="http://www.fatalencounters.org/wp-content/uploads/2013/10/Carlos-Valencia.jpg" TargetMode="External"/><Relationship Id="rId4189" Type="http://schemas.openxmlformats.org/officeDocument/2006/relationships/hyperlink" Target="http://www.fatalencounters.org/wp-content/uploads/2018/02/Gilberto-Salas.png" TargetMode="External"/><Relationship Id="rId5794" Type="http://schemas.openxmlformats.org/officeDocument/2006/relationships/hyperlink" Target="https://www.mysanantonio.com/news/houston-texas/article/We-are-so-sorry-Family-of-man-killed-in-drug-13571054.php" TargetMode="External"/><Relationship Id="rId6638" Type="http://schemas.openxmlformats.org/officeDocument/2006/relationships/hyperlink" Target="https://www.fitsnews.com/2019/08/14/fatal-officer-involved-shooting-in-belton-south-carolina/" TargetMode="External"/><Relationship Id="rId6845" Type="http://schemas.openxmlformats.org/officeDocument/2006/relationships/hyperlink" Target="https://www.sacbee.com/news/local/article235860512.html" TargetMode="External"/><Relationship Id="rId610" Type="http://schemas.openxmlformats.org/officeDocument/2006/relationships/hyperlink" Target="http://www.rgj.com/story/news/crime/2015/10/17/police-gardnerville-man-killed-mother-dies-hospital/74121444/" TargetMode="External"/><Relationship Id="rId1240" Type="http://schemas.openxmlformats.org/officeDocument/2006/relationships/hyperlink" Target="http://www.fatalencounters.org/wp-content/uploads/2013/10/DanielSweet.png" TargetMode="External"/><Relationship Id="rId4049" Type="http://schemas.openxmlformats.org/officeDocument/2006/relationships/hyperlink" Target="http://www.joplinglobe.com/news/joplin-man-died-shortly-after-officer-involved-shooting/article_b8cf63b6-f0b0-11e7-8dca-ef922f9a81ed.html" TargetMode="External"/><Relationship Id="rId4396" Type="http://schemas.openxmlformats.org/officeDocument/2006/relationships/hyperlink" Target="http://www.tristatehomepage.com/news/local-news/ksp-involved-in-deadly-shooting/1059467232" TargetMode="External"/><Relationship Id="rId5447" Type="http://schemas.openxmlformats.org/officeDocument/2006/relationships/hyperlink" Target="https://www.fatalencounters.org/wp-content/uploads/2018/11/Martez-Webb.png" TargetMode="External"/><Relationship Id="rId5654" Type="http://schemas.openxmlformats.org/officeDocument/2006/relationships/hyperlink" Target="https://www.fatalencounters.org/wp-content/uploads/2019/01/ArronLambert.jpg" TargetMode="External"/><Relationship Id="rId5861" Type="http://schemas.openxmlformats.org/officeDocument/2006/relationships/hyperlink" Target="https://www.fatalencounters.org/wp-content/uploads/2019/02/BRYCEBellomo.png" TargetMode="External"/><Relationship Id="rId6705" Type="http://schemas.openxmlformats.org/officeDocument/2006/relationships/hyperlink" Target="https://www.click2houston.com/news/texas/katy-man-recalls-being-shot-during-west-texas-mass-shooting-rampage" TargetMode="External"/><Relationship Id="rId6912" Type="http://schemas.openxmlformats.org/officeDocument/2006/relationships/hyperlink" Target="https://www.kezi.com/content/news/Man-shot-killed-by-Hillsboro-police-in-parking-lot-IDd-563831361.html" TargetMode="External"/><Relationship Id="rId1100" Type="http://schemas.openxmlformats.org/officeDocument/2006/relationships/hyperlink" Target="http://newsok.com/article/5456285" TargetMode="External"/><Relationship Id="rId4256" Type="http://schemas.openxmlformats.org/officeDocument/2006/relationships/hyperlink" Target="http://www.kctv5.com/story/37511873/texas-man-dies-as-wild-chase-leads-to-officer-involved-shooting-in-cass-county" TargetMode="External"/><Relationship Id="rId4463" Type="http://schemas.openxmlformats.org/officeDocument/2006/relationships/hyperlink" Target="http://www.brownsvilleherald.com/news/local/texas-rangers-investigating-officer-involved-shooting/article_c5a8fe5c-36c0-11e8-8417-b3c8b62c9dfe.html" TargetMode="External"/><Relationship Id="rId4670" Type="http://schemas.openxmlformats.org/officeDocument/2006/relationships/hyperlink" Target="https://www.lmtonline.com/local/crime/article/Man-killed-in-officer-related-shooting-in-south-12925652.php" TargetMode="External"/><Relationship Id="rId5307" Type="http://schemas.openxmlformats.org/officeDocument/2006/relationships/hyperlink" Target="https://www.greenbaypressgazette.com/story/news/2018/10/20/man-dead-officer-involved-shooting-brown-county-jail/1709699002/" TargetMode="External"/><Relationship Id="rId5514" Type="http://schemas.openxmlformats.org/officeDocument/2006/relationships/hyperlink" Target="https://abc7.com/suspect-killed-in-torrance-officer-involved-shooting/4870320/" TargetMode="External"/><Relationship Id="rId5721" Type="http://schemas.openxmlformats.org/officeDocument/2006/relationships/hyperlink" Target="https://www.fatalencounters.org/wp-content/uploads/2019/01/louis-burrus.jpg" TargetMode="External"/><Relationship Id="rId1917" Type="http://schemas.openxmlformats.org/officeDocument/2006/relationships/hyperlink" Target="http://images1.ocweekly.com/imager/u/blog/7310719/vincent_valenzuela_and_son.png" TargetMode="External"/><Relationship Id="rId3065" Type="http://schemas.openxmlformats.org/officeDocument/2006/relationships/hyperlink" Target="http://www.presstelegram.com/general-news/20170122/breaking-long-beach-police-shoot-kill-attempted-murder-suspect-in-carson" TargetMode="External"/><Relationship Id="rId3272" Type="http://schemas.openxmlformats.org/officeDocument/2006/relationships/hyperlink" Target="http://www.lex18.com/story/36229345/one-fatality-in-officer-involved-shooting" TargetMode="External"/><Relationship Id="rId4116" Type="http://schemas.openxmlformats.org/officeDocument/2006/relationships/hyperlink" Target="http://www.fatalencounters.org/wp-content/uploads/2018/01/Kerry-Lee-Nield.jpg" TargetMode="External"/><Relationship Id="rId4323" Type="http://schemas.openxmlformats.org/officeDocument/2006/relationships/hyperlink" Target="http://weartv.com/news/local/baldwin-county-sheriffs-deputies-investigating-shootout" TargetMode="External"/><Relationship Id="rId4530" Type="http://schemas.openxmlformats.org/officeDocument/2006/relationships/hyperlink" Target="http://www.fatalencounters.org/wp-content/uploads/2018/04/RumondaleJones.jpg" TargetMode="External"/><Relationship Id="rId193" Type="http://schemas.openxmlformats.org/officeDocument/2006/relationships/hyperlink" Target="http://jacksonville.com/news/crime/2015-05-21/story/suspect-shot-deputies-st-augustine-beach-has-died" TargetMode="External"/><Relationship Id="rId2081" Type="http://schemas.openxmlformats.org/officeDocument/2006/relationships/hyperlink" Target="http://www.fatalencounters.org/wp-content/uploads/2013/10/Sawaf.jpg" TargetMode="External"/><Relationship Id="rId3132" Type="http://schemas.openxmlformats.org/officeDocument/2006/relationships/hyperlink" Target="http://www.miamiherald.com/news/local/crime/article166972892.html" TargetMode="External"/><Relationship Id="rId6288" Type="http://schemas.openxmlformats.org/officeDocument/2006/relationships/hyperlink" Target="https://whnt.com/2019/05/30/woman-shot-during-confrontation-with-huntsville-police/" TargetMode="External"/><Relationship Id="rId6495" Type="http://schemas.openxmlformats.org/officeDocument/2006/relationships/hyperlink" Target="https://www.local10.com/news/florida/hollywood/2-investigations-underway-into-fatal-police-involved-shooting-in-hollywood" TargetMode="External"/><Relationship Id="rId260" Type="http://schemas.openxmlformats.org/officeDocument/2006/relationships/hyperlink" Target="http://wreg.com/2015/04/15/man-wielding-machete-is-shot-and-killed-by-jonesboro-patrolman/" TargetMode="External"/><Relationship Id="rId5097" Type="http://schemas.openxmlformats.org/officeDocument/2006/relationships/hyperlink" Target="http://www.wdbj7.com/content/news/State-Police-investigating-deputy-involved-shooting-in-Montgomery-County-491714921.html" TargetMode="External"/><Relationship Id="rId6148" Type="http://schemas.openxmlformats.org/officeDocument/2006/relationships/hyperlink" Target="https://www.newsobserver.com/news/local/article229513399.html" TargetMode="External"/><Relationship Id="rId6355" Type="http://schemas.openxmlformats.org/officeDocument/2006/relationships/hyperlink" Target="https://fatalencounters.org/wp-content/uploads/2019/08/Jimmy-De-Odell.jpg" TargetMode="External"/><Relationship Id="rId120" Type="http://schemas.openxmlformats.org/officeDocument/2006/relationships/hyperlink" Target="http://newyork.cbslocal.com/2015/06/17/neptune-police-officer-shooting/" TargetMode="External"/><Relationship Id="rId2898" Type="http://schemas.openxmlformats.org/officeDocument/2006/relationships/hyperlink" Target="http://www.fatalencounters.org/wp-content/uploads/2013/10/Ulesis.jpg" TargetMode="External"/><Relationship Id="rId3949" Type="http://schemas.openxmlformats.org/officeDocument/2006/relationships/hyperlink" Target="http://www.krdo.com/news/pueblo/man-dies-in-hospital-after-being-tased-by-pueblo-police/670962657" TargetMode="External"/><Relationship Id="rId5164" Type="http://schemas.openxmlformats.org/officeDocument/2006/relationships/hyperlink" Target="http://www.krwg.org/post/latest-47-year-old-man-dies-officer-involved-shooting-thursday" TargetMode="External"/><Relationship Id="rId6008" Type="http://schemas.openxmlformats.org/officeDocument/2006/relationships/hyperlink" Target="http://www.fatalencounters.org/wp-content/uploads/2019/04/SteveGarcia.jpg" TargetMode="External"/><Relationship Id="rId6215" Type="http://schemas.openxmlformats.org/officeDocument/2006/relationships/hyperlink" Target="https://fatalencounters.org/wp-content/uploads/2019/05/Luis-Quinones-Rosa.jpg" TargetMode="External"/><Relationship Id="rId6562" Type="http://schemas.openxmlformats.org/officeDocument/2006/relationships/hyperlink" Target="https://fatalencounters.org/wp-content/uploads/2019/08/Donald-Lee-Joseph.jpg" TargetMode="External"/><Relationship Id="rId2758" Type="http://schemas.openxmlformats.org/officeDocument/2006/relationships/hyperlink" Target="http://www.fatalencounters.org/wp-content/uploads/2013/10/Kenneth-Johnson.png" TargetMode="External"/><Relationship Id="rId2965" Type="http://schemas.openxmlformats.org/officeDocument/2006/relationships/hyperlink" Target="http://www.latimes.com/local/lanow/la-me-ln-wilmington-police-shooting-20170607-story.html" TargetMode="External"/><Relationship Id="rId3809" Type="http://schemas.openxmlformats.org/officeDocument/2006/relationships/hyperlink" Target="http://newsok.com/article/5571292" TargetMode="External"/><Relationship Id="rId5024" Type="http://schemas.openxmlformats.org/officeDocument/2006/relationships/hyperlink" Target="https://www.fatalencounters.org/wp-content/uploads/2018/08/dan-boyer.jpg" TargetMode="External"/><Relationship Id="rId5371" Type="http://schemas.openxmlformats.org/officeDocument/2006/relationships/hyperlink" Target="https://www.fatalencounters.org/wp-content/uploads/2018/11/George-Lyman-Smith.jpg" TargetMode="External"/><Relationship Id="rId6422" Type="http://schemas.openxmlformats.org/officeDocument/2006/relationships/hyperlink" Target="https://fatalencounters.org/wp-content/uploads/2019/07/Benjamin-Ray-Smith.jpg" TargetMode="External"/><Relationship Id="rId937" Type="http://schemas.openxmlformats.org/officeDocument/2006/relationships/hyperlink" Target="http://www.jsonline.com/news/crime/shotgun-wielding-man-shot-by-kenosha-county-deputy-has-died-b99603068z1-336891891.html" TargetMode="External"/><Relationship Id="rId1567" Type="http://schemas.openxmlformats.org/officeDocument/2006/relationships/hyperlink" Target="http://www.freep.com/story/news/local/michigan/2016/04/09/domestic-dispute-kentwood-michigan/82829620/" TargetMode="External"/><Relationship Id="rId1774" Type="http://schemas.openxmlformats.org/officeDocument/2006/relationships/hyperlink" Target="http://bloximages.chicago2.vip.townnews.com/tucson.com/content/tncms/assets/v3/editorial/a/e7/ae79fbd0-2792-11e6-ab5a-77abeb9d06ab/574e31338aace.image.jpg" TargetMode="External"/><Relationship Id="rId1981" Type="http://schemas.openxmlformats.org/officeDocument/2006/relationships/hyperlink" Target="http://www.nydailynews.com/new-york/brooklyn/person-shot-police-involved-shooting-brooklyn-article-1.2714732" TargetMode="External"/><Relationship Id="rId2618" Type="http://schemas.openxmlformats.org/officeDocument/2006/relationships/hyperlink" Target="http://www.pbcommercial.com/news/20170826/1-dead-cop-injured-in-harbor-oaks-shootout" TargetMode="External"/><Relationship Id="rId2825" Type="http://schemas.openxmlformats.org/officeDocument/2006/relationships/hyperlink" Target="http://www.fatalencounters.org/wp-content/uploads/2013/10/Willard-Eugene-Scott-Jr..png" TargetMode="External"/><Relationship Id="rId4180" Type="http://schemas.openxmlformats.org/officeDocument/2006/relationships/hyperlink" Target="http://www.wkyt.com/content/news/Police-are-investigating-an-officer-involved-shooting-in-Laurel-County-471555923.html" TargetMode="External"/><Relationship Id="rId5231" Type="http://schemas.openxmlformats.org/officeDocument/2006/relationships/hyperlink" Target="https://abc13.com/police-kill-alleged-kidnapper-who-shot-ex-at-least-5-times-/4358196/" TargetMode="External"/><Relationship Id="rId66" Type="http://schemas.openxmlformats.org/officeDocument/2006/relationships/hyperlink" Target="http://www.bakersfield.com/news/2015/07/09/bakersfield-police-man-fatally-shot-tuesday-pointed-gun-at-officers.html" TargetMode="External"/><Relationship Id="rId1427" Type="http://schemas.openxmlformats.org/officeDocument/2006/relationships/hyperlink" Target="http://www.kotatv.com/news/south-dakota-news/Rapid-City-man-identified-as-shooting-suspect/38253364" TargetMode="External"/><Relationship Id="rId1634" Type="http://schemas.openxmlformats.org/officeDocument/2006/relationships/hyperlink" Target="http://www.courierpress.com/news/crime/coroners-office-called-to-hospital-after-police-chase-on-morgan-ave-2e2094d7-fd5e-625a-e053-0100007f-372184521.html" TargetMode="External"/><Relationship Id="rId1841" Type="http://schemas.openxmlformats.org/officeDocument/2006/relationships/hyperlink" Target="http://www.fatalencounters.org/wp-content/uploads/2013/10/Ronald-Delfino.jpg" TargetMode="External"/><Relationship Id="rId4040" Type="http://schemas.openxmlformats.org/officeDocument/2006/relationships/hyperlink" Target="http://www.fatalencounters.org/wp-content/uploads/2013/10/MatthewRiehl.png" TargetMode="External"/><Relationship Id="rId4997" Type="http://schemas.openxmlformats.org/officeDocument/2006/relationships/hyperlink" Target="http://www.ktuu.com/content/news/Domestic-violence-suspect-fatally-shot-by-AST-in-St-Marys-490029631.html" TargetMode="External"/><Relationship Id="rId7196" Type="http://schemas.openxmlformats.org/officeDocument/2006/relationships/hyperlink" Target="http://ksisradio.com/warrensburg-police-shoot-and-kill-armed-suspect-while-serving-search-warrant/" TargetMode="External"/><Relationship Id="rId3599" Type="http://schemas.openxmlformats.org/officeDocument/2006/relationships/hyperlink" Target="http://www.khou.com/news/lake-jackson-officials-investigating-officer-involved-shooting-female-suspect-shot/414421601" TargetMode="External"/><Relationship Id="rId4857" Type="http://schemas.openxmlformats.org/officeDocument/2006/relationships/hyperlink" Target="https://www.fatalencounters.org/wp-content/uploads/2018/07/Clark-Millard.jpg" TargetMode="External"/><Relationship Id="rId7056" Type="http://schemas.openxmlformats.org/officeDocument/2006/relationships/hyperlink" Target="https://www.news-journalonline.com/news/20191224/sheriff-1-dead-in-deltona-officer-involved-shooting" TargetMode="External"/><Relationship Id="rId1701" Type="http://schemas.openxmlformats.org/officeDocument/2006/relationships/hyperlink" Target="http://www.fatalencounters.org/wp-content/uploads/2013/10/Mondragon.jpg" TargetMode="External"/><Relationship Id="rId3459" Type="http://schemas.openxmlformats.org/officeDocument/2006/relationships/hyperlink" Target="http://abc7news.com/news/pleasanton-police-shoot-kill-armed-suspect/2017793/" TargetMode="External"/><Relationship Id="rId3666" Type="http://schemas.openxmlformats.org/officeDocument/2006/relationships/hyperlink" Target="http://www.weau.com/content/news/One-dead-after-officer-involved-shooting-near-Black-River-Falls-411886355.html" TargetMode="External"/><Relationship Id="rId5908" Type="http://schemas.openxmlformats.org/officeDocument/2006/relationships/hyperlink" Target="http://www.kplctv.com/2019/02/27/fatal-officer-involved-shooting-deridder/" TargetMode="External"/><Relationship Id="rId6072" Type="http://schemas.openxmlformats.org/officeDocument/2006/relationships/hyperlink" Target="https://www.fatalencounters.org/wp-content/uploads/2019/04/Thomas-Verile-Jr.jpg" TargetMode="External"/><Relationship Id="rId7123" Type="http://schemas.openxmlformats.org/officeDocument/2006/relationships/hyperlink" Target="http://blog.al.com/breaking/2013/05/post_1146.html" TargetMode="External"/><Relationship Id="rId587" Type="http://schemas.openxmlformats.org/officeDocument/2006/relationships/hyperlink" Target="http://www.killedbypolice.net/victims/150976.jpg" TargetMode="External"/><Relationship Id="rId2268" Type="http://schemas.openxmlformats.org/officeDocument/2006/relationships/hyperlink" Target="http://www.fatalencounters.org/wp-content/uploads/2013/10/Chaz-York.jpg" TargetMode="External"/><Relationship Id="rId3319" Type="http://schemas.openxmlformats.org/officeDocument/2006/relationships/hyperlink" Target="http://abc30.com/visalia-police-investigating-officer-involved-shooting-suspect-dies/2267141/" TargetMode="External"/><Relationship Id="rId3873" Type="http://schemas.openxmlformats.org/officeDocument/2006/relationships/hyperlink" Target="https://www.heraldmailmedia.com/news/tri_state/west_virginia/fugitive-task-force-involved-in-fatal-shooting-near-hedgesville-w/article_da7069b4-cb19-11e7-b413-cba0b987da91.html" TargetMode="External"/><Relationship Id="rId4717" Type="http://schemas.openxmlformats.org/officeDocument/2006/relationships/hyperlink" Target="http://www.yourcentralvalley.com/news/man-killed-in-officer-involved-shooting-near-dinuba-identified-1/1213411966" TargetMode="External"/><Relationship Id="rId4924" Type="http://schemas.openxmlformats.org/officeDocument/2006/relationships/hyperlink" Target="https://www.nbclosangeles.com/news/local/Man-Killed-In-Deputy-Involved-Shooting-In-Pico-Rivera-488648461.html" TargetMode="External"/><Relationship Id="rId447" Type="http://schemas.openxmlformats.org/officeDocument/2006/relationships/hyperlink" Target="http://www.daytondailynews.com/news/news/crime-law/police-involved-shooting-reported-udf-dayton/nf7f7/?__federated=1" TargetMode="External"/><Relationship Id="rId794" Type="http://schemas.openxmlformats.org/officeDocument/2006/relationships/hyperlink" Target="http://www.madisoncourier.com/Content/News/News/Article/Hanover-man-dead-in-officer-involved-shooting/178/961/92193" TargetMode="External"/><Relationship Id="rId1077" Type="http://schemas.openxmlformats.org/officeDocument/2006/relationships/hyperlink" Target="http://www.killedbypolice.net/victims/150988.jpg" TargetMode="External"/><Relationship Id="rId2128" Type="http://schemas.openxmlformats.org/officeDocument/2006/relationships/hyperlink" Target="http://www.kob.com/new-mexico-news/man-shot-by-las-cruces-police-lunged-at-officer-with-knife-spokesman-says/4242242/" TargetMode="External"/><Relationship Id="rId2475" Type="http://schemas.openxmlformats.org/officeDocument/2006/relationships/hyperlink" Target="http://www.fatalencounters.org/wp-content/uploads/2013/10/Josh-Dunne.jpg" TargetMode="External"/><Relationship Id="rId2682" Type="http://schemas.openxmlformats.org/officeDocument/2006/relationships/hyperlink" Target="http://www.tennessean.com/story/news/2017/06/28/shooting-reported-vanderbilt-100-oaks-campus-nashville/436537001/" TargetMode="External"/><Relationship Id="rId3526" Type="http://schemas.openxmlformats.org/officeDocument/2006/relationships/hyperlink" Target="http://www.bradenton.com/news/local/crime/article143153954.html" TargetMode="External"/><Relationship Id="rId3733" Type="http://schemas.openxmlformats.org/officeDocument/2006/relationships/hyperlink" Target="http://www.pressdemocrat.com/news/local/7549301-181/cloverdale-officers-kill-suspected-prowler" TargetMode="External"/><Relationship Id="rId3940" Type="http://schemas.openxmlformats.org/officeDocument/2006/relationships/hyperlink" Target="http://www.wbay.com/content/news/Highway-64-in-Marinette-County-closed-462514143.html" TargetMode="External"/><Relationship Id="rId6889" Type="http://schemas.openxmlformats.org/officeDocument/2006/relationships/hyperlink" Target="https://www.wfxrtv.com/news/person-shot-and-killed-by-roanoke-police-identified/" TargetMode="External"/><Relationship Id="rId654" Type="http://schemas.openxmlformats.org/officeDocument/2006/relationships/hyperlink" Target="http://www.killedbypolice.net/victims/151016.jpg" TargetMode="External"/><Relationship Id="rId861" Type="http://schemas.openxmlformats.org/officeDocument/2006/relationships/hyperlink" Target="http://www.wlky.com/news/1-dead-after-officer-involvedshooting-in-french-lick/35109748" TargetMode="External"/><Relationship Id="rId1284" Type="http://schemas.openxmlformats.org/officeDocument/2006/relationships/hyperlink" Target="https://1.bp.blogspot.com/-weo6YmWipXE/Vt1nsXODkjI/AAAAAAAAZpc/39wgsT680yw/s320/kennethstanley.JPG" TargetMode="External"/><Relationship Id="rId1491" Type="http://schemas.openxmlformats.org/officeDocument/2006/relationships/hyperlink" Target="http://www.nbcwashington.com/news/national-international/Multiple-Suspects-Injured-in-Officer-Involved-Shooting-368615471.html" TargetMode="External"/><Relationship Id="rId2335" Type="http://schemas.openxmlformats.org/officeDocument/2006/relationships/hyperlink" Target="http://www.fatalencounters.org/wp-content/uploads/2013/10/Ariel-Galarza.jpg" TargetMode="External"/><Relationship Id="rId2542" Type="http://schemas.openxmlformats.org/officeDocument/2006/relationships/hyperlink" Target="https://usgunviolence.files.wordpress.com/2013/09/charles-eugene-porter-ii.jpg?w=625" TargetMode="External"/><Relationship Id="rId3800" Type="http://schemas.openxmlformats.org/officeDocument/2006/relationships/hyperlink" Target="http://www.fatalencounters.org/wp-content/uploads/2013/10/Augustus-Crawford.jpg" TargetMode="External"/><Relationship Id="rId5698" Type="http://schemas.openxmlformats.org/officeDocument/2006/relationships/hyperlink" Target="https://www.fatalencounters.org/wp-content/uploads/2019/01/CharlesLanderodsleft.jpg" TargetMode="External"/><Relationship Id="rId6749" Type="http://schemas.openxmlformats.org/officeDocument/2006/relationships/hyperlink" Target="https://www.leadertelegram.com/news/daily-updates/officer-shoots-and-kills-loyal-man-during-standoff-with-police/article_8061ae75-d5c8-5ae8-85b1-ebb9be6a7554.html" TargetMode="External"/><Relationship Id="rId6956" Type="http://schemas.openxmlformats.org/officeDocument/2006/relationships/hyperlink" Target="https://bouldercolorado.gov/newsroom/boulder-police-investigating-a-homicide" TargetMode="External"/><Relationship Id="rId307" Type="http://schemas.openxmlformats.org/officeDocument/2006/relationships/hyperlink" Target="http://www.miamiherald.com/news/local/community/florida-keys/article5621958.html" TargetMode="External"/><Relationship Id="rId514" Type="http://schemas.openxmlformats.org/officeDocument/2006/relationships/hyperlink" Target="http://www.nwfdailynews.com/local/suspect-killed-officers-shot-in-crestview-incident-1.257150" TargetMode="External"/><Relationship Id="rId721" Type="http://schemas.openxmlformats.org/officeDocument/2006/relationships/hyperlink" Target="http://www.kare11.com/story/news/2015/11/01/bca-investigating-hutchinson-officer-involved-shooting/75021264/" TargetMode="External"/><Relationship Id="rId1144" Type="http://schemas.openxmlformats.org/officeDocument/2006/relationships/hyperlink" Target="https://mgtvwnct.files.wordpress.com/2015/08/tsombe-clark.jpg" TargetMode="External"/><Relationship Id="rId1351" Type="http://schemas.openxmlformats.org/officeDocument/2006/relationships/hyperlink" Target="http://www.wfaa.com/story/news/crime/2016/01/27/suspect-shot-killed-johnson-co-after-chase/79426834/" TargetMode="External"/><Relationship Id="rId2402" Type="http://schemas.openxmlformats.org/officeDocument/2006/relationships/hyperlink" Target="http://www.fatalencounters.org/wp-content/uploads/2013/10/Samson-Fleurant.jpg" TargetMode="External"/><Relationship Id="rId5558" Type="http://schemas.openxmlformats.org/officeDocument/2006/relationships/hyperlink" Target="https://www.kctv5.com/news/kck-police-officer-shot-suspect-killed-in-officer-involved-shooting/article_21eb13b4-01c1-11e9-9411-333205583a52.html" TargetMode="External"/><Relationship Id="rId5765" Type="http://schemas.openxmlformats.org/officeDocument/2006/relationships/hyperlink" Target="https://www.wthr.com/article/northern-indiana-man-identified-after-deadly-police-shooting" TargetMode="External"/><Relationship Id="rId5972" Type="http://schemas.openxmlformats.org/officeDocument/2006/relationships/hyperlink" Target="https://www.ajc.com/news/crime--law/just-man-holding-gun-wife-head-shot-killed-cherokee-county-deputy/diZIzyuqKurtEeFQ2kgXwN/" TargetMode="External"/><Relationship Id="rId6609" Type="http://schemas.openxmlformats.org/officeDocument/2006/relationships/hyperlink" Target="https://fatalencounters.org/wp-content/uploads/2019/08/Crossen.jpg" TargetMode="External"/><Relationship Id="rId6816" Type="http://schemas.openxmlformats.org/officeDocument/2006/relationships/hyperlink" Target="https://fatalencounters.org/wp-content/uploads/2019/10/DavidPage.jpg" TargetMode="External"/><Relationship Id="rId1004" Type="http://schemas.openxmlformats.org/officeDocument/2006/relationships/hyperlink" Target="http://miami.cbslocal.com/2015/06/11/witnesses-police-officer-shoots-homeless-man-five-times-in-miami/" TargetMode="External"/><Relationship Id="rId1211" Type="http://schemas.openxmlformats.org/officeDocument/2006/relationships/hyperlink" Target="http://www.al.com/news/index.ssf/2015/10/alabama_state_troopers_shoot_a.html" TargetMode="External"/><Relationship Id="rId4367" Type="http://schemas.openxmlformats.org/officeDocument/2006/relationships/hyperlink" Target="http://www.fatalencounters.org/wp-content/uploads/2018/03/Brisco-Tim-Woodel.jpg" TargetMode="External"/><Relationship Id="rId4574" Type="http://schemas.openxmlformats.org/officeDocument/2006/relationships/hyperlink" Target="http://www.newschannel10.com/story/38033839/apd-investigating-officer-involved-shooting-on-harmony" TargetMode="External"/><Relationship Id="rId4781" Type="http://schemas.openxmlformats.org/officeDocument/2006/relationships/hyperlink" Target="https://www.kshb.com/news/crime/kcpd-continue-to-investigate-barney-allis-plaza-officer-involved-shooting" TargetMode="External"/><Relationship Id="rId5418" Type="http://schemas.openxmlformats.org/officeDocument/2006/relationships/hyperlink" Target="https://www.ajc.com/news/crime--law/gbi-man-shot-killed-after-stabbing-georgia-deputy-multiple-times/fRZ98vS58gbyzIQ4Wwuy9N/" TargetMode="External"/><Relationship Id="rId5625" Type="http://schemas.openxmlformats.org/officeDocument/2006/relationships/hyperlink" Target="https://www.dallasnews.com/news/crime/2016/09/09/ex-farmers-branch-cop-indicted-shooting-killed-dallas-teen" TargetMode="External"/><Relationship Id="rId5832" Type="http://schemas.openxmlformats.org/officeDocument/2006/relationships/hyperlink" Target="https://www.nydailynews.com/new-york/nyc-crime/ny-metro-police-shooting-lower-east-side-20190208-story.html" TargetMode="External"/><Relationship Id="rId3176" Type="http://schemas.openxmlformats.org/officeDocument/2006/relationships/hyperlink" Target="http://news3lv.com/news/local/domestic-dispute-turned-barricade-becomes-fatal-officer-involved-shooting" TargetMode="External"/><Relationship Id="rId3383" Type="http://schemas.openxmlformats.org/officeDocument/2006/relationships/hyperlink" Target="http://www.bnd.com/news/local/article159588114.html" TargetMode="External"/><Relationship Id="rId3590" Type="http://schemas.openxmlformats.org/officeDocument/2006/relationships/hyperlink" Target="http://www.fatalencounters.org/wp-content/uploads/2013/10/JohnHall.png" TargetMode="External"/><Relationship Id="rId4227" Type="http://schemas.openxmlformats.org/officeDocument/2006/relationships/hyperlink" Target="http://www.wsbtv.com/news/local/atlanta/police-investigating-shooting-in-southwest-atlanta-1/697203857" TargetMode="External"/><Relationship Id="rId4434" Type="http://schemas.openxmlformats.org/officeDocument/2006/relationships/hyperlink" Target="http://kfor.com/2018/03/28/police-investigating-reported-shooting-in-stillwater/" TargetMode="External"/><Relationship Id="rId2192" Type="http://schemas.openxmlformats.org/officeDocument/2006/relationships/hyperlink" Target="http://wjhl.com/2016/09/06/wcso-investigating-shooting-on-moody-lane-in-gray/" TargetMode="External"/><Relationship Id="rId3036" Type="http://schemas.openxmlformats.org/officeDocument/2006/relationships/hyperlink" Target="http://www.keyt.com/news/man-killed-by-sheriffs-deputies-in-santa-barbara-identified/331171899" TargetMode="External"/><Relationship Id="rId3243" Type="http://schemas.openxmlformats.org/officeDocument/2006/relationships/hyperlink" Target="http://www.fatalencounters.org/wp-content/uploads/2013/10/MichaelRusso.jpg" TargetMode="External"/><Relationship Id="rId4641" Type="http://schemas.openxmlformats.org/officeDocument/2006/relationships/hyperlink" Target="http://www.fatalencounters.org/wp-content/uploads/2018/05/Jacob-T.-Eldridge.jpg" TargetMode="External"/><Relationship Id="rId6399" Type="http://schemas.openxmlformats.org/officeDocument/2006/relationships/hyperlink" Target="https://www.baltimorecountymd.gov/News/PoliceNews/iWatch/police-release-additional-details-in-officer-involved-shooting" TargetMode="External"/><Relationship Id="rId164" Type="http://schemas.openxmlformats.org/officeDocument/2006/relationships/hyperlink" Target="http://crimeblog.dallasnews.com/2015/06/two-men-dead-i-35e-shut-down-in-ellis-county-after-three-hour-chase.html/" TargetMode="External"/><Relationship Id="rId371" Type="http://schemas.openxmlformats.org/officeDocument/2006/relationships/hyperlink" Target="http://www.tucsonnewsnow.com/story/27187359/bicyclist-fatally-struck-by-police-officer-in-unmarked-vehicle" TargetMode="External"/><Relationship Id="rId2052" Type="http://schemas.openxmlformats.org/officeDocument/2006/relationships/hyperlink" Target="http://kutv.com/news/local/1-dead-after-clearfield-officer-involved-shooting" TargetMode="External"/><Relationship Id="rId3450" Type="http://schemas.openxmlformats.org/officeDocument/2006/relationships/hyperlink" Target="http://www.cantonrep.com/news/20170524/update-victim-idd-in-canton-police-involved-shooting" TargetMode="External"/><Relationship Id="rId4501" Type="http://schemas.openxmlformats.org/officeDocument/2006/relationships/hyperlink" Target="http://www.wave3.com/story/37906624/man-shot-in-pleasure-ridge-park" TargetMode="External"/><Relationship Id="rId6259" Type="http://schemas.openxmlformats.org/officeDocument/2006/relationships/hyperlink" Target="https://www.news4jax.com/news/florida/clay-county/suspect-dead-following-deputy-involved-shooting-ccso-says" TargetMode="External"/><Relationship Id="rId3103" Type="http://schemas.openxmlformats.org/officeDocument/2006/relationships/hyperlink" Target="http://www.fatalencounters.org/wp-content/uploads/2013/10/Jamison-Christopher-Anderson.png" TargetMode="External"/><Relationship Id="rId3310" Type="http://schemas.openxmlformats.org/officeDocument/2006/relationships/hyperlink" Target="http://www.tennessean.com/story/news/local/dickson/2017/08/06/dickson-officer-involved-shooting-hickman-county/543650001/" TargetMode="External"/><Relationship Id="rId5068" Type="http://schemas.openxmlformats.org/officeDocument/2006/relationships/hyperlink" Target="https://www.greatfallstribune.com/story/news/2018/08/19/one-person-shot-great-falls-mobile-home-park-dead-police/1039354002/" TargetMode="External"/><Relationship Id="rId6466" Type="http://schemas.openxmlformats.org/officeDocument/2006/relationships/hyperlink" Target="https://fatalencounters.org/wp-content/uploads/2019/07/Jose-Martinez.jpg" TargetMode="External"/><Relationship Id="rId6673" Type="http://schemas.openxmlformats.org/officeDocument/2006/relationships/hyperlink" Target="https://fatalencounters.org/wp-content/uploads/2019/09/Dennis-Carolino.jpg" TargetMode="External"/><Relationship Id="rId6880" Type="http://schemas.openxmlformats.org/officeDocument/2006/relationships/hyperlink" Target="https://www.ajc.com/news/crime--law/dekalb-has-successful-surgery-after-being-shot-another-procedure-scheduled/lNNPOvBCpdieLP1cOJpnLI/" TargetMode="External"/><Relationship Id="rId231" Type="http://schemas.openxmlformats.org/officeDocument/2006/relationships/hyperlink" Target="http://www.kfvs12.com/story/28915534/1-dead-after-standoff-in-marion" TargetMode="External"/><Relationship Id="rId2869" Type="http://schemas.openxmlformats.org/officeDocument/2006/relationships/hyperlink" Target="http://www.nbcnewyork.com/news/local/Cops-Shoot-Kill-Man-Who-Threatened-Mom-With-Screwdriver-in-Queens-NYPD-410718035.html" TargetMode="External"/><Relationship Id="rId5275" Type="http://schemas.openxmlformats.org/officeDocument/2006/relationships/hyperlink" Target="https://www.azcentral.com/story/news/local/arizona/2018/10/10/fbi-investigating-fatal-shooting-chinle-park-service-ranger/1594153002/" TargetMode="External"/><Relationship Id="rId5482" Type="http://schemas.openxmlformats.org/officeDocument/2006/relationships/hyperlink" Target="https://www.fatalencounters.org/wp-content/uploads/2018/12/Jarvis-Randall.jpg" TargetMode="External"/><Relationship Id="rId6119" Type="http://schemas.openxmlformats.org/officeDocument/2006/relationships/hyperlink" Target="https://www.fatalencounters.org/wp-content/uploads/2019/04/KawaskiTrawick.jpg" TargetMode="External"/><Relationship Id="rId6326" Type="http://schemas.openxmlformats.org/officeDocument/2006/relationships/hyperlink" Target="https://fatalencounters.org/wp-content/uploads/2019/06/Harry_Gipson.jpg" TargetMode="External"/><Relationship Id="rId6533" Type="http://schemas.openxmlformats.org/officeDocument/2006/relationships/hyperlink" Target="https://fatalencounters.org/wp-content/uploads/2019/07/Shawan-F.-Allen.jpg" TargetMode="External"/><Relationship Id="rId6740" Type="http://schemas.openxmlformats.org/officeDocument/2006/relationships/hyperlink" Target="https://fatalencounters.org/wp-content/uploads/2019/09/Caleb-Daniel-Peterson.png" TargetMode="External"/><Relationship Id="rId1678" Type="http://schemas.openxmlformats.org/officeDocument/2006/relationships/hyperlink" Target="http://www.cbs58.com/story/31905841/officer-shot-and-suspect-killed-near-73rd-and-mill-road" TargetMode="External"/><Relationship Id="rId1885" Type="http://schemas.openxmlformats.org/officeDocument/2006/relationships/hyperlink" Target="http://www.ksdk.com/news/local/illinois-state-police-investigate-deadly-officer-involved-shooting/255046764" TargetMode="External"/><Relationship Id="rId2729" Type="http://schemas.openxmlformats.org/officeDocument/2006/relationships/hyperlink" Target="http://www.fatalencounters.org/wp-content/uploads/2013/10/Landon-Nobles.png" TargetMode="External"/><Relationship Id="rId2936" Type="http://schemas.openxmlformats.org/officeDocument/2006/relationships/hyperlink" Target="http://www.fatalencounters.org/wp-content/uploads/2013/10/BrettRodriguez.jpg" TargetMode="External"/><Relationship Id="rId4084" Type="http://schemas.openxmlformats.org/officeDocument/2006/relationships/hyperlink" Target="http://www.miamiherald.com/news/local/community/broward/article193481544.html" TargetMode="External"/><Relationship Id="rId4291" Type="http://schemas.openxmlformats.org/officeDocument/2006/relationships/hyperlink" Target="http://www.fatalencounters.org/wp-content/uploads/2018/03/StevenJuarez1.jpg" TargetMode="External"/><Relationship Id="rId5135" Type="http://schemas.openxmlformats.org/officeDocument/2006/relationships/hyperlink" Target="https://www.fatalencounters.org/wp-content/uploads/2018/09/darell-richards-2.jpg" TargetMode="External"/><Relationship Id="rId5342" Type="http://schemas.openxmlformats.org/officeDocument/2006/relationships/hyperlink" Target="https://www.ajc.com/news/crime--law/georgia-deputies-shoot-kill-woman-holding-pellet-gun/jMuOrraqbrkOlIII1mKiXN/?fbclid=IwAR1gCh6-oe5VjiBgg6afNSdTOjfblV2nO4wAqDtvfhRh1pN3tcAbVElF6NI" TargetMode="External"/><Relationship Id="rId6600" Type="http://schemas.openxmlformats.org/officeDocument/2006/relationships/hyperlink" Target="https://fatalencounters.org/wp-content/uploads/2019/08/Troy-Petersen1.jpg" TargetMode="External"/><Relationship Id="rId908" Type="http://schemas.openxmlformats.org/officeDocument/2006/relationships/hyperlink" Target="http://www.mlive.com/news/grand-rapids/index.ssf/2015/10/deputy_shot_with_cross-bow_as.html" TargetMode="External"/><Relationship Id="rId1538" Type="http://schemas.openxmlformats.org/officeDocument/2006/relationships/hyperlink" Target="http://www.stltoday.com/news/local/crime-and-courts/man-fleeing-from-stolen-car-shot-by-st-louis-police/article_e0d7645c-8d67-5335-b84e-678f5b4689c7.html" TargetMode="External"/><Relationship Id="rId4151" Type="http://schemas.openxmlformats.org/officeDocument/2006/relationships/hyperlink" Target="http://www.mlive.com/news/kalamazoo/index.ssf/2018/01/officer_involved_shooting_in_b.html" TargetMode="External"/><Relationship Id="rId5202" Type="http://schemas.openxmlformats.org/officeDocument/2006/relationships/hyperlink" Target="https://www.fatalencounters.org/wp-content/uploads/2018/10/freddie-whitmore-henderson-nv-photos1.jpg" TargetMode="External"/><Relationship Id="rId1745" Type="http://schemas.openxmlformats.org/officeDocument/2006/relationships/hyperlink" Target="http://www.masslive.com/news/worcester/index.ssf/2016/05/jorge_zambrano_may_have_been_s.html" TargetMode="External"/><Relationship Id="rId1952" Type="http://schemas.openxmlformats.org/officeDocument/2006/relationships/hyperlink" Target="http://fox2now.com/2016/07/09/off-duty-officer-shoots-person-trying-to-break-into-south-county-home/" TargetMode="External"/><Relationship Id="rId4011" Type="http://schemas.openxmlformats.org/officeDocument/2006/relationships/hyperlink" Target="https://www.abc15.com/news/region-phoenix-metro/central-phoenix/phoenix-police-officer-involved-in-shooting-near-16th-street_thomas-road" TargetMode="External"/><Relationship Id="rId7167" Type="http://schemas.openxmlformats.org/officeDocument/2006/relationships/hyperlink" Target="http://www.kmbc.com/news/mother-of-man-shot-by-kansas-city-police-sues/25321048" TargetMode="External"/><Relationship Id="rId37" Type="http://schemas.openxmlformats.org/officeDocument/2006/relationships/hyperlink" Target="http://www.azcentral.com/story/news/local/phoenix/2015/07/18/west-phoenix-fatal-officer-involved-shooting-abrk/30349421/" TargetMode="External"/><Relationship Id="rId1605" Type="http://schemas.openxmlformats.org/officeDocument/2006/relationships/hyperlink" Target="http://krcgtv.com/news/local/police-lees-summit-officer-shoots-kills-man-with-knife" TargetMode="External"/><Relationship Id="rId1812" Type="http://schemas.openxmlformats.org/officeDocument/2006/relationships/hyperlink" Target="http://www.fatalencounters.org/wp-content/uploads/2013/10/Lorez-Rayfond-Chambers.jpg" TargetMode="External"/><Relationship Id="rId4968" Type="http://schemas.openxmlformats.org/officeDocument/2006/relationships/hyperlink" Target="http://www.chicagotribune.com/suburbs/lake-county-news-sun/news/ct-lns-officer-involved-shooting-lakemoor-st-0727-story.html" TargetMode="External"/><Relationship Id="rId6183" Type="http://schemas.openxmlformats.org/officeDocument/2006/relationships/hyperlink" Target="https://www.heraldcourier.com/news/bristol-man-fatally-shot-after-multi-agency-manhunt/article_6990a9ac-acad-5a83-a06b-cd86ca48952f.html" TargetMode="External"/><Relationship Id="rId7027" Type="http://schemas.openxmlformats.org/officeDocument/2006/relationships/hyperlink" Target="https://www.ktsm.com/crime/document-names-el-paso-man-shot-killed-by-law-enforcement-after-killing-k-9-agent/" TargetMode="External"/><Relationship Id="rId7234" Type="http://schemas.openxmlformats.org/officeDocument/2006/relationships/hyperlink" Target="http://www.postandcourier.com/article/20131014/PC16/131019685" TargetMode="External"/><Relationship Id="rId3777" Type="http://schemas.openxmlformats.org/officeDocument/2006/relationships/hyperlink" Target="http://www.fatalencounters.org/wp-content/uploads/2013/10/Heather-Denean-Bubrig.jpg" TargetMode="External"/><Relationship Id="rId3984" Type="http://schemas.openxmlformats.org/officeDocument/2006/relationships/hyperlink" Target="http://www.fatalencounters.org/wp-content/uploads/2013/10/Robert-Edwards.png" TargetMode="External"/><Relationship Id="rId4828" Type="http://schemas.openxmlformats.org/officeDocument/2006/relationships/hyperlink" Target="https://www.fatalencounters.org/wp-content/uploads/2018/07/Joey-Lewis-Bronson.jpg" TargetMode="External"/><Relationship Id="rId6390" Type="http://schemas.openxmlformats.org/officeDocument/2006/relationships/hyperlink" Target="https://kdvr.com/2019/06/19/authorities-id-man-killed-after-firing-at-officers-in-jefferson-county/" TargetMode="External"/><Relationship Id="rId698" Type="http://schemas.openxmlformats.org/officeDocument/2006/relationships/hyperlink" Target="http://www.mercurynews.com/bay-area-news/ci_29109035/sunnyvale-police-shoot-armed-male-at-apartment-complex" TargetMode="External"/><Relationship Id="rId2379" Type="http://schemas.openxmlformats.org/officeDocument/2006/relationships/hyperlink" Target="http://www.idahostatesman.com/news/local/crime/article114217323.html" TargetMode="External"/><Relationship Id="rId2586" Type="http://schemas.openxmlformats.org/officeDocument/2006/relationships/hyperlink" Target="http://www.cbs19.tv/news/local/deputy-involved-shooting-one-dead/322096233" TargetMode="External"/><Relationship Id="rId2793" Type="http://schemas.openxmlformats.org/officeDocument/2006/relationships/hyperlink" Target="http://klfy.com/2017/03/21/man-accused-of-shooting-killing-ebrso-deputy-dies-in-hospital/" TargetMode="External"/><Relationship Id="rId3637" Type="http://schemas.openxmlformats.org/officeDocument/2006/relationships/hyperlink" Target="http://www.columbian.com/news/2017/feb/10/officer-involved-shooting-clark-vancouver-sheriff-mall/" TargetMode="External"/><Relationship Id="rId3844" Type="http://schemas.openxmlformats.org/officeDocument/2006/relationships/hyperlink" Target="http://www.fatalencounters.org/wp-content/uploads/2013/10/Calvin-Toney.png" TargetMode="External"/><Relationship Id="rId6043" Type="http://schemas.openxmlformats.org/officeDocument/2006/relationships/hyperlink" Target="https://www.ksat.com/news/man-killed-in-officer-involved-shooting-after-chase-identified-by-sapd?fbclid=IwAR26_8cKwhVIUDRBaYtx95jDxfeD_wBs00YXO9aC5_D8bLIkKiIRMUCNvfQ" TargetMode="External"/><Relationship Id="rId6250" Type="http://schemas.openxmlformats.org/officeDocument/2006/relationships/hyperlink" Target="https://www.courier-tribune.com/news/20190520/suspect-killed-in-officer-involved-shooting" TargetMode="External"/><Relationship Id="rId558" Type="http://schemas.openxmlformats.org/officeDocument/2006/relationships/hyperlink" Target="http://www.nj.com/essex/index.ssf/2013/09/woman_files_multi-million_dollar_suit_against_belleville_after_police_shot_husband_24_times.html" TargetMode="External"/><Relationship Id="rId765" Type="http://schemas.openxmlformats.org/officeDocument/2006/relationships/hyperlink" Target="http://img01.funeralnet.com/obit_photo.php?fullsize=1&amp;id=1540231&amp;clientid=jenkins-soffe&amp;iid=889565" TargetMode="External"/><Relationship Id="rId972" Type="http://schemas.openxmlformats.org/officeDocument/2006/relationships/hyperlink" Target="http://www.trbimg.com/img-55a686d0/turbine/fl-plantation-cop-homeless-shooting-id-2015071-001/304/304x171" TargetMode="External"/><Relationship Id="rId1188" Type="http://schemas.openxmlformats.org/officeDocument/2006/relationships/hyperlink" Target="http://www.miamiherald.com/news/local/crime/article36802032.html" TargetMode="External"/><Relationship Id="rId1395" Type="http://schemas.openxmlformats.org/officeDocument/2006/relationships/hyperlink" Target="http://www.ocregister.com/articles/sheriff-704312-shot-female.html" TargetMode="External"/><Relationship Id="rId2239" Type="http://schemas.openxmlformats.org/officeDocument/2006/relationships/hyperlink" Target="http://www.journalgazette.net/news/local/police-fire/Suspect-in-fatal-police-action-shooting-identified-15658742" TargetMode="External"/><Relationship Id="rId2446" Type="http://schemas.openxmlformats.org/officeDocument/2006/relationships/hyperlink" Target="http://bloximages.newyork1.vip.townnews.com/stltoday.com/content/tncms/assets/v3/editorial/a/10/a10d941a-900a-5652-a074-e61b52a7719b/583db8c4de25c.image.jpg" TargetMode="External"/><Relationship Id="rId2653" Type="http://schemas.openxmlformats.org/officeDocument/2006/relationships/hyperlink" Target="http://www.fatalencounters.org/wp-content/uploads/2013/10/tucker-433.jpg" TargetMode="External"/><Relationship Id="rId2860" Type="http://schemas.openxmlformats.org/officeDocument/2006/relationships/hyperlink" Target="http://www.wwltv.com/news/local/jefferson/mentally-ill-man-fatally-shot-after-charging-at-police/392077868" TargetMode="External"/><Relationship Id="rId3704" Type="http://schemas.openxmlformats.org/officeDocument/2006/relationships/hyperlink" Target="http://wkbn.com/2017/01/07/23-year-old-killed-in-officer-involved-shooting-in-sharon/" TargetMode="External"/><Relationship Id="rId6110" Type="http://schemas.openxmlformats.org/officeDocument/2006/relationships/hyperlink" Target="https://www.orlandosentinel.com/news/breaking-news/os-ne-ocoee-police-department-taser-20190423-story.html" TargetMode="External"/><Relationship Id="rId418" Type="http://schemas.openxmlformats.org/officeDocument/2006/relationships/hyperlink" Target="http://www.sltrib.com/news/justice/1618808-155/officers-shot-lister-police-gill-gun" TargetMode="External"/><Relationship Id="rId625" Type="http://schemas.openxmlformats.org/officeDocument/2006/relationships/hyperlink" Target="http://www.killedbypolice.net/victims/151080.jpg" TargetMode="External"/><Relationship Id="rId832" Type="http://schemas.openxmlformats.org/officeDocument/2006/relationships/hyperlink" Target="http://www.ifiberone.com/news/masoncounty/man-fatally-shot-by-mason-county-sheriff-s-deputy/article_3efae09e-4db8-11e5-a8f9-ff9b94dd2298.html" TargetMode="External"/><Relationship Id="rId1048" Type="http://schemas.openxmlformats.org/officeDocument/2006/relationships/hyperlink" Target="http://www.brownrobinson.com/obituary/4199/Donte_Noble" TargetMode="External"/><Relationship Id="rId1255" Type="http://schemas.openxmlformats.org/officeDocument/2006/relationships/hyperlink" Target="http://www.fatalencounters.org/wp-content/uploads/2013/10/Adams.png" TargetMode="External"/><Relationship Id="rId1462" Type="http://schemas.openxmlformats.org/officeDocument/2006/relationships/hyperlink" Target="http://www.palmbeachpost.com/news/news/crime-law/fire-rescue-one-dead-in-belle-glade-shooting-repor/np6Rf/" TargetMode="External"/><Relationship Id="rId2306" Type="http://schemas.openxmlformats.org/officeDocument/2006/relationships/hyperlink" Target="http://www.fatalencounters.org/wp-content/uploads/2013/10/Brandon-Wayne-Millard.jpg" TargetMode="External"/><Relationship Id="rId2513" Type="http://schemas.openxmlformats.org/officeDocument/2006/relationships/hyperlink" Target="http://www.fatalencounters.org/wp-content/uploads/2013/10/Francisco-Serna.jpg" TargetMode="External"/><Relationship Id="rId3911" Type="http://schemas.openxmlformats.org/officeDocument/2006/relationships/hyperlink" Target="http://www.fatalencounters.org/wp-content/uploads/2013/10/Aquoness-Cathery.jpg" TargetMode="External"/><Relationship Id="rId5669" Type="http://schemas.openxmlformats.org/officeDocument/2006/relationships/hyperlink" Target="https://www.chron.com/news/houston-texas/houston/article/Men-injured-in-friend-s-shooting-spree-in-13514261.php?fbclid=IwAR1imorX7TDpEKgoHqT9hOjKeDWt2ZGzQwuEdk1NYuz6y72zhsjC-5UiSCE" TargetMode="External"/><Relationship Id="rId5876" Type="http://schemas.openxmlformats.org/officeDocument/2006/relationships/hyperlink" Target="https://www.khon2.com/news/local-news/man-dead-after-sheriff-deputy-involved-shooting/1792838641" TargetMode="External"/><Relationship Id="rId1115" Type="http://schemas.openxmlformats.org/officeDocument/2006/relationships/hyperlink" Target="http://www.foxcarolina.com/story/30476491/spartanburg-methodist-college-burglary-suspect-talks-to-fox-carolina" TargetMode="External"/><Relationship Id="rId1322" Type="http://schemas.openxmlformats.org/officeDocument/2006/relationships/hyperlink" Target="http://www.cbs8.com/story/30983403/woman-dog-killed-in-officer-involved-shooting" TargetMode="External"/><Relationship Id="rId2720" Type="http://schemas.openxmlformats.org/officeDocument/2006/relationships/hyperlink" Target="http://6abc.com/news/suspect-shot-and-killed-by-police-in-sw-philadelphia/1983558/" TargetMode="External"/><Relationship Id="rId4478" Type="http://schemas.openxmlformats.org/officeDocument/2006/relationships/hyperlink" Target="http://ktul.com/news/local/osbi-okmulgee-police-shoot-kill-suicidal-man" TargetMode="External"/><Relationship Id="rId5529" Type="http://schemas.openxmlformats.org/officeDocument/2006/relationships/hyperlink" Target="https://www.fox16.com/news/local-news/suspect-dead-after-officer-involved-shooting-in-conway-county/1655163542?fbclid=IwAR3Ecbsjdb7PUxH88Jkw_wx_Jl7PURobx9swJlnAywIDfJlxGIR8b-iDdMA" TargetMode="External"/><Relationship Id="rId6927" Type="http://schemas.openxmlformats.org/officeDocument/2006/relationships/hyperlink" Target="https://fatalencounters.org/wp-content/uploads/2019/10/Shannon-Gail-Rupert.jpg" TargetMode="External"/><Relationship Id="rId7091" Type="http://schemas.openxmlformats.org/officeDocument/2006/relationships/hyperlink" Target="https://www.king5.com/article/news/local/2-federal-way-police-officers-injured-suspect-killed-in-overnight-shooting/281-cec9d9b3-bd4a-48a4-8937-259589341dfd" TargetMode="External"/><Relationship Id="rId3287" Type="http://schemas.openxmlformats.org/officeDocument/2006/relationships/hyperlink" Target="http://www.ocregister.com/2017/08/22/man-shot-killed-by-police-in-encino-believed-to-be-suspect-in-murder-child-abduction/" TargetMode="External"/><Relationship Id="rId4338" Type="http://schemas.openxmlformats.org/officeDocument/2006/relationships/hyperlink" Target="http://www.fatalencounters.org/wp-content/uploads/2018/03/LouisRisinger.jpg" TargetMode="External"/><Relationship Id="rId4685" Type="http://schemas.openxmlformats.org/officeDocument/2006/relationships/hyperlink" Target="https://www.fatalencounters.org/wp-content/uploads/2018/05/Makell-Meyerin.jpg" TargetMode="External"/><Relationship Id="rId4892" Type="http://schemas.openxmlformats.org/officeDocument/2006/relationships/hyperlink" Target="https://www.chron.com/neighborhood/moco/news/article/Woman-killed-in-officer-involved-shooting-in-13067765.php" TargetMode="External"/><Relationship Id="rId5736" Type="http://schemas.openxmlformats.org/officeDocument/2006/relationships/hyperlink" Target="https://www.arkansasonline.com/news/2019/jan/19/two-killed-west-memphis-police-shooting-identified/" TargetMode="External"/><Relationship Id="rId5943" Type="http://schemas.openxmlformats.org/officeDocument/2006/relationships/hyperlink" Target="https://www.fatalencounters.org/wp-content/uploads/2019/03/Danny-Brogdon.jpg" TargetMode="External"/><Relationship Id="rId2096" Type="http://schemas.openxmlformats.org/officeDocument/2006/relationships/hyperlink" Target="http://www.jacksonsun.com/story/news/crime/2016/08/16/suspect-officer-invovled-shooting-dies/88835702/" TargetMode="External"/><Relationship Id="rId3494" Type="http://schemas.openxmlformats.org/officeDocument/2006/relationships/hyperlink" Target="http://www.fatalencounters.org/wp-content/uploads/2013/10/Peter-Selis.jpg" TargetMode="External"/><Relationship Id="rId4545" Type="http://schemas.openxmlformats.org/officeDocument/2006/relationships/hyperlink" Target="http://www.fatalencounters.org/wp-content/uploads/2018/04/Lonnie-Marcel-Bowen.jpg" TargetMode="External"/><Relationship Id="rId4752" Type="http://schemas.openxmlformats.org/officeDocument/2006/relationships/hyperlink" Target="http://www.tdtnews.com/news/article_fcc45790-6dae-11e8-9be9-b7e6bd80da97.html" TargetMode="External"/><Relationship Id="rId5803" Type="http://schemas.openxmlformats.org/officeDocument/2006/relationships/hyperlink" Target="https://www.9news.com/article/news/crime/dpd-2-kids-were-inside-car-when-federal-agent-shot-man-woman/73-7bdd7b28-7cc4-42dd-8579-4d279f6830a5" TargetMode="External"/><Relationship Id="rId3147" Type="http://schemas.openxmlformats.org/officeDocument/2006/relationships/hyperlink" Target="http://abc30.com/news/suspect-killed-and-2-officers-injured-in-officer-involved-shooting-in-avenal/2253614/" TargetMode="External"/><Relationship Id="rId3354" Type="http://schemas.openxmlformats.org/officeDocument/2006/relationships/hyperlink" Target="http://www.presstelegram.com/general-news/20170717/2-bodies-found-in-seal-beach-apartment-are-that-of-a-los-alamitos-police-captain-and-westminsters-city-clerk" TargetMode="External"/><Relationship Id="rId3561" Type="http://schemas.openxmlformats.org/officeDocument/2006/relationships/hyperlink" Target="http://www.kivitv.com/news/boise-foothills-officer-involved-shooting" TargetMode="External"/><Relationship Id="rId4405" Type="http://schemas.openxmlformats.org/officeDocument/2006/relationships/hyperlink" Target="http://www.fatalencounters.org/wp-content/uploads/2018/03/JasonRaffaeli.jpg" TargetMode="External"/><Relationship Id="rId4612" Type="http://schemas.openxmlformats.org/officeDocument/2006/relationships/hyperlink" Target="https://www.whio.com/news/crime--law/crime-scene-tape-kettering-apartments/jT6GaBjSGj7OrwLnbGdk0O/" TargetMode="External"/><Relationship Id="rId275" Type="http://schemas.openxmlformats.org/officeDocument/2006/relationships/hyperlink" Target="http://sanfrancisco.cbslocal.com/2015/04/14/armed-robbery-suspect-killed-by-sunnyvale-police-was-army-veteran/" TargetMode="External"/><Relationship Id="rId482" Type="http://schemas.openxmlformats.org/officeDocument/2006/relationships/hyperlink" Target="http://blogs.ocweekly.com/navelgazing/2014/03/police_shooting_in_anaheim_lea.php?page=2" TargetMode="External"/><Relationship Id="rId2163" Type="http://schemas.openxmlformats.org/officeDocument/2006/relationships/hyperlink" Target="http://www.kvue.com/news/local/suspect-dead-after-chase-and-gunfire-in-bell-county/311518359" TargetMode="External"/><Relationship Id="rId2370" Type="http://schemas.openxmlformats.org/officeDocument/2006/relationships/hyperlink" Target="http://wspa.com/2016/11/08/nude-irrational-driver-dies-after-tasing-deputies-say/" TargetMode="External"/><Relationship Id="rId3007" Type="http://schemas.openxmlformats.org/officeDocument/2006/relationships/hyperlink" Target="http://www.abc15.com/news/region-phoenix-metro/central-phoenix/phoenix-police-officer-involved-shooting-in-west-phoenix" TargetMode="External"/><Relationship Id="rId3214" Type="http://schemas.openxmlformats.org/officeDocument/2006/relationships/hyperlink" Target="http://kxan.com/2017/04/24/suspect-dead-after-exchanging-gunfire-with-officers-at-killeen-marketplace/" TargetMode="External"/><Relationship Id="rId3421" Type="http://schemas.openxmlformats.org/officeDocument/2006/relationships/hyperlink" Target="http://abc7.com/news/armed-female-suspect-killed-in-lb-officer-involved-shooting/2071391/" TargetMode="External"/><Relationship Id="rId6577" Type="http://schemas.openxmlformats.org/officeDocument/2006/relationships/hyperlink" Target="https://www.koaa.com/news/covering-colorado/officer-involved-shooting-in-colorado-springs" TargetMode="External"/><Relationship Id="rId6784" Type="http://schemas.openxmlformats.org/officeDocument/2006/relationships/hyperlink" Target="https://fatalencounters.org/wp-content/uploads/2019/10/Stephen-Walter-Gagliani.jpg" TargetMode="External"/><Relationship Id="rId6991" Type="http://schemas.openxmlformats.org/officeDocument/2006/relationships/hyperlink" Target="https://www.wbrc.com/2019/12/13/reports-officer-injured-suspect-dead-after-shooting-ozark/" TargetMode="External"/><Relationship Id="rId135" Type="http://schemas.openxmlformats.org/officeDocument/2006/relationships/hyperlink" Target="http://www.ksat.com/news/father-says-mental-issues-triggered-gun-fight-with-son" TargetMode="External"/><Relationship Id="rId342" Type="http://schemas.openxmlformats.org/officeDocument/2006/relationships/hyperlink" Target="http://www.msnewsnow.com/story/27625936/madison-coroner-called-to-hwy-51-for-officer-involved-shooting" TargetMode="External"/><Relationship Id="rId2023" Type="http://schemas.openxmlformats.org/officeDocument/2006/relationships/hyperlink" Target="http://www.fatalencounters.org/wp-content/uploads/2013/10/ABivens.jpg" TargetMode="External"/><Relationship Id="rId2230" Type="http://schemas.openxmlformats.org/officeDocument/2006/relationships/hyperlink" Target="http://www.wbbjtv.com/2016/10/06/sheriff-confirms-officer-involved-shooting-gibson-county/" TargetMode="External"/><Relationship Id="rId5179" Type="http://schemas.openxmlformats.org/officeDocument/2006/relationships/hyperlink" Target="https://www.fatalencounters.org/wp-content/uploads/2018/09/robert-greeson.jpg" TargetMode="External"/><Relationship Id="rId5386" Type="http://schemas.openxmlformats.org/officeDocument/2006/relationships/hyperlink" Target="https://www.minnpost.com/glean/2018/11/man-killed-by-minneapolis-police-on-friday-identified/?fbclid=IwAR3hRL4m-GFY51i-dDTSgUdMjvSF-aWCNJvvo2qpLu4j825ksnHi0RtJ6c4" TargetMode="External"/><Relationship Id="rId5593" Type="http://schemas.openxmlformats.org/officeDocument/2006/relationships/hyperlink" Target="https://www.nbcbayarea.com/news/local/San-Jose-Police-Shoot-Kill-Woman-After-Misidentifying-Her-as-Attempted-Murder-Suspect-503582441.html" TargetMode="External"/><Relationship Id="rId6437" Type="http://schemas.openxmlformats.org/officeDocument/2006/relationships/hyperlink" Target="https://fatalencounters.org/wp-content/uploads/2019/07/Terry-Allen-Bubba-Payne.jpg" TargetMode="External"/><Relationship Id="rId6644" Type="http://schemas.openxmlformats.org/officeDocument/2006/relationships/hyperlink" Target="https://www.nwitimes.com/news/local/crime-and-courts/update-man-identified-after-police-fire-shots-during-traffic-stop/article_5a16089c-66ee-5485-8268-08ae353e3b8f.html" TargetMode="External"/><Relationship Id="rId202" Type="http://schemas.openxmlformats.org/officeDocument/2006/relationships/hyperlink" Target="http://www.kob.com/article/stories/s3798987.shtml" TargetMode="External"/><Relationship Id="rId4195" Type="http://schemas.openxmlformats.org/officeDocument/2006/relationships/hyperlink" Target="http://www.chron.com/houston/article/Police-investigate-officer-involved-shooting-in-12543125.php" TargetMode="External"/><Relationship Id="rId5039" Type="http://schemas.openxmlformats.org/officeDocument/2006/relationships/hyperlink" Target="https://www.fatalencounters.org/wp-content/uploads/2018/08/WilliamFuller.jpg" TargetMode="External"/><Relationship Id="rId5246" Type="http://schemas.openxmlformats.org/officeDocument/2006/relationships/hyperlink" Target="https://www.fatalencounters.org/wp-content/uploads/2018/10/James-Edward-Martin.jpg" TargetMode="External"/><Relationship Id="rId5453" Type="http://schemas.openxmlformats.org/officeDocument/2006/relationships/hyperlink" Target="https://abcnews.go.com/US/police-detail-texas-border-patrol-agent-allegedly-targeted/story?id=57871672" TargetMode="External"/><Relationship Id="rId6504" Type="http://schemas.openxmlformats.org/officeDocument/2006/relationships/hyperlink" Target="https://www.sbsun.com/2019/07/16/man-with-knife-sent-to-hospital-after-deputy-involved-shooting-in-chino-hills/" TargetMode="External"/><Relationship Id="rId6851" Type="http://schemas.openxmlformats.org/officeDocument/2006/relationships/hyperlink" Target="https://fatalencounters.org/wp-content/uploads/2019/10/Joseph-Francis-Cimino.jpg" TargetMode="External"/><Relationship Id="rId1789" Type="http://schemas.openxmlformats.org/officeDocument/2006/relationships/hyperlink" Target="http://www.parkerliveonline.com/2016/06/04/officer-involved-shooting-at-100-homes-one-dead/" TargetMode="External"/><Relationship Id="rId1996" Type="http://schemas.openxmlformats.org/officeDocument/2006/relationships/hyperlink" Target="http://www.pe.com/articles/shooting-808998-involved-deputy.html" TargetMode="External"/><Relationship Id="rId4055" Type="http://schemas.openxmlformats.org/officeDocument/2006/relationships/hyperlink" Target="http://www.fatalencounters.org/wp-content/uploads/2018/01/Robert-Cassidy-Hansen.jpg" TargetMode="External"/><Relationship Id="rId4262" Type="http://schemas.openxmlformats.org/officeDocument/2006/relationships/hyperlink" Target="http://ktul.com/news/local/deputies-respond-to-man-barricading-himself-in-wagoner-county-home" TargetMode="External"/><Relationship Id="rId5106" Type="http://schemas.openxmlformats.org/officeDocument/2006/relationships/hyperlink" Target="https://cw39.com/2018/08/27/hcso-man-fatally-shot-by-deputy-nightclub-parking-lot-after-altercation/" TargetMode="External"/><Relationship Id="rId5660" Type="http://schemas.openxmlformats.org/officeDocument/2006/relationships/hyperlink" Target="https://www.bozemandailychronicle.com/news/crime/officer-shoots-kills-man-at-home-in-south-bozeman/article_c8d9ccce-aba2-517f-bab7-951c019920aa.html" TargetMode="External"/><Relationship Id="rId6711" Type="http://schemas.openxmlformats.org/officeDocument/2006/relationships/hyperlink" Target="http://www.kkoh.com/2019/09/03/officer-involved-shooting-under-investigation-in-lyon-county/" TargetMode="External"/><Relationship Id="rId1649" Type="http://schemas.openxmlformats.org/officeDocument/2006/relationships/hyperlink" Target="http://assets.nydailynews.com/polopoly_fs/1.2575134.1458763114!/img/httpImage/image.jpg_gen/derivatives/article_635/axe24n-4-web.jpg" TargetMode="External"/><Relationship Id="rId1856" Type="http://schemas.openxmlformats.org/officeDocument/2006/relationships/hyperlink" Target="http://www.fatalencounters.org/wp-content/uploads/2013/10/Terry-MaddoxakaGary-Porter.png" TargetMode="External"/><Relationship Id="rId2907" Type="http://schemas.openxmlformats.org/officeDocument/2006/relationships/hyperlink" Target="http://www.chron.com/neighborhood/pasadena/news/article/Harris-County-deputies-on-scene-of-11750103.php" TargetMode="External"/><Relationship Id="rId3071" Type="http://schemas.openxmlformats.org/officeDocument/2006/relationships/hyperlink" Target="http://www.kesq.com/news/crime/police-responding-to-twentynine-palms-shooting/273971220" TargetMode="External"/><Relationship Id="rId5313" Type="http://schemas.openxmlformats.org/officeDocument/2006/relationships/hyperlink" Target="https://www.fatalencounters.org/wp-content/uploads/2018/10/EdwardZumski.jpg" TargetMode="External"/><Relationship Id="rId5520" Type="http://schemas.openxmlformats.org/officeDocument/2006/relationships/hyperlink" Target="https://www.kwch.com/content/news/Wichita-man-killed-in-Okla-officer-involved-shooting-502366371.html" TargetMode="External"/><Relationship Id="rId1509" Type="http://schemas.openxmlformats.org/officeDocument/2006/relationships/hyperlink" Target="https://www.washingtonpost.com/local/public-safety/dc-police-officer-involved-in-shooting-in-ne-washington/2016/02/01/236346f6-c8cd-11e5-a7b2-5a2f824b02c9_story.html" TargetMode="External"/><Relationship Id="rId1716" Type="http://schemas.openxmlformats.org/officeDocument/2006/relationships/hyperlink" Target="http://www.fatalencounters.org/wp-content/uploads/2013/10/Macomber.png" TargetMode="External"/><Relationship Id="rId1923" Type="http://schemas.openxmlformats.org/officeDocument/2006/relationships/hyperlink" Target="http://www.rgj.com/story/news/2016/07/03/police-investigating-shooting-near-wingfest/86659740/" TargetMode="External"/><Relationship Id="rId4122" Type="http://schemas.openxmlformats.org/officeDocument/2006/relationships/hyperlink" Target="http://www.fatalencounters.org/wp-content/uploads/2018/01/Geraldine-Townsend.png" TargetMode="External"/><Relationship Id="rId3888" Type="http://schemas.openxmlformats.org/officeDocument/2006/relationships/hyperlink" Target="https://www.wimberleyview.com/articles/2017/11/24/wimberley-man-dead-after-officer-involved-shooting" TargetMode="External"/><Relationship Id="rId4939" Type="http://schemas.openxmlformats.org/officeDocument/2006/relationships/hyperlink" Target="http://www.azfamily.com/story/38700298/breaking-deputies-involved-in-shooting-at-casino-del-sol" TargetMode="External"/><Relationship Id="rId6087" Type="http://schemas.openxmlformats.org/officeDocument/2006/relationships/hyperlink" Target="https://www.chieftain.com/news/20190410/pueblo-police-id-man-killed-in-tuesday-night-shootout" TargetMode="External"/><Relationship Id="rId6294" Type="http://schemas.openxmlformats.org/officeDocument/2006/relationships/hyperlink" Target="https://fox4kc.com/2019/05/31/1-dead-2-hurt-in-shootout-near-cameron-involving-missouri-highway-patrol/" TargetMode="External"/><Relationship Id="rId7138" Type="http://schemas.openxmlformats.org/officeDocument/2006/relationships/hyperlink" Target="http://www.chron.com/news/houston-texas/houston/article/HPD-officer-wounded-suspect-killed-in-shootout-4362891.php" TargetMode="External"/><Relationship Id="rId2697" Type="http://schemas.openxmlformats.org/officeDocument/2006/relationships/hyperlink" Target="http://miami.cbslocal.com/2017/06/05/police-involved-shooting-outside-miami-correctional-facility/" TargetMode="External"/><Relationship Id="rId3748" Type="http://schemas.openxmlformats.org/officeDocument/2006/relationships/hyperlink" Target="http://www.necn.com/news/new-england/Police-Searching-for-Armed-Suspect-in-Norwich-452886763.html" TargetMode="External"/><Relationship Id="rId6154" Type="http://schemas.openxmlformats.org/officeDocument/2006/relationships/hyperlink" Target="https://gazette.com/news/man-fatally-shot-after-he-allegedly-brandished-weapon-approached-officers/article_2b63024a-686d-11e9-992b-efb8089b08a1.html" TargetMode="External"/><Relationship Id="rId6361" Type="http://schemas.openxmlformats.org/officeDocument/2006/relationships/hyperlink" Target="https://www.nbcdfw.com/news/local/1-Dead-After-Shooting-Involving-Farmers-Branch-Police-511226112.html?fbclid=IwAR3H2CMCOdMeQirf9FJMHJlPCU40tbOr92ugXrja7XFyZpsx_-YXNC4jl00" TargetMode="External"/><Relationship Id="rId7205" Type="http://schemas.openxmlformats.org/officeDocument/2006/relationships/hyperlink" Target="http://www.marshallandmarshallfd.com/sitemaker/memsol_data/1378/995391/995391_profile_pic.jpg?1468375018" TargetMode="External"/><Relationship Id="rId669" Type="http://schemas.openxmlformats.org/officeDocument/2006/relationships/hyperlink" Target="http://www.kpho.com/story/30624737/mcso-deputy-shoots-kills-suicidal-man-who-pulled-out-gun" TargetMode="External"/><Relationship Id="rId876" Type="http://schemas.openxmlformats.org/officeDocument/2006/relationships/hyperlink" Target="http://www.komonews.com/news/local/Officials-Man-dies-during-altercation-with-police-in-Tulalip-328375921.html" TargetMode="External"/><Relationship Id="rId1299" Type="http://schemas.openxmlformats.org/officeDocument/2006/relationships/hyperlink" Target="http://www.modbee.com/news/local/crime/article53316480.html" TargetMode="External"/><Relationship Id="rId2557" Type="http://schemas.openxmlformats.org/officeDocument/2006/relationships/hyperlink" Target="http://www.orlandosentinel.com/news/breaking-news/os-polk-deputies-kill-woman-20161224-story.html" TargetMode="External"/><Relationship Id="rId3608" Type="http://schemas.openxmlformats.org/officeDocument/2006/relationships/hyperlink" Target="http://www.abcactionnews.com/news/local-news/barricaded-man-exchanges-gunfire-with-deputies-in-lake-alfred" TargetMode="External"/><Relationship Id="rId3955" Type="http://schemas.openxmlformats.org/officeDocument/2006/relationships/hyperlink" Target="http://www.cbs8.com/story/37034746/man-killed-in-officer-involved-shooting-in-point-loma" TargetMode="External"/><Relationship Id="rId5170" Type="http://schemas.openxmlformats.org/officeDocument/2006/relationships/hyperlink" Target="https://katv.com/news/local/jacksonville-police-identify-man-shot-by-officer-after-victims-stabbed" TargetMode="External"/><Relationship Id="rId6014" Type="http://schemas.openxmlformats.org/officeDocument/2006/relationships/hyperlink" Target="https://www.modbee.com/news/local/crime/article228278949.html" TargetMode="External"/><Relationship Id="rId6221" Type="http://schemas.openxmlformats.org/officeDocument/2006/relationships/hyperlink" Target="https://www.baltimoresun.com/news/maryland/crime/bs-md-officer-shooting-cecil-20190514-story.html" TargetMode="External"/><Relationship Id="rId529" Type="http://schemas.openxmlformats.org/officeDocument/2006/relationships/hyperlink" Target="http://www.myfoxmemphis.com/story/24329596/medical-examiner-rules-cause-of-death-aaron-dumas" TargetMode="External"/><Relationship Id="rId736" Type="http://schemas.openxmlformats.org/officeDocument/2006/relationships/hyperlink" Target="https://mgtvwric.files.wordpress.com/2015/08/frank-short.jpg" TargetMode="External"/><Relationship Id="rId1159" Type="http://schemas.openxmlformats.org/officeDocument/2006/relationships/hyperlink" Target="http://www.gannett-cdn.com/-mm-/a2664058176a9ff4cae92b8cdc4e8763a554b8c9/c=50-20-609-440&amp;r=x404&amp;c=534x401/local/-/media/2015/08/20/DetroitFreePress/DetroitFreePress/635756876412518122-leviere-ransom.JPG" TargetMode="External"/><Relationship Id="rId1366" Type="http://schemas.openxmlformats.org/officeDocument/2006/relationships/hyperlink" Target="http://www.firstcoastnews.com/news/crime/deputy-armed-suspect-injured-in-ocala-shootout/31906258" TargetMode="External"/><Relationship Id="rId2417" Type="http://schemas.openxmlformats.org/officeDocument/2006/relationships/hyperlink" Target="http://www.thedailyworld.com/news/woman-dies-after-altercation-with-hoquiam-police/" TargetMode="External"/><Relationship Id="rId2764" Type="http://schemas.openxmlformats.org/officeDocument/2006/relationships/hyperlink" Target="http://www.delawareonline.com/story/news/crime/2017/03/29/police-investigate-apparent-shooting-near-new-castle/99806750/" TargetMode="External"/><Relationship Id="rId2971" Type="http://schemas.openxmlformats.org/officeDocument/2006/relationships/hyperlink" Target="http://kron4.com/2017/05/29/man-killed-in-officer-involved-shooting-in-vacaville/" TargetMode="External"/><Relationship Id="rId3815" Type="http://schemas.openxmlformats.org/officeDocument/2006/relationships/hyperlink" Target="http://newschannel9.com/news/local/tbi-special-agents-investigating-officer-involved-shooting-in-clinton" TargetMode="External"/><Relationship Id="rId5030" Type="http://schemas.openxmlformats.org/officeDocument/2006/relationships/hyperlink" Target="http://www.columbiadailyherald.com/news/20180808/tbi-investigating-deadly-officer-involved-shooting-in-smith-county?rssfeed=true" TargetMode="External"/><Relationship Id="rId943" Type="http://schemas.openxmlformats.org/officeDocument/2006/relationships/hyperlink" Target="http://crimeblog.dallasnews.com/2015/10/gunman-killed-by-police-after-overnight-chase-standoff-in-mesquite.html/" TargetMode="External"/><Relationship Id="rId1019" Type="http://schemas.openxmlformats.org/officeDocument/2006/relationships/hyperlink" Target="http://pix11.com/2015/05/26/police-shoot-man-in-brooklyn-school-parking-lot/" TargetMode="External"/><Relationship Id="rId1573" Type="http://schemas.openxmlformats.org/officeDocument/2006/relationships/hyperlink" Target="http://www.latimes.com/local/lanow/la-me-ln-man-shot-police-sylmar-identified-20160408-story.html" TargetMode="External"/><Relationship Id="rId1780" Type="http://schemas.openxmlformats.org/officeDocument/2006/relationships/hyperlink" Target="http://www.azcentral.com/story/news/local/phoenix/2016/06/01/police-kill-armed-man-west-phoenix-strip-mall/85233632/" TargetMode="External"/><Relationship Id="rId2624" Type="http://schemas.openxmlformats.org/officeDocument/2006/relationships/hyperlink" Target="http://www.stltoday.com/news/local/crime-and-courts/man-shot-to-death-by-st-louis-officer-in-hamilton/article_eda69e0b-6779-544f-963e-43cf41dd5972.html" TargetMode="External"/><Relationship Id="rId2831" Type="http://schemas.openxmlformats.org/officeDocument/2006/relationships/hyperlink" Target="http://www.fatalencounters.org/wp-content/uploads/2013/10/Darryl-L.-Fuqua.png" TargetMode="External"/><Relationship Id="rId5987" Type="http://schemas.openxmlformats.org/officeDocument/2006/relationships/hyperlink" Target="https://www.fatalencounters.org/wp-content/uploads/2019/03/Shawn-Taylor-Watie.jpg" TargetMode="External"/><Relationship Id="rId72" Type="http://schemas.openxmlformats.org/officeDocument/2006/relationships/hyperlink" Target="http://www.mercedsunstar.com/news/local/crime/article26705443.html" TargetMode="External"/><Relationship Id="rId803" Type="http://schemas.openxmlformats.org/officeDocument/2006/relationships/hyperlink" Target="http://www.wvtm13.com/news/cullman-county-authorities-identify-man-shot-by-arab-police/34883830" TargetMode="External"/><Relationship Id="rId1226" Type="http://schemas.openxmlformats.org/officeDocument/2006/relationships/hyperlink" Target="http://www.gannett-cdn.com/-mm-/4f06c4f5fcf7b754de0784819b8902461d8778a1/c=32-0-706-898&amp;r=537&amp;c=0-0-534-712/local/-/media/2016/01/03/SiouxFalls/SiouxFalls/635873772864048745-535355-1001746786568488-7010671129919608743-n.jpg.jpeg" TargetMode="External"/><Relationship Id="rId1433" Type="http://schemas.openxmlformats.org/officeDocument/2006/relationships/hyperlink" Target="http://www.tucsonnewsnow.com/story/31383490/suspect-dies-after-officer-involved-shooting-in-gilbert" TargetMode="External"/><Relationship Id="rId1640" Type="http://schemas.openxmlformats.org/officeDocument/2006/relationships/hyperlink" Target="http://www.wbrc.com/story/31460532/man-dead-following-alabama-police-chase-shooting" TargetMode="External"/><Relationship Id="rId4589" Type="http://schemas.openxmlformats.org/officeDocument/2006/relationships/hyperlink" Target="http://www.fatalencounters.org/wp-content/uploads/2018/05/Joshua-Lee-Ewing.jpg" TargetMode="External"/><Relationship Id="rId4796" Type="http://schemas.openxmlformats.org/officeDocument/2006/relationships/hyperlink" Target="https://www.fatalencounters.org/wp-content/uploads/2018/06/antwon-rose.jpg" TargetMode="External"/><Relationship Id="rId5847" Type="http://schemas.openxmlformats.org/officeDocument/2006/relationships/hyperlink" Target="https://www.courier-journal.com/story/news/crime/2019/02/12/skylar-williams-ohio-state-abduction-kentucky-shooting-possibly-linked/2850257002/" TargetMode="External"/><Relationship Id="rId1500" Type="http://schemas.openxmlformats.org/officeDocument/2006/relationships/hyperlink" Target="http://6abc.com/1246670/" TargetMode="External"/><Relationship Id="rId3398" Type="http://schemas.openxmlformats.org/officeDocument/2006/relationships/hyperlink" Target="http://kron4.com/2017/06/17/antioch-man-killed-in-officer-involved-shooting/" TargetMode="External"/><Relationship Id="rId4449" Type="http://schemas.openxmlformats.org/officeDocument/2006/relationships/hyperlink" Target="http://www.fatalencounters.org/wp-content/uploads/2018/04/EdwardMcCrae.jpg" TargetMode="External"/><Relationship Id="rId4656" Type="http://schemas.openxmlformats.org/officeDocument/2006/relationships/hyperlink" Target="https://bangordailynews.com/2018/05/14/news/state/maine-man-killed-in-armed-confrontation-with-maine-state-police/" TargetMode="External"/><Relationship Id="rId4863" Type="http://schemas.openxmlformats.org/officeDocument/2006/relationships/hyperlink" Target="http://www.kcchronicle.com/2018/07/04/geneva-officer-kane-deputy-injured-in-fatal-south-elgin-standoff/a3laj87/" TargetMode="External"/><Relationship Id="rId5707" Type="http://schemas.openxmlformats.org/officeDocument/2006/relationships/hyperlink" Target="https://www.fatalencounters.org/wp-content/uploads/2019/01/NathanThoe.jpg" TargetMode="External"/><Relationship Id="rId5914" Type="http://schemas.openxmlformats.org/officeDocument/2006/relationships/hyperlink" Target="https://www.thedenverchannel.com/news/local-news/suspect-who-died-in-officer-involved-shooting-at-park-meadows-mall-identified-by-coroners-office" TargetMode="External"/><Relationship Id="rId7062" Type="http://schemas.openxmlformats.org/officeDocument/2006/relationships/hyperlink" Target="https://www.11alive.com/article/news/local/officer-involved-shooting-clayton-county/85-6bcbc6b6-355e-4ae5-837a-ec267f471161" TargetMode="External"/><Relationship Id="rId3258" Type="http://schemas.openxmlformats.org/officeDocument/2006/relationships/hyperlink" Target="http://www.latimes.com/local/lanow/la-me-ln-ronald-reagan-building-20170906-story.html" TargetMode="External"/><Relationship Id="rId3465" Type="http://schemas.openxmlformats.org/officeDocument/2006/relationships/hyperlink" Target="http://www.ktvq.com/story/35455462/suspect-in-deputy-slaying-dies-from-injuries" TargetMode="External"/><Relationship Id="rId3672" Type="http://schemas.openxmlformats.org/officeDocument/2006/relationships/hyperlink" Target="http://www.fatalencounters.org/wp-content/uploads/2013/10/Klein.jpg" TargetMode="External"/><Relationship Id="rId4309" Type="http://schemas.openxmlformats.org/officeDocument/2006/relationships/hyperlink" Target="http://www.arklatexhomepage.com/news/local-news/shooting-in-red-river-county/1004358893" TargetMode="External"/><Relationship Id="rId4516" Type="http://schemas.openxmlformats.org/officeDocument/2006/relationships/hyperlink" Target="http://tucson.com/news/local/man-dies-after-being-shot-by-tucson-police-officer-answering/article_f8975480-3cdd-11e8-a4c5-c3f92581fb2d.html" TargetMode="External"/><Relationship Id="rId4723" Type="http://schemas.openxmlformats.org/officeDocument/2006/relationships/hyperlink" Target="http://www.kitv.com/story/38333352/one-man-is-dead-after-an-officer-involved-shooting-in-waipahu" TargetMode="External"/><Relationship Id="rId179" Type="http://schemas.openxmlformats.org/officeDocument/2006/relationships/hyperlink" Target="http://www.clickondetroit.com/news/man-attacks-officer-shot-by-police-trenton/33276844" TargetMode="External"/><Relationship Id="rId386" Type="http://schemas.openxmlformats.org/officeDocument/2006/relationships/hyperlink" Target="http://www.elkharttruth.com/news/crime-fire-courts/2014/09/29/Joseph-Adam-Lee-died-from-multiple-gunshot-wounds-shooting-investigation-continues.html" TargetMode="External"/><Relationship Id="rId593" Type="http://schemas.openxmlformats.org/officeDocument/2006/relationships/hyperlink" Target="http://www.killedbypolice.net/victims/150963.jpg" TargetMode="External"/><Relationship Id="rId2067" Type="http://schemas.openxmlformats.org/officeDocument/2006/relationships/hyperlink" Target="http://www.fatalencounters.org/wp-content/uploads/2013/10/Darnell-Wicker.jpg" TargetMode="External"/><Relationship Id="rId2274" Type="http://schemas.openxmlformats.org/officeDocument/2006/relationships/hyperlink" Target="http://kxan.com/2016/10/16/officer-involved-shooting-at-apartment-complex/" TargetMode="External"/><Relationship Id="rId2481" Type="http://schemas.openxmlformats.org/officeDocument/2006/relationships/hyperlink" Target="http://www.sltrib.com/news/4672455-155/two-people-dead-in-officer-involved-shooting" TargetMode="External"/><Relationship Id="rId3118" Type="http://schemas.openxmlformats.org/officeDocument/2006/relationships/hyperlink" Target="http://www.wtvm.com/story/36286963/gbi-investigates-fatal-columbus-officer-involved-shooting-suspect-idd" TargetMode="External"/><Relationship Id="rId3325" Type="http://schemas.openxmlformats.org/officeDocument/2006/relationships/hyperlink" Target="http://www.sbsun.com/general-news/20170727/barricaded-suspect-shot-by-deputies-in-grand-terrace-neighbors-evacuated" TargetMode="External"/><Relationship Id="rId3532" Type="http://schemas.openxmlformats.org/officeDocument/2006/relationships/hyperlink" Target="http://6abc.com/news/deadly-police-involved-shooting-at-nj-turnpike-service-area-/1826497/" TargetMode="External"/><Relationship Id="rId4930" Type="http://schemas.openxmlformats.org/officeDocument/2006/relationships/hyperlink" Target="http://www.hawaiinewsnow.com/story/38673493/3-accused-of-helping-suspected-big-island-cop-killer-to-appear-in-court" TargetMode="External"/><Relationship Id="rId6688" Type="http://schemas.openxmlformats.org/officeDocument/2006/relationships/hyperlink" Target="https://www.tuscaloosanews.com/news/20190828/gordo-man-killed-in-officer-involved-shooting" TargetMode="External"/><Relationship Id="rId246" Type="http://schemas.openxmlformats.org/officeDocument/2006/relationships/hyperlink" Target="http://www.nytimes.com/2015/04/24/nyregion/man-killed-by-police-in-queens-had-a-history-of-instability.html?_r=0" TargetMode="External"/><Relationship Id="rId453" Type="http://schemas.openxmlformats.org/officeDocument/2006/relationships/hyperlink" Target="http://www.kansascity.com/2014/05/20/5035276/kck-standoff-suspect-killed-by.html" TargetMode="External"/><Relationship Id="rId660" Type="http://schemas.openxmlformats.org/officeDocument/2006/relationships/hyperlink" Target="http://www.killedbypolice.net/victims/151006.jpg" TargetMode="External"/><Relationship Id="rId1083" Type="http://schemas.openxmlformats.org/officeDocument/2006/relationships/hyperlink" Target="http://www.killedbypolice.net/victims/150969.jpg" TargetMode="External"/><Relationship Id="rId1290" Type="http://schemas.openxmlformats.org/officeDocument/2006/relationships/hyperlink" Target="http://media.graytvinc.com/images/690*388/Selsor.jpg" TargetMode="External"/><Relationship Id="rId2134" Type="http://schemas.openxmlformats.org/officeDocument/2006/relationships/hyperlink" Target="http://www.kxii.com/content/news/Officer-involved-in-fatal-shooting-in-Cooke-County.html" TargetMode="External"/><Relationship Id="rId2341" Type="http://schemas.openxmlformats.org/officeDocument/2006/relationships/hyperlink" Target="http://www.waltontribune.com/article_0b26a9f6-a1d6-11e6-8613-eb8d373e2d97.html" TargetMode="External"/><Relationship Id="rId5497" Type="http://schemas.openxmlformats.org/officeDocument/2006/relationships/hyperlink" Target="https://www.turnto23.com/news/local-news/man-identified-in-officer-involved-shooting-in-arvin" TargetMode="External"/><Relationship Id="rId6548" Type="http://schemas.openxmlformats.org/officeDocument/2006/relationships/hyperlink" Target="https://fatalencounters.org/wp-content/uploads/2019/08/todd-messnerp.png" TargetMode="External"/><Relationship Id="rId6895" Type="http://schemas.openxmlformats.org/officeDocument/2006/relationships/hyperlink" Target="https://www.wndu.com/content/news/Bristol-police-officer-on-administrative-leave-following--563369502.html" TargetMode="External"/><Relationship Id="rId106" Type="http://schemas.openxmlformats.org/officeDocument/2006/relationships/hyperlink" Target="http://chronicle.augusta.com/sites/default/files/imagecache/superphoto/14501857.jpg" TargetMode="External"/><Relationship Id="rId313" Type="http://schemas.openxmlformats.org/officeDocument/2006/relationships/hyperlink" Target="http://6abc.com/news/sources-suspect-shot-killed-by-police-in-drexel-hill/455767/" TargetMode="External"/><Relationship Id="rId1150" Type="http://schemas.openxmlformats.org/officeDocument/2006/relationships/hyperlink" Target="https://lintvwivb.files.wordpress.com/2015/08/thaddeus-faison.jpg" TargetMode="External"/><Relationship Id="rId4099" Type="http://schemas.openxmlformats.org/officeDocument/2006/relationships/hyperlink" Target="http://www.fatalencounters.org/wp-content/uploads/2018/01/Remi-Sabbe.jpg" TargetMode="External"/><Relationship Id="rId5357" Type="http://schemas.openxmlformats.org/officeDocument/2006/relationships/hyperlink" Target="https://www.idahostatejournal.com/news/local/officer-involved-fatal-shooting-armed-robbery-of-restaurant-occur-within/article_a61b2d79-3b7a-5c96-b838-3855a751744f.html" TargetMode="External"/><Relationship Id="rId6755" Type="http://schemas.openxmlformats.org/officeDocument/2006/relationships/hyperlink" Target="https://www.kcbd.com/2019/09/16/police-identify-suicidal-man-shot-killed-after-pointing-handgun-plainview-police/" TargetMode="External"/><Relationship Id="rId6962" Type="http://schemas.openxmlformats.org/officeDocument/2006/relationships/hyperlink" Target="https://www.newswest9.com/article/news/local/high-speed-chase-midland-odessa/513-33260688-f1d9-4eb9-9121-e25a1779ce1c" TargetMode="External"/><Relationship Id="rId520" Type="http://schemas.openxmlformats.org/officeDocument/2006/relationships/hyperlink" Target="http://www.indystar.com/story/news/crime/2013/12/18/impd-officer-fatally-shoots-man-on-southeastside/4110911/" TargetMode="External"/><Relationship Id="rId2201" Type="http://schemas.openxmlformats.org/officeDocument/2006/relationships/hyperlink" Target="http://www.fatalencounters.org/wp-content/uploads/2013/10/Sadiq-Bishara-Abaker-Idris.png" TargetMode="External"/><Relationship Id="rId5564" Type="http://schemas.openxmlformats.org/officeDocument/2006/relationships/hyperlink" Target="https://www.fatalencounters.org/wp-content/uploads/2018/12/Angel-Viola-Decarlo.jpg" TargetMode="External"/><Relationship Id="rId5771" Type="http://schemas.openxmlformats.org/officeDocument/2006/relationships/hyperlink" Target="https://www.fatalencounters.org/wp-content/uploads/2019/01/Isai-Rodriguez.jpg" TargetMode="External"/><Relationship Id="rId6408" Type="http://schemas.openxmlformats.org/officeDocument/2006/relationships/hyperlink" Target="https://www.mysanantonio.com/news/local/article/Traffic-snarled-on-Interstate-37-South-near-the-14045144.php" TargetMode="External"/><Relationship Id="rId6615" Type="http://schemas.openxmlformats.org/officeDocument/2006/relationships/hyperlink" Target="https://vtstatepolice.blogspot.com/2019/08/update-vermont-state-police-investigate_9.html" TargetMode="External"/><Relationship Id="rId6822" Type="http://schemas.openxmlformats.org/officeDocument/2006/relationships/hyperlink" Target="https://fatalencounters.org/wp-content/uploads/2019/10/antonio-lavance-williams.png" TargetMode="External"/><Relationship Id="rId1010" Type="http://schemas.openxmlformats.org/officeDocument/2006/relationships/hyperlink" Target="http://www.dallasnews.com/news/metro/20150609-man-who-died-after-police-used-stun-gun-identified.ece" TargetMode="External"/><Relationship Id="rId1967" Type="http://schemas.openxmlformats.org/officeDocument/2006/relationships/hyperlink" Target="http://newsok.com/article/5509407" TargetMode="External"/><Relationship Id="rId4166" Type="http://schemas.openxmlformats.org/officeDocument/2006/relationships/hyperlink" Target="http://www.cbs46.com/story/37346417/man-wounded-in-officer-involved-shooting-at-buford-gas-station" TargetMode="External"/><Relationship Id="rId4373" Type="http://schemas.openxmlformats.org/officeDocument/2006/relationships/hyperlink" Target="http://www.fatalencounters.org/wp-content/uploads/2018/03/Justin-Lee-Dietrich.jpg" TargetMode="External"/><Relationship Id="rId4580" Type="http://schemas.openxmlformats.org/officeDocument/2006/relationships/hyperlink" Target="http://www.kktv.com/content/news/Police-shooting-in-Old-Colorado-City-480805901.html" TargetMode="External"/><Relationship Id="rId5217" Type="http://schemas.openxmlformats.org/officeDocument/2006/relationships/hyperlink" Target="https://www.wesh.com/article/armed-man-fatally-shot-by-officers-in-orlando-police-say/23468228" TargetMode="External"/><Relationship Id="rId5424" Type="http://schemas.openxmlformats.org/officeDocument/2006/relationships/hyperlink" Target="https://www.fatalencounters.org/wp-content/uploads/2018/11/Christopher-Eugene-Williams.jpg" TargetMode="External"/><Relationship Id="rId5631" Type="http://schemas.openxmlformats.org/officeDocument/2006/relationships/hyperlink" Target="http://www.tucsonnewsnow.com/story/37628699/man-shot-by-probation-officer-while-being-served-a-warrant" TargetMode="External"/><Relationship Id="rId4026" Type="http://schemas.openxmlformats.org/officeDocument/2006/relationships/hyperlink" Target="http://www.richmond.com/news/local/chesterfield/update-chesterfield-police-id-dead-gunman-who-had-exchanged-fire/article_ba1e7368-8ca0-565e-83c5-bea313729783.html" TargetMode="External"/><Relationship Id="rId4440" Type="http://schemas.openxmlformats.org/officeDocument/2006/relationships/hyperlink" Target="http://abc7chicago.com/veil-of-mystery-surrounds-fatal-law-enforcement-shooting-in-zion/3280343/" TargetMode="External"/><Relationship Id="rId3042" Type="http://schemas.openxmlformats.org/officeDocument/2006/relationships/hyperlink" Target="http://www.kktv.com/content/news/Police-shoot-kill-man-who-was-allegedly-threatening-officers-with-car-412821563.html" TargetMode="External"/><Relationship Id="rId6198" Type="http://schemas.openxmlformats.org/officeDocument/2006/relationships/hyperlink" Target="https://www.azcentral.com/story/news/local/mesa-breaking/2019/05/10/man-killed-mesa-deputy-involved-shooting-identified-pedro-colazo-villa/1172856001/" TargetMode="External"/><Relationship Id="rId7249" Type="http://schemas.openxmlformats.org/officeDocument/2006/relationships/hyperlink" Target="http://whnt.com/2013/12/02/grand-jury-to-review-shooting-involving-corrections-officer/" TargetMode="External"/><Relationship Id="rId6265" Type="http://schemas.openxmlformats.org/officeDocument/2006/relationships/hyperlink" Target="https://www.wyff4.com/article/deputy-fatality-shoots-david-reece-after-armed-car-theft-confrontation-sheriff-says/27553870" TargetMode="External"/><Relationship Id="rId3859" Type="http://schemas.openxmlformats.org/officeDocument/2006/relationships/hyperlink" Target="https://www.abqjournal.com/1094256/bcso-deputies-involved-in-shooting-on-coors-near-hanover.html" TargetMode="External"/><Relationship Id="rId5281" Type="http://schemas.openxmlformats.org/officeDocument/2006/relationships/hyperlink" Target="https://www.arkansasonline.com/news/2018/oct/13/police-officer-fatally-shoots-man-knife-arkansas-a/" TargetMode="External"/><Relationship Id="rId2875" Type="http://schemas.openxmlformats.org/officeDocument/2006/relationships/hyperlink" Target="http://ktla.com/2017/01/04/man-killed-in-pomona-officer-involved-shooting/" TargetMode="External"/><Relationship Id="rId3926" Type="http://schemas.openxmlformats.org/officeDocument/2006/relationships/hyperlink" Target="http://www.khou.com/news/crime/la-marque-police-suspect-shot-killed-in-officer-involved-shooting/496626649" TargetMode="External"/><Relationship Id="rId6332" Type="http://schemas.openxmlformats.org/officeDocument/2006/relationships/hyperlink" Target="https://fatalencounters.org/wp-content/uploads/2019/06/Cody-Guy-Wrathall.jpg" TargetMode="External"/><Relationship Id="rId847" Type="http://schemas.openxmlformats.org/officeDocument/2006/relationships/hyperlink" Target="http://ktla.com/2015/09/11/suspected-carjacker-fatally-shot-by-deputies-after-taking-hostages-at-downey-restaurant-authorities/" TargetMode="External"/><Relationship Id="rId1477" Type="http://schemas.openxmlformats.org/officeDocument/2006/relationships/hyperlink" Target="http://www.charlotteobserver.com/news/local/article52912755.html" TargetMode="External"/><Relationship Id="rId1891" Type="http://schemas.openxmlformats.org/officeDocument/2006/relationships/hyperlink" Target="http://www.news9.com/story/32303626/emergency-crews-respond-to-officer-involved-shooting-in-nw-okc" TargetMode="External"/><Relationship Id="rId2528" Type="http://schemas.openxmlformats.org/officeDocument/2006/relationships/hyperlink" Target="http://www.fatalencounters.org/wp-content/uploads/2013/10/jimmy-lee-lawson.jpeg" TargetMode="External"/><Relationship Id="rId2942" Type="http://schemas.openxmlformats.org/officeDocument/2006/relationships/hyperlink" Target="http://www.wftv.com/news/local/officials-identify-deputy-who-fatally-shot-man-who-grabbed-taser-at-deltona-gas-station/544925309?ecmp=wftv_social_twitter_sfp" TargetMode="External"/><Relationship Id="rId914" Type="http://schemas.openxmlformats.org/officeDocument/2006/relationships/hyperlink" Target="http://www.sbsun.com/general-news/20151011/san-bernardino-police-officer-fatally-shoots-suspect" TargetMode="External"/><Relationship Id="rId1544" Type="http://schemas.openxmlformats.org/officeDocument/2006/relationships/hyperlink" Target="http://www.kvia.com/news/officerinvolved-shooting/39071656" TargetMode="External"/><Relationship Id="rId5001" Type="http://schemas.openxmlformats.org/officeDocument/2006/relationships/hyperlink" Target="https://www.kcci.com/article/charges-filed-in-shootout-near-ottumwa-elementary-school/22655133" TargetMode="External"/><Relationship Id="rId1611" Type="http://schemas.openxmlformats.org/officeDocument/2006/relationships/hyperlink" Target="https://www.bostonglobe.com/metro/2016/03/24/man-fatally-shot-braintree-police/nQ6E1tIPMCHIzHKlx4n6aM/story.html" TargetMode="External"/><Relationship Id="rId4767" Type="http://schemas.openxmlformats.org/officeDocument/2006/relationships/hyperlink" Target="http://www.mynews13.com/fl/orlando/news/2018/06/14/eustis-officer-recovering-after-shooting-leaves-man-dead" TargetMode="External"/><Relationship Id="rId5818" Type="http://schemas.openxmlformats.org/officeDocument/2006/relationships/hyperlink" Target="https://www.denverpost.com/2019/02/07/lasalle-officer-involved-shooting-death/" TargetMode="External"/><Relationship Id="rId7173" Type="http://schemas.openxmlformats.org/officeDocument/2006/relationships/hyperlink" Target="http://www.fox16.com/media/lib/9/f/2/d/f2d656db-2121-41b8-a4a3-67022bf37caf/Story.jpg" TargetMode="External"/><Relationship Id="rId3369" Type="http://schemas.openxmlformats.org/officeDocument/2006/relationships/hyperlink" Target="http://komonews.com/news/local/man-shot-to-death-on-bainbridge-sailboat-identified" TargetMode="External"/><Relationship Id="rId7240" Type="http://schemas.openxmlformats.org/officeDocument/2006/relationships/hyperlink" Target="http://main.abqjournal.netdna-cdn.com/wp-content/uploads/2013/10/R.-Cisneros-Chavez-131x175.jpg" TargetMode="External"/><Relationship Id="rId2385" Type="http://schemas.openxmlformats.org/officeDocument/2006/relationships/hyperlink" Target="http://www.gvnews.com/news/sahuarita-police-shoot-kill-suspect-following-pursuit/article_9dfb946c-a9b0-11e6-b781-cfdd30d4f0d4.html" TargetMode="External"/><Relationship Id="rId3783" Type="http://schemas.openxmlformats.org/officeDocument/2006/relationships/hyperlink" Target="http://www.fatalencounters.org/wp-content/uploads/2013/10/Wallace-Jory.jpg" TargetMode="External"/><Relationship Id="rId4834" Type="http://schemas.openxmlformats.org/officeDocument/2006/relationships/hyperlink" Target="https://www.thv11.com/article/news/local/russellville/man-shot-by-police-after-firing-at-bail-bondsmen-barricading-self-in-home-near-arkansas-tech/91-569092184" TargetMode="External"/><Relationship Id="rId357" Type="http://schemas.openxmlformats.org/officeDocument/2006/relationships/hyperlink" Target="http://www.firstcoastnews.com/story/news/local/2014/11/24/jso-involved-incident-gate-gas-station/70068030/" TargetMode="External"/><Relationship Id="rId2038" Type="http://schemas.openxmlformats.org/officeDocument/2006/relationships/hyperlink" Target="http://www.fredericksburg.com/townnews/police/man-shot-and-killed-by-stafford-deputies/article_920e30fa-bfb6-59c9-b499-606df45e998c.html" TargetMode="External"/><Relationship Id="rId3436" Type="http://schemas.openxmlformats.org/officeDocument/2006/relationships/hyperlink" Target="http://www.actionnewsjax.com/news/local/crash-leads-to-fatal-deputy-involved-shooting-in-nassau-county/529186580" TargetMode="External"/><Relationship Id="rId3850" Type="http://schemas.openxmlformats.org/officeDocument/2006/relationships/hyperlink" Target="http://www.abc15.com/news/region-phoenix-metro/west-phoenix/police-involved-in-shooting-in-west-phoenix" TargetMode="External"/><Relationship Id="rId4901" Type="http://schemas.openxmlformats.org/officeDocument/2006/relationships/hyperlink" Target="http://www.newschannel10.com/story/38648314/man-shooting-shotgun-in-south-texas-park-killed-by-police" TargetMode="External"/><Relationship Id="rId771" Type="http://schemas.openxmlformats.org/officeDocument/2006/relationships/hyperlink" Target="http://cdn.abclocal.go.com/content/kabc/images/cms/automation/vod/951884_630x354.jpg" TargetMode="External"/><Relationship Id="rId2452" Type="http://schemas.openxmlformats.org/officeDocument/2006/relationships/hyperlink" Target="http://www.theindychannel.com/news/crime/one-dead-in-officer-involved-shooting-in-hendricks-county" TargetMode="External"/><Relationship Id="rId3503" Type="http://schemas.openxmlformats.org/officeDocument/2006/relationships/hyperlink" Target="http://www.fatalencounters.org/wp-content/uploads/2013/10/Stacy.jpg" TargetMode="External"/><Relationship Id="rId6659" Type="http://schemas.openxmlformats.org/officeDocument/2006/relationships/hyperlink" Target="https://www.mysanantonio.com/news/texas/article/Texas-police-fatally-shoot-18-year-old-incident-14371214.php" TargetMode="External"/><Relationship Id="rId424" Type="http://schemas.openxmlformats.org/officeDocument/2006/relationships/hyperlink" Target="http://www.citizen-times.com/story/news/crime/2014/07/14/hendersonville-police-shoot-kill-suspect/12640863/" TargetMode="External"/><Relationship Id="rId1054" Type="http://schemas.openxmlformats.org/officeDocument/2006/relationships/hyperlink" Target="http://www.wdsu.com/news/local-news/new-orleans/jpso-officer-involved-in-shooting-in-harvey/32215908" TargetMode="External"/><Relationship Id="rId2105" Type="http://schemas.openxmlformats.org/officeDocument/2006/relationships/hyperlink" Target="http://www.newsnet5.com/news/local-news/oh-ashtabula/sheriffs-office-deputy-involved-shooting-in-ashtabula-county" TargetMode="External"/><Relationship Id="rId5675" Type="http://schemas.openxmlformats.org/officeDocument/2006/relationships/hyperlink" Target="https://abc7news.com/one-dead-after-officer-involved-shooting-at-santa-clara-gas-station/5020116/" TargetMode="External"/><Relationship Id="rId6726" Type="http://schemas.openxmlformats.org/officeDocument/2006/relationships/hyperlink" Target="https://www.kmov.com/news/police-identify-man-killed-in-officer-involved-shooting-in-north/article_01669c1c-cfac-11e9-92d8-bbbc7f0e6398.html" TargetMode="External"/><Relationship Id="rId1121" Type="http://schemas.openxmlformats.org/officeDocument/2006/relationships/hyperlink" Target="http://newsok.com/article/5461273" TargetMode="External"/><Relationship Id="rId4277" Type="http://schemas.openxmlformats.org/officeDocument/2006/relationships/hyperlink" Target="https://www.clarionledger.com/story/news/local/2018/02/26/man-shot-police-officers-dies/373361002/" TargetMode="External"/><Relationship Id="rId4691" Type="http://schemas.openxmlformats.org/officeDocument/2006/relationships/hyperlink" Target="https://www.fatalencounters.org/wp-content/uploads/2018/05/dustin_odom.jpg" TargetMode="External"/><Relationship Id="rId5328" Type="http://schemas.openxmlformats.org/officeDocument/2006/relationships/hyperlink" Target="https://ktul.com/news/local/police-investigate-officer-involved-shooting-in-east-tulsa" TargetMode="External"/><Relationship Id="rId5742" Type="http://schemas.openxmlformats.org/officeDocument/2006/relationships/hyperlink" Target="https://www.fatalencounters.org/wp-content/uploads/2019/01/Michael-Daniel-Kelley.png" TargetMode="External"/><Relationship Id="rId3293" Type="http://schemas.openxmlformats.org/officeDocument/2006/relationships/hyperlink" Target="http://www.kxii.com/content/news/Suspect-killed-by-officers-in-Love-County-shooting-441328723.html" TargetMode="External"/><Relationship Id="rId4344" Type="http://schemas.openxmlformats.org/officeDocument/2006/relationships/hyperlink" Target="https://www.adn.com/alaska-news/crime-courts/2018/03/09/daylong-pilot-station-standoff-ends-with-man-dead/" TargetMode="External"/><Relationship Id="rId1938" Type="http://schemas.openxmlformats.org/officeDocument/2006/relationships/hyperlink" Target="http://katu.com/news/local/family-speaks-out-about-man-killed-by-deputies-in-polk-county" TargetMode="External"/><Relationship Id="rId3360" Type="http://schemas.openxmlformats.org/officeDocument/2006/relationships/hyperlink" Target="http://www.fatalencounters.org/wp-content/uploads/2013/10/Kenneth-Alan-Eustace.jpg" TargetMode="External"/><Relationship Id="rId281" Type="http://schemas.openxmlformats.org/officeDocument/2006/relationships/hyperlink" Target="http://www.seattletimes.com/seattle-news/coulee-dam-man-dies-following-taser-incident/" TargetMode="External"/><Relationship Id="rId3013" Type="http://schemas.openxmlformats.org/officeDocument/2006/relationships/hyperlink" Target="http://www.nbcbayarea.com/news/local/Officer-Involved-Shooting-in-Santa-Clara-Leaves-1-Person-Injured-415828313.html" TargetMode="External"/><Relationship Id="rId4411" Type="http://schemas.openxmlformats.org/officeDocument/2006/relationships/hyperlink" Target="http://abc7chicago.com/police-1-suspect-dead-2-officers-injured-in-aurora-shootout/3249097/" TargetMode="External"/><Relationship Id="rId6169" Type="http://schemas.openxmlformats.org/officeDocument/2006/relationships/hyperlink" Target="http://www.fatalencounters.org/wp-content/uploads/2019/04/Lawrence-Bottoms.jpg" TargetMode="External"/><Relationship Id="rId6583" Type="http://schemas.openxmlformats.org/officeDocument/2006/relationships/hyperlink" Target="https://www.al.com/news/birmingham/2019/08/65-year-old-man-identified-as-suspect-who-died-in-shootout-with-hanceville-police.html" TargetMode="External"/><Relationship Id="rId2779" Type="http://schemas.openxmlformats.org/officeDocument/2006/relationships/hyperlink" Target="http://www.jsonline.com/story/news/local/milwaukee/2017/03/16/suspected-drug-dealer-killed-confrontation-officers-milwaukees-north-side/99285438/" TargetMode="External"/><Relationship Id="rId5185" Type="http://schemas.openxmlformats.org/officeDocument/2006/relationships/hyperlink" Target="https://www.fatalencounters.org/wp-content/uploads/2018/09/MichaelJMurphy.jpg" TargetMode="External"/><Relationship Id="rId6236" Type="http://schemas.openxmlformats.org/officeDocument/2006/relationships/hyperlink" Target="https://www.local10.com/news/florida/broward/man-killed-in-police-involved-shooting-in-davie" TargetMode="External"/><Relationship Id="rId6650" Type="http://schemas.openxmlformats.org/officeDocument/2006/relationships/hyperlink" Target="https://abc7.com/suspect-dies-after-exchanging-gunfire-with-officers-in-el-sereno/5477837/" TargetMode="External"/><Relationship Id="rId1795" Type="http://schemas.openxmlformats.org/officeDocument/2006/relationships/hyperlink" Target="http://www.news-press.com/story/news/crime/2016/06/05/cape-coral-police-investigate-shooting/85459222/" TargetMode="External"/><Relationship Id="rId2846" Type="http://schemas.openxmlformats.org/officeDocument/2006/relationships/hyperlink" Target="http://www.fatalencounters.org/wp-content/uploads/2013/10/Tavis-Crane.png" TargetMode="External"/><Relationship Id="rId5252" Type="http://schemas.openxmlformats.org/officeDocument/2006/relationships/hyperlink" Target="https://wchstv.com/news/local/man-fatally-shot-in-fayette-county-hostage-situation" TargetMode="External"/><Relationship Id="rId6303" Type="http://schemas.openxmlformats.org/officeDocument/2006/relationships/hyperlink" Target="https://www.eastbaytimes.com/2019/06/02/walnut-creek-police-investigate-officer-involved-shooting/" TargetMode="External"/><Relationship Id="rId87" Type="http://schemas.openxmlformats.org/officeDocument/2006/relationships/hyperlink" Target="http://www.oregonlive.com/pacific-northwest-news/index.ssf/2015/07/oregon_state_police_shoot_and.html" TargetMode="External"/><Relationship Id="rId818" Type="http://schemas.openxmlformats.org/officeDocument/2006/relationships/hyperlink" Target="http://www.deseretnews.com/article/865635615/Man-shot-killed-by-Spanish-Fork-police-officer-in-church-parking-lot.html?pg=all" TargetMode="External"/><Relationship Id="rId1448" Type="http://schemas.openxmlformats.org/officeDocument/2006/relationships/hyperlink" Target="http://www.presstelegram.com/general-news/20160310/man-killed-by-officer-in-north-long-beach-is-identified" TargetMode="External"/><Relationship Id="rId1862" Type="http://schemas.openxmlformats.org/officeDocument/2006/relationships/hyperlink" Target="http://www.fatalencounters.org/wp-content/uploads/2013/10/Pedro-Cruz-Amado.jpg" TargetMode="External"/><Relationship Id="rId2913" Type="http://schemas.openxmlformats.org/officeDocument/2006/relationships/hyperlink" Target="http://www.fatalencounters.org/wp-content/uploads/2013/10/Mark-Anthony-Sanchez.png" TargetMode="External"/><Relationship Id="rId7077" Type="http://schemas.openxmlformats.org/officeDocument/2006/relationships/hyperlink" Target="https://www.ksat.com/news/2019/12/29/suspect-in-christmas-eve-shooting-killed-in-deputy-involved-shooting-near-hermann-park/" TargetMode="External"/><Relationship Id="rId1515" Type="http://schemas.openxmlformats.org/officeDocument/2006/relationships/hyperlink" Target="http://assets.nydailynews.com/polopoly_fs/1.2512088.1453967790!/img/httpImage/image.jpg_gen/derivatives/article_400/memphis29n-4-web.jpg" TargetMode="External"/><Relationship Id="rId6093" Type="http://schemas.openxmlformats.org/officeDocument/2006/relationships/hyperlink" Target="https://www.wjhg.com/content/news/Man-killed-in-Mexico-Beach-officer-involved-shooting-identified-508467761.html" TargetMode="External"/><Relationship Id="rId7144" Type="http://schemas.openxmlformats.org/officeDocument/2006/relationships/hyperlink" Target="http://bloximages.chicago2.vip.townnews.com/thetandd.com/content/tncms/assets/v3/editorial/1/06/106fafac-91e0-11e2-93f2-0019bb2963f4/514a8d08a1db1.image.jpg" TargetMode="External"/><Relationship Id="rId3687" Type="http://schemas.openxmlformats.org/officeDocument/2006/relationships/hyperlink" Target="http://www.11alive.com/news/local/officer-involved-shooting-investigation-underway-in-fayette-co/386633926" TargetMode="External"/><Relationship Id="rId4738" Type="http://schemas.openxmlformats.org/officeDocument/2006/relationships/hyperlink" Target="https://chicago.suntimes.com/news/maurice-granton-chicago-police-shooting-bronzeville/" TargetMode="External"/><Relationship Id="rId2289" Type="http://schemas.openxmlformats.org/officeDocument/2006/relationships/hyperlink" Target="http://jacksonville.com/news/2016-10-20/jacksonville-sheriff-s-office-suspect-dead-police-involved-shooting" TargetMode="External"/><Relationship Id="rId3754" Type="http://schemas.openxmlformats.org/officeDocument/2006/relationships/hyperlink" Target="http://wfla.com/2017/10/25/armed-carjacking-suspect-dies-after-shootout-with-st-pete-police/" TargetMode="External"/><Relationship Id="rId4805" Type="http://schemas.openxmlformats.org/officeDocument/2006/relationships/hyperlink" Target="https://www.news4jax.com/news/georgia/camden-county/kingsland/gbi-investigating-shooting-in-kingsland" TargetMode="External"/><Relationship Id="rId6160" Type="http://schemas.openxmlformats.org/officeDocument/2006/relationships/hyperlink" Target="https://www.thedenverchannel.com/news/crime/police-man-acting-erratically-shot-killed-by-westminster-police-after-attacking-officer" TargetMode="External"/><Relationship Id="rId7211" Type="http://schemas.openxmlformats.org/officeDocument/2006/relationships/hyperlink" Target="http://sacramento.cbslocal.com/2013/05/27/man-who-died-in-sacramento-police-custody-identified/" TargetMode="External"/><Relationship Id="rId675" Type="http://schemas.openxmlformats.org/officeDocument/2006/relationships/hyperlink" Target="http://www.news-leader.com/story/news/crime/2015/11/26/man-killed-officer-involved-shooting/76409078/" TargetMode="External"/><Relationship Id="rId2356" Type="http://schemas.openxmlformats.org/officeDocument/2006/relationships/hyperlink" Target="http://www.fatalencounters.org/wp-content/uploads/2013/10/JoelBurtKeenan.jpg" TargetMode="External"/><Relationship Id="rId2770" Type="http://schemas.openxmlformats.org/officeDocument/2006/relationships/hyperlink" Target="http://www.ksla.com/story/34979123/officer-injured-two-others-killed-in-southwest-louisiana" TargetMode="External"/><Relationship Id="rId3407" Type="http://schemas.openxmlformats.org/officeDocument/2006/relationships/hyperlink" Target="http://www.fatalencounters.org/wp-content/uploads/2013/10/James-T.-Hodgkinson.png" TargetMode="External"/><Relationship Id="rId3821" Type="http://schemas.openxmlformats.org/officeDocument/2006/relationships/hyperlink" Target="http://www.fatalencounters.org/wp-content/uploads/2013/10/Joseph-J.-Santos.png" TargetMode="External"/><Relationship Id="rId6977" Type="http://schemas.openxmlformats.org/officeDocument/2006/relationships/hyperlink" Target="https://local.nixle.com/alert/7698405/" TargetMode="External"/><Relationship Id="rId328" Type="http://schemas.openxmlformats.org/officeDocument/2006/relationships/hyperlink" Target="http://www.sacbee.com/news/local/crime/article4774815.html" TargetMode="External"/><Relationship Id="rId742" Type="http://schemas.openxmlformats.org/officeDocument/2006/relationships/hyperlink" Target="http://www.gannett-cdn.com/-mm-/50bfa768de97848c37c1fb3e15502aa34121135b/c=0-164-480-435&amp;r=x633&amp;c=1200x630/local/-/media/2015/08/11/Phoenix/Phoenix/635749053959669052-Richard-Tyler-Young.jpg" TargetMode="External"/><Relationship Id="rId1372" Type="http://schemas.openxmlformats.org/officeDocument/2006/relationships/hyperlink" Target="http://www.wbtv.com/story/31155772/bank-robbery-suspect-shot-killed-in-iredell-county" TargetMode="External"/><Relationship Id="rId2009" Type="http://schemas.openxmlformats.org/officeDocument/2006/relationships/hyperlink" Target="http://www.fatalencounters.org/wp-content/uploads/2013/10/Dalvin-Hollins.png" TargetMode="External"/><Relationship Id="rId2423" Type="http://schemas.openxmlformats.org/officeDocument/2006/relationships/hyperlink" Target="http://www.khou.com/news/crime/shots-fired-at-end-of-chase-near-baytown/354912360" TargetMode="External"/><Relationship Id="rId5579" Type="http://schemas.openxmlformats.org/officeDocument/2006/relationships/hyperlink" Target="https://www.fatalencounters.org/wp-content/uploads/2018/12/Theresa-KayStrawn.jpg" TargetMode="External"/><Relationship Id="rId1025" Type="http://schemas.openxmlformats.org/officeDocument/2006/relationships/hyperlink" Target="http://www.wowt.com/home/headlines/Police-Officer-Shot-304450711.html?ref=711" TargetMode="External"/><Relationship Id="rId4595" Type="http://schemas.openxmlformats.org/officeDocument/2006/relationships/hyperlink" Target="https://www.ksat.com/news/suspect-shot-killed-by-homeland-security-officer-on-southwest-side-police-say" TargetMode="External"/><Relationship Id="rId5646" Type="http://schemas.openxmlformats.org/officeDocument/2006/relationships/hyperlink" Target="https://www.fatalencounters.org/wp-content/uploads/2019/01/dylansmith.jpg" TargetMode="External"/><Relationship Id="rId5993" Type="http://schemas.openxmlformats.org/officeDocument/2006/relationships/hyperlink" Target="https://www.wandtv.com/news/illinois-state-trooper-shot-after-chase/article_a632d646-483b-11e9-a5eb-4b75f08e2a5c.html" TargetMode="External"/><Relationship Id="rId3197" Type="http://schemas.openxmlformats.org/officeDocument/2006/relationships/hyperlink" Target="http://www.kmov.com/story/35395160/woman-shot-killed-in-holly-hills-neighborhood" TargetMode="External"/><Relationship Id="rId4248" Type="http://schemas.openxmlformats.org/officeDocument/2006/relationships/hyperlink" Target="http://www.fatalencounters.org/wp-content/uploads/2018/02/Ronell-Foster.jpg" TargetMode="External"/><Relationship Id="rId4662" Type="http://schemas.openxmlformats.org/officeDocument/2006/relationships/hyperlink" Target="https://www.fatalencounters.org/wp-content/uploads/2018/05/DavidRomansky.jpg" TargetMode="External"/><Relationship Id="rId5713" Type="http://schemas.openxmlformats.org/officeDocument/2006/relationships/hyperlink" Target="https://sacramento.cbslocal.com/2019/01/15/assault-suspect-shot-officer-shooting/" TargetMode="External"/><Relationship Id="rId185" Type="http://schemas.openxmlformats.org/officeDocument/2006/relationships/hyperlink" Target="http://www.nbcdfw.com/news/local/9-Year-Old-Child-Reported-Missing-in-Benbrook-304947651.html" TargetMode="External"/><Relationship Id="rId1909" Type="http://schemas.openxmlformats.org/officeDocument/2006/relationships/hyperlink" Target="http://www.knoe.com/content/news/BREAKING-Possible-deputy-involved-shooting-in-south-Ouachita-Parish--Our-crew-confirms-a-dead-body-is-at-the-scene--384960361.html" TargetMode="External"/><Relationship Id="rId3264" Type="http://schemas.openxmlformats.org/officeDocument/2006/relationships/hyperlink" Target="http://www.mynbc5.com/article/troopers-fatally-shoot-suspect-in-poultney/12160825" TargetMode="External"/><Relationship Id="rId4315" Type="http://schemas.openxmlformats.org/officeDocument/2006/relationships/hyperlink" Target="http://www.wlox.com/story/37637948/suspect-killed-by-gulfport-officer-after-stand-off-with-police" TargetMode="External"/><Relationship Id="rId2280" Type="http://schemas.openxmlformats.org/officeDocument/2006/relationships/hyperlink" Target="http://www.fatalencounters.org/wp-content/uploads/2013/10/Charles-Stidham.jpg" TargetMode="External"/><Relationship Id="rId3331" Type="http://schemas.openxmlformats.org/officeDocument/2006/relationships/hyperlink" Target="http://www.azfamily.com/story/35972281/35-year-old-suspect-dead-after-phoenix-officer-involved-shooting" TargetMode="External"/><Relationship Id="rId6487" Type="http://schemas.openxmlformats.org/officeDocument/2006/relationships/hyperlink" Target="https://fatalencounters.org/wp-content/uploads/2019/07/BrianBenfield.png" TargetMode="External"/><Relationship Id="rId252" Type="http://schemas.openxmlformats.org/officeDocument/2006/relationships/hyperlink" Target="http://www.suntelegraph.com/story/2015/04/21/community/leasa-hlavinka-husband-was-a-doting-father/6849.html" TargetMode="External"/><Relationship Id="rId5089" Type="http://schemas.openxmlformats.org/officeDocument/2006/relationships/hyperlink" Target="https://www.fatalencounters.org/wp-content/uploads/2018/09/Joshua-Wayne-Harvey.jpg" TargetMode="External"/><Relationship Id="rId6554" Type="http://schemas.openxmlformats.org/officeDocument/2006/relationships/hyperlink" Target="https://abc13.com/carjacking-suspect-killed-by-deputy-after-pistol-whipping-k-9/5426898/" TargetMode="External"/><Relationship Id="rId1699" Type="http://schemas.openxmlformats.org/officeDocument/2006/relationships/hyperlink" Target="http://www.nbcsandiego.com/news/local/Shooting-in-Encanto-Shuts-down--379093111.html" TargetMode="External"/><Relationship Id="rId2000" Type="http://schemas.openxmlformats.org/officeDocument/2006/relationships/hyperlink" Target="http://www.indystar.com/story/news/fox59/2016/07/25/impd-officer-shot-another-injured-during-pursuit-northwest-side/87548522/" TargetMode="External"/><Relationship Id="rId5156" Type="http://schemas.openxmlformats.org/officeDocument/2006/relationships/hyperlink" Target="https://www.wsbtv.com/news/local/forsyth-county/gbi-responds-to-officer-involved-shooting-in-forsyth-county/832696279" TargetMode="External"/><Relationship Id="rId5570" Type="http://schemas.openxmlformats.org/officeDocument/2006/relationships/hyperlink" Target="https://www.pennlive.com/news/2018/12/trooper-slipped-before-fatally-shooting-man-coming-toward-him-with-knife-police.html" TargetMode="External"/><Relationship Id="rId6207" Type="http://schemas.openxmlformats.org/officeDocument/2006/relationships/hyperlink" Target="https://mynewsla.com/crime/2019/05/11/coroner-identifies-man-killed-in-officer-involved-shooting-in-montebello-2/" TargetMode="External"/><Relationship Id="rId4172" Type="http://schemas.openxmlformats.org/officeDocument/2006/relationships/hyperlink" Target="http://www.fatalencounters.org/wp-content/uploads/2018/01/William-Charles-Mackenzie.jpg" TargetMode="External"/><Relationship Id="rId5223" Type="http://schemas.openxmlformats.org/officeDocument/2006/relationships/hyperlink" Target="https://www.fatalencounters.org/wp-content/uploads/2018/10/DatwanLewis.jpg" TargetMode="External"/><Relationship Id="rId6621" Type="http://schemas.openxmlformats.org/officeDocument/2006/relationships/hyperlink" Target="https://dfw.cbslocal.com/2019/08/12/fort-worth-police-investigate-officer-involved-shooting/" TargetMode="External"/><Relationship Id="rId1766" Type="http://schemas.openxmlformats.org/officeDocument/2006/relationships/hyperlink" Target="http://www.tulsaworld.com/news/crimewatch/man-dies-after-tulsa-police-officer-pepper-sprays-shocks-him/article_d8d5b3f7-a624-573c-8c79-c20bc546dc66.html" TargetMode="External"/><Relationship Id="rId2817" Type="http://schemas.openxmlformats.org/officeDocument/2006/relationships/hyperlink" Target="http://www.ktva.com/troopers-kill-big-lake-man-allegedly-threatening-kill-small-child-760/" TargetMode="External"/><Relationship Id="rId58" Type="http://schemas.openxmlformats.org/officeDocument/2006/relationships/hyperlink" Target="http://lasvegassun.com/news/2015/jul/15/police-body-cam-video-shows-traffic-stop-turn-dead/" TargetMode="External"/><Relationship Id="rId1419" Type="http://schemas.openxmlformats.org/officeDocument/2006/relationships/hyperlink" Target="http://www.9news.com/news/crime/3-deputies-shot-1-killed-in-bailey/54667695" TargetMode="External"/><Relationship Id="rId1833" Type="http://schemas.openxmlformats.org/officeDocument/2006/relationships/hyperlink" Target="http://www.idahostatesman.com/news/local/crime/article83638777.html" TargetMode="External"/><Relationship Id="rId4989" Type="http://schemas.openxmlformats.org/officeDocument/2006/relationships/hyperlink" Target="https://www.fatalencounters.org/wp-content/uploads/2018/08/Jonathan-Joey-Mendoza.jpg" TargetMode="External"/><Relationship Id="rId7048" Type="http://schemas.openxmlformats.org/officeDocument/2006/relationships/hyperlink" Target="https://kutv.com/news/local/one-deputy-one-trooper-involved-in-emery-county-shooting" TargetMode="External"/><Relationship Id="rId1900" Type="http://schemas.openxmlformats.org/officeDocument/2006/relationships/hyperlink" Target="http://www.13wmaz.com/news/local/bleckley-deputy-shoots-kills-suspect/257286657" TargetMode="External"/><Relationship Id="rId3658" Type="http://schemas.openxmlformats.org/officeDocument/2006/relationships/hyperlink" Target="http://www.fatalencounters.org/wp-content/uploads/2013/10/KrisKristi.jpg" TargetMode="External"/><Relationship Id="rId4709" Type="http://schemas.openxmlformats.org/officeDocument/2006/relationships/hyperlink" Target="https://www.fatalencounters.org/wp-content/uploads/2018/06/Zane-Anthony-James.jpg" TargetMode="External"/><Relationship Id="rId6064" Type="http://schemas.openxmlformats.org/officeDocument/2006/relationships/hyperlink" Target="https://www.nbcsandiego.com/news/local/officer-involved-shooting-san-ysidro-san-diego-police-department-mobile-home-508071901.html" TargetMode="External"/><Relationship Id="rId7115" Type="http://schemas.openxmlformats.org/officeDocument/2006/relationships/hyperlink" Target="https://www.usnews.com/news/best-states/california/articles/2018-11-30/3-dead-8-injured-after-fleeing-truck-rollover-in-california" TargetMode="External"/><Relationship Id="rId579" Type="http://schemas.openxmlformats.org/officeDocument/2006/relationships/hyperlink" Target="http://www.muskogeephoenix.com/news/man-dead-after-cherokee-county-deputy-forced-to-shoot-him/article_3f61699f-87c3-5576-ac6c-47ec84673edb.html" TargetMode="External"/><Relationship Id="rId993" Type="http://schemas.openxmlformats.org/officeDocument/2006/relationships/hyperlink" Target="http://theadvocate.com/news/12712188-123/father-at-a-loss-for" TargetMode="External"/><Relationship Id="rId2674" Type="http://schemas.openxmlformats.org/officeDocument/2006/relationships/hyperlink" Target="http://www.ktvu.com/news/ktvu-local-news/265718285-story" TargetMode="External"/><Relationship Id="rId5080" Type="http://schemas.openxmlformats.org/officeDocument/2006/relationships/hyperlink" Target="https://www.reviewjournal.com/crime/homicides/coroner-ids-woman-killed-in-ex-boyfriends-las-vegas-home/" TargetMode="External"/><Relationship Id="rId6131" Type="http://schemas.openxmlformats.org/officeDocument/2006/relationships/hyperlink" Target="http://www.spokesman.com/stories/2019/apr/17/suspect-killed-in-lewiston-officer-involved-shooti/" TargetMode="External"/><Relationship Id="rId646" Type="http://schemas.openxmlformats.org/officeDocument/2006/relationships/hyperlink" Target="http://www.killedbypolice.net/victims/151027.jpg" TargetMode="External"/><Relationship Id="rId1276" Type="http://schemas.openxmlformats.org/officeDocument/2006/relationships/hyperlink" Target="http://media.cmgdigital.com/shared/img/photos/2016/02/23/57/fc/Loch.jpg" TargetMode="External"/><Relationship Id="rId2327" Type="http://schemas.openxmlformats.org/officeDocument/2006/relationships/hyperlink" Target="http://www.tulsaworld.com/news/state/fugitive-michael-vance-shot-killed-in-western-oklahoma/article_772da50f-ed01-5652-9795-d7adf0e1362d.html" TargetMode="External"/><Relationship Id="rId3725" Type="http://schemas.openxmlformats.org/officeDocument/2006/relationships/hyperlink" Target="http://www.kalb.com/content/news/APSO-Suspect-dies-after-struggle-with-deputies-451918333.html" TargetMode="External"/><Relationship Id="rId1690" Type="http://schemas.openxmlformats.org/officeDocument/2006/relationships/hyperlink" Target="http://www.clarionledger.com/story/news/2016/05/09/mississippi-fatal-police-shooting/84137108/" TargetMode="External"/><Relationship Id="rId2741" Type="http://schemas.openxmlformats.org/officeDocument/2006/relationships/hyperlink" Target="http://www.ajc.com/news/crime--law/fbi-agents-kill-tanger-outlet-suspect-after-day-crime-spree/mDPxeS8tS5rR8Xk9YZ4TmO/" TargetMode="External"/><Relationship Id="rId5897" Type="http://schemas.openxmlformats.org/officeDocument/2006/relationships/hyperlink" Target="https://www.wjhl.com/local/breaking-news-sullivan-county-sheriff-s-officer-injured-in-shooting/1803512468" TargetMode="External"/><Relationship Id="rId6948" Type="http://schemas.openxmlformats.org/officeDocument/2006/relationships/hyperlink" Target="http://theavtimes.com/2019/10/30/ax-wielding-man-killed-in-deputy-involved-shooting-in-lancaster/" TargetMode="External"/><Relationship Id="rId713" Type="http://schemas.openxmlformats.org/officeDocument/2006/relationships/hyperlink" Target="http://www.postandcourier.com/article/20151105/PC16/151109561" TargetMode="External"/><Relationship Id="rId1343" Type="http://schemas.openxmlformats.org/officeDocument/2006/relationships/hyperlink" Target="http://www.ktvn.com/story/31053716/reno-police-say-one-man-dead-after-officer-involved-shooting2" TargetMode="External"/><Relationship Id="rId4499" Type="http://schemas.openxmlformats.org/officeDocument/2006/relationships/hyperlink" Target="http://www.godanriver.com/news/danville/danville-officers-involved-in-shooting-suspect-dead/article_0f66afa2-3b4a-11e8-ab69-8f6cac0c215c.html" TargetMode="External"/><Relationship Id="rId5964" Type="http://schemas.openxmlformats.org/officeDocument/2006/relationships/hyperlink" Target="https://www.roanoke-chowannewsherald.com/2019/03/11/officer-involved-in-fatal-shooting/" TargetMode="External"/><Relationship Id="rId1410" Type="http://schemas.openxmlformats.org/officeDocument/2006/relationships/hyperlink" Target="http://www.adn.com/article/20160222/trooper-shoots-kills-woman-during-standoff-mat-su" TargetMode="External"/><Relationship Id="rId4566" Type="http://schemas.openxmlformats.org/officeDocument/2006/relationships/hyperlink" Target="http://whotv.com/2018/04/23/six-boone-police-officers-on-paid-leave-after-shooting-on-saturday/" TargetMode="External"/><Relationship Id="rId4980" Type="http://schemas.openxmlformats.org/officeDocument/2006/relationships/hyperlink" Target="https://www.fatalencounters.org/wp-content/uploads/2018/07/Richard-Black.jpg" TargetMode="External"/><Relationship Id="rId5617" Type="http://schemas.openxmlformats.org/officeDocument/2006/relationships/hyperlink" Target="https://kdvr.com/2018/12/31/suspect-killed-in-officer-involved-shooting-in-longmont/" TargetMode="External"/><Relationship Id="rId3168" Type="http://schemas.openxmlformats.org/officeDocument/2006/relationships/hyperlink" Target="http://www.denverpost.com/2017/07/05/federal-heights-police-shooting/" TargetMode="External"/><Relationship Id="rId3582" Type="http://schemas.openxmlformats.org/officeDocument/2006/relationships/hyperlink" Target="http://www.wbtv.com/story/34698301/man-dead-in-officer-involved-shooting-in-north-charlotte" TargetMode="External"/><Relationship Id="rId4219" Type="http://schemas.openxmlformats.org/officeDocument/2006/relationships/hyperlink" Target="http://www.fatalencounters.org/wp-content/uploads/2018/02/James-Benny-Hobbs.jpg" TargetMode="External"/><Relationship Id="rId4633" Type="http://schemas.openxmlformats.org/officeDocument/2006/relationships/hyperlink" Target="http://www.star-telegram.com/news/politics-government/national-politics/article210832609.html" TargetMode="External"/><Relationship Id="rId2184" Type="http://schemas.openxmlformats.org/officeDocument/2006/relationships/hyperlink" Target="http://www.kjct8.com/content/news/BREAKING-Suspect-killed-in-officer-invovled-shooting-Sunday-afternoon-392305851.html" TargetMode="External"/><Relationship Id="rId3235" Type="http://schemas.openxmlformats.org/officeDocument/2006/relationships/hyperlink" Target="http://www.spokesman.com/stories/2017/mar/10/former-bank-executive-threatened-wife-hours-before/" TargetMode="External"/><Relationship Id="rId156" Type="http://schemas.openxmlformats.org/officeDocument/2006/relationships/hyperlink" Target="http://www.killedbypolice.net/victims/150491.jpg" TargetMode="External"/><Relationship Id="rId570" Type="http://schemas.openxmlformats.org/officeDocument/2006/relationships/hyperlink" Target="http://www.chron.com/news/houston-texas/houston/article/HPD-kills-person-at-westside-complex-4276703.php" TargetMode="External"/><Relationship Id="rId2251" Type="http://schemas.openxmlformats.org/officeDocument/2006/relationships/hyperlink" Target="http://www.fatalencounters.org/wp-content/uploads/2013/10/Mauricio-Barron.jpg" TargetMode="External"/><Relationship Id="rId3302" Type="http://schemas.openxmlformats.org/officeDocument/2006/relationships/hyperlink" Target="http://www.fatalencounters.org/wp-content/uploads/2013/10/carmen-beau-rongione.jpg" TargetMode="External"/><Relationship Id="rId4700" Type="http://schemas.openxmlformats.org/officeDocument/2006/relationships/hyperlink" Target="http://www.everythinglubbock.com/news/local-news/man-dies-in-police-custody-lpd-makes-public-statement/1199278404" TargetMode="External"/><Relationship Id="rId6458" Type="http://schemas.openxmlformats.org/officeDocument/2006/relationships/hyperlink" Target="https://fatalencounters.org/wp-content/uploads/2019/07/Hannah-Linn-Williams.jpg" TargetMode="External"/><Relationship Id="rId223" Type="http://schemas.openxmlformats.org/officeDocument/2006/relationships/hyperlink" Target="http://www.wboc.com/story/28959278/police-investigating-officer-involved-shooting" TargetMode="External"/><Relationship Id="rId6872" Type="http://schemas.openxmlformats.org/officeDocument/2006/relationships/hyperlink" Target="https://fatalencounters.org/wp-content/uploads/2019/10/Christopher-Whitfield.jpg" TargetMode="External"/><Relationship Id="rId4076" Type="http://schemas.openxmlformats.org/officeDocument/2006/relationships/hyperlink" Target="http://www.thenewstribune.com/news/local/crime/article193488139.html" TargetMode="External"/><Relationship Id="rId5474" Type="http://schemas.openxmlformats.org/officeDocument/2006/relationships/hyperlink" Target="https://www.twincities.com/2018/12/01/bca-identifies-man-fatally-shot-by-police-in-bemidji-two-officers/?fbclid=IwAR0XkmdXm9sGMVQIzU0duSk_qwXviq7E2_6Ae3ruYnP_o1qX-poQS5XWqwU" TargetMode="External"/><Relationship Id="rId6525" Type="http://schemas.openxmlformats.org/officeDocument/2006/relationships/hyperlink" Target="https://www.click2houston.com/news/league-city-standoff-ends-with-rifle-confrontation-mans-death-police-say" TargetMode="External"/><Relationship Id="rId4490" Type="http://schemas.openxmlformats.org/officeDocument/2006/relationships/hyperlink" Target="https://www.wvnews.com/news/wvnews/raymond-bell-dies-days-after-officer-involved-shooting/article_5ac6e20c-0774-58ef-b499-38d01dc8f0a7.html" TargetMode="External"/><Relationship Id="rId5127" Type="http://schemas.openxmlformats.org/officeDocument/2006/relationships/hyperlink" Target="https://www.fatalencounters.org/wp-content/uploads/2018/09/timmyhenley.jpg" TargetMode="External"/><Relationship Id="rId5541" Type="http://schemas.openxmlformats.org/officeDocument/2006/relationships/hyperlink" Target="https://www.kob.com/albuquerque-news/shots-fired-after-albuquerque-police-confront-robbery-suspect/5177434/?cat=516&amp;utm_source=feedburner&amp;utm_medium=feed&amp;utm_campaign=Feed%3A+Kobcom-AlbuquerqueMetro+%28KOB.com+-+Albuquerque+Metro+News%29&amp;utm_content=FaceB" TargetMode="External"/><Relationship Id="rId1737" Type="http://schemas.openxmlformats.org/officeDocument/2006/relationships/hyperlink" Target="http://www.12news.com/news/local/arizona/coconino-co-deputies-kill-man-in-standoff/208243333" TargetMode="External"/><Relationship Id="rId3092" Type="http://schemas.openxmlformats.org/officeDocument/2006/relationships/hyperlink" Target="http://bismarcktribune.com/news/local/mandan-officer-involved-shooting-raises-questions/article_14a7d321-7cf5-5506-a5d3-bb65148ec9d7.html" TargetMode="External"/><Relationship Id="rId4143" Type="http://schemas.openxmlformats.org/officeDocument/2006/relationships/hyperlink" Target="http://www.wesh.com/article/brevard-county-investigation-officer-involved-shooting/15836210" TargetMode="External"/><Relationship Id="rId29" Type="http://schemas.openxmlformats.org/officeDocument/2006/relationships/hyperlink" Target="http://www.independent.co.uk/incoming/article10446695.ece/alternates/w620/Zach-hammond.jpg" TargetMode="External"/><Relationship Id="rId4210" Type="http://schemas.openxmlformats.org/officeDocument/2006/relationships/hyperlink" Target="http://boston.cbslocal.com/2018/02/03/male-suspect-shot-killed-by-police-in-reading/" TargetMode="External"/><Relationship Id="rId1804" Type="http://schemas.openxmlformats.org/officeDocument/2006/relationships/hyperlink" Target="http://wtvr.com/2016/06/08/culpeper-sheriffs-shooting-update/" TargetMode="External"/><Relationship Id="rId6382" Type="http://schemas.openxmlformats.org/officeDocument/2006/relationships/hyperlink" Target="https://fatalencounters.org/wp-content/uploads/2019/06/EricLogan.jpeg" TargetMode="External"/><Relationship Id="rId7019" Type="http://schemas.openxmlformats.org/officeDocument/2006/relationships/hyperlink" Target="https://fatalencounters.org/wp-content/uploads/2019/12/CLYDE-JACOB-SULLIVAN.jpg" TargetMode="External"/><Relationship Id="rId3976" Type="http://schemas.openxmlformats.org/officeDocument/2006/relationships/hyperlink" Target="http://www.wdtv.com/content/news/State-Police-investigating-after-officer-involved-shooting-in-Randolph-County--464932853.html" TargetMode="External"/><Relationship Id="rId6035" Type="http://schemas.openxmlformats.org/officeDocument/2006/relationships/hyperlink" Target="https://www.fatalencounters.org/wp-content/uploads/2019/04/stephenmarshall.jpg" TargetMode="External"/><Relationship Id="rId897" Type="http://schemas.openxmlformats.org/officeDocument/2006/relationships/hyperlink" Target="http://www.nbcphiladelphia.com/news/breaking/Chester-Shooting-Hayes-6th-326599641.html" TargetMode="External"/><Relationship Id="rId2578" Type="http://schemas.openxmlformats.org/officeDocument/2006/relationships/hyperlink" Target="http://homicide.latimes.com/post/keith-myron-bursey-jr/" TargetMode="External"/><Relationship Id="rId2992" Type="http://schemas.openxmlformats.org/officeDocument/2006/relationships/hyperlink" Target="http://www.fatalencounters.org/wp-content/uploads/2013/10/brandonpequeno.png" TargetMode="External"/><Relationship Id="rId3629" Type="http://schemas.openxmlformats.org/officeDocument/2006/relationships/hyperlink" Target="http://www.fatalencounters.org/wp-content/uploads/2013/10/William-Young-Jr.png" TargetMode="External"/><Relationship Id="rId5051" Type="http://schemas.openxmlformats.org/officeDocument/2006/relationships/hyperlink" Target="https://www.channel3000.com/news/crime/milwaukee-police-respond-to-officer-involved-shooting/781109809" TargetMode="External"/><Relationship Id="rId964" Type="http://schemas.openxmlformats.org/officeDocument/2006/relationships/hyperlink" Target="http://www.reviewjournal.com/news/las-vegas/metro-officer-wounded-suspect-shot-death" TargetMode="External"/><Relationship Id="rId1594" Type="http://schemas.openxmlformats.org/officeDocument/2006/relationships/hyperlink" Target="http://www.wmcactionnews5.com/story/31559847/the-latest-police-man-fatally-shot-by-memphis-officer" TargetMode="External"/><Relationship Id="rId2645" Type="http://schemas.openxmlformats.org/officeDocument/2006/relationships/hyperlink" Target="http://www.ksla.com/story/36031367/red-river-parish-sheriffs-deputy-injured-in-morning-shooting" TargetMode="External"/><Relationship Id="rId6102" Type="http://schemas.openxmlformats.org/officeDocument/2006/relationships/hyperlink" Target="https://www.news-journalonline.com/news/20190411/volusia-sheriffs-k-9-deputy-shot-and-injured-following-pursuit-suspect-dies" TargetMode="External"/><Relationship Id="rId617" Type="http://schemas.openxmlformats.org/officeDocument/2006/relationships/hyperlink" Target="http://www.killedbypolice.net/victims/150915.jpg" TargetMode="External"/><Relationship Id="rId1247" Type="http://schemas.openxmlformats.org/officeDocument/2006/relationships/hyperlink" Target="http://image.al.com/home/bama-media/width380/img/news_huntsville_impact/photo/19593154-large.jpg" TargetMode="External"/><Relationship Id="rId1661" Type="http://schemas.openxmlformats.org/officeDocument/2006/relationships/hyperlink" Target="http://www.fatalencounters.org/wp-content/uploads/2013/10/jose-raul-cruz.jpg" TargetMode="External"/><Relationship Id="rId2712" Type="http://schemas.openxmlformats.org/officeDocument/2006/relationships/hyperlink" Target="http://www.wbay.com/content/news/One-person-dead-following-officer-involved-shooting-423432414.html" TargetMode="External"/><Relationship Id="rId5868" Type="http://schemas.openxmlformats.org/officeDocument/2006/relationships/hyperlink" Target="https://chicago.suntimes.com/news/lawndale-police-involved-shooting-2/" TargetMode="External"/><Relationship Id="rId6919" Type="http://schemas.openxmlformats.org/officeDocument/2006/relationships/hyperlink" Target="https://fatalencounters.org/wp-content/uploads/2019/12/James-F.-Plymell-III.jpg" TargetMode="External"/><Relationship Id="rId1314" Type="http://schemas.openxmlformats.org/officeDocument/2006/relationships/hyperlink" Target="http://www.ktuu.com/news/news/anchorage-police-respond-to-officerinvolved-shooting-at-32nd-ave-home/37407228" TargetMode="External"/><Relationship Id="rId4884" Type="http://schemas.openxmlformats.org/officeDocument/2006/relationships/hyperlink" Target="https://ktla.com/2018/07/09/pursuit-driver-fatally-shot-by-santa-ana-police/" TargetMode="External"/><Relationship Id="rId5935" Type="http://schemas.openxmlformats.org/officeDocument/2006/relationships/hyperlink" Target="https://www.fatalencounters.org/wp-content/uploads/2019/03/Jeremy-Ponce-Jr.jpg" TargetMode="External"/><Relationship Id="rId3486" Type="http://schemas.openxmlformats.org/officeDocument/2006/relationships/hyperlink" Target="https://www.reviewjournal.com/crime/shootings/las-vegas-police-shoot-kill-man-armed-with-axes/" TargetMode="External"/><Relationship Id="rId4537" Type="http://schemas.openxmlformats.org/officeDocument/2006/relationships/hyperlink" Target="http://www.fatalencounters.org/wp-content/uploads/2018/05/PetricaMuntean.jpg" TargetMode="External"/><Relationship Id="rId20" Type="http://schemas.openxmlformats.org/officeDocument/2006/relationships/hyperlink" Target="http://media.graytvinc.com/images/Mark+Perkins.jpg" TargetMode="External"/><Relationship Id="rId2088" Type="http://schemas.openxmlformats.org/officeDocument/2006/relationships/hyperlink" Target="http://www.tulsaworld.com/homepagelatest/update-tahlequah-officers-fatally-shoot-man-reportedly-wielding-a-hammer/article_fc4e0c8f-9278-51bd-8ea2-57fece4cda1f.html" TargetMode="External"/><Relationship Id="rId3139" Type="http://schemas.openxmlformats.org/officeDocument/2006/relationships/hyperlink" Target="http://www.clarionledger.com/story/news/2017/08/04/officials-lauderdale-county-deputy-involved-friday-shooting/540999001/" TargetMode="External"/><Relationship Id="rId4951" Type="http://schemas.openxmlformats.org/officeDocument/2006/relationships/hyperlink" Target="https://www.fatalencounters.org/wp-content/uploads/2018/07/Donna-Lynn-Allen.jpg" TargetMode="External"/><Relationship Id="rId7010" Type="http://schemas.openxmlformats.org/officeDocument/2006/relationships/hyperlink" Target="https://www.news5cleveland.com/news/local-news/akron-canton-news/man-shot-killed-by-akron-police-sunday-morning-identified" TargetMode="External"/><Relationship Id="rId474" Type="http://schemas.openxmlformats.org/officeDocument/2006/relationships/hyperlink" Target="http://www.washingtonpost.com/local/crime/man-killed-in-police-shooting-in-prince-georges-county/2014/04/05/114eb076-bcc3-11e3-b195-dd0c1174052c_allComments.html?ctab=all" TargetMode="External"/><Relationship Id="rId2155" Type="http://schemas.openxmlformats.org/officeDocument/2006/relationships/hyperlink" Target="http://www.fatalencounters.org/wp-content/uploads/2013/10/Peacor.jpg" TargetMode="External"/><Relationship Id="rId3553" Type="http://schemas.openxmlformats.org/officeDocument/2006/relationships/hyperlink" Target="http://www.fatalencounters.org/wp-content/uploads/2013/10/Alex-Dold.jpg" TargetMode="External"/><Relationship Id="rId4604" Type="http://schemas.openxmlformats.org/officeDocument/2006/relationships/hyperlink" Target="http://www.alicetx.com/news/20180503/knife-wielding-man-fatally-shot-by-deputy" TargetMode="External"/><Relationship Id="rId127" Type="http://schemas.openxmlformats.org/officeDocument/2006/relationships/hyperlink" Target="http://www.wrdw.com/home/headlines/Shooting-on-Coulter-Drive-in-North-Augusta-307293011.html" TargetMode="External"/><Relationship Id="rId3206" Type="http://schemas.openxmlformats.org/officeDocument/2006/relationships/hyperlink" Target="http://www.nj.com/essex/index.ssf/2017/04/person_killed_by_off-duty_jersey_city_cop_in_east.html" TargetMode="External"/><Relationship Id="rId3620" Type="http://schemas.openxmlformats.org/officeDocument/2006/relationships/hyperlink" Target="http://www.tulsaworld.com/homepagelatest/update-man-dies-after-being-shot-by-police-in-southeast/article_26955af6-976a-58a7-a9dd-6dcab3c3e00c.html" TargetMode="External"/><Relationship Id="rId6776" Type="http://schemas.openxmlformats.org/officeDocument/2006/relationships/hyperlink" Target="https://fatalencounters.org/wp-content/uploads/2019/09/GayPeck.jpg" TargetMode="External"/><Relationship Id="rId541" Type="http://schemas.openxmlformats.org/officeDocument/2006/relationships/hyperlink" Target="http://www.washingtonpost.com/blogs/local/wp/2014/07/08/ten-months-of-silence-in-the-fairfax-police-shooting-death-of-john-geer/" TargetMode="External"/><Relationship Id="rId1171" Type="http://schemas.openxmlformats.org/officeDocument/2006/relationships/hyperlink" Target="http://www.stltoday.com/news/local/crime-and-courts/fires-set-off-police-confront-crowds-hours-after-st-louis/article_9eae9155-9f8e-5296-b836-45326918fda3.html" TargetMode="External"/><Relationship Id="rId2222" Type="http://schemas.openxmlformats.org/officeDocument/2006/relationships/hyperlink" Target="http://www.fatalencounters.org/wp-content/uploads/2013/10/Dean-Bruning.jpg" TargetMode="External"/><Relationship Id="rId5378" Type="http://schemas.openxmlformats.org/officeDocument/2006/relationships/hyperlink" Target="https://www.fatalencounters.org/wp-content/uploads/2018/11/Jesus-Guzman.jpg" TargetMode="External"/><Relationship Id="rId5792" Type="http://schemas.openxmlformats.org/officeDocument/2006/relationships/hyperlink" Target="https://www.mysanantonio.com/news/houston-texas/article/We-are-so-sorry-Family-of-man-killed-in-drug-13571054.php" TargetMode="External"/><Relationship Id="rId6429" Type="http://schemas.openxmlformats.org/officeDocument/2006/relationships/hyperlink" Target="https://www.wrcbtv.com/story/40724584/tennessee-officer-shoots-kills-man-in-return-fire" TargetMode="External"/><Relationship Id="rId6843" Type="http://schemas.openxmlformats.org/officeDocument/2006/relationships/hyperlink" Target="https://fatalencounters.org/wp-content/uploads/2019/10/Marco-AntonioTonitoVasquez.jpg" TargetMode="External"/><Relationship Id="rId1988" Type="http://schemas.openxmlformats.org/officeDocument/2006/relationships/hyperlink" Target="http://www.fatalencounters.org/wp-content/uploads/2013/10/Medeiros.jpg" TargetMode="External"/><Relationship Id="rId4394" Type="http://schemas.openxmlformats.org/officeDocument/2006/relationships/hyperlink" Target="https://www.baxterbulletin.com/story/news/local/2018/03/20/bcso-deputy-shoots-kills-suspect/440727002/" TargetMode="External"/><Relationship Id="rId5445" Type="http://schemas.openxmlformats.org/officeDocument/2006/relationships/hyperlink" Target="https://chicago.suntimes.com/news/person-shot-during-armed-robbery-in-northwest-side-arcadia-terrace-neighborhood/" TargetMode="External"/><Relationship Id="rId4047" Type="http://schemas.openxmlformats.org/officeDocument/2006/relationships/hyperlink" Target="http://www.wftv.com/news/local/police-fatally-shoot-man-who-shot-wife-in-edgewater/674036132" TargetMode="External"/><Relationship Id="rId4461" Type="http://schemas.openxmlformats.org/officeDocument/2006/relationships/hyperlink" Target="http://www.fatalencounters.org/wp-content/uploads/2018/04/Brian-Bellamy.jpg" TargetMode="External"/><Relationship Id="rId5512" Type="http://schemas.openxmlformats.org/officeDocument/2006/relationships/hyperlink" Target="https://www.fatalencounters.org/wp-content/uploads/2018/12/JoshuaBoyd.jpg" TargetMode="External"/><Relationship Id="rId6910" Type="http://schemas.openxmlformats.org/officeDocument/2006/relationships/hyperlink" Target="https://www.kgw.com/article/news/local/shooting-in-hillsboro-police-station-parking-lot/283-9188689f-abff-44fd-841e-d3807c307ce9" TargetMode="External"/><Relationship Id="rId3063" Type="http://schemas.openxmlformats.org/officeDocument/2006/relationships/hyperlink" Target="http://www.fatalencounters.org/wp-content/uploads/2013/10/Angel-Ramos.png" TargetMode="External"/><Relationship Id="rId4114" Type="http://schemas.openxmlformats.org/officeDocument/2006/relationships/hyperlink" Target="http://www.charlotteobserver.com/news/local/crime/article194791664.html" TargetMode="External"/><Relationship Id="rId1708" Type="http://schemas.openxmlformats.org/officeDocument/2006/relationships/hyperlink" Target="http://www.abc15.com/news/region-phoenix-metro/central-phoenix/police-officer-hurt-suspect-down-in-shooting-involving-phoenix-pd" TargetMode="External"/><Relationship Id="rId3130" Type="http://schemas.openxmlformats.org/officeDocument/2006/relationships/hyperlink" Target="http://abc7.com/man-dies-after-deputy-involved-shooting-in-nickerson-gardens/2316325/" TargetMode="External"/><Relationship Id="rId6286" Type="http://schemas.openxmlformats.org/officeDocument/2006/relationships/hyperlink" Target="https://www.newschannel6now.com/2019/05/29/amarillo-police-responding-officer-involved-shooting-near-maverick-boys-girls-club/" TargetMode="External"/><Relationship Id="rId2896" Type="http://schemas.openxmlformats.org/officeDocument/2006/relationships/hyperlink" Target="http://bakersfieldnow.com/news/local/two-bpd-officers-shot-suspect-dead-in-shootout" TargetMode="External"/><Relationship Id="rId3947" Type="http://schemas.openxmlformats.org/officeDocument/2006/relationships/hyperlink" Target="http://www.thv11.com/news/crime/officer-uses-deadly-force-responding-to-white-county-911-call/498433064" TargetMode="External"/><Relationship Id="rId6353" Type="http://schemas.openxmlformats.org/officeDocument/2006/relationships/hyperlink" Target="https://www.wesh.com/article/deputy-involved-shooting-under-investigation-in-orange-county-subdivision/27921882" TargetMode="External"/><Relationship Id="rId868" Type="http://schemas.openxmlformats.org/officeDocument/2006/relationships/hyperlink" Target="http://www.azfamily.com/story/30135717/ycso-identifies-deputies-who-shot-killed-armed-suspect" TargetMode="External"/><Relationship Id="rId1498" Type="http://schemas.openxmlformats.org/officeDocument/2006/relationships/hyperlink" Target="http://www.nytimes.com/2016/02/26/us/shooting-at-plant-hesston-kansas.html" TargetMode="External"/><Relationship Id="rId2549" Type="http://schemas.openxmlformats.org/officeDocument/2006/relationships/hyperlink" Target="http://www.tampabay.com/projects/2017/investigations/florida-police-shootings/database/1043/" TargetMode="External"/><Relationship Id="rId2963" Type="http://schemas.openxmlformats.org/officeDocument/2006/relationships/hyperlink" Target="http://bakersfieldnow.com/news/local/man-on-roof-with-gun-is-shot-killed-by-7-officers-in-ridgecrest" TargetMode="External"/><Relationship Id="rId6006" Type="http://schemas.openxmlformats.org/officeDocument/2006/relationships/hyperlink" Target="https://www.fatalencounters.org/wp-content/uploads/2019/03/Juan-Manuel-Flores-Del-Toro.jpg" TargetMode="External"/><Relationship Id="rId6420" Type="http://schemas.openxmlformats.org/officeDocument/2006/relationships/hyperlink" Target="https://fatalencounters.org/wp-content/uploads/2019/07/William-Aubrey-Martin.jpg" TargetMode="External"/><Relationship Id="rId935" Type="http://schemas.openxmlformats.org/officeDocument/2006/relationships/hyperlink" Target="http://www.mlive.com/news/grand-rapids/index.ssf/2015/10/man_shot_dead_by_kentwood_poli.html" TargetMode="External"/><Relationship Id="rId1565" Type="http://schemas.openxmlformats.org/officeDocument/2006/relationships/hyperlink" Target="http://www.nj.com/middlesex/index.ssf/2016/04/police_shoot_kill_man_in_new_brunswick.html" TargetMode="External"/><Relationship Id="rId2616" Type="http://schemas.openxmlformats.org/officeDocument/2006/relationships/hyperlink" Target="http://www.kansas.com/news/local/crime/article169913982.html" TargetMode="External"/><Relationship Id="rId5022" Type="http://schemas.openxmlformats.org/officeDocument/2006/relationships/hyperlink" Target="https://www.kansascity.com/latest-news/article216391315.html" TargetMode="External"/><Relationship Id="rId1218" Type="http://schemas.openxmlformats.org/officeDocument/2006/relationships/hyperlink" Target="http://www.desertsun.com/story/news/crime_courts/2015/10/25/cathedral-city-officer-shooting/74582286/" TargetMode="External"/><Relationship Id="rId7194" Type="http://schemas.openxmlformats.org/officeDocument/2006/relationships/hyperlink" Target="http://marleysmutts.org/wp-content/uploads/2013/11/Chris.jpg" TargetMode="External"/><Relationship Id="rId1632" Type="http://schemas.openxmlformats.org/officeDocument/2006/relationships/hyperlink" Target="http://www.ksat.com/news/sapd-responds-to-shooting-on-south-side" TargetMode="External"/><Relationship Id="rId4788" Type="http://schemas.openxmlformats.org/officeDocument/2006/relationships/hyperlink" Target="http://www.krqe.com/news/crime/suspected-thief-led-police-on-crime-spree-before-fatal-police-shooting/1247654015" TargetMode="External"/><Relationship Id="rId5839" Type="http://schemas.openxmlformats.org/officeDocument/2006/relationships/hyperlink" Target="https://www.13newsnow.com/article/news/local/mycity/virginia-beach/man-shot-killed-by-virginia-beach-officer-after-threatening-police-with-knife/291-891b4221-1d2f-4091-9301-a50e04f0b9a2" TargetMode="External"/><Relationship Id="rId4855" Type="http://schemas.openxmlformats.org/officeDocument/2006/relationships/hyperlink" Target="https://www.kansas.com/news/local/crime/article214261769.html" TargetMode="External"/><Relationship Id="rId5906" Type="http://schemas.openxmlformats.org/officeDocument/2006/relationships/hyperlink" Target="https://www.duluthnewstribune.com/news/crime-and-courts/4578192-name-deputy-who-fatally-shot-man-central-minnesota-released-suspect" TargetMode="External"/><Relationship Id="rId3457" Type="http://schemas.openxmlformats.org/officeDocument/2006/relationships/hyperlink" Target="http://www.fox25boston.com/news/barricaded-suspect-dead-after-firing-shots-at-officers-during-chelsea-standoff/525511708" TargetMode="External"/><Relationship Id="rId3871" Type="http://schemas.openxmlformats.org/officeDocument/2006/relationships/hyperlink" Target="http://www.fatalencounters.org/wp-content/uploads/2013/10/Michaellevy.jpg" TargetMode="External"/><Relationship Id="rId4508" Type="http://schemas.openxmlformats.org/officeDocument/2006/relationships/hyperlink" Target="https://www.dallasnews.com/news/crime/2018/04/10/border-patrol-agent-charged-murder-after-woman-child-found-dead-near-rio-grande" TargetMode="External"/><Relationship Id="rId4922" Type="http://schemas.openxmlformats.org/officeDocument/2006/relationships/hyperlink" Target="https://www.fatalencounters.org/wp-content/uploads/2018/07/Wesley-Shelton.jpg" TargetMode="External"/><Relationship Id="rId378" Type="http://schemas.openxmlformats.org/officeDocument/2006/relationships/hyperlink" Target="http://bloximages.chicago2.vip.townnews.com/wacotrib.com/content/tncms/assets/v3/editorial/d/8f/d8f5c52a-c474-5323-bbcf-9da3b5d574a5/543498624ad06.image.jpg" TargetMode="External"/><Relationship Id="rId792" Type="http://schemas.openxmlformats.org/officeDocument/2006/relationships/hyperlink" Target="http://www.mysanantonio.com/news/local/article/Man-brandishes-gun-at-Boerne-police-is-shot-and-6446247.php" TargetMode="External"/><Relationship Id="rId2059" Type="http://schemas.openxmlformats.org/officeDocument/2006/relationships/hyperlink" Target="http://www.loudountimes.com/news/article/developing_loudoun_county_deputy_fatally_shoots_man_with_a_knife_in_aldie43" TargetMode="External"/><Relationship Id="rId2473" Type="http://schemas.openxmlformats.org/officeDocument/2006/relationships/hyperlink" Target="http://www.fatalencounters.org/wp-content/uploads/2013/10/Dylan-M.-Dalzell.jpg" TargetMode="External"/><Relationship Id="rId3524" Type="http://schemas.openxmlformats.org/officeDocument/2006/relationships/hyperlink" Target="http://www.cleveland.com/metro/index.ssf/2017/04/swat_officers_fatally_shoot_ar.html" TargetMode="External"/><Relationship Id="rId445" Type="http://schemas.openxmlformats.org/officeDocument/2006/relationships/hyperlink" Target="http://patersontimes.com/2014/05/31/armed-city-man-killed-by-city-detective-on-montgomery-street/" TargetMode="External"/><Relationship Id="rId1075" Type="http://schemas.openxmlformats.org/officeDocument/2006/relationships/hyperlink" Target="http://www.latimes.com/local/lanow/la-me-ln-taser-death-20150107-story.html" TargetMode="External"/><Relationship Id="rId2126" Type="http://schemas.openxmlformats.org/officeDocument/2006/relationships/hyperlink" Target="http://www.desertsun.com/story/news/crime_courts/2016/08/21/man-dies-after-officer-involved-shooting-indio/89071120/" TargetMode="External"/><Relationship Id="rId2540" Type="http://schemas.openxmlformats.org/officeDocument/2006/relationships/hyperlink" Target="http://www.krgv.com/story/34096662/officer-involved-shooting-in-pharr-under-investigation" TargetMode="External"/><Relationship Id="rId5696" Type="http://schemas.openxmlformats.org/officeDocument/2006/relationships/hyperlink" Target="https://www.azcentral.com/story/news/local/phoenix-breaking/2019/01/11/phoenix-police-shooting-armed-robbery-suspect-shot/2545814002/" TargetMode="External"/><Relationship Id="rId6747" Type="http://schemas.openxmlformats.org/officeDocument/2006/relationships/hyperlink" Target="https://texasbreakingnews.com/breaking/border-patrol-agent-shot-during-traffic-stop-that-led-to-gunfire/" TargetMode="External"/><Relationship Id="rId512" Type="http://schemas.openxmlformats.org/officeDocument/2006/relationships/hyperlink" Target="http://www.baltimoresun.com/news/maryland/crime/blog/bal-police-investigating-officerinvolved-shooting-in-east-baltimore-20140113,0,4169034.story" TargetMode="External"/><Relationship Id="rId1142" Type="http://schemas.openxmlformats.org/officeDocument/2006/relationships/hyperlink" Target="https://cbsla.files.wordpress.com/2015/08/derrick_hunt.jpg?w=1280" TargetMode="External"/><Relationship Id="rId4298" Type="http://schemas.openxmlformats.org/officeDocument/2006/relationships/hyperlink" Target="http://www.kmov.com/story/37593103/officer-alert-talking-after-being-shot-in-glasgow-village-barricaded-suspect-in-standoff-with-police" TargetMode="External"/><Relationship Id="rId5349" Type="http://schemas.openxmlformats.org/officeDocument/2006/relationships/hyperlink" Target="https://www.fatalencounters.org/wp-content/uploads/2018/11/JohnWurms.jpg" TargetMode="External"/><Relationship Id="rId4365" Type="http://schemas.openxmlformats.org/officeDocument/2006/relationships/hyperlink" Target="http://www.fatalencounters.org/wp-content/uploads/2018/03/jadenmarsh.jpg" TargetMode="External"/><Relationship Id="rId5763" Type="http://schemas.openxmlformats.org/officeDocument/2006/relationships/hyperlink" Target="https://azdailysun.com/news/second-suspect-dead-following-railroad-springs-shooting-family-says/article_da73d638-990f-5358-bfed-70115c47e707.html" TargetMode="External"/><Relationship Id="rId6814" Type="http://schemas.openxmlformats.org/officeDocument/2006/relationships/hyperlink" Target="https://www.wistv.com/2019/09/27/man-shot-killed-shootout-with-lexington-co-deputies-identified/" TargetMode="External"/><Relationship Id="rId1959" Type="http://schemas.openxmlformats.org/officeDocument/2006/relationships/hyperlink" Target="http://www.fatalencounters.org/wp-content/uploads/2013/10/Larrygordon.jpg" TargetMode="External"/><Relationship Id="rId4018" Type="http://schemas.openxmlformats.org/officeDocument/2006/relationships/hyperlink" Target="http://www.fatalencounters.org/wp-content/uploads/2013/10/Nathaniel-Fritz-Macalevy.png" TargetMode="External"/><Relationship Id="rId5416" Type="http://schemas.openxmlformats.org/officeDocument/2006/relationships/hyperlink" Target="https://sacramento.cbslocal.com/2018/11/15/camp-fire-butte-county-officer-involved-shooting/" TargetMode="External"/><Relationship Id="rId5830" Type="http://schemas.openxmlformats.org/officeDocument/2006/relationships/hyperlink" Target="https://www.fatalencounters.org/wp-content/uploads/2019/02/Aaron-Allen-Przkeop-2.jpg" TargetMode="External"/><Relationship Id="rId3381" Type="http://schemas.openxmlformats.org/officeDocument/2006/relationships/hyperlink" Target="http://www.fatalencounters.org/wp-content/uploads/2013/10/Cody-Ray-McCray.jpg" TargetMode="External"/><Relationship Id="rId4432" Type="http://schemas.openxmlformats.org/officeDocument/2006/relationships/hyperlink" Target="http://www.fatalencounters.org/wp-content/uploads/2018/04/Jesse-Kilgus.png" TargetMode="External"/><Relationship Id="rId3034" Type="http://schemas.openxmlformats.org/officeDocument/2006/relationships/hyperlink" Target="http://www.mysanantonio.com/news/local/article/SAPD-responding-to-officer-involved-shooting-on-10937555.php" TargetMode="External"/><Relationship Id="rId2050" Type="http://schemas.openxmlformats.org/officeDocument/2006/relationships/hyperlink" Target="http://www.clickondetroit.com/news/bank-robbery-suspect-shot-killed-by-police-in-detroit" TargetMode="External"/><Relationship Id="rId3101" Type="http://schemas.openxmlformats.org/officeDocument/2006/relationships/hyperlink" Target="http://www.wday.com/news/4201825-deputy-29-and-suspect-fatally-shot-after-shootout-nds-rolette-county-2-other-deputies" TargetMode="External"/><Relationship Id="rId6257" Type="http://schemas.openxmlformats.org/officeDocument/2006/relationships/hyperlink" Target="https://fatalencounters.org/wp-content/uploads/2019/05/StevenCase.jpg" TargetMode="External"/><Relationship Id="rId6671" Type="http://schemas.openxmlformats.org/officeDocument/2006/relationships/hyperlink" Target="https://fatalencounters.org/wp-content/uploads/2019/09/Chad-Breinholt.jpg" TargetMode="External"/><Relationship Id="rId5273" Type="http://schemas.openxmlformats.org/officeDocument/2006/relationships/hyperlink" Target="https://abc7.com/huntington-beach-police-kill-suspect-arrest-another-after-chase/4460409/" TargetMode="External"/><Relationship Id="rId6324" Type="http://schemas.openxmlformats.org/officeDocument/2006/relationships/hyperlink" Target="https://fatalencounters.org/wp-content/uploads/2019/06/Rodnell-Cotton.jpg" TargetMode="External"/><Relationship Id="rId839" Type="http://schemas.openxmlformats.org/officeDocument/2006/relationships/hyperlink" Target="http://www.wrcbtv.com/story/30127734/suspect-dead-in-officer-involved-shooting-in-walker-county" TargetMode="External"/><Relationship Id="rId1469" Type="http://schemas.openxmlformats.org/officeDocument/2006/relationships/hyperlink" Target="http://image.syracuse.com/home/syr-media/width620/img/crime_impact/photo/19745551-mmmain.jpg" TargetMode="External"/><Relationship Id="rId2867" Type="http://schemas.openxmlformats.org/officeDocument/2006/relationships/hyperlink" Target="http://wjla.com/news/local/2-people-shot-in-domestic-related-shooting-in-herndon-2-alarm-fire-on-same-block" TargetMode="External"/><Relationship Id="rId3918" Type="http://schemas.openxmlformats.org/officeDocument/2006/relationships/hyperlink" Target="http://www.fatalencounters.org/wp-content/uploads/2013/10/Mario-Guevara.jpg" TargetMode="External"/><Relationship Id="rId5340" Type="http://schemas.openxmlformats.org/officeDocument/2006/relationships/hyperlink" Target="https://sacramento.cbslocal.com/2018/10/29/motorcyclist-dies-el-dorado-county/" TargetMode="External"/><Relationship Id="rId1883" Type="http://schemas.openxmlformats.org/officeDocument/2006/relationships/hyperlink" Target="http://www.wptv.com/news/region-c-palm-beach-county/wellington/pbso-investigates-shooting-in-wellington" TargetMode="External"/><Relationship Id="rId2934" Type="http://schemas.openxmlformats.org/officeDocument/2006/relationships/hyperlink" Target="http://www.nbcsandiego.com/news/local/witness-to-Deputy-Involved-Shooting-says-suspect-was-surrendering-432814693.html" TargetMode="External"/><Relationship Id="rId7098" Type="http://schemas.openxmlformats.org/officeDocument/2006/relationships/hyperlink" Target="http://chicago.suntimes.com/news/second-cpd-officer-to-be-released-from-hospital-after-fatal-chase/" TargetMode="External"/><Relationship Id="rId906" Type="http://schemas.openxmlformats.org/officeDocument/2006/relationships/hyperlink" Target="http://www.baltimoresun.com/news/maryland/howard/columbia/bs-md-ho-police-shooting-20151009-story.html" TargetMode="External"/><Relationship Id="rId1536" Type="http://schemas.openxmlformats.org/officeDocument/2006/relationships/hyperlink" Target="http://www.wcvb.com/news/knifewielding-man-killed-in-officerinvolved-shooting-identified/39171770" TargetMode="External"/><Relationship Id="rId1950" Type="http://schemas.openxmlformats.org/officeDocument/2006/relationships/hyperlink" Target="http://tucson.com/news/local/crime/authorities-identify-man-shot-killed-by-tucson-police/article_127167be-4619-11e6-963c-17990d7f248d.html" TargetMode="External"/><Relationship Id="rId1603" Type="http://schemas.openxmlformats.org/officeDocument/2006/relationships/hyperlink" Target="http://www.chron.com/houston/article/Deputy-shoots-kills-gun-wielding-man-in-Splendora-7210583.php" TargetMode="External"/><Relationship Id="rId4759" Type="http://schemas.openxmlformats.org/officeDocument/2006/relationships/hyperlink" Target="https://www.fatalencounters.org/wp-content/uploads/2018/06/StephenCogelia.jpg" TargetMode="External"/><Relationship Id="rId7165" Type="http://schemas.openxmlformats.org/officeDocument/2006/relationships/hyperlink" Target="http://www.gannett-cdn.com/-mm-/2f5d7a6e607da7560854cfe1de303beb03eb5859/c=0-0-680-510&amp;r=x404&amp;c=534x401/http/king-download.edgesuite.net/archive/images/032913hoquiamsuspect.JPG" TargetMode="External"/><Relationship Id="rId3775" Type="http://schemas.openxmlformats.org/officeDocument/2006/relationships/hyperlink" Target="http://www.newschannel5.com/news/tbi-responds-to-officer-involved-shooting-in-overton-county" TargetMode="External"/><Relationship Id="rId4826" Type="http://schemas.openxmlformats.org/officeDocument/2006/relationships/hyperlink" Target="https://www.fatalencounters.org/wp-content/uploads/2018/07/William-Shawn-Mann.jpg" TargetMode="External"/><Relationship Id="rId6181" Type="http://schemas.openxmlformats.org/officeDocument/2006/relationships/hyperlink" Target="https://www.kob.com/albuquerque-news/state-police-investigate-deadly-deputy-involved-shooting-in-valencia-county/5336721/?cat=516&amp;utm_source=feedburner&amp;utm_medium=feed&amp;utm_campaign=Feed%3A+Kobcom-AlbuquerqueMetro+%28KOB.com+-+Albuquerque+Metro+News%29&amp;utm" TargetMode="External"/><Relationship Id="rId7232" Type="http://schemas.openxmlformats.org/officeDocument/2006/relationships/hyperlink" Target="https://www.washingtonpost.com/local/crime/marcus-young-shot-by-dc-officer-in-october-dies-at-jail-infirmary/2014/05/06/0678779e-d565-11e3-95d3-3bcd77cd4e11_story.html?utm_term=.3899ec35a390" TargetMode="External"/><Relationship Id="rId696" Type="http://schemas.openxmlformats.org/officeDocument/2006/relationships/hyperlink" Target="http://www.pe.com/articles/responding-786289-involved-sheriff.html" TargetMode="External"/><Relationship Id="rId2377" Type="http://schemas.openxmlformats.org/officeDocument/2006/relationships/hyperlink" Target="http://www.conchovalleyhomepage.com/news/local-news/report-shooting-vicitm-near-schlotzskys" TargetMode="External"/><Relationship Id="rId2791" Type="http://schemas.openxmlformats.org/officeDocument/2006/relationships/hyperlink" Target="http://www.wisn.com/article/one-dead-one-injured-in-milwaukee-shooting/9121734" TargetMode="External"/><Relationship Id="rId3428" Type="http://schemas.openxmlformats.org/officeDocument/2006/relationships/hyperlink" Target="http://www.baltimoresun.com/news/maryland/crime/bs-md-co-dundalk-shooting-20170607-story.html" TargetMode="External"/><Relationship Id="rId349" Type="http://schemas.openxmlformats.org/officeDocument/2006/relationships/hyperlink" Target="http://wistv.images.worldnow.com/images/6145354_G.jpg" TargetMode="External"/><Relationship Id="rId763" Type="http://schemas.openxmlformats.org/officeDocument/2006/relationships/hyperlink" Target="http://img.deseretnews.com/images/article/midres/1589560/1589560.jpg" TargetMode="External"/><Relationship Id="rId1393" Type="http://schemas.openxmlformats.org/officeDocument/2006/relationships/hyperlink" Target="http://www.latimes.com/local/lanow/la-me-ln-deputy-shooting-20160214-story.html" TargetMode="External"/><Relationship Id="rId2444" Type="http://schemas.openxmlformats.org/officeDocument/2006/relationships/hyperlink" Target="http://www.fatalencounters.org/wp-content/uploads/2013/10/Richard-Grimes.jpg" TargetMode="External"/><Relationship Id="rId3842" Type="http://schemas.openxmlformats.org/officeDocument/2006/relationships/hyperlink" Target="http://wpri.com/2017/11/13/one-person-in-custody-following-early-morning-hospital-disturbance/" TargetMode="External"/><Relationship Id="rId6998" Type="http://schemas.openxmlformats.org/officeDocument/2006/relationships/hyperlink" Target="https://www.news9.com/story/41448229/update-garvin-county-woman-found-alive-mother-says" TargetMode="External"/><Relationship Id="rId416" Type="http://schemas.openxmlformats.org/officeDocument/2006/relationships/hyperlink" Target="http://www.tri-cityherald.com/2014/07/29/3083195_pasco-man-with-knife-killed-by.html?rh=1" TargetMode="External"/><Relationship Id="rId1046" Type="http://schemas.openxmlformats.org/officeDocument/2006/relationships/hyperlink" Target="http://www.chicagotribune.com/news/local/breaking/chi-man-fatally-shot-by-police-in-south-shore-20150417-story.html" TargetMode="External"/><Relationship Id="rId830" Type="http://schemas.openxmlformats.org/officeDocument/2006/relationships/hyperlink" Target="http://www.wral.com/police-wake-forest-man-charged-officers-with-knife-before-being-shot/14847812/" TargetMode="External"/><Relationship Id="rId1460" Type="http://schemas.openxmlformats.org/officeDocument/2006/relationships/hyperlink" Target="https://pbs.twimg.com/media/CX-OJ25UAAA_jR8.jpg" TargetMode="External"/><Relationship Id="rId2511" Type="http://schemas.openxmlformats.org/officeDocument/2006/relationships/hyperlink" Target="http://www.lmtonline.com/news/article/Man-fatally-shot-by-Laredo-police-10789657.php" TargetMode="External"/><Relationship Id="rId5667" Type="http://schemas.openxmlformats.org/officeDocument/2006/relationships/hyperlink" Target="https://www.myhighplains.com/news/breaking-news/amarillo-police-investigating-officer-involved-shooting-near-37th-and-polk/1686809713" TargetMode="External"/><Relationship Id="rId6718" Type="http://schemas.openxmlformats.org/officeDocument/2006/relationships/hyperlink" Target="https://www.sbsun.com/2019/09/04/san-bernardino-county-sheriffs-deputy-injured-after-struggle-for-her-gun-suspect-shot/" TargetMode="External"/><Relationship Id="rId1113" Type="http://schemas.openxmlformats.org/officeDocument/2006/relationships/hyperlink" Target="http://www.wusa9.com/story/news/local/dc/2015/11/02/police-involved-shooting-reported-southeast-dc/75070140/" TargetMode="External"/><Relationship Id="rId4269" Type="http://schemas.openxmlformats.org/officeDocument/2006/relationships/hyperlink" Target="https://www.abc15.com/news/region-northeast-valley/scottsdale/scottsdale-police-officer-involved-shooting-at-fashion-square-mall" TargetMode="External"/><Relationship Id="rId4683" Type="http://schemas.openxmlformats.org/officeDocument/2006/relationships/hyperlink" Target="https://www.fatalencounters.org/wp-content/uploads/2018/05/eddiemorris.jpg" TargetMode="External"/><Relationship Id="rId5734" Type="http://schemas.openxmlformats.org/officeDocument/2006/relationships/hyperlink" Target="https://www.arkansasonline.com/news/2019/jan/19/two-killed-west-memphis-police-shooting-identified/" TargetMode="External"/><Relationship Id="rId3285" Type="http://schemas.openxmlformats.org/officeDocument/2006/relationships/hyperlink" Target="http://santamariatimes.com/news/local/crime-and-courts/orcutt-bank-robbery-suspect-shot-by-sheriff-s-deputies-dies/article_c5febe56-23cc-5469-a666-5d5e77b38fdd.html" TargetMode="External"/><Relationship Id="rId4336" Type="http://schemas.openxmlformats.org/officeDocument/2006/relationships/hyperlink" Target="http://www.fatalencounters.org/wp-content/uploads/2018/03/JamesWaters.jpg" TargetMode="External"/><Relationship Id="rId4750" Type="http://schemas.openxmlformats.org/officeDocument/2006/relationships/hyperlink" Target="https://www.rlsmedia.com/article/nj-state-police-fatally-shoots-man-armed-two-rifles" TargetMode="External"/><Relationship Id="rId5801" Type="http://schemas.openxmlformats.org/officeDocument/2006/relationships/hyperlink" Target="http://www.newswest9.com/2019/01/31/midland-man-dead-following-incident-with-midland-county-sheriffs-office/" TargetMode="External"/><Relationship Id="rId3352" Type="http://schemas.openxmlformats.org/officeDocument/2006/relationships/hyperlink" Target="http://www.fredericksburg.com/news/crime_courts/culpeper-deputies-shoot-driver-who-presented-deadly-threat/article_5a555c8e-6bbb-11e7-987b-279185929a69.html" TargetMode="External"/><Relationship Id="rId4403" Type="http://schemas.openxmlformats.org/officeDocument/2006/relationships/hyperlink" Target="http://www.ksla.com/story/37777408/stabbing-suspect-dies-after-shots-fired-by-littlefield-police" TargetMode="External"/><Relationship Id="rId273" Type="http://schemas.openxmlformats.org/officeDocument/2006/relationships/hyperlink" Target="http://www.latimes.com/local/lanow/la-me-ln-boyle-heights-ois-man-identified-20150410-story.html" TargetMode="External"/><Relationship Id="rId3005" Type="http://schemas.openxmlformats.org/officeDocument/2006/relationships/hyperlink" Target="http://www.fatalencounters.org/wp-content/uploads/2013/10/Matthew-Gambaro.png" TargetMode="External"/><Relationship Id="rId6575" Type="http://schemas.openxmlformats.org/officeDocument/2006/relationships/hyperlink" Target="https://www.wsoctv.com/news/local/cmpd-officer-shoots-kills-man-following-domestic-violence-call/972157543" TargetMode="External"/><Relationship Id="rId340" Type="http://schemas.openxmlformats.org/officeDocument/2006/relationships/hyperlink" Target="http://www.everythinglubbock.com/media/lib/197/b/e/9/be97488a-220f-42d4-a656-82afae53b037/Story.jpg" TargetMode="External"/><Relationship Id="rId2021" Type="http://schemas.openxmlformats.org/officeDocument/2006/relationships/hyperlink" Target="http://www.chicagotribune.com/news/local/breaking/ct-police-shooting-south-shore-20160728-story.html" TargetMode="External"/><Relationship Id="rId5177" Type="http://schemas.openxmlformats.org/officeDocument/2006/relationships/hyperlink" Target="https://www.wbay.com/content/news/Man-dead-after-officer-involved-shooting-493412811.html" TargetMode="External"/><Relationship Id="rId6228" Type="http://schemas.openxmlformats.org/officeDocument/2006/relationships/hyperlink" Target="https://www.whas11.com/article/news/crime/lmpd-identifies-officer-who-shot-killed-robbery-suspect-in-jeffersontown/417-4c3c4732-4c90-41b4-948c-0ae89e7ff358" TargetMode="External"/><Relationship Id="rId4193" Type="http://schemas.openxmlformats.org/officeDocument/2006/relationships/hyperlink" Target="http://www.fatalencounters.org/wp-content/uploads/2018/02/William-Young.jpg" TargetMode="External"/><Relationship Id="rId5591" Type="http://schemas.openxmlformats.org/officeDocument/2006/relationships/hyperlink" Target="https://www.kob.com/albuquerque-news/possible-active-shooter-leads-of-officer-involved-shooting/5189977/?cat=516&amp;utm_source=feedburner&amp;utm_medium=feed&amp;utm_campaign=Feed%3A+Kobcom-AlbuquerqueMetro+%28KOB.com+-+Albuquerque+Metro+News%29&amp;utm_content=FaceBook" TargetMode="External"/><Relationship Id="rId6642" Type="http://schemas.openxmlformats.org/officeDocument/2006/relationships/hyperlink" Target="https://www.ksl.com/article/46621173/police-identify-man-killed-friday-in-ogden-officer-involved-shooting?fbclid=IwAR3DypoebpYsmALoZYgftEicWiwwhNVRG_yWgxvZ_blcaj76ubBKXrQVu7k" TargetMode="External"/><Relationship Id="rId1787" Type="http://schemas.openxmlformats.org/officeDocument/2006/relationships/hyperlink" Target="http://www.fatalencounters.org/wp-content/uploads/2013/10/WillieJames.jpg" TargetMode="External"/><Relationship Id="rId2838" Type="http://schemas.openxmlformats.org/officeDocument/2006/relationships/hyperlink" Target="http://www.thedenverchannel.com/news/local-news/police-man-with-gun-dead-after-being-shot-by-officers-in-commerce-city" TargetMode="External"/><Relationship Id="rId5244" Type="http://schemas.openxmlformats.org/officeDocument/2006/relationships/hyperlink" Target="https://www.fatalencounters.org/wp-content/uploads/2018/10/Lajuana-Phillips.jpg" TargetMode="External"/><Relationship Id="rId79" Type="http://schemas.openxmlformats.org/officeDocument/2006/relationships/hyperlink" Target="http://www.mercurynews.com/crime-courts/ci_28445274/pleasanton-investigation-continues-into-fatal-police-shooting-19" TargetMode="External"/><Relationship Id="rId1854" Type="http://schemas.openxmlformats.org/officeDocument/2006/relationships/hyperlink" Target="http://www.fatalencounters.org/wp-content/uploads/2013/10/Rashaun-Lloyd.jpg" TargetMode="External"/><Relationship Id="rId2905" Type="http://schemas.openxmlformats.org/officeDocument/2006/relationships/hyperlink" Target="http://ktla.com/2017/08/18/man-accused-of-fatally-shooting-his-estranged-wife-killed-in-police-shooting-in-montebello/" TargetMode="External"/><Relationship Id="rId4260" Type="http://schemas.openxmlformats.org/officeDocument/2006/relationships/hyperlink" Target="https://www.clickorlando.com/news/man-believed-to-armed-fatally-shot-by-cocoa-beach-officers-chief-says" TargetMode="External"/><Relationship Id="rId5311" Type="http://schemas.openxmlformats.org/officeDocument/2006/relationships/hyperlink" Target="https://www.fatalencounters.org/wp-content/uploads/2018/10/RobertSmith.png" TargetMode="External"/><Relationship Id="rId1507" Type="http://schemas.openxmlformats.org/officeDocument/2006/relationships/hyperlink" Target="http://bloximages.newyork1.vip.townnews.com/roanoke.com/content/tncms/assets/v3/editorial/f/26/f265d719-9e9e-50e4-8c90-3f9be0bdbc52/56d4f207b5d7e.image.jpg?resize=300%2C200" TargetMode="External"/><Relationship Id="rId7069" Type="http://schemas.openxmlformats.org/officeDocument/2006/relationships/hyperlink" Target="https://www.ksl.com/article/46695984/1-dead-following-officer-involved-shooting-in-south-ogden" TargetMode="External"/><Relationship Id="rId1921" Type="http://schemas.openxmlformats.org/officeDocument/2006/relationships/hyperlink" Target="http://www.heraldcourier.com/news/tbi-investigating-fatal-police-involved-shooting-in-bristol/article_a895dafe-40b5-11e6-848e-9797885cb990.html" TargetMode="External"/><Relationship Id="rId3679" Type="http://schemas.openxmlformats.org/officeDocument/2006/relationships/hyperlink" Target="http://news3lv.com/news/local/suspect-shot-injured-by-metro-officer-near-jean-casino" TargetMode="External"/><Relationship Id="rId6085" Type="http://schemas.openxmlformats.org/officeDocument/2006/relationships/hyperlink" Target="https://www.sltrib.com/news/2019/04/09/officers-leave-utah/" TargetMode="External"/><Relationship Id="rId7136" Type="http://schemas.openxmlformats.org/officeDocument/2006/relationships/hyperlink" Target="http://chicago.cbslocal.com/2013/03/16/police-shoot-kill-man-in-albany-park-neighborhood/" TargetMode="External"/><Relationship Id="rId6152" Type="http://schemas.openxmlformats.org/officeDocument/2006/relationships/hyperlink" Target="https://www.nbcdfw.com/news/local/Woman-Found-Dead-Inside-Watauga-Home-Man-Killed-in-Shootout-With-Police-508909291.html" TargetMode="External"/><Relationship Id="rId7203" Type="http://schemas.openxmlformats.org/officeDocument/2006/relationships/hyperlink" Target="http://www.gutierrezfuneralchapels.com/fh_live/15000/15050/images/obituaries/3087841_wlpp.jpg" TargetMode="External"/><Relationship Id="rId1297" Type="http://schemas.openxmlformats.org/officeDocument/2006/relationships/hyperlink" Target="http://wjhl.com/2016/01/05/police-respond-to-report-of-shooting-in-johnson-city/" TargetMode="External"/><Relationship Id="rId2695" Type="http://schemas.openxmlformats.org/officeDocument/2006/relationships/hyperlink" Target="http://philadelphia.cbslocal.com/2017/06/08/police-involved-shooting-philly/" TargetMode="External"/><Relationship Id="rId3746" Type="http://schemas.openxmlformats.org/officeDocument/2006/relationships/hyperlink" Target="http://abc13.com/suspect-wounded--in-officer-involved-shooting/2561444/" TargetMode="External"/><Relationship Id="rId667" Type="http://schemas.openxmlformats.org/officeDocument/2006/relationships/hyperlink" Target="http://www.denverpost.com/news/ci_29182697/aurora-accident-triggers-officer-involved-shooting-closes-roads" TargetMode="External"/><Relationship Id="rId2348" Type="http://schemas.openxmlformats.org/officeDocument/2006/relationships/hyperlink" Target="http://www.fatalencounters.org/wp-content/uploads/2013/10/Joshua-Beal.jpg" TargetMode="External"/><Relationship Id="rId2762" Type="http://schemas.openxmlformats.org/officeDocument/2006/relationships/hyperlink" Target="http://www.fatalencounters.org/wp-content/uploads/2013/10/richard-xavier-summers.jpg" TargetMode="External"/><Relationship Id="rId3813" Type="http://schemas.openxmlformats.org/officeDocument/2006/relationships/hyperlink" Target="http://www.lasvegasnow.com/news/metro-officers-shoot-kill-man-following-standoff/852787779" TargetMode="External"/><Relationship Id="rId6969" Type="http://schemas.openxmlformats.org/officeDocument/2006/relationships/hyperlink" Target="https://www.elpasotimes.com/story/news/2019/11/04/sunland-park-shooting-border-patrol-agent-involved-nm/4155120002/" TargetMode="External"/><Relationship Id="rId734" Type="http://schemas.openxmlformats.org/officeDocument/2006/relationships/hyperlink" Target="https://tacomastories.files.wordpress.com/2015/08/jasongalaviz.jpg?w=300&amp;h=300" TargetMode="External"/><Relationship Id="rId1364" Type="http://schemas.openxmlformats.org/officeDocument/2006/relationships/hyperlink" Target="http://www.kob.com/article/stories/s4035920.shtml" TargetMode="External"/><Relationship Id="rId2415" Type="http://schemas.openxmlformats.org/officeDocument/2006/relationships/hyperlink" Target="http://lompocrecord.com/news/local/lompoc-police-fatally-shoot-knife-wielding-suspect/article_623e813a-009a-5f6e-afaf-b3379c56361c.html" TargetMode="External"/><Relationship Id="rId5985" Type="http://schemas.openxmlformats.org/officeDocument/2006/relationships/hyperlink" Target="https://www.wtva.com/content/news/monroe-shooting-follow-507220451.html" TargetMode="External"/><Relationship Id="rId70" Type="http://schemas.openxmlformats.org/officeDocument/2006/relationships/hyperlink" Target="http://www.homefacts.com/images/offenders/texas/thumb/01958213.jpg" TargetMode="External"/><Relationship Id="rId801" Type="http://schemas.openxmlformats.org/officeDocument/2006/relationships/hyperlink" Target="http://www.fredericksburg.com/news/crime_courts/king-george-sheriff-deputy-gave-man-every-opportunity-to-surrender/article_5b6e9432-4a75-11e5-8dd2-cb62e7e351c0.html" TargetMode="External"/><Relationship Id="rId1017" Type="http://schemas.openxmlformats.org/officeDocument/2006/relationships/hyperlink" Target="http://newyork.cbslocal.com/2015/05/29/lyndhurst-library-police-shooting/" TargetMode="External"/><Relationship Id="rId1431" Type="http://schemas.openxmlformats.org/officeDocument/2006/relationships/hyperlink" Target="http://www.valdostadailytimes.com/news/national_international/man-killed-by-deputies-after-he-fired-a-gun/article_01a3ae1f-5b0a-50f4-bab7-07e101267c3e.html" TargetMode="External"/><Relationship Id="rId4587" Type="http://schemas.openxmlformats.org/officeDocument/2006/relationships/hyperlink" Target="http://www.macombdaily.com/article/MD/20180501/NEWS/180509966" TargetMode="External"/><Relationship Id="rId5638" Type="http://schemas.openxmlformats.org/officeDocument/2006/relationships/hyperlink" Target="https://www.fox21news.com/news/crime/police-release-body-worn-cam-footage-of-fatal-shooting-on-south-nevada-avenue/" TargetMode="External"/><Relationship Id="rId3189" Type="http://schemas.openxmlformats.org/officeDocument/2006/relationships/hyperlink" Target="http://wgntv.com/2017/05/17/police-off-duty-sheriffs-deputy-fatally-shoots-armed-robber/" TargetMode="External"/><Relationship Id="rId4654" Type="http://schemas.openxmlformats.org/officeDocument/2006/relationships/hyperlink" Target="http://www.nbc12.com/story/38187605/naked-man-shot-by-police-on-i-95-has-died" TargetMode="External"/><Relationship Id="rId7060" Type="http://schemas.openxmlformats.org/officeDocument/2006/relationships/hyperlink" Target="https://www.wtsp.com/article/news/local/woman-point-gun-deputies/67-c9243ffd-9f96-4238-a641-a29e933d5337" TargetMode="External"/><Relationship Id="rId3256" Type="http://schemas.openxmlformats.org/officeDocument/2006/relationships/hyperlink" Target="http://www.nbcdfw.com/news/local/8-People-Killed-Inside-a-Plano-Home-Suspect-Killed-by-Police-443635723.html" TargetMode="External"/><Relationship Id="rId4307" Type="http://schemas.openxmlformats.org/officeDocument/2006/relationships/hyperlink" Target="https://www.azcentral.com/story/news/local/scottsdale-breaking/2018/03/02/man-killed-shooting-federal-agents-scottsdale-shea-boulevard-90th-street/389277002/" TargetMode="External"/><Relationship Id="rId5705" Type="http://schemas.openxmlformats.org/officeDocument/2006/relationships/hyperlink" Target="http://journalgazette.net/news/local/indiana/20190114/investigation-ongoing-after-police-fatally-shoot-indiana-man" TargetMode="External"/><Relationship Id="rId177" Type="http://schemas.openxmlformats.org/officeDocument/2006/relationships/hyperlink" Target="http://www.presstelegram.com/general-news/20150528/man-dies-after-long-beach-officer-involved-shooting" TargetMode="External"/><Relationship Id="rId591" Type="http://schemas.openxmlformats.org/officeDocument/2006/relationships/hyperlink" Target="http://www.11alive.com/story/news/local/2015/10/24/two-deputies-shot-pickens-county/74569260/" TargetMode="External"/><Relationship Id="rId2272" Type="http://schemas.openxmlformats.org/officeDocument/2006/relationships/hyperlink" Target="http://www.fatalencounters.org/wp-content/uploads/2013/10/Dennis-Hunt.jpg" TargetMode="External"/><Relationship Id="rId3670" Type="http://schemas.openxmlformats.org/officeDocument/2006/relationships/hyperlink" Target="http://www.fatalencounters.org/wp-content/uploads/2013/10/Dakota-A.-Lukecart.png" TargetMode="External"/><Relationship Id="rId4721" Type="http://schemas.openxmlformats.org/officeDocument/2006/relationships/hyperlink" Target="http://www.wesh.com/article/child-pornography-arrest-turns-deadly-in-polk-county-investigators-say/21056620" TargetMode="External"/><Relationship Id="rId244" Type="http://schemas.openxmlformats.org/officeDocument/2006/relationships/hyperlink" Target="http://www.latimes.com/local/lanow/la-me-ln-lapd-shoots-sylmar-gunman-20150423-story.html" TargetMode="External"/><Relationship Id="rId3323" Type="http://schemas.openxmlformats.org/officeDocument/2006/relationships/hyperlink" Target="http://www.newyorkupstate.com/capital-region/2017/07/glenville_police_officer_shot_after_responding_to_domestic_dispute.html" TargetMode="External"/><Relationship Id="rId6479" Type="http://schemas.openxmlformats.org/officeDocument/2006/relationships/hyperlink" Target="https://fatalencounters.org/wp-content/uploads/2019/07/Sean-RambertJr.jpg" TargetMode="External"/><Relationship Id="rId6893" Type="http://schemas.openxmlformats.org/officeDocument/2006/relationships/hyperlink" Target="https://nbc16.com/news/local/suspect-identified-in-officer-involved-shooting-in-oakridge" TargetMode="External"/><Relationship Id="rId5495" Type="http://schemas.openxmlformats.org/officeDocument/2006/relationships/hyperlink" Target="http://www2.philly.com/news/philly-police-fatal-shooting-port-richmond-belgrade-street-justin-smith-20181210.html" TargetMode="External"/><Relationship Id="rId6546" Type="http://schemas.openxmlformats.org/officeDocument/2006/relationships/hyperlink" Target="https://fatalencounters.org/wp-content/uploads/2019/08/Alphonso-Zaporta.jpeg" TargetMode="External"/><Relationship Id="rId6960" Type="http://schemas.openxmlformats.org/officeDocument/2006/relationships/hyperlink" Target="https://fatalencounters.org/wp-content/uploads/2019/11/Benjamin-Diaz.jpg" TargetMode="External"/><Relationship Id="rId311" Type="http://schemas.openxmlformats.org/officeDocument/2006/relationships/hyperlink" Target="http://www.local10.com/news/1-dead-in-new-years-eve-policeinvolved-shooting-in-miami/30477214" TargetMode="External"/><Relationship Id="rId4097" Type="http://schemas.openxmlformats.org/officeDocument/2006/relationships/hyperlink" Target="http://www.fatalencounters.org/wp-content/uploads/2018/02/JeffreyBurleson.jpg" TargetMode="External"/><Relationship Id="rId5148" Type="http://schemas.openxmlformats.org/officeDocument/2006/relationships/hyperlink" Target="https://www.click2houston.com/news/houston-swat-responds-to-man-barricaded-inside-apartment" TargetMode="External"/><Relationship Id="rId5562" Type="http://schemas.openxmlformats.org/officeDocument/2006/relationships/hyperlink" Target="https://sacramento.cbslocal.com/2018/12/17/south-natomas-officer-involved-shooting/" TargetMode="External"/><Relationship Id="rId6613" Type="http://schemas.openxmlformats.org/officeDocument/2006/relationships/hyperlink" Target="https://fatalencounters.org/wp-content/uploads/2019/08/Jason-Xavier-Salas.jpg" TargetMode="External"/><Relationship Id="rId1758" Type="http://schemas.openxmlformats.org/officeDocument/2006/relationships/hyperlink" Target="http://fox2now.com/2016/05/27/devonte-gates-21-identified-as-carjacking-suspect-shot-and-killed-by-police/" TargetMode="External"/><Relationship Id="rId2809" Type="http://schemas.openxmlformats.org/officeDocument/2006/relationships/hyperlink" Target="http://www.statesman.com/news/local/woman-killed-reported-officer-involved-shooting-south-austin-officials-say/Gnoqlah2YhhYZd85J6QnPK/" TargetMode="External"/><Relationship Id="rId4164" Type="http://schemas.openxmlformats.org/officeDocument/2006/relationships/hyperlink" Target="http://www.fatalencounters.org/wp-content/uploads/2018/01/Ulises-Valladares.png" TargetMode="External"/><Relationship Id="rId5215" Type="http://schemas.openxmlformats.org/officeDocument/2006/relationships/hyperlink" Target="https://www.nj.com/essex/index.ssf/2018/09/police_shoot_kill_man_who_held_gun_to_head_of_bus.html" TargetMode="External"/><Relationship Id="rId3180" Type="http://schemas.openxmlformats.org/officeDocument/2006/relationships/hyperlink" Target="http://www.latimes.com/local/lanow/la-me-montebello-police-shooting-20170617-story.html" TargetMode="External"/><Relationship Id="rId4231" Type="http://schemas.openxmlformats.org/officeDocument/2006/relationships/hyperlink" Target="http://www.wftv.com/news/local/sheriff-man-shot-by-deputies-in-grant-valkaria-dies/696661410" TargetMode="External"/><Relationship Id="rId1825" Type="http://schemas.openxmlformats.org/officeDocument/2006/relationships/hyperlink" Target="http://www.mlive.com/news/grand-rapids/index.ssf/2016/06/robbery_suspect_shot_and_kille.html" TargetMode="External"/><Relationship Id="rId3997" Type="http://schemas.openxmlformats.org/officeDocument/2006/relationships/hyperlink" Target="http://www.pennlive.com/news/2017/12/shooting_harrisburg_capitol_fr.html" TargetMode="External"/><Relationship Id="rId6056" Type="http://schemas.openxmlformats.org/officeDocument/2006/relationships/hyperlink" Target="https://www.adn.com/alaska-news/crime-courts/2019/04/02/anchorage-officer-involved-shooting-sends-man-to-hospital-with-life-threatening-injuries/" TargetMode="External"/><Relationship Id="rId2599" Type="http://schemas.openxmlformats.org/officeDocument/2006/relationships/hyperlink" Target="http://www.fatalencounters.org/wp-content/uploads/2013/10/Joseph-Sin.jpg" TargetMode="External"/><Relationship Id="rId6470" Type="http://schemas.openxmlformats.org/officeDocument/2006/relationships/hyperlink" Target="https://www.alamogordonews.com/story/news/local/community/2019/07/08/police-shooting-results-death/1678667001/" TargetMode="External"/><Relationship Id="rId7107" Type="http://schemas.openxmlformats.org/officeDocument/2006/relationships/hyperlink" Target="http://www.fatalencounters.org/wp-content/uploads/2013/10/Robert-Lee-Clark-Jr.jpeg" TargetMode="External"/><Relationship Id="rId985" Type="http://schemas.openxmlformats.org/officeDocument/2006/relationships/hyperlink" Target="http://images.bimedia.net/images/150701_Kevin_Lamont_Judson_story_insert.jpg" TargetMode="External"/><Relationship Id="rId2666" Type="http://schemas.openxmlformats.org/officeDocument/2006/relationships/hyperlink" Target="http://www.wsbtv.com/news/local/cobb-county/police-on-scene-of-bank-robbery-in-cobb-county/552567856" TargetMode="External"/><Relationship Id="rId3717" Type="http://schemas.openxmlformats.org/officeDocument/2006/relationships/hyperlink" Target="http://www.kgun9.com/news/local-news/police-are-in-pursuit-of-a-suspect-after-an-incident-near-pantano-and-wrightstown-" TargetMode="External"/><Relationship Id="rId5072" Type="http://schemas.openxmlformats.org/officeDocument/2006/relationships/hyperlink" Target="https://www.seattlepi.com/news/crime/article/Man-shot-during-confrontation-with-police-in-13167189.php" TargetMode="External"/><Relationship Id="rId6123" Type="http://schemas.openxmlformats.org/officeDocument/2006/relationships/hyperlink" Target="https://www.kptv.com/news/sheriff-ids-suspected-killer-of-cowlitz-co-deputy-suspect-shot/article_ab3e5aa6-5fbb-11e9-a4fe-fb2836932a5a.html" TargetMode="External"/><Relationship Id="rId638" Type="http://schemas.openxmlformats.org/officeDocument/2006/relationships/hyperlink" Target="http://www.killedbypolice.net/victims/151058.jpg" TargetMode="External"/><Relationship Id="rId1268" Type="http://schemas.openxmlformats.org/officeDocument/2006/relationships/hyperlink" Target="http://www.fatalencounters.org/wp-content/uploads/2013/10/BrandonLeeWitth-1.png" TargetMode="External"/><Relationship Id="rId1682" Type="http://schemas.openxmlformats.org/officeDocument/2006/relationships/hyperlink" Target="http://www.fatalencounters.org/wp-content/uploads/2013/10/Alton-Witchard.jpg" TargetMode="External"/><Relationship Id="rId2319" Type="http://schemas.openxmlformats.org/officeDocument/2006/relationships/hyperlink" Target="http://www.fatalencounters.org/wp-content/uploads/2013/10/Yun.jpg" TargetMode="External"/><Relationship Id="rId2733" Type="http://schemas.openxmlformats.org/officeDocument/2006/relationships/hyperlink" Target="http://www.fatalencounters.org/wp-content/uploads/2013/10/Rodney-L.-Henderson.png" TargetMode="External"/><Relationship Id="rId5889" Type="http://schemas.openxmlformats.org/officeDocument/2006/relationships/hyperlink" Target="https://www.necn.com/news/new-england/Boston-Police-Officer-Shot-Department-Says-506203561.html" TargetMode="External"/><Relationship Id="rId705" Type="http://schemas.openxmlformats.org/officeDocument/2006/relationships/hyperlink" Target="http://wvmetronews.com/2015/11/09/one-dead-one-injured-in-police-search-for-fugitives/" TargetMode="External"/><Relationship Id="rId1335" Type="http://schemas.openxmlformats.org/officeDocument/2006/relationships/hyperlink" Target="http://www.wbtv.com/story/31012596/sheriff-deputies-exposed-to-imminent-danger-in-statesville-shooting" TargetMode="External"/><Relationship Id="rId2800" Type="http://schemas.openxmlformats.org/officeDocument/2006/relationships/hyperlink" Target="http://www.wftv.com/news/breaking-news/suspect-killed-sheriffs-deputy-shot-in-florida-officials-say/498298801" TargetMode="External"/><Relationship Id="rId5956" Type="http://schemas.openxmlformats.org/officeDocument/2006/relationships/hyperlink" Target="https://www.fatalencounters.org/wp-content/uploads/2019/03/Joel-D.-Kellay.jpeg" TargetMode="External"/><Relationship Id="rId41" Type="http://schemas.openxmlformats.org/officeDocument/2006/relationships/hyperlink" Target="http://www.sbsun.com/general-news/20150718/sheriffs-deputies-shoot-kill-highland-man-in-needles" TargetMode="External"/><Relationship Id="rId1402" Type="http://schemas.openxmlformats.org/officeDocument/2006/relationships/hyperlink" Target="http://www.latimes.com/local/lanow/la-me-ln-police-shooting-santa-ana-two-dead-20160218-story.html" TargetMode="External"/><Relationship Id="rId4558" Type="http://schemas.openxmlformats.org/officeDocument/2006/relationships/hyperlink" Target="http://www.fatalencounters.org/wp-content/uploads/2018/04/William-Ray-Simcoe-Sr..jpg" TargetMode="External"/><Relationship Id="rId4972" Type="http://schemas.openxmlformats.org/officeDocument/2006/relationships/hyperlink" Target="http://www.toledoblade.com/Police-Fire/2018/07/27/Toledo-police-on-scene-of-an-officer-involved-shooting.html" TargetMode="External"/><Relationship Id="rId5609" Type="http://schemas.openxmlformats.org/officeDocument/2006/relationships/hyperlink" Target="https://kfdm.com/news/local/officer-involved-shooting-12-28-2018" TargetMode="External"/><Relationship Id="rId7031" Type="http://schemas.openxmlformats.org/officeDocument/2006/relationships/hyperlink" Target="https://www.davisenterprise.com/local-news/two-dead-officer-hurt-following-north-davis-domestic-violence-incident/" TargetMode="External"/><Relationship Id="rId3574" Type="http://schemas.openxmlformats.org/officeDocument/2006/relationships/hyperlink" Target="http://napavalleyregister.com/news/local/one-man-fatally-shot-by-napa-police-near-home-depot/article_3e9225b8-2136-55f6-aa98-9e5815824ed3.html" TargetMode="External"/><Relationship Id="rId4625" Type="http://schemas.openxmlformats.org/officeDocument/2006/relationships/hyperlink" Target="https://www.clickorlando.com/news/names-of-suspect-officers-in-orlando-police-involved-shooting-released" TargetMode="External"/><Relationship Id="rId495" Type="http://schemas.openxmlformats.org/officeDocument/2006/relationships/hyperlink" Target="http://www.abc15.com/dpp/news/region_phoenix_metro/central_phoenix/phoenix-police-investigating-officer-involved-shooting-near-19th-avenue-and-culver-street" TargetMode="External"/><Relationship Id="rId2176" Type="http://schemas.openxmlformats.org/officeDocument/2006/relationships/hyperlink" Target="http://www.stltoday.com/news/local/metro/one-person-is-shot-by-st-louis-police-officer/article_f0582caa-de7f-5a9e-b715-478ac9a61ca2.html" TargetMode="External"/><Relationship Id="rId2590" Type="http://schemas.openxmlformats.org/officeDocument/2006/relationships/hyperlink" Target="http://www.houmatoday.com/news/20160405/state-police-trooper-shoots-driver-during-confrontation-in-raceland" TargetMode="External"/><Relationship Id="rId3227" Type="http://schemas.openxmlformats.org/officeDocument/2006/relationships/hyperlink" Target="http://www.mercurynews.com/2017/03/22/redwood-city-man-who-was-killed-after-threatening-estranged-wife-at-workplace-identified/" TargetMode="External"/><Relationship Id="rId3641" Type="http://schemas.openxmlformats.org/officeDocument/2006/relationships/hyperlink" Target="http://www.fatalencounters.org/wp-content/uploads/2013/10/Vincent-D.-Palma.png" TargetMode="External"/><Relationship Id="rId6797" Type="http://schemas.openxmlformats.org/officeDocument/2006/relationships/hyperlink" Target="https://trib.com/news/local/crime-and-courts/man-shot-by-riverton-police-had-attacked-officer-with-knife/article_71a60285-c4d7-58de-96eb-1b0372f01505.html" TargetMode="External"/><Relationship Id="rId148" Type="http://schemas.openxmlformats.org/officeDocument/2006/relationships/hyperlink" Target="http://www.indystar.com/story/news/crime/2015/06/08/police-shooting-suspect-dead-beech-grove/28700455/" TargetMode="External"/><Relationship Id="rId562" Type="http://schemas.openxmlformats.org/officeDocument/2006/relationships/hyperlink" Target="http://www.nydailynews.com/new-york/brooklyn/crazed-brooklyn-man-shot-cops-bad-mouthed-article-1.1297528" TargetMode="External"/><Relationship Id="rId1192" Type="http://schemas.openxmlformats.org/officeDocument/2006/relationships/hyperlink" Target="http://www.wxyz.com/news/region/detroit/lathrup-village-police-officer-allegedly-kills-man-during-fight-on-detroits-west-side" TargetMode="External"/><Relationship Id="rId2243" Type="http://schemas.openxmlformats.org/officeDocument/2006/relationships/hyperlink" Target="http://q13fox.com/2016/10/08/21-year-old-dead-after-officer-involved-shooting-in-federal-way/" TargetMode="External"/><Relationship Id="rId5399" Type="http://schemas.openxmlformats.org/officeDocument/2006/relationships/hyperlink" Target="https://www.nj.com/ocean/index.ssf/2018/11/man_wanted_for_assaulting_girl_shot_by_police_afte.html" TargetMode="External"/><Relationship Id="rId6864" Type="http://schemas.openxmlformats.org/officeDocument/2006/relationships/hyperlink" Target="https://www.mcalesternews.com/news/man-fatally-shot-by-deputy-identified/article_be858e4a-ec9c-11e9-b40c-c312185a0074.html" TargetMode="External"/><Relationship Id="rId215" Type="http://schemas.openxmlformats.org/officeDocument/2006/relationships/hyperlink" Target="http://www.recordonline.com/article/20150507/NEWS/150509481" TargetMode="External"/><Relationship Id="rId2310" Type="http://schemas.openxmlformats.org/officeDocument/2006/relationships/hyperlink" Target="http://www.nbcdfw.com/news/local/Carrollton-Police-Officer-Involved-in-Fatal-Shooting-398687691.html" TargetMode="External"/><Relationship Id="rId5466" Type="http://schemas.openxmlformats.org/officeDocument/2006/relationships/hyperlink" Target="https://www.fatalencounters.org/wp-content/uploads/2018/12/Nicholas-Ryan.jpg" TargetMode="External"/><Relationship Id="rId6517" Type="http://schemas.openxmlformats.org/officeDocument/2006/relationships/hyperlink" Target="https://www.nola.com/news/crime_police/article_1d190778-aa5f-11e9-88a4-c38b3f520ac2.html" TargetMode="External"/><Relationship Id="rId4068" Type="http://schemas.openxmlformats.org/officeDocument/2006/relationships/hyperlink" Target="http://www.kob.com/albuquerque-news/state-police-investigating-deputy-involved-shooting-in-los-lunas/4732623/" TargetMode="External"/><Relationship Id="rId4482" Type="http://schemas.openxmlformats.org/officeDocument/2006/relationships/hyperlink" Target="https://www.southbendtribune.com/news/publicsafety/person-wounded-in-officer-involved-shooting-dies/article_9f6188d8-38f8-11e8-9f42-db0bfa252fb0.html" TargetMode="External"/><Relationship Id="rId5119" Type="http://schemas.openxmlformats.org/officeDocument/2006/relationships/hyperlink" Target="https://www.wfla.com/news/local-news/citrus-county/man-shot-killed-by-citrus-countydeputy-in-floral-city/1411166777" TargetMode="External"/><Relationship Id="rId5880" Type="http://schemas.openxmlformats.org/officeDocument/2006/relationships/hyperlink" Target="http://www.wmcactionnews5.com/2019/02/20/officials-identify-man-killed-horn-lake-road-rage-shooting/" TargetMode="External"/><Relationship Id="rId6931" Type="http://schemas.openxmlformats.org/officeDocument/2006/relationships/hyperlink" Target="https://fatalencounters.org/wp-content/uploads/2019/10/Kwesi-Ashun.jpg" TargetMode="External"/><Relationship Id="rId3084" Type="http://schemas.openxmlformats.org/officeDocument/2006/relationships/hyperlink" Target="http://abc7chicago.com/news/person-fatally-shot-by-off-duty-chicago-police-officer-in-hermosa/1682497/" TargetMode="External"/><Relationship Id="rId4135" Type="http://schemas.openxmlformats.org/officeDocument/2006/relationships/hyperlink" Target="https://www.kshb.com/news/local-news/one-dead-after-officer-involved-shooting-in-overland-park" TargetMode="External"/><Relationship Id="rId5533" Type="http://schemas.openxmlformats.org/officeDocument/2006/relationships/hyperlink" Target="https://www.fox16.com/crime/update-jonesboro-woman-dies-in-officer-involved-shooting/1654268243" TargetMode="External"/><Relationship Id="rId1729" Type="http://schemas.openxmlformats.org/officeDocument/2006/relationships/hyperlink" Target="http://www.kcra.com/news/local-news/news-sacramento/citrus-heights-standoff-suspect-shot-killed-by-police-identified/39662410" TargetMode="External"/><Relationship Id="rId5600" Type="http://schemas.openxmlformats.org/officeDocument/2006/relationships/hyperlink" Target="https://www.fatalencounters.org/wp-content/uploads/2018/12/Erich-Stelzer.jpg" TargetMode="External"/><Relationship Id="rId3151" Type="http://schemas.openxmlformats.org/officeDocument/2006/relationships/hyperlink" Target="http://www.sacbee.com/news/local/crime/article162574918.html" TargetMode="External"/><Relationship Id="rId4202" Type="http://schemas.openxmlformats.org/officeDocument/2006/relationships/hyperlink" Target="http://www.dispatch.com/news/20180201/person-fatally-shot-by-deputy-in-pike-county" TargetMode="External"/><Relationship Id="rId3968" Type="http://schemas.openxmlformats.org/officeDocument/2006/relationships/hyperlink" Target="http://wtnh.com/2017/12/14/state-police-investigating-officer-involved-shooting-in-new-britain/" TargetMode="External"/><Relationship Id="rId6374" Type="http://schemas.openxmlformats.org/officeDocument/2006/relationships/hyperlink" Target="https://fatalencounters.org/wp-content/uploads/2019/06/Mantry-Norris.jpg" TargetMode="External"/><Relationship Id="rId5" Type="http://schemas.openxmlformats.org/officeDocument/2006/relationships/hyperlink" Target="http://www.killedbypolice.net/victims/150907.jpg" TargetMode="External"/><Relationship Id="rId889" Type="http://schemas.openxmlformats.org/officeDocument/2006/relationships/hyperlink" Target="http://gazette.com/fountain-police-officer-who-fatally-shot-teen-is-identified/article/1560162" TargetMode="External"/><Relationship Id="rId5390" Type="http://schemas.openxmlformats.org/officeDocument/2006/relationships/hyperlink" Target="https://wgntv.com/2018/11/11/multiple-wounded-in-robbins-bar-shooting-police-say/" TargetMode="External"/><Relationship Id="rId6027" Type="http://schemas.openxmlformats.org/officeDocument/2006/relationships/hyperlink" Target="http://www.wbtv.com/2019/03/25/suspect-injured-officer-involved-shooting-north-charlotte/" TargetMode="External"/><Relationship Id="rId6441" Type="http://schemas.openxmlformats.org/officeDocument/2006/relationships/hyperlink" Target="https://kfor.com/2019/07/08/death-of-motorist-in-custody-sparks-oklahoma-investigation/" TargetMode="External"/><Relationship Id="rId1586" Type="http://schemas.openxmlformats.org/officeDocument/2006/relationships/hyperlink" Target="http://www.necn.com/news/new-england/PD-Man-Shot-Killed-by-Officer-Had-BB-Gun-373844941.html" TargetMode="External"/><Relationship Id="rId2984" Type="http://schemas.openxmlformats.org/officeDocument/2006/relationships/hyperlink" Target="http://www.wfaa.com/news/arlington-police-shoot-man-during-standoff/438974686" TargetMode="External"/><Relationship Id="rId5043" Type="http://schemas.openxmlformats.org/officeDocument/2006/relationships/hyperlink" Target="https://www.news5cleveland.com/news/local-news/akron-canton-news/man-who-allegedly-shot-wife-killed-in-officer-involved-shooting-in-akron" TargetMode="External"/><Relationship Id="rId609" Type="http://schemas.openxmlformats.org/officeDocument/2006/relationships/hyperlink" Target="http://www.ajc.com/news/news/crime-law/gbi-murder-suspect-believed-killed-by-hall-county-/nn5PY/" TargetMode="External"/><Relationship Id="rId956" Type="http://schemas.openxmlformats.org/officeDocument/2006/relationships/hyperlink" Target="http://bloximages.chicago2.vip.townnews.com/idahopress.com/content/tncms/assets/v3/editorial/6/aa/6aab600e-0694-5644-996d-07e616040836/568b13f0305cb.image.jpg" TargetMode="External"/><Relationship Id="rId1239" Type="http://schemas.openxmlformats.org/officeDocument/2006/relationships/hyperlink" Target="http://wbrc.images.worldnow.com/images/9670245_G.jpg" TargetMode="External"/><Relationship Id="rId2637" Type="http://schemas.openxmlformats.org/officeDocument/2006/relationships/hyperlink" Target="http://www.king5.com/news/crime/kent-officer-involved-shooting-at-strip-mall/463015160" TargetMode="External"/><Relationship Id="rId5110" Type="http://schemas.openxmlformats.org/officeDocument/2006/relationships/hyperlink" Target="https://dspnewsroom.com/2018/08/29/update-3-search-warrants-lead-to-multiple-drug-and-weapon-arrests/" TargetMode="External"/><Relationship Id="rId1653" Type="http://schemas.openxmlformats.org/officeDocument/2006/relationships/hyperlink" Target="http://www.fatalencounters.org/wp-content/uploads/2013/10/Biggs.png" TargetMode="External"/><Relationship Id="rId2704" Type="http://schemas.openxmlformats.org/officeDocument/2006/relationships/hyperlink" Target="http://www.fatalencounters.org/wp-content/uploads/2013/10/Darius-Smith.png" TargetMode="External"/><Relationship Id="rId1306" Type="http://schemas.openxmlformats.org/officeDocument/2006/relationships/hyperlink" Target="http://fox6now.com/2016/01/08/breaking-heavy-police-presence-near-lincoln-gooseberry-road-in-walworth-county/" TargetMode="External"/><Relationship Id="rId1720" Type="http://schemas.openxmlformats.org/officeDocument/2006/relationships/hyperlink" Target="http://www.krcrtv.com/news/local/siskiyou-co-sheriffs-office-identifies-man-killed-in-shooting/39655576" TargetMode="External"/><Relationship Id="rId4876" Type="http://schemas.openxmlformats.org/officeDocument/2006/relationships/hyperlink" Target="https://www.adn.com/alaska-news/crime-courts/2018/07/06/copper-center-man-fatally-shot-by-troopers-during-domestic-violence-incident/" TargetMode="External"/><Relationship Id="rId5927" Type="http://schemas.openxmlformats.org/officeDocument/2006/relationships/hyperlink" Target="https://www.theolympian.com/news/local/article227059219.html" TargetMode="External"/><Relationship Id="rId12" Type="http://schemas.openxmlformats.org/officeDocument/2006/relationships/hyperlink" Target="http://www.vvng.com/barstow-man-killed-in-officer-involved-shooting/" TargetMode="External"/><Relationship Id="rId3478" Type="http://schemas.openxmlformats.org/officeDocument/2006/relationships/hyperlink" Target="http://www.thestate.com/news/local/crime/article149497259.html" TargetMode="External"/><Relationship Id="rId3892" Type="http://schemas.openxmlformats.org/officeDocument/2006/relationships/hyperlink" Target="http://www.fatalencounters.org/wp-content/uploads/2013/10/Ian-Thomas-Little.jpg" TargetMode="External"/><Relationship Id="rId4529" Type="http://schemas.openxmlformats.org/officeDocument/2006/relationships/hyperlink" Target="http://denver.cbslocal.com/2018/04/13/suspect-dies-after-being-tasered-by-deputies/" TargetMode="External"/><Relationship Id="rId4943" Type="http://schemas.openxmlformats.org/officeDocument/2006/relationships/hyperlink" Target="https://www.pe.com/2018/07/23/man-dies-after-being-shot-by-campus-police-near-uc-riverside/" TargetMode="External"/><Relationship Id="rId399" Type="http://schemas.openxmlformats.org/officeDocument/2006/relationships/hyperlink" Target="http://www.mprnews.org/story/2014/11/17/police-justified-in-ramsey-shooting" TargetMode="External"/><Relationship Id="rId2494" Type="http://schemas.openxmlformats.org/officeDocument/2006/relationships/hyperlink" Target="http://www.dallasnews.com/news/crime/2016/12/07/duncanville-officer-fatally-shoots-person-operation-downtown-dallas" TargetMode="External"/><Relationship Id="rId3545" Type="http://schemas.openxmlformats.org/officeDocument/2006/relationships/hyperlink" Target="http://www.fatalencounters.org/wp-content/uploads/2013/10/pryor-spencer-bailey-iv.jpg" TargetMode="External"/><Relationship Id="rId7002" Type="http://schemas.openxmlformats.org/officeDocument/2006/relationships/hyperlink" Target="https://fatalencounters.org/wp-content/uploads/2019/12/Jamee-Christopher-Deonte-Johnson.jpg" TargetMode="External"/><Relationship Id="rId466" Type="http://schemas.openxmlformats.org/officeDocument/2006/relationships/hyperlink" Target="http://www.wtok.com/news/headlines/Update-on-Emmanuel-Wooten-Search-256704901.html" TargetMode="External"/><Relationship Id="rId880" Type="http://schemas.openxmlformats.org/officeDocument/2006/relationships/hyperlink" Target="http://www.tennessean.com/story/news/local/dickson/2015/09/18/dickson-co-man-fatally-shot-interaction-deputy/72415822/" TargetMode="External"/><Relationship Id="rId1096" Type="http://schemas.openxmlformats.org/officeDocument/2006/relationships/hyperlink" Target="http://www.killedbypolice.net/victims/150916.jpg" TargetMode="External"/><Relationship Id="rId2147" Type="http://schemas.openxmlformats.org/officeDocument/2006/relationships/hyperlink" Target="http://www.fatalencounters.org/wp-content/uploads/2013/10/Terry-Salazar.jpg" TargetMode="External"/><Relationship Id="rId2561" Type="http://schemas.openxmlformats.org/officeDocument/2006/relationships/hyperlink" Target="http://www.ktvz.com/news/bend-police-shoot-kill-driver-in-downtown-traffic-stop/230221202" TargetMode="External"/><Relationship Id="rId119" Type="http://schemas.openxmlformats.org/officeDocument/2006/relationships/hyperlink" Target="http://www.kob.com/article/stories/s3831288.shtml" TargetMode="External"/><Relationship Id="rId533" Type="http://schemas.openxmlformats.org/officeDocument/2006/relationships/hyperlink" Target="http://abc13.com/archive/9270067/" TargetMode="External"/><Relationship Id="rId1163" Type="http://schemas.openxmlformats.org/officeDocument/2006/relationships/hyperlink" Target="http://www.washingtonpost.com/news/morning-mix/wp/2015/08/12/christian-taylors-father-feels-for-fired-cop-there-isnt-a-winner-in-this-we-are-both-losers/" TargetMode="External"/><Relationship Id="rId2214" Type="http://schemas.openxmlformats.org/officeDocument/2006/relationships/hyperlink" Target="http://ktla.com/2016/09/30/death-of-man-in-pasadena-handed-to-sheriffs-homicide-investigators-police/" TargetMode="External"/><Relationship Id="rId3612" Type="http://schemas.openxmlformats.org/officeDocument/2006/relationships/hyperlink" Target="http://www.newspressnow.com/news/local_news/one-person-dead-in-officer-involved-incident/article_d9444b07-b849-53f7-a8f2-24700c8775ae.html" TargetMode="External"/><Relationship Id="rId6768" Type="http://schemas.openxmlformats.org/officeDocument/2006/relationships/hyperlink" Target="https://www.wfaa.com/article/news/local/denton-county-sheriffs-deputy-fatally-shoots-man-who-pointed-gun-at-deputies/287-fface6a7-0c26-4753-8a48-b93cb0a3bf5d" TargetMode="External"/><Relationship Id="rId5784" Type="http://schemas.openxmlformats.org/officeDocument/2006/relationships/hyperlink" Target="https://www.wilx.com/content/news/Heavy-police-presence-in-a-Jackson-neighborhood-504959022.html" TargetMode="External"/><Relationship Id="rId6835" Type="http://schemas.openxmlformats.org/officeDocument/2006/relationships/hyperlink" Target="https://www.wsmv.com/news/individual-identified-in-fatal-kentucky-officer-involved-shooting/article_21f41248-e6d6-11e9-ae63-7762cabdac6a.html" TargetMode="External"/><Relationship Id="rId600" Type="http://schemas.openxmlformats.org/officeDocument/2006/relationships/hyperlink" Target="http://www.killedbypolice.net/victims/150956.jpg" TargetMode="External"/><Relationship Id="rId1230" Type="http://schemas.openxmlformats.org/officeDocument/2006/relationships/hyperlink" Target="http://www.campussafetymagazine.com/images/uploads/zion_shooting.jpg" TargetMode="External"/><Relationship Id="rId4386" Type="http://schemas.openxmlformats.org/officeDocument/2006/relationships/hyperlink" Target="http://www.khou.com/article/news/crime/1-dead-another-injured-in-deputy-involved-shooting-in-klein-area/285-529116891" TargetMode="External"/><Relationship Id="rId5437" Type="http://schemas.openxmlformats.org/officeDocument/2006/relationships/hyperlink" Target="https://ktla.com/2018/11/23/man-shot-by-police-during-alleged-attack-on-stepfather-in-bell-gardens-identified/" TargetMode="External"/><Relationship Id="rId5851" Type="http://schemas.openxmlformats.org/officeDocument/2006/relationships/hyperlink" Target="https://www.mercedsunstar.com/news/local/crime/article226209655.html" TargetMode="External"/><Relationship Id="rId6902" Type="http://schemas.openxmlformats.org/officeDocument/2006/relationships/hyperlink" Target="https://www.villages-news.com/2019/10/20/leesburg-man-allegedly-wielding-bat-and-knife-killed-in-deputy-involved-shooting/" TargetMode="External"/><Relationship Id="rId4039" Type="http://schemas.openxmlformats.org/officeDocument/2006/relationships/hyperlink" Target="http://abc7.com/suspect-wounded-in-winnetka-officer-involved-shooting/2843382/" TargetMode="External"/><Relationship Id="rId4453" Type="http://schemas.openxmlformats.org/officeDocument/2006/relationships/hyperlink" Target="http://www.fatalencounters.org/wp-content/uploads/2018/04/Nicolas-Sedano.jpg" TargetMode="External"/><Relationship Id="rId5504" Type="http://schemas.openxmlformats.org/officeDocument/2006/relationships/hyperlink" Target="https://www.krqe.com/news/new-mexico/arrest-warrant-results-in-deputy-involved-shooting-in-cibola-county/1643537924" TargetMode="External"/><Relationship Id="rId3055" Type="http://schemas.openxmlformats.org/officeDocument/2006/relationships/hyperlink" Target="http://www.fatalencounters.org/wp-content/uploads/2013/10/Ramon-Milanez.png" TargetMode="External"/><Relationship Id="rId4106" Type="http://schemas.openxmlformats.org/officeDocument/2006/relationships/hyperlink" Target="http://www.whio.com/news/local/armed-man-fatally-shot-exchange-gunfire-with-police/xQxoVjpwsRlatvtBbo1qXN/" TargetMode="External"/><Relationship Id="rId4520" Type="http://schemas.openxmlformats.org/officeDocument/2006/relationships/hyperlink" Target="http://www.wral.com/machete-wielding-man-killed-after-lunging-at-deputy-at-nc-sheriff-s-office/17482744/" TargetMode="External"/><Relationship Id="rId390" Type="http://schemas.openxmlformats.org/officeDocument/2006/relationships/hyperlink" Target="http://www.ajc.com/news/news/man-fatally-shot-by-police-on-savannah-street/nhP97/" TargetMode="External"/><Relationship Id="rId2071" Type="http://schemas.openxmlformats.org/officeDocument/2006/relationships/hyperlink" Target="http://www.fatalencounters.org/wp-content/uploads/2013/10/JesseRomero.jpg" TargetMode="External"/><Relationship Id="rId3122" Type="http://schemas.openxmlformats.org/officeDocument/2006/relationships/hyperlink" Target="http://news10.com/2017/09/01/reported-officer-involved-shooting-takes-place-in-pittsfield/" TargetMode="External"/><Relationship Id="rId6278" Type="http://schemas.openxmlformats.org/officeDocument/2006/relationships/hyperlink" Target="https://fox4kc.com/2019/05/26/suspect-in-armed-disturbance-shot-killed-by-kcpd-officer/" TargetMode="External"/><Relationship Id="rId6692" Type="http://schemas.openxmlformats.org/officeDocument/2006/relationships/hyperlink" Target="https://www.wbaltv.com/article/police-involved-shooting-caroline-street-east-baltimore/28850962" TargetMode="External"/><Relationship Id="rId5294" Type="http://schemas.openxmlformats.org/officeDocument/2006/relationships/hyperlink" Target="https://www.kptv.com/news/coroner-identifies--year-old-man-killed-in-longview-officer/article_efebdd0c-d340-11e8-a2ec-677f0f8b4e67.html" TargetMode="External"/><Relationship Id="rId6345" Type="http://schemas.openxmlformats.org/officeDocument/2006/relationships/hyperlink" Target="https://oklahoman.com/article/5633562/shooting-reported-on-i-35-at-ne-10-in-oklahoma-city-monday" TargetMode="External"/><Relationship Id="rId110" Type="http://schemas.openxmlformats.org/officeDocument/2006/relationships/hyperlink" Target="http://homicide.latimes.com.s3.amazonaws.com/media/homicide/72c81404-df51-4024-b054-47809e5bc39a.jpeg" TargetMode="External"/><Relationship Id="rId2888" Type="http://schemas.openxmlformats.org/officeDocument/2006/relationships/hyperlink" Target="http://abc7.com/suspect-killed-in-deputy-involved-shooting-in-west-valinda/2406141/" TargetMode="External"/><Relationship Id="rId3939" Type="http://schemas.openxmlformats.org/officeDocument/2006/relationships/hyperlink" Target="http://www.fatalencounters.org/wp-content/uploads/2013/10/JesseColeShuping.jpg" TargetMode="External"/><Relationship Id="rId2955" Type="http://schemas.openxmlformats.org/officeDocument/2006/relationships/hyperlink" Target="http://www.fatalencounters.org/wp-content/uploads/2013/10/Sergio-Valdovinos.png" TargetMode="External"/><Relationship Id="rId5361" Type="http://schemas.openxmlformats.org/officeDocument/2006/relationships/hyperlink" Target="https://www.koin.com/news/local/oregon-coast/-come-and-kill-me-bandon-man-shot-dead-in-standoff/1572409775" TargetMode="External"/><Relationship Id="rId6412" Type="http://schemas.openxmlformats.org/officeDocument/2006/relationships/hyperlink" Target="https://www.nbc29.com/story/40715491/vsp-investigating-officerinvolved-shooting-in-rockingham-co" TargetMode="External"/><Relationship Id="rId927" Type="http://schemas.openxmlformats.org/officeDocument/2006/relationships/hyperlink" Target="http://www.latimes.com/local/lanow/la-me-ln-deputy-involved-shooting-san-gabriel-valley-20151016-story.html" TargetMode="External"/><Relationship Id="rId1557" Type="http://schemas.openxmlformats.org/officeDocument/2006/relationships/hyperlink" Target="http://www.westword.com/news/dion-damon-bank-robbery-suspect-unarmed-when-killed-by-denver-cop-7805210" TargetMode="External"/><Relationship Id="rId1971" Type="http://schemas.openxmlformats.org/officeDocument/2006/relationships/hyperlink" Target="http://www.fatalencounters.org/wp-content/uploads/2013/10/Bobby-Rex-Horne.png" TargetMode="External"/><Relationship Id="rId2608" Type="http://schemas.openxmlformats.org/officeDocument/2006/relationships/hyperlink" Target="http://www.fatalencounters.org/wp-content/uploads/2013/10/Ervinsweat.jpg" TargetMode="External"/><Relationship Id="rId5014" Type="http://schemas.openxmlformats.org/officeDocument/2006/relationships/hyperlink" Target="https://cbs12.com/news/local/fatal-officer-involved-shooting-in-delray-beach" TargetMode="External"/><Relationship Id="rId1624" Type="http://schemas.openxmlformats.org/officeDocument/2006/relationships/hyperlink" Target="http://www.guns.com/2016/03/21/retired-trooper-suspect-in-deadly-robbery-attempt/?utm_campaign=trueAnthem:+Trending+Content&amp;utm_content=56efd7b704d3013aeb2ff684&amp;utm_medium=trueAnthem&amp;utm_source=facebook" TargetMode="External"/><Relationship Id="rId4030" Type="http://schemas.openxmlformats.org/officeDocument/2006/relationships/hyperlink" Target="http://wsbt.com/news/local/breaking-suspect-fatally-shot-by-officer-following-elkhart-bank-robbery" TargetMode="External"/><Relationship Id="rId7186" Type="http://schemas.openxmlformats.org/officeDocument/2006/relationships/hyperlink" Target="https://usgunviolence.files.wordpress.com/2014/01/cleman-r-sweptson-jr.jpg?w=625" TargetMode="External"/><Relationship Id="rId3796" Type="http://schemas.openxmlformats.org/officeDocument/2006/relationships/hyperlink" Target="http://www.thedenverchannel.com/news/local-news/parker-officer-involved-shooting-wounds-1" TargetMode="External"/><Relationship Id="rId7253" Type="http://schemas.openxmlformats.org/officeDocument/2006/relationships/hyperlink" Target="http://mediaassets.gosanangelo.com/photo/2014/06/09/6/66247_6080445_ver1.0_640_480.JPG" TargetMode="External"/><Relationship Id="rId2398" Type="http://schemas.openxmlformats.org/officeDocument/2006/relationships/hyperlink" Target="http://www.fatalencounters.org/wp-content/uploads/2013/10/Joseph-Leland-Fletcher.jpg" TargetMode="External"/><Relationship Id="rId3449" Type="http://schemas.openxmlformats.org/officeDocument/2006/relationships/hyperlink" Target="http://www.fatalencounters.org/wp-content/uploads/2013/10/HaydenStutz.jpg" TargetMode="External"/><Relationship Id="rId4847" Type="http://schemas.openxmlformats.org/officeDocument/2006/relationships/hyperlink" Target="https://www.fatalencounters.org/wp-content/uploads/2018/07/Joshua-Blake-Reed.jpg" TargetMode="External"/><Relationship Id="rId3863" Type="http://schemas.openxmlformats.org/officeDocument/2006/relationships/hyperlink" Target="http://www.fatalencounters.org/wp-content/uploads/2013/10/Preston-David-Bell.png" TargetMode="External"/><Relationship Id="rId4914" Type="http://schemas.openxmlformats.org/officeDocument/2006/relationships/hyperlink" Target="https://www.wdio.com/news/ashland-wisconsin-man-killed-iowa-officer-involved-shooting/4994104/?cat=12059" TargetMode="External"/><Relationship Id="rId784" Type="http://schemas.openxmlformats.org/officeDocument/2006/relationships/hyperlink" Target="http://www.sfgate.com/crime/article/San-Jose-police-shoot-and-kill-stabbing-suspect-6434653.php" TargetMode="External"/><Relationship Id="rId1067" Type="http://schemas.openxmlformats.org/officeDocument/2006/relationships/hyperlink" Target="http://www.washingtonpost.com/local/crime/woman-dies-after-a-stun-gun-was-used-on-her-in-the-fairfax-county-jail/2015/02/08/14a7f498-4987-4e47-be50-5d31b39825ef_story.html" TargetMode="External"/><Relationship Id="rId2465" Type="http://schemas.openxmlformats.org/officeDocument/2006/relationships/hyperlink" Target="http://www.tucsonnewsnow.com/story/33842487/two-tucson-police-officers-shot-suspect-has-life-threatening-injuries" TargetMode="External"/><Relationship Id="rId3516" Type="http://schemas.openxmlformats.org/officeDocument/2006/relationships/hyperlink" Target="http://www.fatalencounters.org/wp-content/uploads/2013/10/CharlesJohnston.jpg" TargetMode="External"/><Relationship Id="rId3930" Type="http://schemas.openxmlformats.org/officeDocument/2006/relationships/hyperlink" Target="http://wset.com/news/local/police-officer-involved-shooting-leaves-man-dead-in-henry-co" TargetMode="External"/><Relationship Id="rId437" Type="http://schemas.openxmlformats.org/officeDocument/2006/relationships/hyperlink" Target="http://www.local8now.com/home/headlines/KPD-officer-shot-in-East-KNoxville-262228291.html" TargetMode="External"/><Relationship Id="rId851" Type="http://schemas.openxmlformats.org/officeDocument/2006/relationships/hyperlink" Target="http://www.sgvtribune.com/general-news/20150910/second-victim-in-el-monte-attack-dies-after-being-set-on-fire" TargetMode="External"/><Relationship Id="rId1481" Type="http://schemas.openxmlformats.org/officeDocument/2006/relationships/hyperlink" Target="http://miami.cbslocal.com/2016/01/17/florida-deputy-shoots-kills-driver-following-traffic-stop/" TargetMode="External"/><Relationship Id="rId2118" Type="http://schemas.openxmlformats.org/officeDocument/2006/relationships/hyperlink" Target="http://www.wbtv.com/story/32793636/sources-man-shot-killed-by-state-trooper-after-chase-in-ne-charlotte" TargetMode="External"/><Relationship Id="rId2532" Type="http://schemas.openxmlformats.org/officeDocument/2006/relationships/hyperlink" Target="http://abc7.com/news/suspect-shot-killed-in-south-la-officer-involved-shooting/1662988/" TargetMode="External"/><Relationship Id="rId5688" Type="http://schemas.openxmlformats.org/officeDocument/2006/relationships/hyperlink" Target="https://www.kiro7.com/news/local/suspect-dead-in-officer-involved-shooting-in-kent/900500376" TargetMode="External"/><Relationship Id="rId6739" Type="http://schemas.openxmlformats.org/officeDocument/2006/relationships/hyperlink" Target="https://www.sltrib.com/news/2019/09/11/carbon-county-police/" TargetMode="External"/><Relationship Id="rId504" Type="http://schemas.openxmlformats.org/officeDocument/2006/relationships/hyperlink" Target="http://www.sfgate.com/crime/article/Hayward-police-shoot-and-kill-armed-woman-5205798.php" TargetMode="External"/><Relationship Id="rId1134" Type="http://schemas.openxmlformats.org/officeDocument/2006/relationships/hyperlink" Target="http://6abc.com/news/police-off-duty-pha-officer-shot-killed-robbery-suspect-/1085987/" TargetMode="External"/><Relationship Id="rId5755" Type="http://schemas.openxmlformats.org/officeDocument/2006/relationships/hyperlink" Target="https://www.fatalencounters.org/wp-content/uploads/2019/01/Horacio-Ruiz-Rodriguez.jpg" TargetMode="External"/><Relationship Id="rId6806" Type="http://schemas.openxmlformats.org/officeDocument/2006/relationships/hyperlink" Target="https://www.jdnews.com/news/20190926/sbi-investigating-officer-involved-shooting" TargetMode="External"/><Relationship Id="rId1201" Type="http://schemas.openxmlformats.org/officeDocument/2006/relationships/hyperlink" Target="http://www.local10.com/news/policeinvolved-shooting-in-miami/35454894" TargetMode="External"/><Relationship Id="rId4357" Type="http://schemas.openxmlformats.org/officeDocument/2006/relationships/hyperlink" Target="https://www.mrt.com/news/crime/article/MCSO-Two-dead-after-apparent-stabbing-12747556.php" TargetMode="External"/><Relationship Id="rId4771" Type="http://schemas.openxmlformats.org/officeDocument/2006/relationships/hyperlink" Target="https://www.fatalencounters.org/wp-content/uploads/2018/06/Ashley-Simonetti.jpg" TargetMode="External"/><Relationship Id="rId5408" Type="http://schemas.openxmlformats.org/officeDocument/2006/relationships/hyperlink" Target="https://www.boston.com/news/local-news/2018/11/15/new-hampshire-man-shot-auburn-police-dies" TargetMode="External"/><Relationship Id="rId3373" Type="http://schemas.openxmlformats.org/officeDocument/2006/relationships/hyperlink" Target="http://www.newsobserver.com/news/local/counties/johnston-county/article160803469.html" TargetMode="External"/><Relationship Id="rId4424" Type="http://schemas.openxmlformats.org/officeDocument/2006/relationships/hyperlink" Target="http://weartv.com/news/local/one-dead-in-officer-involved-shooting-in-midway" TargetMode="External"/><Relationship Id="rId5822" Type="http://schemas.openxmlformats.org/officeDocument/2006/relationships/hyperlink" Target="https://abc30.com/police-identify-man-shot-and-killed-by-officers-in-madera/5127034/" TargetMode="External"/><Relationship Id="rId294" Type="http://schemas.openxmlformats.org/officeDocument/2006/relationships/hyperlink" Target="http://www.tristatehomepage.com/story/d/story/isp-investigating-officer-involved-shooting-in-ter/40703/pV4yrq5qR0S3uTbJYNfJsQ" TargetMode="External"/><Relationship Id="rId3026" Type="http://schemas.openxmlformats.org/officeDocument/2006/relationships/hyperlink" Target="http://www.fatalencounters.org/wp-content/uploads/2013/10/Nicolas-Sanchez.png" TargetMode="External"/><Relationship Id="rId361" Type="http://schemas.openxmlformats.org/officeDocument/2006/relationships/hyperlink" Target="http://www.mcall.com/news/breaking/mc-d-phillipsburg-officer-involved-shooting-suspect-dies-20141118-story.html" TargetMode="External"/><Relationship Id="rId2042" Type="http://schemas.openxmlformats.org/officeDocument/2006/relationships/hyperlink" Target="http://www.floridatoday.com/story/news/crime/2016/08/02/police-investigating-palm-bay-double-shooting/87986298/" TargetMode="External"/><Relationship Id="rId3440" Type="http://schemas.openxmlformats.org/officeDocument/2006/relationships/hyperlink" Target="http://www.thedenverchannel.com/news/local-news/sheriffs-deputies-investigating-officer-involved-shooting-in-centennial" TargetMode="External"/><Relationship Id="rId5198" Type="http://schemas.openxmlformats.org/officeDocument/2006/relationships/hyperlink" Target="https://www.fatalencounters.org/wp-content/uploads/2018/09/AlexanderCarballido.jpg" TargetMode="External"/><Relationship Id="rId6596" Type="http://schemas.openxmlformats.org/officeDocument/2006/relationships/hyperlink" Target="https://fatalencounters.org/wp-content/uploads/2019/08/BrandonJones.jpg" TargetMode="External"/><Relationship Id="rId6249" Type="http://schemas.openxmlformats.org/officeDocument/2006/relationships/hyperlink" Target="https://miami.cbslocal.com/2019/05/20/police-involved-shooting-in-miami-gardens/?fbclid=IwAR2HMjDIKF3W6knyd7nAFl4FhJlz59Qm-dt_gTeIdI-LpqWo9yxnSZUhT4g" TargetMode="External"/><Relationship Id="rId6663" Type="http://schemas.openxmlformats.org/officeDocument/2006/relationships/hyperlink" Target="https://www.wtoc.com/2019/08/22/law-enforcement-investigating-deadly-shooting-glennville/" TargetMode="External"/><Relationship Id="rId2859" Type="http://schemas.openxmlformats.org/officeDocument/2006/relationships/hyperlink" Target="http://www.nola.com/crime/index.ssf/2017/01/new_orleans_shooting_little_wo_1.html" TargetMode="External"/><Relationship Id="rId5265" Type="http://schemas.openxmlformats.org/officeDocument/2006/relationships/hyperlink" Target="https://www.keyt.com/news/crime/suspect-killed-in-thousand-oaks-officer-involved-shooting-identified/805481374" TargetMode="External"/><Relationship Id="rId6316" Type="http://schemas.openxmlformats.org/officeDocument/2006/relationships/hyperlink" Target="https://www.courier-tribune.com/news/20190605/alleged-suicide-attempt-results-in-deputy-involved-shooting" TargetMode="External"/><Relationship Id="rId6730" Type="http://schemas.openxmlformats.org/officeDocument/2006/relationships/hyperlink" Target="https://www.easttexasmatters.com/crime/nacogdoches-man-arrested-after-stabbing-carjacking-incidents/" TargetMode="External"/><Relationship Id="rId1875" Type="http://schemas.openxmlformats.org/officeDocument/2006/relationships/hyperlink" Target="http://www.fatalencounters.org/wp-content/uploads/2013/10/TristanVilters.jpg" TargetMode="External"/><Relationship Id="rId4281" Type="http://schemas.openxmlformats.org/officeDocument/2006/relationships/hyperlink" Target="http://triblive.com/local/westmoreland/13340479-74/suspect-in-greensburg-salem-middle-school-break-in-died-as-officers-attempted-to" TargetMode="External"/><Relationship Id="rId5332" Type="http://schemas.openxmlformats.org/officeDocument/2006/relationships/hyperlink" Target="https://www.fatalencounters.org/wp-content/uploads/2018/10/ArmandBell.png" TargetMode="External"/><Relationship Id="rId1528" Type="http://schemas.openxmlformats.org/officeDocument/2006/relationships/hyperlink" Target="http://www.blueridgenow.com/article/20160426/ARTICLES/160429873/1151?Title=Shooting-victim-s-name-released-had-threatened-suicide-by-cop-" TargetMode="External"/><Relationship Id="rId2926" Type="http://schemas.openxmlformats.org/officeDocument/2006/relationships/hyperlink" Target="http://www.mysanantonio.com/news/local/crime/article/Police-respond-to-shooting-on-West-Side-11293425.php" TargetMode="External"/><Relationship Id="rId1942" Type="http://schemas.openxmlformats.org/officeDocument/2006/relationships/hyperlink" Target="http://www.fatalencounters.org/wp-content/uploads/2013/10/kenyatta-moorehead.jpg" TargetMode="External"/><Relationship Id="rId4001" Type="http://schemas.openxmlformats.org/officeDocument/2006/relationships/hyperlink" Target="http://abc7.com/suspect-armed-with-machete-killed-in-canoga-park-police-shooting/2818297/" TargetMode="External"/><Relationship Id="rId7157" Type="http://schemas.openxmlformats.org/officeDocument/2006/relationships/hyperlink" Target="http://crimeblog.dallasnews.com/2013/03/desoto-police-shoot-kill-armed-man-at-lancaster-hotel-after-brief-car-chase.html/" TargetMode="External"/><Relationship Id="rId6173" Type="http://schemas.openxmlformats.org/officeDocument/2006/relationships/hyperlink" Target="https://www.bdtonline.com/news/woman-killed-in-officer-involved-shooting-in-mcdowell-county-identified/article_5f5e91a8-6dd2-11e9-a16e-b76261dd1347.html" TargetMode="External"/><Relationship Id="rId3767" Type="http://schemas.openxmlformats.org/officeDocument/2006/relationships/hyperlink" Target="http://denver.cbslocal.com/2017/10/30/arapahoe-county-shooting-2/" TargetMode="External"/><Relationship Id="rId4818" Type="http://schemas.openxmlformats.org/officeDocument/2006/relationships/hyperlink" Target="https://www.9news.com/article/news/crime/suspect-shot-killed-after-firing-at-deputies-in-centennial/73-566937137" TargetMode="External"/><Relationship Id="rId7224" Type="http://schemas.openxmlformats.org/officeDocument/2006/relationships/hyperlink" Target="http://www.ajc.com/news/news/fulton-police-officer-shot-near-college-park/nZnPb/" TargetMode="External"/><Relationship Id="rId688" Type="http://schemas.openxmlformats.org/officeDocument/2006/relationships/hyperlink" Target="http://www.pressofatlanticcity.com/news/police-shoot-kill-man-in-little-egg-harbor-township/article_a155067e-8d51-11e5-820c-8f51f462e0d1.html" TargetMode="External"/><Relationship Id="rId2369" Type="http://schemas.openxmlformats.org/officeDocument/2006/relationships/hyperlink" Target="http://www.thedenverchannel.com/news/front-range/denver/denver-police-investigating-officer-involved-shooting-on-east-46th-avenue-in-denver" TargetMode="External"/><Relationship Id="rId2783" Type="http://schemas.openxmlformats.org/officeDocument/2006/relationships/hyperlink" Target="http://abc11.com/news/fayetteville-standoff-suspect-shot-by-police-dies/1803878/" TargetMode="External"/><Relationship Id="rId3834" Type="http://schemas.openxmlformats.org/officeDocument/2006/relationships/hyperlink" Target="http://www.clarionledger.com/story/news/local/2017/11/10/authorities-scene-officer-involved-shooting-edwards/852505001/" TargetMode="External"/><Relationship Id="rId6240" Type="http://schemas.openxmlformats.org/officeDocument/2006/relationships/hyperlink" Target="https://fatalencounters.org/wp-content/uploads/2019/05/Deion-Grayhat.jpg" TargetMode="External"/><Relationship Id="rId755" Type="http://schemas.openxmlformats.org/officeDocument/2006/relationships/hyperlink" Target="http://s3.reutersmedia.net/resources/r/?m=02&amp;d=20150806&amp;t=2&amp;i=1069792663&amp;w=976&amp;fh=&amp;fw=&amp;ll=&amp;pl=&amp;sq=&amp;r=LYNXNPEB75047" TargetMode="External"/><Relationship Id="rId1385" Type="http://schemas.openxmlformats.org/officeDocument/2006/relationships/hyperlink" Target="http://www.ktuu.com/news/news/fatal-officerinvolved-shooting-reported-in-barrow-says-borough-spokesman/37925150" TargetMode="External"/><Relationship Id="rId2436" Type="http://schemas.openxmlformats.org/officeDocument/2006/relationships/hyperlink" Target="http://www.fatalencounters.org/wp-content/uploads/2013/10/Adame.jpg" TargetMode="External"/><Relationship Id="rId2850" Type="http://schemas.openxmlformats.org/officeDocument/2006/relationships/hyperlink" Target="http://www.kiro7.com/news/local/neighbor-testifies-during-inquest-into-teens-fatal-shooting-by-deputies/622651843" TargetMode="External"/><Relationship Id="rId91" Type="http://schemas.openxmlformats.org/officeDocument/2006/relationships/hyperlink" Target="http://www.timesunion.com/news/article/Sheriff-Edinburgh-resident-dead-in-officer-6357460.php" TargetMode="External"/><Relationship Id="rId408" Type="http://schemas.openxmlformats.org/officeDocument/2006/relationships/hyperlink" Target="http://www.arklatexhomepage.com/story/d/story/man-killed-in-overnight-shooting-has-been-identifi/42931/M-T9-BnlDEKC3eIlvgv1Xg" TargetMode="External"/><Relationship Id="rId822" Type="http://schemas.openxmlformats.org/officeDocument/2006/relationships/hyperlink" Target="http://www.tennessean.com/story/news/local/hendersonville/2015/08/26/hendersonville-police-investigating-incident/32386959/" TargetMode="External"/><Relationship Id="rId1038" Type="http://schemas.openxmlformats.org/officeDocument/2006/relationships/hyperlink" Target="http://wtvr.com/2015/04/30/greensville-county-sheriff-shooting/" TargetMode="External"/><Relationship Id="rId1452" Type="http://schemas.openxmlformats.org/officeDocument/2006/relationships/hyperlink" Target="http://www.kake.com/home/headlines/Shooting-in-Butler-County--371822962.html" TargetMode="External"/><Relationship Id="rId2503" Type="http://schemas.openxmlformats.org/officeDocument/2006/relationships/hyperlink" Target="http://www.wbir.com/news/local/mcminn-monroe/sheriffs-office-tbi-investigating-fatal-monroe-co-shooting/367123570" TargetMode="External"/><Relationship Id="rId3901" Type="http://schemas.openxmlformats.org/officeDocument/2006/relationships/hyperlink" Target="http://abc30.com/two-people-are-dead-in-kings-county-a-k-9-officer-shot-and-recovering-in-fresno-veterinary-hospital-after-an-officer-involved-shooting-/2699806/" TargetMode="External"/><Relationship Id="rId5659" Type="http://schemas.openxmlformats.org/officeDocument/2006/relationships/hyperlink" Target="https://www.duluthnewstribune.com/news/crime-and-courts/4552719-officers-victim-idd-fatal-police-shooting-southern-minnesota?fbclid=IwAR3xjUrpA5EycW32PyT3KU2sYaAqAxvm9mzRSEkyc2jRebu0rLvx7eawoao" TargetMode="External"/><Relationship Id="rId1105" Type="http://schemas.openxmlformats.org/officeDocument/2006/relationships/hyperlink" Target="http://www.bradenton.com/news/local/crime/hgcvb4/picture45462828/ALTERNATES/FREE_320/Randy%20Allen%20Smith.jpg" TargetMode="External"/><Relationship Id="rId7081" Type="http://schemas.openxmlformats.org/officeDocument/2006/relationships/hyperlink" Target="https://kyma.com/news/imperial-county/2019/12/29/officer-involved-shooting-leaves-one-person-dead-in-el-centro/" TargetMode="External"/><Relationship Id="rId3277" Type="http://schemas.openxmlformats.org/officeDocument/2006/relationships/hyperlink" Target="http://www.fatalencounters.org/wp-content/uploads/2013/10/Daniel-Edward-Blyler.jpg" TargetMode="External"/><Relationship Id="rId4675" Type="http://schemas.openxmlformats.org/officeDocument/2006/relationships/hyperlink" Target="https://www.fatalencounters.org/wp-content/uploads/2018/05/Ronald-Clinton.jpg" TargetMode="External"/><Relationship Id="rId5726" Type="http://schemas.openxmlformats.org/officeDocument/2006/relationships/hyperlink" Target="https://fox40.com/2019/01/17/suspected-gunman-in-placer-county-shooting-spree-identified/" TargetMode="External"/><Relationship Id="rId198" Type="http://schemas.openxmlformats.org/officeDocument/2006/relationships/hyperlink" Target="http://www.arlnow.com/2015/05/19/breaking-officer-involved-shooting-in-buckingham/" TargetMode="External"/><Relationship Id="rId3691" Type="http://schemas.openxmlformats.org/officeDocument/2006/relationships/hyperlink" Target="http://www.fatalencounters.org/wp-content/uploads/2013/10/Kevin-Ernest-Tree.png" TargetMode="External"/><Relationship Id="rId4328" Type="http://schemas.openxmlformats.org/officeDocument/2006/relationships/hyperlink" Target="http://www.fatalencounters.org/wp-content/uploads/2018/03/mikey-reynolds.jpg" TargetMode="External"/><Relationship Id="rId4742" Type="http://schemas.openxmlformats.org/officeDocument/2006/relationships/hyperlink" Target="https://www.fatalencounters.org/wp-content/uploads/2018/06/Douglas-Conner.jpg" TargetMode="External"/><Relationship Id="rId2293" Type="http://schemas.openxmlformats.org/officeDocument/2006/relationships/hyperlink" Target="http://www.tulsaworld.com/news/crimewatch/man-dies-after-officer-involved-shooting-near-admiral-and-utica/article_a5cfc101-3c2f-5119-8fb2-97c5a6ac765b.html" TargetMode="External"/><Relationship Id="rId3344" Type="http://schemas.openxmlformats.org/officeDocument/2006/relationships/hyperlink" Target="http://www.fatalencounters.org/wp-content/uploads/2013/10/Anthony-Benavidez.png" TargetMode="External"/><Relationship Id="rId265" Type="http://schemas.openxmlformats.org/officeDocument/2006/relationships/hyperlink" Target="http://abc11.com/news/sampson-county-sheriffs-deputy-shoots-and-kills-robbery-suspect/654777/" TargetMode="External"/><Relationship Id="rId2360" Type="http://schemas.openxmlformats.org/officeDocument/2006/relationships/hyperlink" Target="http://www.thedailyjournal.com/story/news/crime/2016/11/06/police-involved-shooting-probed-maurice-river/93394178/" TargetMode="External"/><Relationship Id="rId3411" Type="http://schemas.openxmlformats.org/officeDocument/2006/relationships/hyperlink" Target="http://www.fatalencounters.org/wp-content/uploads/2013/10/Barry-Jones.png" TargetMode="External"/><Relationship Id="rId6567" Type="http://schemas.openxmlformats.org/officeDocument/2006/relationships/hyperlink" Target="https://www.lehighvalleylive.com/allentown/2019/08/man-killed-by-multiple-gunshots-in-allentown-police-shooting-coroner-says.html" TargetMode="External"/><Relationship Id="rId6981" Type="http://schemas.openxmlformats.org/officeDocument/2006/relationships/hyperlink" Target="https://www.app.com/story/news/crime/jersey-mayhem/2019/12/11/jersey-city-shooting-may-worst-anti-semitic-incident-new-jersey/4020789002/" TargetMode="External"/><Relationship Id="rId332" Type="http://schemas.openxmlformats.org/officeDocument/2006/relationships/hyperlink" Target="http://www.pnj.com/story/news/crime/2014/12/17/man-dies-two-weeks-tased/20545199/" TargetMode="External"/><Relationship Id="rId2013" Type="http://schemas.openxmlformats.org/officeDocument/2006/relationships/hyperlink" Target="http://www.sbsun.com/general-news/20160727/man-shot-killed-by-san-bernardino-police-after-reportedly-charging-at-officer-with-knife" TargetMode="External"/><Relationship Id="rId5169" Type="http://schemas.openxmlformats.org/officeDocument/2006/relationships/hyperlink" Target="https://www.dailyherald.com/news/20180917/man-killed-by-police-in-vernon-hills-identified" TargetMode="External"/><Relationship Id="rId5583" Type="http://schemas.openxmlformats.org/officeDocument/2006/relationships/hyperlink" Target="https://www.fatalencounters.org/wp-content/uploads/2018/12/David-MacAdams.jpg" TargetMode="External"/><Relationship Id="rId6634" Type="http://schemas.openxmlformats.org/officeDocument/2006/relationships/hyperlink" Target="https://myfox8.com/2019/08/13/family-identifies-man-shot-killed-after-deputy-says-tractor-almost-ran-over-patrol-car-in-randolph-county-deputies-say/" TargetMode="External"/><Relationship Id="rId4185" Type="http://schemas.openxmlformats.org/officeDocument/2006/relationships/hyperlink" Target="http://wjla.com/news/local/police-off-duty-officer-shoots-virginia-driver-trying-to-run-down-people-in-south-philly" TargetMode="External"/><Relationship Id="rId5236" Type="http://schemas.openxmlformats.org/officeDocument/2006/relationships/hyperlink" Target="http://www.unionleader.com/crime/AG-Man-killed-in-encounter-with-police-had-gun-in-his-hand-10012018" TargetMode="External"/><Relationship Id="rId1779" Type="http://schemas.openxmlformats.org/officeDocument/2006/relationships/hyperlink" Target="http://www.oregonlive.com/pacific-northwest-news/index.ssf/2016/06/man_killed_by_police_at_bend_m.html" TargetMode="External"/><Relationship Id="rId4252" Type="http://schemas.openxmlformats.org/officeDocument/2006/relationships/hyperlink" Target="https://www.nbcdfw.com/news/local/Fort-Worth-Police-Officer-Involved-Shooting-474097023.html" TargetMode="External"/><Relationship Id="rId5650" Type="http://schemas.openxmlformats.org/officeDocument/2006/relationships/hyperlink" Target="https://www.fatalencounters.org/wp-content/uploads/2019/01/matthew-burroughs.jpg" TargetMode="External"/><Relationship Id="rId6701" Type="http://schemas.openxmlformats.org/officeDocument/2006/relationships/hyperlink" Target="https://www.ksdk.com/article/news/local/police-release-new-information-in-officer-involved-shooting-of-terry-tillman/63-e1d6bb70-bd86-4968-abb4-20f2b83b98e3" TargetMode="External"/><Relationship Id="rId1846" Type="http://schemas.openxmlformats.org/officeDocument/2006/relationships/hyperlink" Target="http://www.fatalencounters.org/wp-content/uploads/2013/10/William-Thomas-Hennessey.jpg" TargetMode="External"/><Relationship Id="rId5303" Type="http://schemas.openxmlformats.org/officeDocument/2006/relationships/hyperlink" Target="http://www.waltontribune.com/article_45586e6c-d2e8-11e8-9fc1-afb7f10dabd3.html" TargetMode="External"/><Relationship Id="rId1913" Type="http://schemas.openxmlformats.org/officeDocument/2006/relationships/hyperlink" Target="http://www.koaa.com/story/32358733/park-county-man-kills-brother-is-shot-and-killed-by-police" TargetMode="External"/><Relationship Id="rId6077" Type="http://schemas.openxmlformats.org/officeDocument/2006/relationships/hyperlink" Target="https://www.wlky.com/article/1-dead-in-officer-involved-shooting-in-new-albany/27062604" TargetMode="External"/><Relationship Id="rId6491" Type="http://schemas.openxmlformats.org/officeDocument/2006/relationships/hyperlink" Target="https://q13fox.com/2019/07/13/kirkland-police-officers-shoot-kill-man-to-help-save-child/" TargetMode="External"/><Relationship Id="rId7128" Type="http://schemas.openxmlformats.org/officeDocument/2006/relationships/hyperlink" Target="http://abc13.com/archive/9011275/" TargetMode="External"/><Relationship Id="rId2687" Type="http://schemas.openxmlformats.org/officeDocument/2006/relationships/hyperlink" Target="http://www.al.com/news/birmingham/index.ssf/2017/06/combative_suspect_dies_1_day_a.html" TargetMode="External"/><Relationship Id="rId3738" Type="http://schemas.openxmlformats.org/officeDocument/2006/relationships/hyperlink" Target="http://www.newspressnow.com/news/local_news/update-woman-killed-after-shooting-at-police/article_90c7513d-8980-5440-80f3-4a12442e110a.html" TargetMode="External"/><Relationship Id="rId5093" Type="http://schemas.openxmlformats.org/officeDocument/2006/relationships/hyperlink" Target="https://www.fatalencounters.org/wp-content/uploads/2018/08/LoganMontgomery.jpg" TargetMode="External"/><Relationship Id="rId6144" Type="http://schemas.openxmlformats.org/officeDocument/2006/relationships/hyperlink" Target="http://www.fatalencounters.org/wp-content/uploads/2019/04/Anthony-Jose-Vega-Cruz.jpg" TargetMode="External"/><Relationship Id="rId659" Type="http://schemas.openxmlformats.org/officeDocument/2006/relationships/hyperlink" Target="http://www.killedbypolice.net/victims/151007.jpg" TargetMode="External"/><Relationship Id="rId1289" Type="http://schemas.openxmlformats.org/officeDocument/2006/relationships/hyperlink" Target="http://www.fatalencounters.org/wp-content/uploads/2013/10/Byron.png" TargetMode="External"/><Relationship Id="rId5160" Type="http://schemas.openxmlformats.org/officeDocument/2006/relationships/hyperlink" Target="https://www.fatalencounters.org/wp-content/uploads/2018/09/DACION-STEPTOE.jpg" TargetMode="External"/><Relationship Id="rId6211" Type="http://schemas.openxmlformats.org/officeDocument/2006/relationships/hyperlink" Target="https://azdailysun.com/news/officer-involved-shooting-south-of-parks-leaves-man-dead/article_50e6bfc8-5959-58f4-b70f-0bb3bad8e2a7.html" TargetMode="External"/><Relationship Id="rId1356" Type="http://schemas.openxmlformats.org/officeDocument/2006/relationships/hyperlink" Target="http://www.nbcdfw.com/news/local/Officer-Involved-Shooting-Leaves-1-Dead-in-Saginaw-367131831.html" TargetMode="External"/><Relationship Id="rId2754" Type="http://schemas.openxmlformats.org/officeDocument/2006/relationships/hyperlink" Target="http://www.chron.com/news/houston-texas/houston/article/Houstan-man-dies-after-police-Taser-11087687.php" TargetMode="External"/><Relationship Id="rId3805" Type="http://schemas.openxmlformats.org/officeDocument/2006/relationships/hyperlink" Target="http://www.fatalencounters.org/wp-content/uploads/2013/10/Marlysa-Sanchez.jpg" TargetMode="External"/><Relationship Id="rId726" Type="http://schemas.openxmlformats.org/officeDocument/2006/relationships/hyperlink" Target="http://www.startribune.com/officer-involved-shooting-at-plymouth-arby-s-leaves-one-man-dead/318383701/" TargetMode="External"/><Relationship Id="rId1009" Type="http://schemas.openxmlformats.org/officeDocument/2006/relationships/hyperlink" Target="http://www.cincinnati.com/story/news/crime/2015/06/09/officer-involved-shooting-northside/28778129/" TargetMode="External"/><Relationship Id="rId1770" Type="http://schemas.openxmlformats.org/officeDocument/2006/relationships/hyperlink" Target="http://www.fatalencounters.org/wp-content/uploads/2013/10/Burroughs.png" TargetMode="External"/><Relationship Id="rId2407" Type="http://schemas.openxmlformats.org/officeDocument/2006/relationships/hyperlink" Target="http://newyork.cbslocal.com/2016/11/19/officers-hurt-in-brooklyn-shooting/" TargetMode="External"/><Relationship Id="rId2821" Type="http://schemas.openxmlformats.org/officeDocument/2006/relationships/hyperlink" Target="http://www.fatalencounters.org/wp-content/uploads/2013/10/Kenneth-Lee-Bailey-Jr.png" TargetMode="External"/><Relationship Id="rId5977" Type="http://schemas.openxmlformats.org/officeDocument/2006/relationships/hyperlink" Target="https://www.fatalencounters.org/wp-content/uploads/2019/03/Charles-Ballard.jpg" TargetMode="External"/><Relationship Id="rId62" Type="http://schemas.openxmlformats.org/officeDocument/2006/relationships/hyperlink" Target="http://matchbin-assets.s3.amazonaws.com/public/sites/990/assets/26J5_1625924_profile_pic.jpg" TargetMode="External"/><Relationship Id="rId1423" Type="http://schemas.openxmlformats.org/officeDocument/2006/relationships/hyperlink" Target="http://denver.cbslocal.com/2016/02/25/suspect-shot-killed-during-chase-in-evans/" TargetMode="External"/><Relationship Id="rId4579" Type="http://schemas.openxmlformats.org/officeDocument/2006/relationships/hyperlink" Target="http://www.fatalencounters.org/wp-content/uploads/2018/05/Jese-Paul-Schlegel.jpg" TargetMode="External"/><Relationship Id="rId4993" Type="http://schemas.openxmlformats.org/officeDocument/2006/relationships/hyperlink" Target="https://sanfrancisco.cbslocal.com/2018/08/02/man-who-died-in-pleasanton-police-custody-identified/" TargetMode="External"/><Relationship Id="rId3595" Type="http://schemas.openxmlformats.org/officeDocument/2006/relationships/hyperlink" Target="http://www.winknews.com/2017/02/26/suspect-killed-in-charlotte-county-deputy-involved-shooting/" TargetMode="External"/><Relationship Id="rId4646" Type="http://schemas.openxmlformats.org/officeDocument/2006/relationships/hyperlink" Target="http://www.santacruzsentinel.com/general-news/20180514/authorities-driver-shoots-deputy-dies-amid-police-gunfire" TargetMode="External"/><Relationship Id="rId7052" Type="http://schemas.openxmlformats.org/officeDocument/2006/relationships/hyperlink" Target="https://triblive.com/local/pittsburgh-allegheny/man-killed-in-exchange-of-fire-while-fleeing-from-wilkinsburg-police/" TargetMode="External"/><Relationship Id="rId2197" Type="http://schemas.openxmlformats.org/officeDocument/2006/relationships/hyperlink" Target="http://www.wesh.com/news/suspect-identified-in-officerinvolved-shooting-in-lakeland/41570036" TargetMode="External"/><Relationship Id="rId3248" Type="http://schemas.openxmlformats.org/officeDocument/2006/relationships/hyperlink" Target="http://6abc.com/news/man-dies-after-altercation-with-police-in-north-philadelphia/1709962/" TargetMode="External"/><Relationship Id="rId3662" Type="http://schemas.openxmlformats.org/officeDocument/2006/relationships/hyperlink" Target="http://www.kiro7.com/news/north-sound-news/officer-involved-shooting-in-lynnwood-closes-sr-99/489277082" TargetMode="External"/><Relationship Id="rId4713" Type="http://schemas.openxmlformats.org/officeDocument/2006/relationships/hyperlink" Target="https://www.local10.com/news/florida/miami-dade/florida-city-police-officer-involved-in-shooting-authorities-say" TargetMode="External"/><Relationship Id="rId169" Type="http://schemas.openxmlformats.org/officeDocument/2006/relationships/hyperlink" Target="http://www.killedbypolice.net/victims/150476.jpg" TargetMode="External"/><Relationship Id="rId583" Type="http://schemas.openxmlformats.org/officeDocument/2006/relationships/hyperlink" Target="http://www.killedbypolice.net/victims/150985.jpg" TargetMode="External"/><Relationship Id="rId2264" Type="http://schemas.openxmlformats.org/officeDocument/2006/relationships/hyperlink" Target="http://www.reviewjournal.com/crime/homicides/las-vegas-police-shoot-kill-man-suspected-robberies-carjacking" TargetMode="External"/><Relationship Id="rId3315" Type="http://schemas.openxmlformats.org/officeDocument/2006/relationships/hyperlink" Target="http://www.thetimesherald.com/story/news/2017/08/06/sheriff-department-investigating-officer-involved-shooting/543499001/" TargetMode="External"/><Relationship Id="rId236" Type="http://schemas.openxmlformats.org/officeDocument/2006/relationships/hyperlink" Target="http://www.guns.com/2015/04/30/game-warden-shoots-kills-man-who-tried-to-drown-him-after-checking-fishing-license/" TargetMode="External"/><Relationship Id="rId650" Type="http://schemas.openxmlformats.org/officeDocument/2006/relationships/hyperlink" Target="http://www.killedbypolice.net/victims/151023.jpg" TargetMode="External"/><Relationship Id="rId1280" Type="http://schemas.openxmlformats.org/officeDocument/2006/relationships/hyperlink" Target="http://www.fatalencounters.org/wp-content/uploads/2013/10/Conti.png" TargetMode="External"/><Relationship Id="rId2331" Type="http://schemas.openxmlformats.org/officeDocument/2006/relationships/hyperlink" Target="http://www.rgj.com/story/news/crime/2016/11/01/one-dead-after-nhp-trooper-involved-shooting/93123520/" TargetMode="External"/><Relationship Id="rId5487" Type="http://schemas.openxmlformats.org/officeDocument/2006/relationships/hyperlink" Target="https://www.fatalencounters.org/wp-content/uploads/2018/12/Antonio-Jaso-Aguilar.jpg" TargetMode="External"/><Relationship Id="rId6885" Type="http://schemas.openxmlformats.org/officeDocument/2006/relationships/hyperlink" Target="https://fatalencounters.org/wp-content/uploads/2019/10/Nasheem-Prioleau.jpg" TargetMode="External"/><Relationship Id="rId303" Type="http://schemas.openxmlformats.org/officeDocument/2006/relationships/hyperlink" Target="http://www.statesman.com/news/news/local/officer-involved-shooting-being-investigated/njtpW/" TargetMode="External"/><Relationship Id="rId4089" Type="http://schemas.openxmlformats.org/officeDocument/2006/relationships/hyperlink" Target="https://www.sfgate.com/crime/article/Officer-involved-shooting-at-San-Jose-power-plant-12486298.php" TargetMode="External"/><Relationship Id="rId6538" Type="http://schemas.openxmlformats.org/officeDocument/2006/relationships/hyperlink" Target="https://www.nj.com/monmouth/2019/07/man-shot-dead-in-confrontation-with-police-was-armed-with-scissors-state-says.html" TargetMode="External"/><Relationship Id="rId6952" Type="http://schemas.openxmlformats.org/officeDocument/2006/relationships/hyperlink" Target="https://www.nbcbayarea.com/news/local/Police-Investigating-Activity-in-San-Jose-564185481.html" TargetMode="External"/><Relationship Id="rId5554" Type="http://schemas.openxmlformats.org/officeDocument/2006/relationships/hyperlink" Target="https://www.azcentral.com/story/news/local/mesa-breaking/2018/12/16/maricopa-county-sheriffs-office-mcso-investigating-mesa-shooting-involving-deputies/2330825002/" TargetMode="External"/><Relationship Id="rId6605" Type="http://schemas.openxmlformats.org/officeDocument/2006/relationships/hyperlink" Target="https://fatalencounters.org/wp-content/uploads/2019/08/Morris.png" TargetMode="External"/><Relationship Id="rId1000" Type="http://schemas.openxmlformats.org/officeDocument/2006/relationships/hyperlink" Target="http://www.washingtonpost.com/news/morning-mix/wp/2015/06/14/new-video-shows-kentucky-police-officer-killing-flagpole-wielding-man/" TargetMode="External"/><Relationship Id="rId4156" Type="http://schemas.openxmlformats.org/officeDocument/2006/relationships/hyperlink" Target="http://abc13.com/man-dead-at-scene-of-league-city-officer-involved-shooting/2981959/" TargetMode="External"/><Relationship Id="rId4570" Type="http://schemas.openxmlformats.org/officeDocument/2006/relationships/hyperlink" Target="https://www.courier-journal.com/story/news/2018/04/23/officers-killed-man-sunday-west-buechel-identified/542822002/" TargetMode="External"/><Relationship Id="rId5207" Type="http://schemas.openxmlformats.org/officeDocument/2006/relationships/hyperlink" Target="https://www.kolotv.com/content/news/OIS--494100671.html" TargetMode="External"/><Relationship Id="rId5621" Type="http://schemas.openxmlformats.org/officeDocument/2006/relationships/hyperlink" Target="https://www.kcrg.com/content/news/Suspect-killed-after-chase-shootout-with-law-enforcement-503760481.html?fbclid=IwAR0bkR7BjCBpCJtwVKIpU5MERkRa9ONAMblxjLpH_bdqZlDz5xDeLOnTm9I" TargetMode="External"/><Relationship Id="rId1817" Type="http://schemas.openxmlformats.org/officeDocument/2006/relationships/hyperlink" Target="http://abc7.com/news/suspect-with-spear-killed-in-maywood-deputy-involved-shooting/1381668/" TargetMode="External"/><Relationship Id="rId3172" Type="http://schemas.openxmlformats.org/officeDocument/2006/relationships/hyperlink" Target="http://www.indystar.com/story/news/crime/2017/07/03/fishers-police-investigating-fatal-officer-involved-shooting/448402001/" TargetMode="External"/><Relationship Id="rId4223" Type="http://schemas.openxmlformats.org/officeDocument/2006/relationships/hyperlink" Target="http://www.palmbeachpost.com/news/breaking-news/breaking-pbso-deputy-shot-person-lantana-lanes-closed/d2K8F5BxGK0yC1wwBbjbzM/" TargetMode="External"/><Relationship Id="rId6395" Type="http://schemas.openxmlformats.org/officeDocument/2006/relationships/hyperlink" Target="https://abc6onyourside.com/news/local/swat-situation-active-shooter-situation-in-ashville" TargetMode="External"/><Relationship Id="rId160" Type="http://schemas.openxmlformats.org/officeDocument/2006/relationships/hyperlink" Target="http://www.keyt.com/news/officer-involved-shooting-in-santa-maria-following-domestic-abuse-call/33434948" TargetMode="External"/><Relationship Id="rId3989" Type="http://schemas.openxmlformats.org/officeDocument/2006/relationships/hyperlink" Target="https://www.nbcsandiego.com/news/local/SDSO-Deputies-Involved-in-Shooting-in-Residential-Area-of-Oceanside-465537783.html" TargetMode="External"/><Relationship Id="rId6048" Type="http://schemas.openxmlformats.org/officeDocument/2006/relationships/hyperlink" Target="https://www.wcnc.com/article/news/crime/one-person-killed-in-deputy-involved-shooting-in-watauga-county/275-5afdd935-c167-463c-85a3-18afa1aa5104" TargetMode="External"/><Relationship Id="rId6462" Type="http://schemas.openxmlformats.org/officeDocument/2006/relationships/hyperlink" Target="https://fatalencounters.org/wp-content/uploads/2019/07/Tymar.jpg" TargetMode="External"/><Relationship Id="rId5064" Type="http://schemas.openxmlformats.org/officeDocument/2006/relationships/hyperlink" Target="http://www.azfamily.com/story/38913564/police-investigate-second-officer-involved-shooting-in-phoenix-this-week" TargetMode="External"/><Relationship Id="rId6115" Type="http://schemas.openxmlformats.org/officeDocument/2006/relationships/hyperlink" Target="https://ktla.com/2019/04/14/police-responding-to-officer-involved-shooting-in-downtown-l-a/" TargetMode="External"/><Relationship Id="rId977" Type="http://schemas.openxmlformats.org/officeDocument/2006/relationships/hyperlink" Target="http://www.gannett-cdn.com/-mm-/444b6b00164f56950327b2368f293f2ce83db955/c=0-295-1304-1032&amp;r=x633&amp;c=1200x630/local/-/media/2015/07/10/JacksonMS/JacksonMS/635721442175293352-IMG-0825.JPG.jpg" TargetMode="External"/><Relationship Id="rId2658" Type="http://schemas.openxmlformats.org/officeDocument/2006/relationships/hyperlink" Target="http://www.fatalencounters.org/wp-content/uploads/2013/10/Isaiah-Perkins.jpg" TargetMode="External"/><Relationship Id="rId3709" Type="http://schemas.openxmlformats.org/officeDocument/2006/relationships/hyperlink" Target="https://www.news-journal.com/news/2017/jan/03/officer-involved-shooting-reported-upshur-county/" TargetMode="External"/><Relationship Id="rId4080" Type="http://schemas.openxmlformats.org/officeDocument/2006/relationships/hyperlink" Target="http://krqe.com/2018/01/07/police-investigating-officer-involved-shooting-in-northeast-albuquerque/" TargetMode="External"/><Relationship Id="rId1674" Type="http://schemas.openxmlformats.org/officeDocument/2006/relationships/hyperlink" Target="http://www.fatalencounters.org/wp-content/uploads/2013/10/Deresha.png" TargetMode="External"/><Relationship Id="rId2725" Type="http://schemas.openxmlformats.org/officeDocument/2006/relationships/hyperlink" Target="http://gunmemorial.org/2017/05/08/mikel-laney-mcintyre" TargetMode="External"/><Relationship Id="rId5131" Type="http://schemas.openxmlformats.org/officeDocument/2006/relationships/hyperlink" Target="https://www.al.com/news/birmingham/index.ssf/2018/09/suspect_shot_and_killed_in_cha.html" TargetMode="External"/><Relationship Id="rId1327" Type="http://schemas.openxmlformats.org/officeDocument/2006/relationships/hyperlink" Target="http://jacksonville.com/news/crime/2016-02-12/story/jacksonville-man-shot-duty-federal-officer-during-attempted-robbery" TargetMode="External"/><Relationship Id="rId1741" Type="http://schemas.openxmlformats.org/officeDocument/2006/relationships/hyperlink" Target="http://www.fatalencounters.org/wp-content/uploads/2013/10/Wilson.png" TargetMode="External"/><Relationship Id="rId4897" Type="http://schemas.openxmlformats.org/officeDocument/2006/relationships/hyperlink" Target="https://www.fatalencounters.org/wp-content/uploads/2018/07/Archer-Amorosi.jpg" TargetMode="External"/><Relationship Id="rId5948" Type="http://schemas.openxmlformats.org/officeDocument/2006/relationships/hyperlink" Target="http://www.kait8.com/2019/03/07/jpd-responding-shots-fired-near-allen-park/" TargetMode="External"/><Relationship Id="rId33" Type="http://schemas.openxmlformats.org/officeDocument/2006/relationships/hyperlink" Target="http://cdn.abclocal.go.com/content/kabc/images/cms/889902_1280x720.jpg" TargetMode="External"/><Relationship Id="rId3499" Type="http://schemas.openxmlformats.org/officeDocument/2006/relationships/hyperlink" Target="http://www.fatalencounters.org/wp-content/uploads/2013/10/JasonChristian.jpg" TargetMode="External"/><Relationship Id="rId3566" Type="http://schemas.openxmlformats.org/officeDocument/2006/relationships/hyperlink" Target="http://www.fatalencounters.org/wp-content/uploads/2013/10/Todd-Munson.png" TargetMode="External"/><Relationship Id="rId4964" Type="http://schemas.openxmlformats.org/officeDocument/2006/relationships/hyperlink" Target="http://www.kitv.com/story/38741649/police-shootout-in-nanakuli-suspect-dead-officer-injured" TargetMode="External"/><Relationship Id="rId7023" Type="http://schemas.openxmlformats.org/officeDocument/2006/relationships/hyperlink" Target="https://fatalencounters.org/wp-content/uploads/2019/12/Ricky-Lee-Gardipee.jpg" TargetMode="External"/><Relationship Id="rId487" Type="http://schemas.openxmlformats.org/officeDocument/2006/relationships/hyperlink" Target="http://www.firstcoastnews.com/story/news/crime/2014/03/15/lake-city-killed-police/6457449/" TargetMode="External"/><Relationship Id="rId2168" Type="http://schemas.openxmlformats.org/officeDocument/2006/relationships/hyperlink" Target="http://www.denverpost.com/2016/08/31/shots-fired-denver-police-operation/" TargetMode="External"/><Relationship Id="rId3219" Type="http://schemas.openxmlformats.org/officeDocument/2006/relationships/hyperlink" Target="https://www.google.com/url?q=http://ak-cache.legacy.net/legacy/images/cobrands/orangecounty/photos/10940331-1.eps_20170430.jpgx?w%3D130%26h%3D180%26option%3D1%26v%3D0x000000004d3a7175&amp;sa=D&amp;ust=1508882833370000&amp;usg=AFQjCNEQDdVz_koi97oU4Tirl4pD4f-o5g" TargetMode="External"/><Relationship Id="rId3980" Type="http://schemas.openxmlformats.org/officeDocument/2006/relationships/hyperlink" Target="http://5newsonline.com/2017/12/19/deputies-respond-to-officer-involved-shooting-in-mulberry/" TargetMode="External"/><Relationship Id="rId4617" Type="http://schemas.openxmlformats.org/officeDocument/2006/relationships/hyperlink" Target="https://www.ajc.com/news/crime--law/officer-fatally-shoots-man-during-altercation-gbi-says/HkjhaCHc59E7u8wZMwVbqO/" TargetMode="External"/><Relationship Id="rId1184" Type="http://schemas.openxmlformats.org/officeDocument/2006/relationships/hyperlink" Target="http://www.wusa9.com/story/news/local/maryland/2015/08/15/suspect-shot-police-after-struggle-over-officers-gun/31772861/" TargetMode="External"/><Relationship Id="rId2582" Type="http://schemas.openxmlformats.org/officeDocument/2006/relationships/hyperlink" Target="http://www.fatalencounters.org/wp-content/uploads/2013/10/Ferguson.jpg" TargetMode="External"/><Relationship Id="rId3633" Type="http://schemas.openxmlformats.org/officeDocument/2006/relationships/hyperlink" Target="http://www.fatalencounters.org/wp-content/uploads/2013/10/Ambroshia-Fagre.png" TargetMode="External"/><Relationship Id="rId6789" Type="http://schemas.openxmlformats.org/officeDocument/2006/relationships/hyperlink" Target="https://fatalencounters.org/wp-content/uploads/2019/09/Kentorrey-Sims.jpg" TargetMode="External"/><Relationship Id="rId554" Type="http://schemas.openxmlformats.org/officeDocument/2006/relationships/hyperlink" Target="http://crimeblog.dallasnews.com/2013/07/police-shoot-burglary-suspect-in-confrontation-in-southeast-dallas.html/" TargetMode="External"/><Relationship Id="rId2235" Type="http://schemas.openxmlformats.org/officeDocument/2006/relationships/hyperlink" Target="http://www.thetowntalk.com/story/news/2016/10/07/alexandria-man-dies-after-thursday-shooting/91735482/" TargetMode="External"/><Relationship Id="rId3700" Type="http://schemas.openxmlformats.org/officeDocument/2006/relationships/hyperlink" Target="http://wvmetronews.com/2017/01/08/bluefield-man-dead-in-officer-involved-shooting/" TargetMode="External"/><Relationship Id="rId6856" Type="http://schemas.openxmlformats.org/officeDocument/2006/relationships/hyperlink" Target="https://www.rutlandherald.com/news/police-who-fired-fatal-shots-identified/article_1dee2669-b0a3-5e62-b748-de1aaf56a878.html" TargetMode="External"/><Relationship Id="rId207" Type="http://schemas.openxmlformats.org/officeDocument/2006/relationships/hyperlink" Target="http://www.ocregister.com/articles/santa-661469-involved-margarita.html" TargetMode="External"/><Relationship Id="rId621" Type="http://schemas.openxmlformats.org/officeDocument/2006/relationships/hyperlink" Target="http://www.killedbypolice.net/victims/150994.jpg" TargetMode="External"/><Relationship Id="rId1251" Type="http://schemas.openxmlformats.org/officeDocument/2006/relationships/hyperlink" Target="http://media.cmgdigital.com/shared/img/photos/2016/01/28/bd/20/isrealrodriguez.jpg" TargetMode="External"/><Relationship Id="rId2302" Type="http://schemas.openxmlformats.org/officeDocument/2006/relationships/hyperlink" Target="http://www.kmov.com/story/33469438/officers-injured-in-crash-chasing-carjacking-suspect-in-north-city" TargetMode="External"/><Relationship Id="rId5458" Type="http://schemas.openxmlformats.org/officeDocument/2006/relationships/hyperlink" Target="https://www.fatalencounters.org/wp-content/uploads/2018/12/Nathan-Shane-Mays.jpg" TargetMode="External"/><Relationship Id="rId5872" Type="http://schemas.openxmlformats.org/officeDocument/2006/relationships/hyperlink" Target="https://www.ajc.com/news/crime--law/man-killed-ice-agent-had-plastic-gun-police-say/1FSbrm4E4wdQD6TntohlLK/" TargetMode="External"/><Relationship Id="rId6509" Type="http://schemas.openxmlformats.org/officeDocument/2006/relationships/hyperlink" Target="https://www.al.com/news/birmingham/2019/07/man-killed-in-shootout-that-injured-cullen-stafford-had-history-of-threatening-police.html" TargetMode="External"/><Relationship Id="rId6923" Type="http://schemas.openxmlformats.org/officeDocument/2006/relationships/hyperlink" Target="https://fatalencounters.org/wp-content/uploads/2019/10/Michael-Allen-Babcock.jpg" TargetMode="External"/><Relationship Id="rId4474" Type="http://schemas.openxmlformats.org/officeDocument/2006/relationships/hyperlink" Target="http://www.11alive.com/article/news/local/suspect-in-deputy-involved-shooting-in-pike-county-dies/85-535164461" TargetMode="External"/><Relationship Id="rId5525" Type="http://schemas.openxmlformats.org/officeDocument/2006/relationships/hyperlink" Target="https://www.9news.com/article/news/crime/suspect-shot-killed-after-altercation-with-officers-deputies-in-rangely/73-622871877" TargetMode="External"/><Relationship Id="rId3076" Type="http://schemas.openxmlformats.org/officeDocument/2006/relationships/hyperlink" Target="http://d1t3gia0in9tdj.cloudfront.net/photo/tributes/t/8/r/207x207/4123094/Hector-Navarrete-1484150163.png" TargetMode="External"/><Relationship Id="rId3490" Type="http://schemas.openxmlformats.org/officeDocument/2006/relationships/hyperlink" Target="http://www.fatalencounters.org/wp-content/uploads/2013/10/Nicholas-Flusche.png" TargetMode="External"/><Relationship Id="rId4127" Type="http://schemas.openxmlformats.org/officeDocument/2006/relationships/hyperlink" Target="http://www.fatalencounters.org/wp-content/uploads/2018/01/Donte-Shannon.jpg" TargetMode="External"/><Relationship Id="rId4541" Type="http://schemas.openxmlformats.org/officeDocument/2006/relationships/hyperlink" Target="https://www.ajc.com/news/crime--law/dead-officer-involved-shooting/DkDAQOPGfLDieGd4xjtFbP/" TargetMode="External"/><Relationship Id="rId2092" Type="http://schemas.openxmlformats.org/officeDocument/2006/relationships/hyperlink" Target="http://www.denverpost.com/2016/08/15/man-killed-confrontation-lakewood-police-identified/" TargetMode="External"/><Relationship Id="rId3143" Type="http://schemas.openxmlformats.org/officeDocument/2006/relationships/hyperlink" Target="http://www.idahostatesman.com/news/local/article164353802.html" TargetMode="External"/><Relationship Id="rId6299" Type="http://schemas.openxmlformats.org/officeDocument/2006/relationships/hyperlink" Target="https://www.ksla.com/2019/06/02/suspect-killed-officer-involved-shooting-shreveport-casino-identified/" TargetMode="External"/><Relationship Id="rId131" Type="http://schemas.openxmlformats.org/officeDocument/2006/relationships/hyperlink" Target="http://wane.com/2015/06/15/coroner-releases-identity-of-man-shot-by-officer/" TargetMode="External"/><Relationship Id="rId3210" Type="http://schemas.openxmlformats.org/officeDocument/2006/relationships/hyperlink" Target="http://www.star-telegram.com/news/local/community/fort-worth/article146755109.html" TargetMode="External"/><Relationship Id="rId6366" Type="http://schemas.openxmlformats.org/officeDocument/2006/relationships/hyperlink" Target="https://www.latimes.com/local/lanow/la-me-costco-shooting-parents-lapd-20190624-story.html?fbclid=IwAR0q4lwpOMDLOIGqRcceREp8qtIHbdkjpU6pLC_ZZt3SGUydO2wGCrlfa0c" TargetMode="External"/><Relationship Id="rId6780" Type="http://schemas.openxmlformats.org/officeDocument/2006/relationships/hyperlink" Target="https://fatalencounters.org/wp-content/uploads/2019/09/Scott-Gabriel-Spangler.png" TargetMode="External"/><Relationship Id="rId2976" Type="http://schemas.openxmlformats.org/officeDocument/2006/relationships/hyperlink" Target="http://www.fatalencounters.org/wp-content/uploads/2013/10/Jorge-Alberto-Fuentes.jpg" TargetMode="External"/><Relationship Id="rId5382" Type="http://schemas.openxmlformats.org/officeDocument/2006/relationships/hyperlink" Target="https://www.deseretnews.com/article/900041434/police-release-identity-of-man-killed-in-officer-involved-shooting.html" TargetMode="External"/><Relationship Id="rId6019" Type="http://schemas.openxmlformats.org/officeDocument/2006/relationships/hyperlink" Target="https://abcnews4.com/news/local/attorney-identifies-man-who-died-after-being-shot-by-deputy-during-reported-burglary" TargetMode="External"/><Relationship Id="rId6433" Type="http://schemas.openxmlformats.org/officeDocument/2006/relationships/hyperlink" Target="https://dfw.cbslocal.com/2019/06/29/texas-rangers-called-after-armed-man-was-killed-by-police-in-denton-county/" TargetMode="External"/><Relationship Id="rId948" Type="http://schemas.openxmlformats.org/officeDocument/2006/relationships/hyperlink" Target="http://www.killedbypolice.net/victims/150896.jpg" TargetMode="External"/><Relationship Id="rId1578" Type="http://schemas.openxmlformats.org/officeDocument/2006/relationships/hyperlink" Target="http://kxan.com/2016/04/04/injured-apd-officer-identified-suspect-still-not-named/" TargetMode="External"/><Relationship Id="rId1992" Type="http://schemas.openxmlformats.org/officeDocument/2006/relationships/hyperlink" Target="http://www.dailybulletin.com/general-news/20160724/san-diego-man-shot-killed-after-confrontation-with-chino-police" TargetMode="External"/><Relationship Id="rId2629" Type="http://schemas.openxmlformats.org/officeDocument/2006/relationships/hyperlink" Target="http://www.fatalencounters.org/wp-content/uploads/2013/10/Herbert-Gilbert.png" TargetMode="External"/><Relationship Id="rId5035" Type="http://schemas.openxmlformats.org/officeDocument/2006/relationships/hyperlink" Target="https://www.10news.com/news/police-investigating-officer-involved-shooting-in-southcrest" TargetMode="External"/><Relationship Id="rId6500" Type="http://schemas.openxmlformats.org/officeDocument/2006/relationships/hyperlink" Target="https://www.wbaltv.com/article/baltimore-police-shooting-maryland-avenue/28394864" TargetMode="External"/><Relationship Id="rId1645" Type="http://schemas.openxmlformats.org/officeDocument/2006/relationships/hyperlink" Target="http://www.fatalencounters.org/wp-content/uploads/2013/10/MCMANAMON-159654.jpg" TargetMode="External"/><Relationship Id="rId4051" Type="http://schemas.openxmlformats.org/officeDocument/2006/relationships/hyperlink" Target="http://5newsonline.com/2018/01/03/investigation-underway-following-deadly-officer-involved-shooting-in-ozark/" TargetMode="External"/><Relationship Id="rId5102" Type="http://schemas.openxmlformats.org/officeDocument/2006/relationships/hyperlink" Target="http://www.richmondregister.com/news/second-update-victim-identified-in-monday-s-shooting/article_bfa59e3e-aa47-11e8-8c6a-c39f325d196a.html" TargetMode="External"/><Relationship Id="rId1712" Type="http://schemas.openxmlformats.org/officeDocument/2006/relationships/hyperlink" Target="http://www.fatalencounters.org/wp-content/uploads/2013/10/RyanJohnson.png" TargetMode="External"/><Relationship Id="rId4868" Type="http://schemas.openxmlformats.org/officeDocument/2006/relationships/hyperlink" Target="http://www.wave3.com/story/38587638/officer-suspect-in-deadly-shooting-identified" TargetMode="External"/><Relationship Id="rId5919" Type="http://schemas.openxmlformats.org/officeDocument/2006/relationships/hyperlink" Target="https://www.palestineherald.com/news/fairfield-officer-kills-man-during-domestic-dispute/article_83a34b36-3c6c-11e9-a92b-c799379cbb18.html" TargetMode="External"/><Relationship Id="rId6290" Type="http://schemas.openxmlformats.org/officeDocument/2006/relationships/hyperlink" Target="https://www.baltimoresun.com/news/maryland/harford/aegis/ph-ag-harford-police-involved-shooting-0531-story.html" TargetMode="External"/><Relationship Id="rId3884" Type="http://schemas.openxmlformats.org/officeDocument/2006/relationships/hyperlink" Target="http://www.abc15.com/news/region-central-southern-az/yuma/yuma-police-investigating-officer-involved-shooting-suspect-hurt" TargetMode="External"/><Relationship Id="rId4935" Type="http://schemas.openxmlformats.org/officeDocument/2006/relationships/hyperlink" Target="https://www.fatalencounters.org/wp-content/uploads/2018/07/Melyda-Corado.jpg" TargetMode="External"/><Relationship Id="rId2486" Type="http://schemas.openxmlformats.org/officeDocument/2006/relationships/hyperlink" Target="http://www.fatalencounters.org/wp-content/uploads/2013/10/Steven-Wayne-Liffel.jpg" TargetMode="External"/><Relationship Id="rId3537" Type="http://schemas.openxmlformats.org/officeDocument/2006/relationships/hyperlink" Target="http://www.nbcdfw.com/news/local/Chase-Ends-With-Officer-Involved-Shooting-in-Fannin-County-417599723.html" TargetMode="External"/><Relationship Id="rId3951" Type="http://schemas.openxmlformats.org/officeDocument/2006/relationships/hyperlink" Target="http://wkrg.com/2017/12/11/breaking-mobile-police-holds-press-conference-on-officer-involved-shooting/" TargetMode="External"/><Relationship Id="rId458" Type="http://schemas.openxmlformats.org/officeDocument/2006/relationships/hyperlink" Target="http://www.10tv.com/content/stories/2014/05/10/columbus-jonathan-drive-officer-involved-shooting.html" TargetMode="External"/><Relationship Id="rId872" Type="http://schemas.openxmlformats.org/officeDocument/2006/relationships/hyperlink" Target="http://www.nola.com/crime/index.ssf/2015/09/man_who_shot_at_police_during.html" TargetMode="External"/><Relationship Id="rId1088" Type="http://schemas.openxmlformats.org/officeDocument/2006/relationships/hyperlink" Target="http://www.killedbypolice.net/victims/150948.jpg" TargetMode="External"/><Relationship Id="rId2139" Type="http://schemas.openxmlformats.org/officeDocument/2006/relationships/hyperlink" Target="http://www.fatalencounters.org/wp-content/uploads/2013/10/David-Coborubio.jpg" TargetMode="External"/><Relationship Id="rId2553" Type="http://schemas.openxmlformats.org/officeDocument/2006/relationships/hyperlink" Target="http://www.firstcoastnews.com/news/local/investigation-underway-after-officer-involved-shooting-in-middleburg/377893189" TargetMode="External"/><Relationship Id="rId3604" Type="http://schemas.openxmlformats.org/officeDocument/2006/relationships/hyperlink" Target="http://www.fatalencounters.org/wp-content/uploads/2013/10/Jimmie-Patton.png" TargetMode="External"/><Relationship Id="rId6010" Type="http://schemas.openxmlformats.org/officeDocument/2006/relationships/hyperlink" Target="https://www.fatalencounters.org/wp-content/uploads/2019/03/Osaze-Osagie.jpg" TargetMode="External"/><Relationship Id="rId525" Type="http://schemas.openxmlformats.org/officeDocument/2006/relationships/hyperlink" Target="http://www.jsonline.com/news/crime/shots-fired-in-downtown-milwaukee-b99139596z1-231430101.html" TargetMode="External"/><Relationship Id="rId1155" Type="http://schemas.openxmlformats.org/officeDocument/2006/relationships/hyperlink" Target="http://www.wlwt.com/image/view/-/35034924/highRes/2/-/maxh/630/maxw/1200/-/wo4taiz/-/James-Carney-III-jpg.jpg" TargetMode="External"/><Relationship Id="rId2206" Type="http://schemas.openxmlformats.org/officeDocument/2006/relationships/hyperlink" Target="http://www.fatalencounters.org/wp-content/uploads/2013/10/Gregory-Frazier.jpg" TargetMode="External"/><Relationship Id="rId2620" Type="http://schemas.openxmlformats.org/officeDocument/2006/relationships/hyperlink" Target="http://www.ajc.com/news/crime--law/georgia-deputy-shoots-kills-man-who-ran-from-traffic-stop/o7S5gwL8UAlLFKA1DH9NHJ/" TargetMode="External"/><Relationship Id="rId5776" Type="http://schemas.openxmlformats.org/officeDocument/2006/relationships/hyperlink" Target="https://wreg.com/2019/01/26/man-killed-in-dyersburg-officer-involved-shooting/" TargetMode="External"/><Relationship Id="rId1222" Type="http://schemas.openxmlformats.org/officeDocument/2006/relationships/hyperlink" Target="http://www.dispatch.com/content/stories/local/2015/10/29/Officer-involved-shooting.html" TargetMode="External"/><Relationship Id="rId4378" Type="http://schemas.openxmlformats.org/officeDocument/2006/relationships/hyperlink" Target="http://www.koin.com/news/local/marion-county/police-investigating-incident-in-keizer/1046008046" TargetMode="External"/><Relationship Id="rId5429" Type="http://schemas.openxmlformats.org/officeDocument/2006/relationships/hyperlink" Target="http://www.magnoliareporter.com/news_and_business/local_news/article_1102981c-ef3b-11e8-83ce-f350f99fe97a.html" TargetMode="External"/><Relationship Id="rId6827" Type="http://schemas.openxmlformats.org/officeDocument/2006/relationships/hyperlink" Target="https://www.news-journal.com/news/man-dies-following-officer-involved-shooting-in-gregg-county/article_06a7413a-e367-11e9-ae5c-cb2e86faed3d.html" TargetMode="External"/><Relationship Id="rId3394" Type="http://schemas.openxmlformats.org/officeDocument/2006/relationships/hyperlink" Target="http://www.wlwt.com/article/officer-involved-shooting-reported-in-butler-county/10199029" TargetMode="External"/><Relationship Id="rId4792" Type="http://schemas.openxmlformats.org/officeDocument/2006/relationships/hyperlink" Target="https://www.fatalencounters.org/wp-content/uploads/2018/06/Tahaji-Wells.jpeg" TargetMode="External"/><Relationship Id="rId5843" Type="http://schemas.openxmlformats.org/officeDocument/2006/relationships/hyperlink" Target="https://www.wisn.com/article/suspect-killed-in-waukesha-police-officer-involved-shooting/26271114" TargetMode="External"/><Relationship Id="rId3047" Type="http://schemas.openxmlformats.org/officeDocument/2006/relationships/hyperlink" Target="http://www.fatalencounters.org/wp-content/uploads/2013/10/Silva.jpg" TargetMode="External"/><Relationship Id="rId4445" Type="http://schemas.openxmlformats.org/officeDocument/2006/relationships/hyperlink" Target="http://abc13.com/pasadena-officer-involved-in-shooting-police-say-/3279641/" TargetMode="External"/><Relationship Id="rId5910" Type="http://schemas.openxmlformats.org/officeDocument/2006/relationships/hyperlink" Target="https://www.vindy.com/news/2019/feb/28/brandon-schmitt-killed-struthers-standoff-had-crim/" TargetMode="External"/><Relationship Id="rId3461" Type="http://schemas.openxmlformats.org/officeDocument/2006/relationships/hyperlink" Target="http://www.fatalencounters.org/wp-content/uploads/2013/10/Roger-Bubar.jpg" TargetMode="External"/><Relationship Id="rId4512" Type="http://schemas.openxmlformats.org/officeDocument/2006/relationships/hyperlink" Target="http://www.fatalencounters.org/wp-content/uploads/2018/04/Antonino-Thomas-Gordon.jpg" TargetMode="External"/><Relationship Id="rId382" Type="http://schemas.openxmlformats.org/officeDocument/2006/relationships/hyperlink" Target="http://www.gannett-cdn.com/-mm-/90407faa708f948b3bc41ed885ae0b6dbee7db9f/c=0-743-2448-2587&amp;r=x383&amp;c=540x380/local/-/media/WXIA/None/2014/10/03/1412363614000-photo-2-.JPG" TargetMode="External"/><Relationship Id="rId2063" Type="http://schemas.openxmlformats.org/officeDocument/2006/relationships/hyperlink" Target="http://www.fatalencounters.org/wp-content/uploads/2013/10/Earl-Pinckney.jpg" TargetMode="External"/><Relationship Id="rId3114" Type="http://schemas.openxmlformats.org/officeDocument/2006/relationships/hyperlink" Target="http://www.charlotteobserver.com/news/local/article172531106.html" TargetMode="External"/><Relationship Id="rId6684" Type="http://schemas.openxmlformats.org/officeDocument/2006/relationships/hyperlink" Target="https://fatalencounters.org/wp-content/uploads/2019/09/Keith-Carter.jpg" TargetMode="External"/><Relationship Id="rId2130" Type="http://schemas.openxmlformats.org/officeDocument/2006/relationships/hyperlink" Target="http://wtvr.com/2016/08/21/allen-drive-fatal-shooting/" TargetMode="External"/><Relationship Id="rId5286" Type="http://schemas.openxmlformats.org/officeDocument/2006/relationships/hyperlink" Target="https://weartv.com/news/local/some-residents-getting-desperate-and-turning-to-looting" TargetMode="External"/><Relationship Id="rId6337" Type="http://schemas.openxmlformats.org/officeDocument/2006/relationships/hyperlink" Target="https://www.oregonlive.com/portland/2019/06/officer-involved-shooting-reported-in-nw-portland.html" TargetMode="External"/><Relationship Id="rId6751" Type="http://schemas.openxmlformats.org/officeDocument/2006/relationships/hyperlink" Target="https://www.timesfreepress.com/news/breakingnews/story/2019/sep/15/person-killed-ooltewah-officer-involved-shooting-identified/503638/" TargetMode="External"/><Relationship Id="rId102" Type="http://schemas.openxmlformats.org/officeDocument/2006/relationships/hyperlink" Target="http://www.star-telegram.com/news/local/community/fort-worth/article25340344.html" TargetMode="External"/><Relationship Id="rId5353" Type="http://schemas.openxmlformats.org/officeDocument/2006/relationships/hyperlink" Target="https://www.news4jax.com/news/police-involved-shooting-sends-1-to-hospital" TargetMode="External"/><Relationship Id="rId6404" Type="http://schemas.openxmlformats.org/officeDocument/2006/relationships/hyperlink" Target="https://www.wcvb.com/article/19-year-old-killed-in-officer-involved-shooting-in-dorchester-boston-police-say/28173912" TargetMode="External"/><Relationship Id="rId1896" Type="http://schemas.openxmlformats.org/officeDocument/2006/relationships/hyperlink" Target="http://www.courant.com/breaking-news/hc-thomaston-shooting-0627-2-20160626-story.html" TargetMode="External"/><Relationship Id="rId2947" Type="http://schemas.openxmlformats.org/officeDocument/2006/relationships/hyperlink" Target="http://losangeles.cbslocal.com/2017/06/24/hollywood-man-fatally-wounded-in-officer-involved-shooting-identified/" TargetMode="External"/><Relationship Id="rId5006" Type="http://schemas.openxmlformats.org/officeDocument/2006/relationships/hyperlink" Target="https://5newsonline.com/2018/08/03/arkansas-police-chief-shot-before-returning-fire-killing-suspect/" TargetMode="External"/><Relationship Id="rId919" Type="http://schemas.openxmlformats.org/officeDocument/2006/relationships/hyperlink" Target="http://www.ledger-enquirer.com/news/local/crime/article39281184.html" TargetMode="External"/><Relationship Id="rId1549" Type="http://schemas.openxmlformats.org/officeDocument/2006/relationships/hyperlink" Target="http://fox59.com/2016/04/15/coronor-releases-name-of-man-killed-in-police-action-shooting-in-muncie/" TargetMode="External"/><Relationship Id="rId1963" Type="http://schemas.openxmlformats.org/officeDocument/2006/relationships/hyperlink" Target="http://www.al.com/news/birmingham/index.ssf/2016/07/birmingham_burglar_dies_after.html" TargetMode="External"/><Relationship Id="rId4022" Type="http://schemas.openxmlformats.org/officeDocument/2006/relationships/hyperlink" Target="http://www.desertsun.com/story/news/crime_courts/2017/12/27/desert-hot-springs-police-officer-fatally-shoots-man-after-domestic-violence-call/984174001/" TargetMode="External"/><Relationship Id="rId5420" Type="http://schemas.openxmlformats.org/officeDocument/2006/relationships/hyperlink" Target="https://www.click2houston.com/news/texas-dps-fatally-shoots-suspect-in-attempted-robbery-at-nw-houston-wingstop" TargetMode="External"/><Relationship Id="rId7178" Type="http://schemas.openxmlformats.org/officeDocument/2006/relationships/hyperlink" Target="http://www.wxyz.com/news/region/detroit/sources-indentify-matthew-joseph-as-man-killed-after-shooting-two-detroit-police-officers" TargetMode="External"/><Relationship Id="rId1616" Type="http://schemas.openxmlformats.org/officeDocument/2006/relationships/hyperlink" Target="http://www.fresnobee.com/news/local/crime/article68036527.html" TargetMode="External"/><Relationship Id="rId3788" Type="http://schemas.openxmlformats.org/officeDocument/2006/relationships/hyperlink" Target="https://www.clickorlando.com/news/florida/volusia-county/officer-involved-shooting-reported-in-port-orange" TargetMode="External"/><Relationship Id="rId4839" Type="http://schemas.openxmlformats.org/officeDocument/2006/relationships/hyperlink" Target="https://www.abc15.com/news/region-phoenix-metro/west-phoenix/officer-shoots-suspect-in-west-phoenix-47th-officer-involved-shooting-in-2018" TargetMode="External"/><Relationship Id="rId6194" Type="http://schemas.openxmlformats.org/officeDocument/2006/relationships/hyperlink" Target="https://www.duluthnewstribune.com/news/crime-and-courts/4608700-authorities-identify-man-fatally-shot-police-hermantown" TargetMode="External"/><Relationship Id="rId7245" Type="http://schemas.openxmlformats.org/officeDocument/2006/relationships/hyperlink" Target="http://www.msnewsnow.com/story/23861024/man-who-allegedly-points-gun-at-cops-killed-following-chase" TargetMode="External"/><Relationship Id="rId3855" Type="http://schemas.openxmlformats.org/officeDocument/2006/relationships/hyperlink" Target="http://www.ktuu.com/content/news/1-dead-in-officer-involved-shooting--457946493.html" TargetMode="External"/><Relationship Id="rId6261" Type="http://schemas.openxmlformats.org/officeDocument/2006/relationships/hyperlink" Target="https://chicago.suntimes.com/crime/2019/5/22/18635839/swat-team-called-barricade-situation-university-chicago-woodlawn-myles-frazier" TargetMode="External"/><Relationship Id="rId776" Type="http://schemas.openxmlformats.org/officeDocument/2006/relationships/hyperlink" Target="http://www.click2houston.com/news/driver-shot-killed-after-leading-police-on-chase-across-sw-houston/34492804" TargetMode="External"/><Relationship Id="rId2457" Type="http://schemas.openxmlformats.org/officeDocument/2006/relationships/hyperlink" Target="http://abc13.com/news/police-investigating-critical-incident-in-friendswood/1631210/" TargetMode="External"/><Relationship Id="rId3508" Type="http://schemas.openxmlformats.org/officeDocument/2006/relationships/hyperlink" Target="http://yourwestvalley.com/news/crime/glendale-police-man-dies-wounds-sustained-officer-involved-shooting/" TargetMode="External"/><Relationship Id="rId4906" Type="http://schemas.openxmlformats.org/officeDocument/2006/relationships/hyperlink" Target="https://www.fatalencounters.org/wp-content/uploads/2018/07/Rashaun-Washington.jpg" TargetMode="External"/><Relationship Id="rId429" Type="http://schemas.openxmlformats.org/officeDocument/2006/relationships/hyperlink" Target="http://www.nbcnewyork.com/news/local/Long-Island-Suffolk-County-Bay-Shore-Police-Involved-Shooting-Fatal-264868841.html" TargetMode="External"/><Relationship Id="rId1059" Type="http://schemas.openxmlformats.org/officeDocument/2006/relationships/hyperlink" Target="http://www.timesunion.com/news/article/Taser-victim-Dontay-Ivy-to-be-laid-to-rest-6187858.php" TargetMode="External"/><Relationship Id="rId1473" Type="http://schemas.openxmlformats.org/officeDocument/2006/relationships/hyperlink" Target="http://www.trbimg.com/img-56cbe0c2/turbine/la-me-ln-family-of-woman-killed-by-inglewood-p-001/750/750x422" TargetMode="External"/><Relationship Id="rId2871" Type="http://schemas.openxmlformats.org/officeDocument/2006/relationships/hyperlink" Target="http://www.jacksonsun.com/story/news/crime/2017/01/11/tbi-investigates-fatal-officer-involved-shooting-henderson-county/96436130/" TargetMode="External"/><Relationship Id="rId3922" Type="http://schemas.openxmlformats.org/officeDocument/2006/relationships/hyperlink" Target="http://www.ktxs.com/news/man-dies-in-hamlin-police-custody-texas-rangers-investigating/667313330" TargetMode="External"/><Relationship Id="rId843" Type="http://schemas.openxmlformats.org/officeDocument/2006/relationships/hyperlink" Target="http://www.wkyc.com/story/news/local/akron/2015/09/25/akron-police-shoot-kill-robbery-suspect/72829710/" TargetMode="External"/><Relationship Id="rId1126" Type="http://schemas.openxmlformats.org/officeDocument/2006/relationships/hyperlink" Target="https://blackopswiki.s3.amazonaws.com/uploads/article/avatar/498/large_avatar_ryan_quinn_martin.jpg" TargetMode="External"/><Relationship Id="rId2524" Type="http://schemas.openxmlformats.org/officeDocument/2006/relationships/hyperlink" Target="http://www.wsoctv.com/news/local/man-dies-after-being-shocked-with-taser-in-badin-police-chief-says/476145155" TargetMode="External"/><Relationship Id="rId910" Type="http://schemas.openxmlformats.org/officeDocument/2006/relationships/hyperlink" Target="http://homicide.latimes.com/post/james-joseph-byrd/" TargetMode="External"/><Relationship Id="rId1540" Type="http://schemas.openxmlformats.org/officeDocument/2006/relationships/hyperlink" Target="http://www.trussvilletribune.com/2016/04/19/blount-county-shooting-spree-leaves-4-wounded-gunman-dead/" TargetMode="External"/><Relationship Id="rId4696" Type="http://schemas.openxmlformats.org/officeDocument/2006/relationships/hyperlink" Target="https://www.fatalencounters.org/wp-content/uploads/2018/05/AugustineOliva.jpg" TargetMode="External"/><Relationship Id="rId5747" Type="http://schemas.openxmlformats.org/officeDocument/2006/relationships/hyperlink" Target="https://www.fatalencounters.org/wp-content/uploads/2019/01/MarkGago.jpg" TargetMode="External"/><Relationship Id="rId3298" Type="http://schemas.openxmlformats.org/officeDocument/2006/relationships/hyperlink" Target="http://www.fatalencounters.org/wp-content/uploads/2013/10/Steven-James-Young.jpg" TargetMode="External"/><Relationship Id="rId4349" Type="http://schemas.openxmlformats.org/officeDocument/2006/relationships/hyperlink" Target="https://www.abc15.com/news/region-phoenix-metro/west-phoenix/authorities-investigating-officer-involved-shooting-in-west-phoenix" TargetMode="External"/><Relationship Id="rId4763" Type="http://schemas.openxmlformats.org/officeDocument/2006/relationships/hyperlink" Target="https://kdvr.com/2018/06/18/police-identify-suspect-who-died-officer-wounded-in-officer-involved-shooting-on-colfax/" TargetMode="External"/><Relationship Id="rId5814" Type="http://schemas.openxmlformats.org/officeDocument/2006/relationships/hyperlink" Target="https://www.wdtv.com/content/news/Active-police-scene-in-Clarksburg--505308442.html" TargetMode="External"/><Relationship Id="rId3365" Type="http://schemas.openxmlformats.org/officeDocument/2006/relationships/hyperlink" Target="http://www.fatalencounters.org/wp-content/uploads/2013/10/Cody-Mitchell.jpg" TargetMode="External"/><Relationship Id="rId4416" Type="http://schemas.openxmlformats.org/officeDocument/2006/relationships/hyperlink" Target="http://www.fatalencounters.org/wp-content/uploads/2018/03/Michael-Leroy-McGinnis.jpg" TargetMode="External"/><Relationship Id="rId4830" Type="http://schemas.openxmlformats.org/officeDocument/2006/relationships/hyperlink" Target="http://www.mysuncoast.com/ap/fatally-shot-by-deputies-at-florida-mobile-home-park/article_8cdb6e2e-976d-53f2-9d60-6901e0df0dc8.html" TargetMode="External"/><Relationship Id="rId286" Type="http://schemas.openxmlformats.org/officeDocument/2006/relationships/hyperlink" Target="http://www.koat.com/news/state-police-officers-fatally-shoot-east-mountains-man/32197688" TargetMode="External"/><Relationship Id="rId2381" Type="http://schemas.openxmlformats.org/officeDocument/2006/relationships/hyperlink" Target="http://ak-cache.legacy.net/legacy/images/cobrands/coloradoan/photos/fcc015197-1_20161121.jpgx?w=130&amp;h=180&amp;option=1&amp;v=0x0000000038bd72c6" TargetMode="External"/><Relationship Id="rId3018" Type="http://schemas.openxmlformats.org/officeDocument/2006/relationships/hyperlink" Target="http://www.fatalencounters.org/wp-content/uploads/2013/10/Isidro-Bazan-Jr.png" TargetMode="External"/><Relationship Id="rId3432" Type="http://schemas.openxmlformats.org/officeDocument/2006/relationships/hyperlink" Target="http://www.whas11.com/news/crime/shots-fired-during-early-morning-police-chase/445848015" TargetMode="External"/><Relationship Id="rId6588" Type="http://schemas.openxmlformats.org/officeDocument/2006/relationships/hyperlink" Target="https://fatalencounters.org/wp-content/uploads/2019/08/Derrick-Mark-Davidson.jpg" TargetMode="External"/><Relationship Id="rId353" Type="http://schemas.openxmlformats.org/officeDocument/2006/relationships/hyperlink" Target="https://encrypted-tbn1.gstatic.com/images?q=tbn:ANd9GcReseSA89ykdECqZfgRZGCtXTy03nbwQN7mgVVimHD6HxveTuXMkCVC4Q" TargetMode="External"/><Relationship Id="rId2034" Type="http://schemas.openxmlformats.org/officeDocument/2006/relationships/hyperlink" Target="http://www.abccolumbia.com/2016/08/01/lexington-county-deputy-involved-in-fatal-shooting/" TargetMode="External"/><Relationship Id="rId420" Type="http://schemas.openxmlformats.org/officeDocument/2006/relationships/hyperlink" Target="http://www.koat.com/news/apd-involved-in-shooting-near-eubank-central/27095580" TargetMode="External"/><Relationship Id="rId1050" Type="http://schemas.openxmlformats.org/officeDocument/2006/relationships/hyperlink" Target="http://www.oregonlive.com/portland/index.ssf/2015/04/se_portland_double_murder_susp.html" TargetMode="External"/><Relationship Id="rId2101" Type="http://schemas.openxmlformats.org/officeDocument/2006/relationships/hyperlink" Target="http://www.recordnet.com/news/20160816/man-fatally-shot-by-stockton-police" TargetMode="External"/><Relationship Id="rId5257" Type="http://schemas.openxmlformats.org/officeDocument/2006/relationships/hyperlink" Target="https://www.sacbee.com/news/local/crime/article219642920.html" TargetMode="External"/><Relationship Id="rId6655" Type="http://schemas.openxmlformats.org/officeDocument/2006/relationships/hyperlink" Target="https://www.reviewjournal.com/crime/homicides/suspect-dead-after-standoff-with-police-at-laughlin-casino-1829511/" TargetMode="External"/><Relationship Id="rId5671" Type="http://schemas.openxmlformats.org/officeDocument/2006/relationships/hyperlink" Target="https://www.statesman.com/news/20190105/man-killed-in-san-marcos-police-shooting-had-reached-for-pellet-pistol-chief-says" TargetMode="External"/><Relationship Id="rId6308" Type="http://schemas.openxmlformats.org/officeDocument/2006/relationships/hyperlink" Target="https://abc7ny.com/2-officers-shot-suspect-killed-in-ardsley-motel-drug-arrest/5329397/" TargetMode="External"/><Relationship Id="rId6722" Type="http://schemas.openxmlformats.org/officeDocument/2006/relationships/hyperlink" Target="https://fatalencounters.org/wp-content/uploads/2019/09/JohnKarras.png" TargetMode="External"/><Relationship Id="rId1867" Type="http://schemas.openxmlformats.org/officeDocument/2006/relationships/hyperlink" Target="http://www.fatalencounters.org/wp-content/uploads/2013/10/Ismael-Miranda.jpg" TargetMode="External"/><Relationship Id="rId2918" Type="http://schemas.openxmlformats.org/officeDocument/2006/relationships/hyperlink" Target="http://www.azfamily.com/story/35975843/dps-investigating-after-deadly-officer-involved-shooting-in-avondale" TargetMode="External"/><Relationship Id="rId4273" Type="http://schemas.openxmlformats.org/officeDocument/2006/relationships/hyperlink" Target="http://www.statesman.com/news/local/swat-standoff-ongoing-southeast-austin/JfS1CwmyS6k1g1ABbl8tlO/" TargetMode="External"/><Relationship Id="rId5324" Type="http://schemas.openxmlformats.org/officeDocument/2006/relationships/hyperlink" Target="https://www.heraldnet.com/news/edmonds-man-24-identified-in-fatal-police-shooting/" TargetMode="External"/><Relationship Id="rId1934" Type="http://schemas.openxmlformats.org/officeDocument/2006/relationships/hyperlink" Target="http://www.pe.com/articles/report-807550-fleeing-started.html" TargetMode="External"/><Relationship Id="rId4340" Type="http://schemas.openxmlformats.org/officeDocument/2006/relationships/hyperlink" Target="http://www.fatalencounters.org/wp-content/uploads/2018/03/Donald-McFarlane.jpg" TargetMode="External"/><Relationship Id="rId6098" Type="http://schemas.openxmlformats.org/officeDocument/2006/relationships/hyperlink" Target="https://www.dothaneagle.com/news/ap/state/hsi-says-federal-agents-shoot-suspects-in-the-phoenix-area/article_ddeb311b-5842-5d60-85b7-c6436c65909a.html?fbclid=IwAR2GdorRK-pTaAnhWtdX3QlyduOnnKt1tFrHpRMsNGS7o835U-2pPosW_Hc" TargetMode="External"/><Relationship Id="rId7149" Type="http://schemas.openxmlformats.org/officeDocument/2006/relationships/hyperlink" Target="http://archive.wbir.com/images/640/360/2/assetpool/images/130321091925_marine_pic.JPG" TargetMode="External"/><Relationship Id="rId6165" Type="http://schemas.openxmlformats.org/officeDocument/2006/relationships/hyperlink" Target="https://www.rgj.com/story/news/2019/04/30/washoe-county-identifies-man-shot-killed-sparks-police/3627452002/" TargetMode="External"/><Relationship Id="rId7216" Type="http://schemas.openxmlformats.org/officeDocument/2006/relationships/hyperlink" Target="http://www.chicoer.com/general-news/20130717/7-pm-update-fatal-shooting-by-deputy-at-oroville-casino-ruled-justified/1" TargetMode="External"/><Relationship Id="rId3759" Type="http://schemas.openxmlformats.org/officeDocument/2006/relationships/hyperlink" Target="http://www.wptv.com/news/region-martin-county/indiantown/1-dead-after-martin-co-deputy-involved-shooting-in-indiantown" TargetMode="External"/><Relationship Id="rId5181" Type="http://schemas.openxmlformats.org/officeDocument/2006/relationships/hyperlink" Target="https://www.fatalencounters.org/wp-content/uploads/2018/09/Jose-Alvarez.jpg" TargetMode="External"/><Relationship Id="rId6232" Type="http://schemas.openxmlformats.org/officeDocument/2006/relationships/hyperlink" Target="https://cbs12.com/news/local/authorities-identify-gang-member-who-shot-pbso-agent-in-palm-beach-gardens" TargetMode="External"/><Relationship Id="rId2775" Type="http://schemas.openxmlformats.org/officeDocument/2006/relationships/hyperlink" Target="http://www.fatalencounters.org/wp-content/uploads/2013/10/Desmond-Phillips.png" TargetMode="External"/><Relationship Id="rId3826" Type="http://schemas.openxmlformats.org/officeDocument/2006/relationships/hyperlink" Target="http://www.fatalencounters.org/wp-content/uploads/2013/10/AshleyJenkins.jpg" TargetMode="External"/><Relationship Id="rId747" Type="http://schemas.openxmlformats.org/officeDocument/2006/relationships/hyperlink" Target="http://www.sgvtribune.com/apps/pbcsi.dll/storyimage/LC/20150819/NEWS/150819459/AR/0/AR-150819459.jpg&amp;maxh=400&amp;maxw=667" TargetMode="External"/><Relationship Id="rId1377" Type="http://schemas.openxmlformats.org/officeDocument/2006/relationships/hyperlink" Target="http://nbc4i.com/2016/02/06/officer-shot-suspect-killed-in-kenton-shooting/" TargetMode="External"/><Relationship Id="rId1791" Type="http://schemas.openxmlformats.org/officeDocument/2006/relationships/hyperlink" Target="https://blackopswiki.s3.amazonaws.com/uploads/article/avatar/2213/large_avatar_DemarcoRhymes.jpg" TargetMode="External"/><Relationship Id="rId2428" Type="http://schemas.openxmlformats.org/officeDocument/2006/relationships/hyperlink" Target="http://woodtv.com/2016/11/23/man-killed-in-holland-twp-officer-involved-shooting/" TargetMode="External"/><Relationship Id="rId2842" Type="http://schemas.openxmlformats.org/officeDocument/2006/relationships/hyperlink" Target="http://www.sfgate.com/bayarea/article/1-dead-in-Fremont-in-officer-involved-shooting-10910394.php" TargetMode="External"/><Relationship Id="rId5998" Type="http://schemas.openxmlformats.org/officeDocument/2006/relationships/hyperlink" Target="https://www.fatalencounters.org/wp-content/uploads/2019/03/Kenneth_Cherry.jpg" TargetMode="External"/><Relationship Id="rId83" Type="http://schemas.openxmlformats.org/officeDocument/2006/relationships/hyperlink" Target="http://www.reviewjournal.com/news/las-vegas/gunman-killed-police-henderson-hotel-identified" TargetMode="External"/><Relationship Id="rId814" Type="http://schemas.openxmlformats.org/officeDocument/2006/relationships/hyperlink" Target="http://www.tulsaworld.com/homepagelatest/cushing-police-officer-cleared-in-fatal-shooting/article_1bc89125-2051-5cb1-9dde-62c9791231cd.html" TargetMode="External"/><Relationship Id="rId1444" Type="http://schemas.openxmlformats.org/officeDocument/2006/relationships/hyperlink" Target="http://sanfrancisco.cbslocal.com/2016/03/09/san-jose-police-identify-suspect-killed-in-officer-involved-shooting/" TargetMode="External"/><Relationship Id="rId1511" Type="http://schemas.openxmlformats.org/officeDocument/2006/relationships/hyperlink" Target="http://www.wdbj7.com/news/local/police-investigating-report-of-shots-fired-near-walgreens-on-brambleton-avenue/38220812" TargetMode="External"/><Relationship Id="rId4667" Type="http://schemas.openxmlformats.org/officeDocument/2006/relationships/hyperlink" Target="https://www.detroitnews.com/story/news/local/wayne-county/2018/05/18/armed-man-fatally-shot-livonia-police/35097887/" TargetMode="External"/><Relationship Id="rId5718" Type="http://schemas.openxmlformats.org/officeDocument/2006/relationships/hyperlink" Target="https://www.nj.com/expo/news/g66l-2019/01/5341b625607083/gunman-shot-dead-during-hostage-standoff-was-a-former-ups-employee.html" TargetMode="External"/><Relationship Id="rId7073" Type="http://schemas.openxmlformats.org/officeDocument/2006/relationships/hyperlink" Target="https://myfox28columbus.com/news/local/cristys-pizza-hails-heroic-actions-by-manager-who-was-held-hostage" TargetMode="External"/><Relationship Id="rId3269" Type="http://schemas.openxmlformats.org/officeDocument/2006/relationships/hyperlink" Target="http://www.fatalencounters.org/wp-content/uploads/2013/10/Brandy-Caldwell.jpg" TargetMode="External"/><Relationship Id="rId3683" Type="http://schemas.openxmlformats.org/officeDocument/2006/relationships/hyperlink" Target="http://www.fatalencounters.org/wp-content/uploads/2013/10/stoney-mcjunkin.jpg" TargetMode="External"/><Relationship Id="rId7140" Type="http://schemas.openxmlformats.org/officeDocument/2006/relationships/hyperlink" Target="http://www.wacotrib.com/news/police/waco-police-id-man-shot-killed-by-deputy-u-s/article_268a82f3-001a-5f0a-824f-26a4e4c8fb3b.html" TargetMode="External"/><Relationship Id="rId2285" Type="http://schemas.openxmlformats.org/officeDocument/2006/relationships/hyperlink" Target="http://www.dallasnews.com/news/oak-cliff/2016/10/19/authorities-respond-officer-involved-shooting-west-oak-cliff" TargetMode="External"/><Relationship Id="rId3336" Type="http://schemas.openxmlformats.org/officeDocument/2006/relationships/hyperlink" Target="http://www.stltoday.com/news/local/crime-and-courts/police-standoff-on-interstate-over-traffic-still-being-rerouted/article_3b788508-5351-5992-b1b9-66de82ca00e7.html" TargetMode="External"/><Relationship Id="rId4734" Type="http://schemas.openxmlformats.org/officeDocument/2006/relationships/hyperlink" Target="https://www.fatalencounters.org/wp-content/uploads/2018/06/Abraham-Noe-Flores.jpg" TargetMode="External"/><Relationship Id="rId257" Type="http://schemas.openxmlformats.org/officeDocument/2006/relationships/hyperlink" Target="http://www.detroitnews.com/story/news/local/wayne-county/2015/04/17/assault-suspect-died-hit-taser-identified/25947299/" TargetMode="External"/><Relationship Id="rId3750" Type="http://schemas.openxmlformats.org/officeDocument/2006/relationships/hyperlink" Target="http://citizensvoice.com/news/fish-and-boat-officer-fatally-shoots-alleged-assailant-1.2259187" TargetMode="External"/><Relationship Id="rId4801" Type="http://schemas.openxmlformats.org/officeDocument/2006/relationships/hyperlink" Target="https://www.11alive.com/article/news/crime/suspect-killed-after-hostage-standoff-shootout-with-dekalb-police/85-565862658" TargetMode="External"/><Relationship Id="rId671" Type="http://schemas.openxmlformats.org/officeDocument/2006/relationships/hyperlink" Target="http://www.whio.com/news/news/crime-law/person-shot-during-altercation-with-trooper-in-cel/npYFP/" TargetMode="External"/><Relationship Id="rId2352" Type="http://schemas.openxmlformats.org/officeDocument/2006/relationships/hyperlink" Target="https://www.news-journal.com/news/2016/nov/05/one-dead-officer-involved-shooting-gladewater/" TargetMode="External"/><Relationship Id="rId3403" Type="http://schemas.openxmlformats.org/officeDocument/2006/relationships/hyperlink" Target="http://www.fatalencounters.org/wp-content/uploads/2013/10/Michael-Brown.jpg" TargetMode="External"/><Relationship Id="rId6559" Type="http://schemas.openxmlformats.org/officeDocument/2006/relationships/hyperlink" Target="http://www.fox7austin.com/news/local-news/austin-police-responding-to-officer-involved-shooting-in-downtown-austin" TargetMode="External"/><Relationship Id="rId6973" Type="http://schemas.openxmlformats.org/officeDocument/2006/relationships/hyperlink" Target="https://fatalencounters.org/wp-content/uploads/2019/12/Antonio-Nichols2.jpg" TargetMode="External"/><Relationship Id="rId324" Type="http://schemas.openxmlformats.org/officeDocument/2006/relationships/hyperlink" Target="http://www.oregonlive.com/portland/index.ssf/2014/12/man_dies_after_officer-involve.html" TargetMode="External"/><Relationship Id="rId2005" Type="http://schemas.openxmlformats.org/officeDocument/2006/relationships/hyperlink" Target="http://www.rrstar.com/news/20160727/man-dies-after-struggle-with-winnebago-county-deputies" TargetMode="External"/><Relationship Id="rId5575" Type="http://schemas.openxmlformats.org/officeDocument/2006/relationships/hyperlink" Target="http://www.goerie.com/news/20181220/man-dead-in-officer-involved-shooting-in-union-city" TargetMode="External"/><Relationship Id="rId6626" Type="http://schemas.openxmlformats.org/officeDocument/2006/relationships/hyperlink" Target="https://www.waff.com/2019/08/14/alabama-am-student-fatally-shot-by-police-talladega/" TargetMode="External"/><Relationship Id="rId1021" Type="http://schemas.openxmlformats.org/officeDocument/2006/relationships/hyperlink" Target="http://www.freep.com/story/news/local/michigan/detroit/2015/05/23/barricaded-standoff-detroit/27839681/" TargetMode="External"/><Relationship Id="rId4177" Type="http://schemas.openxmlformats.org/officeDocument/2006/relationships/hyperlink" Target="https://www.theindychannel.com/news/local-news/cass-county/breaking-man-dead-after-police-involved-shooting-in-cass-county" TargetMode="External"/><Relationship Id="rId4591" Type="http://schemas.openxmlformats.org/officeDocument/2006/relationships/hyperlink" Target="http://www.ksla.com/story/38069612/officer-fatally-shoots-man-trying-to-disarm-him-during-scuffle-after-chase-from-shreveport-casino" TargetMode="External"/><Relationship Id="rId5228" Type="http://schemas.openxmlformats.org/officeDocument/2006/relationships/hyperlink" Target="https://www.fatalencounters.org/wp-content/uploads/2018/10/Juan-Pinedo.jpg" TargetMode="External"/><Relationship Id="rId5642" Type="http://schemas.openxmlformats.org/officeDocument/2006/relationships/hyperlink" Target="https://www.wltz.com/2019/02/22/deadly-police-encounter-prompts-civil-lawsuit/" TargetMode="External"/><Relationship Id="rId3193" Type="http://schemas.openxmlformats.org/officeDocument/2006/relationships/hyperlink" Target="http://www.wdbj7.com/content/news/Police-standoff-in-Pulaski-county-422249653.html" TargetMode="External"/><Relationship Id="rId4244" Type="http://schemas.openxmlformats.org/officeDocument/2006/relationships/hyperlink" Target="https://www.local10.com/news/florida/miami-dade/police-burglar-shot-killed-by-us-customs-and-border-protection-agent" TargetMode="External"/><Relationship Id="rId1838" Type="http://schemas.openxmlformats.org/officeDocument/2006/relationships/hyperlink" Target="http://www.fatalencounters.org/wp-content/uploads/2013/10/Russell-Rosser.jpg" TargetMode="External"/><Relationship Id="rId3260" Type="http://schemas.openxmlformats.org/officeDocument/2006/relationships/hyperlink" Target="http://www.fatalencounters.org/wp-content/uploads/2013/10/Shane-Marsh.png" TargetMode="External"/><Relationship Id="rId4311" Type="http://schemas.openxmlformats.org/officeDocument/2006/relationships/hyperlink" Target="http://www.fatalencounters.org/wp-content/uploads/2018/03/stephen-dalton.jpg" TargetMode="External"/><Relationship Id="rId181" Type="http://schemas.openxmlformats.org/officeDocument/2006/relationships/hyperlink" Target="http://www.nbcsandiego.com/news/local/Reported-Shots-Fired-Alpine-305259931.html" TargetMode="External"/><Relationship Id="rId1905" Type="http://schemas.openxmlformats.org/officeDocument/2006/relationships/hyperlink" Target="http://www.presstelegram.com/general-news/20160628/long-beach-police-shoot-and-kill-suspect-k9-dies-near-orizaba-park" TargetMode="External"/><Relationship Id="rId6069" Type="http://schemas.openxmlformats.org/officeDocument/2006/relationships/hyperlink" Target="https://www.fatalencounters.org/wp-content/uploads/2019/04/Zachary-Kinard.jpg" TargetMode="External"/><Relationship Id="rId5085" Type="http://schemas.openxmlformats.org/officeDocument/2006/relationships/hyperlink" Target="https://www.fatalencounters.org/wp-content/uploads/2018/08/JamesCLay.jpg" TargetMode="External"/><Relationship Id="rId6483" Type="http://schemas.openxmlformats.org/officeDocument/2006/relationships/hyperlink" Target="https://losangeles.cbslocal.com/2019/07/11/domestic-battery-suspect-brandishing-knife-shot-killed-by-deputies-in-adelanto/" TargetMode="External"/><Relationship Id="rId998" Type="http://schemas.openxmlformats.org/officeDocument/2006/relationships/hyperlink" Target="http://www.kcra.com/image/view/-/33606430/medRes/1/-/maxh/460/maxw/620/-/xldfqjz/-/Kris-Jackson-061615-jpg.jpg" TargetMode="External"/><Relationship Id="rId2679" Type="http://schemas.openxmlformats.org/officeDocument/2006/relationships/hyperlink" Target="http://www.11alive.com/news/gbi-called-in-to-investigate-cobb-county-shooting/453182303" TargetMode="External"/><Relationship Id="rId6136" Type="http://schemas.openxmlformats.org/officeDocument/2006/relationships/hyperlink" Target="https://sanfrancisco.cbslocal.com/2019/04/22/officers-suspect-fatal-fremont-police-shooting-identified/" TargetMode="External"/><Relationship Id="rId6550" Type="http://schemas.openxmlformats.org/officeDocument/2006/relationships/hyperlink" Target="https://www.wtoc.com/2019/07/27/sled-investigates-deputy-involved-shooting-sun-city/" TargetMode="External"/><Relationship Id="rId1695" Type="http://schemas.openxmlformats.org/officeDocument/2006/relationships/hyperlink" Target="http://www.kltv.com/story/31936746/authorities-investigate-officer-involved-shooting-in-nacogdoches-county" TargetMode="External"/><Relationship Id="rId2746" Type="http://schemas.openxmlformats.org/officeDocument/2006/relationships/hyperlink" Target="http://pix11.com/2017/04/26/newark-detectives-shoot-armed-man-during-robbery-investigation-officials-say/" TargetMode="External"/><Relationship Id="rId5152" Type="http://schemas.openxmlformats.org/officeDocument/2006/relationships/hyperlink" Target="https://www.goskagit.com/scnews/news/breaking-man-dies-in-officer-involved-shooting-in-stanwood/article_cd4d9674-b454-11e8-b29d-af874887c322.html" TargetMode="External"/><Relationship Id="rId6203" Type="http://schemas.openxmlformats.org/officeDocument/2006/relationships/hyperlink" Target="https://www.clarionledger.com/story/news/crime/2019/05/07/lumberton-man-exposing-himself-shoots-himself-officer-involved-shooting-mississippi/1128911001/" TargetMode="External"/><Relationship Id="rId718" Type="http://schemas.openxmlformats.org/officeDocument/2006/relationships/hyperlink" Target="http://www.ozarksfirst.com/news/one-man-dead-in-officer-involved-shooting" TargetMode="External"/><Relationship Id="rId1348" Type="http://schemas.openxmlformats.org/officeDocument/2006/relationships/hyperlink" Target="http://www.11alive.com/story/news/traffic/2016/01/27/all-lanes--75-sb-closed-delk-road/79420342/" TargetMode="External"/><Relationship Id="rId1762" Type="http://schemas.openxmlformats.org/officeDocument/2006/relationships/hyperlink" Target="http://fox59.com/2016/05/27/indiana-state-police-shoot-kill-suspect-during-drug-investigation/" TargetMode="External"/><Relationship Id="rId1415" Type="http://schemas.openxmlformats.org/officeDocument/2006/relationships/hyperlink" Target="http://www.12news.com/news/local/valley/5-dead-including-suspect-in-shootings-house-fire/52208576" TargetMode="External"/><Relationship Id="rId2813" Type="http://schemas.openxmlformats.org/officeDocument/2006/relationships/hyperlink" Target="http://abc11.com/news/orange-county-deputies-shoot-and-kill-robbery-suspect-near-efland/1762281/" TargetMode="External"/><Relationship Id="rId5969" Type="http://schemas.openxmlformats.org/officeDocument/2006/relationships/hyperlink" Target="https://m.sevendaysvt.com/OffMessage/archives/2019/04/29/officer-said-kilburn-punched-him-during-confrontation" TargetMode="External"/><Relationship Id="rId54" Type="http://schemas.openxmlformats.org/officeDocument/2006/relationships/hyperlink" Target="http://www.statesman.com/news/news/crime-law/man-killed-by-austin-police-officer-sunday-had-a-v/nmyKL/" TargetMode="External"/><Relationship Id="rId4985" Type="http://schemas.openxmlformats.org/officeDocument/2006/relationships/hyperlink" Target="https://www.fatalencounters.org/wp-content/uploads/2018/08/Skyler-Martin.jpeg" TargetMode="External"/><Relationship Id="rId7044" Type="http://schemas.openxmlformats.org/officeDocument/2006/relationships/hyperlink" Target="https://www.ajc.com/news/breaking-news/man-killed-carroll-deputy-after-threatening-shoot-mother-wielding-shovel/bCYVrBX3c82zcP7Lke7xsN/" TargetMode="External"/><Relationship Id="rId2189" Type="http://schemas.openxmlformats.org/officeDocument/2006/relationships/hyperlink" Target="http://www.fatalencounters.org/wp-content/uploads/2013/10/Steven-Del-Rio.jpg" TargetMode="External"/><Relationship Id="rId3587" Type="http://schemas.openxmlformats.org/officeDocument/2006/relationships/hyperlink" Target="http://www.news9.com/story/34664568/police-investigating-after-reported-officer-involved-shooting-in-se-okc" TargetMode="External"/><Relationship Id="rId4638" Type="http://schemas.openxmlformats.org/officeDocument/2006/relationships/hyperlink" Target="http://www.post-gazette.com/news/crime-courts/2018/05/10/At-least-one-dead-in-Lower-Burrell/stories/201805100174" TargetMode="External"/><Relationship Id="rId6060" Type="http://schemas.openxmlformats.org/officeDocument/2006/relationships/hyperlink" Target="https://www.ky3.com/content/news/Man-dies-after-officers-make-arrest-in-Springfield-507980731.html" TargetMode="External"/><Relationship Id="rId3654" Type="http://schemas.openxmlformats.org/officeDocument/2006/relationships/hyperlink" Target="http://www.wdtv.com/content/news/Another-possible-shooting-in-Grafton-412700043.html" TargetMode="External"/><Relationship Id="rId4705" Type="http://schemas.openxmlformats.org/officeDocument/2006/relationships/hyperlink" Target="http://fox13now.com/2018/05/28/police-respond-to-officer-involved-critical-incident-in-west-jordan/" TargetMode="External"/><Relationship Id="rId7111" Type="http://schemas.openxmlformats.org/officeDocument/2006/relationships/hyperlink" Target="http://www.fatalencounters.org/wp-content/uploads/2018/03/Stephen-DeLoach-Jr.jpg" TargetMode="External"/><Relationship Id="rId575" Type="http://schemas.openxmlformats.org/officeDocument/2006/relationships/hyperlink" Target="http://www.baynews9.com/content/news/baynews9/news/article.html/content/news/articles/bn9/2013/1/10/with_deputy_in_fight.html" TargetMode="External"/><Relationship Id="rId2256" Type="http://schemas.openxmlformats.org/officeDocument/2006/relationships/hyperlink" Target="http://www.cleveland.com/westlake/index.ssf/2016/10/westlake_police_fatally_shoot.html" TargetMode="External"/><Relationship Id="rId2670" Type="http://schemas.openxmlformats.org/officeDocument/2006/relationships/hyperlink" Target="http://www.nydailynews.com/new-york/nyc-crime/police-officer-shot-bronx-suspect-custody-article-1.3301718" TargetMode="External"/><Relationship Id="rId3307" Type="http://schemas.openxmlformats.org/officeDocument/2006/relationships/hyperlink" Target="http://www.fatalencounters.org/wp-content/uploads/2013/10/PeterRobbins.jpg" TargetMode="External"/><Relationship Id="rId3721" Type="http://schemas.openxmlformats.org/officeDocument/2006/relationships/hyperlink" Target="http://www.abcactionnews.com/news/region-north-pinellas/clearwater/man-shot-and-killed-by-clearwater-police-after-refusing-to-drop-his-gun" TargetMode="External"/><Relationship Id="rId6877" Type="http://schemas.openxmlformats.org/officeDocument/2006/relationships/hyperlink" Target="https://www.krqe.com/news/albuquerque-metro/apd-investigates-officer-involved-shooting/" TargetMode="External"/><Relationship Id="rId228" Type="http://schemas.openxmlformats.org/officeDocument/2006/relationships/hyperlink" Target="http://www.elpasotimes.com/news/ci_28023272/el-paso-police-officer-shot-and-killed-burglary" TargetMode="External"/><Relationship Id="rId642" Type="http://schemas.openxmlformats.org/officeDocument/2006/relationships/hyperlink" Target="http://www.killedbypolice.net/victims/151035.jpg" TargetMode="External"/><Relationship Id="rId1272" Type="http://schemas.openxmlformats.org/officeDocument/2006/relationships/hyperlink" Target="http://www.fatalencounters.org/wp-content/uploads/2013/10/Duggar.png" TargetMode="External"/><Relationship Id="rId2323" Type="http://schemas.openxmlformats.org/officeDocument/2006/relationships/hyperlink" Target="http://www.azfamily.com/story/33512738/mohave-county-deputy-shoots-kills-man" TargetMode="External"/><Relationship Id="rId5479" Type="http://schemas.openxmlformats.org/officeDocument/2006/relationships/hyperlink" Target="https://www.fatalencounters.org/wp-content/uploads/2018/12/Richard-Galvan.jpg" TargetMode="External"/><Relationship Id="rId5893" Type="http://schemas.openxmlformats.org/officeDocument/2006/relationships/hyperlink" Target="https://www.nbclosangeles.com/news/local/Man-Killed-at-a-Shell-Gas-Station-During-Altercation-with-Deputies-506297061.html" TargetMode="External"/><Relationship Id="rId4495" Type="http://schemas.openxmlformats.org/officeDocument/2006/relationships/hyperlink" Target="http://krcrtv.com/news/butte-county/suspect-dead-after-swat-team-responds-to-oroville-shooting" TargetMode="External"/><Relationship Id="rId5546" Type="http://schemas.openxmlformats.org/officeDocument/2006/relationships/hyperlink" Target="https://www.ajc.com/news/crime--law/breaking-briefly-shut-down-due-heavy-dekalb-police-presence/LAVHlqdKcUHWHirAVw5HcM/" TargetMode="External"/><Relationship Id="rId6944" Type="http://schemas.openxmlformats.org/officeDocument/2006/relationships/hyperlink" Target="https://fatalencounters.org/wp-content/uploads/2019/11/Terry-Wayne-Chanley.jpg" TargetMode="External"/><Relationship Id="rId3097" Type="http://schemas.openxmlformats.org/officeDocument/2006/relationships/hyperlink" Target="http://abc30.com/news/suspect-in-officer-involved-shooting-near-tachi-palace-dies/1785244/" TargetMode="External"/><Relationship Id="rId4148" Type="http://schemas.openxmlformats.org/officeDocument/2006/relationships/hyperlink" Target="http://www.tulsaworld.com/news/local/update-man-with-shotgun-fatally-shot-by-police-after-pursuit/article_7a4e5ff2-963a-55c5-8a89-d334fbe29059.html" TargetMode="External"/><Relationship Id="rId5960" Type="http://schemas.openxmlformats.org/officeDocument/2006/relationships/hyperlink" Target="https://www.fatalencounters.org/wp-content/uploads/2019/03/TommyWelch.png" TargetMode="External"/><Relationship Id="rId3164" Type="http://schemas.openxmlformats.org/officeDocument/2006/relationships/hyperlink" Target="http://jacksonville.com/news/metro/public-safety/2017-07-08/putnam-officers-shoot-kill-man-reportedly-armed-knife" TargetMode="External"/><Relationship Id="rId4562" Type="http://schemas.openxmlformats.org/officeDocument/2006/relationships/hyperlink" Target="http://www.sacbee.com/news/local/article209509824.html" TargetMode="External"/><Relationship Id="rId5613" Type="http://schemas.openxmlformats.org/officeDocument/2006/relationships/hyperlink" Target="https://hottytoddy.com/2018/12/31/10-year-old-survives-23-hour-hostage-standoff-in-itawamba-county/" TargetMode="External"/><Relationship Id="rId1809" Type="http://schemas.openxmlformats.org/officeDocument/2006/relationships/hyperlink" Target="http://fox43.com/2016/06/09/suspect-dead-and-sheriffs-deputy-injured-in-shooting-in-york-city/" TargetMode="External"/><Relationship Id="rId4215" Type="http://schemas.openxmlformats.org/officeDocument/2006/relationships/hyperlink" Target="http://www.wlox.com/story/37427902/lizana-gunned-down-after-reportedly-shooting-at-deputies" TargetMode="External"/><Relationship Id="rId2180" Type="http://schemas.openxmlformats.org/officeDocument/2006/relationships/hyperlink" Target="http://www.wpsdlocal6.com/story/33009581/officer-involved-shooting-leaves-person-dead-in-brookport" TargetMode="External"/><Relationship Id="rId3231" Type="http://schemas.openxmlformats.org/officeDocument/2006/relationships/hyperlink" Target="http://www.11alive.com/news/crime/two-officer-involved-shootings-early-saturday-morning-in-south-fulton-county/423583254" TargetMode="External"/><Relationship Id="rId6387" Type="http://schemas.openxmlformats.org/officeDocument/2006/relationships/hyperlink" Target="https://www.brownsvilleherald.com/news/local/police-responding-to-assault-call-shoot-kill-man/article_8f22906a-9154-11e9-b56f-6b473ae37bad.html" TargetMode="External"/><Relationship Id="rId152" Type="http://schemas.openxmlformats.org/officeDocument/2006/relationships/hyperlink" Target="http://www.wfla.com/story/29258795/suspect-dead-after-deputy-involved-shooting-in-sarasota" TargetMode="External"/><Relationship Id="rId2997" Type="http://schemas.openxmlformats.org/officeDocument/2006/relationships/hyperlink" Target="http://abc7.com/news/1-person-killed-in-santa-paula-officer-involved-shooting-police-say/1853189/" TargetMode="External"/><Relationship Id="rId6454" Type="http://schemas.openxmlformats.org/officeDocument/2006/relationships/hyperlink" Target="https://www.kiro7.com/news/local/investigation-underway-after-officer-involved-shooting-in-poulsbo/963818779" TargetMode="External"/><Relationship Id="rId969" Type="http://schemas.openxmlformats.org/officeDocument/2006/relationships/hyperlink" Target="http://www.wmcactionnews5.com/story/29578116/man-dead-after-struggle-with-mpd-officer" TargetMode="External"/><Relationship Id="rId1599" Type="http://schemas.openxmlformats.org/officeDocument/2006/relationships/hyperlink" Target="http://www.fatalencounters.org/wp-content/uploads/2013/10/Allen.jpg" TargetMode="External"/><Relationship Id="rId5056" Type="http://schemas.openxmlformats.org/officeDocument/2006/relationships/hyperlink" Target="http://www.jacksonville.com/news/20180816/1-dead-in-baker-county-standoff-and-deputy-involved-shooting" TargetMode="External"/><Relationship Id="rId5470" Type="http://schemas.openxmlformats.org/officeDocument/2006/relationships/hyperlink" Target="https://www.click2houston.com/news/2-dead-7-in-custody-after-shootout-during-undercover-drug-bust" TargetMode="External"/><Relationship Id="rId6107" Type="http://schemas.openxmlformats.org/officeDocument/2006/relationships/hyperlink" Target="https://www.ksat.com/news/dps-investigating-trooper-involved-shooting-in-boerne-officials-say" TargetMode="External"/><Relationship Id="rId6521" Type="http://schemas.openxmlformats.org/officeDocument/2006/relationships/hyperlink" Target="https://www.thedenverchannel.com/news/covering-colorado/one-person-dead-after-officer-involved-shooting-in-pueblo" TargetMode="External"/><Relationship Id="rId4072" Type="http://schemas.openxmlformats.org/officeDocument/2006/relationships/hyperlink" Target="http://www.news-press.com/story/news/crime/2018/01/06/lee-county-sheriffs-office-officer-involved-shooting-san-carlos-park/1010620001/" TargetMode="External"/><Relationship Id="rId5123" Type="http://schemas.openxmlformats.org/officeDocument/2006/relationships/hyperlink" Target="https://www.kcra.com/article/two-dead-one-injured-in-amador-county-shooting/22966568" TargetMode="External"/><Relationship Id="rId1666" Type="http://schemas.openxmlformats.org/officeDocument/2006/relationships/hyperlink" Target="http://www.jacksonsun.com/story/news/local/2016/05/01/one-dies-officer-involved-shooting-crockett-co/83802870/" TargetMode="External"/><Relationship Id="rId2717" Type="http://schemas.openxmlformats.org/officeDocument/2006/relationships/hyperlink" Target="http://news3lv.com/news/local/suspect-dies-after-being-tazed-choked-while-in-metro-custody" TargetMode="External"/><Relationship Id="rId1319" Type="http://schemas.openxmlformats.org/officeDocument/2006/relationships/hyperlink" Target="http://www.times-standard.com/general-news/20160116/police-man-killed-after-pointing-shotgun-at-troopers" TargetMode="External"/><Relationship Id="rId1733" Type="http://schemas.openxmlformats.org/officeDocument/2006/relationships/hyperlink" Target="http://www.reviewjournal.com/crime/homicides/chaotic-episode-leads-fatal-beating-officer-involved-shooting-north-las-vegas-casino" TargetMode="External"/><Relationship Id="rId4889" Type="http://schemas.openxmlformats.org/officeDocument/2006/relationships/hyperlink" Target="https://trib.com/news/local/crime-and-courts/police-say-casper-officer-who-shot-man-was-driving-to/article_5cae4c6d-26ab-5c11-93f9-d010f0ba2178.html" TargetMode="External"/><Relationship Id="rId25" Type="http://schemas.openxmlformats.org/officeDocument/2006/relationships/hyperlink" Target="http://www.thedenverchannel.com/news/local-news/naked-man-shot-and-killed-by-boulder-police-was-reportedly-high-on-lsd" TargetMode="External"/><Relationship Id="rId1800" Type="http://schemas.openxmlformats.org/officeDocument/2006/relationships/hyperlink" Target="http://www.modbee.com/news/local/crime/article83107557.html" TargetMode="External"/><Relationship Id="rId4956" Type="http://schemas.openxmlformats.org/officeDocument/2006/relationships/hyperlink" Target="https://www.fatalencounters.org/wp-content/uploads/2018/07/Jose-Luis-Rodriguez.jpg" TargetMode="External"/><Relationship Id="rId3558" Type="http://schemas.openxmlformats.org/officeDocument/2006/relationships/hyperlink" Target="http://www.kwch.com/content/news/Wichita-Police-canine-injured-in-shooting-416528903.html" TargetMode="External"/><Relationship Id="rId3972" Type="http://schemas.openxmlformats.org/officeDocument/2006/relationships/hyperlink" Target="http://newschannel9.com/news/local/tbi-called-to-investigate-officer-involved-shooting-in-charleston-early-sunday" TargetMode="External"/><Relationship Id="rId4609" Type="http://schemas.openxmlformats.org/officeDocument/2006/relationships/hyperlink" Target="http://www.mywabashvalley.com/news/suspect-named-in-probable-cause/1164631290" TargetMode="External"/><Relationship Id="rId7015" Type="http://schemas.openxmlformats.org/officeDocument/2006/relationships/hyperlink" Target="https://losangeles.cbslocal.com/2019/12/16/deputy-shoot-pickup-truck-chase-ends-crash-san-bernardino/" TargetMode="External"/><Relationship Id="rId479" Type="http://schemas.openxmlformats.org/officeDocument/2006/relationships/hyperlink" Target="http://www.wcti12.com/news/city-official-two-officers-injured-one-suspect-dead-in-shooting/25226556" TargetMode="External"/><Relationship Id="rId893" Type="http://schemas.openxmlformats.org/officeDocument/2006/relationships/hyperlink" Target="http://www.clickorlando.com/news/man-killed-pregnant-woman-injured-during-shootout/35407050" TargetMode="External"/><Relationship Id="rId2574" Type="http://schemas.openxmlformats.org/officeDocument/2006/relationships/hyperlink" Target="http://www.fatalencounters.org/wp-content/uploads/2013/10/Anthony-Lovell-Eddington.jpg" TargetMode="External"/><Relationship Id="rId3625" Type="http://schemas.openxmlformats.org/officeDocument/2006/relationships/hyperlink" Target="http://nbc4i.com/2017/02/15/one-person-in-critical-condition-after-officer-involved-shooting-on-s-powell-avenue/" TargetMode="External"/><Relationship Id="rId6031" Type="http://schemas.openxmlformats.org/officeDocument/2006/relationships/hyperlink" Target="https://www.fatalencounters.org/wp-content/uploads/2019/04/Chris-Joseph.jpg" TargetMode="External"/><Relationship Id="rId546" Type="http://schemas.openxmlformats.org/officeDocument/2006/relationships/hyperlink" Target="http://www.huffingtonpost.com/2013/08/08/james-lee-dimaggio_n_3724734.html" TargetMode="External"/><Relationship Id="rId1176" Type="http://schemas.openxmlformats.org/officeDocument/2006/relationships/hyperlink" Target="http://atlantadailyworld.com/2015/08/21/rally-to-protest-taser-death-of-troy-robinson-by-police-at-dekalb-courthouse/" TargetMode="External"/><Relationship Id="rId2227" Type="http://schemas.openxmlformats.org/officeDocument/2006/relationships/hyperlink" Target="http://www.4029tv.com/news/man-dies-following-officerinvolved-shooting-in-springdale/41969442" TargetMode="External"/><Relationship Id="rId960" Type="http://schemas.openxmlformats.org/officeDocument/2006/relationships/hyperlink" Target="http://www.killedbypolice.net/victims/150904.jpg" TargetMode="External"/><Relationship Id="rId1243" Type="http://schemas.openxmlformats.org/officeDocument/2006/relationships/hyperlink" Target="http://www.fatalencounters.org/wp-content/uploads/2013/10/TimothyCaruthers.png" TargetMode="External"/><Relationship Id="rId1590" Type="http://schemas.openxmlformats.org/officeDocument/2006/relationships/hyperlink" Target="http://www.fatalencounters.org/wp-content/uploads/2013/10/Detmond.jpg" TargetMode="External"/><Relationship Id="rId2641" Type="http://schemas.openxmlformats.org/officeDocument/2006/relationships/hyperlink" Target="http://www.wmbfnews.com/story/36061921/man-shot-killed-by-police-in-incident-near-surfside-beach" TargetMode="External"/><Relationship Id="rId4399" Type="http://schemas.openxmlformats.org/officeDocument/2006/relationships/hyperlink" Target="http://www.theledger.com/news/20180321/polk-county-sheriffs-office-deputies-shoot-kill-man-with-history-of-mental-troubles" TargetMode="External"/><Relationship Id="rId5797" Type="http://schemas.openxmlformats.org/officeDocument/2006/relationships/hyperlink" Target="https://www.statesman.com/news/20190131/austin-police-id-man-shot-killed-by-officers-tuesday" TargetMode="External"/><Relationship Id="rId6848" Type="http://schemas.openxmlformats.org/officeDocument/2006/relationships/hyperlink" Target="https://www.tulsaworld.com/news/local/crime-and-courts/man-fatally-shot-by-tahlequah-police-during-domestic-violence-call/article_e05a35fa-acfb-50c5-823d-bfa149074a7d.html" TargetMode="External"/><Relationship Id="rId613" Type="http://schemas.openxmlformats.org/officeDocument/2006/relationships/hyperlink" Target="http://www.killedbypolice.net/victims/150932.jpg" TargetMode="External"/><Relationship Id="rId5864" Type="http://schemas.openxmlformats.org/officeDocument/2006/relationships/hyperlink" Target="https://www.navytimes.com/news/your-navy/2019/02/15/this-is-the-man-authorities-say-died-thursday-at-naval-air-station-corpus-christi/" TargetMode="External"/><Relationship Id="rId6915" Type="http://schemas.openxmlformats.org/officeDocument/2006/relationships/hyperlink" Target="https://fatalencounters.org/wp-content/uploads/2019/10/Vince-Smith.jpg" TargetMode="External"/><Relationship Id="rId1310" Type="http://schemas.openxmlformats.org/officeDocument/2006/relationships/hyperlink" Target="http://www.nbclosangeles.com/news/local/San-Fernando-Police-Shooting-Monday-364896211.html" TargetMode="External"/><Relationship Id="rId4466" Type="http://schemas.openxmlformats.org/officeDocument/2006/relationships/hyperlink" Target="http://www.al.com/news/huntsville/index.ssf/2018/04/man_dies_after_officer-involve.html" TargetMode="External"/><Relationship Id="rId4880" Type="http://schemas.openxmlformats.org/officeDocument/2006/relationships/hyperlink" Target="http://www.kptv.com/story/38595748/man-killed-in-amity-officer-involved-shooting-identified" TargetMode="External"/><Relationship Id="rId5517" Type="http://schemas.openxmlformats.org/officeDocument/2006/relationships/hyperlink" Target="https://www.dailyherald.com/news/20181210/police-son-killed-mother-in-palatine-apartment-before-he-was-killed-by-officer-he-rammed" TargetMode="External"/><Relationship Id="rId5931" Type="http://schemas.openxmlformats.org/officeDocument/2006/relationships/hyperlink" Target="https://www.fatalencounters.org/wp-content/uploads/2019/03/Luke-Anthony-Swann.png" TargetMode="External"/><Relationship Id="rId3068" Type="http://schemas.openxmlformats.org/officeDocument/2006/relationships/hyperlink" Target="http://www.ksbw.com/article/teen-killed-in-salinas-officer-involved-shooting/8611654" TargetMode="External"/><Relationship Id="rId3482" Type="http://schemas.openxmlformats.org/officeDocument/2006/relationships/hyperlink" Target="http://www.10news.com/news/san-diego-police-investigate-officer-involved-shooting-at-torrey-pines-high-school" TargetMode="External"/><Relationship Id="rId4119" Type="http://schemas.openxmlformats.org/officeDocument/2006/relationships/hyperlink" Target="http://www.star-telegram.com/news/local/community/northeast-tarrant/article194843379.html" TargetMode="External"/><Relationship Id="rId4533" Type="http://schemas.openxmlformats.org/officeDocument/2006/relationships/hyperlink" Target="http://www.fatalencounters.org/wp-content/uploads/2018/04/Bruce-Allee.png" TargetMode="External"/><Relationship Id="rId2084" Type="http://schemas.openxmlformats.org/officeDocument/2006/relationships/hyperlink" Target="http://www.azcentral.com/story/news/local/mesa-breaking/2016/08/13/breaking-mesa-police-involved-shooting/88658092/" TargetMode="External"/><Relationship Id="rId3135" Type="http://schemas.openxmlformats.org/officeDocument/2006/relationships/hyperlink" Target="http://www.northjersey.com/story/news/crime/2017/08/07/police-fatally-shoot-man-allegedly-involved-north-bergen-stabbing/544256001/" TargetMode="External"/><Relationship Id="rId4600" Type="http://schemas.openxmlformats.org/officeDocument/2006/relationships/hyperlink" Target="https://www.wfmynews2.com/article/news/local/man-killed-in-alamance-co-deputy-involved-shooting-sheriff/83-548350611" TargetMode="External"/><Relationship Id="rId470" Type="http://schemas.openxmlformats.org/officeDocument/2006/relationships/hyperlink" Target="http://www.wrhi.com/2014/04/officer-involved-shooting-in-york-county-leaves-one-man-dead-91986" TargetMode="External"/><Relationship Id="rId2151" Type="http://schemas.openxmlformats.org/officeDocument/2006/relationships/hyperlink" Target="http://www.wvgazettemail.com/apps/pbcsi.dll/storyimage/CH/20160829/GZ0118/160829521/AR/0/AR-160829521.jpg&amp;imageVersion=SoftCropArticlePictures&amp;s=1472576013417" TargetMode="External"/><Relationship Id="rId3202" Type="http://schemas.openxmlformats.org/officeDocument/2006/relationships/hyperlink" Target="http://www.mercurynews.com/2017/05/03/san-jose-police-officer-shoots-man-during-response-to-family-disturbance/" TargetMode="External"/><Relationship Id="rId6358" Type="http://schemas.openxmlformats.org/officeDocument/2006/relationships/hyperlink" Target="https://fatalencounters.org/wp-content/uploads/2019/06/brandon-webber.jpg" TargetMode="External"/><Relationship Id="rId123" Type="http://schemas.openxmlformats.org/officeDocument/2006/relationships/hyperlink" Target="http://www.kcra.com/news/local-news/news-stockton/stockton-police-investigate-officerinvolved-shooting-1-suspect-dead/33578792" TargetMode="External"/><Relationship Id="rId5374" Type="http://schemas.openxmlformats.org/officeDocument/2006/relationships/hyperlink" Target="https://www.wvlt.tv/content/news/Man-dead-following-officer-involved-shooting-499619901.html" TargetMode="External"/><Relationship Id="rId6772" Type="http://schemas.openxmlformats.org/officeDocument/2006/relationships/hyperlink" Target="https://fatalencounters.org/wp-content/uploads/2019/09/Gregory-Edwards.jpg" TargetMode="External"/><Relationship Id="rId2968" Type="http://schemas.openxmlformats.org/officeDocument/2006/relationships/hyperlink" Target="http://www.khou.com/news/local/texas/murder-suspect-dead-3-police-officers-wounded-in-laredo-shootout/445335467" TargetMode="External"/><Relationship Id="rId5027" Type="http://schemas.openxmlformats.org/officeDocument/2006/relationships/hyperlink" Target="http://www.ksla.com/story/38842036/suspect-shot-by-police-dies" TargetMode="External"/><Relationship Id="rId6425" Type="http://schemas.openxmlformats.org/officeDocument/2006/relationships/hyperlink" Target="https://www.wapt.com/article/officer-involved-shooting-at-pearl-mobile-home-park/28226810" TargetMode="External"/><Relationship Id="rId1984" Type="http://schemas.openxmlformats.org/officeDocument/2006/relationships/hyperlink" Target="http://www.tulsaworld.com/news/crimewatch/axe-wielding-man-fatally-shot-by-tulsa-police-in-west/article_56830253-78a3-5aec-96e0-7f9ab970107e.html" TargetMode="External"/><Relationship Id="rId4390" Type="http://schemas.openxmlformats.org/officeDocument/2006/relationships/hyperlink" Target="http://www.sacbee.com/news/local/crime/article205818424.html" TargetMode="External"/><Relationship Id="rId5441" Type="http://schemas.openxmlformats.org/officeDocument/2006/relationships/hyperlink" Target="https://www.ktva.com/story/39527477/man-killed-in-palmer-after-downtown-standoff" TargetMode="External"/><Relationship Id="rId1637" Type="http://schemas.openxmlformats.org/officeDocument/2006/relationships/hyperlink" Target="http://www.nbclosangeles.com/news/local/police-Pursue-Vehicle-in-West-Covina-Area-371943382.html" TargetMode="External"/><Relationship Id="rId4043" Type="http://schemas.openxmlformats.org/officeDocument/2006/relationships/hyperlink" Target="https://www.gannett-cdn.com/-mm-/b7b89e03fb833d4b0f3e59948a4a5c006db40311/c=0-244-1970-1725&amp;r=x404&amp;c=534x401/local/-/media/2018/01/02/TXGroup/Wichita/636505078121697276-Heath-Hodges.jpg" TargetMode="External"/><Relationship Id="rId7199" Type="http://schemas.openxmlformats.org/officeDocument/2006/relationships/hyperlink" Target="http://www.chron.com/news/houston-texas/houston/article/Deputy-fatally-shoots-robbery-suspect-4471801.php" TargetMode="External"/><Relationship Id="rId1704" Type="http://schemas.openxmlformats.org/officeDocument/2006/relationships/hyperlink" Target="http://www.nbclosangeles.com/news/local/Officer-Hospitalized-in-Boyle-Heights-Shooting-379483661.html" TargetMode="External"/><Relationship Id="rId4110" Type="http://schemas.openxmlformats.org/officeDocument/2006/relationships/hyperlink" Target="http://ktla.com/2018/01/14/1-fatally-shot-by-lapd-in-montecito-heights/" TargetMode="External"/><Relationship Id="rId6282" Type="http://schemas.openxmlformats.org/officeDocument/2006/relationships/hyperlink" Target="https://www.kwch.com/content/news/510471271.html" TargetMode="External"/><Relationship Id="rId797" Type="http://schemas.openxmlformats.org/officeDocument/2006/relationships/hyperlink" Target="http://www.nbcbayarea.com/news/local/Officer-Involved-Shooting-in-San-Jose-322019022.html?utm_source=dlvr.it&amp;utm_medium=twitter" TargetMode="External"/><Relationship Id="rId2478" Type="http://schemas.openxmlformats.org/officeDocument/2006/relationships/hyperlink" Target="http://wsbt.com/news/local/large-crowd-gathers-at-scene-of-elkhart-shooting-investigation" TargetMode="External"/><Relationship Id="rId3876" Type="http://schemas.openxmlformats.org/officeDocument/2006/relationships/hyperlink" Target="https://www.washingtonpost.com/news/true-crime/wp/2017/11/28/man-shot-by-u-s-park-police-dies-was-unarmed-family-says/" TargetMode="External"/><Relationship Id="rId4927" Type="http://schemas.openxmlformats.org/officeDocument/2006/relationships/hyperlink" Target="https://www.fatalencounters.org/wp-content/uploads/2018/07/AnthonyColeman.jpg" TargetMode="External"/><Relationship Id="rId2892" Type="http://schemas.openxmlformats.org/officeDocument/2006/relationships/hyperlink" Target="http://www.abc15.com/news/region-west-valley/peoria/one-dead-after-officer-involved-shooting-in-youngtown" TargetMode="External"/><Relationship Id="rId3529" Type="http://schemas.openxmlformats.org/officeDocument/2006/relationships/hyperlink" Target="http://www.fatalencounters.org/wp-content/uploads/2013/10/Stephen-Connard-Ferry.png" TargetMode="External"/><Relationship Id="rId3943" Type="http://schemas.openxmlformats.org/officeDocument/2006/relationships/hyperlink" Target="http://www.fatalencounters.org/wp-content/uploads/2013/10/Kyler-Grabbingbear.jpg" TargetMode="External"/><Relationship Id="rId6002" Type="http://schemas.openxmlformats.org/officeDocument/2006/relationships/hyperlink" Target="https://www.fatalencounters.org/wp-content/uploads/2019/03/Thomas-Johnson.jpg" TargetMode="External"/><Relationship Id="rId864" Type="http://schemas.openxmlformats.org/officeDocument/2006/relationships/hyperlink" Target="http://dcourier.com/main.asp?SectionID=1&amp;subsectionID=1086&amp;articleID=149431" TargetMode="External"/><Relationship Id="rId1494" Type="http://schemas.openxmlformats.org/officeDocument/2006/relationships/hyperlink" Target="http://whotv.com/2016/02/13/one-person-killed-in-officer-involved-shooting-at-urbandale-hotel/" TargetMode="External"/><Relationship Id="rId2545" Type="http://schemas.openxmlformats.org/officeDocument/2006/relationships/hyperlink" Target="http://www.news4jax.com/news/local/3-officers-shoot-kill-man-in-suicide-by-cop" TargetMode="External"/><Relationship Id="rId517" Type="http://schemas.openxmlformats.org/officeDocument/2006/relationships/hyperlink" Target="http://newsok.com/oklahoma-parents-say-son-needed-help-instead-custer-county-sheriffs-deputies-shot-him/article/3929841" TargetMode="External"/><Relationship Id="rId931" Type="http://schemas.openxmlformats.org/officeDocument/2006/relationships/hyperlink" Target="http://www.desmoinesregister.com/story/news/crime-and-courts/2015/10/21/cedar-rapids-fatal-police-shooting/74316302/?from=global&amp;sessionKey=&amp;autologin=" TargetMode="External"/><Relationship Id="rId1147" Type="http://schemas.openxmlformats.org/officeDocument/2006/relationships/hyperlink" Target="http://www.fresnobee.com/news/local/crime/h2le4i/picture31453181/ALTERNATES/FREE_640/Allen%20Matthew%20Baker%20III" TargetMode="External"/><Relationship Id="rId1561" Type="http://schemas.openxmlformats.org/officeDocument/2006/relationships/hyperlink" Target="http://www.twcnews.com/nys/capital-region/news/2016/04/13/rotterdam-officer-involved-fatal-shooting.html" TargetMode="External"/><Relationship Id="rId2612" Type="http://schemas.openxmlformats.org/officeDocument/2006/relationships/hyperlink" Target="http://www.fatalencounters.org/wp-content/uploads/2013/10/Antwon-Springer.png" TargetMode="External"/><Relationship Id="rId5768" Type="http://schemas.openxmlformats.org/officeDocument/2006/relationships/hyperlink" Target="https://www.kxly.com/news/man-shot-by-police-identified-naacp-working-with-police-because-man-was-black/988122511" TargetMode="External"/><Relationship Id="rId6819" Type="http://schemas.openxmlformats.org/officeDocument/2006/relationships/hyperlink" Target="https://www.boston.com/news/local-news/2019/09/29/man-dies-after-shooting-toward-police-from-jamaica-plain-home" TargetMode="External"/><Relationship Id="rId1214" Type="http://schemas.openxmlformats.org/officeDocument/2006/relationships/hyperlink" Target="http://www.sun-sentinel.com/local/palm-beach/fl-palm-beach-gardens-officer-shooting-20151019-story.html" TargetMode="External"/><Relationship Id="rId4784" Type="http://schemas.openxmlformats.org/officeDocument/2006/relationships/hyperlink" Target="https://www.azcentral.com/story/news/local/mesa-breaking/2018/06/17/man-found-dead-after-police-shooting-mesa/708580002/" TargetMode="External"/><Relationship Id="rId5835" Type="http://schemas.openxmlformats.org/officeDocument/2006/relationships/hyperlink" Target="https://sanfrancisco.cbslocal.com/2019/02/11/officer-involved-shooting-suspect-had-gun-stolen-in-oregon/" TargetMode="External"/><Relationship Id="rId7190" Type="http://schemas.openxmlformats.org/officeDocument/2006/relationships/hyperlink" Target="http://www.wdbj7.com/image/view/-/20523626/medRes/1/-/maxh/480/maxw/640/-/75vuvyz/-/IMG---wdbj7-person-shot-at-christiansburg-church-20130410.jpg" TargetMode="External"/><Relationship Id="rId3386" Type="http://schemas.openxmlformats.org/officeDocument/2006/relationships/hyperlink" Target="http://www.9news.com/news/local/deputies-in-larimer-county-shoot-suspect-during-foot-chase/453505078" TargetMode="External"/><Relationship Id="rId4437" Type="http://schemas.openxmlformats.org/officeDocument/2006/relationships/hyperlink" Target="http://www.fatalencounters.org/wp-content/uploads/2018/04/Robert-B.-Shaw.png" TargetMode="External"/><Relationship Id="rId3039" Type="http://schemas.openxmlformats.org/officeDocument/2006/relationships/hyperlink" Target="http://www.sacbee.com/news/local/crime/article131619224.html" TargetMode="External"/><Relationship Id="rId3453" Type="http://schemas.openxmlformats.org/officeDocument/2006/relationships/hyperlink" Target="http://news3lv.com/news/local/nye-county-investigating-fatal-officer-involved-shooting-overnight-in-pahrump" TargetMode="External"/><Relationship Id="rId4851" Type="http://schemas.openxmlformats.org/officeDocument/2006/relationships/hyperlink" Target="https://www.fatalencounters.org/wp-content/uploads/2018/07/Larry-San-Nicolas.jpg" TargetMode="External"/><Relationship Id="rId5902" Type="http://schemas.openxmlformats.org/officeDocument/2006/relationships/hyperlink" Target="https://www.news-leader.com/story/news/crime/2019/02/26/police-identify-man-shot-and-killed-officer-monday-night/2991561002/" TargetMode="External"/><Relationship Id="rId374" Type="http://schemas.openxmlformats.org/officeDocument/2006/relationships/hyperlink" Target="http://www.fayobserver.com/news/local/man-shot-killed-when-cumberland-county-deputies-try-to-serve/article_f253b5ae-7298-5362-8caf-84520ea48f26.html" TargetMode="External"/><Relationship Id="rId2055" Type="http://schemas.openxmlformats.org/officeDocument/2006/relationships/hyperlink" Target="http://www.fatalencounters.org/wp-content/uploads/2013/10/Ronald-Robbibaro.jpg" TargetMode="External"/><Relationship Id="rId3106" Type="http://schemas.openxmlformats.org/officeDocument/2006/relationships/hyperlink" Target="http://newsok.com/article/5556016" TargetMode="External"/><Relationship Id="rId4504" Type="http://schemas.openxmlformats.org/officeDocument/2006/relationships/hyperlink" Target="https://www.clickondetroit.com/news/man-fatally-shot-while-trying-to-attack-troy-police-officers-with-knives" TargetMode="External"/><Relationship Id="rId3520" Type="http://schemas.openxmlformats.org/officeDocument/2006/relationships/hyperlink" Target="http://www.fatalencounters.org/wp-content/uploads/2013/10/Jeffrey-James-Findlay.jpg" TargetMode="External"/><Relationship Id="rId6676" Type="http://schemas.openxmlformats.org/officeDocument/2006/relationships/hyperlink" Target="https://fatalencounters.org/wp-content/uploads/2019/10/taylor-ware.jpg" TargetMode="External"/><Relationship Id="rId441" Type="http://schemas.openxmlformats.org/officeDocument/2006/relationships/hyperlink" Target="http://6abc.com/news/officer-released-from-hospital-suspect-dead-in-chester/89060/" TargetMode="External"/><Relationship Id="rId1071" Type="http://schemas.openxmlformats.org/officeDocument/2006/relationships/hyperlink" Target="http://www.wacotrib.com/news/traffic/officers-shoot-kill-suspected-waco-area-robber-after-high-speed/article_0ad98762-1641-5888-80b2-3797f0b5c9f6.html" TargetMode="External"/><Relationship Id="rId2122" Type="http://schemas.openxmlformats.org/officeDocument/2006/relationships/hyperlink" Target="http://ktla.com/2016/08/19/1-dead-in-east-hollywood-officer-involved-shooting-lapd/" TargetMode="External"/><Relationship Id="rId5278" Type="http://schemas.openxmlformats.org/officeDocument/2006/relationships/hyperlink" Target="https://www.fatalencounters.org/wp-content/uploads/2018/10/Ashley-Elisna-Grammer.jpg" TargetMode="External"/><Relationship Id="rId5692" Type="http://schemas.openxmlformats.org/officeDocument/2006/relationships/hyperlink" Target="https://www.montgomeryadvertiser.com/story/news/2019/01/11/man-shot-killed-elmore-deputies-identified/2550026002/" TargetMode="External"/><Relationship Id="rId6329" Type="http://schemas.openxmlformats.org/officeDocument/2006/relationships/hyperlink" Target="https://www.fresnobee.com/news/local/article231342963.html" TargetMode="External"/><Relationship Id="rId6743" Type="http://schemas.openxmlformats.org/officeDocument/2006/relationships/hyperlink" Target="https://www.nbc4i.com/news/local-news/police-identify-18-year-old-suspect-killed-officer-involved-in-shooting/" TargetMode="External"/><Relationship Id="rId1888" Type="http://schemas.openxmlformats.org/officeDocument/2006/relationships/hyperlink" Target="http://www.scsun-news.com/story/news/crime/2016/06/26/new-mexico-state-police-officer-involved-shooting/86406602/" TargetMode="External"/><Relationship Id="rId2939" Type="http://schemas.openxmlformats.org/officeDocument/2006/relationships/hyperlink" Target="http://www.denverpost.com/2017/06/30/officer-involved-shooting-denver-police/" TargetMode="External"/><Relationship Id="rId4294" Type="http://schemas.openxmlformats.org/officeDocument/2006/relationships/hyperlink" Target="http://nbc4i.com/2018/02/27/man-killed-during-officer-involved-shooting-in-crawford-county/" TargetMode="External"/><Relationship Id="rId5345" Type="http://schemas.openxmlformats.org/officeDocument/2006/relationships/hyperlink" Target="https://www.fatalencounters.org/wp-content/uploads/2018/11/Derrick-Alexander-Sellman.jpg" TargetMode="External"/><Relationship Id="rId6810" Type="http://schemas.openxmlformats.org/officeDocument/2006/relationships/hyperlink" Target="https://fatalencounters.org/wp-content/uploads/2019/10/Shand-Leonard.jpeg" TargetMode="External"/><Relationship Id="rId4361" Type="http://schemas.openxmlformats.org/officeDocument/2006/relationships/hyperlink" Target="http://www.fatalencounters.org/wp-content/uploads/2018/03/Decynthia-S.-Clements.png" TargetMode="External"/><Relationship Id="rId5412" Type="http://schemas.openxmlformats.org/officeDocument/2006/relationships/hyperlink" Target="https://www.fatalencounters.org/wp-content/uploads/2018/11/AugustinGonsalez.jpeg" TargetMode="External"/><Relationship Id="rId1955" Type="http://schemas.openxmlformats.org/officeDocument/2006/relationships/hyperlink" Target="http://www.newsweek.com/alva-braziel-what-we-know-houston-police-shooting-479210" TargetMode="External"/><Relationship Id="rId4014" Type="http://schemas.openxmlformats.org/officeDocument/2006/relationships/hyperlink" Target="http://www.jacksonsun.com/story/news/crime/2017/12/26/kentucky-man-killed-officer-involved-shooting-weakley-co/982560001/" TargetMode="External"/><Relationship Id="rId1608" Type="http://schemas.openxmlformats.org/officeDocument/2006/relationships/hyperlink" Target="http://www.necn.com/news/new-england/Officer-Involved-Shooting-in-Lowell-373665461.html" TargetMode="External"/><Relationship Id="rId3030" Type="http://schemas.openxmlformats.org/officeDocument/2006/relationships/hyperlink" Target="http://www.fatalencounters.org/wp-content/uploads/2013/10/Manuel-Encinas.png" TargetMode="External"/><Relationship Id="rId6186" Type="http://schemas.openxmlformats.org/officeDocument/2006/relationships/hyperlink" Target="https://patch.com/maryland/perryhall/police-id-officer-shot-parkville-man-who-called-911" TargetMode="External"/><Relationship Id="rId7237" Type="http://schemas.openxmlformats.org/officeDocument/2006/relationships/hyperlink" Target="https://www.fatalencounters.org/wp-content/uploads/2018/12/10-14-2013-Andrew-Aldrich.jpg" TargetMode="External"/><Relationship Id="rId2796" Type="http://schemas.openxmlformats.org/officeDocument/2006/relationships/hyperlink" Target="http://www.fatalencounters.org/wp-content/uploads/2013/10/Epthen-Lamont-Johnson.png" TargetMode="External"/><Relationship Id="rId3847" Type="http://schemas.openxmlformats.org/officeDocument/2006/relationships/hyperlink" Target="http://www.fatalencounters.org/wp-content/uploads/2013/10/Kevin-Janson-Neal.png" TargetMode="External"/><Relationship Id="rId6253" Type="http://schemas.openxmlformats.org/officeDocument/2006/relationships/hyperlink" Target="https://www.thenewstribune.com/news/local/crime/article230629014.html" TargetMode="External"/><Relationship Id="rId768" Type="http://schemas.openxmlformats.org/officeDocument/2006/relationships/hyperlink" Target="http://www.news3lv.com/media/lib/166/1/2/5/1253516c-7ddf-4dd7-8c51-c93e9f588679/Original.jpg" TargetMode="External"/><Relationship Id="rId1398" Type="http://schemas.openxmlformats.org/officeDocument/2006/relationships/hyperlink" Target="http://katv.com/news/local/authorities-investigating-officer-involved-shooting-in-mena" TargetMode="External"/><Relationship Id="rId2449" Type="http://schemas.openxmlformats.org/officeDocument/2006/relationships/hyperlink" Target="http://www.fatalencounters.org/wp-content/uploads/2013/10/Abdul-Razak-Ali-Artan.jpg" TargetMode="External"/><Relationship Id="rId2863" Type="http://schemas.openxmlformats.org/officeDocument/2006/relationships/hyperlink" Target="http://www.clarionledger.com/story/news/local/2017/01/22/man-dead-after-shooting-greenville-police/96920870/" TargetMode="External"/><Relationship Id="rId3914" Type="http://schemas.openxmlformats.org/officeDocument/2006/relationships/hyperlink" Target="http://www.killedbypolice.net/victims/171101.jpg" TargetMode="External"/><Relationship Id="rId6320" Type="http://schemas.openxmlformats.org/officeDocument/2006/relationships/hyperlink" Target="https://abc7.com/1-dead-1-in-custody-after-willowbrook-deputy-involved-shooting/5336407/" TargetMode="External"/><Relationship Id="rId835" Type="http://schemas.openxmlformats.org/officeDocument/2006/relationships/hyperlink" Target="http://www.thenewscenter.tv/home/headlines/new-details.html" TargetMode="External"/><Relationship Id="rId1465" Type="http://schemas.openxmlformats.org/officeDocument/2006/relationships/hyperlink" Target="http://cdn2.newsok.biz/cache/w320-c_fc014e9d55bdf81e0c1a52f9e9099774.jpg" TargetMode="External"/><Relationship Id="rId2516" Type="http://schemas.openxmlformats.org/officeDocument/2006/relationships/hyperlink" Target="http://www.fatalencounters.org/wp-content/uploads/2013/10/Kenneth-Robledo.jpg" TargetMode="External"/><Relationship Id="rId1118" Type="http://schemas.openxmlformats.org/officeDocument/2006/relationships/hyperlink" Target="http://a.abcnews.go.com/images/US/ap_jamar_clark_police_shooting_float_jc_151119_4x3_992.jpg" TargetMode="External"/><Relationship Id="rId1532" Type="http://schemas.openxmlformats.org/officeDocument/2006/relationships/hyperlink" Target="http://www.nbcnews.com/news/us-news/antigo-shooting-least-three-shot-outside-wisconsin-prom-n561196" TargetMode="External"/><Relationship Id="rId2930" Type="http://schemas.openxmlformats.org/officeDocument/2006/relationships/hyperlink" Target="http://www.chicagotribune.com/news/local/breaking/ct-police-involved-shooting-0710-20170709-story.html" TargetMode="External"/><Relationship Id="rId4688" Type="http://schemas.openxmlformats.org/officeDocument/2006/relationships/hyperlink" Target="http://www.wcvb.com/article/undocumented-immigrant-shot-killed-by-border-patrol-officer-in-texas/20891214" TargetMode="External"/><Relationship Id="rId7094" Type="http://schemas.openxmlformats.org/officeDocument/2006/relationships/hyperlink" Target="https://ebwiki.org/articles/deltra-henderson" TargetMode="External"/><Relationship Id="rId902" Type="http://schemas.openxmlformats.org/officeDocument/2006/relationships/hyperlink" Target="http://www.waff.com/story/30190373/raw-emotion-following-mans-shooting-say-muscle-shoals-police" TargetMode="External"/><Relationship Id="rId5739" Type="http://schemas.openxmlformats.org/officeDocument/2006/relationships/hyperlink" Target="https://www.denverpost.com/2019/01/18/adams-county-deputy-police-shooting-dead/" TargetMode="External"/><Relationship Id="rId7161" Type="http://schemas.openxmlformats.org/officeDocument/2006/relationships/hyperlink" Target="http://www.koat.com/image/view/-/19478934/medRes/1/-/maxh/460/maxw/620/-/q1pltxz/-/wes-davis-2.jpg" TargetMode="External"/><Relationship Id="rId4755" Type="http://schemas.openxmlformats.org/officeDocument/2006/relationships/hyperlink" Target="http://ktla.com/2018/06/11/whittier-police-shoot-suspect-while-responding-to-domestic-incident/" TargetMode="External"/><Relationship Id="rId5806" Type="http://schemas.openxmlformats.org/officeDocument/2006/relationships/hyperlink" Target="https://www.azfamily.com/news/pd-dead-following-officer-involved-shooting-in-flagstaff/article_a3d78bca-27e4-11e9-a73b-bf43b4ce9cb4.html" TargetMode="External"/><Relationship Id="rId278" Type="http://schemas.openxmlformats.org/officeDocument/2006/relationships/hyperlink" Target="http://www.ktvb.com/story/news/crime/2015/04/07/deputy-shoots-kills-man-rifle/25414923/" TargetMode="External"/><Relationship Id="rId3357" Type="http://schemas.openxmlformats.org/officeDocument/2006/relationships/hyperlink" Target="http://www.kvoa.com/story/35884444/deputy-involved-shooting-leaves-one-man-dead-near-three-points" TargetMode="External"/><Relationship Id="rId3771" Type="http://schemas.openxmlformats.org/officeDocument/2006/relationships/hyperlink" Target="http://abc7ny.com/2-fatally-shot-by-off-duty-officer-during-robbery-attempt-in-newark/2582986/" TargetMode="External"/><Relationship Id="rId4408" Type="http://schemas.openxmlformats.org/officeDocument/2006/relationships/hyperlink" Target="http://www.tulsaworld.com/homepagelatest/mannford-police-fatally-shoot-man-with-knife-according-to-osbi/article_d1233a6e-3e54-5328-9e91-0625aaf6451d.html" TargetMode="External"/><Relationship Id="rId4822" Type="http://schemas.openxmlformats.org/officeDocument/2006/relationships/hyperlink" Target="https://www.fatalencounters.org/wp-content/uploads/2018/06/Luis-Argueta.jpg" TargetMode="External"/><Relationship Id="rId692" Type="http://schemas.openxmlformats.org/officeDocument/2006/relationships/hyperlink" Target="http://www.wdef.com/news/story/Whitfield-Deputy-Fatally-Shoots-Suspect-After-Car/2cVdW_rl30uLVjQAHyWeKw.cspx" TargetMode="External"/><Relationship Id="rId2373" Type="http://schemas.openxmlformats.org/officeDocument/2006/relationships/hyperlink" Target="http://www.fatalencounters.org/wp-content/uploads/2013/10/DanielErickson.jpg" TargetMode="External"/><Relationship Id="rId3424" Type="http://schemas.openxmlformats.org/officeDocument/2006/relationships/hyperlink" Target="http://www.fatalencounters.org/wp-content/uploads/2013/10/Mark-Ellis.jpg" TargetMode="External"/><Relationship Id="rId6994" Type="http://schemas.openxmlformats.org/officeDocument/2006/relationships/hyperlink" Target="https://www.baynews9.com/fl/tampa/news/2019/12/12/sheriff--deputies-shoot--kill-man-after-he-stabbed-his-mother" TargetMode="External"/><Relationship Id="rId345" Type="http://schemas.openxmlformats.org/officeDocument/2006/relationships/hyperlink" Target="http://wvtm.membercenter.worldnow.com/story/27598792/1-dead-in-sanford-officer-involved-shooting" TargetMode="External"/><Relationship Id="rId2026" Type="http://schemas.openxmlformats.org/officeDocument/2006/relationships/hyperlink" Target="http://wncn.com/2016/08/01/new-details-released-in-fatal-nc-officer-involved-shooting/" TargetMode="External"/><Relationship Id="rId2440" Type="http://schemas.openxmlformats.org/officeDocument/2006/relationships/hyperlink" Target="http://www.fatalencounters.org/wp-content/uploads/2013/10/norman-strobel.jpg" TargetMode="External"/><Relationship Id="rId5596" Type="http://schemas.openxmlformats.org/officeDocument/2006/relationships/hyperlink" Target="https://www.fatalencounters.org/wp-content/uploads/2018/12/R-Michael-Jerome-Taylor.jpg" TargetMode="External"/><Relationship Id="rId6647" Type="http://schemas.openxmlformats.org/officeDocument/2006/relationships/hyperlink" Target="https://fatalencounters.org/wp-content/uploads/2019/08/Schaston-Theodore-Lamarr-Hodge.jpg" TargetMode="External"/><Relationship Id="rId412" Type="http://schemas.openxmlformats.org/officeDocument/2006/relationships/hyperlink" Target="http://www.newsherald.com/news/crime-public-safety/man-shot-during-standoff-dies-1.357594" TargetMode="External"/><Relationship Id="rId1042" Type="http://schemas.openxmlformats.org/officeDocument/2006/relationships/hyperlink" Target="http://www.democracynow.org/2015/4/27/headlines/new_york_police_kill_mentally_ill_african_american_man" TargetMode="External"/><Relationship Id="rId4198" Type="http://schemas.openxmlformats.org/officeDocument/2006/relationships/hyperlink" Target="http://www.fatalencounters.org/wp-content/uploads/2018/02/Alexander-Simpson.jpg" TargetMode="External"/><Relationship Id="rId5249" Type="http://schemas.openxmlformats.org/officeDocument/2006/relationships/hyperlink" Target="http://deltadailynews.com/greenville-officer-shoots-and-kills-stabbing-suspect/" TargetMode="External"/><Relationship Id="rId5663" Type="http://schemas.openxmlformats.org/officeDocument/2006/relationships/hyperlink" Target="https://www.fatalencounters.org/wp-content/uploads/2019/01/Samuel-Garcia.jpg" TargetMode="External"/><Relationship Id="rId4265" Type="http://schemas.openxmlformats.org/officeDocument/2006/relationships/hyperlink" Target="http://www.lcsun-news.com/story/news/crime/2018/02/17/suspect-friday-murder-shot-and-killed-police/349081002/" TargetMode="External"/><Relationship Id="rId5316" Type="http://schemas.openxmlformats.org/officeDocument/2006/relationships/hyperlink" Target="https://www.witn.com/content/news/FIRST-ON-WITN-Washington-Police-are-investigating-an-officer-involved-shooting-498156231.html" TargetMode="External"/><Relationship Id="rId6714" Type="http://schemas.openxmlformats.org/officeDocument/2006/relationships/hyperlink" Target="https://www.toledoblade.com/local/police-fire/2019/09/04/Police-identify-Spencerville-driver-killed-after-police-chase-in-Van-Wert-Allen-counties/stories/20190904140" TargetMode="External"/><Relationship Id="rId1859" Type="http://schemas.openxmlformats.org/officeDocument/2006/relationships/hyperlink" Target="http://www.havasunews.com/news/man-dies-after-being-shot-by-havasu-police-officers/article_7dcbaa20-3713-11e6-8869-ff2d439d2b75.html" TargetMode="External"/><Relationship Id="rId5730" Type="http://schemas.openxmlformats.org/officeDocument/2006/relationships/hyperlink" Target="https://www.11alive.com/article/news/local/man-killed-while-allegedly-trying-to-steal-unmarked-police-car-identified/85-1082740b-a3a8-498e-833e-d03728ff04b1" TargetMode="External"/><Relationship Id="rId1926" Type="http://schemas.openxmlformats.org/officeDocument/2006/relationships/hyperlink" Target="http://abc7.com/news/1-killed-1-arrested-in-fullerton-officer-involved-shooting/1412501/" TargetMode="External"/><Relationship Id="rId3281" Type="http://schemas.openxmlformats.org/officeDocument/2006/relationships/hyperlink" Target="http://www.fatalencounters.org/wp-content/uploads/2013/10/Ciara-Howard.jpg" TargetMode="External"/><Relationship Id="rId4332" Type="http://schemas.openxmlformats.org/officeDocument/2006/relationships/hyperlink" Target="https://www.sfgate.com/bayarea/article/SF-police-shoot-kill-armed-robbery-suspect-12734742.php" TargetMode="External"/><Relationship Id="rId3001" Type="http://schemas.openxmlformats.org/officeDocument/2006/relationships/hyperlink" Target="http://www.chron.com/news/houston-texas/article/Officer-involved-shooting-under-investigating-in-11049915.php" TargetMode="External"/><Relationship Id="rId6157" Type="http://schemas.openxmlformats.org/officeDocument/2006/relationships/hyperlink" Target="https://lex18.com/news/2019/04/24/coroner-on-scene-of-incident-in-bath-county/" TargetMode="External"/><Relationship Id="rId6571" Type="http://schemas.openxmlformats.org/officeDocument/2006/relationships/hyperlink" Target="https://wchstv.com/news/local/search-underway-for-suspects-after-motorcycle-pursuit-in-kanawha" TargetMode="External"/><Relationship Id="rId7208" Type="http://schemas.openxmlformats.org/officeDocument/2006/relationships/hyperlink" Target="https://drive.google.com/open?id=0B_YUrB_q0WyCRTBMTGRua2NuSk0" TargetMode="External"/><Relationship Id="rId2767" Type="http://schemas.openxmlformats.org/officeDocument/2006/relationships/hyperlink" Target="http://www.king5.com/news/local/police-shoot-machete-wielding-man-in-des-moines/424872463" TargetMode="External"/><Relationship Id="rId5173" Type="http://schemas.openxmlformats.org/officeDocument/2006/relationships/hyperlink" Target="https://www.fatalencounters.org/wp-content/uploads/2018/10/AntonBlack.jpg" TargetMode="External"/><Relationship Id="rId6224" Type="http://schemas.openxmlformats.org/officeDocument/2006/relationships/hyperlink" Target="https://fatalencounters.org/wp-content/uploads/2019/05/Alex-Underdown.jpg" TargetMode="External"/><Relationship Id="rId739" Type="http://schemas.openxmlformats.org/officeDocument/2006/relationships/hyperlink" Target="http://www.mcleanfuneral.com/obituary/Jeffery-Clyde-Jeff-Wilkes/Gastonia-NC/1535971" TargetMode="External"/><Relationship Id="rId1369" Type="http://schemas.openxmlformats.org/officeDocument/2006/relationships/hyperlink" Target="http://www.kansascity.com/news/local/crime/article58853333.html" TargetMode="External"/><Relationship Id="rId3818" Type="http://schemas.openxmlformats.org/officeDocument/2006/relationships/hyperlink" Target="http://www.kbjr6.com/story/36797076/wisconsin-dci-investigating-situation-on-bad-river-reservation" TargetMode="External"/><Relationship Id="rId5240" Type="http://schemas.openxmlformats.org/officeDocument/2006/relationships/hyperlink" Target="https://www.kare11.com/article/news/family-identifies-man-killed-by-police-in-hastings/89-600189911" TargetMode="External"/><Relationship Id="rId1783" Type="http://schemas.openxmlformats.org/officeDocument/2006/relationships/hyperlink" Target="http://www.fatalencounters.org/wp-content/uploads/2013/10/daniel-pigg.jpg" TargetMode="External"/><Relationship Id="rId2834" Type="http://schemas.openxmlformats.org/officeDocument/2006/relationships/hyperlink" Target="http://koin.com/2017/02/09/portland-police-kill-armed-robbery-suspect/" TargetMode="External"/><Relationship Id="rId75" Type="http://schemas.openxmlformats.org/officeDocument/2006/relationships/hyperlink" Target="https://localtvkfor.files.wordpress.com/2015/07/rogers-tyler.jpg" TargetMode="External"/><Relationship Id="rId806" Type="http://schemas.openxmlformats.org/officeDocument/2006/relationships/hyperlink" Target="http://www.whas11.com/story/news/crime/2015/08/06/man-fatally-shot-after-attacking-officers--knife/31203233/" TargetMode="External"/><Relationship Id="rId1436" Type="http://schemas.openxmlformats.org/officeDocument/2006/relationships/hyperlink" Target="http://www.beaumontenterprise.com/news/article/Investigation-into-Beaumont-officer-involved-6872717.php" TargetMode="External"/><Relationship Id="rId1850" Type="http://schemas.openxmlformats.org/officeDocument/2006/relationships/hyperlink" Target="http://www.wtva.com/news/Traffic_Stop_Ends_in_Death_After_Suspect_Flees_From_Officer_and_K9.html" TargetMode="External"/><Relationship Id="rId2901" Type="http://schemas.openxmlformats.org/officeDocument/2006/relationships/hyperlink" Target="http://www.denverpost.com/2017/08/25/rtd-light-rail-shooting-suicide-by-cop/" TargetMode="External"/><Relationship Id="rId7065" Type="http://schemas.openxmlformats.org/officeDocument/2006/relationships/hyperlink" Target="https://www.commercialappeal.com/story/news/2019/12/27/frayser-officer-involved-shooting-antonio-smith-memphis/2755248001/" TargetMode="External"/><Relationship Id="rId1503" Type="http://schemas.openxmlformats.org/officeDocument/2006/relationships/hyperlink" Target="http://www.mysanantonio.com/news/local/article/Man-wanted-on-two-felony-warrants-shot-dead-by-6808656.php" TargetMode="External"/><Relationship Id="rId4659" Type="http://schemas.openxmlformats.org/officeDocument/2006/relationships/hyperlink" Target="https://www.fatalencounters.org/wp-content/uploads/2018/05/Rollie-J.-Davis-Sr.jpg" TargetMode="External"/><Relationship Id="rId3675" Type="http://schemas.openxmlformats.org/officeDocument/2006/relationships/hyperlink" Target="http://www.wjcl.com/article/gbi-investigating-deputy-involved-shooting-in-bulloch-county/8633102" TargetMode="External"/><Relationship Id="rId4726" Type="http://schemas.openxmlformats.org/officeDocument/2006/relationships/hyperlink" Target="https://chicago.suntimes.com/news/dea-agent-shoots-suspect-austin-drug-bust/" TargetMode="External"/><Relationship Id="rId6081" Type="http://schemas.openxmlformats.org/officeDocument/2006/relationships/hyperlink" Target="https://www.thedailytimes.com/news/man-dead-police-officers-wounded-in-shooting/article_8d71c9bc-2425-5792-b68b-910bc7ed7e76.html" TargetMode="External"/><Relationship Id="rId7132" Type="http://schemas.openxmlformats.org/officeDocument/2006/relationships/hyperlink" Target="http://investigations.myajc.com/overtheline/database/" TargetMode="External"/><Relationship Id="rId596" Type="http://schemas.openxmlformats.org/officeDocument/2006/relationships/hyperlink" Target="http://www.killedbypolice.net/victims/150959.jpg" TargetMode="External"/><Relationship Id="rId2277" Type="http://schemas.openxmlformats.org/officeDocument/2006/relationships/hyperlink" Target="http://www.fatalencounters.org/wp-content/uploads/2013/10/Keagan-Schweikle.jpg" TargetMode="External"/><Relationship Id="rId2691" Type="http://schemas.openxmlformats.org/officeDocument/2006/relationships/hyperlink" Target="http://www.theadvocate.com/acadiana/news/article_a5814ed6-507f-11e7-82cf-ff00eebb24df.html" TargetMode="External"/><Relationship Id="rId3328" Type="http://schemas.openxmlformats.org/officeDocument/2006/relationships/hyperlink" Target="http://komonews.com/news/local/police-shoot-kill-screaming-man-with-knife-in-wenatchee" TargetMode="External"/><Relationship Id="rId3742" Type="http://schemas.openxmlformats.org/officeDocument/2006/relationships/hyperlink" Target="http://www.recordnet.com/news/20171023/35-year-old-man-shot-killed-by-police-in-lodi" TargetMode="External"/><Relationship Id="rId6898" Type="http://schemas.openxmlformats.org/officeDocument/2006/relationships/hyperlink" Target="https://www.foxcarolina.com/investigations/coroner-identifies-man-shot-and-killed-in-pickens-county-sled/article_cf7e5a9c-f354-11e9-a4d3-eb23c4be6e13.html" TargetMode="External"/><Relationship Id="rId249" Type="http://schemas.openxmlformats.org/officeDocument/2006/relationships/hyperlink" Target="http://www.newson6.com/story/28881786/choctaw-county-law-enforcement-officers-shot-serving-warrant" TargetMode="External"/><Relationship Id="rId663" Type="http://schemas.openxmlformats.org/officeDocument/2006/relationships/hyperlink" Target="http://www.killedbypolice.net/victims/151002.jpg" TargetMode="External"/><Relationship Id="rId1293" Type="http://schemas.openxmlformats.org/officeDocument/2006/relationships/hyperlink" Target="http://www.cbs8.com/story/30869980/officer-involved-shooting-in-hillcrest-kills-man" TargetMode="External"/><Relationship Id="rId2344" Type="http://schemas.openxmlformats.org/officeDocument/2006/relationships/hyperlink" Target="http://www.peninsuladailynews.com/news/beaver-area-man-killed-in-police-standoff-at-trailer/" TargetMode="External"/><Relationship Id="rId316" Type="http://schemas.openxmlformats.org/officeDocument/2006/relationships/hyperlink" Target="http://edge.liveleak.com/80281E/ll_a_s/2014/Dec/29/LiveLeak-dot-com-ebe_1419888575-davidandrescott_1419888592.jpg.resized.jpg?d5e8cc8eccfb6039332f41f6249e92b06c91b4db65f5e99818bdd5924c40ded7397e&amp;ec_rate=230" TargetMode="External"/><Relationship Id="rId6965" Type="http://schemas.openxmlformats.org/officeDocument/2006/relationships/hyperlink" Target="https://fatalencounters.org/wp-content/uploads/2019/11/Michael-Austin.jpg" TargetMode="External"/><Relationship Id="rId730" Type="http://schemas.openxmlformats.org/officeDocument/2006/relationships/hyperlink" Target="http://www.ksdk.com/story/news/nation/2015/07/20/man-hogtied-police-death/30433375/" TargetMode="External"/><Relationship Id="rId1013" Type="http://schemas.openxmlformats.org/officeDocument/2006/relationships/hyperlink" Target="http://www.nbcphiladelphia.com/news/breaking/Rising-Sun-Pizza-Robbery-Shooting-306241121.html" TargetMode="External"/><Relationship Id="rId1360" Type="http://schemas.openxmlformats.org/officeDocument/2006/relationships/hyperlink" Target="http://www.insidebayarea.com/breaking-news/ci_29460692/newark-officer-fatally-shoots-apparently-suicidal-man" TargetMode="External"/><Relationship Id="rId2411" Type="http://schemas.openxmlformats.org/officeDocument/2006/relationships/hyperlink" Target="http://www.fatalencounters.org/wp-content/uploads/2013/10/Luke-Smith.jpg" TargetMode="External"/><Relationship Id="rId4169" Type="http://schemas.openxmlformats.org/officeDocument/2006/relationships/hyperlink" Target="http://www.stltoday.com/news/local/crime-and-courts/federal-marshals-fatally-shoot-knife-wielding-man-hiding-in-closet/article_19d6a211-7f2a-5c46-8e75-e6aca1265c65.html" TargetMode="External"/><Relationship Id="rId5567" Type="http://schemas.openxmlformats.org/officeDocument/2006/relationships/hyperlink" Target="https://www.fatalencounters.org/wp-content/uploads/2018/12/David-Alexander-Frederick.png" TargetMode="External"/><Relationship Id="rId5981" Type="http://schemas.openxmlformats.org/officeDocument/2006/relationships/hyperlink" Target="https://www.fatalencounters.org/wp-content/uploads/2019/03/nina-adams.jpg" TargetMode="External"/><Relationship Id="rId6618" Type="http://schemas.openxmlformats.org/officeDocument/2006/relationships/hyperlink" Target="https://www.wbir.com/article/news/man-dead-after-officer-involved-shooting-in-bradley-county/51-369cfb38-bb9d-44aa-860c-a3ea9738fd5f" TargetMode="External"/><Relationship Id="rId4583" Type="http://schemas.openxmlformats.org/officeDocument/2006/relationships/hyperlink" Target="https://www.timesrecordnews.com/story/news/crime/2018/04/26/high-speed-chase-oklahoma-north-texas/553819002/" TargetMode="External"/><Relationship Id="rId5634" Type="http://schemas.openxmlformats.org/officeDocument/2006/relationships/hyperlink" Target="https://www.clickorlando.com/news/man-shot-by-officers-after-fight-over-affair-dies-casselberry-police-say" TargetMode="External"/><Relationship Id="rId3185" Type="http://schemas.openxmlformats.org/officeDocument/2006/relationships/hyperlink" Target="http://www.heraldmailmedia.com/news/tri_state/berkeley-county-man-dies-in-police-involved-shooting/article_6788942e-4556-11e7-a076-ebb624abc665.html" TargetMode="External"/><Relationship Id="rId4236" Type="http://schemas.openxmlformats.org/officeDocument/2006/relationships/hyperlink" Target="http://nbc4i.com/2018/02/10/one-dead-after-police-involved-shooting-in-hilltop/" TargetMode="External"/><Relationship Id="rId4650" Type="http://schemas.openxmlformats.org/officeDocument/2006/relationships/hyperlink" Target="http://www.nola.com/northshore/index.ssf/2018/05/suspect_shot_to_death_by_polic.html" TargetMode="External"/><Relationship Id="rId5701" Type="http://schemas.openxmlformats.org/officeDocument/2006/relationships/hyperlink" Target="https://abc13.com/officer-shoots-suspect-carrying-hatchet-hatchet-at-walmart-police/5062658/" TargetMode="External"/><Relationship Id="rId3252" Type="http://schemas.openxmlformats.org/officeDocument/2006/relationships/hyperlink" Target="http://www.11alive.com/news/crime/officer-involved-shooting-on-georgia-tech-campus/475654274" TargetMode="External"/><Relationship Id="rId4303" Type="http://schemas.openxmlformats.org/officeDocument/2006/relationships/hyperlink" Target="http://www.orlandosentinel.com/news/breaking-news/os-officer-involved-shooting-downtown-orlando20180228-story.html" TargetMode="External"/><Relationship Id="rId173" Type="http://schemas.openxmlformats.org/officeDocument/2006/relationships/hyperlink" Target="http://www.scrippsmedia.com/newschannel5/news/Investigation-Ongoing-At-Scene-Of-Alleged-Shooting-305572891.html" TargetMode="External"/><Relationship Id="rId6475" Type="http://schemas.openxmlformats.org/officeDocument/2006/relationships/hyperlink" Target="https://fatalencounters.org/wp-content/uploads/2019/07/grayson-schuessler.jpg" TargetMode="External"/><Relationship Id="rId240" Type="http://schemas.openxmlformats.org/officeDocument/2006/relationships/hyperlink" Target="http://www.miamiok.com/news/article_7116fd15-d23e-59c9-aa7e-043ec0f3871f.html" TargetMode="External"/><Relationship Id="rId5077" Type="http://schemas.openxmlformats.org/officeDocument/2006/relationships/hyperlink" Target="http://www.thecapistranodispatch.com/san-juan-capistrano-man-dies-after-authorities-use-taser-to-subdue-him/" TargetMode="External"/><Relationship Id="rId6128" Type="http://schemas.openxmlformats.org/officeDocument/2006/relationships/hyperlink" Target="http://www.fatalencounters.org/wp-content/uploads/2019/04/ChadMartin.png" TargetMode="External"/><Relationship Id="rId4093" Type="http://schemas.openxmlformats.org/officeDocument/2006/relationships/hyperlink" Target="http://www.fatalencounters.org/wp-content/uploads/2018/01/Justin-Coy-Adkins.png" TargetMode="External"/><Relationship Id="rId5144" Type="http://schemas.openxmlformats.org/officeDocument/2006/relationships/hyperlink" Target="http://www.providencejournal.com/news/20180907/local-man-28-killed-in-pawtucket-officer-involved-shooting" TargetMode="External"/><Relationship Id="rId5491" Type="http://schemas.openxmlformats.org/officeDocument/2006/relationships/hyperlink" Target="https://www.deseretnews.com/article/900045255/18-year-old-killed-by-ogden-officer-was-armed-with-bb-gun-police-say.html" TargetMode="External"/><Relationship Id="rId6542" Type="http://schemas.openxmlformats.org/officeDocument/2006/relationships/hyperlink" Target="https://fatalencounters.org/wp-content/uploads/2019/08/Josef-Delon-Richardson.jpg" TargetMode="External"/><Relationship Id="rId1687" Type="http://schemas.openxmlformats.org/officeDocument/2006/relationships/hyperlink" Target="http://www.mynews13.com/content/news/cfnews13/news/article.html/content/news/articles/cfn/2016/5/9/man_dead_in_deputy_i.html" TargetMode="External"/><Relationship Id="rId2738" Type="http://schemas.openxmlformats.org/officeDocument/2006/relationships/hyperlink" Target="http://www.fatalencounters.org/wp-content/uploads/2013/10/Caleb.jpg" TargetMode="External"/><Relationship Id="rId1754" Type="http://schemas.openxmlformats.org/officeDocument/2006/relationships/hyperlink" Target="http://kfor.com/2016/05/28/officials-identify-man-killed-in-officer-involved-shooting-in-n-w-oklahoma-city/" TargetMode="External"/><Relationship Id="rId2805" Type="http://schemas.openxmlformats.org/officeDocument/2006/relationships/hyperlink" Target="http://www.fatalencounters.org/wp-content/uploads/2013/10/Steven-Valenzuela.png" TargetMode="External"/><Relationship Id="rId4160" Type="http://schemas.openxmlformats.org/officeDocument/2006/relationships/hyperlink" Target="http://mynews4.com/news/local/reno-police-identify-man-killed-in-officer-involved-shooting-in-sparks-on-jan-24" TargetMode="External"/><Relationship Id="rId5211" Type="http://schemas.openxmlformats.org/officeDocument/2006/relationships/hyperlink" Target="https://abc7.com/deputy-shot-suspect-killed-in-city-terrace-shooting/4332809/" TargetMode="External"/><Relationship Id="rId46" Type="http://schemas.openxmlformats.org/officeDocument/2006/relationships/hyperlink" Target="http://trib.com/news/local/crime-and-courts/authorities-identify-man-killed-in-law-enforcement-shooting/article_6d603afc-e1e5-5d5c-a156-708cc4078263.html" TargetMode="External"/><Relationship Id="rId1407" Type="http://schemas.openxmlformats.org/officeDocument/2006/relationships/hyperlink" Target="http://abc7.com/news/armed-suspect-dies-in-officer-involved-shooting-in-anaheim/1210131/" TargetMode="External"/><Relationship Id="rId1821" Type="http://schemas.openxmlformats.org/officeDocument/2006/relationships/hyperlink" Target="http://www.heraldextra.com/news/local/crime-and-courts/police-identify-man-killed-in-eagle-mountain-officer-involved-shooting/article_1e7adbd2-c5da-5492-85a6-8bb21aa017d2.html" TargetMode="External"/><Relationship Id="rId4977" Type="http://schemas.openxmlformats.org/officeDocument/2006/relationships/hyperlink" Target="http://www.knoe.com/content/news/Man-dead-after-officer-involved-shooting-in-Rapides-Parish-489438451.html" TargetMode="External"/><Relationship Id="rId3579" Type="http://schemas.openxmlformats.org/officeDocument/2006/relationships/hyperlink" Target="http://www.khou.com/news/local/woman-dies-following-officer-involved-shooting-in-galveston/421321381" TargetMode="External"/><Relationship Id="rId7036" Type="http://schemas.openxmlformats.org/officeDocument/2006/relationships/hyperlink" Target="https://patch.com/new-york/brentwood-central-islip/man-killed-police-involved-shooting-brentwood-scpd" TargetMode="External"/><Relationship Id="rId2595" Type="http://schemas.openxmlformats.org/officeDocument/2006/relationships/hyperlink" Target="http://www.nbcphiladelphia.com/news/local/Suspect-Dies-After-Attacking-SEPTA-Officer-in-Kensington-Police-337040801.html" TargetMode="External"/><Relationship Id="rId3993" Type="http://schemas.openxmlformats.org/officeDocument/2006/relationships/hyperlink" Target="http://www.mysanantonio.com/news/local/crime/article/Schertz-junior-high-school-on-lockout-during-12448095.php" TargetMode="External"/><Relationship Id="rId6052" Type="http://schemas.openxmlformats.org/officeDocument/2006/relationships/hyperlink" Target="http://www.fox10phoenix.com/news/arizona-news/marana-police-officer-fatally-shoots-man-after-confrontation-1" TargetMode="External"/><Relationship Id="rId7103" Type="http://schemas.openxmlformats.org/officeDocument/2006/relationships/hyperlink" Target="http://www.fatalencounters.org/wp-content/uploads/2013/10/Mylynda-Martinez.jpg" TargetMode="External"/><Relationship Id="rId567" Type="http://schemas.openxmlformats.org/officeDocument/2006/relationships/hyperlink" Target="http://articles.sun-sentinel.com/2013-03-12/news/fl-boca-officer-involved-named-20130311_1_boca-raton-police-police-officers-facebook-profile" TargetMode="External"/><Relationship Id="rId1197" Type="http://schemas.openxmlformats.org/officeDocument/2006/relationships/hyperlink" Target="http://www.wowktv.com/story/30144266/wv-turnpike-shut-down-following-shots-fired-near-north-beckley" TargetMode="External"/><Relationship Id="rId2248" Type="http://schemas.openxmlformats.org/officeDocument/2006/relationships/hyperlink" Target="http://www.news9.com/story/33348470/osbi-one-dead-after-shooting-in-hughes-county" TargetMode="External"/><Relationship Id="rId3646" Type="http://schemas.openxmlformats.org/officeDocument/2006/relationships/hyperlink" Target="http://www.fatalencounters.org/wp-content/uploads/2013/10/Alex-Christopher-Davis.jpg" TargetMode="External"/><Relationship Id="rId981" Type="http://schemas.openxmlformats.org/officeDocument/2006/relationships/hyperlink" Target="http://www.miamiherald.com/news/local/community/miami-dade/little-havana/article26604022.html" TargetMode="External"/><Relationship Id="rId2662" Type="http://schemas.openxmlformats.org/officeDocument/2006/relationships/hyperlink" Target="http://www.wmdt.com/news/maryland/trooper-involved-in-fatal-shooting-in-wicomico-county/583039714" TargetMode="External"/><Relationship Id="rId3713" Type="http://schemas.openxmlformats.org/officeDocument/2006/relationships/hyperlink" Target="http://www.fatalencounters.org/wp-content/uploads/2013/10/EzekielJuanDuran.jpg" TargetMode="External"/><Relationship Id="rId6869" Type="http://schemas.openxmlformats.org/officeDocument/2006/relationships/hyperlink" Target="https://www.azcentral.com/story/news/local/glendale-breaking/2019/10/13/glendale-police-fatally-shoots-1-chaos-erupts-party/3968746002/" TargetMode="External"/><Relationship Id="rId634" Type="http://schemas.openxmlformats.org/officeDocument/2006/relationships/hyperlink" Target="http://www.killedbypolice.net/victims/151064.jpg" TargetMode="External"/><Relationship Id="rId1264" Type="http://schemas.openxmlformats.org/officeDocument/2006/relationships/hyperlink" Target="http://ww2.hdnux.com/photos/43/64/26/9389457/13/920x920.jpg" TargetMode="External"/><Relationship Id="rId2315" Type="http://schemas.openxmlformats.org/officeDocument/2006/relationships/hyperlink" Target="http://www.ksat.com/news/man-killed-in-officer-involved-shooting-on-ne-side" TargetMode="External"/><Relationship Id="rId5885" Type="http://schemas.openxmlformats.org/officeDocument/2006/relationships/hyperlink" Target="https://www.khon2.com/top-stories/officer-involved-shooting-in-mililani/1797922314" TargetMode="External"/><Relationship Id="rId6936" Type="http://schemas.openxmlformats.org/officeDocument/2006/relationships/hyperlink" Target="https://www.wsbtv.com/news/local/athens-police-shoot-kill-man-who-they-say-pulled-gun-on-officers/1002056982" TargetMode="External"/><Relationship Id="rId701" Type="http://schemas.openxmlformats.org/officeDocument/2006/relationships/hyperlink" Target="http://www.abqjournal.com/673935/abqnewsseeker/bcso-investigates-south-valley-shooting.html" TargetMode="External"/><Relationship Id="rId1331" Type="http://schemas.openxmlformats.org/officeDocument/2006/relationships/hyperlink" Target="http://www.mailtribune.com/article/20160118/NEWS/160119595/101033/NEWS?rssfeed=true" TargetMode="External"/><Relationship Id="rId4487" Type="http://schemas.openxmlformats.org/officeDocument/2006/relationships/hyperlink" Target="http://www.fatalencounters.org/wp-content/uploads/2018/04/William-A.-Frazier-II.jpg" TargetMode="External"/><Relationship Id="rId5538" Type="http://schemas.openxmlformats.org/officeDocument/2006/relationships/hyperlink" Target="https://www.news4jax.com/news/local/jacksonville/shooting-involving-jacksonville-police-officer-in-mandarin-sources-say" TargetMode="External"/><Relationship Id="rId5952" Type="http://schemas.openxmlformats.org/officeDocument/2006/relationships/hyperlink" Target="https://www.wsbtv.com/news/local/man-shot-killed-by-officers-after-charging-toward-them-with-gun-police-say/928856154" TargetMode="External"/><Relationship Id="rId3089" Type="http://schemas.openxmlformats.org/officeDocument/2006/relationships/hyperlink" Target="https://www.adn.com/alaska-news/crime-courts/2017/06/19/armed-man-who-confronted-fairbanks-officers-shot-dead-police-say/" TargetMode="External"/><Relationship Id="rId4554" Type="http://schemas.openxmlformats.org/officeDocument/2006/relationships/hyperlink" Target="http://www.fatalencounters.org/wp-content/uploads/2018/04/Dytadious-Mobley.jpg" TargetMode="External"/><Relationship Id="rId5605" Type="http://schemas.openxmlformats.org/officeDocument/2006/relationships/hyperlink" Target="https://www.vcstar.com/story/news/2018/12/29/orcutt-hostage-situation-results-four-dead-including-suspect-santa-barbara-officer-involved-shooting/2441765002/" TargetMode="External"/><Relationship Id="rId3156" Type="http://schemas.openxmlformats.org/officeDocument/2006/relationships/hyperlink" Target="http://www.nbclosangeles.com/news/local/Pacoima-officer-shooting-434651253.html" TargetMode="External"/><Relationship Id="rId4207" Type="http://schemas.openxmlformats.org/officeDocument/2006/relationships/hyperlink" Target="http://www.fatalencounters.org/wp-content/uploads/2018/02/Charlie-Shoupe.png" TargetMode="External"/><Relationship Id="rId491" Type="http://schemas.openxmlformats.org/officeDocument/2006/relationships/hyperlink" Target="http://www.indystar.com/story/news/crime/2014/03/05/4-indianapolis-swat-officers-shot-suspect-is-killed/6097619/" TargetMode="External"/><Relationship Id="rId2172" Type="http://schemas.openxmlformats.org/officeDocument/2006/relationships/hyperlink" Target="http://www.kansas.com/news/local/crime/article99215797.html" TargetMode="External"/><Relationship Id="rId3223" Type="http://schemas.openxmlformats.org/officeDocument/2006/relationships/hyperlink" Target="http://losangeles.cbslocal.com/2017/04/10/ontario-deadly-officer-involved-shooting/" TargetMode="External"/><Relationship Id="rId3570" Type="http://schemas.openxmlformats.org/officeDocument/2006/relationships/hyperlink" Target="http://www.wjhg.com/content/news/416191873.html" TargetMode="External"/><Relationship Id="rId4621" Type="http://schemas.openxmlformats.org/officeDocument/2006/relationships/hyperlink" Target="http://5newsonline.com/2018/05/09/names-of-deputies-injured-in-deadly-hackett-shooting-released/" TargetMode="External"/><Relationship Id="rId6379" Type="http://schemas.openxmlformats.org/officeDocument/2006/relationships/hyperlink" Target="https://www.jsonline.com/story/news/2019/06/15/officer-involved-shooting-mount-pleasant/1464387001/" TargetMode="External"/><Relationship Id="rId144" Type="http://schemas.openxmlformats.org/officeDocument/2006/relationships/hyperlink" Target="http://www.killedbypolice.net/victims/150496.jpg" TargetMode="External"/><Relationship Id="rId6793" Type="http://schemas.openxmlformats.org/officeDocument/2006/relationships/hyperlink" Target="https://www.ajc.com/news/crime--law/breaking-officer-involved-shooting-confirmed-near-gainesville-hospital-police-say/qVhRupk4XlV7hgDQzZylZP/" TargetMode="External"/><Relationship Id="rId2989" Type="http://schemas.openxmlformats.org/officeDocument/2006/relationships/hyperlink" Target="http://www.whittierdailynews.com/general-news/20170504/man-dies-after-being-restrained-by-police-in-whittier" TargetMode="External"/><Relationship Id="rId5395" Type="http://schemas.openxmlformats.org/officeDocument/2006/relationships/hyperlink" Target="https://wdef.com/2018/11/13/investigators-identify-man-shot-police-cesar-ramos/" TargetMode="External"/><Relationship Id="rId6446" Type="http://schemas.openxmlformats.org/officeDocument/2006/relationships/hyperlink" Target="https://fatalencounters.org/wp-content/uploads/2019/07/Isaiah-Robinson.jpg" TargetMode="External"/><Relationship Id="rId6860" Type="http://schemas.openxmlformats.org/officeDocument/2006/relationships/hyperlink" Target="https://arktimes.com/arkansas-blog/2019/10/12/officers-kill-suspect-in-pine-bluff-chase" TargetMode="External"/><Relationship Id="rId211" Type="http://schemas.openxmlformats.org/officeDocument/2006/relationships/hyperlink" Target="http://www.kirotv.com/news/news/tacoma-police-shoot-and-kill-armed-man-outside-his/nmDNM/" TargetMode="External"/><Relationship Id="rId5048" Type="http://schemas.openxmlformats.org/officeDocument/2006/relationships/hyperlink" Target="https://abc7.com/victim-of-east-la-deputy-involved-shooting-identified/3946045/" TargetMode="External"/><Relationship Id="rId5462" Type="http://schemas.openxmlformats.org/officeDocument/2006/relationships/hyperlink" Target="https://www.khon2.com/news/local-news/public-urged-to-stay-away-as-police-investigate-shooting-in-hawaiian-beaches/1623476995" TargetMode="External"/><Relationship Id="rId6513" Type="http://schemas.openxmlformats.org/officeDocument/2006/relationships/hyperlink" Target="https://www.kcra.com/article/stanislaus-county-in-custody-death-rudy-santillan-california/28791912" TargetMode="External"/><Relationship Id="rId1658" Type="http://schemas.openxmlformats.org/officeDocument/2006/relationships/hyperlink" Target="http://www.fatalencounters.org/wp-content/uploads/2013/10/Wooters.png" TargetMode="External"/><Relationship Id="rId2709" Type="http://schemas.openxmlformats.org/officeDocument/2006/relationships/hyperlink" Target="http://6abc.com/news/man-dead-in-domestic-incident-involving-off-duty-del-trooper/2021960/" TargetMode="External"/><Relationship Id="rId4064" Type="http://schemas.openxmlformats.org/officeDocument/2006/relationships/hyperlink" Target="http://abc6onyourside.com/news/local/whitehall-police-respond-to-reported-shooting" TargetMode="External"/><Relationship Id="rId5115" Type="http://schemas.openxmlformats.org/officeDocument/2006/relationships/hyperlink" Target="https://breaking911.com/just-in-woman-killed-2-others-injured-in-beverly-hills-fla-swat-operation/" TargetMode="External"/><Relationship Id="rId3080" Type="http://schemas.openxmlformats.org/officeDocument/2006/relationships/hyperlink" Target="http://www.kshb.com/news/local-news/police-shoot-kill-armed-suicidal-man" TargetMode="External"/><Relationship Id="rId4131" Type="http://schemas.openxmlformats.org/officeDocument/2006/relationships/hyperlink" Target="http://www.courierpress.com/story/news/2018/01/19/boonville-police-shoot-knife-wielding-suspect/1047276001/" TargetMode="External"/><Relationship Id="rId1725" Type="http://schemas.openxmlformats.org/officeDocument/2006/relationships/hyperlink" Target="http://www.kmov.com/story/32010068/suspect-wounded-in-officer-involved-shooting-in-crawford-county-mo" TargetMode="External"/><Relationship Id="rId17" Type="http://schemas.openxmlformats.org/officeDocument/2006/relationships/hyperlink" Target="http://www.kltv.com/story/29931923/man-shot-by-longview-officer-dies" TargetMode="External"/><Relationship Id="rId3897" Type="http://schemas.openxmlformats.org/officeDocument/2006/relationships/hyperlink" Target="http://www.fatalencounters.org/wp-content/uploads/2013/10/Bradley-Joseph-Szacaks.jpg" TargetMode="External"/><Relationship Id="rId4948" Type="http://schemas.openxmlformats.org/officeDocument/2006/relationships/hyperlink" Target="https://www.kgw.com/article/news/man-shot-dead-by-police-in-seaside-was-waving-two-pistols-da-says/283-577083959" TargetMode="External"/><Relationship Id="rId7007" Type="http://schemas.openxmlformats.org/officeDocument/2006/relationships/hyperlink" Target="https://fatalencounters.org/wp-content/uploads/2019/12/Chiasher-Fong-Vue.jpg" TargetMode="External"/><Relationship Id="rId2499" Type="http://schemas.openxmlformats.org/officeDocument/2006/relationships/hyperlink" Target="http://www.wect.com/story/34019895/officer-shot-suspect-killed-in-leland-shooting" TargetMode="External"/><Relationship Id="rId3964" Type="http://schemas.openxmlformats.org/officeDocument/2006/relationships/hyperlink" Target="http://www.fatalencounters.org/wp-content/uploads/2013/10/CliffordKeller.jpg" TargetMode="External"/><Relationship Id="rId6370" Type="http://schemas.openxmlformats.org/officeDocument/2006/relationships/hyperlink" Target="https://www.al.com/news/birmingham/2019/06/violent-weekend-countywide-leaves-5-dead-in-less-than-32-hours.html" TargetMode="External"/><Relationship Id="rId1" Type="http://schemas.openxmlformats.org/officeDocument/2006/relationships/hyperlink" Target="http://www.killedbypolice.net/victims/150917.jpg" TargetMode="External"/><Relationship Id="rId885" Type="http://schemas.openxmlformats.org/officeDocument/2006/relationships/hyperlink" Target="http://www.wkyt.com/home/headlines/KSP-investigating-deadly-officer-involved-shooting-in-Rockcastle-County-328144451.html" TargetMode="External"/><Relationship Id="rId2566" Type="http://schemas.openxmlformats.org/officeDocument/2006/relationships/hyperlink" Target="http://web.tampabay.com/news/publicsafety/crime/man-wounded-in-deputy-involved-shooting-in-palm-harbor/2307242" TargetMode="External"/><Relationship Id="rId2980" Type="http://schemas.openxmlformats.org/officeDocument/2006/relationships/hyperlink" Target="http://www.fatalencounters.org/wp-content/uploads/2013/10/EdwinFuentes.png" TargetMode="External"/><Relationship Id="rId3617" Type="http://schemas.openxmlformats.org/officeDocument/2006/relationships/hyperlink" Target="http://www.star-telegram.com/news/local/community/arlington/article133582044.html" TargetMode="External"/><Relationship Id="rId6023" Type="http://schemas.openxmlformats.org/officeDocument/2006/relationships/hyperlink" Target="https://www.wbal.com/article/379673/3/officer-involved-shooting-being-investigated-in-northwest-baltimore" TargetMode="External"/><Relationship Id="rId538" Type="http://schemas.openxmlformats.org/officeDocument/2006/relationships/hyperlink" Target="http://articles.orlandosentinel.com/2013-09-18/news/os-winter-garden-officer-involved-shooting-20130918_1_winter-garden-man-unarmed-man-roommate" TargetMode="External"/><Relationship Id="rId952" Type="http://schemas.openxmlformats.org/officeDocument/2006/relationships/hyperlink" Target="http://www.killedbypolice.net/victims/150924.jpg" TargetMode="External"/><Relationship Id="rId1168" Type="http://schemas.openxmlformats.org/officeDocument/2006/relationships/hyperlink" Target="http://www.silive.com/news/index.ssf/2015/08/im_coming_out_now_mama_suspect.html" TargetMode="External"/><Relationship Id="rId1582" Type="http://schemas.openxmlformats.org/officeDocument/2006/relationships/hyperlink" Target="http://kxan.com/2016/04/01/lockhart-police-investigating-shooting-behind-a-dairy-queen/" TargetMode="External"/><Relationship Id="rId2219" Type="http://schemas.openxmlformats.org/officeDocument/2006/relationships/hyperlink" Target="https://www.bostonglobe.com/metro/2016/10/03/deadly-force-investigation-underway-lynn/jn82Z7uSn1UW38WWTZoJdI/story.html" TargetMode="External"/><Relationship Id="rId2633" Type="http://schemas.openxmlformats.org/officeDocument/2006/relationships/hyperlink" Target="http://www.nbcrightnow.com/story/36128512/one-dead-after-officer-involved-shooting-in-kennewick" TargetMode="External"/><Relationship Id="rId5789" Type="http://schemas.openxmlformats.org/officeDocument/2006/relationships/hyperlink" Target="https://www.fatalencounters.org/wp-content/uploads/2019/02/Philhower_Nicholas.jpg" TargetMode="External"/><Relationship Id="rId605" Type="http://schemas.openxmlformats.org/officeDocument/2006/relationships/hyperlink" Target="http://www.killedbypolice.net/victims/150950.jpg" TargetMode="External"/><Relationship Id="rId1235" Type="http://schemas.openxmlformats.org/officeDocument/2006/relationships/hyperlink" Target="http://www.fatalencounters.org/wp-content/uploads/2013/10/ramone.lonergan.facebook.3.jpg" TargetMode="External"/><Relationship Id="rId1302" Type="http://schemas.openxmlformats.org/officeDocument/2006/relationships/hyperlink" Target="http://chicago.cbslocal.com/2016/01/06/suspect-take-pictures-of-schools-fatally-shot-by-police-in-zion/" TargetMode="External"/><Relationship Id="rId2700" Type="http://schemas.openxmlformats.org/officeDocument/2006/relationships/hyperlink" Target="http://www.wtvy.com/content/news/BREAKING-Officer-involved-shooting-in-Henry-County-426035854.html" TargetMode="External"/><Relationship Id="rId4458" Type="http://schemas.openxmlformats.org/officeDocument/2006/relationships/hyperlink" Target="http://www.nola.com/crime/index.ssf/2018/04/st_tammany_parish_deputy_shot.html" TargetMode="External"/><Relationship Id="rId5856" Type="http://schemas.openxmlformats.org/officeDocument/2006/relationships/hyperlink" Target="https://edition.cnn.com/2019/02/13/us/fbi-ten-most-wanted-greg-alyn-carlson-killed/index.html" TargetMode="External"/><Relationship Id="rId6907" Type="http://schemas.openxmlformats.org/officeDocument/2006/relationships/hyperlink" Target="https://www.fox5vegas.com/news/henderson-police-officer-shoots-kills-mother-suspected-of-stabbing-boy/article_364ea812-f44f-11e9-85d6-7bd58497c53c.html" TargetMode="External"/><Relationship Id="rId4872" Type="http://schemas.openxmlformats.org/officeDocument/2006/relationships/hyperlink" Target="http://www.orlandosentinel.com/g00/news/lake/os-lake-officer-shooting-20180705-story.html?i10c.encReferrer=aHR0cDovL3d3dy5ndW52aW9sZW5jZWFyY2hpdmUub3JnL2luY2lkZW50LzExNTcxNTQ%3D&amp;i10c.ua=1&amp;i10c.dv=14" TargetMode="External"/><Relationship Id="rId5509" Type="http://schemas.openxmlformats.org/officeDocument/2006/relationships/hyperlink" Target="https://www.themonitor.com/2018/12/09/developments-officer-involved-shooting-san-benito/" TargetMode="External"/><Relationship Id="rId5923" Type="http://schemas.openxmlformats.org/officeDocument/2006/relationships/hyperlink" Target="https://www.abc12.com/content/news/Police-Sebewaing-man-shot-at-Michigan-State-Police-who-returned-fire-and-killed-him-506682601.html" TargetMode="External"/><Relationship Id="rId395" Type="http://schemas.openxmlformats.org/officeDocument/2006/relationships/hyperlink" Target="http://www.kolotv.com/home/headlines/Officer-Involved-Shooting-Shuts-Down-Sutro-and-So-273796761.html" TargetMode="External"/><Relationship Id="rId2076" Type="http://schemas.openxmlformats.org/officeDocument/2006/relationships/hyperlink" Target="http://nbc4i.com/2016/08/09/man-shot-and-killed-while-deputies-check-on-suicidal-veteran/" TargetMode="External"/><Relationship Id="rId3474" Type="http://schemas.openxmlformats.org/officeDocument/2006/relationships/hyperlink" Target="http://wkrg.com/2017/05/12/breaking-officer-involved-shooting-in-baldwin-county/" TargetMode="External"/><Relationship Id="rId4525" Type="http://schemas.openxmlformats.org/officeDocument/2006/relationships/hyperlink" Target="https://www.twincities.com/2018/04/12/sheriffs-deputy-fatally-shoots-armed-man-in-lake-elmo-after-responding-to-suicide-call/" TargetMode="External"/><Relationship Id="rId2490" Type="http://schemas.openxmlformats.org/officeDocument/2006/relationships/hyperlink" Target="http://www.fayobserver.com/news/crime_courts/police-man-stabs-woman-to-death-then-shot-killed-by/article_f2e547cb-bfe0-54e5-8ded-3f917a6d369b.html" TargetMode="External"/><Relationship Id="rId3127" Type="http://schemas.openxmlformats.org/officeDocument/2006/relationships/hyperlink" Target="http://www.wsfa.com/story/36165469/dead-suspect-idd-in-south-al-officer-involved-shooting" TargetMode="External"/><Relationship Id="rId3541" Type="http://schemas.openxmlformats.org/officeDocument/2006/relationships/hyperlink" Target="http://www.jconline.com/story/news/crime/2017/03/28/suspect-down-early-morning-shooting/99721350/" TargetMode="External"/><Relationship Id="rId6697" Type="http://schemas.openxmlformats.org/officeDocument/2006/relationships/hyperlink" Target="https://www.delawareonline.com/story/news/crime/2019/08/31/man-shot-and-killed-wilmington-police-identified-fiancee-ricardo-hylton/2178575001/" TargetMode="External"/><Relationship Id="rId462" Type="http://schemas.openxmlformats.org/officeDocument/2006/relationships/hyperlink" Target="http://www.nydailynews.com/news/national/fired-fatally-shot-93-year-old-woman-rips-knee-jerk-reaction-article-1.1789207" TargetMode="External"/><Relationship Id="rId1092" Type="http://schemas.openxmlformats.org/officeDocument/2006/relationships/hyperlink" Target="http://www.killedbypolice.net/victims/150943.jpg" TargetMode="External"/><Relationship Id="rId2143" Type="http://schemas.openxmlformats.org/officeDocument/2006/relationships/hyperlink" Target="http://www.coloradoan.com/story/news/2016/08/26/suspect-police-shooting-had-troubled-past/89409334/" TargetMode="External"/><Relationship Id="rId5299" Type="http://schemas.openxmlformats.org/officeDocument/2006/relationships/hyperlink" Target="https://www.9news.com/article/news/crime/suspect-shot-killed-by-arvada-police-during-attempted-arrest-idd/73-605854446?fbclid=IwAR07h2_PNnyeUFemZMH9wis_0qlQoKVHLZxLs9OyvbnrA41kqONrkrUrYSQ" TargetMode="External"/><Relationship Id="rId6764" Type="http://schemas.openxmlformats.org/officeDocument/2006/relationships/hyperlink" Target="https://www.11alive.com/article/news/crime/jonesboro-officer-involved-shooting/85-b89bd295-f656-41c7-9faa-0c1d7d47e15e" TargetMode="External"/><Relationship Id="rId115" Type="http://schemas.openxmlformats.org/officeDocument/2006/relationships/hyperlink" Target="http://www.greeleytribune.com/news/16932384-113/weld-district-attorney-releases-names-of-man-woman" TargetMode="External"/><Relationship Id="rId2210" Type="http://schemas.openxmlformats.org/officeDocument/2006/relationships/hyperlink" Target="http://wjla.com/news/local/one-dead-after-police-involved-shooting-in-dc" TargetMode="External"/><Relationship Id="rId5366" Type="http://schemas.openxmlformats.org/officeDocument/2006/relationships/hyperlink" Target="https://www.fatalencounters.org/wp-content/uploads/2018/11/Theoddeus-Gray.jpg" TargetMode="External"/><Relationship Id="rId6417" Type="http://schemas.openxmlformats.org/officeDocument/2006/relationships/hyperlink" Target="https://www.mypanhandle.com/news/crime/shooting/one-dead-in-officer-involved-shooting-in-springfield/" TargetMode="External"/><Relationship Id="rId4382" Type="http://schemas.openxmlformats.org/officeDocument/2006/relationships/hyperlink" Target="http://www.fatalencounters.org/wp-content/uploads/2018/03/Bobby-Lovin.jpg" TargetMode="External"/><Relationship Id="rId5019" Type="http://schemas.openxmlformats.org/officeDocument/2006/relationships/hyperlink" Target="https://www.wsbtv.com/news/local/atlanta/gbi-investigating-officer-involved-shooting-at-rail-yard/807427645" TargetMode="External"/><Relationship Id="rId5433" Type="http://schemas.openxmlformats.org/officeDocument/2006/relationships/hyperlink" Target="http://www.waff.com/2018/11/21/officer-shot-suspect-another-person-dead-talladega-walmart/" TargetMode="External"/><Relationship Id="rId5780" Type="http://schemas.openxmlformats.org/officeDocument/2006/relationships/hyperlink" Target="https://krcrtv.com/news/tehama-county/one-dead-after-officer-involved-shooting-in-tehama-county" TargetMode="External"/><Relationship Id="rId6831" Type="http://schemas.openxmlformats.org/officeDocument/2006/relationships/hyperlink" Target="https://www.baxterbulletin.com/story/news/local/2019/10/01/cotter-woman-shot-dead-missouri-police-office/3829843002/" TargetMode="External"/><Relationship Id="rId1976" Type="http://schemas.openxmlformats.org/officeDocument/2006/relationships/hyperlink" Target="http://www.fatalencounters.org/wp-content/uploads/2013/10/Fennell.jpg" TargetMode="External"/><Relationship Id="rId4035" Type="http://schemas.openxmlformats.org/officeDocument/2006/relationships/hyperlink" Target="https://www.dallasnews.com/news/crime/2017/12/27/woman-killed-farmers-branch-officer-wounded-traffic-stop-shooting" TargetMode="External"/><Relationship Id="rId1629" Type="http://schemas.openxmlformats.org/officeDocument/2006/relationships/hyperlink" Target="http://www.baynews9.com/content/news/baynews9/news/article.html/content/news/articles/bn9/2016/3/17/police_officers_were.html" TargetMode="External"/><Relationship Id="rId5500" Type="http://schemas.openxmlformats.org/officeDocument/2006/relationships/hyperlink" Target="https://www.redding.com/story/news/local/2018/12/06/shots-fired-connection-vehicle-pursuit/2224865002/" TargetMode="External"/><Relationship Id="rId3051" Type="http://schemas.openxmlformats.org/officeDocument/2006/relationships/hyperlink" Target="http://www.cbs7.com/content/news/412052173.html" TargetMode="External"/><Relationship Id="rId4102" Type="http://schemas.openxmlformats.org/officeDocument/2006/relationships/hyperlink" Target="http://www.fatalencounters.org/wp-content/uploads/2018/01/TerryAmons.jpg" TargetMode="External"/><Relationship Id="rId3868" Type="http://schemas.openxmlformats.org/officeDocument/2006/relationships/hyperlink" Target="http://www.fatalencounters.org/wp-content/uploads/2013/10/JacobMcCarty.jpg" TargetMode="External"/><Relationship Id="rId4919" Type="http://schemas.openxmlformats.org/officeDocument/2006/relationships/hyperlink" Target="http://www.koat.com/article/man-shot-and-killed-by-police-in-swat-standoff/22318694" TargetMode="External"/><Relationship Id="rId6274" Type="http://schemas.openxmlformats.org/officeDocument/2006/relationships/hyperlink" Target="https://wsvn.com/news/local/man-dead-after-multi-agency-involved-shooting-outside-mosque-near-fort-lauderdale/" TargetMode="External"/><Relationship Id="rId789" Type="http://schemas.openxmlformats.org/officeDocument/2006/relationships/hyperlink" Target="http://www.oaoa.com/news/crime_justice/article_0d1cc546-4094-11e5-b2c0-67fa1d7ef932.html" TargetMode="External"/><Relationship Id="rId2884" Type="http://schemas.openxmlformats.org/officeDocument/2006/relationships/hyperlink" Target="http://www.fatalencounters.org/wp-content/uploads/2013/10/Rubin-Urbina-1505652151.png" TargetMode="External"/><Relationship Id="rId5290" Type="http://schemas.openxmlformats.org/officeDocument/2006/relationships/hyperlink" Target="https://komonews.com/news/local/fbi-investigating-deadly-shooting-by-puyallup-tribal-police-near-casino" TargetMode="External"/><Relationship Id="rId6341" Type="http://schemas.openxmlformats.org/officeDocument/2006/relationships/hyperlink" Target="https://www.wymt.com/content/news/Officials-Officer-involved-shooting-in-Perry-County-511107752.html" TargetMode="External"/><Relationship Id="rId856" Type="http://schemas.openxmlformats.org/officeDocument/2006/relationships/hyperlink" Target="http://www.local10.com/news/man-shot-and-killed-by-miami-police-after-domestic-violence-incident/35139464" TargetMode="External"/><Relationship Id="rId1486" Type="http://schemas.openxmlformats.org/officeDocument/2006/relationships/hyperlink" Target="http://www.itemlive.com/news/police-investigating-a-shooting-on-western-ave/?utm_source=rss&amp;utm_medium=rss" TargetMode="External"/><Relationship Id="rId2537" Type="http://schemas.openxmlformats.org/officeDocument/2006/relationships/hyperlink" Target="http://www.wcnc.com/news/investigations/sbi-investigating-officer-involved-shooting-in-caldwell-county/372984415" TargetMode="External"/><Relationship Id="rId3935" Type="http://schemas.openxmlformats.org/officeDocument/2006/relationships/hyperlink" Target="http://www.fatalencounters.org/wp-content/uploads/2013/10/ScottAddisonphoto.jpg" TargetMode="External"/><Relationship Id="rId509" Type="http://schemas.openxmlformats.org/officeDocument/2006/relationships/hyperlink" Target="http://www.wdef.com/news/story/Sequatchie-Community-Mourns-Loss-Of-Josh-Layne/r6DlJk-F4kOv8aqGvHyA1g.cspx" TargetMode="External"/><Relationship Id="rId1139" Type="http://schemas.openxmlformats.org/officeDocument/2006/relationships/hyperlink" Target="https://www.google.com/url?sa=i&amp;rct=j&amp;q=&amp;esrc=s&amp;source=images&amp;cd=&amp;cad=rja&amp;uact=8&amp;ved=0CAcQjRxqFQoTCN_gmYLp6McCFYU1PgodCbUM_A&amp;url=http%3A%2F%2Fwww.rantoulpress.com%2Fnews%2Fcourts-police-and-fire%2F2015-08-05%2Fman-shot-standoff-identified-hardees-robber.html&amp;psig=AFQjCNGKhHTKpWzmGsING5OB-JpqFLBMrw&amp;ust=1441849199659272" TargetMode="External"/><Relationship Id="rId2951" Type="http://schemas.openxmlformats.org/officeDocument/2006/relationships/hyperlink" Target="https://lasvegassun.com/news/2017/jun/20/metro-police-shots-kills-suspect-on-domestic-viole/" TargetMode="External"/><Relationship Id="rId5010" Type="http://schemas.openxmlformats.org/officeDocument/2006/relationships/hyperlink" Target="http://www.fox5vegas.com/story/38812180/suspect-officers-identified-in-downtown-las-vegas-standoff" TargetMode="External"/><Relationship Id="rId923" Type="http://schemas.openxmlformats.org/officeDocument/2006/relationships/hyperlink" Target="http://www.thecalifornian.com/story/news/my-safety/2015/10/14/officer-involved-shooting-breaks-out-seaside/73954434/" TargetMode="External"/><Relationship Id="rId1553" Type="http://schemas.openxmlformats.org/officeDocument/2006/relationships/hyperlink" Target="http://wkrn.com/2016/04/14/suspect-shot-by-deputy-during-pursuit-in-white-county/" TargetMode="External"/><Relationship Id="rId2604" Type="http://schemas.openxmlformats.org/officeDocument/2006/relationships/hyperlink" Target="http://www.newschannel10.com/story/34418064/officer-involved-shooting-in-panhandle-1-suspect-dead" TargetMode="External"/><Relationship Id="rId1206" Type="http://schemas.openxmlformats.org/officeDocument/2006/relationships/hyperlink" Target="http://www.greenvilleonline.com/story/news/2015/10/11/one-dead-taylors-police-shooting/73772180/" TargetMode="External"/><Relationship Id="rId1620" Type="http://schemas.openxmlformats.org/officeDocument/2006/relationships/hyperlink" Target="http://www.stamfordadvocate.com/policereports/article/Officers-in-fatal-shooting-in-Stamford-identified-6998011.php" TargetMode="External"/><Relationship Id="rId4776" Type="http://schemas.openxmlformats.org/officeDocument/2006/relationships/hyperlink" Target="https://www.fatalencounters.org/wp-content/uploads/2018/06/Robert-White.jpg" TargetMode="External"/><Relationship Id="rId5827" Type="http://schemas.openxmlformats.org/officeDocument/2006/relationships/hyperlink" Target="https://ktxs.com/news/texas/texas-rangers-investigating-deadly-overnight-officer-involved-shooting" TargetMode="External"/><Relationship Id="rId7182" Type="http://schemas.openxmlformats.org/officeDocument/2006/relationships/hyperlink" Target="http://www.dailybulletin.com/general-news/20130408/police-shoot-man-shortly-after-he-allegedly-kills-woman-in-fontana" TargetMode="External"/><Relationship Id="rId3378" Type="http://schemas.openxmlformats.org/officeDocument/2006/relationships/hyperlink" Target="https://bangordailynews.com/2017/07/05/news/mid-maine/three-killed-one-injured-in-madison-shootings/" TargetMode="External"/><Relationship Id="rId3792" Type="http://schemas.openxmlformats.org/officeDocument/2006/relationships/hyperlink" Target="http://abc3340.com/news/local/police-ohatchee-law-enforcement-agency-officer-involved-in-shooting" TargetMode="External"/><Relationship Id="rId4429" Type="http://schemas.openxmlformats.org/officeDocument/2006/relationships/hyperlink" Target="http://www.al.com/news/index.ssf/2018/03/alabama_state_trooper_involved.html" TargetMode="External"/><Relationship Id="rId4843" Type="http://schemas.openxmlformats.org/officeDocument/2006/relationships/hyperlink" Target="https://www.newschannel5.com/news/man-killed-in-officer-involved-shooting-after-armed-robbery" TargetMode="External"/><Relationship Id="rId299" Type="http://schemas.openxmlformats.org/officeDocument/2006/relationships/hyperlink" Target="http://woodtv.com/2015/02/07/suspect-in-officer-shooting-to-be-taken-off-life-support/" TargetMode="External"/><Relationship Id="rId2394" Type="http://schemas.openxmlformats.org/officeDocument/2006/relationships/hyperlink" Target="http://www.stjoechannel.com/news/local-news/man-dies-after-being-tased-by-strike-force-investigators" TargetMode="External"/><Relationship Id="rId3445" Type="http://schemas.openxmlformats.org/officeDocument/2006/relationships/hyperlink" Target="http://wkrn.com/2017/05/27/1-killed-in-east-tennessee-officer-involved-shooting/" TargetMode="External"/><Relationship Id="rId366" Type="http://schemas.openxmlformats.org/officeDocument/2006/relationships/hyperlink" Target="http://www.rgj.com/story/news/crime/2014/11/05/police-officer-involved-shooting-near-unr/18563353/" TargetMode="External"/><Relationship Id="rId780" Type="http://schemas.openxmlformats.org/officeDocument/2006/relationships/hyperlink" Target="http://www.charlotteobserver.com/news/local/crime/article30532512.html" TargetMode="External"/><Relationship Id="rId2047" Type="http://schemas.openxmlformats.org/officeDocument/2006/relationships/hyperlink" Target="http://www.fatalencounters.org/wp-content/uploads/2013/10/Richard-Lance-London.jpg" TargetMode="External"/><Relationship Id="rId2461" Type="http://schemas.openxmlformats.org/officeDocument/2006/relationships/hyperlink" Target="http://www.kansascity.com/news/local/crime/article117997383.html" TargetMode="External"/><Relationship Id="rId3512" Type="http://schemas.openxmlformats.org/officeDocument/2006/relationships/hyperlink" Target="http://www.kare11.com/news/local/fatal-officer-involved-shooting-in-vadnais-heights/431789288" TargetMode="External"/><Relationship Id="rId4910" Type="http://schemas.openxmlformats.org/officeDocument/2006/relationships/hyperlink" Target="https://www.krqe.com/news/albuquerque-metro/nmsp-officer-hospitalized-suspect-dead-following-officer-involved-shooting/1303659349" TargetMode="External"/><Relationship Id="rId6668" Type="http://schemas.openxmlformats.org/officeDocument/2006/relationships/hyperlink" Target="https://dayton247now.com/news/local/dayton-officer-involved-shooting-under-investigation" TargetMode="External"/><Relationship Id="rId433" Type="http://schemas.openxmlformats.org/officeDocument/2006/relationships/hyperlink" Target="http://blogs.seattletimes.com/today/2014/06/man-killed-by-port-orchard-police-identified/" TargetMode="External"/><Relationship Id="rId1063" Type="http://schemas.openxmlformats.org/officeDocument/2006/relationships/hyperlink" Target="http://www.killedbypolice.net/victims/150279.jpg" TargetMode="External"/><Relationship Id="rId2114" Type="http://schemas.openxmlformats.org/officeDocument/2006/relationships/hyperlink" Target="http://www.sandiegouniontribune.com/news/2016/aug/19/poway-deputy-shooting-victim-identified/" TargetMode="External"/><Relationship Id="rId4286" Type="http://schemas.openxmlformats.org/officeDocument/2006/relationships/hyperlink" Target="http://www.insidenova.com/headlines/police-shoot-suspect-at-prince-william-motel/article_997be920-18bb-11e8-8ac3-cf74617fb9c3.html" TargetMode="External"/><Relationship Id="rId5684" Type="http://schemas.openxmlformats.org/officeDocument/2006/relationships/hyperlink" Target="https://tucson.com/news/local/tucson-man-linked-to-break-ins-died-shortly-after-being/article_373d41e5-39ee-567a-bbba-44d2347eaaf1.html" TargetMode="External"/><Relationship Id="rId6735" Type="http://schemas.openxmlformats.org/officeDocument/2006/relationships/hyperlink" Target="https://oklahoman.com/article/5640953/domestic-homicide-leads-to-chase-officer-involved-shooting" TargetMode="External"/><Relationship Id="rId500" Type="http://schemas.openxmlformats.org/officeDocument/2006/relationships/hyperlink" Target="http://kollegekidd.com/news/friends-family-remember-slain-robbery-suspect-deonta-mackey/" TargetMode="External"/><Relationship Id="rId1130" Type="http://schemas.openxmlformats.org/officeDocument/2006/relationships/hyperlink" Target="https://www.washingtonpost.com/local/family-asks-for-federal-review-of-sons-death-after-tasering/2015/12/01/0ce7834e-9856-11e5-b499-76cbec161973_story.html" TargetMode="External"/><Relationship Id="rId5337" Type="http://schemas.openxmlformats.org/officeDocument/2006/relationships/hyperlink" Target="https://www.fatalencounters.org/wp-content/uploads/2018/10/Arnaldo-Caraveo.jpg" TargetMode="External"/><Relationship Id="rId5751" Type="http://schemas.openxmlformats.org/officeDocument/2006/relationships/hyperlink" Target="https://www.fatalencounters.org/wp-content/uploads/2019/01/chancemavity.jpg" TargetMode="External"/><Relationship Id="rId6802" Type="http://schemas.openxmlformats.org/officeDocument/2006/relationships/hyperlink" Target="https://www.presstelegram.com/2019/09/23/officer-involved-shooting-reported-in-wilmington/" TargetMode="External"/><Relationship Id="rId1947" Type="http://schemas.openxmlformats.org/officeDocument/2006/relationships/hyperlink" Target="http://patch.com/california/southgate-lynwood/knife-wielding-suspect-killed-police-idd-vinson-lee-ramos" TargetMode="External"/><Relationship Id="rId4353" Type="http://schemas.openxmlformats.org/officeDocument/2006/relationships/hyperlink" Target="https://www.pe.com/2018/03/10/1-dead-after-officer-involved-shooting-in-fontana/" TargetMode="External"/><Relationship Id="rId5404" Type="http://schemas.openxmlformats.org/officeDocument/2006/relationships/hyperlink" Target="https://azdailysun.com/news/state-and-regional/police-shooting-after-suspect-chase-from-phoenix-to-glendale/article_31f55c78-352a-53ef-8d28-fcce2ed84351.html?fbclid=IwAR0OjKnCgRPnUyPzC0z5KiJQaAhxP7bQn3QHsqjSUIF-PysaDjB32YfFRu8" TargetMode="External"/><Relationship Id="rId4006" Type="http://schemas.openxmlformats.org/officeDocument/2006/relationships/hyperlink" Target="http://www.tulsaworld.com/news/local/update-man-fatally-shot-by-police-after-pointing-gun-at/article_871e0caf-9b45-5e15-b369-e0ac61be229e.html" TargetMode="External"/><Relationship Id="rId4420" Type="http://schemas.openxmlformats.org/officeDocument/2006/relationships/hyperlink" Target="http://nbc4i.com/2018/03/24/columbus-police-shoot-kill-woman-during-swat-standoff/" TargetMode="External"/><Relationship Id="rId290" Type="http://schemas.openxmlformats.org/officeDocument/2006/relationships/hyperlink" Target="http://www.thetowntalk.com/story/news/local/2015/04/04/pineville-man-killed-deputy-idd-la-guardsman/25296693/" TargetMode="External"/><Relationship Id="rId3022" Type="http://schemas.openxmlformats.org/officeDocument/2006/relationships/hyperlink" Target="http://www.fatalencounters.org/wp-content/uploads/2013/10/David-Montaro-960.jpg" TargetMode="External"/><Relationship Id="rId6178" Type="http://schemas.openxmlformats.org/officeDocument/2006/relationships/hyperlink" Target="https://wsvn.com/news/local/fdle-investigates-after-officer-shoots-man-who-allegedly-killed-wife-in-sw-miami-dade/" TargetMode="External"/><Relationship Id="rId6592" Type="http://schemas.openxmlformats.org/officeDocument/2006/relationships/hyperlink" Target="https://wreg.com/2019/08/05/deputy-injured-during-shooting-in-downtown-memphis/" TargetMode="External"/><Relationship Id="rId7229" Type="http://schemas.openxmlformats.org/officeDocument/2006/relationships/hyperlink" Target="http://www.click2houston.com/news/Man-shot-killed-after-SWAT-situation/22114616" TargetMode="External"/><Relationship Id="rId5194" Type="http://schemas.openxmlformats.org/officeDocument/2006/relationships/hyperlink" Target="https://www.fatalencounters.org/wp-content/uploads/2018/09/patrick-shaun-dowdell.jpeg" TargetMode="External"/><Relationship Id="rId6245" Type="http://schemas.openxmlformats.org/officeDocument/2006/relationships/hyperlink" Target="https://fatalencounters.org/wp-content/uploads/2019/05/Esteban-Martine.jpeg" TargetMode="External"/><Relationship Id="rId2788" Type="http://schemas.openxmlformats.org/officeDocument/2006/relationships/hyperlink" Target="http://www.cleveland.com/euclid/index.ssf/2017/03/euclid_police_officer_fatally.html" TargetMode="External"/><Relationship Id="rId3839" Type="http://schemas.openxmlformats.org/officeDocument/2006/relationships/hyperlink" Target="http://news3lv.com/news/local/police-release-several-views-of-deadly-confrontation-with-assault-suspect" TargetMode="External"/><Relationship Id="rId2855" Type="http://schemas.openxmlformats.org/officeDocument/2006/relationships/hyperlink" Target="http://www.wmcactionnews5.com/story/34349725/2-desoto-county-deputies-shot-in-southaven" TargetMode="External"/><Relationship Id="rId3906" Type="http://schemas.openxmlformats.org/officeDocument/2006/relationships/hyperlink" Target="http://www.khq.com/story/36948116/man-killed-after-shooting-at-police-responding-to-domestic-violence-call-in-hillyard" TargetMode="External"/><Relationship Id="rId5261" Type="http://schemas.openxmlformats.org/officeDocument/2006/relationships/hyperlink" Target="https://kfor.com/2018/10/11/medical-examiner-identifies-suspect-shot-killed-in-okarche-officer-involved-shooting/" TargetMode="External"/><Relationship Id="rId6312" Type="http://schemas.openxmlformats.org/officeDocument/2006/relationships/hyperlink" Target="https://www.clickorlando.com/news/brevard-deputy-shot-3-times-has-long-road-to-recovery-sheriff-says" TargetMode="External"/><Relationship Id="rId96" Type="http://schemas.openxmlformats.org/officeDocument/2006/relationships/hyperlink" Target="http://a.abcnews.com/images/US/HT_richard_matt_jt_150606_4x3_992.jpg" TargetMode="External"/><Relationship Id="rId827" Type="http://schemas.openxmlformats.org/officeDocument/2006/relationships/hyperlink" Target="http://www.scrippsmedia.com/ktnv/news/Man-shot-by-Las-Vegas-police-following-barricade-near-Buffalo-Alta-drives-322625862.html" TargetMode="External"/><Relationship Id="rId1457" Type="http://schemas.openxmlformats.org/officeDocument/2006/relationships/hyperlink" Target="http://www.wsfa.com/story/31311999/montgomery-man-killed-in-officer-involved-shooting" TargetMode="External"/><Relationship Id="rId1871" Type="http://schemas.openxmlformats.org/officeDocument/2006/relationships/hyperlink" Target="http://www.fatalencounters.org/wp-content/uploads/2013/10/Hutson.jpg" TargetMode="External"/><Relationship Id="rId2508" Type="http://schemas.openxmlformats.org/officeDocument/2006/relationships/hyperlink" Target="http://www.azfamily.com/story/34036387/woman-with-replica-pistol-shot-and-killed-by-officer-in-bullhead-city" TargetMode="External"/><Relationship Id="rId2922" Type="http://schemas.openxmlformats.org/officeDocument/2006/relationships/hyperlink" Target="http://www.ocregister.com/2017/07/21/man-shot-killed-by-santa-ana-police-during-family-dispute/" TargetMode="External"/><Relationship Id="rId1524" Type="http://schemas.openxmlformats.org/officeDocument/2006/relationships/hyperlink" Target="http://www.mlive.com/news/detroit/index.ssf/2016/01/dearborn_police_shoot_man_foll.html" TargetMode="External"/><Relationship Id="rId7086" Type="http://schemas.openxmlformats.org/officeDocument/2006/relationships/hyperlink" Target="https://www.fox16.com/local-news-2/kidnapping-suspect-killed-after-arkansas-officer-involved-shooting/" TargetMode="External"/><Relationship Id="rId3696" Type="http://schemas.openxmlformats.org/officeDocument/2006/relationships/hyperlink" Target="http://ktla.com/2017/01/10/lapd-officials-investigate-officer-involved-shooting-in-downtown/" TargetMode="External"/><Relationship Id="rId4747" Type="http://schemas.openxmlformats.org/officeDocument/2006/relationships/hyperlink" Target="https://www.nwitimes.com/news/local/crime-and-courts/second-suspect-charged-in-shooting-of-undercover-federal-agent-in/article_cee49917-3dcf-5026-aaa3-a23012ed9954.html" TargetMode="External"/><Relationship Id="rId7153" Type="http://schemas.openxmlformats.org/officeDocument/2006/relationships/hyperlink" Target="https://cbssanfran.files.wordpress.com/2013/03/terrence_barry_032513.jpg?w=420&amp;h=316&amp;crop=1" TargetMode="External"/><Relationship Id="rId2298" Type="http://schemas.openxmlformats.org/officeDocument/2006/relationships/hyperlink" Target="http://www.koaa.com/story/33454346/search-for-murder-suspects-leads-to-deadly-officer-involved-shooting" TargetMode="External"/><Relationship Id="rId3349" Type="http://schemas.openxmlformats.org/officeDocument/2006/relationships/hyperlink" Target="http://abc3340.com/news/local/one-person-dead-following-jefferson-county-deputy-involved-shooting" TargetMode="External"/><Relationship Id="rId7220" Type="http://schemas.openxmlformats.org/officeDocument/2006/relationships/hyperlink" Target="http://www.denverda.org/News_Release/Decision_Letters/2013%20BechtoldShootLetter.pdf" TargetMode="External"/><Relationship Id="rId684" Type="http://schemas.openxmlformats.org/officeDocument/2006/relationships/hyperlink" Target="http://www.kxii.com/home/headlines/New-details-released-in-officer-involved-shooting-in-Colbert-352955771.html" TargetMode="External"/><Relationship Id="rId2365" Type="http://schemas.openxmlformats.org/officeDocument/2006/relationships/hyperlink" Target="http://www.philly.com/philly/news/20161108_Phila__police_fatally_shoot_armed_suspect_in_confrontation.html" TargetMode="External"/><Relationship Id="rId3763" Type="http://schemas.openxmlformats.org/officeDocument/2006/relationships/hyperlink" Target="http://www.greeleytribune.com/news/crime/greeley-police-shoot-kill-man-wanted-on-warrants-during-attempted-arrest/" TargetMode="External"/><Relationship Id="rId4814" Type="http://schemas.openxmlformats.org/officeDocument/2006/relationships/hyperlink" Target="https://www.pressofatlanticcity.com/news/atlantic-city-police-officer-stabbed-killed/article_7a27f109-70bd-5912-806a-08d2c001753d.html" TargetMode="External"/><Relationship Id="rId337" Type="http://schemas.openxmlformats.org/officeDocument/2006/relationships/hyperlink" Target="http://www.nbcphiladelphia.com/news/local/Mayfair-Police-Shooting-285796911.html" TargetMode="External"/><Relationship Id="rId2018" Type="http://schemas.openxmlformats.org/officeDocument/2006/relationships/hyperlink" Target="http://abc7.com/news/deputies-search-for-suspect-in-compton-after-deputy-involved-shooting/1446712/" TargetMode="External"/><Relationship Id="rId3416" Type="http://schemas.openxmlformats.org/officeDocument/2006/relationships/hyperlink" Target="http://www.kcrg.com/content/news/Authorities-on-the-scene-of-possible-shooting-in-north-Englisgh-427734113.html" TargetMode="External"/><Relationship Id="rId3830" Type="http://schemas.openxmlformats.org/officeDocument/2006/relationships/hyperlink" Target="http://www.azcentral.com/story/news/local/phoenix-breaking/2017/11/10/dead-phoenix-police-officer-involved-shooting/853502001/" TargetMode="External"/><Relationship Id="rId6986" Type="http://schemas.openxmlformats.org/officeDocument/2006/relationships/hyperlink" Target="https://wpde.com/news/local/deadly-deputy-involved-shooting-in-georgetown-county" TargetMode="External"/><Relationship Id="rId751" Type="http://schemas.openxmlformats.org/officeDocument/2006/relationships/hyperlink" Target="http://bloximages.chicago2.vip.townnews.com/fredericksburg.com/content/tncms/assets/v3/editorial/c/6a/c6a518a6-4a8f-11e5-9867-e704cb5d9455/55db6586f3aca.image.jpg" TargetMode="External"/><Relationship Id="rId1381" Type="http://schemas.openxmlformats.org/officeDocument/2006/relationships/hyperlink" Target="http://news10.com/2016/02/11/police-neighbors-still-asking-why-in-colonie-officer-murder-suicide/" TargetMode="External"/><Relationship Id="rId2432" Type="http://schemas.openxmlformats.org/officeDocument/2006/relationships/hyperlink" Target="http://www.tucsonnewsnow.com/story/33792494/suspect-shot-by-police-officer-in-south-tucson" TargetMode="External"/><Relationship Id="rId5588" Type="http://schemas.openxmlformats.org/officeDocument/2006/relationships/hyperlink" Target="https://www.fatalencounters.org/wp-content/uploads/2018/12/Kaulana-Toji-Reinhardt.jpg" TargetMode="External"/><Relationship Id="rId6639" Type="http://schemas.openxmlformats.org/officeDocument/2006/relationships/hyperlink" Target="https://www.9news.com/article/news/crime/female-suspect-dies-after-exchanging-gunfire-with-denver-police/73-486415a7-2776-44c0-9a13-0814ebc99b45" TargetMode="External"/><Relationship Id="rId404" Type="http://schemas.openxmlformats.org/officeDocument/2006/relationships/hyperlink" Target="http://www.9news.com/story/news/crime/2014/08/13/greeley-officer-involved-shoot-veteran-shoot-out-call/14006469/" TargetMode="External"/><Relationship Id="rId1034" Type="http://schemas.openxmlformats.org/officeDocument/2006/relationships/hyperlink" Target="http://abc7.com/news/man-shot-to-death-by-lapd-in-venice-after-disturbing-the-peace-call/699856/" TargetMode="External"/><Relationship Id="rId5655" Type="http://schemas.openxmlformats.org/officeDocument/2006/relationships/hyperlink" Target="https://www.mysanantonio.com/news/local/crime/article/Man-killed-by-San-Antonio-police-after-allegedly-13508830.php" TargetMode="External"/><Relationship Id="rId6706" Type="http://schemas.openxmlformats.org/officeDocument/2006/relationships/hyperlink" Target="https://www.idahopress.com/news/local/one-man-dead-after-caldwell-officer-involved-shooting/article_33833f8c-a5f2-5fcf-b1b7-e87e372327b7.html" TargetMode="External"/><Relationship Id="rId1101" Type="http://schemas.openxmlformats.org/officeDocument/2006/relationships/hyperlink" Target="http://www.sandiegouniontribune.com/news/2015/oct/17/chula-vista-shooting/" TargetMode="External"/><Relationship Id="rId4257" Type="http://schemas.openxmlformats.org/officeDocument/2006/relationships/hyperlink" Target="http://abc11.com/henderson-police-officer-shot-highway-patrol-says/3092043/" TargetMode="External"/><Relationship Id="rId4671" Type="http://schemas.openxmlformats.org/officeDocument/2006/relationships/hyperlink" Target="https://www.chieftain.com/news/pueblo/man-killed-in-pueblo-officer-involved-shooting-id-d/article_39487c61-a2c9-5f08-9818-2d9bfacaf7a0.html" TargetMode="External"/><Relationship Id="rId5308" Type="http://schemas.openxmlformats.org/officeDocument/2006/relationships/hyperlink" Target="https://www.fatalencounters.org/wp-content/uploads/2018/10/Neico-Crooks.jpeg" TargetMode="External"/><Relationship Id="rId5722" Type="http://schemas.openxmlformats.org/officeDocument/2006/relationships/hyperlink" Target="https://www.kvia.com/crime/eppd-shots-fired-suspect-crashed-into-vehicles-shot-by-police-as-he-exited-vehicle-with-gun/975178354?fbclid=IwAR26C0w7W1A1d346YJ8YsWs2RtMnIm354QxPednE3Jy-Hm3cfV4fxJzSB_4" TargetMode="External"/><Relationship Id="rId3273" Type="http://schemas.openxmlformats.org/officeDocument/2006/relationships/hyperlink" Target="http://www.fatalencounters.org/wp-content/uploads/2013/10/Jason-Hoops.jpg" TargetMode="External"/><Relationship Id="rId4324" Type="http://schemas.openxmlformats.org/officeDocument/2006/relationships/hyperlink" Target="http://www.fatalencounters.org/wp-content/uploads/2018/03/Ryan-L.-Smith.jpg" TargetMode="External"/><Relationship Id="rId194" Type="http://schemas.openxmlformats.org/officeDocument/2006/relationships/hyperlink" Target="http://www.postandcourier.com/article/20150521/PC16/150529889/man-shot-last-night-after-cutting-deputy-dies" TargetMode="External"/><Relationship Id="rId1918" Type="http://schemas.openxmlformats.org/officeDocument/2006/relationships/hyperlink" Target="http://www.ocweekly.com/news/homeless-man-left-in-coma-after-encounter-with-anaheim-police-dies-7328489" TargetMode="External"/><Relationship Id="rId6496" Type="http://schemas.openxmlformats.org/officeDocument/2006/relationships/hyperlink" Target="https://fatalencounters.org/wp-content/uploads/2019/07/OnajeDickenson.jpg" TargetMode="External"/><Relationship Id="rId261" Type="http://schemas.openxmlformats.org/officeDocument/2006/relationships/hyperlink" Target="http://denver.cbslocal.com/2015/04/16/marriage-down-the-tubes-i-hope-they-kill-me-says-killed-standoff-suspect-on-facebook/" TargetMode="External"/><Relationship Id="rId3340" Type="http://schemas.openxmlformats.org/officeDocument/2006/relationships/hyperlink" Target="http://www.wqow.com/story/35948705/2017/07/Saturday/heavy-police-presence-on-woodford-ct-in-eau-claire" TargetMode="External"/><Relationship Id="rId5098" Type="http://schemas.openxmlformats.org/officeDocument/2006/relationships/hyperlink" Target="http://www.foxcarolina.com/story/38963824/ccso-woman-shot-killed-after-taking-aim-at-deputies" TargetMode="External"/><Relationship Id="rId6149" Type="http://schemas.openxmlformats.org/officeDocument/2006/relationships/hyperlink" Target="http://www.fatalencounters.org/wp-content/uploads/2019/04/David-Flores-Ramos.jpg" TargetMode="External"/><Relationship Id="rId6563" Type="http://schemas.openxmlformats.org/officeDocument/2006/relationships/hyperlink" Target="https://www.deseretnews.com/article/900082381/police-identify-man-shot-utah-medical-clinic.html" TargetMode="External"/><Relationship Id="rId2759" Type="http://schemas.openxmlformats.org/officeDocument/2006/relationships/hyperlink" Target="http://www.readingeagle.com/news/article/man-dies-after-reading-police-use-taser-on-him" TargetMode="External"/><Relationship Id="rId5165" Type="http://schemas.openxmlformats.org/officeDocument/2006/relationships/hyperlink" Target="https://www.fatalencounters.org/wp-content/uploads/2018/09/JohnnyLoyd.jpg" TargetMode="External"/><Relationship Id="rId6216" Type="http://schemas.openxmlformats.org/officeDocument/2006/relationships/hyperlink" Target="https://siouxcityjournal.com/news/local/crime-and-courts/man-killed-in-south-sioux-police-shooting-was-wanted-in/article_40963a17-0aef-5d03-960b-75f532d7869b.html" TargetMode="External"/><Relationship Id="rId6630" Type="http://schemas.openxmlformats.org/officeDocument/2006/relationships/hyperlink" Target="https://www.wdrb.com/news/video-lmpd-releases-body-camera-footage-of-man-fatally-shot/article_47a4c63e-bec9-11e9-a4b5-3fcab79ec8af.html" TargetMode="External"/><Relationship Id="rId1775" Type="http://schemas.openxmlformats.org/officeDocument/2006/relationships/hyperlink" Target="http://www.abc15.com/news/region-central-southern-az/tucson/man-osee-calix-shot-by-tucson-police-dies-from-his-injuries" TargetMode="External"/><Relationship Id="rId2826" Type="http://schemas.openxmlformats.org/officeDocument/2006/relationships/hyperlink" Target="http://www.wral.com/trooper-involved-in-fatal-shooting-in-durham/16524074/" TargetMode="External"/><Relationship Id="rId4181" Type="http://schemas.openxmlformats.org/officeDocument/2006/relationships/hyperlink" Target="http://baltimore.cbslocal.com/2018/01/28/officer-involved-shooting/" TargetMode="External"/><Relationship Id="rId5232" Type="http://schemas.openxmlformats.org/officeDocument/2006/relationships/hyperlink" Target="https://www.fatalencounters.org/wp-content/uploads/2018/10/Justinsnellson.jpg" TargetMode="External"/><Relationship Id="rId67" Type="http://schemas.openxmlformats.org/officeDocument/2006/relationships/hyperlink" Target="http://www.themonitor.com/news/local/authorities-armed-man-in-edinburg-standoff-killed-in-officer-involved/article_62b2b456-24f2-11e5-b79b-6b2f14f63dc2.html" TargetMode="External"/><Relationship Id="rId1428" Type="http://schemas.openxmlformats.org/officeDocument/2006/relationships/hyperlink" Target="http://blog.gulflive.com/mississippi-press-news/2016/03/suspect_shot_dead_by_gautier_p.html" TargetMode="External"/><Relationship Id="rId1842" Type="http://schemas.openxmlformats.org/officeDocument/2006/relationships/hyperlink" Target="http://krqe.com/2016/06/17/bcso-identifies-suspect-in-fatal-carjacking/" TargetMode="External"/><Relationship Id="rId4998" Type="http://schemas.openxmlformats.org/officeDocument/2006/relationships/hyperlink" Target="https://www.clickorlando.com/news/18-year-old-killed-in-deputy-involved-shooting-had-bb-gun-authorities-say" TargetMode="External"/><Relationship Id="rId7057" Type="http://schemas.openxmlformats.org/officeDocument/2006/relationships/hyperlink" Target="https://www.ky3.com/content/news/Police-566466581.html" TargetMode="External"/><Relationship Id="rId6073" Type="http://schemas.openxmlformats.org/officeDocument/2006/relationships/hyperlink" Target="https://www.mlive.com/news/kalamazoo/2019/04/parole-absconder-shot-killed-by-police-in-kalamazoo.html" TargetMode="External"/><Relationship Id="rId7124" Type="http://schemas.openxmlformats.org/officeDocument/2006/relationships/hyperlink" Target="http://www.wjla.com/articles/2013/02/bladensburg-police-involved-shooting-kills-one-85029.html" TargetMode="External"/><Relationship Id="rId3667" Type="http://schemas.openxmlformats.org/officeDocument/2006/relationships/hyperlink" Target="http://www.annistonstar.com/news/crime/oxford-police-dealing-with-officer-involved-shooting/article_b6b4b312-e330-11e6-85db-1f23623ac2e9.html" TargetMode="External"/><Relationship Id="rId4718" Type="http://schemas.openxmlformats.org/officeDocument/2006/relationships/hyperlink" Target="https://www.fatalencounters.org/wp-content/uploads/2018/06/Jerick-Raheem-Gray.jpg" TargetMode="External"/><Relationship Id="rId588" Type="http://schemas.openxmlformats.org/officeDocument/2006/relationships/hyperlink" Target="http://www.killedbypolice.net/victims/150971.jpg" TargetMode="External"/><Relationship Id="rId2269" Type="http://schemas.openxmlformats.org/officeDocument/2006/relationships/hyperlink" Target="http://www.12newsnow.com/news/local/one-person-shot-dead-following-disturbance-in-parking-lot-outside-of-madisons-bar-and-grill/335953492" TargetMode="External"/><Relationship Id="rId2683" Type="http://schemas.openxmlformats.org/officeDocument/2006/relationships/hyperlink" Target="http://www.news9.com/story/35745457/officer-involved-shooting-reported-in-sw-okc" TargetMode="External"/><Relationship Id="rId3734" Type="http://schemas.openxmlformats.org/officeDocument/2006/relationships/hyperlink" Target="http://www.fatalencounters.org/wp-content/uploads/2013/10/jason-marble.jpg" TargetMode="External"/><Relationship Id="rId6140" Type="http://schemas.openxmlformats.org/officeDocument/2006/relationships/hyperlink" Target="https://www.nydailynews.com/new-york/nyc-crime/ny-cop-shot-by-gang-member-washington-heights-leaves-hospital-20190419-wqhv576rvngjtosjwlt4wzwevm-story.html" TargetMode="External"/><Relationship Id="rId655" Type="http://schemas.openxmlformats.org/officeDocument/2006/relationships/hyperlink" Target="http://www.killedbypolice.net/victims/151015.jpg" TargetMode="External"/><Relationship Id="rId1285" Type="http://schemas.openxmlformats.org/officeDocument/2006/relationships/hyperlink" Target="http://kbmt.images.worldnow.com/images/10044845_G.jpg" TargetMode="External"/><Relationship Id="rId2336" Type="http://schemas.openxmlformats.org/officeDocument/2006/relationships/hyperlink" Target="http://www.nydailynews.com/new-york/bronx/man-critical-condition-cops-taser-bronx-clash-article-1.2855934" TargetMode="External"/><Relationship Id="rId2750" Type="http://schemas.openxmlformats.org/officeDocument/2006/relationships/hyperlink" Target="http://www.nwitimes.com/news/local/crime-and-courts/update-person-dead-after-portage-officer-involved-shooting/article_c4d5fdd7-26e0-5b37-9baa-93c3d41bac75.html" TargetMode="External"/><Relationship Id="rId3801" Type="http://schemas.openxmlformats.org/officeDocument/2006/relationships/hyperlink" Target="http://www.kerngoldenempire.com/news/top-stories/officer-involved-shooting-in-south-bakersfield/851435943" TargetMode="External"/><Relationship Id="rId6957" Type="http://schemas.openxmlformats.org/officeDocument/2006/relationships/hyperlink" Target="https://www.clickorlando.com/news/police-activity-reported-near-lawton-chiles-elementary-school" TargetMode="External"/><Relationship Id="rId308" Type="http://schemas.openxmlformats.org/officeDocument/2006/relationships/hyperlink" Target="http://i.guim.co.uk/static/w-620/h--/q-95/sys-images/Guardian/Pix/pictures/2015/2/12/1423748301468/7245d83a-eba5-4117-8f2b-584fc9f566e8-bestSizeAvailable.jpeg" TargetMode="External"/><Relationship Id="rId722" Type="http://schemas.openxmlformats.org/officeDocument/2006/relationships/hyperlink" Target="http://www.times-standard.com/20151101/chp-officer-shot-alleged-shooter-dead-after-eureka-traffic-stop" TargetMode="External"/><Relationship Id="rId1352" Type="http://schemas.openxmlformats.org/officeDocument/2006/relationships/hyperlink" Target="http://www.thenewstribune.com/news/local/crime/article57246553.html" TargetMode="External"/><Relationship Id="rId2403" Type="http://schemas.openxmlformats.org/officeDocument/2006/relationships/hyperlink" Target="http://www.tcpalm.com/story/news/crime/st-lucie-county/2016/11/18/teen-boy-very-critical-after-shooting-port-st-lucie/94084924/" TargetMode="External"/><Relationship Id="rId5559" Type="http://schemas.openxmlformats.org/officeDocument/2006/relationships/hyperlink" Target="https://www.fatalencounters.org/wp-content/uploads/2018/12/Rodney-J.-Rod-Geiser.jpg" TargetMode="External"/><Relationship Id="rId1005" Type="http://schemas.openxmlformats.org/officeDocument/2006/relationships/hyperlink" Target="http://assets.dnainfo.com/generated/photo/2015/06/hampton-isaiah-13a2575-11-1433968556.jpg/extralarge.jpg" TargetMode="External"/><Relationship Id="rId4575" Type="http://schemas.openxmlformats.org/officeDocument/2006/relationships/hyperlink" Target="http://www.fatalencounters.org/wp-content/uploads/2018/05/Michael-Snyder.jpg" TargetMode="External"/><Relationship Id="rId5973" Type="http://schemas.openxmlformats.org/officeDocument/2006/relationships/hyperlink" Target="https://www.fatalencounters.org/wp-content/uploads/2019/03/brandonstacy.png" TargetMode="External"/><Relationship Id="rId3177" Type="http://schemas.openxmlformats.org/officeDocument/2006/relationships/hyperlink" Target="http://krqe.com/2017/06/26/state-police-investigate-fatal-officer-involved-shooting-near-pecos/" TargetMode="External"/><Relationship Id="rId4228" Type="http://schemas.openxmlformats.org/officeDocument/2006/relationships/hyperlink" Target="http://www.fatalencounters.org/wp-content/uploads/2018/02/Tierre-Guthrie.jpg" TargetMode="External"/><Relationship Id="rId5626" Type="http://schemas.openxmlformats.org/officeDocument/2006/relationships/hyperlink" Target="http://www.wkyc.com/news/local/ashtabula-county/man-dies-after-ashtabula-county-sheriff-deputy-involved-shooting/431620055" TargetMode="External"/><Relationship Id="rId3591" Type="http://schemas.openxmlformats.org/officeDocument/2006/relationships/hyperlink" Target="http://www.wausaudailyherald.com/story/news/2017/03/02/marathon-county-deputy-involved-rib-mountain-shooting/98624886/" TargetMode="External"/><Relationship Id="rId4642" Type="http://schemas.openxmlformats.org/officeDocument/2006/relationships/hyperlink" Target="http://www.localnews8.com/news/blackfoot-police-shoot-and-kill-suspect/741100306" TargetMode="External"/><Relationship Id="rId2193" Type="http://schemas.openxmlformats.org/officeDocument/2006/relationships/hyperlink" Target="http://wvmetronews.com/2016/09/06/1-killed-in-officer-involved-shooting-in-roane-county/" TargetMode="External"/><Relationship Id="rId3244" Type="http://schemas.openxmlformats.org/officeDocument/2006/relationships/hyperlink" Target="http://www.sbsun.com/general-news/20170202/1-dead-1-injured-following-deputy-involved-shooting-outside-san-manuel-casino-in-highland" TargetMode="External"/><Relationship Id="rId165" Type="http://schemas.openxmlformats.org/officeDocument/2006/relationships/hyperlink" Target="http://www.khou.com/story/news/crime/2015/06/03/chase-ends--shooting-southeast-houston/28402107/" TargetMode="External"/><Relationship Id="rId2260" Type="http://schemas.openxmlformats.org/officeDocument/2006/relationships/hyperlink" Target="http://www.fatalencounters.org/wp-content/uploads/2013/10/Blaine-Justin-Beason.jpg" TargetMode="External"/><Relationship Id="rId3311" Type="http://schemas.openxmlformats.org/officeDocument/2006/relationships/hyperlink" Target="http://www.fatalencounters.org/wp-content/uploads/2013/10/CoryStephens.jpg" TargetMode="External"/><Relationship Id="rId6467" Type="http://schemas.openxmlformats.org/officeDocument/2006/relationships/hyperlink" Target="https://gephardtdaily.com/local/suspect-dead-after-swat-operation-officer-involved-shooting-in-west-jordan/" TargetMode="External"/><Relationship Id="rId6881" Type="http://schemas.openxmlformats.org/officeDocument/2006/relationships/hyperlink" Target="https://fatalencounters.org/wp-content/uploads/2019/10/David-James-Bamber.jpg" TargetMode="External"/><Relationship Id="rId232" Type="http://schemas.openxmlformats.org/officeDocument/2006/relationships/hyperlink" Target="http://www.kfvs12.com/story/28915534/1-dead-after-standoff-in-marion" TargetMode="External"/><Relationship Id="rId5069" Type="http://schemas.openxmlformats.org/officeDocument/2006/relationships/hyperlink" Target="https://www.fatalencounters.org/wp-content/uploads/2018/08/ChristopherOkamoto.jpg" TargetMode="External"/><Relationship Id="rId5483" Type="http://schemas.openxmlformats.org/officeDocument/2006/relationships/hyperlink" Target="https://www.local10.com/news/florida/broward/deputies-shoot-kill-hospital-patient-who-aggressively-threatened-others-in-tamarac" TargetMode="External"/><Relationship Id="rId6534" Type="http://schemas.openxmlformats.org/officeDocument/2006/relationships/hyperlink" Target="https://www.wlbt.com/2019/07/22/brookhaven-deadly-home-invasion-suspects-dead-copiah-county-sheriffs-deputy-shot-exchange-gunfire/" TargetMode="External"/><Relationship Id="rId1679" Type="http://schemas.openxmlformats.org/officeDocument/2006/relationships/hyperlink" Target="http://wtov9.com/news/local/police-release-name-of-man-killed-in-weirton-shooting" TargetMode="External"/><Relationship Id="rId4085" Type="http://schemas.openxmlformats.org/officeDocument/2006/relationships/hyperlink" Target="http://www.wfmynews2.com/news/local/man-shot-killed-after-firing-at-danville-police-woman-found-dead-in-home/505573867" TargetMode="External"/><Relationship Id="rId5136" Type="http://schemas.openxmlformats.org/officeDocument/2006/relationships/hyperlink" Target="https://www.kcra.com/article/masked-man-shot-killed-by-sacramento-swat-officers/23006948" TargetMode="External"/><Relationship Id="rId4152" Type="http://schemas.openxmlformats.org/officeDocument/2006/relationships/hyperlink" Target="http://www.fatalencounters.org/wp-content/uploads/2018/01/JOHNHAVENER.jpg" TargetMode="External"/><Relationship Id="rId5203" Type="http://schemas.openxmlformats.org/officeDocument/2006/relationships/hyperlink" Target="http://www.hawaiinewsnow.com/story/39134273/suspect-reportedly-killed-after-police-shooting-in-mccully" TargetMode="External"/><Relationship Id="rId5550" Type="http://schemas.openxmlformats.org/officeDocument/2006/relationships/hyperlink" Target="https://www.yakimaherald.com/news/crime_and_courts/yakima-police-shoot-kill--year-old-man-in-car/article_ce28373a-0098-11e9-be9c-0379fcd84776.html" TargetMode="External"/><Relationship Id="rId6601" Type="http://schemas.openxmlformats.org/officeDocument/2006/relationships/hyperlink" Target="https://whotv.com/2019/08/08/police-deceased-gunman-and-hostage-in-wednesday-shootout-in-council-bluffs-accused-of-two-murders/" TargetMode="External"/><Relationship Id="rId1746" Type="http://schemas.openxmlformats.org/officeDocument/2006/relationships/hyperlink" Target="http://bloximages.chicago2.vip.townnews.com/azdailysun.com/content/tncms/assets/v3/editorial/7/df/7dfeb572-a72c-5524-b113-d7e2e267f1bd/574650e950be2.image.jpg" TargetMode="External"/><Relationship Id="rId38" Type="http://schemas.openxmlformats.org/officeDocument/2006/relationships/hyperlink" Target="http://www.thedenverchannel.com/news/local-news/man-dead-shot-by-fort-collins-officers-after-suspect-tried-to-attack-them-with-knife" TargetMode="External"/><Relationship Id="rId1813" Type="http://schemas.openxmlformats.org/officeDocument/2006/relationships/hyperlink" Target="http://kfor.com/2016/06/20/oklahoma-city-man-dies-in-police-custody/" TargetMode="External"/><Relationship Id="rId4969" Type="http://schemas.openxmlformats.org/officeDocument/2006/relationships/hyperlink" Target="https://www.nbclosangeles.com/news/local/Man-Wounded-in-Redondo-Beach-Officer-Involved-Shooting-489303661.html" TargetMode="External"/><Relationship Id="rId3985" Type="http://schemas.openxmlformats.org/officeDocument/2006/relationships/hyperlink" Target="http://wdtn.com/2017/12/20/man-killed-in-officer-involved-shooting-2/" TargetMode="External"/><Relationship Id="rId6391" Type="http://schemas.openxmlformats.org/officeDocument/2006/relationships/hyperlink" Target="https://fatalencounters.org/wp-content/uploads/2019/06/DewayneWatkins.jpg" TargetMode="External"/><Relationship Id="rId7028" Type="http://schemas.openxmlformats.org/officeDocument/2006/relationships/hyperlink" Target="https://ktul.com/news/local/tulsa-police-identify-man-killed-in-officer-involved-shooting" TargetMode="External"/><Relationship Id="rId2587" Type="http://schemas.openxmlformats.org/officeDocument/2006/relationships/hyperlink" Target="http://extras.mnginteractive.com/live/media/site21/2016/0918/20160918_093454_20160912_032101_unnamed_200.png" TargetMode="External"/><Relationship Id="rId3638" Type="http://schemas.openxmlformats.org/officeDocument/2006/relationships/hyperlink" Target="http://www.fatalencounters.org/wp-content/uploads/2013/10/Michelle-Robey.jpg" TargetMode="External"/><Relationship Id="rId6044" Type="http://schemas.openxmlformats.org/officeDocument/2006/relationships/hyperlink" Target="https://www.fatalencounters.org/wp-content/uploads/2019/04/PierreCherfrere.jpg" TargetMode="External"/><Relationship Id="rId559" Type="http://schemas.openxmlformats.org/officeDocument/2006/relationships/hyperlink" Target="http://www.post-gazette.com/stories/local/neighborhoods-north/man-shot-to-death-in-sewickley-694786/" TargetMode="External"/><Relationship Id="rId1189" Type="http://schemas.openxmlformats.org/officeDocument/2006/relationships/hyperlink" Target="http://theadvocate.com/news/acadiana/13551773-123/east-baton-rouge-deputies-investigating" TargetMode="External"/><Relationship Id="rId5060" Type="http://schemas.openxmlformats.org/officeDocument/2006/relationships/hyperlink" Target="http://www.sandiegouniontribune.com/news/public-safety/sd-me-suspect-dies-20180822-story.html" TargetMode="External"/><Relationship Id="rId6111" Type="http://schemas.openxmlformats.org/officeDocument/2006/relationships/hyperlink" Target="https://www.fatalencounters.org/wp-content/uploads/2019/04/MyronFlowers.jpg" TargetMode="External"/><Relationship Id="rId626" Type="http://schemas.openxmlformats.org/officeDocument/2006/relationships/hyperlink" Target="http://www.killedbypolice.net/victims/151079.jpg" TargetMode="External"/><Relationship Id="rId973" Type="http://schemas.openxmlformats.org/officeDocument/2006/relationships/hyperlink" Target="http://www.sun-sentinel.com/local/broward/fl-plantation-cop-homeless-shooting-id-20150715-story.html" TargetMode="External"/><Relationship Id="rId1256" Type="http://schemas.openxmlformats.org/officeDocument/2006/relationships/hyperlink" Target="http://thetimes-tribune.com/polopoly_fs/1.2003067.1454528509!/fileImage/httpImage/image.jpg_gen/derivatives/landscape_240/image.jpg" TargetMode="External"/><Relationship Id="rId2307" Type="http://schemas.openxmlformats.org/officeDocument/2006/relationships/hyperlink" Target="http://www.kcra.com/article/police-investigate-deadly-incident-in-lincoln/7209811" TargetMode="External"/><Relationship Id="rId2654" Type="http://schemas.openxmlformats.org/officeDocument/2006/relationships/hyperlink" Target="http://www.nbc26.com/news/dci-investigating-an-officer-involved-shooting-in-oshkosh" TargetMode="External"/><Relationship Id="rId3705" Type="http://schemas.openxmlformats.org/officeDocument/2006/relationships/hyperlink" Target="http://wkrn.com/2017/01/05/tbi-investigating-officer-involved-shooting-in-sewanee/" TargetMode="External"/><Relationship Id="rId1670" Type="http://schemas.openxmlformats.org/officeDocument/2006/relationships/hyperlink" Target="http://myvalleynews.com/local/temecula-officer-involved-shooting-leaves-one-man-dead/" TargetMode="External"/><Relationship Id="rId2721" Type="http://schemas.openxmlformats.org/officeDocument/2006/relationships/hyperlink" Target="http://www.fatalencounters.org/wp-content/uploads/2013/10/Terrell-Kyreem-Johnson.jpg" TargetMode="External"/><Relationship Id="rId5877" Type="http://schemas.openxmlformats.org/officeDocument/2006/relationships/hyperlink" Target="https://www.wjtv.com/news/local-news/standoff-ends-suspect-dies-from-injuries/1792035593" TargetMode="External"/><Relationship Id="rId6928" Type="http://schemas.openxmlformats.org/officeDocument/2006/relationships/hyperlink" Target="https://www.shreveporttimes.com/story/news/2019/10/28/bossier-city-officer-patrick-edmonds-jr-named-fatal-shooting/2489626001/" TargetMode="External"/><Relationship Id="rId1323" Type="http://schemas.openxmlformats.org/officeDocument/2006/relationships/hyperlink" Target="http://wchstv.com/news/local/pursuit-leads-to-state-trooper-shooting-killing-suspect" TargetMode="External"/><Relationship Id="rId4479" Type="http://schemas.openxmlformats.org/officeDocument/2006/relationships/hyperlink" Target="http://www.fatalencounters.org/wp-content/uploads/2018/04/Saheed-Vassell.jpg" TargetMode="External"/><Relationship Id="rId4893" Type="http://schemas.openxmlformats.org/officeDocument/2006/relationships/hyperlink" Target="https://www.fatalencounters.org/wp-content/uploads/2018/07/Salome-Ramirez.jpg" TargetMode="External"/><Relationship Id="rId5944" Type="http://schemas.openxmlformats.org/officeDocument/2006/relationships/hyperlink" Target="https://ktul.com/news/local/hours-before-deadly-officer-involved-shooting-stabbing-victim-files-protective-order" TargetMode="External"/><Relationship Id="rId3495" Type="http://schemas.openxmlformats.org/officeDocument/2006/relationships/hyperlink" Target="http://www.latimes.com/local/lanow/la-me-ln-la-jolla-shooting-20170430-story.html" TargetMode="External"/><Relationship Id="rId4546" Type="http://schemas.openxmlformats.org/officeDocument/2006/relationships/hyperlink" Target="https://www.sltrib.com/news/2018/04/17/unified-police-officer-shot-and-killed-a-person-in-magna-early-tuesday/" TargetMode="External"/><Relationship Id="rId4960" Type="http://schemas.openxmlformats.org/officeDocument/2006/relationships/hyperlink" Target="http://www.spokesman.com/stories/2018/jul/26/medical-examiner-identifies-man-shot-while-trying-/" TargetMode="External"/><Relationship Id="rId2097" Type="http://schemas.openxmlformats.org/officeDocument/2006/relationships/hyperlink" Target="http://www.nbcwashington.com/news/local/Deputy-Involved-Shooting-Reported-at-Inova-Fairfax-Hospital-390275431.html" TargetMode="External"/><Relationship Id="rId3148" Type="http://schemas.openxmlformats.org/officeDocument/2006/relationships/hyperlink" Target="https://www.ksat.com/news/sapd-officer-shot-suspect-dead-in-west-side-shootout" TargetMode="External"/><Relationship Id="rId3562" Type="http://schemas.openxmlformats.org/officeDocument/2006/relationships/hyperlink" Target="http://www.wmcactionnews5.com/story/34939965/woman-shot-by-shelby-county-deputies-in-lakeland" TargetMode="External"/><Relationship Id="rId4613" Type="http://schemas.openxmlformats.org/officeDocument/2006/relationships/hyperlink" Target="https://www.12news.com/article/news/local/valley/police-identify-scottsdale-bank-robbery-suspect-shot-killed-by-officers/75-549145115" TargetMode="External"/><Relationship Id="rId483" Type="http://schemas.openxmlformats.org/officeDocument/2006/relationships/hyperlink" Target="http://www.ketv.com/news/police-id-man-killed-in-officer-involved-shooting/25060968" TargetMode="External"/><Relationship Id="rId2164" Type="http://schemas.openxmlformats.org/officeDocument/2006/relationships/hyperlink" Target="http://www.star-telegram.com/news/local/community/weatherford-star-telegram/7voj0q/picture99281117/ALTERNATES/FREE_320/mathis,gregory.jpeg" TargetMode="External"/><Relationship Id="rId3215" Type="http://schemas.openxmlformats.org/officeDocument/2006/relationships/hyperlink" Target="https://www.google.com/url?q=https://westernnews.media.clients.ellingtoncms.com/img/photos/2017/05/01/Wayne-Simard-Rebecca._t715.jpg?529764a1de2bdd0f74a9fb4f856b01a9d617b3e9&amp;sa=D&amp;ust=1508882833367000&amp;usg=AFQjCNG4hjIawnnU6lEx4Y1d7gfCZyuy-A" TargetMode="External"/><Relationship Id="rId6785" Type="http://schemas.openxmlformats.org/officeDocument/2006/relationships/hyperlink" Target="https://www.thestate.com/news/local/crime/article235437917.html" TargetMode="External"/><Relationship Id="rId136" Type="http://schemas.openxmlformats.org/officeDocument/2006/relationships/hyperlink" Target="http://www.northjersey.com/polopoly_fs/1.1355145.1434164980!/fileImage/httpImage/image.jpg_gen/derivatives/landscape_300/hackensackshooting.jpg" TargetMode="External"/><Relationship Id="rId550" Type="http://schemas.openxmlformats.org/officeDocument/2006/relationships/hyperlink" Target="http://kfor.com/2013/08/02/warr-acres-police-involved-in-chase-shooting-reported/" TargetMode="External"/><Relationship Id="rId1180" Type="http://schemas.openxmlformats.org/officeDocument/2006/relationships/hyperlink" Target="http://www.dallasnews.com/news/metro/20150903-dallas-police-man-killed-by-officer-had-pellet-gun.ece" TargetMode="External"/><Relationship Id="rId2231" Type="http://schemas.openxmlformats.org/officeDocument/2006/relationships/hyperlink" Target="http://www.fatalencounters.org/wp-content/uploads/2013/10/Lucas-Felkel.png" TargetMode="External"/><Relationship Id="rId5387" Type="http://schemas.openxmlformats.org/officeDocument/2006/relationships/hyperlink" Target="https://www.fatalencounters.org/wp-content/uploads/2018/11/patrickbryant.jpg" TargetMode="External"/><Relationship Id="rId6438" Type="http://schemas.openxmlformats.org/officeDocument/2006/relationships/hyperlink" Target="https://www.wcbi.com/officer-involved-shooting-under-investigation-in-pontotoc-county/" TargetMode="External"/><Relationship Id="rId203" Type="http://schemas.openxmlformats.org/officeDocument/2006/relationships/hyperlink" Target="http://www.kcra.com/news/local-news/news-sacramento/sacramento-police-investigating-officerinvolved-shooting/33053756" TargetMode="External"/><Relationship Id="rId6852" Type="http://schemas.openxmlformats.org/officeDocument/2006/relationships/hyperlink" Target="https://beatricedailysun.com/news/local/crime-and-courts/lincoln-police-identify-man-shot-outside-chick-fil-a/article_939eb633-a7f5-5692-aaa4-c030faa1369c.html" TargetMode="External"/><Relationship Id="rId1997" Type="http://schemas.openxmlformats.org/officeDocument/2006/relationships/hyperlink" Target="http://www.fatalencounters.org/wp-content/uploads/2013/10/Alvin-R.-Sylversmythe.jpg" TargetMode="External"/><Relationship Id="rId4056" Type="http://schemas.openxmlformats.org/officeDocument/2006/relationships/hyperlink" Target="http://www.idahostatesman.com/news/local/article193102999.html" TargetMode="External"/><Relationship Id="rId5454" Type="http://schemas.openxmlformats.org/officeDocument/2006/relationships/hyperlink" Target="https://www.fatalencounters.org/wp-content/uploads/2018/10/Antonio-Aguirre-Picture.jpg" TargetMode="External"/><Relationship Id="rId6505" Type="http://schemas.openxmlformats.org/officeDocument/2006/relationships/hyperlink" Target="https://www.newsandtribune.com/news/police-respond-to-officer-involved-shooting-at-memphis-truck-stop/article_1b400f1c-a7f0-11e9-be5b-af900c629a80.html" TargetMode="External"/><Relationship Id="rId4470" Type="http://schemas.openxmlformats.org/officeDocument/2006/relationships/hyperlink" Target="http://www.kristv.com/story/37875421/suspect-dead-following-officer-involved-shooting" TargetMode="External"/><Relationship Id="rId5107" Type="http://schemas.openxmlformats.org/officeDocument/2006/relationships/hyperlink" Target="http://www.toledoblade.com/Police-Fire/2018/08/27/Perrysburg-Township-Police-investigating-possible-shooting/stories/20180827129" TargetMode="External"/><Relationship Id="rId5521" Type="http://schemas.openxmlformats.org/officeDocument/2006/relationships/hyperlink" Target="https://www.4029tv.com/article/one-dead-after-officer-involved-shooting-in-washington-county/25453261" TargetMode="External"/><Relationship Id="rId1717" Type="http://schemas.openxmlformats.org/officeDocument/2006/relationships/hyperlink" Target="http://www.heraldnews.com/article/20160517/NEWS/305179984" TargetMode="External"/><Relationship Id="rId3072" Type="http://schemas.openxmlformats.org/officeDocument/2006/relationships/hyperlink" Target="https://oagtx.force.com/cdr/VIP_FormWizardPDF?id=a2C31000001v1RREAY" TargetMode="External"/><Relationship Id="rId4123" Type="http://schemas.openxmlformats.org/officeDocument/2006/relationships/hyperlink" Target="http://www.newson6.com/story/37295725/bartlesville-woman-72-dies-in-officer-involved-shooting" TargetMode="External"/><Relationship Id="rId3889" Type="http://schemas.openxmlformats.org/officeDocument/2006/relationships/hyperlink" Target="http://www.detroitnews.com/story/news/local/detroit-city/2017/11/26/off-duty-wayne-county-deputy-shoots-kills-armed-intruder/895599001/" TargetMode="External"/><Relationship Id="rId6295" Type="http://schemas.openxmlformats.org/officeDocument/2006/relationships/hyperlink" Target="https://fatalencounters.org/wp-content/uploads/2019/06/dewayne-craddock-1.jpg" TargetMode="External"/><Relationship Id="rId6362" Type="http://schemas.openxmlformats.org/officeDocument/2006/relationships/hyperlink" Target="https://www.krdo.com/news/teller-county/gunshots-lead-to-standoff-in-woodland-park/1085447911" TargetMode="External"/><Relationship Id="rId3956" Type="http://schemas.openxmlformats.org/officeDocument/2006/relationships/hyperlink" Target="http://abc7.com/suspect-dies-after-deputy-involved-shooting-in-artesia/2767422/" TargetMode="External"/><Relationship Id="rId6015" Type="http://schemas.openxmlformats.org/officeDocument/2006/relationships/hyperlink" Target="https://www.wsbtv.com/news/local/north-fulton-county/breaking-news-sandy-springs-road-shut-down-due-to-police-shooting/932639655" TargetMode="External"/><Relationship Id="rId877" Type="http://schemas.openxmlformats.org/officeDocument/2006/relationships/hyperlink" Target="http://www.orlandosentinel.com/news/breaking-news/os-polk-deputy-involved-shooting-death-20150922-story.html" TargetMode="External"/><Relationship Id="rId2558" Type="http://schemas.openxmlformats.org/officeDocument/2006/relationships/hyperlink" Target="http://www.fatalencounters.org/wp-content/uploads/2013/10/Miriam-Ann-Savino.jpg" TargetMode="External"/><Relationship Id="rId2972" Type="http://schemas.openxmlformats.org/officeDocument/2006/relationships/hyperlink" Target="http://www.mercurynews.com/2017/05/28/downtown-officer-involves-shooting-leaves-one-dead/" TargetMode="External"/><Relationship Id="rId3609" Type="http://schemas.openxmlformats.org/officeDocument/2006/relationships/hyperlink" Target="http://www.fatalencounters.org/wp-content/uploads/2013/10/douglas-smith-2009.jpg" TargetMode="External"/><Relationship Id="rId944" Type="http://schemas.openxmlformats.org/officeDocument/2006/relationships/hyperlink" Target="http://www.denverpost.com/news/ci_29052366/shooting-reported-near-downtown-colorado-springs" TargetMode="External"/><Relationship Id="rId1574" Type="http://schemas.openxmlformats.org/officeDocument/2006/relationships/hyperlink" Target="http://www.masslive.com/news/index.ssf/2016/04/peter_doherty_shot_by_west_spr.html" TargetMode="External"/><Relationship Id="rId2625" Type="http://schemas.openxmlformats.org/officeDocument/2006/relationships/hyperlink" Target="http://www.heraldstaronline.com/news/local-news/2017/08/update-3-judge-bruzzese-in-upmc-after-shooting-today-investigation-update-coming-this-afternoon/" TargetMode="External"/><Relationship Id="rId5031" Type="http://schemas.openxmlformats.org/officeDocument/2006/relationships/hyperlink" Target="https://www.fatalencounters.org/wp-content/uploads/2018/08/Leu-Freycinet.jpeg" TargetMode="External"/><Relationship Id="rId1227" Type="http://schemas.openxmlformats.org/officeDocument/2006/relationships/hyperlink" Target="http://www.johnsoncitypress.com/image/2016/01/06/1200x/James-Keith-Maher.jpg" TargetMode="External"/><Relationship Id="rId1641" Type="http://schemas.openxmlformats.org/officeDocument/2006/relationships/hyperlink" Target="http://www.fatalencounters.org/wp-content/uploads/2013/10/Earl-Ashby.jpg" TargetMode="External"/><Relationship Id="rId4797" Type="http://schemas.openxmlformats.org/officeDocument/2006/relationships/hyperlink" Target="https://www.nytimes.com/2018/06/21/us/antwon-rose-police-killing-protests.html" TargetMode="External"/><Relationship Id="rId5848" Type="http://schemas.openxmlformats.org/officeDocument/2006/relationships/hyperlink" Target="https://wchstv.com/news/local/one-dead-after-officer-involved-shooting-in-montgomery" TargetMode="External"/><Relationship Id="rId3399" Type="http://schemas.openxmlformats.org/officeDocument/2006/relationships/hyperlink" Target="http://www.fatalencounters.org/wp-content/uploads/2013/10/Jamie-Dougan.jpg" TargetMode="External"/><Relationship Id="rId4864" Type="http://schemas.openxmlformats.org/officeDocument/2006/relationships/hyperlink" Target="https://wgxa.tv/news/local/police-georgia-deputy-kills-man-who-shot-at-officer" TargetMode="External"/><Relationship Id="rId3466" Type="http://schemas.openxmlformats.org/officeDocument/2006/relationships/hyperlink" Target="http://www.fatalencounters.org/wp-content/uploads/2013/10/Isabelle-Duval.jpg" TargetMode="External"/><Relationship Id="rId4517" Type="http://schemas.openxmlformats.org/officeDocument/2006/relationships/hyperlink" Target="http://www.nola.com/crime/index.ssf/2018/04/alexandria_police_shootout.html" TargetMode="External"/><Relationship Id="rId5915" Type="http://schemas.openxmlformats.org/officeDocument/2006/relationships/hyperlink" Target="https://www.fatalencounters.org/wp-content/uploads/2019/03/Michael-Eugene-Pierce.jpg" TargetMode="External"/><Relationship Id="rId387" Type="http://schemas.openxmlformats.org/officeDocument/2006/relationships/hyperlink" Target="http://www.demingheadlight.com/deming-news/ci_26572049/pursuit-through-luna-county-ends-stand-off-las" TargetMode="External"/><Relationship Id="rId2068" Type="http://schemas.openxmlformats.org/officeDocument/2006/relationships/hyperlink" Target="http://www.wlky.com/news/1-person-killed-in-officerinvolved-shooting-on-broadleaf-drive/41096792" TargetMode="External"/><Relationship Id="rId3119" Type="http://schemas.openxmlformats.org/officeDocument/2006/relationships/hyperlink" Target="http://wkrn.com/2017/09/05/man-killed-in-officer-involved-shooting-in-lewis-county/" TargetMode="External"/><Relationship Id="rId3880" Type="http://schemas.openxmlformats.org/officeDocument/2006/relationships/hyperlink" Target="http://www.killedbypolice.net/victims/171077.jpg" TargetMode="External"/><Relationship Id="rId4931" Type="http://schemas.openxmlformats.org/officeDocument/2006/relationships/hyperlink" Target="https://www.pe.com/2018/07/20/riverside-police-block-off-part-of-arlington-avenue-after-apparent-pursuti/" TargetMode="External"/><Relationship Id="rId1084" Type="http://schemas.openxmlformats.org/officeDocument/2006/relationships/hyperlink" Target="http://www.killedbypolice.net/victims/150968.jpg" TargetMode="External"/><Relationship Id="rId2482" Type="http://schemas.openxmlformats.org/officeDocument/2006/relationships/hyperlink" Target="http://www.fatalencounters.org/wp-content/uploads/2013/10/Dorsey.jpg" TargetMode="External"/><Relationship Id="rId3533" Type="http://schemas.openxmlformats.org/officeDocument/2006/relationships/hyperlink" Target="http://www.fatalencounters.org/wp-content/uploads/2013/10/Troy-Boyle.png" TargetMode="External"/><Relationship Id="rId6689" Type="http://schemas.openxmlformats.org/officeDocument/2006/relationships/hyperlink" Target="https://fatalencounters.org/wp-content/uploads/2019/09/Jeremy-Connolly.jpg" TargetMode="External"/><Relationship Id="rId107" Type="http://schemas.openxmlformats.org/officeDocument/2006/relationships/hyperlink" Target="http://chronicle.augusta.com/news/crime-courts/2015-06-23/deputy-shoots-man-who-had-rifle-standoff-victim-died-monday-georgia" TargetMode="External"/><Relationship Id="rId454" Type="http://schemas.openxmlformats.org/officeDocument/2006/relationships/hyperlink" Target="http://www.nbcnewyork.com/news/local/NYPD-Shooting-FDR-Drive-96-Street-259556971.html" TargetMode="External"/><Relationship Id="rId2135" Type="http://schemas.openxmlformats.org/officeDocument/2006/relationships/hyperlink" Target="http://www.orlandosentinel.com/news/breaking-news/os-deputy-involved-shooting-avalon-20160824-story.html" TargetMode="External"/><Relationship Id="rId3600" Type="http://schemas.openxmlformats.org/officeDocument/2006/relationships/hyperlink" Target="http://www.11alive.com/news/man-dies-after-being-tased-by-butts-county-deputies/414106955" TargetMode="External"/><Relationship Id="rId6756" Type="http://schemas.openxmlformats.org/officeDocument/2006/relationships/hyperlink" Target="https://fatalencounters.org/wp-content/uploads/2019/09/Ronald-Davis.jpg" TargetMode="External"/><Relationship Id="rId521" Type="http://schemas.openxmlformats.org/officeDocument/2006/relationships/hyperlink" Target="http://www.local10.com/news/man-dead-after-shootout-with-swat/23386254" TargetMode="External"/><Relationship Id="rId1151" Type="http://schemas.openxmlformats.org/officeDocument/2006/relationships/hyperlink" Target="https://localtvwtvr.files.wordpress.com/2015/08/shooter.jpg?w=770&amp;h=433" TargetMode="External"/><Relationship Id="rId2202" Type="http://schemas.openxmlformats.org/officeDocument/2006/relationships/hyperlink" Target="http://wwmt.com/news/local/police-responding-to-incident-in-wyoming" TargetMode="External"/><Relationship Id="rId5358" Type="http://schemas.openxmlformats.org/officeDocument/2006/relationships/hyperlink" Target="https://www.fatalencounters.org/wp-content/uploads/2018/11/Kanwarbir-Malhi.jpg" TargetMode="External"/><Relationship Id="rId5772" Type="http://schemas.openxmlformats.org/officeDocument/2006/relationships/hyperlink" Target="https://www.fox5vegas.com/news/officers-identified-in-metro-s-first-police-shooting-of/article_f22ce360-2064-11e9-a684-f3502126a390.html" TargetMode="External"/><Relationship Id="rId6409" Type="http://schemas.openxmlformats.org/officeDocument/2006/relationships/hyperlink" Target="https://www.postcrescent.com/story/news/2019/06/28/menasha-police-shooting-doj-identifies-officer-suspect-involved/1601301001/" TargetMode="External"/><Relationship Id="rId6823" Type="http://schemas.openxmlformats.org/officeDocument/2006/relationships/hyperlink" Target="https://www.nytimes.com/2019/09/30/nyregion/bronx-officer-brian-mulkeen-nypd.html?fbclid=IwAR1c6wFGvlx_gLOh48akcQ1qsJz6Zaco3dZbXTncB5nekEKjwey15Ni9v2s" TargetMode="External"/><Relationship Id="rId1968" Type="http://schemas.openxmlformats.org/officeDocument/2006/relationships/hyperlink" Target="http://www.fatalencounters.org/wp-content/uploads/2013/10/Isaiah-Joseph-Soehngen.jpeg" TargetMode="External"/><Relationship Id="rId4374" Type="http://schemas.openxmlformats.org/officeDocument/2006/relationships/hyperlink" Target="http://www.kvrr.com/2018/03/12/chase-suspect-killed-during-gunfire-exchange/" TargetMode="External"/><Relationship Id="rId5425" Type="http://schemas.openxmlformats.org/officeDocument/2006/relationships/hyperlink" Target="https://www.idahostatejournal.com/news/local/isp-suspect-killed-in-trooper-involved-shooting-in-meridian/article_12dff80d-a64f-514b-bf96-6f1221709507.html" TargetMode="External"/><Relationship Id="rId3390" Type="http://schemas.openxmlformats.org/officeDocument/2006/relationships/hyperlink" Target="http://kval.com/news/local/police-presence-in-florence" TargetMode="External"/><Relationship Id="rId4027" Type="http://schemas.openxmlformats.org/officeDocument/2006/relationships/hyperlink" Target="http://www.wibw.com/content/news/Family-identifies-man-killed-by-police-in-possible-swatting-prank-467131803.html" TargetMode="External"/><Relationship Id="rId4441" Type="http://schemas.openxmlformats.org/officeDocument/2006/relationships/hyperlink" Target="http://www.fatalencounters.org/wp-content/uploads/2018/04/ChrisGatewood.jpg" TargetMode="External"/><Relationship Id="rId3043" Type="http://schemas.openxmlformats.org/officeDocument/2006/relationships/hyperlink" Target="http://www.fatalencounters.org/wp-content/uploads/2013/10/Peter-Torres.jpg" TargetMode="External"/><Relationship Id="rId6199" Type="http://schemas.openxmlformats.org/officeDocument/2006/relationships/hyperlink" Target="https://fatalencounters.org/wp-content/uploads/2019/09/Jeremiah-Janis.jpg" TargetMode="External"/><Relationship Id="rId6266" Type="http://schemas.openxmlformats.org/officeDocument/2006/relationships/hyperlink" Target="https://www.apg-wi.com/ashland_daily_press/news/local/p-m-update-police-report-area-secure-allow-residents-to/article_26e9f7a4-7cd2-11e9-8819-ffdcd394e9cd.html" TargetMode="External"/><Relationship Id="rId3110" Type="http://schemas.openxmlformats.org/officeDocument/2006/relationships/hyperlink" Target="http://khon2.com/2017/01/13/suspect-in-custody-following-shooting-at-kahuku-campground/" TargetMode="External"/><Relationship Id="rId6680" Type="http://schemas.openxmlformats.org/officeDocument/2006/relationships/hyperlink" Target="https://www.wate.com/news/authorities-identify-victim-in-knoxville-officer-involved-shooting/" TargetMode="External"/><Relationship Id="rId2876" Type="http://schemas.openxmlformats.org/officeDocument/2006/relationships/hyperlink" Target="http://www.nydailynews.com/new-york/brooklyn/knife-wielding-man-shot-wounded-brooklyn-article-1.2933589" TargetMode="External"/><Relationship Id="rId3927" Type="http://schemas.openxmlformats.org/officeDocument/2006/relationships/hyperlink" Target="http://www.tucsonnewsnow.com/story/36956870/multiple-agencies-investigate-fatal-agent-involved-shooting-west-of-tucson" TargetMode="External"/><Relationship Id="rId5282" Type="http://schemas.openxmlformats.org/officeDocument/2006/relationships/hyperlink" Target="https://www.fatalencounters.org/wp-content/uploads/2018/10/Umberto-Sanchez-Ramoz.png" TargetMode="External"/><Relationship Id="rId6333" Type="http://schemas.openxmlformats.org/officeDocument/2006/relationships/hyperlink" Target="https://www.koat.com/article/police-activity-reported-at-nexus-brewery-in-ne-abq/27853311" TargetMode="External"/><Relationship Id="rId848" Type="http://schemas.openxmlformats.org/officeDocument/2006/relationships/hyperlink" Target="http://www.syracuse.com/state/index.ssf/2015/09/police_id_clarkson_students_who_died_in_stabbing_officer-involved_shooting.html?hootPostID=0d0dfea04a7259e481e5dcbb19168d52" TargetMode="External"/><Relationship Id="rId1478" Type="http://schemas.openxmlformats.org/officeDocument/2006/relationships/hyperlink" Target="http://www.koco.com/news/okc-police-investigating-officerinvolved-shooting-on-northwest-side/37266056" TargetMode="External"/><Relationship Id="rId1892" Type="http://schemas.openxmlformats.org/officeDocument/2006/relationships/hyperlink" Target="http://5newsonline.com/2016/06/24/police-armed-man-spotted-at-farmington-house-fire/" TargetMode="External"/><Relationship Id="rId2529" Type="http://schemas.openxmlformats.org/officeDocument/2006/relationships/hyperlink" Target="http://www.commercialappeal.com/story/news/crime/2016/12/18/tbi-investigates-fatal-officer-involved-shooting/95584864/" TargetMode="External"/><Relationship Id="rId6400" Type="http://schemas.openxmlformats.org/officeDocument/2006/relationships/hyperlink" Target="https://myfox28columbus.com/news/local/suspect-dead-in-officer-involved-shooting-06-25-2019" TargetMode="External"/><Relationship Id="rId915" Type="http://schemas.openxmlformats.org/officeDocument/2006/relationships/hyperlink" Target="http://www.chicagotribune.com/news/local/breaking/ct-lisle-fatal-police-shooting-20151010-story.html" TargetMode="External"/><Relationship Id="rId1545" Type="http://schemas.openxmlformats.org/officeDocument/2006/relationships/hyperlink" Target="http://wnyt.com/news/troy-police-traffic-stop-officer-pinned-by-car-suspect-shot/4109350/" TargetMode="External"/><Relationship Id="rId2943" Type="http://schemas.openxmlformats.org/officeDocument/2006/relationships/hyperlink" Target="http://www.fatalencounters.org/wp-content/uploads/2013/10/HERRERA-JASON-MAGANA.jpg" TargetMode="External"/><Relationship Id="rId5002" Type="http://schemas.openxmlformats.org/officeDocument/2006/relationships/hyperlink" Target="http://www.wesh.com/article/deputy-involved-shooting-reported-in-seville-officials-say/22641967" TargetMode="External"/><Relationship Id="rId7174" Type="http://schemas.openxmlformats.org/officeDocument/2006/relationships/hyperlink" Target="http://herald-review.com/news/local/mattoon-murder-suspect-o-dell-dies-in-shootout-with-arkansas/article_8edcba98-9cd9-11e2-a998-001a4bcf887a.html" TargetMode="External"/><Relationship Id="rId1612" Type="http://schemas.openxmlformats.org/officeDocument/2006/relationships/hyperlink" Target="http://www.kktv.com/home/headlines/1-Injured-In-Officer-Involved-Shooting-373341071.html" TargetMode="External"/><Relationship Id="rId4768" Type="http://schemas.openxmlformats.org/officeDocument/2006/relationships/hyperlink" Target="http://local12.com/news/local/suspect-in-two-butler-county-murders-and-a-standoff-identified" TargetMode="External"/><Relationship Id="rId5819" Type="http://schemas.openxmlformats.org/officeDocument/2006/relationships/hyperlink" Target="https://patch.com/illinois/joliet/joliet-police-shoot-bank-robbery-suspect-sources" TargetMode="External"/><Relationship Id="rId6190" Type="http://schemas.openxmlformats.org/officeDocument/2006/relationships/hyperlink" Target="https://www.nbcbayarea.com/news/local/Police-Investigating-Officer-Involved-Shooting-in-San-Jose-509483871.html" TargetMode="External"/><Relationship Id="rId3784" Type="http://schemas.openxmlformats.org/officeDocument/2006/relationships/hyperlink" Target="http://www.latimes.com/local/lanow/la-me-ln-sacramento-ois-pitchfork-20171102-story.html" TargetMode="External"/><Relationship Id="rId4835" Type="http://schemas.openxmlformats.org/officeDocument/2006/relationships/hyperlink" Target="https://www.fatalencounters.org/wp-content/uploads/2018/07/KatieSasser.jpg" TargetMode="External"/><Relationship Id="rId7241" Type="http://schemas.openxmlformats.org/officeDocument/2006/relationships/hyperlink" Target="http://www.abqjournal.com/288503/news/espanola-man-killed-state-police-officer-injured-in-shooting.html" TargetMode="External"/><Relationship Id="rId2386" Type="http://schemas.openxmlformats.org/officeDocument/2006/relationships/hyperlink" Target="http://www.fatalencounters.org/wp-content/uploads/2013/10/Daniel-Laguna.jpg" TargetMode="External"/><Relationship Id="rId3437" Type="http://schemas.openxmlformats.org/officeDocument/2006/relationships/hyperlink" Target="http://www.fatalencounters.org/wp-content/uploads/2013/10/James-Gleason.png" TargetMode="External"/><Relationship Id="rId3851" Type="http://schemas.openxmlformats.org/officeDocument/2006/relationships/hyperlink" Target="http://www.recordnet.com/news/20171114/stockton-police-shoot-kill-knife-wielding-man" TargetMode="External"/><Relationship Id="rId4902" Type="http://schemas.openxmlformats.org/officeDocument/2006/relationships/hyperlink" Target="https://www.wfla.com/news/hillsborough-county/authorities-identify-man-killed-in-deputy-involved-shooting-in-riverview/1302995204" TargetMode="External"/><Relationship Id="rId358" Type="http://schemas.openxmlformats.org/officeDocument/2006/relationships/hyperlink" Target="http://www.kutv.com/news/features/top-stories/stories/South-Jordan-police-give-more-details-in-shooting-death-of-1-man-59617.shtml" TargetMode="External"/><Relationship Id="rId772" Type="http://schemas.openxmlformats.org/officeDocument/2006/relationships/hyperlink" Target="http://www.trbimg.com/img-55d4fdaf/turbine/la-me-inmate-killed-by-guards-in-third-prison--002/550/309x550" TargetMode="External"/><Relationship Id="rId2039" Type="http://schemas.openxmlformats.org/officeDocument/2006/relationships/hyperlink" Target="http://www.fatalencounters.org/wp-content/uploads/2013/10/William-Bowers.jpg" TargetMode="External"/><Relationship Id="rId2453" Type="http://schemas.openxmlformats.org/officeDocument/2006/relationships/hyperlink" Target="https://www.bostonglobe.com/metro/2016/11/29/police-officer-shoots-lynnway/xUZfuq5nMXTsPUfL7mWAMI/story.html" TargetMode="External"/><Relationship Id="rId3504" Type="http://schemas.openxmlformats.org/officeDocument/2006/relationships/hyperlink" Target="http://www.ksla.com/story/35234096/angelina-county-sheriff-releases-name-of-man-killed-in-early-morning-swat-standoff" TargetMode="External"/><Relationship Id="rId425" Type="http://schemas.openxmlformats.org/officeDocument/2006/relationships/hyperlink" Target="http://www.12newsnow.com/story/26796642/vidor-officers-cleared-by-grand-jury-will-return-to-work-friday" TargetMode="External"/><Relationship Id="rId1055" Type="http://schemas.openxmlformats.org/officeDocument/2006/relationships/hyperlink" Target="http://ktla.com/2015/04/05/armed-man-is-fatally-shot-by-anaheim-police-1-day-after-posting-bail/" TargetMode="External"/><Relationship Id="rId2106" Type="http://schemas.openxmlformats.org/officeDocument/2006/relationships/hyperlink" Target="http://wvmetronews.com/2016/08/17/suspect-shot-and-killed-by-deputy-in-hampshire-county/" TargetMode="External"/><Relationship Id="rId2520" Type="http://schemas.openxmlformats.org/officeDocument/2006/relationships/hyperlink" Target="http://www.fatalencounters.org/wp-content/uploads/2013/10/Lavar-Montray-Douglas.jpg" TargetMode="External"/><Relationship Id="rId5676" Type="http://schemas.openxmlformats.org/officeDocument/2006/relationships/hyperlink" Target="https://www.fatalencounters.org/wp-content/uploads/2019/01/David-John-Engebretson.jpg" TargetMode="External"/><Relationship Id="rId6727" Type="http://schemas.openxmlformats.org/officeDocument/2006/relationships/hyperlink" Target="https://abc7.com/glendora-robbery-suspect-killed-2nd-suspect-at-large/5520890/" TargetMode="External"/><Relationship Id="rId1122" Type="http://schemas.openxmlformats.org/officeDocument/2006/relationships/hyperlink" Target="http://www.boydmortuary.com/fh_live/14900/14906/images/obituaries/3375053_wlpp.jpg" TargetMode="External"/><Relationship Id="rId4278" Type="http://schemas.openxmlformats.org/officeDocument/2006/relationships/hyperlink" Target="http://www.wsfa.com/story/37559348/3-shot-including-mpd-officer-shooting-suspect-dead" TargetMode="External"/><Relationship Id="rId5329" Type="http://schemas.openxmlformats.org/officeDocument/2006/relationships/hyperlink" Target="https://www.freep.com/story/news/local/michigan/detroit/2018/10/25/officer-involved-shooting-leaves-man-critical-condition/1759688002/" TargetMode="External"/><Relationship Id="rId3294" Type="http://schemas.openxmlformats.org/officeDocument/2006/relationships/hyperlink" Target="https://www.gannett-cdn.com/-mm-/6ab1384f3b919b54fbff2fb42c108b4c397f3475/c=14-0-540-701&amp;r=537&amp;c=0-0-534-712/local/-/media/2017/08/25/Springfield/Springfield/636392623647555635-Jonathan.jpg" TargetMode="External"/><Relationship Id="rId4345" Type="http://schemas.openxmlformats.org/officeDocument/2006/relationships/hyperlink" Target="http://www.star-telegram.com/news/local/community/arlington/article204225524.html" TargetMode="External"/><Relationship Id="rId4692" Type="http://schemas.openxmlformats.org/officeDocument/2006/relationships/hyperlink" Target="http://www.gainesville.com/news/20180524/deputy-fatally-shoots-man-at-phoenix-house-in-citra" TargetMode="External"/><Relationship Id="rId5743" Type="http://schemas.openxmlformats.org/officeDocument/2006/relationships/hyperlink" Target="https://www.wcnc.com/article/news/local/cmpd-identifies-suspect-officer-in-deadly-police-shooting-in-west-charlotte/275-6feb0c50-f41d-42a9-b4e3-1a3aed3c59e1" TargetMode="External"/><Relationship Id="rId1939" Type="http://schemas.openxmlformats.org/officeDocument/2006/relationships/hyperlink" Target="http://www.latimes.com/local/lanow/la-me-ln-covina-lapd-officer-fatal-shooting-20160706-snap-story.html" TargetMode="External"/><Relationship Id="rId5810" Type="http://schemas.openxmlformats.org/officeDocument/2006/relationships/hyperlink" Target="https://www.fatalencounters.org/wp-content/uploads/2019/02/Casey-Joe-Wright-Wells.jpg" TargetMode="External"/><Relationship Id="rId3361" Type="http://schemas.openxmlformats.org/officeDocument/2006/relationships/hyperlink" Target="http://www.keyt.com/news/man-killed-in-grover-beach-officer-involved-shooting/586636266" TargetMode="External"/><Relationship Id="rId4412" Type="http://schemas.openxmlformats.org/officeDocument/2006/relationships/hyperlink" Target="http://www.nola.com/northshore/index.ssf/2018/03/suspect_shot_and_killed_by_pol.html" TargetMode="External"/><Relationship Id="rId282" Type="http://schemas.openxmlformats.org/officeDocument/2006/relationships/hyperlink" Target="http://www.ocala.com/article/20150429/ARTICLES/150429614" TargetMode="External"/><Relationship Id="rId3014" Type="http://schemas.openxmlformats.org/officeDocument/2006/relationships/hyperlink" Target="http://losangeles.cbslocal.com/2017/03/04/officer-involved-shooting-occurs-in-downtown-la/" TargetMode="External"/><Relationship Id="rId6584" Type="http://schemas.openxmlformats.org/officeDocument/2006/relationships/hyperlink" Target="https://www.kget.com/news/local-news/man-killed-in-officer-involved-shooting-identified/" TargetMode="External"/><Relationship Id="rId2030" Type="http://schemas.openxmlformats.org/officeDocument/2006/relationships/hyperlink" Target="http://kimatv.com/news/local/authorities-investigating-officer-involved-shooting-in-wapato" TargetMode="External"/><Relationship Id="rId5186" Type="http://schemas.openxmlformats.org/officeDocument/2006/relationships/hyperlink" Target="https://pilotonline.com/news/local/crime/article_bb40b6f4-bd01-11e8-b05e-fb8ae817793f.html" TargetMode="External"/><Relationship Id="rId6237" Type="http://schemas.openxmlformats.org/officeDocument/2006/relationships/hyperlink" Target="https://www.wwltv.com/article/news/man-killed-in-shootout-with-police-shot-at-them-first-nopd-chief-says/289-3ddbe873-6a8a-42da-85b7-938734a58d00" TargetMode="External"/><Relationship Id="rId6651" Type="http://schemas.openxmlformats.org/officeDocument/2006/relationships/hyperlink" Target="https://www.tampabay.com/news/pinellas/2019/10/31/pinellas-deputy-cleared-in-death-of-guatemalan-man-he-had-stopped-over-a-false-report/" TargetMode="External"/><Relationship Id="rId5253" Type="http://schemas.openxmlformats.org/officeDocument/2006/relationships/hyperlink" Target="https://www.fatalencounters.org/wp-content/uploads/2018/10/Sershawn-Martez-Dillon.jpg" TargetMode="External"/><Relationship Id="rId6304" Type="http://schemas.openxmlformats.org/officeDocument/2006/relationships/hyperlink" Target="https://fatalencounters.org/wp-content/uploads/2019/06/TravisJamesEckstein.jpg" TargetMode="External"/><Relationship Id="rId1449" Type="http://schemas.openxmlformats.org/officeDocument/2006/relationships/hyperlink" Target="http://www.brownsvilleherald.com/news/texas/article_d301d166-9ac2-5879-be56-ecfb145e4235.html" TargetMode="External"/><Relationship Id="rId1796" Type="http://schemas.openxmlformats.org/officeDocument/2006/relationships/hyperlink" Target="http://woodtv.com/2016/06/05/calhoun-co-deputy-spouse-killed-in-emmett-twp/" TargetMode="External"/><Relationship Id="rId2847" Type="http://schemas.openxmlformats.org/officeDocument/2006/relationships/hyperlink" Target="http://www.star-telegram.com/news/local/community/arlington/article130274734.html" TargetMode="External"/><Relationship Id="rId88" Type="http://schemas.openxmlformats.org/officeDocument/2006/relationships/hyperlink" Target="http://www.killedbypolice.net/victims/150628.jpg" TargetMode="External"/><Relationship Id="rId819" Type="http://schemas.openxmlformats.org/officeDocument/2006/relationships/hyperlink" Target="http://www.dailynews.com/general-news/20150901/man-fatally-shot-by-police-in-van-nuys-was-homeless-coroner-says" TargetMode="External"/><Relationship Id="rId1863" Type="http://schemas.openxmlformats.org/officeDocument/2006/relationships/hyperlink" Target="http://www.fatalencounters.org/wp-content/uploads/2013/10/Isaiah-Core-III.jpg" TargetMode="External"/><Relationship Id="rId2914" Type="http://schemas.openxmlformats.org/officeDocument/2006/relationships/hyperlink" Target="http://www.sacbee.com/news/local/crime/article164753172.html" TargetMode="External"/><Relationship Id="rId5320" Type="http://schemas.openxmlformats.org/officeDocument/2006/relationships/hyperlink" Target="https://www.ksl.com/article/46411750/police-identify-man-killed-during-officer-involved-shooting-in-riverton" TargetMode="External"/><Relationship Id="rId7078" Type="http://schemas.openxmlformats.org/officeDocument/2006/relationships/hyperlink" Target="https://www.ktoo.org/2019/12/29/juneau-police-report-shooting-and-killing-a-man-on-cinema-drive/" TargetMode="External"/><Relationship Id="rId1516" Type="http://schemas.openxmlformats.org/officeDocument/2006/relationships/hyperlink" Target="http://www.farmvilleherald.com/wp-content/uploads/2016/02/DSC_1171-e1455497533904-681x1024.jpg" TargetMode="External"/><Relationship Id="rId1930" Type="http://schemas.openxmlformats.org/officeDocument/2006/relationships/hyperlink" Target="http://www.fatalencounters.org/wp-content/uploads/2013/10/William-Tracy-Patterson.jpg" TargetMode="External"/><Relationship Id="rId3688" Type="http://schemas.openxmlformats.org/officeDocument/2006/relationships/hyperlink" Target="http://www.wpsdlocal6.com/story/34270275/officer-involved-shooting-under-investigation-in-fulton-kentucky" TargetMode="External"/><Relationship Id="rId4739" Type="http://schemas.openxmlformats.org/officeDocument/2006/relationships/hyperlink" Target="https://www.newsday.com/long-island/crime/police-shooting-merrick-1.19005608" TargetMode="External"/><Relationship Id="rId6094" Type="http://schemas.openxmlformats.org/officeDocument/2006/relationships/hyperlink" Target="https://www.fatalencounters.org/wp-content/uploads/2019/04/David-Wittman.jpg" TargetMode="External"/><Relationship Id="rId7145" Type="http://schemas.openxmlformats.org/officeDocument/2006/relationships/hyperlink" Target="http://thetandd.com/news/local/deputy-s-gunshot-kills-man/article_b7141476-9111-11e2-883a-0019bb2963f4.html" TargetMode="External"/><Relationship Id="rId3755" Type="http://schemas.openxmlformats.org/officeDocument/2006/relationships/hyperlink" Target="http://www.fatalencounters.org/wp-content/uploads/2013/10/James-M.-Davis.jpg" TargetMode="External"/><Relationship Id="rId4806" Type="http://schemas.openxmlformats.org/officeDocument/2006/relationships/hyperlink" Target="https://www.fatalencounters.org/wp-content/uploads/2018/06/Jesse-Wade-Powell.jpg" TargetMode="External"/><Relationship Id="rId6161" Type="http://schemas.openxmlformats.org/officeDocument/2006/relationships/hyperlink" Target="https://www.newsandtribune.com/news/man-dies-after-police-involved-shooting-friday-night-in-clarksville/article_0c414ca6-68e4-11e9-966f-5b9798c84225.html" TargetMode="External"/><Relationship Id="rId7212" Type="http://schemas.openxmlformats.org/officeDocument/2006/relationships/hyperlink" Target="http://media.cmgdigital.com/shared/img/photos/2013/07/19/aa/f7/shooting1.jpg" TargetMode="External"/><Relationship Id="rId676" Type="http://schemas.openxmlformats.org/officeDocument/2006/relationships/hyperlink" Target="http://www.ky3.com/news/local/law-enforcement-work-standoff-near-ozarks-square/21048998_36658518" TargetMode="External"/><Relationship Id="rId2357" Type="http://schemas.openxmlformats.org/officeDocument/2006/relationships/hyperlink" Target="http://www.aikenstandard.com/news/sled-investigating-fatal-officer-involved-shooting-in-aiken-county/article_ad7a638e-a4d6-11e6-9d07-f3296867cb7a.html" TargetMode="External"/><Relationship Id="rId3408" Type="http://schemas.openxmlformats.org/officeDocument/2006/relationships/hyperlink" Target="http://www.cbsnews.com/news/james-t-hodgkinson-identified-as-suspect-in-alexandria-shooting/" TargetMode="External"/><Relationship Id="rId329" Type="http://schemas.openxmlformats.org/officeDocument/2006/relationships/hyperlink" Target="http://www.kpho.com/story/27660383/pd-phoenix-officer-involved-in-shooting" TargetMode="External"/><Relationship Id="rId1373" Type="http://schemas.openxmlformats.org/officeDocument/2006/relationships/hyperlink" Target="http://theadvocate.com/news/police/14799518-123/state-police-identify-addis-reserve-officer-involved-in-wifes-fatal-shooting" TargetMode="External"/><Relationship Id="rId2771" Type="http://schemas.openxmlformats.org/officeDocument/2006/relationships/hyperlink" Target="http://www.fatalencounters.org/wp-content/uploads/2013/10/Alteria-Woods.jpg" TargetMode="External"/><Relationship Id="rId3822" Type="http://schemas.openxmlformats.org/officeDocument/2006/relationships/hyperlink" Target="http://www.providencejournal.com/news/20171109/man-killed-by-police-in-providence-did-not-steal-state-police-cruiser" TargetMode="External"/><Relationship Id="rId6978" Type="http://schemas.openxmlformats.org/officeDocument/2006/relationships/hyperlink" Target="https://fatalencounters.org/wp-content/uploads/2019/12/Robert-Allen-Elfgen1.jpg" TargetMode="External"/><Relationship Id="rId743" Type="http://schemas.openxmlformats.org/officeDocument/2006/relationships/hyperlink" Target="http://bloximages.chicago2.vip.townnews.com/wacotrib.com/content/tncms/assets/v3/editorial/4/82/48227766-7587-5e01-bab0-26e1b520923e/55cbc329cd5f0.image.jpg?resize=300%2C376" TargetMode="External"/><Relationship Id="rId1026" Type="http://schemas.openxmlformats.org/officeDocument/2006/relationships/hyperlink" Target="http://www.wgal.com/news/breaking-news-officer-shot-in-lancaster/33104470" TargetMode="External"/><Relationship Id="rId2424" Type="http://schemas.openxmlformats.org/officeDocument/2006/relationships/hyperlink" Target="http://abc13.com/news/multiple-people-hurt-at-raising-canes-in-the-woodlands/1621556/" TargetMode="External"/><Relationship Id="rId5994" Type="http://schemas.openxmlformats.org/officeDocument/2006/relationships/hyperlink" Target="https://www.koin.com/news/crime/the-dalles-police-kill-man-allegedly-shooting-at-neighbor/1856210771" TargetMode="External"/><Relationship Id="rId810" Type="http://schemas.openxmlformats.org/officeDocument/2006/relationships/hyperlink" Target="http://www.reviewjournal.com/news/las-vegas/police-shoot-kill-man-holding-sharp-object" TargetMode="External"/><Relationship Id="rId1440" Type="http://schemas.openxmlformats.org/officeDocument/2006/relationships/hyperlink" Target="http://ktla.com/2016/03/06/police-shoot-kill-man-who-opened-fire-on-them-in-south-gate-sheriffs-department/" TargetMode="External"/><Relationship Id="rId4596" Type="http://schemas.openxmlformats.org/officeDocument/2006/relationships/hyperlink" Target="http://www.azfamily.com/story/38095071/dps-1-officer-shot-suspect-dead-in-quartzsite-officer-involved-shooting" TargetMode="External"/><Relationship Id="rId5647" Type="http://schemas.openxmlformats.org/officeDocument/2006/relationships/hyperlink" Target="https://www.wfmynews2.com/article/news/local/man-killed-deputy-injured-after-deadly-encounter-in-davidson-county/83-36033fca-e2ac-4172-8f7a-3d97f0b8026f" TargetMode="External"/><Relationship Id="rId3198" Type="http://schemas.openxmlformats.org/officeDocument/2006/relationships/hyperlink" Target="http://www.denverpost.com/2017/05/10/westminster-standoff-suspect-killed/" TargetMode="External"/><Relationship Id="rId4249" Type="http://schemas.openxmlformats.org/officeDocument/2006/relationships/hyperlink" Target="http://kron4.com/2018/02/14/1-shot-killed-during-struggle-with-vallejo-police-officer/" TargetMode="External"/><Relationship Id="rId4663" Type="http://schemas.openxmlformats.org/officeDocument/2006/relationships/hyperlink" Target="http://www.orlandosentinel.com/news/breaking-news/os-david-romansky-dead-lake-mary-20180516-story.html" TargetMode="External"/><Relationship Id="rId5714" Type="http://schemas.openxmlformats.org/officeDocument/2006/relationships/hyperlink" Target="http://www.fatalencounters.org/wp-content/uploads/2019/04/Amiliano-Antonio-Apodaca.jpg" TargetMode="External"/><Relationship Id="rId3265" Type="http://schemas.openxmlformats.org/officeDocument/2006/relationships/hyperlink" Target="http://www.fatalencounters.org/wp-content/uploads/2013/10/DebiLynnThorkelson.jpg" TargetMode="External"/><Relationship Id="rId4316" Type="http://schemas.openxmlformats.org/officeDocument/2006/relationships/hyperlink" Target="http://www.kansascity.com/news/local/article203371824.html" TargetMode="External"/><Relationship Id="rId4730" Type="http://schemas.openxmlformats.org/officeDocument/2006/relationships/hyperlink" Target="http://www.ozarksfirst.com/news/breaking-officer-involved-shooting/1218326115" TargetMode="External"/><Relationship Id="rId186" Type="http://schemas.openxmlformats.org/officeDocument/2006/relationships/hyperlink" Target="http://www.kirotv.com/news/news/breaking-news-deputy-shoots-kills-man-near-monroe/nmNnq/" TargetMode="External"/><Relationship Id="rId2281" Type="http://schemas.openxmlformats.org/officeDocument/2006/relationships/hyperlink" Target="http://www.wtvq.com/2016/10/19/paris-police-officer-shot-vest-suspect-barricaded-home/" TargetMode="External"/><Relationship Id="rId3332" Type="http://schemas.openxmlformats.org/officeDocument/2006/relationships/hyperlink" Target="http://www.fatalencounters.org/wp-content/uploads/2013/10/Alexander-J.-Schoessel.jpg" TargetMode="External"/><Relationship Id="rId6488" Type="http://schemas.openxmlformats.org/officeDocument/2006/relationships/hyperlink" Target="https://www.clickorlando.com/news/1-dead-after-deputy-involved-shooting-in-sumter-county" TargetMode="External"/><Relationship Id="rId253" Type="http://schemas.openxmlformats.org/officeDocument/2006/relationships/hyperlink" Target="http://www.kentucky.com/2015/04/19/3809168/wilmore-man-killed-by-police-had.html" TargetMode="External"/><Relationship Id="rId6555" Type="http://schemas.openxmlformats.org/officeDocument/2006/relationships/hyperlink" Target="https://fatalencounters.org/wp-content/uploads/2019/08/Lane-Christopher-Martin.jpg" TargetMode="External"/><Relationship Id="rId320" Type="http://schemas.openxmlformats.org/officeDocument/2006/relationships/hyperlink" Target="http://www.wesh.com/news/sheriff-brevard-deputy-fatally-shoots-armed-wanted-man/30415088" TargetMode="External"/><Relationship Id="rId2001" Type="http://schemas.openxmlformats.org/officeDocument/2006/relationships/hyperlink" Target="http://www.fatalencounters.org/wp-content/uploads/2013/10/Anthony-Michael-Edwards.jpg" TargetMode="External"/><Relationship Id="rId5157" Type="http://schemas.openxmlformats.org/officeDocument/2006/relationships/hyperlink" Target="https://buffalonews.com/2018/09/12/one-dead-in-officer-involved-shooting-on-plymouth/" TargetMode="External"/><Relationship Id="rId6208" Type="http://schemas.openxmlformats.org/officeDocument/2006/relationships/hyperlink" Target="https://wvva.com/news/top-stories/2019/05/10/update-man-injured-during-officer-involved-shooting-dies-woman-arrested/" TargetMode="External"/><Relationship Id="rId5571" Type="http://schemas.openxmlformats.org/officeDocument/2006/relationships/hyperlink" Target="https://www.fatalencounters.org/wp-content/uploads/2018/12/Courtney-Breanne-Strawn.jpg" TargetMode="External"/><Relationship Id="rId6622" Type="http://schemas.openxmlformats.org/officeDocument/2006/relationships/hyperlink" Target="https://fatalencounters.org/wp-content/uploads/2019/08/Aaron-Luther.jpg" TargetMode="External"/><Relationship Id="rId1767" Type="http://schemas.openxmlformats.org/officeDocument/2006/relationships/hyperlink" Target="http://www.mysanantonio.com/news/local/crime/article/Man-tasered-by-SAPD-officers-while-resisting-7951532.php" TargetMode="External"/><Relationship Id="rId2818" Type="http://schemas.openxmlformats.org/officeDocument/2006/relationships/hyperlink" Target="http://www.fatalencounters.org/wp-content/uploads/2013/10/Kadeem-Torres.jpg" TargetMode="External"/><Relationship Id="rId4173" Type="http://schemas.openxmlformats.org/officeDocument/2006/relationships/hyperlink" Target="http://www.wbaltv.com/article/2-msp-troopers-shot-suspect-killed-in-allegany-county-barricade/15892628" TargetMode="External"/><Relationship Id="rId5224" Type="http://schemas.openxmlformats.org/officeDocument/2006/relationships/hyperlink" Target="https://www.actionnewsjax.com/news/local/officer-involved-shooting-in-palatka-police-say/842275550" TargetMode="External"/><Relationship Id="rId59" Type="http://schemas.openxmlformats.org/officeDocument/2006/relationships/hyperlink" Target="http://www.scpr.org/news/2015/07/10/53025/mid-wilshire-police-shooting-suspect-in-skateboard/" TargetMode="External"/><Relationship Id="rId1834" Type="http://schemas.openxmlformats.org/officeDocument/2006/relationships/hyperlink" Target="http://www.nbcsandiego.com/news/local/Chula-Vista-Police-Searching-for-Suspect-in-Eastlake-Shooting-383023971.html" TargetMode="External"/><Relationship Id="rId4240" Type="http://schemas.openxmlformats.org/officeDocument/2006/relationships/hyperlink" Target="http://www.wtae.com/article/suspect-shot-killed-by-police-after-chase-in-homewood-south/17011066" TargetMode="External"/><Relationship Id="rId7049" Type="http://schemas.openxmlformats.org/officeDocument/2006/relationships/hyperlink" Target="https://www.redding.com/story/news/2019/12/22/redding-police-shoot-man-during-traffic-stop/2727204001/" TargetMode="External"/><Relationship Id="rId1901" Type="http://schemas.openxmlformats.org/officeDocument/2006/relationships/hyperlink" Target="http://krqe.com/2016/07/01/state-police-identify-suspect-that-was-shot-killed-on-laguna-pueblo/" TargetMode="External"/><Relationship Id="rId3659" Type="http://schemas.openxmlformats.org/officeDocument/2006/relationships/hyperlink" Target="http://www.cbs58.com/story/34416043/dci-currently-investigating-officer-involved-critical-incident-in-the-town-of-geneva" TargetMode="External"/><Relationship Id="rId6065" Type="http://schemas.openxmlformats.org/officeDocument/2006/relationships/hyperlink" Target="https://www.fatalencounters.org/wp-content/uploads/2019/04/Jeffrey-Nicholas-Garner.jpg" TargetMode="External"/><Relationship Id="rId7116" Type="http://schemas.openxmlformats.org/officeDocument/2006/relationships/hyperlink" Target="https://www.usnews.com/news/best-states/california/articles/2018-11-30/3-dead-8-injured-after-fleeing-truck-rollover-in-california" TargetMode="External"/><Relationship Id="rId5081" Type="http://schemas.openxmlformats.org/officeDocument/2006/relationships/hyperlink" Target="http://mynorthwest.com/1088817/shoreline-officer-involved-shooting/" TargetMode="External"/><Relationship Id="rId6132" Type="http://schemas.openxmlformats.org/officeDocument/2006/relationships/hyperlink" Target="https://fatalencounters.org/wp-content/uploads/2019/09/Patrick-West.jpg" TargetMode="External"/><Relationship Id="rId994" Type="http://schemas.openxmlformats.org/officeDocument/2006/relationships/hyperlink" Target="http://ak-cache.legacy.net/legacy/images/cobrands/birmingham/Photos/photo_20150625_AL0069125_0_danteljelks2015_20150625.jpg?v=0x00000000308a6237" TargetMode="External"/><Relationship Id="rId2675" Type="http://schemas.openxmlformats.org/officeDocument/2006/relationships/hyperlink" Target="http://www.fatalencounters.org/wp-content/uploads/2013/10/DavidLeonBell.jpg" TargetMode="External"/><Relationship Id="rId3726" Type="http://schemas.openxmlformats.org/officeDocument/2006/relationships/hyperlink" Target="http://www.fatalencounters.org/wp-content/uploads/2013/10/jamarco-mcshann-2.jpg" TargetMode="External"/><Relationship Id="rId647" Type="http://schemas.openxmlformats.org/officeDocument/2006/relationships/hyperlink" Target="http://www.killedbypolice.net/victims/151026.jpg" TargetMode="External"/><Relationship Id="rId1277" Type="http://schemas.openxmlformats.org/officeDocument/2006/relationships/hyperlink" Target="http://extras.mnginteractive.com/live/media/site36/2016/0224/20160224_031631_Alfonso_Padilla.jpg" TargetMode="External"/><Relationship Id="rId1691" Type="http://schemas.openxmlformats.org/officeDocument/2006/relationships/hyperlink" Target="http://www.chicagotribune.com/news/local/breaking/ct-chicago-police-shoot-robbery-suspect-on-southwest-side-20160509-story.html" TargetMode="External"/><Relationship Id="rId2328" Type="http://schemas.openxmlformats.org/officeDocument/2006/relationships/hyperlink" Target="http://www.kristv.com/story/33515883/suspect-shot-and-killed-by-police-during-standoff-at-shoreline" TargetMode="External"/><Relationship Id="rId2742" Type="http://schemas.openxmlformats.org/officeDocument/2006/relationships/hyperlink" Target="http://www.fatalencounters.org/wp-content/uploads/2013/10/Burgon-Sealy-Jr..jpg" TargetMode="External"/><Relationship Id="rId5898" Type="http://schemas.openxmlformats.org/officeDocument/2006/relationships/hyperlink" Target="https://www.fatalencounters.org/wp-content/uploads/2019/03/sterling-humbert.jpg" TargetMode="External"/><Relationship Id="rId6949" Type="http://schemas.openxmlformats.org/officeDocument/2006/relationships/hyperlink" Target="https://fatalencounters.org/wp-content/uploads/2019/11/John-Feggins.jpeg" TargetMode="External"/><Relationship Id="rId714" Type="http://schemas.openxmlformats.org/officeDocument/2006/relationships/hyperlink" Target="http://www.wdtv.com/wdtv.cfm?func=view&amp;section=5-News&amp;item=BREAKING-NEWS-One-Person-Killed-in-Police-Involved-Shooting-26608" TargetMode="External"/><Relationship Id="rId1344" Type="http://schemas.openxmlformats.org/officeDocument/2006/relationships/hyperlink" Target="http://koin.com/2016/01/26/malheur-militia-law-enforcement-01262016/" TargetMode="External"/><Relationship Id="rId5965" Type="http://schemas.openxmlformats.org/officeDocument/2006/relationships/hyperlink" Target="https://www.fatalencounters.org/wp-content/uploads/2019/03/Sokhom-Hon.png" TargetMode="External"/><Relationship Id="rId50" Type="http://schemas.openxmlformats.org/officeDocument/2006/relationships/hyperlink" Target="http://wkbn.com/2015/07/14/man-dies-in-shootout-with-police-in-southington/" TargetMode="External"/><Relationship Id="rId1411" Type="http://schemas.openxmlformats.org/officeDocument/2006/relationships/hyperlink" Target="http://www.turnto23.com/news/breaking-news/reports-of-officer-involved-shooting-at-amtrak-station" TargetMode="External"/><Relationship Id="rId4567" Type="http://schemas.openxmlformats.org/officeDocument/2006/relationships/hyperlink" Target="https://kdminer.com/news/2018/apr/24/89-year-old-man-fatally-shot-hualapai-police-grand/" TargetMode="External"/><Relationship Id="rId5618" Type="http://schemas.openxmlformats.org/officeDocument/2006/relationships/hyperlink" Target="https://www.seattletimes.com/seattle-news/man-killed-in-officer-involved-shooting-in-north-seattle/" TargetMode="External"/><Relationship Id="rId3169" Type="http://schemas.openxmlformats.org/officeDocument/2006/relationships/hyperlink" Target="http://krqe.com/2017/07/04/1-killed-after-deputy-involved-shooting-in-southwest-albuquerque/" TargetMode="External"/><Relationship Id="rId3583" Type="http://schemas.openxmlformats.org/officeDocument/2006/relationships/hyperlink" Target="http://www.fatalencounters.org/wp-content/uploads/2013/10/FrankWratney.jpg" TargetMode="External"/><Relationship Id="rId4981" Type="http://schemas.openxmlformats.org/officeDocument/2006/relationships/hyperlink" Target="https://www.thedenverchannel.com/news/crime/police-man-killed-in-home-by-aurora-pd-monday-morning-had-fatally-shot-intruder-minutes-earlier" TargetMode="External"/><Relationship Id="rId7040" Type="http://schemas.openxmlformats.org/officeDocument/2006/relationships/hyperlink" Target="https://www.wishtv.com/news/crime-watch-8/isp-gunman-dies-after-randolph-county-shooting-swat-standoff/" TargetMode="External"/><Relationship Id="rId2185" Type="http://schemas.openxmlformats.org/officeDocument/2006/relationships/hyperlink" Target="http://www.nbcdfw.com/news/local/Ennis-Police-Fatally-Shoot-Driver-During-Traffic-Stop-392404311.html" TargetMode="External"/><Relationship Id="rId3236" Type="http://schemas.openxmlformats.org/officeDocument/2006/relationships/hyperlink" Target="http://www.pe.com/articles/county-826863-sheriff-march.html" TargetMode="External"/><Relationship Id="rId4634" Type="http://schemas.openxmlformats.org/officeDocument/2006/relationships/hyperlink" Target="http://www.fatalencounters.org/wp-content/uploads/2018/05/Thomas-Junior-Garcia.jpeg" TargetMode="External"/><Relationship Id="rId157" Type="http://schemas.openxmlformats.org/officeDocument/2006/relationships/hyperlink" Target="http://www.kionrightnow.com/news/local-news/officer-involvedshooting-in-watsonville-saturday-night-police-said/33444158" TargetMode="External"/><Relationship Id="rId3650" Type="http://schemas.openxmlformats.org/officeDocument/2006/relationships/hyperlink" Target="http://wkbn.com/2017/02/08/officer-shoots-person-at-giant-eagle/" TargetMode="External"/><Relationship Id="rId4701" Type="http://schemas.openxmlformats.org/officeDocument/2006/relationships/hyperlink" Target="https://www.beaumontenterprise.com/news/article/Update-Fred-man-shot-by-officers-identified-12946316.php" TargetMode="External"/><Relationship Id="rId571" Type="http://schemas.openxmlformats.org/officeDocument/2006/relationships/hyperlink" Target="http://www.wrdw.com/home/headlines/Deputies-respond-to-reports-of-a-shooting-at-Fox-Trace-189340421.html" TargetMode="External"/><Relationship Id="rId2252" Type="http://schemas.openxmlformats.org/officeDocument/2006/relationships/hyperlink" Target="http://www.ocregister.com/articles/officer-731773-shot-killed.html" TargetMode="External"/><Relationship Id="rId3303" Type="http://schemas.openxmlformats.org/officeDocument/2006/relationships/hyperlink" Target="http://www.knoxnews.com/story/news/crime/2017/08/13/tbi-responds-officer-involved-shooting-cocke-county/563756001/" TargetMode="External"/><Relationship Id="rId6459" Type="http://schemas.openxmlformats.org/officeDocument/2006/relationships/hyperlink" Target="https://www.latimes.com/local/lanow/la-me-91-freeway-closed-police-shooting-20190705-story.html?fbclid=IwAR3YL-RJCkHxso4tk3flkYWe8yEwAsTEE9GKBVSSfqTXW-pHilptHxlVdTI" TargetMode="External"/><Relationship Id="rId6873" Type="http://schemas.openxmlformats.org/officeDocument/2006/relationships/hyperlink" Target="https://www.brproud.com/news/lsp-investigating-deputy-involved-shooting-in-east-feliciana-parish/" TargetMode="External"/><Relationship Id="rId224" Type="http://schemas.openxmlformats.org/officeDocument/2006/relationships/hyperlink" Target="http://www.wsmv.com/story/28940658/police-investigating-shooting-in-south-nashville" TargetMode="External"/><Relationship Id="rId5475" Type="http://schemas.openxmlformats.org/officeDocument/2006/relationships/hyperlink" Target="http://www.parkerliveonline.com/2018/11/30/motorhome-suicide/" TargetMode="External"/><Relationship Id="rId6526" Type="http://schemas.openxmlformats.org/officeDocument/2006/relationships/hyperlink" Target="https://fatalencounters.org/wp-content/uploads/2019/07/Witney-Rivera.jpg" TargetMode="External"/><Relationship Id="rId6940" Type="http://schemas.openxmlformats.org/officeDocument/2006/relationships/hyperlink" Target="https://fatalencounters.org/wp-content/uploads/2019/10/Arturo-Alcantar-Moreno.jpg" TargetMode="External"/><Relationship Id="rId4077" Type="http://schemas.openxmlformats.org/officeDocument/2006/relationships/hyperlink" Target="http://www.fatalencounters.org/wp-content/uploads/2018/01/henry_carden.jpg" TargetMode="External"/><Relationship Id="rId4491" Type="http://schemas.openxmlformats.org/officeDocument/2006/relationships/hyperlink" Target="http://www.arkansasonline.com/news/2018/apr/06/1-dead-officer-involved-shooting-state-police-say-/" TargetMode="External"/><Relationship Id="rId5128" Type="http://schemas.openxmlformats.org/officeDocument/2006/relationships/hyperlink" Target="https://www.denverpost.com/2018/09/06/man-killed-by-westminster-police-identified/" TargetMode="External"/><Relationship Id="rId5542" Type="http://schemas.openxmlformats.org/officeDocument/2006/relationships/hyperlink" Target="https://everipedia-storage.s3-accelerate.amazonaws.com/ProfilePics/shelby-comer__42532.png" TargetMode="External"/><Relationship Id="rId1738" Type="http://schemas.openxmlformats.org/officeDocument/2006/relationships/hyperlink" Target="http://koin.com/2016/05/21/oregon-city-police-involved-in-shooting/" TargetMode="External"/><Relationship Id="rId3093" Type="http://schemas.openxmlformats.org/officeDocument/2006/relationships/hyperlink" Target="http://www.kfyrtv.com/content/news/Mandan-Police-officer-involved-in-shooting-Friday-419512933.html" TargetMode="External"/><Relationship Id="rId4144" Type="http://schemas.openxmlformats.org/officeDocument/2006/relationships/hyperlink" Target="http://krcrtv.com/north-coast-news/eureka-local-news/two-deputies-and-suspect-in-hospital-after-officer-involved-shootingstabbing" TargetMode="External"/><Relationship Id="rId3160" Type="http://schemas.openxmlformats.org/officeDocument/2006/relationships/hyperlink" Target="http://www.ktnv.com/news/crime/man-shot-killed-by-mohave-county-sheriffs-detectives" TargetMode="External"/><Relationship Id="rId4211" Type="http://schemas.openxmlformats.org/officeDocument/2006/relationships/hyperlink" Target="http://losangeles.cbslocal.com/2018/02/05/deputies-shoot-boy-16-angry-mob/" TargetMode="External"/><Relationship Id="rId1805" Type="http://schemas.openxmlformats.org/officeDocument/2006/relationships/hyperlink" Target="http://www.kansascity.com/news/local/crime/article82909297.html" TargetMode="External"/><Relationship Id="rId3977" Type="http://schemas.openxmlformats.org/officeDocument/2006/relationships/hyperlink" Target="http://www.fatalencounters.org/wp-content/uploads/2013/10/Todd-A.-Stone.png" TargetMode="External"/><Relationship Id="rId6036" Type="http://schemas.openxmlformats.org/officeDocument/2006/relationships/hyperlink" Target="https://boston.cbslocal.com/2019/03/29/st-cyr-tarantino-quality-in-manchester-standoff/" TargetMode="External"/><Relationship Id="rId6383" Type="http://schemas.openxmlformats.org/officeDocument/2006/relationships/hyperlink" Target="https://www.abc57.com/news/shooting-occurs-in-south-bend" TargetMode="External"/><Relationship Id="rId898" Type="http://schemas.openxmlformats.org/officeDocument/2006/relationships/hyperlink" Target="http://www.sbsun.com/general-news/20150910/man-shot-killed-by-fontana-police-officer" TargetMode="External"/><Relationship Id="rId2579" Type="http://schemas.openxmlformats.org/officeDocument/2006/relationships/hyperlink" Target="http://www.fatalencounters.org/wp-content/uploads/2013/10/James-Craig-Simpson.jpg" TargetMode="External"/><Relationship Id="rId2993" Type="http://schemas.openxmlformats.org/officeDocument/2006/relationships/hyperlink" Target="http://yourwestvalley.com/news/crime/glendale-police-man-dies-wounds-sustained-officer-involved-shooting/" TargetMode="External"/><Relationship Id="rId6450" Type="http://schemas.openxmlformats.org/officeDocument/2006/relationships/hyperlink" Target="http://www.wbiw.com/2019/07/04/salem-police-officer-involved-in-fatal-shooting/" TargetMode="External"/><Relationship Id="rId965" Type="http://schemas.openxmlformats.org/officeDocument/2006/relationships/hyperlink" Target="http://www.koco.com/news/okc-police-investigating-officerinvolved-shooting-on-northeast-side/34302646" TargetMode="External"/><Relationship Id="rId1595" Type="http://schemas.openxmlformats.org/officeDocument/2006/relationships/hyperlink" Target="http://chicago.cbslocal.com/2016/03/19/suspect-killed-officer-wounded-in-park-forest-police-involved-shooting/" TargetMode="External"/><Relationship Id="rId2646" Type="http://schemas.openxmlformats.org/officeDocument/2006/relationships/hyperlink" Target="http://www.fatalencounters.org/wp-content/uploads/2013/10/Quintas-Harris.jpg" TargetMode="External"/><Relationship Id="rId5052" Type="http://schemas.openxmlformats.org/officeDocument/2006/relationships/hyperlink" Target="https://padailypost.com/2018/08/15/domestic-violence-suspect-dies-after-police-fired-taser-at-him/" TargetMode="External"/><Relationship Id="rId6103" Type="http://schemas.openxmlformats.org/officeDocument/2006/relationships/hyperlink" Target="https://www.fatalencounters.org/wp-content/uploads/2019/04/DemetriousBrooks.jpg" TargetMode="External"/><Relationship Id="rId618" Type="http://schemas.openxmlformats.org/officeDocument/2006/relationships/hyperlink" Target="http://www.killedbypolice.net/victims/150914.jpg" TargetMode="External"/><Relationship Id="rId1248" Type="http://schemas.openxmlformats.org/officeDocument/2006/relationships/hyperlink" Target="http://ww3.hdnux.com/photos/43/31/54/9280262/7/460x1240.jpg" TargetMode="External"/><Relationship Id="rId1662" Type="http://schemas.openxmlformats.org/officeDocument/2006/relationships/hyperlink" Target="http://i.dailymail.co.uk/i/pix/2016/03/14/14/322E742500000578-3491555-image-m-28_1457964318089.jpg" TargetMode="External"/><Relationship Id="rId5869" Type="http://schemas.openxmlformats.org/officeDocument/2006/relationships/hyperlink" Target="https://www.fatalencounters.org/wp-content/uploads/2019/02/Nam-Le.jpg" TargetMode="External"/><Relationship Id="rId1315" Type="http://schemas.openxmlformats.org/officeDocument/2006/relationships/hyperlink" Target="http://wate.com/2016/01/13/shooting-involving-sevier-county-deputy-reported-near-sevierville-restaurant/" TargetMode="External"/><Relationship Id="rId2713" Type="http://schemas.openxmlformats.org/officeDocument/2006/relationships/hyperlink" Target="http://www.sandiegouniontribune.com/news/public-safety/sd-me-custody-death-20170520-story.html" TargetMode="External"/><Relationship Id="rId4885" Type="http://schemas.openxmlformats.org/officeDocument/2006/relationships/hyperlink" Target="https://www.fatalencounters.org/wp-content/uploads/2018/07/Leonardo-Cano.jpg" TargetMode="External"/><Relationship Id="rId5936" Type="http://schemas.openxmlformats.org/officeDocument/2006/relationships/hyperlink" Target="https://www.ksat.com/news/second-sapd-officer-involved-in-shooting-in-12-hours" TargetMode="External"/><Relationship Id="rId21" Type="http://schemas.openxmlformats.org/officeDocument/2006/relationships/hyperlink" Target="http://media.masslive.com/mass_river_worcester_news/photo/screen-shot-2015-07-30-at-14303-pmpng-3c8d20217be5ac12.png" TargetMode="External"/><Relationship Id="rId2089" Type="http://schemas.openxmlformats.org/officeDocument/2006/relationships/hyperlink" Target="http://www.swtimes.com/news/20160816/man-dies-after-monticello-police-officer-subdues-him-with-taser" TargetMode="External"/><Relationship Id="rId3487" Type="http://schemas.openxmlformats.org/officeDocument/2006/relationships/hyperlink" Target="http://www.ajc.com/news/crime--law/update-man-dead-after-firing-police-officer-peachtree-city/5C9K420A9Aj2AG3InajhUO/" TargetMode="External"/><Relationship Id="rId4538" Type="http://schemas.openxmlformats.org/officeDocument/2006/relationships/hyperlink" Target="https://www.ocregister.com/2018/04/30/man-shot-wounded-by-anaheim-police-dies-2-weeks-later/" TargetMode="External"/><Relationship Id="rId4952" Type="http://schemas.openxmlformats.org/officeDocument/2006/relationships/hyperlink" Target="https://wdef.com/2018/07/24/tbi-investigates-officer-involved-shooting/" TargetMode="External"/><Relationship Id="rId3554" Type="http://schemas.openxmlformats.org/officeDocument/2006/relationships/hyperlink" Target="http://www.king5.com/news/local/suspect-dies-during-domestic-violence-altercation-with-police/424540340" TargetMode="External"/><Relationship Id="rId4605" Type="http://schemas.openxmlformats.org/officeDocument/2006/relationships/hyperlink" Target="http://www.fatalencounters.org/wp-content/uploads/2018/05/Anthony-Trujillo.jpeg" TargetMode="External"/><Relationship Id="rId7011" Type="http://schemas.openxmlformats.org/officeDocument/2006/relationships/hyperlink" Target="https://www.kveo.com/news/local-news/brownsville-police-involved-in-shootout-over-the-weekend/" TargetMode="External"/><Relationship Id="rId475" Type="http://schemas.openxmlformats.org/officeDocument/2006/relationships/hyperlink" Target="http://whnt.com/2014/04/04/breaking-huntsville-police-confirm-officer-shot-residents-being-evacuated/" TargetMode="External"/><Relationship Id="rId2156" Type="http://schemas.openxmlformats.org/officeDocument/2006/relationships/hyperlink" Target="http://www.sbsun.com/general-news/20160829/san-bernardino-police-fatally-shoot-man-who-they-say-stabbed-his-wife" TargetMode="External"/><Relationship Id="rId2570" Type="http://schemas.openxmlformats.org/officeDocument/2006/relationships/hyperlink" Target="http://www.fatalencounters.org/wp-content/uploads/2013/10/Ian-Shea-King.jpg" TargetMode="External"/><Relationship Id="rId3207" Type="http://schemas.openxmlformats.org/officeDocument/2006/relationships/hyperlink" Target="https://www.google.com/url?q=http://kirkfuneralhome.com/sitemaker/memsol_data/1258/1959785/1959785_profile_pic.jpg?1508214002&amp;sa=D&amp;ust=1508882833356000&amp;usg=AFQjCNF0aN5CXgCMch8ws-9gWt4SoRdzeQ" TargetMode="External"/><Relationship Id="rId3621" Type="http://schemas.openxmlformats.org/officeDocument/2006/relationships/hyperlink" Target="http://www.fatalencounters.org/wp-content/uploads/2013/10/Andrew-Ryan-McLendon.png" TargetMode="External"/><Relationship Id="rId6777" Type="http://schemas.openxmlformats.org/officeDocument/2006/relationships/hyperlink" Target="https://newsradiowrva.radio.com/articles/local/henrico-police-show-body-cam-video-media" TargetMode="External"/><Relationship Id="rId128" Type="http://schemas.openxmlformats.org/officeDocument/2006/relationships/hyperlink" Target="http://www.dallasnews.com/incoming/20150613-james-lance-boulware-1-.jpg.ece/BINARY/James-Lance-Boulware+%281%29.jpg" TargetMode="External"/><Relationship Id="rId542" Type="http://schemas.openxmlformats.org/officeDocument/2006/relationships/hyperlink" Target="http://homicide.latimes.com/post/dennis-hakeen-vasquez/" TargetMode="External"/><Relationship Id="rId1172" Type="http://schemas.openxmlformats.org/officeDocument/2006/relationships/hyperlink" Target="http://wivb.com/2015/08/23/troy-officers-hospitalized-after-shootout-gunman-dead/" TargetMode="External"/><Relationship Id="rId2223" Type="http://schemas.openxmlformats.org/officeDocument/2006/relationships/hyperlink" Target="http://upnorthlive.com/news/local/state-police-man-dies-after-trooper-involved-shooting" TargetMode="External"/><Relationship Id="rId5379" Type="http://schemas.openxmlformats.org/officeDocument/2006/relationships/hyperlink" Target="https://www.nbclosangeles.com/news/local/Man-Suspected-of-Burying-Bodies-in-Desert-Dies-in-Shootout-500108401.html" TargetMode="External"/><Relationship Id="rId5793" Type="http://schemas.openxmlformats.org/officeDocument/2006/relationships/hyperlink" Target="https://www.fatalencounters.org/wp-content/uploads/2019/02/RhogenaNicholas.jpg" TargetMode="External"/><Relationship Id="rId6844" Type="http://schemas.openxmlformats.org/officeDocument/2006/relationships/hyperlink" Target="https://ktla.com/2019/10/07/man-fatally-shot-by-deputies-in-west-whittier/" TargetMode="External"/><Relationship Id="rId4395" Type="http://schemas.openxmlformats.org/officeDocument/2006/relationships/hyperlink" Target="http://www.fatalencounters.org/wp-content/uploads/2018/03/RuebenRuffin.png" TargetMode="External"/><Relationship Id="rId5446" Type="http://schemas.openxmlformats.org/officeDocument/2006/relationships/hyperlink" Target="https://surfky.com/index.php/muhlenberg/news-muhlenberg/134404-law-enforcement-on-scene-of-apparent-shooting-in-bremen?utm_source=feedburner&amp;utm_medium=feed&amp;utm_campaign=Feed%3A+surfkynews+%28SurfKY+News+%28surfky.com%29%29" TargetMode="External"/><Relationship Id="rId1989" Type="http://schemas.openxmlformats.org/officeDocument/2006/relationships/hyperlink" Target="http://www.hawaiinewsnow.com/story/32503835/hilo-police-fatally-shoot-man-during-struggle-over-a-gun" TargetMode="External"/><Relationship Id="rId4048" Type="http://schemas.openxmlformats.org/officeDocument/2006/relationships/hyperlink" Target="http://news4sanantonio.com/news/local/woman-killed-in-shootout-with-deputy-in-real-county" TargetMode="External"/><Relationship Id="rId5860" Type="http://schemas.openxmlformats.org/officeDocument/2006/relationships/hyperlink" Target="https://www.nbcbayarea.com/news/local/UPS-Truck-Hijacker-Said-He-Wanted-to-Die-Call-505888211.html" TargetMode="External"/><Relationship Id="rId6911" Type="http://schemas.openxmlformats.org/officeDocument/2006/relationships/hyperlink" Target="https://fatalencounters.org/wp-content/uploads/2019/11/Jason-Alan-Livengood.jpg" TargetMode="External"/><Relationship Id="rId3064" Type="http://schemas.openxmlformats.org/officeDocument/2006/relationships/hyperlink" Target="http://kron4.com/2017/01/23/vallejo-21-year-old-dies-in-officer-involved-shooting/" TargetMode="External"/><Relationship Id="rId4462" Type="http://schemas.openxmlformats.org/officeDocument/2006/relationships/hyperlink" Target="http://wcti12.com/news/local-crime/officer-involved-shooting-in-greenville" TargetMode="External"/><Relationship Id="rId5513" Type="http://schemas.openxmlformats.org/officeDocument/2006/relationships/hyperlink" Target="http://www.wtoc.com/2018/12/09/savannah-police-identify-woman-gbi-identify-man-killed-shooting-ogeechee-road/" TargetMode="External"/><Relationship Id="rId1709" Type="http://schemas.openxmlformats.org/officeDocument/2006/relationships/hyperlink" Target="http://www.news-journalonline.com/article/20160515/NEWS/160519656/101040?Title=UPDATE-Deputy-fatally-shoots-armed-Altamonte-Springs-man-in-West-Volusia" TargetMode="External"/><Relationship Id="rId4115" Type="http://schemas.openxmlformats.org/officeDocument/2006/relationships/hyperlink" Target="http://kron4.com/2018/01/17/suspect-dies-after-being-tased-by-police-in-daly-city/" TargetMode="External"/><Relationship Id="rId2080" Type="http://schemas.openxmlformats.org/officeDocument/2006/relationships/hyperlink" Target="http://www.sandiegouniontribune.com/news/2016/aug/15/felon-shot-vista-deputies-dies/" TargetMode="External"/><Relationship Id="rId3131" Type="http://schemas.openxmlformats.org/officeDocument/2006/relationships/hyperlink" Target="http://www.wsbtv.com/news/local/suspect-shot-during-traffic-stop-in-clarkesville/590311249" TargetMode="External"/><Relationship Id="rId6287" Type="http://schemas.openxmlformats.org/officeDocument/2006/relationships/hyperlink" Target="https://fatalencounters.org/wp-content/uploads/2019/06/crystal-ragland.jpg" TargetMode="External"/><Relationship Id="rId2897" Type="http://schemas.openxmlformats.org/officeDocument/2006/relationships/hyperlink" Target="http://www.kob.com/new-mexico-news/developing-nmsp-officer-shot-in-farmington/4587898/" TargetMode="External"/><Relationship Id="rId3948" Type="http://schemas.openxmlformats.org/officeDocument/2006/relationships/hyperlink" Target="http://www.delawareonline.com/story/news/crime/2017/12/09/trooper-involved-shooting-kills-16-year-old-dover/937157001/" TargetMode="External"/><Relationship Id="rId6354" Type="http://schemas.openxmlformats.org/officeDocument/2006/relationships/hyperlink" Target="https://okcfox.com/news/local/osbi-suspect-shot-killed-after-holding-store-clerk-hostage-in-poteau" TargetMode="External"/><Relationship Id="rId869" Type="http://schemas.openxmlformats.org/officeDocument/2006/relationships/hyperlink" Target="http://www.keloland.com/newsdetail.cfm/fatal-officer-involved-shooting/?id=185571" TargetMode="External"/><Relationship Id="rId1499" Type="http://schemas.openxmlformats.org/officeDocument/2006/relationships/hyperlink" Target="http://wtkr.com/2016/03/11/police-investigate-officer-involved-shooting-in-bayview-area-of-norfolk/" TargetMode="External"/><Relationship Id="rId5370" Type="http://schemas.openxmlformats.org/officeDocument/2006/relationships/hyperlink" Target="https://wjla.com/news/local/officers-identified-glen-burnie-shooting-suspect-dead?fbclid=IwAR3KrzHTjsgj2gXX_4tljkR-UiIVJrYeeYEGYwdgovh7gVB5NMEGxcO6DFI" TargetMode="External"/><Relationship Id="rId6007" Type="http://schemas.openxmlformats.org/officeDocument/2006/relationships/hyperlink" Target="https://www.king5.com/article/news/local/surveillance-video-shows-moments-before-deadly-shooting-of-kittitas-deputy/281-69159855-3045-456d-8977-ce2a7e003d60" TargetMode="External"/><Relationship Id="rId6421" Type="http://schemas.openxmlformats.org/officeDocument/2006/relationships/hyperlink" Target="https://www.publicradiotulsa.org/post/man-killed-tulsa-state-trooper" TargetMode="External"/><Relationship Id="rId2964" Type="http://schemas.openxmlformats.org/officeDocument/2006/relationships/hyperlink" Target="http://www.fresnobee.com/news/local/crime/article154785919.html" TargetMode="External"/><Relationship Id="rId5023" Type="http://schemas.openxmlformats.org/officeDocument/2006/relationships/hyperlink" Target="https://www.wptv.com/news/region-okeechobee-county/officer-involved-shooting-investigated-in-okeechobee-county" TargetMode="External"/><Relationship Id="rId936" Type="http://schemas.openxmlformats.org/officeDocument/2006/relationships/hyperlink" Target="http://www.wkyt.com/wymt/home/headlines/Kentucky-State-Police-involved-in-fatal-shooting-in-Knott-County--336397431.html?device=tablet&amp;c=y" TargetMode="External"/><Relationship Id="rId1219" Type="http://schemas.openxmlformats.org/officeDocument/2006/relationships/hyperlink" Target="http://www.winknews.com/2015/10/26/cape-pd-identifies-suspect-in-deadly-weekend-shooting/" TargetMode="External"/><Relationship Id="rId1566" Type="http://schemas.openxmlformats.org/officeDocument/2006/relationships/hyperlink" Target="http://www.jsonline.com/news/crime/developmentally-disabled-woman-fatally-shot-by-police-at-wal-mart-b99703419z1-375141081.html" TargetMode="External"/><Relationship Id="rId1980" Type="http://schemas.openxmlformats.org/officeDocument/2006/relationships/hyperlink" Target="http://www.theadvocate.com/article_e58f9caa-4d2c-11e6-bde7-d71748661d32.html" TargetMode="External"/><Relationship Id="rId2617" Type="http://schemas.openxmlformats.org/officeDocument/2006/relationships/hyperlink" Target="http://www.miamiherald.com/news/local/crime/article170373827.html" TargetMode="External"/><Relationship Id="rId7195" Type="http://schemas.openxmlformats.org/officeDocument/2006/relationships/hyperlink" Target="http://www.tehachapinews.com/breaking-news/2013/04/15/bear-valley-police-identify-officer-victim-and-suspect-involved-in-fatal-shooting.html" TargetMode="External"/><Relationship Id="rId1633" Type="http://schemas.openxmlformats.org/officeDocument/2006/relationships/hyperlink" Target="http://ansonrecord.com/top-stories/2255/anson-deputies-shoot-kill-suspect-in-blewett-falls-gunfight" TargetMode="External"/><Relationship Id="rId4789" Type="http://schemas.openxmlformats.org/officeDocument/2006/relationships/hyperlink" Target="https://www.abc15.com/news/region-phoenix-metro/north-phoenix/police-suspect-injured-during-officer-involved-shooting-in-north-phoenix" TargetMode="External"/><Relationship Id="rId1700" Type="http://schemas.openxmlformats.org/officeDocument/2006/relationships/hyperlink" Target="http://www.denverpost.com/news/ci_29877532/aurora-police-officer-shot-and-killed-carjacking-suspect" TargetMode="External"/><Relationship Id="rId4856" Type="http://schemas.openxmlformats.org/officeDocument/2006/relationships/hyperlink" Target="http://weartv.com/news/local/man-linked-to-panama-city-shootout-kills-ex-wifes-boyfriend" TargetMode="External"/><Relationship Id="rId5907" Type="http://schemas.openxmlformats.org/officeDocument/2006/relationships/hyperlink" Target="https://abcnews4.com/news/local/sheriff-offers-new-details-on-deadly-berkeley-county-standoff-officer-involved-shooting" TargetMode="External"/><Relationship Id="rId3458" Type="http://schemas.openxmlformats.org/officeDocument/2006/relationships/hyperlink" Target="http://www.mcall.com/news/local/police/mc-allentown-police-chase-gunfire-20170521-story.html" TargetMode="External"/><Relationship Id="rId3872" Type="http://schemas.openxmlformats.org/officeDocument/2006/relationships/hyperlink" Target="http://mycbs4.com/news/local/levy-county-sheriffs-office-deputies-shot-killed-armed-man-in-chiefland" TargetMode="External"/><Relationship Id="rId4509" Type="http://schemas.openxmlformats.org/officeDocument/2006/relationships/hyperlink" Target="http://www.fatalencounters.org/wp-content/uploads/2018/04/Grizelda-Hernandez.jpg" TargetMode="External"/><Relationship Id="rId379" Type="http://schemas.openxmlformats.org/officeDocument/2006/relationships/hyperlink" Target="http://www.wacotrib.com/news/courts_and_trials/woman-dies-in-mclennan-county-jail/article_295a2448-47f5-565b-b08b-7d0104877301.html" TargetMode="External"/><Relationship Id="rId793" Type="http://schemas.openxmlformats.org/officeDocument/2006/relationships/hyperlink" Target="http://www.latimes.com/local/lanow/la-me-ln-kern-county-shooting-20150815-story.html" TargetMode="External"/><Relationship Id="rId2474" Type="http://schemas.openxmlformats.org/officeDocument/2006/relationships/hyperlink" Target="http://abcnews.go.com/US/wireStory/latest-man-crowbar-shot-officer-church-43938368" TargetMode="External"/><Relationship Id="rId3525" Type="http://schemas.openxmlformats.org/officeDocument/2006/relationships/hyperlink" Target="http://www.fatalencounters.org/wp-content/uploads/2013/10/Glenn-Watenpool.png" TargetMode="External"/><Relationship Id="rId4923" Type="http://schemas.openxmlformats.org/officeDocument/2006/relationships/hyperlink" Target="http://www.blueridgenow.com/news/20180718/update-suspect-identified-in-fletcher-cvs-shooting" TargetMode="External"/><Relationship Id="rId446" Type="http://schemas.openxmlformats.org/officeDocument/2006/relationships/hyperlink" Target="http://www.tricities.com/news/article_0ec2ddf4-e749-11e3-a6a8-0017a43b2370.html" TargetMode="External"/><Relationship Id="rId1076" Type="http://schemas.openxmlformats.org/officeDocument/2006/relationships/hyperlink" Target="http://www.click2houston.com/news/breaking-3-shot-in-northwest-harris-county-life-flight-on-scene/36144374" TargetMode="External"/><Relationship Id="rId1490" Type="http://schemas.openxmlformats.org/officeDocument/2006/relationships/hyperlink" Target="http://www.delcotimes.com/article/DC/20160208/NEWS/160209713" TargetMode="External"/><Relationship Id="rId2127" Type="http://schemas.openxmlformats.org/officeDocument/2006/relationships/hyperlink" Target="http://www.nola.com/crime/index.ssf/2016/08/trooper_shot_in_elbow_during_g.html" TargetMode="External"/><Relationship Id="rId860" Type="http://schemas.openxmlformats.org/officeDocument/2006/relationships/hyperlink" Target="http://timesleader.com/news/local/380612/schuylkill-county-man-dies-after-being-tased-by-police" TargetMode="External"/><Relationship Id="rId1143" Type="http://schemas.openxmlformats.org/officeDocument/2006/relationships/hyperlink" Target="http://www.postandcourier.com/storyimage/CP/20150810/PC16/150819946/EP/1/1/EP-150819946.jpg&amp;MaxW=520&amp;q=85" TargetMode="External"/><Relationship Id="rId2541" Type="http://schemas.openxmlformats.org/officeDocument/2006/relationships/hyperlink" Target="http://www.nwahomepage.com/news/fox-24/washington-county-deputy-involved-in-shooting-on-school-ave/624619207" TargetMode="External"/><Relationship Id="rId4299" Type="http://schemas.openxmlformats.org/officeDocument/2006/relationships/hyperlink" Target="http://www.spokesman.com/stories/2018/feb/27/coeur-dalene-police-officer-shot-monday-night/" TargetMode="External"/><Relationship Id="rId5697" Type="http://schemas.openxmlformats.org/officeDocument/2006/relationships/hyperlink" Target="http://www.wafb.com/2019/01/11/state-police-release-name-man-shot-killed-by-lake-charles-police-officer/" TargetMode="External"/><Relationship Id="rId6748" Type="http://schemas.openxmlformats.org/officeDocument/2006/relationships/hyperlink" Target="https://fatalencounters.org/wp-content/uploads/2019/09/Robert-Domine.png" TargetMode="External"/><Relationship Id="rId513" Type="http://schemas.openxmlformats.org/officeDocument/2006/relationships/hyperlink" Target="http://newsok.com/police-release-name-of-man-killed-in-officer-involved-shooting/article/3920773" TargetMode="External"/><Relationship Id="rId5764" Type="http://schemas.openxmlformats.org/officeDocument/2006/relationships/hyperlink" Target="https://www.fatalencounters.org/wp-content/uploads/2019/02/Kevin-Vawter-1548684738.jpg" TargetMode="External"/><Relationship Id="rId6815" Type="http://schemas.openxmlformats.org/officeDocument/2006/relationships/hyperlink" Target="https://www.kesq.com/news/chase-leads-to-deputy-involved-shooting-in-yucca-valley/1127095174" TargetMode="External"/><Relationship Id="rId1210" Type="http://schemas.openxmlformats.org/officeDocument/2006/relationships/hyperlink" Target="http://www.cdispatch.com/news/article.asp?aid=45542" TargetMode="External"/><Relationship Id="rId4366" Type="http://schemas.openxmlformats.org/officeDocument/2006/relationships/hyperlink" Target="http://www.wilx.com/content/news/Vehicle-break-in-suspect-fatally-shot-by-mid-Michigan-police-476572663.html" TargetMode="External"/><Relationship Id="rId4780" Type="http://schemas.openxmlformats.org/officeDocument/2006/relationships/hyperlink" Target="https://www.fatalencounters.org/wp-content/uploads/2018/06/Timothy-Mosley.jpg" TargetMode="External"/><Relationship Id="rId5417" Type="http://schemas.openxmlformats.org/officeDocument/2006/relationships/hyperlink" Target="https://www.fatalencounters.org/wp-content/uploads/2018/11/Jack-Darrel-Fields-Jr.jpg" TargetMode="External"/><Relationship Id="rId5831" Type="http://schemas.openxmlformats.org/officeDocument/2006/relationships/hyperlink" Target="https://kmph.com/news/local/officer-involved-shooting-takes-place-at-i-5-enos-lane" TargetMode="External"/><Relationship Id="rId3382" Type="http://schemas.openxmlformats.org/officeDocument/2006/relationships/hyperlink" Target="http://kutv.com/news/local/legacy-parkway-closed-in-all-directions-use-alternate-route" TargetMode="External"/><Relationship Id="rId4019" Type="http://schemas.openxmlformats.org/officeDocument/2006/relationships/hyperlink" Target="http://katu.com/news/local/suspect-in-boring-officer-involved-shooting-identified-nathaniel-fritz-macalevy" TargetMode="External"/><Relationship Id="rId4433" Type="http://schemas.openxmlformats.org/officeDocument/2006/relationships/hyperlink" Target="http://www.wdrb.com/story/37830148/police-shoot-and-kill-suspect-behind-elizabethtown-school" TargetMode="External"/><Relationship Id="rId3035" Type="http://schemas.openxmlformats.org/officeDocument/2006/relationships/hyperlink" Target="http://www.fatalencounters.org/wp-content/uploads/2013/10/Bryan-Carreno.png" TargetMode="External"/><Relationship Id="rId4500" Type="http://schemas.openxmlformats.org/officeDocument/2006/relationships/hyperlink" Target="http://www.kesq.com/news/officer-involved-shooting-in-cathedral-city/726801997" TargetMode="External"/><Relationship Id="rId370" Type="http://schemas.openxmlformats.org/officeDocument/2006/relationships/hyperlink" Target="http://www.kshb.com/news/crime/deputy-fatally-shot-in-cedar-county" TargetMode="External"/><Relationship Id="rId2051" Type="http://schemas.openxmlformats.org/officeDocument/2006/relationships/hyperlink" Target="http://www.fatalencounters.org/wp-content/uploads/2013/10/Benjamin-William-Heaton.jpg" TargetMode="External"/><Relationship Id="rId3102" Type="http://schemas.openxmlformats.org/officeDocument/2006/relationships/hyperlink" Target="http://www.spokesman.com/stories/2017/jan/15/man-shot-killed-by-spokane-police-officer-on-lower/" TargetMode="External"/><Relationship Id="rId6258" Type="http://schemas.openxmlformats.org/officeDocument/2006/relationships/hyperlink" Target="https://www.pressherald.com/2019/05/22/affidavit-auburn-man-amassed-stolen-firearms-at-residence-prior-to-standoff/" TargetMode="External"/><Relationship Id="rId5274" Type="http://schemas.openxmlformats.org/officeDocument/2006/relationships/hyperlink" Target="https://www.ksl.com/article/46405342/police-identify-man-killed-in-west-jordan-officer-involved-shooting" TargetMode="External"/><Relationship Id="rId6325" Type="http://schemas.openxmlformats.org/officeDocument/2006/relationships/hyperlink" Target="https://fox2now.com/2019/06/07/police-id-man-fatally-shot-by-st-louis-officer/" TargetMode="External"/><Relationship Id="rId6672" Type="http://schemas.openxmlformats.org/officeDocument/2006/relationships/hyperlink" Target="https://www.deseret.com/utah/2019/8/24/20831326/police-identify-west-valley-man-shot-killed-by-officer-chad-michael-breinholt" TargetMode="External"/><Relationship Id="rId2868" Type="http://schemas.openxmlformats.org/officeDocument/2006/relationships/hyperlink" Target="http://www.chicagotribune.com/news/local/breaking/ct-violence-officer-involved-shooting-20170115-story.html" TargetMode="External"/><Relationship Id="rId3919" Type="http://schemas.openxmlformats.org/officeDocument/2006/relationships/hyperlink" Target="http://abc7.com/man-dies-in-colton-officer-involved-shooting/2728654/" TargetMode="External"/><Relationship Id="rId1884" Type="http://schemas.openxmlformats.org/officeDocument/2006/relationships/hyperlink" Target="http://www.sealynews.com/breaking_news/article_dbe1b77a-3976-11e6-a247-23279f52b84b.html" TargetMode="External"/><Relationship Id="rId2935" Type="http://schemas.openxmlformats.org/officeDocument/2006/relationships/hyperlink" Target="http://www.12news.com/news/local/valley/suspect-dead-officers-ok-after-glendale-officer-involved-shooting/453632288" TargetMode="External"/><Relationship Id="rId4290" Type="http://schemas.openxmlformats.org/officeDocument/2006/relationships/hyperlink" Target="https://mynewsla.com/crime/2018/02/25/police-shoot-kill-westmont-burglary-suspect/" TargetMode="External"/><Relationship Id="rId5341" Type="http://schemas.openxmlformats.org/officeDocument/2006/relationships/hyperlink" Target="https://www.fatalencounters.org/wp-content/uploads/2018/10/IdaStiles.png" TargetMode="External"/><Relationship Id="rId907" Type="http://schemas.openxmlformats.org/officeDocument/2006/relationships/hyperlink" Target="http://www.nhregister.com/general-news/20151011/police-identify-groton-man-31-as-suspect-killed-at-motel-in-old-saybrook" TargetMode="External"/><Relationship Id="rId1537" Type="http://schemas.openxmlformats.org/officeDocument/2006/relationships/hyperlink" Target="http://www.local10.com/news/miamidade-police-officer-shoots-kills-shotgunwielding-kidnapping-suspect" TargetMode="External"/><Relationship Id="rId1951" Type="http://schemas.openxmlformats.org/officeDocument/2006/relationships/hyperlink" Target="http://assets.nydailynews.com/polopoly_fs/1.2706517.1468187229!/img/httpImage/image.jpg_gen/derivatives/article_1200/stlouis11n-1-web.jpg" TargetMode="External"/><Relationship Id="rId7099" Type="http://schemas.openxmlformats.org/officeDocument/2006/relationships/hyperlink" Target="http://www.fatalencounters.org/wp-content/uploads/2013/10/Michael-Gaskill-jpg.jpg" TargetMode="External"/><Relationship Id="rId1604" Type="http://schemas.openxmlformats.org/officeDocument/2006/relationships/hyperlink" Target="http://nativenewsonline.net/currents/video-reportedly-shows-navajo-woman-not-raise-scissors-towards-winslow-police-officers/" TargetMode="External"/><Relationship Id="rId4010" Type="http://schemas.openxmlformats.org/officeDocument/2006/relationships/hyperlink" Target="http://www.fatalencounters.org/wp-content/uploads/2013/10/Charlie-Joseph-Murillo.jpg" TargetMode="External"/><Relationship Id="rId7166" Type="http://schemas.openxmlformats.org/officeDocument/2006/relationships/hyperlink" Target="http://q13fox.com/2013/03/28/breaking-news-fiery-standoff-in-hoquiam/" TargetMode="External"/><Relationship Id="rId6182" Type="http://schemas.openxmlformats.org/officeDocument/2006/relationships/hyperlink" Target="https://fatalencounters.org/wp-content/uploads/2019/05/TimothyManuel.jpg" TargetMode="External"/><Relationship Id="rId7233" Type="http://schemas.openxmlformats.org/officeDocument/2006/relationships/hyperlink" Target="https://www.fatalencounters.org/wp-content/uploads/2018/12/10-12-2013-Darryl-Drayton.jpg" TargetMode="External"/><Relationship Id="rId697" Type="http://schemas.openxmlformats.org/officeDocument/2006/relationships/hyperlink" Target="http://www.wjcl.com/news/local-news/effingham-co-sheriff-deputy-shot-suspect-killed-after-deputy-involved-shooting/94554359/story" TargetMode="External"/><Relationship Id="rId2378" Type="http://schemas.openxmlformats.org/officeDocument/2006/relationships/hyperlink" Target="http://www.fatalencounters.org/wp-content/uploads/2013/10/Marco-Romero.jpg" TargetMode="External"/><Relationship Id="rId3429" Type="http://schemas.openxmlformats.org/officeDocument/2006/relationships/hyperlink" Target="http://www.fatalencounters.org/wp-content/uploads/2013/10/QuentinCase.jpg" TargetMode="External"/><Relationship Id="rId3776" Type="http://schemas.openxmlformats.org/officeDocument/2006/relationships/hyperlink" Target="http://www.nbcdfw.com/news/local/Arlington-Police-Officer-Involved-Shooting-454349093.html" TargetMode="External"/><Relationship Id="rId4827" Type="http://schemas.openxmlformats.org/officeDocument/2006/relationships/hyperlink" Target="http://www.wtva.com/content/news/Man-dies-following-officer-involved-shooting-in-Grenada-County--486701871.html" TargetMode="External"/><Relationship Id="rId2792" Type="http://schemas.openxmlformats.org/officeDocument/2006/relationships/hyperlink" Target="http://www.fatalencounters.org/wp-content/uploads/2013/10/Brandon-Wiley.jpg" TargetMode="External"/><Relationship Id="rId3843" Type="http://schemas.openxmlformats.org/officeDocument/2006/relationships/hyperlink" Target="http://abc7ny.com/officer-shoots-man-armed-with-knife-in-the-bronx/2643747/" TargetMode="External"/><Relationship Id="rId6999" Type="http://schemas.openxmlformats.org/officeDocument/2006/relationships/hyperlink" Target="https://www.seattletimes.com/seattle-news/crime/man-shot-by-renton-police-officer-taken-to-harborview-medical-center/" TargetMode="External"/><Relationship Id="rId764" Type="http://schemas.openxmlformats.org/officeDocument/2006/relationships/hyperlink" Target="http://www.chattanoogan.com/photos/2015/8/article.307038.large.jpg" TargetMode="External"/><Relationship Id="rId1394" Type="http://schemas.openxmlformats.org/officeDocument/2006/relationships/hyperlink" Target="http://ktla.com/2016/02/14/los-angeles-police-open-fire-during-incident-in-van-nuys-1-person-hospitalized-in-unknown-condition-officials/" TargetMode="External"/><Relationship Id="rId2445" Type="http://schemas.openxmlformats.org/officeDocument/2006/relationships/hyperlink" Target="http://chicago.suntimes.com/news/person-shot-by-chicago-police-in-west-garfield-park/" TargetMode="External"/><Relationship Id="rId3910" Type="http://schemas.openxmlformats.org/officeDocument/2006/relationships/hyperlink" Target="http://www.wsbtv.com/news/local/gbi-called-to-investigate-jasper-county-officer-involved-shooting/658419373" TargetMode="External"/><Relationship Id="rId417" Type="http://schemas.openxmlformats.org/officeDocument/2006/relationships/hyperlink" Target="http://www.knoxnews.com/news/local-news/parolee-killed-in-fight-with-officer-had-a-syringe-narcotic-on-him_07147175" TargetMode="External"/><Relationship Id="rId831" Type="http://schemas.openxmlformats.org/officeDocument/2006/relationships/hyperlink" Target="http://www.baltimoresun.com/news/maryland/bs-md-police-shooting-north-east-20150822-story.html" TargetMode="External"/><Relationship Id="rId1047" Type="http://schemas.openxmlformats.org/officeDocument/2006/relationships/hyperlink" Target="http://www.nbcmiami.com/news/local/FDLE-Investigating-Fatal-Police-Involved-Shooting-in-Miami-Dade-300173991.html" TargetMode="External"/><Relationship Id="rId1461" Type="http://schemas.openxmlformats.org/officeDocument/2006/relationships/hyperlink" Target="http://kool.corrections.ky.gov/Content/OffenderPhotos/0290437.jpg" TargetMode="External"/><Relationship Id="rId2512" Type="http://schemas.openxmlformats.org/officeDocument/2006/relationships/hyperlink" Target="http://www.wdtv.com/content/news/Suspect-dead-in-White-Hall-Walmart-shooting--405948655.html" TargetMode="External"/><Relationship Id="rId5668" Type="http://schemas.openxmlformats.org/officeDocument/2006/relationships/hyperlink" Target="https://www.fatalencounters.org/wp-content/uploads/2019/01/LawrenceThompson.png" TargetMode="External"/><Relationship Id="rId6719" Type="http://schemas.openxmlformats.org/officeDocument/2006/relationships/hyperlink" Target="https://www.eastidahonews.com/2019/09/name-of-suspect-deputy-involved-in-fatal-shooting-released/" TargetMode="External"/><Relationship Id="rId1114" Type="http://schemas.openxmlformats.org/officeDocument/2006/relationships/hyperlink" Target="http://whns.images.worldnow.com/images/9218557_G.jpg" TargetMode="External"/><Relationship Id="rId4684" Type="http://schemas.openxmlformats.org/officeDocument/2006/relationships/hyperlink" Target="http://www.wctv.tv/content/news/Homeowner-holds-suspect-at-gun-point-during-burglary-suspect-in-critical-condition-483519581.html" TargetMode="External"/><Relationship Id="rId5735" Type="http://schemas.openxmlformats.org/officeDocument/2006/relationships/hyperlink" Target="https://www.fatalencounters.org/wp-content/uploads/2019/01/megan-rivera.jpg" TargetMode="External"/><Relationship Id="rId7090" Type="http://schemas.openxmlformats.org/officeDocument/2006/relationships/hyperlink" Target="https://www.ketv.com/article/omaha-police-officer-shot-2-dead-24th-evans-tower-domestic-disturbance/30371941" TargetMode="External"/><Relationship Id="rId3286" Type="http://schemas.openxmlformats.org/officeDocument/2006/relationships/hyperlink" Target="http://www.fatalencounters.org/wp-content/uploads/2013/10/Konstantin-Morozov.jpg" TargetMode="External"/><Relationship Id="rId4337" Type="http://schemas.openxmlformats.org/officeDocument/2006/relationships/hyperlink" Target="http://amp.kansascity.com/news/local/crime/article203859059.html?__twitter_impression=true" TargetMode="External"/><Relationship Id="rId3353" Type="http://schemas.openxmlformats.org/officeDocument/2006/relationships/hyperlink" Target="http://www.fatalencounters.org/wp-content/uploads/2013/10/AmandaJensen.jpg" TargetMode="External"/><Relationship Id="rId4751" Type="http://schemas.openxmlformats.org/officeDocument/2006/relationships/hyperlink" Target="http://6abc.com/suspect-sought-after-police-involved-shooting-in-deptford-twp/3583409/" TargetMode="External"/><Relationship Id="rId5802" Type="http://schemas.openxmlformats.org/officeDocument/2006/relationships/hyperlink" Target="https://abc7ny.com/1-shot-1-suspect-sought-in-apparent-passaic-police-involved-shooting/5116039/" TargetMode="External"/><Relationship Id="rId274" Type="http://schemas.openxmlformats.org/officeDocument/2006/relationships/hyperlink" Target="http://www.kerngoldenempire.com/news/top-stories/new-information-on-kcso-in-custody-death" TargetMode="External"/><Relationship Id="rId3006" Type="http://schemas.openxmlformats.org/officeDocument/2006/relationships/hyperlink" Target="http://www.ktxs.com/news/dps-officer-involved-shooting-reported-on-i-20-near-cisco/414524974" TargetMode="External"/><Relationship Id="rId4404" Type="http://schemas.openxmlformats.org/officeDocument/2006/relationships/hyperlink" Target="http://www.tulsaworld.com/news/crimewatch/man-with-loaded-ak--shot-by-police-in-owasso/article_6eda4f61-f848-526c-b2f6-18d61ff16585.html" TargetMode="External"/><Relationship Id="rId3420" Type="http://schemas.openxmlformats.org/officeDocument/2006/relationships/hyperlink" Target="http://www.fatalencounters.org/wp-content/uploads/2013/10/Michele-Anne-Marie-Rice.png" TargetMode="External"/><Relationship Id="rId6576" Type="http://schemas.openxmlformats.org/officeDocument/2006/relationships/hyperlink" Target="https://fatalencounters.org/wp-content/uploads/2019/08/DeVon-Bailey.jpeg" TargetMode="External"/><Relationship Id="rId6990" Type="http://schemas.openxmlformats.org/officeDocument/2006/relationships/hyperlink" Target="https://fatalencounters.org/wp-content/uploads/2019/12/Bradley-Cutchens.jpg" TargetMode="External"/><Relationship Id="rId341" Type="http://schemas.openxmlformats.org/officeDocument/2006/relationships/hyperlink" Target="http://www.newswest9.com/story/27643563/midland-police-identify-officer-killed-in-murder-suicide" TargetMode="External"/><Relationship Id="rId2022" Type="http://schemas.openxmlformats.org/officeDocument/2006/relationships/hyperlink" Target="http://www.rgj.com/story/news/crime/2016/07/28/police-respond-incident-northeast-sparks/87667398/" TargetMode="External"/><Relationship Id="rId5178" Type="http://schemas.openxmlformats.org/officeDocument/2006/relationships/hyperlink" Target="https://lancasteronline.com/news/local/da-police-fatally-shot-man-holding-woman-at-gunpoint-inside/article_f4f178ea-ba61-11e8-8353-0b86708cbbf7.html" TargetMode="External"/><Relationship Id="rId5592" Type="http://schemas.openxmlformats.org/officeDocument/2006/relationships/hyperlink" Target="https://www.fatalencounters.org/wp-content/uploads/2018/12/jennifer-vasquez.jpg" TargetMode="External"/><Relationship Id="rId6229" Type="http://schemas.openxmlformats.org/officeDocument/2006/relationships/hyperlink" Target="https://fatalencounters.org/wp-content/uploads/2019/05/RubenHouston.jpg" TargetMode="External"/><Relationship Id="rId6643" Type="http://schemas.openxmlformats.org/officeDocument/2006/relationships/hyperlink" Target="https://www.spokesman.com/stories/2019/aug/16/suspect-dead-after-deputies-responded-to-shots-fir/" TargetMode="External"/><Relationship Id="rId1788" Type="http://schemas.openxmlformats.org/officeDocument/2006/relationships/hyperlink" Target="http://pilotonline.com/news/local/crime/man-shot-and-killed-by-norfolk-officers-relatives-dispute-police/article_77ad85c6-c5b6-5278-89a9-e9f5d67c92e1.html" TargetMode="External"/><Relationship Id="rId2839" Type="http://schemas.openxmlformats.org/officeDocument/2006/relationships/hyperlink" Target="http://www.fatalencounters.org/wp-content/uploads/2013/10/Jerome-Keith-Allen.png" TargetMode="External"/><Relationship Id="rId4194" Type="http://schemas.openxmlformats.org/officeDocument/2006/relationships/hyperlink" Target="http://www.newson6.com/story/37401494/officer-involved-shooting-reported-in-se-okc" TargetMode="External"/><Relationship Id="rId5245" Type="http://schemas.openxmlformats.org/officeDocument/2006/relationships/hyperlink" Target="https://ktla.com/2018/10/03/officials-id-woman-fatally-shot-by-deputy-outside-car-dealership-in-victorville/" TargetMode="External"/><Relationship Id="rId6710" Type="http://schemas.openxmlformats.org/officeDocument/2006/relationships/hyperlink" Target="https://missoulian.com/news/state-and-regional/crime-and-courts/missoula-police-officers-involved-in-shooting/article_c6c6512c-82eb-5b13-9f7d-9c16d1a62fa2.html" TargetMode="External"/><Relationship Id="rId4261" Type="http://schemas.openxmlformats.org/officeDocument/2006/relationships/hyperlink" Target="http://www.thestate.com/latest-news/article201569029.html" TargetMode="External"/><Relationship Id="rId5312" Type="http://schemas.openxmlformats.org/officeDocument/2006/relationships/hyperlink" Target="https://www.theolympian.com/latest-news/article220413305.html" TargetMode="External"/><Relationship Id="rId1508" Type="http://schemas.openxmlformats.org/officeDocument/2006/relationships/hyperlink" Target="http://media.graytvinc.com/images/690*427/arteair-porter.jpg" TargetMode="External"/><Relationship Id="rId1855" Type="http://schemas.openxmlformats.org/officeDocument/2006/relationships/hyperlink" Target="http://pix11.com/2016/06/19/man-killed-in-police-involved-shooting-at-bronx-housing-complex/" TargetMode="External"/><Relationship Id="rId2906" Type="http://schemas.openxmlformats.org/officeDocument/2006/relationships/hyperlink" Target="http://www.seattletimes.com/seattle-news/pierce-county-deputies-fatally-shoot-man-they-say-lunged-at-them-with-knife/" TargetMode="External"/><Relationship Id="rId1922" Type="http://schemas.openxmlformats.org/officeDocument/2006/relationships/hyperlink" Target="http://www.katc.com/story/32363290/officer-involved-shooting-being-investigated-in-iberia-parish" TargetMode="External"/><Relationship Id="rId6086" Type="http://schemas.openxmlformats.org/officeDocument/2006/relationships/hyperlink" Target="https://www.fatalencounters.org/wp-content/uploads/2019/04/Micheal-Hensley.jpg" TargetMode="External"/><Relationship Id="rId7137" Type="http://schemas.openxmlformats.org/officeDocument/2006/relationships/hyperlink" Target="http://archive.azcentral.com/community/phoenix/articles/20130318phoenix-police-dead-downtown-officer-involved-shooting-abrk.html" TargetMode="External"/><Relationship Id="rId2696" Type="http://schemas.openxmlformats.org/officeDocument/2006/relationships/hyperlink" Target="http://www.fatalencounters.org/wp-content/uploads/2013/10/John-Spaulding.jpg" TargetMode="External"/><Relationship Id="rId3747" Type="http://schemas.openxmlformats.org/officeDocument/2006/relationships/hyperlink" Target="http://www.fatalencounters.org/wp-content/uploads/2013/10/Brandon-Uzialko.jpg" TargetMode="External"/><Relationship Id="rId6153" Type="http://schemas.openxmlformats.org/officeDocument/2006/relationships/hyperlink" Target="http://www.fatalencounters.org/wp-content/uploads/2019/04/Jonathan-Patzel.jpg" TargetMode="External"/><Relationship Id="rId7204" Type="http://schemas.openxmlformats.org/officeDocument/2006/relationships/hyperlink" Target="https://drive.google.com/open?id=0B_YUrB_q0WyCdk5XaGMwUU1HUUE" TargetMode="External"/><Relationship Id="rId668" Type="http://schemas.openxmlformats.org/officeDocument/2006/relationships/hyperlink" Target="http://journalstar.com/news/local/911/one-dead-five-in-custody-after-officer-involved-shooting/article_e4cfd9fb-e157-53ad-a637-cfa8b1b1468f.html" TargetMode="External"/><Relationship Id="rId1298" Type="http://schemas.openxmlformats.org/officeDocument/2006/relationships/hyperlink" Target="http://www.redding.com/news/local/Police-called-to-reported-shooting-in-Redding-364320701.html?d=mobile" TargetMode="External"/><Relationship Id="rId2349" Type="http://schemas.openxmlformats.org/officeDocument/2006/relationships/hyperlink" Target="http://wgntv.com/2016/11/05/man-killed-in-police-involved-shooting-in-mount-greenwood-family-says/" TargetMode="External"/><Relationship Id="rId2763" Type="http://schemas.openxmlformats.org/officeDocument/2006/relationships/hyperlink" Target="http://www.baynews9.com/content/news/baynews9/news/article.html/content/news/articles/bn9/2017/4/6/pinellas_deputies_de.html" TargetMode="External"/><Relationship Id="rId3814" Type="http://schemas.openxmlformats.org/officeDocument/2006/relationships/hyperlink" Target="http://www.ajc.com/news/crime--law/metro-atlanta-police-officers-recovering-after-shooting/DxJp92T1HKPRS2uJirWNVK/" TargetMode="External"/><Relationship Id="rId6220" Type="http://schemas.openxmlformats.org/officeDocument/2006/relationships/hyperlink" Target="https://fatalencounters.org/wp-content/uploads/2019/05/James-Douglas-Meadows.jpeg" TargetMode="External"/><Relationship Id="rId735" Type="http://schemas.openxmlformats.org/officeDocument/2006/relationships/hyperlink" Target="http://ak-cache.legacy.net/legacy/images/cobrands/dignitymemorial/photos/ecf6168a-835c-4498-a00e-86434b125335.jpgx?w=130&amp;h=180&amp;option=1&amp;v=0x000000003111f297" TargetMode="External"/><Relationship Id="rId1365" Type="http://schemas.openxmlformats.org/officeDocument/2006/relationships/hyperlink" Target="http://rapidcityjournal.com/news/local/one-killed-officer-injured-in-shooting-on-rosebud/article_041612ec-e475-52eb-bc7e-c0d31593d342.html" TargetMode="External"/><Relationship Id="rId2416" Type="http://schemas.openxmlformats.org/officeDocument/2006/relationships/hyperlink" Target="http://www.stltoday.com/news/local/crime-and-courts/st-louis-police-officer-shot/article_e119c0eb-d2a1-5fd0-9600-cc252d77fed1.html" TargetMode="External"/><Relationship Id="rId1018" Type="http://schemas.openxmlformats.org/officeDocument/2006/relationships/hyperlink" Target="http://www.11alive.com/story/news/local/carrollton/2015/05/28/carrolton-officer-involved-shooting/28130059/" TargetMode="External"/><Relationship Id="rId1432" Type="http://schemas.openxmlformats.org/officeDocument/2006/relationships/hyperlink" Target="http://wjactv.com/news/local/state-police-man-shot-and-killed-by-johnstown-police" TargetMode="External"/><Relationship Id="rId2830" Type="http://schemas.openxmlformats.org/officeDocument/2006/relationships/hyperlink" Target="http://wkrn.com/2017/02/10/person-shot-while-fleeing-police-in-east-nashville/" TargetMode="External"/><Relationship Id="rId4588" Type="http://schemas.openxmlformats.org/officeDocument/2006/relationships/hyperlink" Target="http://ktla.com/2018/04/30/suspected-burglar-fatally-shot-by-police-at-redlands-home/" TargetMode="External"/><Relationship Id="rId5639" Type="http://schemas.openxmlformats.org/officeDocument/2006/relationships/hyperlink" Target="https://www.hawaiinewsnow.com/story/25326725/big-island-taser-death-ruled-homicide/" TargetMode="External"/><Relationship Id="rId5986" Type="http://schemas.openxmlformats.org/officeDocument/2006/relationships/hyperlink" Target="https://www.trentonian.com/news/trenton-man-killed-after-officer-involved-shooting-overnight/article_333b48fa-473a-11e9-9ca1-9f163baf45b2.html" TargetMode="External"/><Relationship Id="rId71" Type="http://schemas.openxmlformats.org/officeDocument/2006/relationships/hyperlink" Target="http://crimeblog.dallasnews.com/2015/07/authorities-man-shot-by-dallas-police-was-racist-killer-rapist-family-he-was-kind-loving.html/" TargetMode="External"/><Relationship Id="rId802" Type="http://schemas.openxmlformats.org/officeDocument/2006/relationships/hyperlink" Target="http://www.wfmynews2.com/story/news/local/2015/08/24/one-dead-archdale-officer-involved-shooting/32252479/" TargetMode="External"/><Relationship Id="rId7061" Type="http://schemas.openxmlformats.org/officeDocument/2006/relationships/hyperlink" Target="https://fatalencounters.org/wp-content/uploads/2019/12/Deangelo-Martin.jpg" TargetMode="External"/><Relationship Id="rId4655" Type="http://schemas.openxmlformats.org/officeDocument/2006/relationships/hyperlink" Target="https://pgpolice.blogspot.ca/2018/05/pgpd-fatal-officer-involved-shooting-in.html" TargetMode="External"/><Relationship Id="rId5706" Type="http://schemas.openxmlformats.org/officeDocument/2006/relationships/hyperlink" Target="https://www.kesq.com/news/police-investigating-shooting-incident-in-cathedral-city/974669084" TargetMode="External"/><Relationship Id="rId178" Type="http://schemas.openxmlformats.org/officeDocument/2006/relationships/hyperlink" Target="http://www.macon.com/2015/05/28/3768612/putnam-deputy-shoots-and-kills.html" TargetMode="External"/><Relationship Id="rId3257" Type="http://schemas.openxmlformats.org/officeDocument/2006/relationships/hyperlink" Target="http://www.newschannel10.com/story/36325843/suspect-dead-k-9-injured-after-swat-standoff" TargetMode="External"/><Relationship Id="rId3671" Type="http://schemas.openxmlformats.org/officeDocument/2006/relationships/hyperlink" Target="http://www.kmbc.com/article/1-dead-1-wounded-in-officer-involved-shooting-in-sugar-creek/8633453" TargetMode="External"/><Relationship Id="rId4308" Type="http://schemas.openxmlformats.org/officeDocument/2006/relationships/hyperlink" Target="http://www.buckscountycouriertimes.com/news/20180305/officials-id-man-killed-in-confrontation-with-bristol-township-police" TargetMode="External"/><Relationship Id="rId4722" Type="http://schemas.openxmlformats.org/officeDocument/2006/relationships/hyperlink" Target="https://www.fatalencounters.org/wp-content/uploads/2018/06/Renie-Cablay.jpg" TargetMode="External"/><Relationship Id="rId592" Type="http://schemas.openxmlformats.org/officeDocument/2006/relationships/hyperlink" Target="http://www.pe.com/articles/riverside-784400-officers-stop.html" TargetMode="External"/><Relationship Id="rId2273" Type="http://schemas.openxmlformats.org/officeDocument/2006/relationships/hyperlink" Target="http://wrbl.com/2016/10/15/woman-shot-and-killed-at-home-in-lee-county-multiple-law-enforcement-agencies-investigating-murder/" TargetMode="External"/><Relationship Id="rId3324" Type="http://schemas.openxmlformats.org/officeDocument/2006/relationships/hyperlink" Target="http://www.fatalencounters.org/wp-content/uploads/2013/10/Michael-Fitzgerald.jpg" TargetMode="External"/><Relationship Id="rId6894" Type="http://schemas.openxmlformats.org/officeDocument/2006/relationships/hyperlink" Target="https://www.idahostatejournal.com/news/local/police-fatally-shoot-man-in-east-idaho-city/article_1a63cb95-21a0-55b3-8b7b-6a226dd2e4a7.html" TargetMode="External"/><Relationship Id="rId245" Type="http://schemas.openxmlformats.org/officeDocument/2006/relationships/hyperlink" Target="http://sanfrancisco.cbslocal.com/2015/04/24/woman-shot-deputies-sonoma-county-chase-dies/" TargetMode="External"/><Relationship Id="rId2340" Type="http://schemas.openxmlformats.org/officeDocument/2006/relationships/hyperlink" Target="http://fox43.com/2016/11/07/police-id-man-killed-in-officer-involved-shooting-at-chambersburg-hospital/" TargetMode="External"/><Relationship Id="rId5496" Type="http://schemas.openxmlformats.org/officeDocument/2006/relationships/hyperlink" Target="https://sanfrancisco.cbslocal.com/2018/12/06/man-shot-dead-by-sheriffs-deputy-near-martinez-identified/" TargetMode="External"/><Relationship Id="rId6547" Type="http://schemas.openxmlformats.org/officeDocument/2006/relationships/hyperlink" Target="https://fox61.com/2019/07/29/body-cam-footage-of-friday-nights-fatal-officer-involved-shooting-has-been-released/" TargetMode="External"/><Relationship Id="rId312" Type="http://schemas.openxmlformats.org/officeDocument/2006/relationships/hyperlink" Target="http://www.presstelegram.com/general-news/20150101/armed-woman-killed-in-compton-deputy-involved-shooting" TargetMode="External"/><Relationship Id="rId4098" Type="http://schemas.openxmlformats.org/officeDocument/2006/relationships/hyperlink" Target="http://katu.com/news/local/oregon-sergeant-cleared-in-fatal-shooting-of-suspect" TargetMode="External"/><Relationship Id="rId5149" Type="http://schemas.openxmlformats.org/officeDocument/2006/relationships/hyperlink" Target="https://www.fatalencounters.org/wp-content/uploads/2018/09/brandonjoyner.jpg" TargetMode="External"/><Relationship Id="rId5563" Type="http://schemas.openxmlformats.org/officeDocument/2006/relationships/hyperlink" Target="https://www.azcentral.com/story/news/local/phoenix-breaking/2018/12/20/man-fatally-shot-phoenix-police-camelback-road-identified/2380387002/" TargetMode="External"/><Relationship Id="rId6961" Type="http://schemas.openxmlformats.org/officeDocument/2006/relationships/hyperlink" Target="https://www.krqe.com/news/new-mexico/nmsp-officer-suspect-injured-in-officer-involved-shooting/" TargetMode="External"/><Relationship Id="rId4165" Type="http://schemas.openxmlformats.org/officeDocument/2006/relationships/hyperlink" Target="https://www.dallasnews.com/news/texas/2018/01/25/fbi-agent-kills-kidnapping-victim-houston-raid-reports-say" TargetMode="External"/><Relationship Id="rId5216" Type="http://schemas.openxmlformats.org/officeDocument/2006/relationships/hyperlink" Target="https://www.fatalencounters.org/wp-content/uploads/2018/10/Dravious-Burch.jpg" TargetMode="External"/><Relationship Id="rId6614" Type="http://schemas.openxmlformats.org/officeDocument/2006/relationships/hyperlink" Target="https://www.nbcdfw.com/news/local/Machete-Wielding-Suspect-Dead-in-Officer-Involved-Shooting-532466321.html" TargetMode="External"/><Relationship Id="rId1759" Type="http://schemas.openxmlformats.org/officeDocument/2006/relationships/hyperlink" Target="http://abc7chicago.com/news/officer-injured-suspect-killed-in-shootout-in-lansing-mall-parking-lot/1357848/" TargetMode="External"/><Relationship Id="rId3181" Type="http://schemas.openxmlformats.org/officeDocument/2006/relationships/hyperlink" Target="http://rapidcityjournal.com/news/local/crime-and-courts/suspect-shot-killed-by-rapid-city-police-after-firing-at/article_07548c08-c39d-5aeb-be9c-ccc37de599d7.html" TargetMode="External"/><Relationship Id="rId5630" Type="http://schemas.openxmlformats.org/officeDocument/2006/relationships/hyperlink" Target="https://drive.google.com/file/d/1WucdyuFcAg5gMXNGHhcFowBm8BiqoNl5/view?usp=sharing" TargetMode="External"/><Relationship Id="rId1826" Type="http://schemas.openxmlformats.org/officeDocument/2006/relationships/hyperlink" Target="http://www.fatalencounters.org/wp-content/uploads/2013/10/Joshua-Sciscm.jpg" TargetMode="External"/><Relationship Id="rId4232" Type="http://schemas.openxmlformats.org/officeDocument/2006/relationships/hyperlink" Target="http://www.fatalencounters.org/wp-content/uploads/2018/02/Aaron-parker.jpg" TargetMode="External"/><Relationship Id="rId3998" Type="http://schemas.openxmlformats.org/officeDocument/2006/relationships/hyperlink" Target="http://www.fatalencounters.org/wp-content/uploads/2013/10/jeffrey-john-golnick-mug.jpg" TargetMode="External"/><Relationship Id="rId6057" Type="http://schemas.openxmlformats.org/officeDocument/2006/relationships/hyperlink" Target="https://www.fatalencounters.org/wp-content/uploads/2019/04/Veltavious-Griggs.jpg" TargetMode="External"/><Relationship Id="rId6471" Type="http://schemas.openxmlformats.org/officeDocument/2006/relationships/hyperlink" Target="https://nypost.com/2019/07/07/suspect-critically-injured-during-police-involved-shooting-in-the-bronx/" TargetMode="External"/><Relationship Id="rId7108" Type="http://schemas.openxmlformats.org/officeDocument/2006/relationships/hyperlink" Target="http://www.postandcourier.com/news/berkeley-county-deputy-placed-on-leave-after-video-shows-cruiser/article_09f5aa00-25bb-11e7-824f-5f21562bf846.html" TargetMode="External"/><Relationship Id="rId986" Type="http://schemas.openxmlformats.org/officeDocument/2006/relationships/hyperlink" Target="http://www.katu.com/news/local/DA-clears-deputy-in-deadly-McMinnville-shooting-316055961.html" TargetMode="External"/><Relationship Id="rId2667" Type="http://schemas.openxmlformats.org/officeDocument/2006/relationships/hyperlink" Target="http://www.fatalencounters.org/wp-content/uploads/2013/10/DeJuan-Guillory.png" TargetMode="External"/><Relationship Id="rId3718" Type="http://schemas.openxmlformats.org/officeDocument/2006/relationships/hyperlink" Target="http://www.fatalencounters.org/wp-content/uploads/2013/10/StephenTruex.jpg" TargetMode="External"/><Relationship Id="rId5073" Type="http://schemas.openxmlformats.org/officeDocument/2006/relationships/hyperlink" Target="https://www.fatalencounters.org/wp-content/uploads/2018/08/Douglas-Heath.jpg" TargetMode="External"/><Relationship Id="rId6124" Type="http://schemas.openxmlformats.org/officeDocument/2006/relationships/hyperlink" Target="https://www.fatalencounters.org/wp-content/uploads/2019/04/Samuel-Charles-Talbott.jpg" TargetMode="External"/><Relationship Id="rId639" Type="http://schemas.openxmlformats.org/officeDocument/2006/relationships/hyperlink" Target="http://www.killedbypolice.net/victims/151049.jpg" TargetMode="External"/><Relationship Id="rId1269" Type="http://schemas.openxmlformats.org/officeDocument/2006/relationships/hyperlink" Target="http://www.fatalencounters.org/wp-content/uploads/2013/10/Christopher.jpg" TargetMode="External"/><Relationship Id="rId5140" Type="http://schemas.openxmlformats.org/officeDocument/2006/relationships/hyperlink" Target="https://www.cincinnati.com/story/news/2018/09/07/cincinnati-shooting-victim-after-surgery-manager-now-recovering/1226031002/" TargetMode="External"/><Relationship Id="rId1683" Type="http://schemas.openxmlformats.org/officeDocument/2006/relationships/hyperlink" Target="http://www.baynews9.com/content/news/baynews9/news/article.html/content/news/articles/bn9/2016/5/7/deputy_involved_shoo.html" TargetMode="External"/><Relationship Id="rId2734" Type="http://schemas.openxmlformats.org/officeDocument/2006/relationships/hyperlink" Target="http://www.star-telegram.com/news/local/community/northeast-tarrant/article148047779.html" TargetMode="External"/><Relationship Id="rId706" Type="http://schemas.openxmlformats.org/officeDocument/2006/relationships/hyperlink" Target="http://yourdailyjournal.com/news/18292/sbi-anson-deputy-shot-killed-domestic-violence-suspect" TargetMode="External"/><Relationship Id="rId1336" Type="http://schemas.openxmlformats.org/officeDocument/2006/relationships/hyperlink" Target="http://www.valdostadailytimes.com/news/local_news/suspect-shot-by-authorities-at-pilot/article_089b0c44-bed9-11e5-8340-cb76f2e99187.html" TargetMode="External"/><Relationship Id="rId1750" Type="http://schemas.openxmlformats.org/officeDocument/2006/relationships/hyperlink" Target="http://www.kmbc.com/news/man-shot-killed-by-cass-county-deputy-on-i49/39715442" TargetMode="External"/><Relationship Id="rId2801" Type="http://schemas.openxmlformats.org/officeDocument/2006/relationships/hyperlink" Target="http://www.sacbee.com/news/local/crime/article135013504.html" TargetMode="External"/><Relationship Id="rId5957" Type="http://schemas.openxmlformats.org/officeDocument/2006/relationships/hyperlink" Target="https://www.woodtv.com/news/officer-involved-shooting-in-pennfield-township/1837266398" TargetMode="External"/><Relationship Id="rId42" Type="http://schemas.openxmlformats.org/officeDocument/2006/relationships/hyperlink" Target="http://www.cnn.com/2015/07/17/us/tennessee-shooter-mohammad-youssuf-abdulazeez/" TargetMode="External"/><Relationship Id="rId1403" Type="http://schemas.openxmlformats.org/officeDocument/2006/relationships/hyperlink" Target="http://dfw.cbslocal.com/2016/02/19/reno-standoff-ends-with-police-killing-armed-suspect/" TargetMode="External"/><Relationship Id="rId4559" Type="http://schemas.openxmlformats.org/officeDocument/2006/relationships/hyperlink" Target="https://www.news-leader.com/story/news/crime/2018/04/18/deputy-fatally-shoots-man-who-brandished-handgun-sheriff-says/527373002/" TargetMode="External"/><Relationship Id="rId4973" Type="http://schemas.openxmlformats.org/officeDocument/2006/relationships/hyperlink" Target="https://www.fatalencounters.org/wp-content/uploads/2018/07/Arthur-Kenzie-Garner.jpg" TargetMode="External"/><Relationship Id="rId3575" Type="http://schemas.openxmlformats.org/officeDocument/2006/relationships/hyperlink" Target="http://dfw.cbslocal.com/2017/03/11/midlothian-police-investigating-officer-involved-shooting/" TargetMode="External"/><Relationship Id="rId4626" Type="http://schemas.openxmlformats.org/officeDocument/2006/relationships/hyperlink" Target="http://www.fatalencounters.org/wp-content/uploads/2018/05/David-J.-Robinson.jpg" TargetMode="External"/><Relationship Id="rId7032" Type="http://schemas.openxmlformats.org/officeDocument/2006/relationships/hyperlink" Target="https://www.denverpost.com/2019/12/19/lakewood-armed-suspect-fire-duplex/" TargetMode="External"/><Relationship Id="rId496" Type="http://schemas.openxmlformats.org/officeDocument/2006/relationships/hyperlink" Target="http://www.chronline.com/article_b54aecd0-94b9-11e3-8b34-001a4bcf887a.html" TargetMode="External"/><Relationship Id="rId2177" Type="http://schemas.openxmlformats.org/officeDocument/2006/relationships/hyperlink" Target="http://www.fatalencounters.org/wp-content/uploads/2013/10/JosephMoreno.jpg" TargetMode="External"/><Relationship Id="rId2591" Type="http://schemas.openxmlformats.org/officeDocument/2006/relationships/hyperlink" Target="http://www.fatalencounters.org/wp-content/uploads/2013/10/Carpentier.jpg" TargetMode="External"/><Relationship Id="rId3228" Type="http://schemas.openxmlformats.org/officeDocument/2006/relationships/hyperlink" Target="http://abc7.com/news/shots-fired-at-lasd-sheriffs-station-in-temple-city/1809172/" TargetMode="External"/><Relationship Id="rId3642" Type="http://schemas.openxmlformats.org/officeDocument/2006/relationships/hyperlink" Target="http://www.wkyc.com/news/local/ashtabula-county/officer-involved-shooting-in-geneva-township/404679110" TargetMode="External"/><Relationship Id="rId6798" Type="http://schemas.openxmlformats.org/officeDocument/2006/relationships/hyperlink" Target="https://fatalencounters.org/wp-content/uploads/2019/09/Jefferey-Tyler-Aycock.jpg" TargetMode="External"/><Relationship Id="rId149" Type="http://schemas.openxmlformats.org/officeDocument/2006/relationships/hyperlink" Target="http://www.azfamily.com/story/29270558/deputy-involved-shooting-in-sun-city" TargetMode="External"/><Relationship Id="rId563" Type="http://schemas.openxmlformats.org/officeDocument/2006/relationships/hyperlink" Target="http://www.palmbeachpost.com/news/news/man-shot-and-killed-by-deputies-near-marriott-in-w/nXR2K/" TargetMode="External"/><Relationship Id="rId1193" Type="http://schemas.openxmlformats.org/officeDocument/2006/relationships/hyperlink" Target="https://www.washingtonpost.com/local/with-6-month-old-baby-in-car-both-parents-killed-by-virginia-beach-police/2015/09/08/2e64a83c-565a-11e5-8bb1-b488d231bba2_story.html" TargetMode="External"/><Relationship Id="rId2244" Type="http://schemas.openxmlformats.org/officeDocument/2006/relationships/hyperlink" Target="http://www.fatalencounters.org/wp-content/uploads/2013/10/Charles-E.-Antrup.jpg" TargetMode="External"/><Relationship Id="rId216" Type="http://schemas.openxmlformats.org/officeDocument/2006/relationships/hyperlink" Target="http://www.sgvtribune.com/general-news/20150505/2-dead-1-injured-in-south-el-monte-stabbing-deputy-involved-shooting" TargetMode="External"/><Relationship Id="rId1260" Type="http://schemas.openxmlformats.org/officeDocument/2006/relationships/hyperlink" Target="https://localtvwjw.files.wordpress.com/2016/02/thomas-hirko.jpg?w=338&amp;h=450" TargetMode="External"/><Relationship Id="rId6865" Type="http://schemas.openxmlformats.org/officeDocument/2006/relationships/hyperlink" Target="https://www.sgvtribune.com/2019/10/12/person-killed-in-officer-involved-shooting-in-el-monte/" TargetMode="External"/><Relationship Id="rId630" Type="http://schemas.openxmlformats.org/officeDocument/2006/relationships/hyperlink" Target="http://www.killedbypolice.net/victims/151070.jpg" TargetMode="External"/><Relationship Id="rId2311" Type="http://schemas.openxmlformats.org/officeDocument/2006/relationships/hyperlink" Target="http://www.fatalencounters.org/wp-content/uploads/2013/10/Kyle-W.-Killough.jpg" TargetMode="External"/><Relationship Id="rId4069" Type="http://schemas.openxmlformats.org/officeDocument/2006/relationships/hyperlink" Target="https://kxan.com/2018/01/06/officer-involved-shooting-reported-in-round-rock/" TargetMode="External"/><Relationship Id="rId5467" Type="http://schemas.openxmlformats.org/officeDocument/2006/relationships/hyperlink" Target="https://kdvr.com/2018/11/28/man-killed-in-shootout-with-douglas-county-deputies-identified/" TargetMode="External"/><Relationship Id="rId5881" Type="http://schemas.openxmlformats.org/officeDocument/2006/relationships/hyperlink" Target="https://www.fatalencounters.org/wp-content/uploads/2019/02/Clayton-Joseph.jpg" TargetMode="External"/><Relationship Id="rId6518" Type="http://schemas.openxmlformats.org/officeDocument/2006/relationships/hyperlink" Target="https://fatalencounters.org/wp-content/uploads/2019/07/mark-anson-schoggins.jpg" TargetMode="External"/><Relationship Id="rId6932" Type="http://schemas.openxmlformats.org/officeDocument/2006/relationships/hyperlink" Target="https://www.ny1.com/nyc/brooklyn/news/2019/10/25/brownsville-brooklyn-shooting-nypd-officers-injured-nyc" TargetMode="External"/><Relationship Id="rId4483" Type="http://schemas.openxmlformats.org/officeDocument/2006/relationships/hyperlink" Target="https://www.mercurynews.com/2018/04/05/gunfire-erupts-in-fremont-eyewitnesses-report-casualties/" TargetMode="External"/><Relationship Id="rId5534" Type="http://schemas.openxmlformats.org/officeDocument/2006/relationships/hyperlink" Target="https://www.fatalencounters.org/wp-content/uploads/2018/12/TAMEKA-LASHAY-SIMPSON.jpg" TargetMode="External"/><Relationship Id="rId3085" Type="http://schemas.openxmlformats.org/officeDocument/2006/relationships/hyperlink" Target="http://www.click2houston.com/news/officer-involved-in-shooting-in-sw-harris-county" TargetMode="External"/><Relationship Id="rId4136" Type="http://schemas.openxmlformats.org/officeDocument/2006/relationships/hyperlink" Target="https://www.news-journal.com/news/2018/jan/20/family-man-mental-issues-shot-harrison-county-depu/" TargetMode="External"/><Relationship Id="rId4550" Type="http://schemas.openxmlformats.org/officeDocument/2006/relationships/hyperlink" Target="http://www.fatalencounters.org/wp-content/uploads/2018/04/David-Gino-Teneyuque.jpg" TargetMode="External"/><Relationship Id="rId5601" Type="http://schemas.openxmlformats.org/officeDocument/2006/relationships/hyperlink" Target="https://www.boston25news.com/news/da-investigating-after-man-dies-being-taken-into-custody-by-cohasset-police/895402851?fbclid=IwAR2xH9nb6rKNSWvmHOGeXo7-72uXYRZ-jIOUn3g2zcCqtOP1dkb8iN2QZLs" TargetMode="External"/><Relationship Id="rId3152" Type="http://schemas.openxmlformats.org/officeDocument/2006/relationships/hyperlink" Target="http://www.wmicentral.com/news/apache_county/man-with-gun-shot-by-police-in-eagar/article_f4e84df7-a63a-5f93-a3a3-0056aa4d3ac7.html" TargetMode="External"/><Relationship Id="rId4203" Type="http://schemas.openxmlformats.org/officeDocument/2006/relationships/hyperlink" Target="http://www.fatalencounters.org/wp-content/uploads/2018/02/Albert-Morton-Jr..jpg" TargetMode="External"/><Relationship Id="rId6375" Type="http://schemas.openxmlformats.org/officeDocument/2006/relationships/hyperlink" Target="https://q13fox.com/2019/06/16/1-killed-in-officer-involved-shooting-stabbing-in-downtown-renton/" TargetMode="External"/><Relationship Id="rId140" Type="http://schemas.openxmlformats.org/officeDocument/2006/relationships/hyperlink" Target="http://www.killedbypolice.net/victims/150505.jpg" TargetMode="External"/><Relationship Id="rId3969" Type="http://schemas.openxmlformats.org/officeDocument/2006/relationships/hyperlink" Target="https://www.nbcnewyork.com/news/local/Man-Shot-Killed-FBI-Agent-Officer-Yonkers-464472163.html" TargetMode="External"/><Relationship Id="rId5391" Type="http://schemas.openxmlformats.org/officeDocument/2006/relationships/hyperlink" Target="https://www.pe.com/2018/11/11/hemet-police-officers-return-fire-fatally-shoot-suspect/" TargetMode="External"/><Relationship Id="rId6028" Type="http://schemas.openxmlformats.org/officeDocument/2006/relationships/hyperlink" Target="https://www.fatalencounters.org/wp-content/uploads/2019/03/BRANDON-COTY-ELLIOTT.jpg" TargetMode="External"/><Relationship Id="rId6" Type="http://schemas.openxmlformats.org/officeDocument/2006/relationships/hyperlink" Target="http://www.killedbypolice.net/victims/150905.jpg" TargetMode="External"/><Relationship Id="rId2985" Type="http://schemas.openxmlformats.org/officeDocument/2006/relationships/hyperlink" Target="http://www.fatalencounters.org/wp-content/uploads/2013/10/Jayson-Negron.png" TargetMode="External"/><Relationship Id="rId5044" Type="http://schemas.openxmlformats.org/officeDocument/2006/relationships/hyperlink" Target="https://www.dailyprogress.com/newsvirginian/news/crime/waynesboro-man-suspected-in-nelson-county-killing-is-dead-after/article_c646753a-9e6f-11e8-b8a3-a7e236e04910.html" TargetMode="External"/><Relationship Id="rId6442" Type="http://schemas.openxmlformats.org/officeDocument/2006/relationships/hyperlink" Target="https://nbc25news.com/news/local/one-dead-after-officer-involved-shooting-in-otsego-county" TargetMode="External"/><Relationship Id="rId957" Type="http://schemas.openxmlformats.org/officeDocument/2006/relationships/hyperlink" Target="http://media.graytvinc.com/images/353*536/lauro.jpg" TargetMode="External"/><Relationship Id="rId1587" Type="http://schemas.openxmlformats.org/officeDocument/2006/relationships/hyperlink" Target="http://www.wcjb.com/local-news/2016/03/16-year-old-dies-after-standoff-police" TargetMode="External"/><Relationship Id="rId2638" Type="http://schemas.openxmlformats.org/officeDocument/2006/relationships/hyperlink" Target="http://www.fatalencounters.org/wp-content/uploads/2013/10/Darreon-J.-Neal.jpg" TargetMode="External"/><Relationship Id="rId1654" Type="http://schemas.openxmlformats.org/officeDocument/2006/relationships/hyperlink" Target="http://www.fatalencounters.org/wp-content/uploads/2013/10/DylanWhitaker.jpg" TargetMode="External"/><Relationship Id="rId2705" Type="http://schemas.openxmlformats.org/officeDocument/2006/relationships/hyperlink" Target="http://abc7.com/news/teen-suspect-dies-after-being-shot-by-customs-agent-in-arcadia/2043849/" TargetMode="External"/><Relationship Id="rId4060" Type="http://schemas.openxmlformats.org/officeDocument/2006/relationships/hyperlink" Target="http://ktla.com/2018/01/05/armed-man-fatally-shot-by-long-beach-police-after-allegedly-holding-holiday-inn-employee-hostage/" TargetMode="External"/><Relationship Id="rId5111" Type="http://schemas.openxmlformats.org/officeDocument/2006/relationships/hyperlink" Target="https://www.wral.com/police-tarboro-officer-shot-burglary-suspect-after-being-faced-with-a-threat-/17813452/" TargetMode="External"/><Relationship Id="rId1307" Type="http://schemas.openxmlformats.org/officeDocument/2006/relationships/hyperlink" Target="http://www.oregonlive.com/pacific-northwest-news/index.ssf/2016/01/man_who_threatened_police_with.html" TargetMode="External"/><Relationship Id="rId1721" Type="http://schemas.openxmlformats.org/officeDocument/2006/relationships/hyperlink" Target="http://www.fatalencounters.org/wp-content/uploads/2013/10/Santos-Banos.jpg" TargetMode="External"/><Relationship Id="rId4877" Type="http://schemas.openxmlformats.org/officeDocument/2006/relationships/hyperlink" Target="https://www.fatalencounters.org/wp-content/uploads/2018/07/Harold-Kraai.jpg" TargetMode="External"/><Relationship Id="rId5928" Type="http://schemas.openxmlformats.org/officeDocument/2006/relationships/hyperlink" Target="https://www.desertsun.com/story/news/crime_courts/2019/03/04/officer-involved-shooting-eisenhower-desert-orthopedic-center-rancho-mirage/3062291002/" TargetMode="External"/><Relationship Id="rId13" Type="http://schemas.openxmlformats.org/officeDocument/2006/relationships/hyperlink" Target="http://abc7.com/news/suspect-killed-in-panorama-city-officer-involved-shooting/986303/" TargetMode="External"/><Relationship Id="rId3479" Type="http://schemas.openxmlformats.org/officeDocument/2006/relationships/hyperlink" Target="http://www.fatalencounters.org/wp-content/uploads/2013/10/Scott-Bloomfield.png" TargetMode="External"/><Relationship Id="rId2495" Type="http://schemas.openxmlformats.org/officeDocument/2006/relationships/hyperlink" Target="http://www.khou.com/news/local/hpd-officer-shot-wounded-suspected-robbery-suspect/365102468" TargetMode="External"/><Relationship Id="rId3893" Type="http://schemas.openxmlformats.org/officeDocument/2006/relationships/hyperlink" Target="http://www.freep.com/story/news/local/2017/05/26/prosecutor-clears-officers-involved-brighton-twp-shooting/350499001/" TargetMode="External"/><Relationship Id="rId4944" Type="http://schemas.openxmlformats.org/officeDocument/2006/relationships/hyperlink" Target="https://www.highlandnews.net/news/public_safety/pursuit-assault-with-a-deadly-weapon-leads-to-a-deputy/article_f7b49d2e-8f6d-11e8-9ca2-6f770a22dd36.html" TargetMode="External"/><Relationship Id="rId7003" Type="http://schemas.openxmlformats.org/officeDocument/2006/relationships/hyperlink" Target="https://www.firstcoastnews.com/article/news/crime/officer-involved-shooting-reported-in-urban-core-neighborhood-2-officers-injured/77-290029bb-880a-4995-924a-0f25f3dc9523" TargetMode="External"/><Relationship Id="rId467" Type="http://schemas.openxmlformats.org/officeDocument/2006/relationships/hyperlink" Target="http://triblive.com/news/allegheny/6036085-74/zappala-officer-police" TargetMode="External"/><Relationship Id="rId1097" Type="http://schemas.openxmlformats.org/officeDocument/2006/relationships/hyperlink" Target="http://www.news4jax.com/news/policeinvolved-shooting-in-east-arlington/36098444" TargetMode="External"/><Relationship Id="rId2148" Type="http://schemas.openxmlformats.org/officeDocument/2006/relationships/hyperlink" Target="http://www.denverpost.com/2016/08/29/terry-salazar-shot-by-denver-police/" TargetMode="External"/><Relationship Id="rId3546" Type="http://schemas.openxmlformats.org/officeDocument/2006/relationships/hyperlink" Target="http://www.clarionledger.com/story/news/local/2017/03/27/high-speed-chase-reported-officer-down-lowndes-county/99688540/" TargetMode="External"/><Relationship Id="rId3960" Type="http://schemas.openxmlformats.org/officeDocument/2006/relationships/hyperlink" Target="http://wsav.com/2017/12/12/rincon-officer-involved-shooting/" TargetMode="External"/><Relationship Id="rId881" Type="http://schemas.openxmlformats.org/officeDocument/2006/relationships/hyperlink" Target="http://fox59.com/2015/09/23/exclusive-video-neighbors-call-police-action-shooting-into-question/" TargetMode="External"/><Relationship Id="rId2562" Type="http://schemas.openxmlformats.org/officeDocument/2006/relationships/hyperlink" Target="http://www.sbsun.com/general-news/20161225/san-bernardino-county-sheriffs-department-investigating-trona-mans-in-custody-death" TargetMode="External"/><Relationship Id="rId3613" Type="http://schemas.openxmlformats.org/officeDocument/2006/relationships/hyperlink" Target="http://www.wtsp.com/news/deputy-involved-shooting-reported-in-hernando/410103018" TargetMode="External"/><Relationship Id="rId6769" Type="http://schemas.openxmlformats.org/officeDocument/2006/relationships/hyperlink" Target="https://abc13.com/suspect-dies-after-officer-involved-shooting-in-sw-houston/5542622/" TargetMode="External"/><Relationship Id="rId534" Type="http://schemas.openxmlformats.org/officeDocument/2006/relationships/hyperlink" Target="http://www.presstelegram.com/general-news/20130926/long-beach-police-kill-man-in-departments-third-ois-in-past-week" TargetMode="External"/><Relationship Id="rId1164" Type="http://schemas.openxmlformats.org/officeDocument/2006/relationships/hyperlink" Target="http://homicide.latimes.com/post/derrick-lee-hunt/" TargetMode="External"/><Relationship Id="rId2215" Type="http://schemas.openxmlformats.org/officeDocument/2006/relationships/hyperlink" Target="http://www.fatalencounters.org/wp-content/uploads/2013/10/Jose-Cesar-Viloria.jpg" TargetMode="External"/><Relationship Id="rId5785" Type="http://schemas.openxmlformats.org/officeDocument/2006/relationships/hyperlink" Target="https://www.fatalencounters.org/wp-content/uploads/2019/02/Gregory-Griffin.jpg" TargetMode="External"/><Relationship Id="rId6836" Type="http://schemas.openxmlformats.org/officeDocument/2006/relationships/hyperlink" Target="https://fatalencounters.org/wp-content/uploads/2019/10/Jack-Thomas-Sam-Naylor.jpg" TargetMode="External"/><Relationship Id="rId601" Type="http://schemas.openxmlformats.org/officeDocument/2006/relationships/hyperlink" Target="http://www.killedbypolice.net/victims/150955.jpg" TargetMode="External"/><Relationship Id="rId1231" Type="http://schemas.openxmlformats.org/officeDocument/2006/relationships/hyperlink" Target="http://www.fatalencounters.org/wp-content/uploads/2013/10/FRANCO-ARMENTA.png" TargetMode="External"/><Relationship Id="rId4387" Type="http://schemas.openxmlformats.org/officeDocument/2006/relationships/hyperlink" Target="https://www.sgvtribune.com/2018/03/18/deputies-shoot-kill-man-in-south-el-monte/" TargetMode="External"/><Relationship Id="rId5438" Type="http://schemas.openxmlformats.org/officeDocument/2006/relationships/hyperlink" Target="https://abc13.com/driver-shot-and-killed-after-pasadena-officer-stops-vehicle/4736446/" TargetMode="External"/><Relationship Id="rId5852" Type="http://schemas.openxmlformats.org/officeDocument/2006/relationships/hyperlink" Target="https://www.toledoblade.com/local/police-fire/2019/02/12/person-killed-in-defiance-officer-involved-shooting/stories/20190212101" TargetMode="External"/><Relationship Id="rId4454" Type="http://schemas.openxmlformats.org/officeDocument/2006/relationships/hyperlink" Target="http://www.kolotv.com/content/news/WCSO-investigates-officer-involved-shooting-in-Reno-478480723.html" TargetMode="External"/><Relationship Id="rId5505" Type="http://schemas.openxmlformats.org/officeDocument/2006/relationships/hyperlink" Target="https://www.wptv.com/news/region-st-lucie-county/fort-pierce/suspect-dead-in-officer-involved-shooting-in-fort-pierce-police-say" TargetMode="External"/><Relationship Id="rId6903" Type="http://schemas.openxmlformats.org/officeDocument/2006/relationships/hyperlink" Target="https://www.ktvb.com/article/news/crime/person-dead-after-police-involved-shooting-state-street/277-92e18448-8894-4db8-af47-3211bbd714ed" TargetMode="External"/><Relationship Id="rId3056" Type="http://schemas.openxmlformats.org/officeDocument/2006/relationships/hyperlink" Target="http://www.idahostatesman.com/news/local/crime/article128371404.html" TargetMode="External"/><Relationship Id="rId3470" Type="http://schemas.openxmlformats.org/officeDocument/2006/relationships/hyperlink" Target="http://www.wisn.com/article/police-on-scene-of-possible-standoff-situation-in-west-allis/9648868" TargetMode="External"/><Relationship Id="rId4107" Type="http://schemas.openxmlformats.org/officeDocument/2006/relationships/hyperlink" Target="http://www.wbtv.com/story/37261328/person-dead-after-officer-involved-shooting-in-huntersville" TargetMode="External"/><Relationship Id="rId391" Type="http://schemas.openxmlformats.org/officeDocument/2006/relationships/hyperlink" Target="http://www.wwltv.com/story/news/local/orleans/2014/09/15/officer-shot-on-duty-in-good-spirits/15700815/" TargetMode="External"/><Relationship Id="rId2072" Type="http://schemas.openxmlformats.org/officeDocument/2006/relationships/hyperlink" Target="http://www.latimes.com/local/lanow/la-me-ln-shooting-boyle-heights-20160810-snap-story.html" TargetMode="External"/><Relationship Id="rId3123" Type="http://schemas.openxmlformats.org/officeDocument/2006/relationships/hyperlink" Target="http://www.channel3000.com/news/crime/one-dead-in-officer-involved-incident-in-grant-county/615475854" TargetMode="External"/><Relationship Id="rId4521" Type="http://schemas.openxmlformats.org/officeDocument/2006/relationships/hyperlink" Target="http://www.wgrz.com/article/news/local/suspect-dead-in-officer-involved-shooting-in-genesee-county/71-537533844" TargetMode="External"/><Relationship Id="rId6279" Type="http://schemas.openxmlformats.org/officeDocument/2006/relationships/hyperlink" Target="https://www.cbs7.com/content/news/FIRST-ON-CBS7-Texas-Rangers-investigating-officer-involved-shooting-in-Odessa-510460941.html" TargetMode="External"/><Relationship Id="rId6693" Type="http://schemas.openxmlformats.org/officeDocument/2006/relationships/hyperlink" Target="https://www.washingtontimes.com/news/2019/aug/30/authorities-teen-killed-by-police-in-carlsbad-fire/?utm_source=RSS_Feed&amp;utm_medium=RSS" TargetMode="External"/><Relationship Id="rId2889" Type="http://schemas.openxmlformats.org/officeDocument/2006/relationships/hyperlink" Target="http://www.fatalencounters.org/wp-content/uploads/2013/10/JuanFlores.jpg" TargetMode="External"/><Relationship Id="rId5295" Type="http://schemas.openxmlformats.org/officeDocument/2006/relationships/hyperlink" Target="https://www.fatalencounters.org/wp-content/uploads/2018/10/James-Lyle-Kuehn.jpg" TargetMode="External"/><Relationship Id="rId6346" Type="http://schemas.openxmlformats.org/officeDocument/2006/relationships/hyperlink" Target="https://fatalencounters.org/wp-content/uploads/2019/06/TerryFrost.jpg" TargetMode="External"/><Relationship Id="rId6760" Type="http://schemas.openxmlformats.org/officeDocument/2006/relationships/hyperlink" Target="https://www.click2houston.com/news/man-killed-in-officer-involved-shooting-in-katy-area-deputies-say" TargetMode="External"/><Relationship Id="rId111" Type="http://schemas.openxmlformats.org/officeDocument/2006/relationships/hyperlink" Target="http://homicide.latimes.com/post/adrian-simental/" TargetMode="External"/><Relationship Id="rId2956" Type="http://schemas.openxmlformats.org/officeDocument/2006/relationships/hyperlink" Target="http://abc30.com/news/authorities-investigating-deadly-officer-involved-shooting-in-madera/2110112/" TargetMode="External"/><Relationship Id="rId5362" Type="http://schemas.openxmlformats.org/officeDocument/2006/relationships/hyperlink" Target="https://www.abqjournal.com/1242298/family-identifies-man-shot-killed-by-apd-sunday.html" TargetMode="External"/><Relationship Id="rId6413" Type="http://schemas.openxmlformats.org/officeDocument/2006/relationships/hyperlink" Target="https://fatalencounters.org/wp-content/uploads/2019/07/PaulRea.jpg" TargetMode="External"/><Relationship Id="rId928" Type="http://schemas.openxmlformats.org/officeDocument/2006/relationships/hyperlink" Target="http://www.modbee.com/news/local/crime/article39598365.html" TargetMode="External"/><Relationship Id="rId1558" Type="http://schemas.openxmlformats.org/officeDocument/2006/relationships/hyperlink" Target="http://www.lasvegasnow.com/news/police-id-man-killed-in-officer-involved-shooting" TargetMode="External"/><Relationship Id="rId2609" Type="http://schemas.openxmlformats.org/officeDocument/2006/relationships/hyperlink" Target="http://www.times-standard.com/general-news/20170909/police-shoot-man-at-arcata-plaza-witnesses-say" TargetMode="External"/><Relationship Id="rId5015" Type="http://schemas.openxmlformats.org/officeDocument/2006/relationships/hyperlink" Target="https://www.fatalencounters.org/wp-content/uploads/2018/08/JohnnyFisher.jpg" TargetMode="External"/><Relationship Id="rId1972" Type="http://schemas.openxmlformats.org/officeDocument/2006/relationships/hyperlink" Target="https://yourdailyjournal.com/news/41128/man-dies-following-confrontation-with-anson-county-deputies-1" TargetMode="External"/><Relationship Id="rId4031" Type="http://schemas.openxmlformats.org/officeDocument/2006/relationships/hyperlink" Target="http://www.fatalencounters.org/wp-content/uploads/2013/10/Isaiah-Christian-Green.jpg" TargetMode="External"/><Relationship Id="rId7187" Type="http://schemas.openxmlformats.org/officeDocument/2006/relationships/hyperlink" Target="http://www.washingtonpost.com/local/one-killed-in-officer-involved-shooting-in-southeast-dc/2013/04/09/c1802102-a0fc-11e2-be47-b44febada3a8_story.html" TargetMode="External"/><Relationship Id="rId1625" Type="http://schemas.openxmlformats.org/officeDocument/2006/relationships/hyperlink" Target="http://www.wbko.com/content/news/KSP-Trooper-involved-in-a-shooting-in-Hopkins-County-372752062.html" TargetMode="External"/><Relationship Id="rId7254" Type="http://schemas.openxmlformats.org/officeDocument/2006/relationships/hyperlink" Target="http://www.gosanangelo.com/news/man-dies-in-custody-after-police-repeatedly-use" TargetMode="External"/><Relationship Id="rId3797" Type="http://schemas.openxmlformats.org/officeDocument/2006/relationships/hyperlink" Target="http://www.fatalencounters.org/wp-content/uploads/2013/10/Frank-Joey-Half-Jr.jpg" TargetMode="External"/><Relationship Id="rId4848" Type="http://schemas.openxmlformats.org/officeDocument/2006/relationships/hyperlink" Target="https://www.desmoinesregister.com/story/news/crime-and-courts/2018/07/03/iowa-police-shooting-officer-and-victim-panora-death-identified/756016002/" TargetMode="External"/><Relationship Id="rId2399" Type="http://schemas.openxmlformats.org/officeDocument/2006/relationships/hyperlink" Target="http://www.wjhg.com/content/news/One-dead-in-officer-involved-shooting-in-Okaloosa-County-401913675.html" TargetMode="External"/><Relationship Id="rId3864" Type="http://schemas.openxmlformats.org/officeDocument/2006/relationships/hyperlink" Target="http://billingsgazette.com/news/crime/police-shoot--year-old-billings-man-to-death-after/article_c52fe073-504e-50bc-8c22-309a6cef62fb.html" TargetMode="External"/><Relationship Id="rId4915" Type="http://schemas.openxmlformats.org/officeDocument/2006/relationships/hyperlink" Target="https://www.fatalencounters.org/wp-content/uploads/2018/07/Juan-Manuel-Correa-Leyva.jpg" TargetMode="External"/><Relationship Id="rId6270" Type="http://schemas.openxmlformats.org/officeDocument/2006/relationships/hyperlink" Target="https://www.wlbt.com/2019/05/24/one-man-dead-after-deputy-involved-shooting-pearl-river-county/" TargetMode="External"/><Relationship Id="rId785" Type="http://schemas.openxmlformats.org/officeDocument/2006/relationships/hyperlink" Target="http://www.kxii.com/home/headlines/Suspect-in-Ardmore-officer-involved-shooting-dies-321179871.html" TargetMode="External"/><Relationship Id="rId2466" Type="http://schemas.openxmlformats.org/officeDocument/2006/relationships/hyperlink" Target="http://www.fatalencounters.org/wp-content/uploads/2013/10/Bruce-R.-Johnson-II.jpg" TargetMode="External"/><Relationship Id="rId2880" Type="http://schemas.openxmlformats.org/officeDocument/2006/relationships/hyperlink" Target="http://www.fatalencounters.org/wp-content/uploads/2013/10/James-E.-Lewis.png" TargetMode="External"/><Relationship Id="rId3517" Type="http://schemas.openxmlformats.org/officeDocument/2006/relationships/hyperlink" Target="http://www.kake.com/story/35139445/shots-fired-during-multi-county-chase?utm_medium=social&amp;utm_source=twitter_KAKEnews" TargetMode="External"/><Relationship Id="rId3931" Type="http://schemas.openxmlformats.org/officeDocument/2006/relationships/hyperlink" Target="http://www.sun-sentinel.com/news/fl-reg-miami-dade-officer-shot-20171206-story.html" TargetMode="External"/><Relationship Id="rId438" Type="http://schemas.openxmlformats.org/officeDocument/2006/relationships/hyperlink" Target="http://www.wbaltv.com/news/police-investigate-mta-officerinvolved-shooting-at-cromwell-light-rail-station/26384134" TargetMode="External"/><Relationship Id="rId852" Type="http://schemas.openxmlformats.org/officeDocument/2006/relationships/hyperlink" Target="http://www.ohio.com/news/break-news/springfield-township-man-dies-after-confrontation-with-police-involving-taser-1.624097" TargetMode="External"/><Relationship Id="rId1068" Type="http://schemas.openxmlformats.org/officeDocument/2006/relationships/hyperlink" Target="http://www.trbimg.com/img-54da5444/turbine/os-joseph-paffen-20150210/243/243x137" TargetMode="External"/><Relationship Id="rId1482" Type="http://schemas.openxmlformats.org/officeDocument/2006/relationships/hyperlink" Target="http://www.kmov.com/story/30988370/armed-robber-killed-during-officer-involved-shooting-at-south-city-kfc" TargetMode="External"/><Relationship Id="rId2119" Type="http://schemas.openxmlformats.org/officeDocument/2006/relationships/hyperlink" Target="http://www.ruidosonews.com/story/news/local/crime/2016/08/19/state-police-probe-possible-shooting-carrizo-canyon-rd/88993530/" TargetMode="External"/><Relationship Id="rId2533" Type="http://schemas.openxmlformats.org/officeDocument/2006/relationships/hyperlink" Target="http://www.tulsaworld.com/news/crimewatch/police-release-names-of-officer-man-fatally-shot-by-him/article_4c32a682-8acb-527d-b805-d608eb48f99e.html" TargetMode="External"/><Relationship Id="rId5689" Type="http://schemas.openxmlformats.org/officeDocument/2006/relationships/hyperlink" Target="http://www.spokesman.com/stories/2019/jan/08/man-suspected-of-shooting-at-neighbors-in-north-sp/" TargetMode="External"/><Relationship Id="rId505" Type="http://schemas.openxmlformats.org/officeDocument/2006/relationships/hyperlink" Target="http://thumbs.mugshots.com/gallery/images/8d/63/Kevin-Dejon-Grissett-mugshot-24130338.400x800.jpg" TargetMode="External"/><Relationship Id="rId1135" Type="http://schemas.openxmlformats.org/officeDocument/2006/relationships/hyperlink" Target="http://www.killedbypolice.net/victims/151084.jpg" TargetMode="External"/><Relationship Id="rId1202" Type="http://schemas.openxmlformats.org/officeDocument/2006/relationships/hyperlink" Target="http://www.delawareonline.com/story/news/local/2015/09/24/justice-dept-investigates-police-involved-shooting/72737332/" TargetMode="External"/><Relationship Id="rId2600" Type="http://schemas.openxmlformats.org/officeDocument/2006/relationships/hyperlink" Target="http://www.abc10.com/news/local/wanted-marysville-man-killed-in-shootout-with-yuba-city-police/433330674" TargetMode="External"/><Relationship Id="rId4358" Type="http://schemas.openxmlformats.org/officeDocument/2006/relationships/hyperlink" Target="http://www.fatalencounters.org/wp-content/uploads/2018/03/Kenneth-Townley.jpg" TargetMode="External"/><Relationship Id="rId5409" Type="http://schemas.openxmlformats.org/officeDocument/2006/relationships/hyperlink" Target="https://www.khou.com/article/news/crime/suspect-fatally-shot-by-officer-was-choking-her-hpd-says/285-614891432?fbclid=IwAR3bYBINX85rtUlQE7EQZDdZerwqIBrzQt5_to6NtczfAO6al6vSwU3fW3w" TargetMode="External"/><Relationship Id="rId5756" Type="http://schemas.openxmlformats.org/officeDocument/2006/relationships/hyperlink" Target="https://www.fox5vegas.com/news/police-man-killed-in-north-las-vegas-officer-involved-shooting/article_b59cd5c8-2013-11e9-abf4-cb3da2ce2081.html" TargetMode="External"/><Relationship Id="rId6807" Type="http://schemas.openxmlformats.org/officeDocument/2006/relationships/hyperlink" Target="https://fatalencounters.org/wp-content/uploads/2019/10/Daryl-Jennings-Strickland.jpg" TargetMode="External"/><Relationship Id="rId4772" Type="http://schemas.openxmlformats.org/officeDocument/2006/relationships/hyperlink" Target="http://fox4kc.com/2018/06/15/police-identify-woman-shot-killed-while-armed-with-a-sword-during-northland-standoff/" TargetMode="External"/><Relationship Id="rId5823" Type="http://schemas.openxmlformats.org/officeDocument/2006/relationships/hyperlink" Target="https://www.fatalencounters.org/wp-content/uploads/2019/02/Miles-Dylan-Cooper.png.jpg" TargetMode="External"/><Relationship Id="rId295" Type="http://schemas.openxmlformats.org/officeDocument/2006/relationships/hyperlink" Target="http://www.theindychannel.com/news/local-news/suspect-fatally-shot-by-impd-officer-on-east-side" TargetMode="External"/><Relationship Id="rId3374" Type="http://schemas.openxmlformats.org/officeDocument/2006/relationships/hyperlink" Target="http://www.fatalencounters.org/wp-content/uploads/2013/10/tiffany-potter.jpg" TargetMode="External"/><Relationship Id="rId4425" Type="http://schemas.openxmlformats.org/officeDocument/2006/relationships/hyperlink" Target="http://www.fatalencounters.org/wp-content/uploads/2018/04/EvanBashir.jpg" TargetMode="External"/><Relationship Id="rId2390" Type="http://schemas.openxmlformats.org/officeDocument/2006/relationships/hyperlink" Target="http://www.click2houston.com/news/officers-shoot-man-to-death-in-motel-parking-lot-police-say" TargetMode="External"/><Relationship Id="rId3027" Type="http://schemas.openxmlformats.org/officeDocument/2006/relationships/hyperlink" Target="http://kutv.com/news/local/one-dead-after-shooting-involving-roy-police" TargetMode="External"/><Relationship Id="rId3441" Type="http://schemas.openxmlformats.org/officeDocument/2006/relationships/hyperlink" Target="http://bangordailynews.com/2017/05/29/news/york/arundel-man-dies-after-exchanging-gunfire-with-deputies/" TargetMode="External"/><Relationship Id="rId6597" Type="http://schemas.openxmlformats.org/officeDocument/2006/relationships/hyperlink" Target="https://www.ktvz.com/news/police-fatally-shoot-man-at-grants-pass-osp-office/1106406566" TargetMode="External"/><Relationship Id="rId362" Type="http://schemas.openxmlformats.org/officeDocument/2006/relationships/hyperlink" Target="http://www.weau.com/home/headlines/Female-suspect-killed-in-Boyceville-officer-involved-shooting-282832071.html" TargetMode="External"/><Relationship Id="rId2043" Type="http://schemas.openxmlformats.org/officeDocument/2006/relationships/hyperlink" Target="http://www.fatalencounters.org/wp-content/uploads/2013/10/Matthew-David-Conrad.jpg" TargetMode="External"/><Relationship Id="rId5199" Type="http://schemas.openxmlformats.org/officeDocument/2006/relationships/hyperlink" Target="https://www.local10.com/news/crime/gunman-wanted-in-hate-crime-killed-in-shootout-with-police" TargetMode="External"/><Relationship Id="rId6664" Type="http://schemas.openxmlformats.org/officeDocument/2006/relationships/hyperlink" Target="https://www.koat.com/article/officer-involved-shooting-in-ne-abq/28790095" TargetMode="External"/><Relationship Id="rId2110" Type="http://schemas.openxmlformats.org/officeDocument/2006/relationships/hyperlink" Target="http://www.fatalencounters.org/wp-content/uploads/2013/10/Francisco-Villarreal.jpg" TargetMode="External"/><Relationship Id="rId5266" Type="http://schemas.openxmlformats.org/officeDocument/2006/relationships/hyperlink" Target="http://www.goshennews.com/indiana/news/one-dead-in-police-involved-shooting-in-sullivan-hotel/article_a5898b8f-7139-5c66-87f7-78b497bbfbd4.html" TargetMode="External"/><Relationship Id="rId5680" Type="http://schemas.openxmlformats.org/officeDocument/2006/relationships/hyperlink" Target="https://www.fatalencounters.org/wp-content/uploads/2019/01/AndreCGladen.jpg" TargetMode="External"/><Relationship Id="rId6317" Type="http://schemas.openxmlformats.org/officeDocument/2006/relationships/hyperlink" Target="https://www.krqe.com/news/new-mexico/suspect-injured-following-officer-involved-shooting-in-bernalillo/2054894300" TargetMode="External"/><Relationship Id="rId4282" Type="http://schemas.openxmlformats.org/officeDocument/2006/relationships/hyperlink" Target="https://www.abc15.com/news/region-phoenix-metro/south-phoenix/police-release-name-of-man-killed-in-shooting-involving-officers-in-south-phoenix" TargetMode="External"/><Relationship Id="rId5333" Type="http://schemas.openxmlformats.org/officeDocument/2006/relationships/hyperlink" Target="https://fox2now.com/2018/10/26/police-identify-man-killed-in-officer-involved-shooting/" TargetMode="External"/><Relationship Id="rId6731" Type="http://schemas.openxmlformats.org/officeDocument/2006/relationships/hyperlink" Target="https://tdn.com/news/local/one-dead-in-officer-involved-shooting-in-longview/article_cb9465e7-17d9-5617-9739-e9e290732321.html" TargetMode="External"/><Relationship Id="rId1876" Type="http://schemas.openxmlformats.org/officeDocument/2006/relationships/hyperlink" Target="http://trib.com/news/officer-involved-shooting-in-casper-leaves-one-dead/article_1ff80134-d4fe-5e2a-bb5c-0e297e95a2ee.html" TargetMode="External"/><Relationship Id="rId2927" Type="http://schemas.openxmlformats.org/officeDocument/2006/relationships/hyperlink" Target="http://www.fatalencounters.org/wp-content/uploads/2013/10/Luis-Fransisco-Vasquez.jpg" TargetMode="External"/><Relationship Id="rId1529" Type="http://schemas.openxmlformats.org/officeDocument/2006/relationships/hyperlink" Target="http://www.wibw.com/content/news/Multiple-shots-fired-at-Topeka-motel-Law-enforcement-have-area-blocked-off-376872351.html" TargetMode="External"/><Relationship Id="rId1943" Type="http://schemas.openxmlformats.org/officeDocument/2006/relationships/hyperlink" Target="http://www.clarionledger.com/story/news/local/2016/07/07/report-more-details-released-standoff-suspect/86800686/" TargetMode="External"/><Relationship Id="rId5400" Type="http://schemas.openxmlformats.org/officeDocument/2006/relationships/hyperlink" Target="https://www.sacbee.com/news/state/california/article221549670.html" TargetMode="External"/><Relationship Id="rId4002" Type="http://schemas.openxmlformats.org/officeDocument/2006/relationships/hyperlink" Target="http://www.vnews.com/getattachment/c366bd04-304c-43f8-8752-4afb8d94e14f/Jesse-Champney-obit-010218-ph1" TargetMode="External"/><Relationship Id="rId7158" Type="http://schemas.openxmlformats.org/officeDocument/2006/relationships/hyperlink" Target="http://www.dailybulletin.com/general-news/20130402/fatal-pomona-police-shooting-victims-name-released" TargetMode="External"/><Relationship Id="rId3768" Type="http://schemas.openxmlformats.org/officeDocument/2006/relationships/hyperlink" Target="http://6abc.com/suspect-shot-by-cops-outside-king-of-prussia-mall-idd/2588307/" TargetMode="External"/><Relationship Id="rId4819" Type="http://schemas.openxmlformats.org/officeDocument/2006/relationships/hyperlink" Target="http://www.sandiegouniontribune.com/g00/news/public-safety/sd-me-officers-wounded-20180623-story.html?i10c.encReferrer=aHR0cDovL3d3dy5ndW52aW9sZW5jZWFyY2hpdmUub3JnL2luY2lkZW50LzExNDg0MjI%3D&amp;i10c.ua=1&amp;i10c.dv=14" TargetMode="External"/><Relationship Id="rId6174" Type="http://schemas.openxmlformats.org/officeDocument/2006/relationships/hyperlink" Target="https://abc7.com/man-killed-in-officer-involved-shooting-in-south-los-angeles/5279335/" TargetMode="External"/><Relationship Id="rId7225" Type="http://schemas.openxmlformats.org/officeDocument/2006/relationships/hyperlink" Target="http://navajotimes.com/news/2013/0913/091313shooting.php" TargetMode="External"/><Relationship Id="rId689" Type="http://schemas.openxmlformats.org/officeDocument/2006/relationships/hyperlink" Target="http://www.walb.com/story/30540752/gbi-one-dead-in-officer-involved-shooting" TargetMode="External"/><Relationship Id="rId2784" Type="http://schemas.openxmlformats.org/officeDocument/2006/relationships/hyperlink" Target="http://www.fatalencounters.org/wp-content/uploads/2013/10/Cordale-Quinn-Handy.png" TargetMode="External"/><Relationship Id="rId5190" Type="http://schemas.openxmlformats.org/officeDocument/2006/relationships/hyperlink" Target="https://triblive.com/local/regional/14094941-74/butler-county-man-shot-by-trooper-dies" TargetMode="External"/><Relationship Id="rId6241" Type="http://schemas.openxmlformats.org/officeDocument/2006/relationships/hyperlink" Target="https://azdailysun.com/news/local/one-killed-in-navajo-nation-officer-involved-shooting/article_2bd8ac8b-b0f0-5f7d-96bd-668858c3fc97.html" TargetMode="External"/><Relationship Id="rId756" Type="http://schemas.openxmlformats.org/officeDocument/2006/relationships/hyperlink" Target="https://blackopswiki.s3.amazonaws.com/uploads/article/avatar/351/large_avatar_gustavvo_ponce-galon.jpg" TargetMode="External"/><Relationship Id="rId1386" Type="http://schemas.openxmlformats.org/officeDocument/2006/relationships/hyperlink" Target="http://baltimore.cbslocal.com/2016/02/10/deputies-involved-in-abingdon-shooting/" TargetMode="External"/><Relationship Id="rId2437" Type="http://schemas.openxmlformats.org/officeDocument/2006/relationships/hyperlink" Target="http://www.abc15.com/news/region-west-valley/surprise/surprise-police-shoot-and-kill-suspect-that-injured-officer-while-trying-to-flee-scene" TargetMode="External"/><Relationship Id="rId3835" Type="http://schemas.openxmlformats.org/officeDocument/2006/relationships/hyperlink" Target="http://www.fatalencounters.org/wp-content/uploads/2013/10/Matthew-Joseph-Scudero.jpg" TargetMode="External"/><Relationship Id="rId409" Type="http://schemas.openxmlformats.org/officeDocument/2006/relationships/hyperlink" Target="http://kpel965.com/la-state-police-handling-shooting-involving-crowley-police-officers/" TargetMode="External"/><Relationship Id="rId1039" Type="http://schemas.openxmlformats.org/officeDocument/2006/relationships/hyperlink" Target="http://www.13newsnow.com/story/news/local/virginia/2015/04/30/greensville-co-man-killed-in-officer-involved-shooting/26633591/" TargetMode="External"/><Relationship Id="rId2851" Type="http://schemas.openxmlformats.org/officeDocument/2006/relationships/hyperlink" Target="http://komonews.com/news/local/suspect-shot-by-deputies-in-des-moines-dies" TargetMode="External"/><Relationship Id="rId3902" Type="http://schemas.openxmlformats.org/officeDocument/2006/relationships/hyperlink" Target="http://whnt.com/2017/11/26/one-person-sent-to-hospital-after-officer-involved-shooting-in-huntsville/" TargetMode="External"/><Relationship Id="rId92" Type="http://schemas.openxmlformats.org/officeDocument/2006/relationships/hyperlink" Target="http://www.portlandmercury.com/images/blogimages/2015/06/29/1435620050-screen_shot_2015-06-29_at_4.20.07_pm.png" TargetMode="External"/><Relationship Id="rId823" Type="http://schemas.openxmlformats.org/officeDocument/2006/relationships/hyperlink" Target="http://www.miamiherald.com/news/local/crime/article32465772.html" TargetMode="External"/><Relationship Id="rId1453" Type="http://schemas.openxmlformats.org/officeDocument/2006/relationships/hyperlink" Target="http://www.insidebayarea.com/breaking-news/ci_29630727/newark-cop-fatally-shoots-kfc-robber" TargetMode="External"/><Relationship Id="rId2504" Type="http://schemas.openxmlformats.org/officeDocument/2006/relationships/hyperlink" Target="http://www.fatalencounters.org/wp-content/uploads/2013/10/Samson-G.-Varner.jpg" TargetMode="External"/><Relationship Id="rId7082" Type="http://schemas.openxmlformats.org/officeDocument/2006/relationships/hyperlink" Target="https://wreg.com/2019/12/30/76-year-old-veteran-dead-following-deputy-involved-shooting-in-desoto-county/" TargetMode="External"/><Relationship Id="rId1106" Type="http://schemas.openxmlformats.org/officeDocument/2006/relationships/hyperlink" Target="http://www.bradenton.com/news/local/crime/article45451434.html" TargetMode="External"/><Relationship Id="rId1520" Type="http://schemas.openxmlformats.org/officeDocument/2006/relationships/hyperlink" Target="http://www.times-standard.com/general-news/20160214/virginia-police-investigating-deadly-force-incident" TargetMode="External"/><Relationship Id="rId4676" Type="http://schemas.openxmlformats.org/officeDocument/2006/relationships/hyperlink" Target="http://www.arkansasonline.com/news/2018/may/21/state-police-driver-who-struck-patrol-cars-dies-af/" TargetMode="External"/><Relationship Id="rId5727" Type="http://schemas.openxmlformats.org/officeDocument/2006/relationships/hyperlink" Target="https://www.fatalencounters.org/wp-content/uploads/2019/01/Esmond-Trimble.png" TargetMode="External"/><Relationship Id="rId3278" Type="http://schemas.openxmlformats.org/officeDocument/2006/relationships/hyperlink" Target="https://www.news4jax.com/news/officer-shoots-suspect-in-northwest-jacksonville" TargetMode="External"/><Relationship Id="rId3692" Type="http://schemas.openxmlformats.org/officeDocument/2006/relationships/hyperlink" Target="http://www.ocala.com/news/20170112/man-fatally-shot-in-confrontation-with-police-at-ocala-hotel" TargetMode="External"/><Relationship Id="rId4329" Type="http://schemas.openxmlformats.org/officeDocument/2006/relationships/hyperlink" Target="http://www.tribstar.com/news/timeline-homicide-standoff-and-suspect-shot-by-police/article_9a446f2e-218c-11e8-a6b8-273afecd4910.html" TargetMode="External"/><Relationship Id="rId4743" Type="http://schemas.openxmlformats.org/officeDocument/2006/relationships/hyperlink" Target="https://www.kxly.com/news/sheriff-sniper-fatally-shoots-man-holding-woman-hostage-in-benton-city/750559214" TargetMode="External"/><Relationship Id="rId199" Type="http://schemas.openxmlformats.org/officeDocument/2006/relationships/hyperlink" Target="http://www.kjct8.com/news/headlines/Officer-involved-shooting-near-downtown-Grand-Junction-304404101.html" TargetMode="External"/><Relationship Id="rId2294" Type="http://schemas.openxmlformats.org/officeDocument/2006/relationships/hyperlink" Target="http://www.pe.com/articles/fatally-816599-sustained-officer.html" TargetMode="External"/><Relationship Id="rId3345" Type="http://schemas.openxmlformats.org/officeDocument/2006/relationships/hyperlink" Target="http://www.santafenewmexican.com/news/local_news/stabbing-suspect-killed-in-officer-involved-shooting/article_91129d50-6caa-11e7-9509-8f022341c725.html" TargetMode="External"/><Relationship Id="rId266" Type="http://schemas.openxmlformats.org/officeDocument/2006/relationships/hyperlink" Target="http://www.koco.com/news/police-investigating-reported-shooting-in-newalla/32332484" TargetMode="External"/><Relationship Id="rId680" Type="http://schemas.openxmlformats.org/officeDocument/2006/relationships/hyperlink" Target="http://nbc4i.com/2015/11/23/3-people-reported-dead-after-reported-shooting-on-citys-west-side/" TargetMode="External"/><Relationship Id="rId2361" Type="http://schemas.openxmlformats.org/officeDocument/2006/relationships/hyperlink" Target="http://www.wbko.com/content/news/Bowling-Green-man-dead-after-officer-involved-shooting-in-Butler-County-400165321.html" TargetMode="External"/><Relationship Id="rId3412" Type="http://schemas.openxmlformats.org/officeDocument/2006/relationships/hyperlink" Target="http://www.necn.com/news/new-england/Police-Involved-Shooting-Under-Investigation-in-NH-428226253.html" TargetMode="External"/><Relationship Id="rId4810" Type="http://schemas.openxmlformats.org/officeDocument/2006/relationships/hyperlink" Target="http://abc7.com/man-killed-after-allegedly-pointing-fake-gun-at-inglewood-officers/3642090/" TargetMode="External"/><Relationship Id="rId6568" Type="http://schemas.openxmlformats.org/officeDocument/2006/relationships/hyperlink" Target="https://fatalencounters.org/wp-content/uploads/2019/08/Maggie-Brooks.jpg" TargetMode="External"/><Relationship Id="rId333" Type="http://schemas.openxmlformats.org/officeDocument/2006/relationships/hyperlink" Target="http://www.azcentral.com/story/news/local/phoenix/2014/12/17/phoenix-officer-shooting-teen-dies-abrk/20530475/" TargetMode="External"/><Relationship Id="rId2014" Type="http://schemas.openxmlformats.org/officeDocument/2006/relationships/hyperlink" Target="http://www.ktvq.com/story/32554588/man-shot-killed-after-stabbing-phillips-county-sheriffs-deputy" TargetMode="External"/><Relationship Id="rId6982" Type="http://schemas.openxmlformats.org/officeDocument/2006/relationships/hyperlink" Target="https://fatalencounters.org/wp-content/uploads/2019/12/Francine-Graham.png" TargetMode="External"/><Relationship Id="rId1030" Type="http://schemas.openxmlformats.org/officeDocument/2006/relationships/hyperlink" Target="http://www.wfaa.com/story/news/crime/2015/05/11/fort-worth-police-report-officer-involved-shooting/27141917/" TargetMode="External"/><Relationship Id="rId4186" Type="http://schemas.openxmlformats.org/officeDocument/2006/relationships/hyperlink" Target="http://pix11.com/2018/01/29/police-shoot-man-in-the-bronx/" TargetMode="External"/><Relationship Id="rId5584" Type="http://schemas.openxmlformats.org/officeDocument/2006/relationships/hyperlink" Target="https://www.wjhg.com/content/news/Springfield-officer-involved-shooting-503358181.html" TargetMode="External"/><Relationship Id="rId6635" Type="http://schemas.openxmlformats.org/officeDocument/2006/relationships/hyperlink" Target="https://fatalencounters.org/wp-content/uploads/2019/08/Jerry-Weaver.jpg" TargetMode="External"/><Relationship Id="rId400" Type="http://schemas.openxmlformats.org/officeDocument/2006/relationships/hyperlink" Target="http://www.redding.com/news/local-news/deputies-person-shot-on-fig-tree-lane" TargetMode="External"/><Relationship Id="rId5237" Type="http://schemas.openxmlformats.org/officeDocument/2006/relationships/hyperlink" Target="https://www.fatalencounters.org/wp-content/uploads/2018/10/Patrick-Kimmons.jpeg" TargetMode="External"/><Relationship Id="rId5651" Type="http://schemas.openxmlformats.org/officeDocument/2006/relationships/hyperlink" Target="https://www.wkbn.com/news/local-news/coroner-identifies-man-killed-during-officer-involved-shooting-in-niles/1684888480" TargetMode="External"/><Relationship Id="rId6702" Type="http://schemas.openxmlformats.org/officeDocument/2006/relationships/hyperlink" Target="https://www.wlox.com/2019/08/31/one-dead-officer-involved-shooting-after-chase-highway-florence/" TargetMode="External"/><Relationship Id="rId1847" Type="http://schemas.openxmlformats.org/officeDocument/2006/relationships/hyperlink" Target="http://www.waff.com/story/32252639/huntsville-officer-on-administrative-leave-after-shooting-investigation-ongoing" TargetMode="External"/><Relationship Id="rId4253" Type="http://schemas.openxmlformats.org/officeDocument/2006/relationships/hyperlink" Target="http://abc57.com/news/a-kokomo-man-is-dead-after-a-police-involved-shooting" TargetMode="External"/><Relationship Id="rId5304" Type="http://schemas.openxmlformats.org/officeDocument/2006/relationships/hyperlink" Target="https://www.channel3000.com/news/crime/medical-examiner-arrives-in-elkhorn-at-scene-of-apparent-shooting/811516286" TargetMode="External"/><Relationship Id="rId4320" Type="http://schemas.openxmlformats.org/officeDocument/2006/relationships/hyperlink" Target="http://www.wsbtv.com/news/local/gbi-investigates-deputy-involved-shooting-in-carroll-county/711635069" TargetMode="External"/><Relationship Id="rId190" Type="http://schemas.openxmlformats.org/officeDocument/2006/relationships/hyperlink" Target="http://www.wpxi.com/news/news/local/troopers-shoot-person-inside-grocery-store/nmMF2/" TargetMode="External"/><Relationship Id="rId1914" Type="http://schemas.openxmlformats.org/officeDocument/2006/relationships/hyperlink" Target="http://newschannel9.com/news/local/gbi-investigates-officer-involved-shooting-in-bartow-county" TargetMode="External"/><Relationship Id="rId6078" Type="http://schemas.openxmlformats.org/officeDocument/2006/relationships/hyperlink" Target="https://www.fatalencounters.org/wp-content/uploads/2019/04/MarzuesScott.jpg" TargetMode="External"/><Relationship Id="rId6492" Type="http://schemas.openxmlformats.org/officeDocument/2006/relationships/hyperlink" Target="https://fatalencounters.org/wp-content/uploads/2019/07/Willem-Van-Spronsen.jpg" TargetMode="External"/><Relationship Id="rId7129" Type="http://schemas.openxmlformats.org/officeDocument/2006/relationships/hyperlink" Target="http://www.vcstar.com/news/man-killed-by-ventura-police-thursday-identified" TargetMode="External"/><Relationship Id="rId5094" Type="http://schemas.openxmlformats.org/officeDocument/2006/relationships/hyperlink" Target="https://www.pennlive.com/news/2018/08/coroner_releases_id_of_man_kil_1.html" TargetMode="External"/><Relationship Id="rId6145" Type="http://schemas.openxmlformats.org/officeDocument/2006/relationships/hyperlink" Target="https://www.ctpost.com/local/article/Police-ID-cops-in-teen-s-fatal-shooting-13794102.php" TargetMode="External"/><Relationship Id="rId2688" Type="http://schemas.openxmlformats.org/officeDocument/2006/relationships/hyperlink" Target="http://www.fatalencounters.org/wp-content/uploads/2013/10/Chazz-Brown.jpg" TargetMode="External"/><Relationship Id="rId3739" Type="http://schemas.openxmlformats.org/officeDocument/2006/relationships/hyperlink" Target="http://www.fatalencounters.org/wp-content/uploads/2013/10/Johnny-Bonta.jpg" TargetMode="External"/><Relationship Id="rId5161" Type="http://schemas.openxmlformats.org/officeDocument/2006/relationships/hyperlink" Target="https://www.star-telegram.com/news/local/community/fort-worth/article218461850.html" TargetMode="External"/><Relationship Id="rId2755" Type="http://schemas.openxmlformats.org/officeDocument/2006/relationships/hyperlink" Target="http://wreg.com/2017/04/15/ar-state-police-investigating-officer-involved-shooting/" TargetMode="External"/><Relationship Id="rId3806" Type="http://schemas.openxmlformats.org/officeDocument/2006/relationships/hyperlink" Target="http://www.ruidosonews.com/story/news/local/community/2017/11/06/state-police-investigating-fatal-officer-involved-shooting/836658001/" TargetMode="External"/><Relationship Id="rId6212" Type="http://schemas.openxmlformats.org/officeDocument/2006/relationships/hyperlink" Target="https://fatalencounters.org/wp-content/uploads/2019/05/Edward-Fuller-III.jpg" TargetMode="External"/><Relationship Id="rId727" Type="http://schemas.openxmlformats.org/officeDocument/2006/relationships/hyperlink" Target="http://www.redding.com/homepage-showcase/matthew-graham-killed-in-dunsmuir-shootout-with-officers_38935482" TargetMode="External"/><Relationship Id="rId1357" Type="http://schemas.openxmlformats.org/officeDocument/2006/relationships/hyperlink" Target="http://www.kmbc.com/news/man-killed-in-trooperinvolved-shooting-in-sugar-creek/37737926" TargetMode="External"/><Relationship Id="rId1771" Type="http://schemas.openxmlformats.org/officeDocument/2006/relationships/hyperlink" Target="http://abc11.com/news/1-dead-after-deputy-involved-shooting-in-rockingham-co/1361749/" TargetMode="External"/><Relationship Id="rId2408" Type="http://schemas.openxmlformats.org/officeDocument/2006/relationships/hyperlink" Target="http://www.fatalencounters.org/wp-content/uploads/2013/10/Darius-Jones.jpg" TargetMode="External"/><Relationship Id="rId2822" Type="http://schemas.openxmlformats.org/officeDocument/2006/relationships/hyperlink" Target="http://www.wral.com/man-killed-in-officer-involved-shooting-in-durham/16531383/" TargetMode="External"/><Relationship Id="rId5978" Type="http://schemas.openxmlformats.org/officeDocument/2006/relationships/hyperlink" Target="https://sanfrancisco.cbslocal.com/2019/03/15/charles-ballard-san-leandro-deputy-shooting-11-felony-convictions/" TargetMode="External"/><Relationship Id="rId63" Type="http://schemas.openxmlformats.org/officeDocument/2006/relationships/hyperlink" Target="http://www.cachevalleydaily.com/news/local/article_95847b98-36af-11e5-a21d-5381b6067a1e.html" TargetMode="External"/><Relationship Id="rId1424" Type="http://schemas.openxmlformats.org/officeDocument/2006/relationships/hyperlink" Target="http://www.argusleader.com/story/news/2016/02/27/rapid-city-traffic-stop-results-fatal-shooting/81031010/" TargetMode="External"/><Relationship Id="rId4994" Type="http://schemas.openxmlformats.org/officeDocument/2006/relationships/hyperlink" Target="https://www.fatalencounters.org/wp-content/uploads/2018/08/Bobby-Wallace.jpg" TargetMode="External"/><Relationship Id="rId3596" Type="http://schemas.openxmlformats.org/officeDocument/2006/relationships/hyperlink" Target="http://www.modbee.com/news/local/crime/article135091754.html" TargetMode="External"/><Relationship Id="rId4647" Type="http://schemas.openxmlformats.org/officeDocument/2006/relationships/hyperlink" Target="https://www.wsbtv.com/news/local/gbi-responding-to-deputy-involved-shooting-in-franklin-county/749022235" TargetMode="External"/><Relationship Id="rId7053" Type="http://schemas.openxmlformats.org/officeDocument/2006/relationships/hyperlink" Target="https://www.arkansasonline.com/news/2019/dec/24/authorities-id-24-year-old-fatally-shot-police-aft/" TargetMode="External"/><Relationship Id="rId2198" Type="http://schemas.openxmlformats.org/officeDocument/2006/relationships/hyperlink" Target="http://www.fatalencounters.org/wp-content/uploads/2013/10/Jessie-Joynt.jpg" TargetMode="External"/><Relationship Id="rId3249" Type="http://schemas.openxmlformats.org/officeDocument/2006/relationships/hyperlink" Target="http://www.fatalencounters.org/wp-content/uploads/2013/10/31-year-old-Jesse-VanSipe-.jpg" TargetMode="External"/><Relationship Id="rId7120" Type="http://schemas.openxmlformats.org/officeDocument/2006/relationships/hyperlink" Target="http://www.pe.com/articles/police-660367-officer-corona.html" TargetMode="External"/><Relationship Id="rId584" Type="http://schemas.openxmlformats.org/officeDocument/2006/relationships/hyperlink" Target="http://www.statesmanjournal.com/story/news/crime/2015/10/28/-5-southbound-traffic-detourced-kuebler/74775822/" TargetMode="External"/><Relationship Id="rId2265" Type="http://schemas.openxmlformats.org/officeDocument/2006/relationships/hyperlink" Target="http://www.wtvq.com/2016/10/13/ksp-man-fatally-shot-trooper-morehead/" TargetMode="External"/><Relationship Id="rId3663" Type="http://schemas.openxmlformats.org/officeDocument/2006/relationships/hyperlink" Target="http://www.modbee.com/news/local/crime/article129760509.html" TargetMode="External"/><Relationship Id="rId4714" Type="http://schemas.openxmlformats.org/officeDocument/2006/relationships/hyperlink" Target="https://www.fatalencounters.org/wp-content/uploads/2018/06/Katherine-Brazeau.jpg" TargetMode="External"/><Relationship Id="rId237" Type="http://schemas.openxmlformats.org/officeDocument/2006/relationships/hyperlink" Target="https://www.victoriaadvocate.com/news/2015/apr/27/parents-of-veteran-fatally-shot-by-police-seek-ans/" TargetMode="External"/><Relationship Id="rId3316" Type="http://schemas.openxmlformats.org/officeDocument/2006/relationships/hyperlink" Target="http://www.fatalencounters.org/wp-content/uploads/2013/10/PhilipRhodes.jpg" TargetMode="External"/><Relationship Id="rId3730" Type="http://schemas.openxmlformats.org/officeDocument/2006/relationships/hyperlink" Target="http://www.fatalencounters.org/wp-content/uploads/2013/10/Dewboy-Lister.jpg" TargetMode="External"/><Relationship Id="rId6886" Type="http://schemas.openxmlformats.org/officeDocument/2006/relationships/hyperlink" Target="https://nypost.com/2019/10/15/nypd-cops-shoot-man-in-gunfight-near-brooklyn-housing-complex/" TargetMode="External"/><Relationship Id="rId651" Type="http://schemas.openxmlformats.org/officeDocument/2006/relationships/hyperlink" Target="http://www.killedbypolice.net/victims/151020.jpg" TargetMode="External"/><Relationship Id="rId1281" Type="http://schemas.openxmlformats.org/officeDocument/2006/relationships/hyperlink" Target="http://wbrc.images.worldnow.com/images/9993596_G.jpg" TargetMode="External"/><Relationship Id="rId2332" Type="http://schemas.openxmlformats.org/officeDocument/2006/relationships/hyperlink" Target="http://www.enidnews.com/news/new-suspect-in-early-morning-shooting-now-in-custody/article_3a879272-a05b-11e6-81b1-e38d7bf882c9.html" TargetMode="External"/><Relationship Id="rId5488" Type="http://schemas.openxmlformats.org/officeDocument/2006/relationships/hyperlink" Target="https://www.star-telegram.com/news/state/texas/article222523725.html" TargetMode="External"/><Relationship Id="rId6539" Type="http://schemas.openxmlformats.org/officeDocument/2006/relationships/hyperlink" Target="https://pittsburgh.cbslocal.com/2019/07/24/omari-thompson-was-killed-after-firing-at-police-during-a-drug-bust-on-mcknight-road/" TargetMode="External"/><Relationship Id="rId6953" Type="http://schemas.openxmlformats.org/officeDocument/2006/relationships/hyperlink" Target="https://fatalencounters.org/wp-content/uploads/2019/11/Danny-James-Hall.jpg" TargetMode="External"/><Relationship Id="rId304" Type="http://schemas.openxmlformats.org/officeDocument/2006/relationships/hyperlink" Target="http://theadvocate.com/news/11346884-123/evangeline-parish-man-shot-killed" TargetMode="External"/><Relationship Id="rId5555" Type="http://schemas.openxmlformats.org/officeDocument/2006/relationships/hyperlink" Target="https://www.fatalencounters.org/wp-content/uploads/2018/12/Jacob-Mohow.jpg" TargetMode="External"/><Relationship Id="rId6606" Type="http://schemas.openxmlformats.org/officeDocument/2006/relationships/hyperlink" Target="http://www.newstribune.com/news/local/story/2019/aug/09/police-identify-driver-who-died-gunshot-wound-thursdays-chase/789986/" TargetMode="External"/><Relationship Id="rId1001" Type="http://schemas.openxmlformats.org/officeDocument/2006/relationships/hyperlink" Target="http://www.trbimg.com/img-557a9e9e/turbine/fl-pompano-beach-fatal-shoot-bso-20150611-003/550/550x309" TargetMode="External"/><Relationship Id="rId4157" Type="http://schemas.openxmlformats.org/officeDocument/2006/relationships/hyperlink" Target="http://www.fatalencounters.org/wp-content/uploads/2018/01/Corey-Mobley.jpg" TargetMode="External"/><Relationship Id="rId4571" Type="http://schemas.openxmlformats.org/officeDocument/2006/relationships/hyperlink" Target="https://www.dallasnews.com/news/grand-prairie/2018/04/23/police-responding-standoff-armed-person-grand-prairie-ikea" TargetMode="External"/><Relationship Id="rId5208" Type="http://schemas.openxmlformats.org/officeDocument/2006/relationships/hyperlink" Target="https://www.fatalencounters.org/wp-content/uploads/2018/10/JeremyConn.jpg" TargetMode="External"/><Relationship Id="rId5622" Type="http://schemas.openxmlformats.org/officeDocument/2006/relationships/hyperlink" Target="https://wgxa.tv/news/local/dekalb-co-new-years-eve-officer-involved-shooting?fbclid=IwAR1-8_-p_ZYMSw0h74SBChUiQGaIRGThjXhfT0roE2Dp-UuiAL_i74a2rXk" TargetMode="External"/><Relationship Id="rId3173" Type="http://schemas.openxmlformats.org/officeDocument/2006/relationships/hyperlink" Target="https://www.local10.com/news/local/miami/man-dies-during-struggle-with-miami-police-officers-in-east-little-havana" TargetMode="External"/><Relationship Id="rId4224" Type="http://schemas.openxmlformats.org/officeDocument/2006/relationships/hyperlink" Target="http://www.fatalencounters.org/wp-content/uploads/2018/02/Lloyd-Harris-Jr.jpg" TargetMode="External"/><Relationship Id="rId1818" Type="http://schemas.openxmlformats.org/officeDocument/2006/relationships/hyperlink" Target="http://djournal.com/news/alleged-shooter-claims-cabbie-killing/" TargetMode="External"/><Relationship Id="rId3240" Type="http://schemas.openxmlformats.org/officeDocument/2006/relationships/hyperlink" Target="http://www.ocregister.com/articles/beach-744322-officers-suspect.html" TargetMode="External"/><Relationship Id="rId6396" Type="http://schemas.openxmlformats.org/officeDocument/2006/relationships/hyperlink" Target="https://fatalencounters.org/wp-content/uploads/2019/06/JuanCarlosChapa.jpg" TargetMode="External"/><Relationship Id="rId161" Type="http://schemas.openxmlformats.org/officeDocument/2006/relationships/hyperlink" Target="http://www.turnto23.com/news/local-news/delano-pd-shoot-kill-man-after-he-fires-at-police" TargetMode="External"/><Relationship Id="rId6049" Type="http://schemas.openxmlformats.org/officeDocument/2006/relationships/hyperlink" Target="https://fatalencounters.org/wp-content/uploads/2019/05/KevinMcEnulty.jpg" TargetMode="External"/><Relationship Id="rId6463" Type="http://schemas.openxmlformats.org/officeDocument/2006/relationships/hyperlink" Target="https://weartv.com/news/local/family-of-man-killed-in-officer-involved-shooting-speaks-out" TargetMode="External"/><Relationship Id="rId978" Type="http://schemas.openxmlformats.org/officeDocument/2006/relationships/hyperlink" Target="http://www.chron.com/news/houston-texas/houston/article/New-details-emerge-in-HPD-shooting-and-chase-6373997.php" TargetMode="External"/><Relationship Id="rId2659" Type="http://schemas.openxmlformats.org/officeDocument/2006/relationships/hyperlink" Target="http://www.stltoday.com/news/local/crime-and-courts/suspect-fatally-shot-by-st-louis-police/article_951c9279-d31f-55c7-8b72-759f99e1d3db.html" TargetMode="External"/><Relationship Id="rId5065" Type="http://schemas.openxmlformats.org/officeDocument/2006/relationships/hyperlink" Target="https://abc7.com/suspect-wounded-in-culver-city-officer-involved-shooting/3994678/" TargetMode="External"/><Relationship Id="rId6116" Type="http://schemas.openxmlformats.org/officeDocument/2006/relationships/hyperlink" Target="https://www.redding.com/story/news/2019/04/14/red-bluff-police-kill-man-large-stick/3466025002/" TargetMode="External"/><Relationship Id="rId6530" Type="http://schemas.openxmlformats.org/officeDocument/2006/relationships/hyperlink" Target="https://www.seattletimes.com/seattle-news/crime/man-shot-by-tacoma-police-during-traffic-stop-dies-officials-say-he-pointed-rifle-at-officer/" TargetMode="External"/><Relationship Id="rId1675" Type="http://schemas.openxmlformats.org/officeDocument/2006/relationships/hyperlink" Target="http://www.orlandosentinel.com/news/breaking-news/os-deputy-involved-shooting-delhi-street-20160505-story.html" TargetMode="External"/><Relationship Id="rId2726" Type="http://schemas.openxmlformats.org/officeDocument/2006/relationships/hyperlink" Target="http://www.sacbee.com/news/local/crime/article149419079.html" TargetMode="External"/><Relationship Id="rId4081" Type="http://schemas.openxmlformats.org/officeDocument/2006/relationships/hyperlink" Target="http://www.fatalencounters.org/wp-content/uploads/2018/01/Charles-Smith-Jr..png" TargetMode="External"/><Relationship Id="rId5132" Type="http://schemas.openxmlformats.org/officeDocument/2006/relationships/hyperlink" Target="https://www.wxii12.com/article/person-killed-in-deputy-involved-shooting-in-yadkin-county/23001067" TargetMode="External"/><Relationship Id="rId1328" Type="http://schemas.openxmlformats.org/officeDocument/2006/relationships/hyperlink" Target="http://www.mysanantonio.com/news/local/article/SAPD-officer-involved-in-shooting-on-West-Side-6765652.php" TargetMode="External"/><Relationship Id="rId1742" Type="http://schemas.openxmlformats.org/officeDocument/2006/relationships/hyperlink" Target="http://www.sun-sentinel.com/local/broward/hallandale/fl-hallandale-beach-police-shooting-20160522-story.html" TargetMode="External"/><Relationship Id="rId4898" Type="http://schemas.openxmlformats.org/officeDocument/2006/relationships/hyperlink" Target="https://www.kare11.com/article/news/teen-fatally-shot-by-police-in-chanhassen/89-573565478" TargetMode="External"/><Relationship Id="rId5949" Type="http://schemas.openxmlformats.org/officeDocument/2006/relationships/hyperlink" Target="https://www.fatalencounters.org/wp-content/uploads/2019/03/CarlosHunter.jpg" TargetMode="External"/><Relationship Id="rId34" Type="http://schemas.openxmlformats.org/officeDocument/2006/relationships/hyperlink" Target="http://www.latimes.com/local/lanow/la-me-ln-report-of-gunman-opening-fire-bring-lapd-swarm-in-studio-city-20150724-story.html" TargetMode="External"/><Relationship Id="rId4965" Type="http://schemas.openxmlformats.org/officeDocument/2006/relationships/hyperlink" Target="https://5newsonline.com/2018/07/27/officers-respond-to-domestic-disturbance-armed-suspect-shot-by-police/" TargetMode="External"/><Relationship Id="rId7024" Type="http://schemas.openxmlformats.org/officeDocument/2006/relationships/hyperlink" Target="https://www.casino.org/news/dead-suspect-in-montana-casino-shooting-named-as-ricky-lee-gardipee/" TargetMode="External"/><Relationship Id="rId3567" Type="http://schemas.openxmlformats.org/officeDocument/2006/relationships/hyperlink" Target="http://www.abc15.com/news/region-phoenix-metro/north-phoenix/high-speed-chase-in-phoenix-suspect-down-after-leading-police-on-pursuit" TargetMode="External"/><Relationship Id="rId3981" Type="http://schemas.openxmlformats.org/officeDocument/2006/relationships/hyperlink" Target="http://www.fatalencounters.org/wp-content/uploads/2013/10/Shaquille-Rogers.jpg" TargetMode="External"/><Relationship Id="rId4618" Type="http://schemas.openxmlformats.org/officeDocument/2006/relationships/hyperlink" Target="https://www.kjrh.com/news/local-news/suspect-down-after-shooting-in-east-tulsa" TargetMode="External"/><Relationship Id="rId488" Type="http://schemas.openxmlformats.org/officeDocument/2006/relationships/hyperlink" Target="http://www.reviewjournal.com/news/las-vegas/north-las-vegas-police-face-lawsuit-deadly-shooting-homeless-man" TargetMode="External"/><Relationship Id="rId2169" Type="http://schemas.openxmlformats.org/officeDocument/2006/relationships/hyperlink" Target="http://www.ozarksfirst.com/news/aurora-man-dies-from-officer-involved-shooting" TargetMode="External"/><Relationship Id="rId2583" Type="http://schemas.openxmlformats.org/officeDocument/2006/relationships/hyperlink" Target="http://www.azcentral.com/story/news/local/phoenix-breaking/2016/06/25/buckeye-police-respond-reported-shooting/86393894/" TargetMode="External"/><Relationship Id="rId3634" Type="http://schemas.openxmlformats.org/officeDocument/2006/relationships/hyperlink" Target="http://www.pressherald.com/2017/02/11/man-shot-dead-after-vassalboro-burglary/" TargetMode="External"/><Relationship Id="rId6040" Type="http://schemas.openxmlformats.org/officeDocument/2006/relationships/hyperlink" Target="https://www.fatalencounters.org/wp-content/uploads/2019/04/Leonardo-Gallegos-jr.jpg" TargetMode="External"/><Relationship Id="rId555" Type="http://schemas.openxmlformats.org/officeDocument/2006/relationships/hyperlink" Target="http://explorevenango.com/vigil-rally-held-for-oil-city-woman-fatally-shot-by-police/" TargetMode="External"/><Relationship Id="rId1185" Type="http://schemas.openxmlformats.org/officeDocument/2006/relationships/hyperlink" Target="http://www.sfgate.com/bayarea/article/Calls-for-justice-at-vigil-for-man-killed-by-6445927.php" TargetMode="External"/><Relationship Id="rId2236" Type="http://schemas.openxmlformats.org/officeDocument/2006/relationships/hyperlink" Target="http://www.fatalencounters.org/wp-content/uploads/2013/10/ThomasBurns.jpg" TargetMode="External"/><Relationship Id="rId2650" Type="http://schemas.openxmlformats.org/officeDocument/2006/relationships/hyperlink" Target="http://www.wacotrib.com/news/police/waco-police-officer-suspect-hospitalized-after-suspect-runs-over-officer/article_c34a308f-bb93-5269-a179-8e7f54aeb9dd.html" TargetMode="External"/><Relationship Id="rId3701" Type="http://schemas.openxmlformats.org/officeDocument/2006/relationships/hyperlink" Target="http://www.fatalencounters.org/wp-content/uploads/2013/10/Travis-Edward-Baker.png" TargetMode="External"/><Relationship Id="rId6857" Type="http://schemas.openxmlformats.org/officeDocument/2006/relationships/hyperlink" Target="https://www.news9.com/story/41161620/1-dead-after-an-officerinvolved-shooting-at-apartments-in-nw-okc" TargetMode="External"/><Relationship Id="rId208" Type="http://schemas.openxmlformats.org/officeDocument/2006/relationships/hyperlink" Target="http://www.kpho.com/story/29033947/man-dead-after-officer-involved-shooting-in-kearny" TargetMode="External"/><Relationship Id="rId622" Type="http://schemas.openxmlformats.org/officeDocument/2006/relationships/hyperlink" Target="http://www.killedbypolice.net/victims/150920.jpg" TargetMode="External"/><Relationship Id="rId1252" Type="http://schemas.openxmlformats.org/officeDocument/2006/relationships/hyperlink" Target="http://www.fatalencounters.org/wp-content/uploads/2013/10/Scanlon.png" TargetMode="External"/><Relationship Id="rId2303" Type="http://schemas.openxmlformats.org/officeDocument/2006/relationships/hyperlink" Target="http://www.fatalencounters.org/wp-content/uploads/2013/10/Chelsea-M.-Porter.jpg" TargetMode="External"/><Relationship Id="rId5459" Type="http://schemas.openxmlformats.org/officeDocument/2006/relationships/hyperlink" Target="https://www.wtva.com/content/news/NEW-ALBANY-MAN-DIES-IN-POLICE-CUSTODY-501306351.html" TargetMode="External"/><Relationship Id="rId4475" Type="http://schemas.openxmlformats.org/officeDocument/2006/relationships/hyperlink" Target="http://www.azfamily.com/story/37892790/mesa-pd-suspect-idd-now-dead-after-officer-involved-shooting?autostart=true" TargetMode="External"/><Relationship Id="rId5873" Type="http://schemas.openxmlformats.org/officeDocument/2006/relationships/hyperlink" Target="https://www.fatalencounters.org/wp-content/uploads/2019/02/RginaldBursey.png" TargetMode="External"/><Relationship Id="rId6924" Type="http://schemas.openxmlformats.org/officeDocument/2006/relationships/hyperlink" Target="https://www.witn.com/content/news/Two-shot-outside-Greenville-Aldi-Grocery-Store-563797091.html" TargetMode="External"/><Relationship Id="rId3077" Type="http://schemas.openxmlformats.org/officeDocument/2006/relationships/hyperlink" Target="http://www.denverpost.com/2017/01/07/northglenn-police-shoot-kidnapping-suspect/" TargetMode="External"/><Relationship Id="rId4128" Type="http://schemas.openxmlformats.org/officeDocument/2006/relationships/hyperlink" Target="http://www.wisn.com/article/racine-police-investigate-shooting-at-14th-street-park-avenue/15349537" TargetMode="External"/><Relationship Id="rId5526" Type="http://schemas.openxmlformats.org/officeDocument/2006/relationships/hyperlink" Target="https://www.fatalencounters.org/wp-content/uploads/2018/12/ToriKaneshiro.jpg" TargetMode="External"/><Relationship Id="rId5940" Type="http://schemas.openxmlformats.org/officeDocument/2006/relationships/hyperlink" Target="https://www.ajc.com/news/crime--law/breaking-suspect-with-serious-injuries-after-officer-involved-shooting-dekalb/F1MD9pwc2zjRnM85uZrjvJ/" TargetMode="External"/><Relationship Id="rId2093" Type="http://schemas.openxmlformats.org/officeDocument/2006/relationships/hyperlink" Target="http://www.fatalencounters.org/wp-content/uploads/2013/10/Sylville_Smith.jpg" TargetMode="External"/><Relationship Id="rId3491" Type="http://schemas.openxmlformats.org/officeDocument/2006/relationships/hyperlink" Target="http://www.sfgate.com/bayarea/article/Shooting-shuts-down-part-of-Market-Street-in-SF-11118712.php" TargetMode="External"/><Relationship Id="rId4542" Type="http://schemas.openxmlformats.org/officeDocument/2006/relationships/hyperlink" Target="http://www.nj.com/cumberland/index.ssf/2018/04/murder_suspect_chased_shot_and_killed_by_police.html" TargetMode="External"/><Relationship Id="rId3144" Type="http://schemas.openxmlformats.org/officeDocument/2006/relationships/hyperlink" Target="http://www.nbclosangeles.com/news/local/Corona-Police-Fatal-Shooting-437344763.html" TargetMode="External"/><Relationship Id="rId2160" Type="http://schemas.openxmlformats.org/officeDocument/2006/relationships/hyperlink" Target="http://www.adn.com/alaska-news/crime-courts/2016/08/30/streets-shut-down-as-fairbanks-police-respond-to-officer-involved-shooting/" TargetMode="External"/><Relationship Id="rId3211" Type="http://schemas.openxmlformats.org/officeDocument/2006/relationships/hyperlink" Target="http://ak-cache.legacy.net/legacy/Images/Cobrands/DignityMemorial/Photos/92f33389-6537-4906-a433-a684ae7fc68b.jpg" TargetMode="External"/><Relationship Id="rId6367" Type="http://schemas.openxmlformats.org/officeDocument/2006/relationships/hyperlink" Target="https://fatalencounters.org/wp-content/uploads/2019/06/Phillips.jpg" TargetMode="External"/><Relationship Id="rId6781" Type="http://schemas.openxmlformats.org/officeDocument/2006/relationships/hyperlink" Target="https://katu.com/news/local/police-identify-man-killed-in-officer-involved-shooting-inside-west-salem-goodwill-store" TargetMode="External"/><Relationship Id="rId132" Type="http://schemas.openxmlformats.org/officeDocument/2006/relationships/hyperlink" Target="http://bloximages.chicago2.vip.townnews.com/kokomotribune.com/content/tncms/assets/v3/editorial/7/fc/7fcd4704-6af4-59a9-8f7e-42671ea7d7cd/557df996651c8.image.jpg?resize=300%2C400" TargetMode="External"/><Relationship Id="rId5383" Type="http://schemas.openxmlformats.org/officeDocument/2006/relationships/hyperlink" Target="https://www.fatalencounters.org/wp-content/uploads/2018/11/JamesHantchett.png" TargetMode="External"/><Relationship Id="rId6434" Type="http://schemas.openxmlformats.org/officeDocument/2006/relationships/hyperlink" Target="https://www.denverpost.com/2019/07/01/officer-involved-shooting-11th-lincoln-denver/" TargetMode="External"/><Relationship Id="rId1579" Type="http://schemas.openxmlformats.org/officeDocument/2006/relationships/hyperlink" Target="http://www.al.com/news/index.ssf/2016/04/woman_shot_to_death_by_auburn.html" TargetMode="External"/><Relationship Id="rId2977" Type="http://schemas.openxmlformats.org/officeDocument/2006/relationships/hyperlink" Target="http://www.abc15.com/news/region-phoenix-metro/west-phoenix/police-investigating-officer-involved-shooting-in-west-valley" TargetMode="External"/><Relationship Id="rId5036" Type="http://schemas.openxmlformats.org/officeDocument/2006/relationships/hyperlink" Target="https://philadelphia.cbslocal.com/2018/08/10/charles-meadows-philadelphia-police-identify-suspect-fatal-officer-involved-shooting/" TargetMode="External"/><Relationship Id="rId5450" Type="http://schemas.openxmlformats.org/officeDocument/2006/relationships/hyperlink" Target="https://www.kmvt.com/content/news/Police-Utah-officer-killed-fleeing-suspect-also-dead-501206462.html" TargetMode="External"/><Relationship Id="rId949" Type="http://schemas.openxmlformats.org/officeDocument/2006/relationships/hyperlink" Target="http://www.kristv.com/story/30147782/texas-rangers-investigating-aransas-co-death" TargetMode="External"/><Relationship Id="rId1993" Type="http://schemas.openxmlformats.org/officeDocument/2006/relationships/hyperlink" Target="http://www.ksat.com/news/suspect-wounded-in-officer-involved-shooting-dies" TargetMode="External"/><Relationship Id="rId4052" Type="http://schemas.openxmlformats.org/officeDocument/2006/relationships/hyperlink" Target="http://www.witn.com/content/news/Reports-of-shooting-outside-Greenville-sporting-goods-store-467731173.html" TargetMode="External"/><Relationship Id="rId5103" Type="http://schemas.openxmlformats.org/officeDocument/2006/relationships/hyperlink" Target="https://www.abqjournal.com/1213956/suspect-dies-in-gunfire-exchange-with-phoenix-police.html" TargetMode="External"/><Relationship Id="rId6501" Type="http://schemas.openxmlformats.org/officeDocument/2006/relationships/hyperlink" Target="https://fatalencounters.org/wp-content/uploads/2019/07/Michael-Anthony-Brand.jpg" TargetMode="External"/><Relationship Id="rId1646" Type="http://schemas.openxmlformats.org/officeDocument/2006/relationships/hyperlink" Target="http://www.fatalencounters.org/wp-content/uploads/2013/10/Gueren.png" TargetMode="External"/><Relationship Id="rId1713" Type="http://schemas.openxmlformats.org/officeDocument/2006/relationships/hyperlink" Target="http://www.11alive.com/news/local/deadly-stockbridge-swat-standoff/192456976" TargetMode="External"/><Relationship Id="rId4869" Type="http://schemas.openxmlformats.org/officeDocument/2006/relationships/hyperlink" Target="https://www.fatalencounters.org/wp-content/uploads/2018/07/Sylvia-Marie-Bejarano.jpg" TargetMode="External"/><Relationship Id="rId3885" Type="http://schemas.openxmlformats.org/officeDocument/2006/relationships/hyperlink" Target="http://www.fatalencounters.org/wp-content/uploads/2013/10/Emilio-John-Cruz-Hernandez.jpg" TargetMode="External"/><Relationship Id="rId4936" Type="http://schemas.openxmlformats.org/officeDocument/2006/relationships/hyperlink" Target="http://abc7.com/silver-lake-trader-joes-suspect-idd-booked-for-murder/3804545/" TargetMode="External"/><Relationship Id="rId6291" Type="http://schemas.openxmlformats.org/officeDocument/2006/relationships/hyperlink" Target="https://www.wmar2news.com/news/region/anne-arundel-county/suspect-involved-in-davidsonville-police-involved-shooting-dies" TargetMode="External"/><Relationship Id="rId2487" Type="http://schemas.openxmlformats.org/officeDocument/2006/relationships/hyperlink" Target="http://www.oregonlive.com/portland/index.ssf/2016/12/portland_police_shoot_kill_man.html" TargetMode="External"/><Relationship Id="rId3538" Type="http://schemas.openxmlformats.org/officeDocument/2006/relationships/hyperlink" Target="http://www.fatalencounters.org/wp-content/uploads/2013/10/Daniel-Hendrix.png" TargetMode="External"/><Relationship Id="rId459" Type="http://schemas.openxmlformats.org/officeDocument/2006/relationships/hyperlink" Target="http://www.nbclosangeles.com/news/local/Man-Killed-in-Fatal-Officer-Involved-Shooting-in-Ontario-258815701.html" TargetMode="External"/><Relationship Id="rId873" Type="http://schemas.openxmlformats.org/officeDocument/2006/relationships/hyperlink" Target="http://wiat.com/2015/09/13/family-of-man-killed-in-deputy-involved-shooting-speaks-out/" TargetMode="External"/><Relationship Id="rId1089" Type="http://schemas.openxmlformats.org/officeDocument/2006/relationships/hyperlink" Target="http://www.killedbypolice.net/victims/150947.jpg" TargetMode="External"/><Relationship Id="rId2554" Type="http://schemas.openxmlformats.org/officeDocument/2006/relationships/hyperlink" Target="http://www.wusa9.com/news/local/dc/man-seriously-injured-in-dc-officer-involved-shooting/377904065" TargetMode="External"/><Relationship Id="rId3952" Type="http://schemas.openxmlformats.org/officeDocument/2006/relationships/hyperlink" Target="http://www.fatalencounters.org/wp-content/uploads/2013/10/Kyle-Anthony-Mihecoby.jpg" TargetMode="External"/><Relationship Id="rId6011" Type="http://schemas.openxmlformats.org/officeDocument/2006/relationships/hyperlink" Target="https://www.wearecentralpa.com/news/police-identify-man-killed-in-sc-officer-involved-shooting-state-police-investigation-continues/1865198516" TargetMode="External"/><Relationship Id="rId526" Type="http://schemas.openxmlformats.org/officeDocument/2006/relationships/hyperlink" Target="http://crimeblog.dallasnews.com/2013/10/duncanville-police-fatally-shoot-suspect-monday-morning.html/" TargetMode="External"/><Relationship Id="rId1156" Type="http://schemas.openxmlformats.org/officeDocument/2006/relationships/hyperlink" Target="http://1.bp.blogspot.com/-xOS3t4XLRDc/VegsAfvOjmI/AAAAAAABEY4/q1TEtNlCyyQ/s1600/jamesbrownIII.jpg" TargetMode="External"/><Relationship Id="rId2207" Type="http://schemas.openxmlformats.org/officeDocument/2006/relationships/hyperlink" Target="http://wsvn.com/news/local/bso-investigating-deputy-involved-shooting-in-pompano-beach/" TargetMode="External"/><Relationship Id="rId3605" Type="http://schemas.openxmlformats.org/officeDocument/2006/relationships/hyperlink" Target="http://nbc4i.com/2017/02/23/one-in-critical-condition-after-south-columbus-shooting-2/" TargetMode="External"/><Relationship Id="rId940" Type="http://schemas.openxmlformats.org/officeDocument/2006/relationships/hyperlink" Target="http://www.clarionledger.com/story/news/2015/10/28/fatal-deputy-involved-shooting-monroe-county/74730994/" TargetMode="External"/><Relationship Id="rId1570" Type="http://schemas.openxmlformats.org/officeDocument/2006/relationships/hyperlink" Target="http://patch.com/california/san-francisco/alleged-knife-wielding-homeless-man-shot-police-identified-0" TargetMode="External"/><Relationship Id="rId2621" Type="http://schemas.openxmlformats.org/officeDocument/2006/relationships/hyperlink" Target="http://www.11alive.com/news/local/driver-crashes-after-attempted-traffic-stop-dies-after-being-tased-by-cobb-police/467336562" TargetMode="External"/><Relationship Id="rId5777" Type="http://schemas.openxmlformats.org/officeDocument/2006/relationships/hyperlink" Target="https://dfw.cbslocal.com/2019/01/26/garland-officers-involved-death-man-parking-lot-shooting/" TargetMode="External"/><Relationship Id="rId6828" Type="http://schemas.openxmlformats.org/officeDocument/2006/relationships/hyperlink" Target="https://fatalencounters.org/wp-content/uploads/2019/10/RaphaelTorres.jpg" TargetMode="External"/><Relationship Id="rId1223" Type="http://schemas.openxmlformats.org/officeDocument/2006/relationships/hyperlink" Target="http://www.click2houston.com/news/breaking-3-shot-in-northwest-harris-county-life-flight-on-scene/36144374" TargetMode="External"/><Relationship Id="rId4379" Type="http://schemas.openxmlformats.org/officeDocument/2006/relationships/hyperlink" Target="http://www.fatalencounters.org/wp-content/uploads/2018/03/Shermichael-Ezeff.png" TargetMode="External"/><Relationship Id="rId4793" Type="http://schemas.openxmlformats.org/officeDocument/2006/relationships/hyperlink" Target="http://www.nj.com/mercer/index.ssf/2018/06/heres_what_we_know_about_the_shooting_at_art_all_n.html" TargetMode="External"/><Relationship Id="rId5844" Type="http://schemas.openxmlformats.org/officeDocument/2006/relationships/hyperlink" Target="https://www.latimes.com/local/lanow/la-me-ln-fullerton-death-20190212-story.html" TargetMode="External"/><Relationship Id="rId3395" Type="http://schemas.openxmlformats.org/officeDocument/2006/relationships/hyperlink" Target="http://www.nbcdfw.com/news/local/Dallas-Police-Investigating-Officer-Involved-Shooting-429520973.html" TargetMode="External"/><Relationship Id="rId4446" Type="http://schemas.openxmlformats.org/officeDocument/2006/relationships/hyperlink" Target="http://www.fatalencounters.org/wp-content/uploads/2018/04/Rodney-Toler.jpg" TargetMode="External"/><Relationship Id="rId4860" Type="http://schemas.openxmlformats.org/officeDocument/2006/relationships/hyperlink" Target="https://www.fatalencounters.org/wp-content/uploads/2018/07/Emmanuel-Bitsuie.jpg" TargetMode="External"/><Relationship Id="rId5911" Type="http://schemas.openxmlformats.org/officeDocument/2006/relationships/hyperlink" Target="https://www.fatalencounters.org/wp-content/uploads/2019/03/James-Scott-Reed.jpg" TargetMode="External"/><Relationship Id="rId3048" Type="http://schemas.openxmlformats.org/officeDocument/2006/relationships/hyperlink" Target="http://www.kcbd.com/story/34416836/wichita-falls-police-investigating-late-night-hostage-situation" TargetMode="External"/><Relationship Id="rId3462" Type="http://schemas.openxmlformats.org/officeDocument/2006/relationships/hyperlink" Target="http://www.centralmaine.com/2017/05/20/police-1-man-killed-another-person-injured-in-officer-involved-shooting-in-belgrade/" TargetMode="External"/><Relationship Id="rId4513" Type="http://schemas.openxmlformats.org/officeDocument/2006/relationships/hyperlink" Target="https://www.detroitnews.com/story/news/local/oakland-county/2018/04/11/driver-fatal-police-shooting-royal-oak/33727599/" TargetMode="External"/><Relationship Id="rId383" Type="http://schemas.openxmlformats.org/officeDocument/2006/relationships/hyperlink" Target="http://www.wlky.com/news/woman-shot-by-lmpd-officers-in-swat-situation-dies/28371462" TargetMode="External"/><Relationship Id="rId2064" Type="http://schemas.openxmlformats.org/officeDocument/2006/relationships/hyperlink" Target="http://abc27.com/2016/08/07/man-is-dead-following-officer-involved-shooting-in-uptown-harrisburg/" TargetMode="External"/><Relationship Id="rId3115" Type="http://schemas.openxmlformats.org/officeDocument/2006/relationships/hyperlink" Target="http://www.ozarksfirst.com/news/man-dies-in-monett-in-officer-involved-shooting/807379951" TargetMode="External"/><Relationship Id="rId6685" Type="http://schemas.openxmlformats.org/officeDocument/2006/relationships/hyperlink" Target="https://www.theadvocate.com/baton_rouge/news/crime_police/article_2d1197f4-c8ea-11e9-b17e-6378bd4c1267.html" TargetMode="External"/><Relationship Id="rId450" Type="http://schemas.openxmlformats.org/officeDocument/2006/relationships/hyperlink" Target="http://www.expressnews.com/news/local/article/Officer-shoots-kills-woman-who-police-said-5490353.php" TargetMode="External"/><Relationship Id="rId1080" Type="http://schemas.openxmlformats.org/officeDocument/2006/relationships/hyperlink" Target="http://www.killedbypolice.net/victims/150981.jpg" TargetMode="External"/><Relationship Id="rId2131" Type="http://schemas.openxmlformats.org/officeDocument/2006/relationships/hyperlink" Target="http://www.fatalencounters.org/wp-content/uploads/2013/10/FOrte.jpg" TargetMode="External"/><Relationship Id="rId5287" Type="http://schemas.openxmlformats.org/officeDocument/2006/relationships/hyperlink" Target="https://www.recordherald.com/news/32019/officer-shot-suspect-killed-in-sunday-shootout-at-quality-innamerihost" TargetMode="External"/><Relationship Id="rId6338" Type="http://schemas.openxmlformats.org/officeDocument/2006/relationships/hyperlink" Target="http://www.fox4news.com/news/desoto-pd-officer-shoots-armed-suspect" TargetMode="External"/><Relationship Id="rId103" Type="http://schemas.openxmlformats.org/officeDocument/2006/relationships/hyperlink" Target="http://bloximages.newyork1.vip.townnews.com/omaha.com/content/tncms/assets/v3/editorial/d/d0/dd0b9724-19c9-11e5-93b4-936ae8b833ff/558991a743529.image.jpg" TargetMode="External"/><Relationship Id="rId6752" Type="http://schemas.openxmlformats.org/officeDocument/2006/relationships/hyperlink" Target="https://fatalencounters.org/wp-content/uploads/2019/09/Nick-N.-Walker.jpg" TargetMode="External"/><Relationship Id="rId1897" Type="http://schemas.openxmlformats.org/officeDocument/2006/relationships/hyperlink" Target="http://chicago.suntimes.com/news/man-fatally-shot-by-dolton-police-during-armed-robbery/" TargetMode="External"/><Relationship Id="rId2948" Type="http://schemas.openxmlformats.org/officeDocument/2006/relationships/hyperlink" Target="http://www.fatalencounters.org/wp-content/uploads/2013/10/ArmandoGarcia.png" TargetMode="External"/><Relationship Id="rId5354" Type="http://schemas.openxmlformats.org/officeDocument/2006/relationships/hyperlink" Target="https://www.fatalencounters.org/wp-content/uploads/2018/11/AndrewMoore.jpg" TargetMode="External"/><Relationship Id="rId6405" Type="http://schemas.openxmlformats.org/officeDocument/2006/relationships/hyperlink" Target="https://fatalencounters.org/wp-content/uploads/2019/06/Peter-Alexander-Bohning.png" TargetMode="External"/><Relationship Id="rId1964" Type="http://schemas.openxmlformats.org/officeDocument/2006/relationships/hyperlink" Target="http://azdailysun.com/news/local/crime-and-courts/a-m-update-police-shot-and-killed-man-following-foot/article_b817e848-490f-11e6-9129-5b7dbee830b1.html" TargetMode="External"/><Relationship Id="rId4370" Type="http://schemas.openxmlformats.org/officeDocument/2006/relationships/hyperlink" Target="http://gazette.com/hours-long-standoff-with-colorado-springs-police-ends-with-ambulance-ride/article/1622546" TargetMode="External"/><Relationship Id="rId5007" Type="http://schemas.openxmlformats.org/officeDocument/2006/relationships/hyperlink" Target="https://www.fatalencounters.org/wp-content/uploads/2018/08/Karl-Nilsen.jpg" TargetMode="External"/><Relationship Id="rId5421" Type="http://schemas.openxmlformats.org/officeDocument/2006/relationships/hyperlink" Target="https://www.fatalencounters.org/wp-content/uploads/2018/11/Rio-Antwuan-Thomas.png" TargetMode="External"/><Relationship Id="rId1617" Type="http://schemas.openxmlformats.org/officeDocument/2006/relationships/hyperlink" Target="http://wjla.com/news/crime/police-officer-involved-shooting-reported-in-fredericksburg" TargetMode="External"/><Relationship Id="rId4023" Type="http://schemas.openxmlformats.org/officeDocument/2006/relationships/hyperlink" Target="http://www.fatalencounters.org/wp-content/uploads/2013/10/Dennis-Plowden.png" TargetMode="External"/><Relationship Id="rId7179" Type="http://schemas.openxmlformats.org/officeDocument/2006/relationships/hyperlink" Target="http://wnmufm.org/post/update-trooper-shoots-champion-woman" TargetMode="External"/><Relationship Id="rId3789" Type="http://schemas.openxmlformats.org/officeDocument/2006/relationships/hyperlink" Target="http://www.elpasoproud.com/news/man-dies-after-being-shot-by-police/851222488" TargetMode="External"/><Relationship Id="rId6195" Type="http://schemas.openxmlformats.org/officeDocument/2006/relationships/hyperlink" Target="https://www.kxly.com/news/man-killed-by-sheriff-s-deputy-has-been-identified/1075277149" TargetMode="External"/><Relationship Id="rId7246" Type="http://schemas.openxmlformats.org/officeDocument/2006/relationships/hyperlink" Target="http://fox59.com/2013/11/21/family-claims-impd-overkill-in-shooting-of-cvs-robber/" TargetMode="External"/><Relationship Id="rId6262" Type="http://schemas.openxmlformats.org/officeDocument/2006/relationships/hyperlink" Target="https://fatalencounters.org/wp-content/uploads/2019/06/Shaquille-Ihsan-Shaun-Kelly.jpg" TargetMode="External"/><Relationship Id="rId3856" Type="http://schemas.openxmlformats.org/officeDocument/2006/relationships/hyperlink" Target="http://losangeles.cbslocal.com/2017/11/15/van-nuys-officer-involved-shooting/" TargetMode="External"/><Relationship Id="rId4907" Type="http://schemas.openxmlformats.org/officeDocument/2006/relationships/hyperlink" Target="https://www.pressofatlanticcity.com/news/authorities-identify-man-killed-in-vineland-police-involved-shooting/article_010bb7fd-719e-56f2-9589-e7e1110b77e7.html" TargetMode="External"/><Relationship Id="rId777" Type="http://schemas.openxmlformats.org/officeDocument/2006/relationships/hyperlink" Target="http://wric.com/2015/08/04/state-police-armed-man-killed-after-officer-involved-shooting-in-powhatan-county/" TargetMode="External"/><Relationship Id="rId2458" Type="http://schemas.openxmlformats.org/officeDocument/2006/relationships/hyperlink" Target="http://www.fatalencounters.org/wp-content/uploads/2013/10/Daniel-Landeros.jpg" TargetMode="External"/><Relationship Id="rId2872" Type="http://schemas.openxmlformats.org/officeDocument/2006/relationships/hyperlink" Target="http://www.stltoday.com/news/local/crime-and-courts/man-fatally-shot-by-st-louis-officer-after-pointing-gun/article_5fd638b7-df3f-5298-8587-540a6e3a3952.html" TargetMode="External"/><Relationship Id="rId3509" Type="http://schemas.openxmlformats.org/officeDocument/2006/relationships/hyperlink" Target="http://kfor.com/2017/04/20/logan-county-officials-on-scene-of-reported-shooting-in-wooded-area/" TargetMode="External"/><Relationship Id="rId3923" Type="http://schemas.openxmlformats.org/officeDocument/2006/relationships/hyperlink" Target="http://www.fatalencounters.org/wp-content/uploads/2013/10/Jonathan-Maldonado.png" TargetMode="External"/><Relationship Id="rId844" Type="http://schemas.openxmlformats.org/officeDocument/2006/relationships/hyperlink" Target="http://www.wbir.com/story/news/2015/09/12/armed-suspect-shot-and-killed--kcso-swat-team/72174344/" TargetMode="External"/><Relationship Id="rId1474" Type="http://schemas.openxmlformats.org/officeDocument/2006/relationships/hyperlink" Target="http://www.fatalencounters.org/wp-content/uploads/2013/10/Ford.png" TargetMode="External"/><Relationship Id="rId2525" Type="http://schemas.openxmlformats.org/officeDocument/2006/relationships/hyperlink" Target="http://www.fatalencounters.org/wp-content/uploads/2013/10/Jeremiah-N.-Anderson.jpg" TargetMode="External"/><Relationship Id="rId911" Type="http://schemas.openxmlformats.org/officeDocument/2006/relationships/hyperlink" Target="http://www.kirklandreporter.com/news/337724201.html" TargetMode="External"/><Relationship Id="rId1127" Type="http://schemas.openxmlformats.org/officeDocument/2006/relationships/hyperlink" Target="http://www.baltimoresun.com/news/maryland/baltimore-city/bs-md-ci-officer-involved-shoot-1112-20151111-story.html" TargetMode="External"/><Relationship Id="rId1541" Type="http://schemas.openxmlformats.org/officeDocument/2006/relationships/hyperlink" Target="http://www.11alive.com/news/local/mableton/gas-station-robbery-suspect-shot-after-swat-standoff/140453277" TargetMode="External"/><Relationship Id="rId4697" Type="http://schemas.openxmlformats.org/officeDocument/2006/relationships/hyperlink" Target="http://abc7amarillo.com/news/local/rangers-to-investigate-dumas-officer-involved-shooting" TargetMode="External"/><Relationship Id="rId5748" Type="http://schemas.openxmlformats.org/officeDocument/2006/relationships/hyperlink" Target="https://www.oregonlive.com/pacific-northwest-news/2019/01/four-killed-in-domestic-violence-incident-near-canby.html" TargetMode="External"/><Relationship Id="rId3299" Type="http://schemas.openxmlformats.org/officeDocument/2006/relationships/hyperlink" Target="http://www.denverpost.com/2017/08/15/colorado-springs-shoplifter-shooting/" TargetMode="External"/><Relationship Id="rId4764" Type="http://schemas.openxmlformats.org/officeDocument/2006/relationships/hyperlink" Target="https://www.fatalencounters.org/wp-content/uploads/2018/06/DavidArthur.jpg" TargetMode="External"/><Relationship Id="rId7170" Type="http://schemas.openxmlformats.org/officeDocument/2006/relationships/hyperlink" Target="http://www.bakersfieldnow.com/news/local/Police-Officer-shoots-man-stabbing-woman-in-the-face-200755161.html" TargetMode="External"/><Relationship Id="rId3366" Type="http://schemas.openxmlformats.org/officeDocument/2006/relationships/hyperlink" Target="http://www.carrollcountytimes.com/news/mountairy/ph-cc-mount-airy-shooting-071017-20170710-story.html" TargetMode="External"/><Relationship Id="rId4417" Type="http://schemas.openxmlformats.org/officeDocument/2006/relationships/hyperlink" Target="http://www.bigcountryhomepage.com/news/main-news/shots-fired-in-abilene-apartment-heavy-police-presence-at-scene-ambulance-en-route/1073717756" TargetMode="External"/><Relationship Id="rId5815" Type="http://schemas.openxmlformats.org/officeDocument/2006/relationships/hyperlink" Target="https://www.fatalencounters.org/wp-content/uploads/2019/02/AnthonyChilds.jpg" TargetMode="External"/><Relationship Id="rId287" Type="http://schemas.openxmlformats.org/officeDocument/2006/relationships/hyperlink" Target="http://www.newson6.com/story/28722322/sheriff-man-who-died-after-being-tasered-broke-warner-officers-eye-bone-first" TargetMode="External"/><Relationship Id="rId2382" Type="http://schemas.openxmlformats.org/officeDocument/2006/relationships/hyperlink" Target="http://www.denverpost.com/2016/11/15/loveland-man-suspect-killed-deputy-shooting/" TargetMode="External"/><Relationship Id="rId3019" Type="http://schemas.openxmlformats.org/officeDocument/2006/relationships/hyperlink" Target="http://www.cbs8.com/story/34646811/suspect-killed-in-deputy-involved-shooting-in-san-marcos" TargetMode="External"/><Relationship Id="rId3780" Type="http://schemas.openxmlformats.org/officeDocument/2006/relationships/hyperlink" Target="http://abc3340.com/news/local/suspect-dead-officer-shot-in-shooting-during-homicide-investigation" TargetMode="External"/><Relationship Id="rId4831" Type="http://schemas.openxmlformats.org/officeDocument/2006/relationships/hyperlink" Target="https://www.fatalencounters.org/wp-content/uploads/2018/07/Johnny-Edward-Hall-Jr-1.jpg" TargetMode="External"/><Relationship Id="rId354" Type="http://schemas.openxmlformats.org/officeDocument/2006/relationships/hyperlink" Target="http://newsok.com/officer-involved-shooting-reported-in-northwest-oklahoma-city/article/5372084" TargetMode="External"/><Relationship Id="rId2035" Type="http://schemas.openxmlformats.org/officeDocument/2006/relationships/hyperlink" Target="http://www.fatalencounters.org/wp-content/uploads/2013/10/Cruz-1.jpg" TargetMode="External"/><Relationship Id="rId3433" Type="http://schemas.openxmlformats.org/officeDocument/2006/relationships/hyperlink" Target="http://www.sandiegouniontribune.com/news/public-safety/sd-me-deputy-fatalshot-20170605-story.html" TargetMode="External"/><Relationship Id="rId6589" Type="http://schemas.openxmlformats.org/officeDocument/2006/relationships/hyperlink" Target="https://www.4029tv.com/article/man-killed-in-deputy-involved-shooting-in-lowell/28624161" TargetMode="External"/><Relationship Id="rId3500" Type="http://schemas.openxmlformats.org/officeDocument/2006/relationships/hyperlink" Target="http://www.dispatch.com/news/20170426/man-fatally-shot-by-columbus-police-officer-during-traffic-stop" TargetMode="External"/><Relationship Id="rId6656" Type="http://schemas.openxmlformats.org/officeDocument/2006/relationships/hyperlink" Target="https://abc7.com/suspect-dead-after-deputy-involved-shooting-in-stanton/5484961/" TargetMode="External"/><Relationship Id="rId421" Type="http://schemas.openxmlformats.org/officeDocument/2006/relationships/hyperlink" Target="http://www.kentreporter.com/news/272307371.html" TargetMode="External"/><Relationship Id="rId1051" Type="http://schemas.openxmlformats.org/officeDocument/2006/relationships/hyperlink" Target="http://www.indystar.com/story/news/crime/2015/04/12/officer-involved-shooting-reported-indys-eastside/25678213/" TargetMode="External"/><Relationship Id="rId2102" Type="http://schemas.openxmlformats.org/officeDocument/2006/relationships/hyperlink" Target="http://www.latimes.com/local/lanow/la-me-ln-lapd-shooting-20160816-snap-story.htmlhttp:/www.latimes.com/local/lanow/la-me-ln-lapd-shooting-20160816-snap-story.html" TargetMode="External"/><Relationship Id="rId5258" Type="http://schemas.openxmlformats.org/officeDocument/2006/relationships/hyperlink" Target="https://www.fatalencounters.org/wp-content/uploads/2018/10/Anthony-Lee-Hodges.jpg" TargetMode="External"/><Relationship Id="rId5672" Type="http://schemas.openxmlformats.org/officeDocument/2006/relationships/hyperlink" Target="https://abc7news.com/police-standoff-escalates-to-deadly-shooting-near-fresno-state/5021824/" TargetMode="External"/><Relationship Id="rId6309" Type="http://schemas.openxmlformats.org/officeDocument/2006/relationships/hyperlink" Target="https://fatalencounters.org/wp-content/uploads/2019/06/david-hoal.jpg" TargetMode="External"/><Relationship Id="rId6723" Type="http://schemas.openxmlformats.org/officeDocument/2006/relationships/hyperlink" Target="https://www.nbcconnecticut.com/news/local/States-Attorney-Identifies-Officers-Involved-in-Fatal-Shooting-During-Domestic-East-Hartford-Complaint-559935631.html" TargetMode="External"/><Relationship Id="rId1868" Type="http://schemas.openxmlformats.org/officeDocument/2006/relationships/hyperlink" Target="http://www.fatalencounters.org/wp-content/uploads/2013/10/Dylan-Noble.jpg" TargetMode="External"/><Relationship Id="rId4274" Type="http://schemas.openxmlformats.org/officeDocument/2006/relationships/hyperlink" Target="http://www.newschannel10.com/story/37562469/stratford-community-reacts-to-fatal-officer-involved-shooting" TargetMode="External"/><Relationship Id="rId5325" Type="http://schemas.openxmlformats.org/officeDocument/2006/relationships/hyperlink" Target="https://www.fatalencounters.org/wp-content/uploads/2018/10/Robert-R.-Bobby-Mitchell.jpg" TargetMode="External"/><Relationship Id="rId2919" Type="http://schemas.openxmlformats.org/officeDocument/2006/relationships/hyperlink" Target="http://www.fatalencounters.org/wp-content/uploads/2013/10/Ismael-Lopez-Rodriquez.png" TargetMode="External"/><Relationship Id="rId3290" Type="http://schemas.openxmlformats.org/officeDocument/2006/relationships/hyperlink" Target="http://www.channel3000.com/news/wppa-responds-to-officer-involved-shooting-in-pardeeville/607607085" TargetMode="External"/><Relationship Id="rId4341" Type="http://schemas.openxmlformats.org/officeDocument/2006/relationships/hyperlink" Target="https://www.nbclosangeles.com/news/local/Long-Beach-SWAT-Team-Negotiator-Surround-Man-With-Gun-476187543.html" TargetMode="External"/><Relationship Id="rId1935" Type="http://schemas.openxmlformats.org/officeDocument/2006/relationships/hyperlink" Target="http://www.fatalencounters.org/wp-content/uploads/2013/10/AltonSterling.jpg" TargetMode="External"/><Relationship Id="rId6099" Type="http://schemas.openxmlformats.org/officeDocument/2006/relationships/hyperlink" Target="https://www.fatalencounters.org/wp-content/uploads/2019/04/Luc-Ciel.jpg" TargetMode="External"/><Relationship Id="rId3010" Type="http://schemas.openxmlformats.org/officeDocument/2006/relationships/hyperlink" Target="http://www.fatalencounters.org/wp-content/uploads/2013/10/Michael-Anthony-Perez.jpg" TargetMode="External"/><Relationship Id="rId6166" Type="http://schemas.openxmlformats.org/officeDocument/2006/relationships/hyperlink" Target="https://www.kxan.com/news/local/austin/witness-gives-his-account-of-fatal-officer-involved-shooting-near-pennybacker-bridge/1962311851" TargetMode="External"/><Relationship Id="rId6580" Type="http://schemas.openxmlformats.org/officeDocument/2006/relationships/hyperlink" Target="https://fatalencounters.org/wp-content/uploads/2019/08/CortneyRonaldStaley.jpg" TargetMode="External"/><Relationship Id="rId7217" Type="http://schemas.openxmlformats.org/officeDocument/2006/relationships/hyperlink" Target="http://www.floydcountytimes.com/view/full_story/1431043/article-Suspect-shot-and-killed-by-state-trooper-while-in-custody" TargetMode="External"/><Relationship Id="rId2776" Type="http://schemas.openxmlformats.org/officeDocument/2006/relationships/hyperlink" Target="http://www.krcrtv.com/news/local/butte/chico-police-office-involved-shooting-no-fatality-in-north-campus-area/401951115" TargetMode="External"/><Relationship Id="rId3827" Type="http://schemas.openxmlformats.org/officeDocument/2006/relationships/hyperlink" Target="http://www.wsaz.com/content/news/Large-police-presence-at-Flatwoods-Ky-incident-456544353.html" TargetMode="External"/><Relationship Id="rId5182" Type="http://schemas.openxmlformats.org/officeDocument/2006/relationships/hyperlink" Target="http://pgpolice.blogspot.com/2018/09/pgpd-investigating-fatal-officer.html" TargetMode="External"/><Relationship Id="rId6233" Type="http://schemas.openxmlformats.org/officeDocument/2006/relationships/hyperlink" Target="https://fatalencounters.org/wp-content/uploads/2019/05/Daniel-Warren.jpg" TargetMode="External"/><Relationship Id="rId748" Type="http://schemas.openxmlformats.org/officeDocument/2006/relationships/hyperlink" Target="http://pbs.twimg.com/media/CMxQAW5VEAAvMJF.jpg" TargetMode="External"/><Relationship Id="rId1378" Type="http://schemas.openxmlformats.org/officeDocument/2006/relationships/hyperlink" Target="http://patch.com/new-jersey/manchester-nj/breaking-police-involved-fatal-shooting-nj-authorities" TargetMode="External"/><Relationship Id="rId1792" Type="http://schemas.openxmlformats.org/officeDocument/2006/relationships/hyperlink" Target="http://www.al.com/news/montgomery/index.ssf/2016/06/officer-involved_shooting_unde.html" TargetMode="External"/><Relationship Id="rId2429" Type="http://schemas.openxmlformats.org/officeDocument/2006/relationships/hyperlink" Target="http://www.kcra.com/article/officer-involved-shooting-investigated-in-carmichael/8364155" TargetMode="External"/><Relationship Id="rId2843" Type="http://schemas.openxmlformats.org/officeDocument/2006/relationships/hyperlink" Target="http://www.kansascity.com/news/local/crime/article130813639.html" TargetMode="External"/><Relationship Id="rId5999" Type="http://schemas.openxmlformats.org/officeDocument/2006/relationships/hyperlink" Target="https://www.mansfieldnewsjournal.com/story/news/2019/03/19/man-officer-involved-shooting-identified/3210017002/" TargetMode="External"/><Relationship Id="rId6300" Type="http://schemas.openxmlformats.org/officeDocument/2006/relationships/hyperlink" Target="https://fatalencounters.org/wp-content/uploads/2019/06/Thomas-GoodEyes-Gay.jpg" TargetMode="External"/><Relationship Id="rId84" Type="http://schemas.openxmlformats.org/officeDocument/2006/relationships/hyperlink" Target="http://www.standardbanner.com/news/morristown-man-shot-by-police-was-also-wanted-here/article_e6215eb4-242a-11e5-b876-3f8c02fbda9f.html" TargetMode="External"/><Relationship Id="rId815" Type="http://schemas.openxmlformats.org/officeDocument/2006/relationships/hyperlink" Target="http://www.nbcnews.com/news/us-news/gilbert-flores-shooting-bexar-county-deputies-near-san-antonio-sparks-n420061" TargetMode="External"/><Relationship Id="rId1445" Type="http://schemas.openxmlformats.org/officeDocument/2006/relationships/hyperlink" Target="http://ksnt.com/2016/03/08/friends-speak-out-about-deadly-shooting/" TargetMode="External"/><Relationship Id="rId2910" Type="http://schemas.openxmlformats.org/officeDocument/2006/relationships/hyperlink" Target="http://www.pressdemocrat.com/news/7277681-181/man-shot-and-killed-by?artslide=0" TargetMode="External"/><Relationship Id="rId7074" Type="http://schemas.openxmlformats.org/officeDocument/2006/relationships/hyperlink" Target="https://fatalencounters.org/wp-content/uploads/2019/12/A.B.-Carr.png" TargetMode="External"/><Relationship Id="rId1512" Type="http://schemas.openxmlformats.org/officeDocument/2006/relationships/hyperlink" Target="http://www.kolotv.com/content/news/Man-killed-in-Reno-officer-involved-shooting-371766162.html" TargetMode="External"/><Relationship Id="rId4668" Type="http://schemas.openxmlformats.org/officeDocument/2006/relationships/hyperlink" Target="https://www.fatalencounters.org/wp-content/uploads/2018/05/DmitriBullard2.jpg" TargetMode="External"/><Relationship Id="rId5719" Type="http://schemas.openxmlformats.org/officeDocument/2006/relationships/hyperlink" Target="https://www.fatalencounters.org/wp-content/uploads/2019/01/damonAsad.jpg" TargetMode="External"/><Relationship Id="rId6090" Type="http://schemas.openxmlformats.org/officeDocument/2006/relationships/hyperlink" Target="https://www.fatalencounters.org/wp-content/uploads/2019/04/TerryDavis.jpg" TargetMode="External"/><Relationship Id="rId7141" Type="http://schemas.openxmlformats.org/officeDocument/2006/relationships/hyperlink" Target="http://lh6.googleusercontent.com/-dxKgcorFHCI/UU4iP_vQcRI/AAAAAAAAjG8/N4HMSwik7VM/s280/DSC_0042-002.JPG" TargetMode="External"/><Relationship Id="rId3684" Type="http://schemas.openxmlformats.org/officeDocument/2006/relationships/hyperlink" Target="http://www.tulsaworld.com/news/crimewatch/state-investigators-probe-officer-involved-fatal-shooting-in-adair-county/article_6899795c-4127-5b18-9ca8-bca58dfe0871.html" TargetMode="External"/><Relationship Id="rId4735" Type="http://schemas.openxmlformats.org/officeDocument/2006/relationships/hyperlink" Target="http://krcrtv.com/news/tehama-county/tehama-co-shasta-college-campus-on-lockdown-due-to-man-with-weapon" TargetMode="External"/><Relationship Id="rId2286" Type="http://schemas.openxmlformats.org/officeDocument/2006/relationships/hyperlink" Target="http://www.reviewjournal.com/crime/shootings/man-shot-nhp-trooper-henderson-has-died" TargetMode="External"/><Relationship Id="rId3337" Type="http://schemas.openxmlformats.org/officeDocument/2006/relationships/hyperlink" Target="http://www.fatalencounters.org/wp-content/uploads/2013/10/walter-lynde.jpg" TargetMode="External"/><Relationship Id="rId3751" Type="http://schemas.openxmlformats.org/officeDocument/2006/relationships/hyperlink" Target="http://www.fatalencounters.org/wp-content/uploads/2013/10/Antonio-Levison.jpg" TargetMode="External"/><Relationship Id="rId4802" Type="http://schemas.openxmlformats.org/officeDocument/2006/relationships/hyperlink" Target="https://www.fatalencounters.org/wp-content/uploads/2018/06/RobertRoybal.jpg" TargetMode="External"/><Relationship Id="rId258" Type="http://schemas.openxmlformats.org/officeDocument/2006/relationships/hyperlink" Target="http://www.abc17news.com/news/suspect-shot-and-killed-by-police/32394506" TargetMode="External"/><Relationship Id="rId672" Type="http://schemas.openxmlformats.org/officeDocument/2006/relationships/hyperlink" Target="http://www.turnto23.com/news/breaking-news/officer-involved-shooting-near-downtown-restaurant-11292015" TargetMode="External"/><Relationship Id="rId2353" Type="http://schemas.openxmlformats.org/officeDocument/2006/relationships/hyperlink" Target="http://www.fatalencounters.org/wp-content/uploads/2013/10/james-carl-coale.jpeg" TargetMode="External"/><Relationship Id="rId3404" Type="http://schemas.openxmlformats.org/officeDocument/2006/relationships/hyperlink" Target="http://bangordailynews.com/2017/06/16/news/aroostook/maine-man-shot-at-officers-during-chase-in-mass-and-n-h-police-say/" TargetMode="External"/><Relationship Id="rId6974" Type="http://schemas.openxmlformats.org/officeDocument/2006/relationships/hyperlink" Target="https://www.theadvocate.com/baton_rouge/news/communities/st_helena/article_c380f2be-1c61-11ea-a78d-3b7fec2df5fd.html" TargetMode="External"/><Relationship Id="rId325" Type="http://schemas.openxmlformats.org/officeDocument/2006/relationships/hyperlink" Target="http://pickens.fetchyournews.com/archives/5043-UPDATED-Authorities-Confirm-Suspect-Has-Died,-Domestic-Call-Ends-in-Gun-Fire.html" TargetMode="External"/><Relationship Id="rId2006" Type="http://schemas.openxmlformats.org/officeDocument/2006/relationships/hyperlink" Target="http://www.nola.com/crime/index.ssf/2016/07/devon_martes_jpso_shooting.html" TargetMode="External"/><Relationship Id="rId2420" Type="http://schemas.openxmlformats.org/officeDocument/2006/relationships/hyperlink" Target="http://www.pasadenastarnews.com/general-news/20161122/la-mirada-standoff-ends-after-robbery-suspect-is-shot-and-killed-by-deputies" TargetMode="External"/><Relationship Id="rId5576" Type="http://schemas.openxmlformats.org/officeDocument/2006/relationships/hyperlink" Target="https://www.fatalencounters.org/wp-content/uploads/2018/12/LondynStrawn.jpg" TargetMode="External"/><Relationship Id="rId6627" Type="http://schemas.openxmlformats.org/officeDocument/2006/relationships/hyperlink" Target="https://fatalencounters.org/wp-content/uploads/2019/08/Charles-Roy-Pearson.jpg" TargetMode="External"/><Relationship Id="rId1022" Type="http://schemas.openxmlformats.org/officeDocument/2006/relationships/hyperlink" Target="http://www.wsvn.com/story/29128211/man-dead-after-barricading-himself-inside-fort-lauderdale-home" TargetMode="External"/><Relationship Id="rId4178" Type="http://schemas.openxmlformats.org/officeDocument/2006/relationships/hyperlink" Target="http://www.fatalencounters.org/wp-content/uploads/2018/01/Paul-David-Johnson-II.jpg" TargetMode="External"/><Relationship Id="rId4592" Type="http://schemas.openxmlformats.org/officeDocument/2006/relationships/hyperlink" Target="http://wlos.com/news/local/authorities-investigate-fatal-officer-involved-shooting-in-macon-county" TargetMode="External"/><Relationship Id="rId5229" Type="http://schemas.openxmlformats.org/officeDocument/2006/relationships/hyperlink" Target="https://www.lcsun-news.com/story/news/crime/2018/09/28/police-identify-man-killed-officer-involved-shooting-lchs-campus-juan-angel-pinedo/1460031002/" TargetMode="External"/><Relationship Id="rId5990" Type="http://schemas.openxmlformats.org/officeDocument/2006/relationships/hyperlink" Target="https://komonews.com/news/local/federal-way-police-investigating-officer-involved-shooting" TargetMode="External"/><Relationship Id="rId3194" Type="http://schemas.openxmlformats.org/officeDocument/2006/relationships/hyperlink" Target="http://www.indystar.com/story/news/2017/05/13/indianapolis-man-dies-after-being-tased-greenfield-police/321113001/" TargetMode="External"/><Relationship Id="rId4245" Type="http://schemas.openxmlformats.org/officeDocument/2006/relationships/hyperlink" Target="https://lostcoastoutpost.com/2018/feb/13/woman-killed-officer-involved-shooting-sheriffs-of/" TargetMode="External"/><Relationship Id="rId5643" Type="http://schemas.openxmlformats.org/officeDocument/2006/relationships/hyperlink" Target="https://www.hawaiinewsnow.com/story/35071920/mother-of-man-who-died-after-breaching-airport-security-raises-issue-with-investigation/" TargetMode="External"/><Relationship Id="rId1839" Type="http://schemas.openxmlformats.org/officeDocument/2006/relationships/hyperlink" Target="http://www.newson6.com/story/32240844/tpd-identifies-sergeant-involved-in-fatal-shooting" TargetMode="External"/><Relationship Id="rId5710" Type="http://schemas.openxmlformats.org/officeDocument/2006/relationships/hyperlink" Target="https://www.fatalencounters.org/wp-content/uploads/2019/01/nathaniel-holland.jpg" TargetMode="External"/><Relationship Id="rId182" Type="http://schemas.openxmlformats.org/officeDocument/2006/relationships/hyperlink" Target="http://www.kmbc.com/news/person-taken-to-hospital-after-kck-officer-uses-force-at-family-dollar/33249942" TargetMode="External"/><Relationship Id="rId1906" Type="http://schemas.openxmlformats.org/officeDocument/2006/relationships/hyperlink" Target="http://www.hawaiinewsnow.com/story/32331213/officer-involved-shooting-reported-on-kinau-street" TargetMode="External"/><Relationship Id="rId3261" Type="http://schemas.openxmlformats.org/officeDocument/2006/relationships/hyperlink" Target="http://www.wtol.com/story/36287645/person-shot-in-west-toledo" TargetMode="External"/><Relationship Id="rId4312" Type="http://schemas.openxmlformats.org/officeDocument/2006/relationships/hyperlink" Target="https://www.abc15.com/news/region-phoenix-metro/west-phoenix/officials-investigating-officer-involved-shooting-near-43rd-avenue_hatcher" TargetMode="External"/><Relationship Id="rId6484" Type="http://schemas.openxmlformats.org/officeDocument/2006/relationships/hyperlink" Target="https://fatalencounters.org/wp-content/uploads/2019/07/Frankie-Feliciano.jpg" TargetMode="External"/><Relationship Id="rId999" Type="http://schemas.openxmlformats.org/officeDocument/2006/relationships/hyperlink" Target="http://www.gannett-cdn.com/-mm-/4a6db3c9477f4109c4cdeac9a88f4baf6e2f228c/c=0-5-305-412&amp;r=537&amp;c=0-0-534-712/local/-/media/2015/06/15/Louisville/B9317735012Z.1_20150615164435_000_GG6B398IT.1-0.jpg" TargetMode="External"/><Relationship Id="rId5086" Type="http://schemas.openxmlformats.org/officeDocument/2006/relationships/hyperlink" Target="https://www.cincinnati.com/story/news/crime/crime-and-courts/2018/08/27/more-information-released-shooting-left-officer-wounded-suspect-dead/1109981002/" TargetMode="External"/><Relationship Id="rId6137" Type="http://schemas.openxmlformats.org/officeDocument/2006/relationships/hyperlink" Target="http://www.fatalencounters.org/wp-content/uploads/2019/04/John-Duane-Fairbanks.jpeg" TargetMode="External"/><Relationship Id="rId6551" Type="http://schemas.openxmlformats.org/officeDocument/2006/relationships/hyperlink" Target="https://www.wfaa.com/article/news/local/dallas-police-shoot-kill-man-after-altercation-in-south-dallas/287-9cbfa3a9-08c1-4913-a6e1-6608a873b859" TargetMode="External"/><Relationship Id="rId1696" Type="http://schemas.openxmlformats.org/officeDocument/2006/relationships/hyperlink" Target="http://www.fatalencounters.org/wp-content/uploads/2013/10/DaRosa.jpg" TargetMode="External"/><Relationship Id="rId5153" Type="http://schemas.openxmlformats.org/officeDocument/2006/relationships/hyperlink" Target="https://tucson.com/news/local/tucson-police-id-man-shot-and-killed-during-family-fight/article_35aae3ac-b987-11e8-894f-e3593af88145.html" TargetMode="External"/><Relationship Id="rId6204" Type="http://schemas.openxmlformats.org/officeDocument/2006/relationships/hyperlink" Target="https://fox6now.com/2019/05/13/officials-identify-34-year-old-man-killed-in-officer-involved-shooting-during-search-for-victor-cintron-jr/" TargetMode="External"/><Relationship Id="rId1349" Type="http://schemas.openxmlformats.org/officeDocument/2006/relationships/hyperlink" Target="http://katv.com/news/local/authorities-investigating-officer-involved-shooting-in-garland-county" TargetMode="External"/><Relationship Id="rId2747" Type="http://schemas.openxmlformats.org/officeDocument/2006/relationships/hyperlink" Target="http://www.cbs46.com/story/35248353/man-shot-killed-by-deputies-after-fatal-incident-south-of-atlanta" TargetMode="External"/><Relationship Id="rId5220" Type="http://schemas.openxmlformats.org/officeDocument/2006/relationships/hyperlink" Target="https://newyork.cbslocal.com/2018/09/28/newark-survivor-in-police-shooting-charged-with-weapon-offenses/" TargetMode="External"/><Relationship Id="rId719" Type="http://schemas.openxmlformats.org/officeDocument/2006/relationships/hyperlink" Target="http://www.katc.com/story/30434244/6-year-old-dead-another-in-critical-after-officer-involved-shooting-in-marksville" TargetMode="External"/><Relationship Id="rId1763" Type="http://schemas.openxmlformats.org/officeDocument/2006/relationships/hyperlink" Target="http://www.wbrc.com/story/32088819/officer-involved-shooting-in-lincoln-leaves-1-dead" TargetMode="External"/><Relationship Id="rId2814" Type="http://schemas.openxmlformats.org/officeDocument/2006/relationships/hyperlink" Target="http://www.fatalencounters.org/wp-content/uploads/2013/10/Chance-David-Baker.png" TargetMode="External"/><Relationship Id="rId55" Type="http://schemas.openxmlformats.org/officeDocument/2006/relationships/hyperlink" Target="http://wac.450f.edgecastcdn.net/80450F/k2radio.com/files/2015/07/chris-benton.jpg" TargetMode="External"/><Relationship Id="rId1416" Type="http://schemas.openxmlformats.org/officeDocument/2006/relationships/hyperlink" Target="http://www.kcra.com/news/local-news/news-stockton/chp-vehicle-chase-ends-in-ripon-crash/38152896" TargetMode="External"/><Relationship Id="rId1830" Type="http://schemas.openxmlformats.org/officeDocument/2006/relationships/hyperlink" Target="http://16749-presscdn-0-94.pagely.netdna-cdn.com/wp-content/uploads/2016/06/Kenneth-Allen-Pointer.jpg" TargetMode="External"/><Relationship Id="rId4986" Type="http://schemas.openxmlformats.org/officeDocument/2006/relationships/hyperlink" Target="https://www.abc15.com/news/region-phoenix-metro/south-phoenix/glendale-police-officer-involved-in-shooting-in-phoenix" TargetMode="External"/><Relationship Id="rId3588" Type="http://schemas.openxmlformats.org/officeDocument/2006/relationships/hyperlink" Target="http://www.fatalencounters.org/wp-content/uploads/2013/10/Michael-Kocher.jpg" TargetMode="External"/><Relationship Id="rId4639" Type="http://schemas.openxmlformats.org/officeDocument/2006/relationships/hyperlink" Target="https://www.knoxnews.com/story/news/crime/2018/05/10/tbi-investigating-officer-involved-shooting-morristown/598052002/" TargetMode="External"/><Relationship Id="rId7045" Type="http://schemas.openxmlformats.org/officeDocument/2006/relationships/hyperlink" Target="https://www.14news.com/2019/12/21/epd-investigating-police-action-shooting/" TargetMode="External"/><Relationship Id="rId3655" Type="http://schemas.openxmlformats.org/officeDocument/2006/relationships/hyperlink" Target="http://www.nbcdfw.com/news/local/Officer-Involved-Shooting-Outside-Irving-Hotel-Police-412747883.html" TargetMode="External"/><Relationship Id="rId4706" Type="http://schemas.openxmlformats.org/officeDocument/2006/relationships/hyperlink" Target="https://www.fatalencounters.org/wp-content/uploads/2018/06/RabiBrown.jpg" TargetMode="External"/><Relationship Id="rId6061" Type="http://schemas.openxmlformats.org/officeDocument/2006/relationships/hyperlink" Target="https://www.wbir.com/article/news/tbi-woman-dies-after-officer-involved-shooting-in-lafollette/51-c6fbb70a-dccb-41d8-b83f-50096986ac9e" TargetMode="External"/><Relationship Id="rId7112" Type="http://schemas.openxmlformats.org/officeDocument/2006/relationships/hyperlink" Target="https://thebrunswicknews.com/news/local_news/passenger-in-vehicle-pursuit-with-troopers-dies/article_c08212a8-f64f-5453-befc-7ffc2a6ed90f.html" TargetMode="External"/><Relationship Id="rId576" Type="http://schemas.openxmlformats.org/officeDocument/2006/relationships/hyperlink" Target="http://miami.cbslocal.com/2013/01/07/family-of-man-killed-in-police-involved-shooting-demands-answers/" TargetMode="External"/><Relationship Id="rId990" Type="http://schemas.openxmlformats.org/officeDocument/2006/relationships/hyperlink" Target="http://www.post-gazette.com/image/2015/06/23/420x_q90_cMC_z_ca0,37,614,753/HarrisTyrone.jpg" TargetMode="External"/><Relationship Id="rId2257" Type="http://schemas.openxmlformats.org/officeDocument/2006/relationships/hyperlink" Target="http://www.fatalencounters.org/wp-content/uploads/2013/10/Dominick-Musulman.jpg" TargetMode="External"/><Relationship Id="rId2671" Type="http://schemas.openxmlformats.org/officeDocument/2006/relationships/hyperlink" Target="http://www.fatalencounters.org/wp-content/uploads/2013/10/dana-dubose-mug.jpg" TargetMode="External"/><Relationship Id="rId3308" Type="http://schemas.openxmlformats.org/officeDocument/2006/relationships/hyperlink" Target="http://ksnt.com/2017/08/08/1-man-dead-after-officer-involved-shooting-in-junction-city/" TargetMode="External"/><Relationship Id="rId229" Type="http://schemas.openxmlformats.org/officeDocument/2006/relationships/hyperlink" Target="http://kfor.com/2015/04/29/oklahoma-police-officer-involved-in-fatal-shooting/" TargetMode="External"/><Relationship Id="rId643" Type="http://schemas.openxmlformats.org/officeDocument/2006/relationships/hyperlink" Target="http://www.killedbypolice.net/victims/151032.jpg" TargetMode="External"/><Relationship Id="rId1273" Type="http://schemas.openxmlformats.org/officeDocument/2006/relationships/hyperlink" Target="http://wlbt.images.worldnow.com/images/9927736_G.jpg" TargetMode="External"/><Relationship Id="rId2324" Type="http://schemas.openxmlformats.org/officeDocument/2006/relationships/hyperlink" Target="http://www.cbs7.com/content/news/399194741.html" TargetMode="External"/><Relationship Id="rId3722" Type="http://schemas.openxmlformats.org/officeDocument/2006/relationships/hyperlink" Target="http://www.fatalencounters.org/wp-content/uploads/2013/10/Matthew-Alan-Whitley.jpg" TargetMode="External"/><Relationship Id="rId6878" Type="http://schemas.openxmlformats.org/officeDocument/2006/relationships/hyperlink" Target="https://www.hollywoodreporter.com/news/homicide-suspect-killed-by-deputies-home-tarzan-actor-ron-ely-1248119" TargetMode="External"/><Relationship Id="rId5894" Type="http://schemas.openxmlformats.org/officeDocument/2006/relationships/hyperlink" Target="https://www.fatalencounters.org/wp-content/uploads/2019/03/ObitIsaiasRodriguez.jpg" TargetMode="External"/><Relationship Id="rId6945" Type="http://schemas.openxmlformats.org/officeDocument/2006/relationships/hyperlink" Target="https://www.courierpress.com/story/news/2019/10/28/one-dead-officer-involved-shooting-evansville-epd-says/2492500001/" TargetMode="External"/><Relationship Id="rId710" Type="http://schemas.openxmlformats.org/officeDocument/2006/relationships/hyperlink" Target="http://www.reviewjournal.com/news/las-vegas/school-police-shoot-kill-threatening-driver-south-valley-park" TargetMode="External"/><Relationship Id="rId1340" Type="http://schemas.openxmlformats.org/officeDocument/2006/relationships/hyperlink" Target="http://thepolicenews.net/default.aspx?act=Newsletter.aspx&amp;category=News+1-2&amp;newsletterid=58872&amp;menugroup=Home" TargetMode="External"/><Relationship Id="rId3098" Type="http://schemas.openxmlformats.org/officeDocument/2006/relationships/hyperlink" Target="http://www.fatalencounters.org/wp-content/uploads/2013/10/Henry-James-Hunter.jpg" TargetMode="External"/><Relationship Id="rId4496" Type="http://schemas.openxmlformats.org/officeDocument/2006/relationships/hyperlink" Target="http://www.fatalencounters.org/wp-content/uploads/2018/04/Elijah-James-Smith.jpg" TargetMode="External"/><Relationship Id="rId5547" Type="http://schemas.openxmlformats.org/officeDocument/2006/relationships/hyperlink" Target="https://www.dailybulletin.com/2018/12/13/man-hospitalized-after-being-shot-by-upland-police/" TargetMode="External"/><Relationship Id="rId5961" Type="http://schemas.openxmlformats.org/officeDocument/2006/relationships/hyperlink" Target="http://www.newschannel6now.com/2019/03/10/dps-investigation-underway-following-officer-involved-shooting-quanah/" TargetMode="External"/><Relationship Id="rId4149" Type="http://schemas.openxmlformats.org/officeDocument/2006/relationships/hyperlink" Target="http://newsok.com/article/5580373" TargetMode="External"/><Relationship Id="rId4563" Type="http://schemas.openxmlformats.org/officeDocument/2006/relationships/hyperlink" Target="http://www.fatalencounters.org/wp-content/uploads/2018/04/Matthew-G.-Brown.jpg" TargetMode="External"/><Relationship Id="rId5614" Type="http://schemas.openxmlformats.org/officeDocument/2006/relationships/hyperlink" Target="https://www.kxan.com/news/local/hill-country/dps-trooper-shoots-kills-suspect-armed-with-machete-in-llano/1680175952" TargetMode="External"/><Relationship Id="rId3165" Type="http://schemas.openxmlformats.org/officeDocument/2006/relationships/hyperlink" Target="http://www.13wmaz.com/news/local/gbi-investigating-in-custody-death-of-milledgeville-man/455233793" TargetMode="External"/><Relationship Id="rId4216" Type="http://schemas.openxmlformats.org/officeDocument/2006/relationships/hyperlink" Target="http://ktla.com/2018/02/06/man-fatally-shot-by-deputies-in-east-l-a/" TargetMode="External"/><Relationship Id="rId4630" Type="http://schemas.openxmlformats.org/officeDocument/2006/relationships/hyperlink" Target="http://www.heraldcourier.com/news/update-sheriff-identifies-man-shot-and-killed-after-pursuit-in/article_d93c12ac-5320-11e8-8595-2700b7a966e6.html" TargetMode="External"/><Relationship Id="rId2181" Type="http://schemas.openxmlformats.org/officeDocument/2006/relationships/hyperlink" Target="http://philadelphia.cbslocal.com/2016/09/03/officer-shot-in-atlantic-city-two-arrest-made/" TargetMode="External"/><Relationship Id="rId3232" Type="http://schemas.openxmlformats.org/officeDocument/2006/relationships/hyperlink" Target="http://www.denverpost.com/2017/03/17/thornton-police-suspect-tased-dead/" TargetMode="External"/><Relationship Id="rId6388" Type="http://schemas.openxmlformats.org/officeDocument/2006/relationships/hyperlink" Target="https://fatalencounters.org/wp-content/uploads/2019/06/Brian-Isaack-Clyde.png" TargetMode="External"/><Relationship Id="rId153" Type="http://schemas.openxmlformats.org/officeDocument/2006/relationships/hyperlink" Target="http://www.komonews.com/news/local/Police-officer-in-Woodland-shoots-kills-58-year-old-man-306422811.html" TargetMode="External"/><Relationship Id="rId6455" Type="http://schemas.openxmlformats.org/officeDocument/2006/relationships/hyperlink" Target="https://kdvr.com/2019/07/04/officer-involved-in-shooting-near-colorado-mills-mall/" TargetMode="External"/><Relationship Id="rId220" Type="http://schemas.openxmlformats.org/officeDocument/2006/relationships/hyperlink" Target="http://facebook.com/KilledByPolice/posts/1034785363216267" TargetMode="External"/><Relationship Id="rId2998" Type="http://schemas.openxmlformats.org/officeDocument/2006/relationships/hyperlink" Target="http://www.fatalencounters.org/wp-content/uploads/2013/10/Michael-Alcaraz.jpg" TargetMode="External"/><Relationship Id="rId5057" Type="http://schemas.openxmlformats.org/officeDocument/2006/relationships/hyperlink" Target="https://www.adn.com/alaska-news/crime-courts/2018/08/20/wasilla-police-man-killed-in-officer-involved-shooting-had-2-knives/" TargetMode="External"/><Relationship Id="rId6108" Type="http://schemas.openxmlformats.org/officeDocument/2006/relationships/hyperlink" Target="https://www.fatalencounters.org/wp-content/uploads/2019/04/Juan-Torres.jpg" TargetMode="External"/><Relationship Id="rId4073" Type="http://schemas.openxmlformats.org/officeDocument/2006/relationships/hyperlink" Target="http://www.fatalencounters.org/wp-content/uploads/2018/01/Gregory-Stough.png" TargetMode="External"/><Relationship Id="rId5471" Type="http://schemas.openxmlformats.org/officeDocument/2006/relationships/hyperlink" Target="https://www.fatalencounters.org/wp-content/uploads/2018/12/david-villagran.jpg" TargetMode="External"/><Relationship Id="rId6522" Type="http://schemas.openxmlformats.org/officeDocument/2006/relationships/hyperlink" Target="https://www.kdrv.com/content/news/Road-512938861.html" TargetMode="External"/><Relationship Id="rId1667" Type="http://schemas.openxmlformats.org/officeDocument/2006/relationships/hyperlink" Target="http://www.gannett-cdn.com/-mm-/91881958fc89c744d3eb0a5929ac8ff7a051810e/c=19-0-595-768&amp;r=537&amp;c=0-0-534-712/local/-/media/2016/05/18/CarolinaGroup/Greenville/635992085351034190-Dogan.jpg" TargetMode="External"/><Relationship Id="rId2718" Type="http://schemas.openxmlformats.org/officeDocument/2006/relationships/hyperlink" Target="http://www.chicagotribune.com/suburbs/aurora-beacon-news/ct-geneva-delnor-hospital-police-standoff-20170513-story.html" TargetMode="External"/><Relationship Id="rId5124" Type="http://schemas.openxmlformats.org/officeDocument/2006/relationships/hyperlink" Target="https://www.kob.com/albuquerque-news/bernalillo-officer-involved-shooting/5056977/" TargetMode="External"/><Relationship Id="rId1734" Type="http://schemas.openxmlformats.org/officeDocument/2006/relationships/hyperlink" Target="http://www.wtvq.com/2016/05/20/ksp-troopers-involved-in-fatal-knott-county-shooting/" TargetMode="External"/><Relationship Id="rId4140" Type="http://schemas.openxmlformats.org/officeDocument/2006/relationships/hyperlink" Target="http://www.theledger.com/news/20180120/lake-wales-man-killed-in-shootout-with-deputies" TargetMode="External"/><Relationship Id="rId26" Type="http://schemas.openxmlformats.org/officeDocument/2006/relationships/hyperlink" Target="http://bayoutimelive.com/wp-content/uploads/2013/04/Jean-P.-Falgout.jpg" TargetMode="External"/><Relationship Id="rId1801" Type="http://schemas.openxmlformats.org/officeDocument/2006/relationships/hyperlink" Target="http://www.fatalencounters.org/wp-content/uploads/2013/10/William-Powell.jpg" TargetMode="External"/><Relationship Id="rId3559" Type="http://schemas.openxmlformats.org/officeDocument/2006/relationships/hyperlink" Target="http://wdef.com/2017/03/18/gbi-investigates-officer-involved-shooting-polk-county/" TargetMode="External"/><Relationship Id="rId4957" Type="http://schemas.openxmlformats.org/officeDocument/2006/relationships/hyperlink" Target="https://abc7amarillo.com/news/local/suspect-killed-in-officer-involved-shooting-identified-07-26-2018" TargetMode="External"/><Relationship Id="rId7016" Type="http://schemas.openxmlformats.org/officeDocument/2006/relationships/hyperlink" Target="https://abc7.com/1-dead-in-east-los-angeles-after-deputy-involved-shooting/5761169/" TargetMode="External"/><Relationship Id="rId3973" Type="http://schemas.openxmlformats.org/officeDocument/2006/relationships/hyperlink" Target="http://www.killedbypolice.net/victims/171140.jpg" TargetMode="External"/><Relationship Id="rId6032" Type="http://schemas.openxmlformats.org/officeDocument/2006/relationships/hyperlink" Target="https://www.nola.com/crime/2019/03/after-bullets-fly-during-terrytown-drug-bust-families-question-jpso-use-of-force.html" TargetMode="External"/><Relationship Id="rId894" Type="http://schemas.openxmlformats.org/officeDocument/2006/relationships/hyperlink" Target="http://www.montereyherald.com/general-news/20150922/sand-city-shooting-mother-of-dead-suspect-recalls-sons-troubles" TargetMode="External"/><Relationship Id="rId1177" Type="http://schemas.openxmlformats.org/officeDocument/2006/relationships/hyperlink" Target="http://www.wlwt.com/news/police-id-robbery-suspect-who-died-after-taser-shock/35034920" TargetMode="External"/><Relationship Id="rId2575" Type="http://schemas.openxmlformats.org/officeDocument/2006/relationships/hyperlink" Target="http://wkrg.com/2016/12/21/breaking-officer-shot-in-saraland-suspect-in-custody/" TargetMode="External"/><Relationship Id="rId3626" Type="http://schemas.openxmlformats.org/officeDocument/2006/relationships/hyperlink" Target="http://www.fatalencounters.org/wp-content/uploads/2013/10/BrandonLambert.jpg" TargetMode="External"/><Relationship Id="rId547" Type="http://schemas.openxmlformats.org/officeDocument/2006/relationships/hyperlink" Target="http://hamptonroads.com/2013/08/man-killed-deputyinvolved-isle-wight-shooting" TargetMode="External"/><Relationship Id="rId961" Type="http://schemas.openxmlformats.org/officeDocument/2006/relationships/hyperlink" Target="http://www.courier-journal.com/story/news/local/2015/09/14/ky-trooper-shot-western-kentucky-after-chase/72241764/" TargetMode="External"/><Relationship Id="rId1591" Type="http://schemas.openxmlformats.org/officeDocument/2006/relationships/hyperlink" Target="http://www.fatalencounters.org/wp-content/uploads/2013/10/Beaty.png" TargetMode="External"/><Relationship Id="rId2228" Type="http://schemas.openxmlformats.org/officeDocument/2006/relationships/hyperlink" Target="http://www.fatalencounters.org/wp-content/uploads/2013/10/Brandon-Simmons.jpg" TargetMode="External"/><Relationship Id="rId2642" Type="http://schemas.openxmlformats.org/officeDocument/2006/relationships/hyperlink" Target="http://gunmemorial.org/2017/08/04/james-h-lacy" TargetMode="External"/><Relationship Id="rId5798" Type="http://schemas.openxmlformats.org/officeDocument/2006/relationships/hyperlink" Target="https://www.fatalencounters.org/wp-content/uploads/2019/02/Michael-Joe-Jolls.jpg" TargetMode="External"/><Relationship Id="rId6849" Type="http://schemas.openxmlformats.org/officeDocument/2006/relationships/hyperlink" Target="https://fatalencounters.org/wp-content/uploads/2019/10/Joshua-Chase-Conner.jpg" TargetMode="External"/><Relationship Id="rId614" Type="http://schemas.openxmlformats.org/officeDocument/2006/relationships/hyperlink" Target="http://www.killedbypolice.net/victims/150929.jpg" TargetMode="External"/><Relationship Id="rId1244" Type="http://schemas.openxmlformats.org/officeDocument/2006/relationships/hyperlink" Target="http://www.fatalencounters.org/wp-content/uploads/2013/10/EricProvost.png" TargetMode="External"/><Relationship Id="rId5865" Type="http://schemas.openxmlformats.org/officeDocument/2006/relationships/hyperlink" Target="https://www.fatalencounters.org/wp-content/uploads/2019/02/Gary-Martin.jpg" TargetMode="External"/><Relationship Id="rId6916" Type="http://schemas.openxmlformats.org/officeDocument/2006/relationships/hyperlink" Target="https://www.wane.com/news/local-news/one-person-dead-after-police-action-shooting-in-huntington/" TargetMode="External"/><Relationship Id="rId1311" Type="http://schemas.openxmlformats.org/officeDocument/2006/relationships/hyperlink" Target="http://www.ydr.com/story/news/crime/2016/01/11/1-dead-shooting-during-eviction-police-say/78636388/" TargetMode="External"/><Relationship Id="rId4467" Type="http://schemas.openxmlformats.org/officeDocument/2006/relationships/hyperlink" Target="http://www.fatalencounters.org/wp-content/uploads/2018/04/Luis-Alberto-Garcia-Vara.jpg" TargetMode="External"/><Relationship Id="rId4881" Type="http://schemas.openxmlformats.org/officeDocument/2006/relationships/hyperlink" Target="https://www.thedenverchannel.com/news/local-news/one-dead-in-officer-involved-shooting-in-adams-county" TargetMode="External"/><Relationship Id="rId5518" Type="http://schemas.openxmlformats.org/officeDocument/2006/relationships/hyperlink" Target="https://www.visaliatimesdelta.com/story/news/2018/12/09/officer-shot-tulare-suspect-dead-gun-battle-two-fleeing-police/2261648002/" TargetMode="External"/><Relationship Id="rId3069" Type="http://schemas.openxmlformats.org/officeDocument/2006/relationships/hyperlink" Target="http://www.fatalencounters.org/wp-content/uploads/2013/10/Genevive-Dawes.png" TargetMode="External"/><Relationship Id="rId3483" Type="http://schemas.openxmlformats.org/officeDocument/2006/relationships/hyperlink" Target="http://www.fatalencounters.org/wp-content/uploads/2013/10/Nicholas-A.-Provenza.png" TargetMode="External"/><Relationship Id="rId4534" Type="http://schemas.openxmlformats.org/officeDocument/2006/relationships/hyperlink" Target="http://www.9news.com/article/news/crime/police-shoot-kill-suspect-in-westminster-carjacking/73-537950613" TargetMode="External"/><Relationship Id="rId5932" Type="http://schemas.openxmlformats.org/officeDocument/2006/relationships/hyperlink" Target="https://www.desmoinesregister.com/story/news/crime-and-courts/2019/03/04/des-moines-police-officer-involved-shooting-one-person-dead-two-people-in-custody-vehicle-theft/3053131002/" TargetMode="External"/><Relationship Id="rId2085" Type="http://schemas.openxmlformats.org/officeDocument/2006/relationships/hyperlink" Target="http://www.fatalencounters.org/wp-content/uploads/2013/10/Mistie.jpg" TargetMode="External"/><Relationship Id="rId3136" Type="http://schemas.openxmlformats.org/officeDocument/2006/relationships/hyperlink" Target="http://www.sun-sentinel.com/local/broward/fort-lauderdale/fl-sb-fort-lauderdale-death-investigation-20170805-story.html" TargetMode="External"/><Relationship Id="rId471" Type="http://schemas.openxmlformats.org/officeDocument/2006/relationships/hyperlink" Target="http://www.charlotteobserver.com/2014/04/09/4830144_experts-weigh-in-on-york-county.html" TargetMode="External"/><Relationship Id="rId2152" Type="http://schemas.openxmlformats.org/officeDocument/2006/relationships/hyperlink" Target="http://wvmetronews.com/2016/08/29/armed-suspected-killed-by-mon-county-deputies/" TargetMode="External"/><Relationship Id="rId3550" Type="http://schemas.openxmlformats.org/officeDocument/2006/relationships/hyperlink" Target="http://www.fatalencounters.org/wp-content/uploads/2013/10/Austin-Macon.jpg" TargetMode="External"/><Relationship Id="rId4601" Type="http://schemas.openxmlformats.org/officeDocument/2006/relationships/hyperlink" Target="http://www.fatalencounters.org/wp-content/uploads/2018/05/ManuelPalacio.jpg" TargetMode="External"/><Relationship Id="rId124" Type="http://schemas.openxmlformats.org/officeDocument/2006/relationships/hyperlink" Target="http://media.cmgdigital.com/shared/img/photos/2015/06/15/08/8a/Zane_Terryn.jpg" TargetMode="External"/><Relationship Id="rId3203" Type="http://schemas.openxmlformats.org/officeDocument/2006/relationships/hyperlink" Target="https://www.google.com/url?q=http://ak-cache.legacy.net/legacy/images/Cobrands/SantaFeNewMexican/Photos/0000197061-01-1_20170505.jpg&amp;sa=D&amp;ust=1508882833350000&amp;usg=AFQjCNH8gGslEOSVeNK8pZ53lBGF1VCihw" TargetMode="External"/><Relationship Id="rId6359" Type="http://schemas.openxmlformats.org/officeDocument/2006/relationships/hyperlink" Target="https://heavy.com/news/2019/06/brandon-webber/" TargetMode="External"/><Relationship Id="rId6773" Type="http://schemas.openxmlformats.org/officeDocument/2006/relationships/hyperlink" Target="https://nypost.com/2019/09/17/female-nypd-officer-shot-on-staten-island/" TargetMode="External"/><Relationship Id="rId2969" Type="http://schemas.openxmlformats.org/officeDocument/2006/relationships/hyperlink" Target="http://www.fatalencounters.org/wp-content/uploads/2013/10/Francisco-Suarez-Madonado.png" TargetMode="External"/><Relationship Id="rId5375" Type="http://schemas.openxmlformats.org/officeDocument/2006/relationships/hyperlink" Target="https://ktla.com/2018/11/07/domestic-dispute-call-leads-to-fatal-officer-involved-shooting-in-corona/" TargetMode="External"/><Relationship Id="rId6426" Type="http://schemas.openxmlformats.org/officeDocument/2006/relationships/hyperlink" Target="https://www.pahomepage.com/top-stories/man-dies-in-shootout-with-police/" TargetMode="External"/><Relationship Id="rId6840" Type="http://schemas.openxmlformats.org/officeDocument/2006/relationships/hyperlink" Target="https://fatalencounters.org/wp-content/uploads/2019/10/Christopher-George-Massey.jpg" TargetMode="External"/><Relationship Id="rId1985" Type="http://schemas.openxmlformats.org/officeDocument/2006/relationships/hyperlink" Target="http://santamariatimes.com/news/local/man-armed-with-a-knife-shot-by-santa-maria-police/article_09193b8a-bcea-5c4b-b65e-3a09327ce7b9.html" TargetMode="External"/><Relationship Id="rId4391" Type="http://schemas.openxmlformats.org/officeDocument/2006/relationships/hyperlink" Target="http://www.fatalencounters.org/wp-content/uploads/2018/03/Jermaine-Massey.jpg" TargetMode="External"/><Relationship Id="rId5028" Type="http://schemas.openxmlformats.org/officeDocument/2006/relationships/hyperlink" Target="https://abc7.com/lapd-suspect-dead-fbi-agent-hospitalized-after-police-shooting/3901684/" TargetMode="External"/><Relationship Id="rId5442" Type="http://schemas.openxmlformats.org/officeDocument/2006/relationships/hyperlink" Target="https://www.fatalencounters.org/wp-content/uploads/2018/11/EJBradford.jpeg" TargetMode="External"/><Relationship Id="rId1638" Type="http://schemas.openxmlformats.org/officeDocument/2006/relationships/hyperlink" Target="http://www.columbian.com/news/2016/mar/13/woman-with-knife-reportedly-hurt-in-police-confrontation/?utm_source=feedburner&amp;utm_medium=feed&amp;utm_campaign=Feed%3A+the-columbian-local-headlines+%28The+Columbian%3A+Local+Headlines%29" TargetMode="External"/><Relationship Id="rId4044" Type="http://schemas.openxmlformats.org/officeDocument/2006/relationships/hyperlink" Target="http://www.timesrecordnews.com/story/news/local/2017/12/31/iowa-park-man-killed-officer-involved-shooting/993679001/" TargetMode="External"/><Relationship Id="rId3060" Type="http://schemas.openxmlformats.org/officeDocument/2006/relationships/hyperlink" Target="http://www.fatalencounters.org/wp-content/uploads/2013/10/Josue-Gallardo.png" TargetMode="External"/><Relationship Id="rId4111" Type="http://schemas.openxmlformats.org/officeDocument/2006/relationships/hyperlink" Target="http://www.fatalencounters.org/wp-content/uploads/2018/01/Robert-Martinez-Jr.jpg" TargetMode="External"/><Relationship Id="rId1705" Type="http://schemas.openxmlformats.org/officeDocument/2006/relationships/hyperlink" Target="http://wac.450f.edgecastcdn.net/80450F/nj1015.com/files/2016/05/Gaffney1.jpg" TargetMode="External"/><Relationship Id="rId6283" Type="http://schemas.openxmlformats.org/officeDocument/2006/relationships/hyperlink" Target="https://fatalencounters.org/wp-content/uploads/2019/06/Curtis-Stagger.jpg" TargetMode="External"/><Relationship Id="rId3877" Type="http://schemas.openxmlformats.org/officeDocument/2006/relationships/hyperlink" Target="http://qctimes.com/news/local/crime-and-courts/suspect-died-in-officer-involved-shooting-early-sunday/article_8ecdaab8-0160-505f-b517-114f05c968e8.html" TargetMode="External"/><Relationship Id="rId4928" Type="http://schemas.openxmlformats.org/officeDocument/2006/relationships/hyperlink" Target="https://www.clickorlando.com/news/florida/sumter-county/officers-involved-in-shooting-following-lady-lake-dispute" TargetMode="External"/><Relationship Id="rId798" Type="http://schemas.openxmlformats.org/officeDocument/2006/relationships/hyperlink" Target="http://www.mysanantonio.com/news/local/article/Kerrville-police-shoot-kill-man-who-fired-rifle-6448471.php" TargetMode="External"/><Relationship Id="rId2479" Type="http://schemas.openxmlformats.org/officeDocument/2006/relationships/hyperlink" Target="http://www.newsnet5.com/news/local-news/oh-summit/fatal-officer-involved-shooting-following-crash-in-hudson" TargetMode="External"/><Relationship Id="rId2893" Type="http://schemas.openxmlformats.org/officeDocument/2006/relationships/hyperlink" Target="http://komonews.com/news/local/man-shot-dead-by-tacoma-police-after-he-opens-fire-at-officers" TargetMode="External"/><Relationship Id="rId3944" Type="http://schemas.openxmlformats.org/officeDocument/2006/relationships/hyperlink" Target="http://www.9news.com/news/crime/deputy-fatally-shoots-suspect-after-foot-chase-fight/497580039" TargetMode="External"/><Relationship Id="rId6350" Type="http://schemas.openxmlformats.org/officeDocument/2006/relationships/hyperlink" Target="https://www.sandiegouniontribune.com/news/public-safety/story/2019-06-13/sdpd-says-indiana-man-40-was-home-intruder-who-died-in-custody" TargetMode="External"/><Relationship Id="rId865" Type="http://schemas.openxmlformats.org/officeDocument/2006/relationships/hyperlink" Target="http://www.nh1.com/news/nh-ag-merrimack-man-shot-by-police-has-died-of-gunshot-wounds/" TargetMode="External"/><Relationship Id="rId1495" Type="http://schemas.openxmlformats.org/officeDocument/2006/relationships/hyperlink" Target="http://www.times-standard.com/general-news/20160220/suspect-killed-in-police-shootout-on-washington-freeway" TargetMode="External"/><Relationship Id="rId2546" Type="http://schemas.openxmlformats.org/officeDocument/2006/relationships/hyperlink" Target="http://www.tampabay.com/projects/2017/investigations/florida-police-shootings/database/968/" TargetMode="External"/><Relationship Id="rId2960" Type="http://schemas.openxmlformats.org/officeDocument/2006/relationships/hyperlink" Target="http://www.fatalencounters.org/wp-content/uploads/2013/10/MiguelGarci.jpg" TargetMode="External"/><Relationship Id="rId6003" Type="http://schemas.openxmlformats.org/officeDocument/2006/relationships/hyperlink" Target="https://www.knoe.com/content/news/Family-friends-heartbroken-after-a-man-is-shot-and-killed-by-police--507393921.html" TargetMode="External"/><Relationship Id="rId518" Type="http://schemas.openxmlformats.org/officeDocument/2006/relationships/hyperlink" Target="http://www.kens5.com/story/local/2014/09/26/10621720/" TargetMode="External"/><Relationship Id="rId932" Type="http://schemas.openxmlformats.org/officeDocument/2006/relationships/hyperlink" Target="http://www.courier-journal.com/story/news/crime/2015/10/20/jeffersontown-police-shoot-robbery-suspect/74283040/" TargetMode="External"/><Relationship Id="rId1148" Type="http://schemas.openxmlformats.org/officeDocument/2006/relationships/hyperlink" Target="https://blackopswiki.s3.amazonaws.com/uploads/article/avatar/367/large_avatar_frederick_roy.jpg" TargetMode="External"/><Relationship Id="rId1562" Type="http://schemas.openxmlformats.org/officeDocument/2006/relationships/hyperlink" Target="http://www.abc10.com/news/local/modesto/armed-man-killed-after-car-chase-shooting-with-modesto-police/127870372" TargetMode="External"/><Relationship Id="rId2613" Type="http://schemas.openxmlformats.org/officeDocument/2006/relationships/hyperlink" Target="http://www.jsonline.com/story/news/2017/09/04/milwaukee-police-officers-fatally-shoot-suspect-during-confrontation/630550001/" TargetMode="External"/><Relationship Id="rId5769" Type="http://schemas.openxmlformats.org/officeDocument/2006/relationships/hyperlink" Target="https://www.fatalencounters.org/wp-content/uploads/2019/01/Christian-Albarran.jpg" TargetMode="External"/><Relationship Id="rId1215" Type="http://schemas.openxmlformats.org/officeDocument/2006/relationships/hyperlink" Target="http://www.sandiegouniontribune.com/news/2015/oct/20/officer-involved-shooting-downtown-san-diego/" TargetMode="External"/><Relationship Id="rId7191" Type="http://schemas.openxmlformats.org/officeDocument/2006/relationships/hyperlink" Target="http://articles.wdbj7.com/2013-04-11/enforcement_38442248" TargetMode="External"/><Relationship Id="rId3387" Type="http://schemas.openxmlformats.org/officeDocument/2006/relationships/hyperlink" Target="http://www.fatalencounters.org/wp-content/uploads/2013/10/NicholasJohnston.jpg" TargetMode="External"/><Relationship Id="rId4785" Type="http://schemas.openxmlformats.org/officeDocument/2006/relationships/hyperlink" Target="http://ktla.com/2018/06/16/police-shoot-suspect-in-van-nuys-3-people-hospitalized/" TargetMode="External"/><Relationship Id="rId5836" Type="http://schemas.openxmlformats.org/officeDocument/2006/relationships/hyperlink" Target="https://www.wsoctv.com/news/north-carolina/police-man-dead-after-encounter-with-nc-sheriff-s-deputies/917324352" TargetMode="External"/><Relationship Id="rId4438" Type="http://schemas.openxmlformats.org/officeDocument/2006/relationships/hyperlink" Target="http://www.wltx.com/article/news/local/i-26-standoff-suspect-dead-traffic-starting-to-move-again/101-532787946" TargetMode="External"/><Relationship Id="rId4852" Type="http://schemas.openxmlformats.org/officeDocument/2006/relationships/hyperlink" Target="https://fox4kc.com/2018/07/01/police-investigating-officer-involved-shooting-in-grandview/" TargetMode="External"/><Relationship Id="rId5903" Type="http://schemas.openxmlformats.org/officeDocument/2006/relationships/hyperlink" Target="https://www.fatalencounters.org/wp-content/uploads/2019/03/SASHA-ANN-PISHKO.jpg" TargetMode="External"/><Relationship Id="rId3454" Type="http://schemas.openxmlformats.org/officeDocument/2006/relationships/hyperlink" Target="http://www.local8now.com/content/news/KCSO-responding-to-an-incident-at-Woodhaven-subdivision-423945073.html" TargetMode="External"/><Relationship Id="rId4505" Type="http://schemas.openxmlformats.org/officeDocument/2006/relationships/hyperlink" Target="http://www.fatalencounters.org/wp-content/uploads/2018/04/Zachary-Glen-Hoven.jpg" TargetMode="External"/><Relationship Id="rId375" Type="http://schemas.openxmlformats.org/officeDocument/2006/relationships/hyperlink" Target="http://www.tucsonsentinel.com/local/report/102914_bp_shooting/update-man-fatally-shot-by-border-patrol-identified/" TargetMode="External"/><Relationship Id="rId2056" Type="http://schemas.openxmlformats.org/officeDocument/2006/relationships/hyperlink" Target="http://wfla.com/2016/08/05/us-41-closed-for-pasco-sheriffs-office-investigation/" TargetMode="External"/><Relationship Id="rId2470" Type="http://schemas.openxmlformats.org/officeDocument/2006/relationships/hyperlink" Target="http://www.fatalencounters.org/wp-content/uploads/2013/10/Joseph-Edward-Turner-Jr..png" TargetMode="External"/><Relationship Id="rId3107" Type="http://schemas.openxmlformats.org/officeDocument/2006/relationships/hyperlink" Target="http://www.denverpost.com/2017/07/05/man-killed-fourth-of-july-officer-involved-shootout-montezuma-county/" TargetMode="External"/><Relationship Id="rId3521" Type="http://schemas.openxmlformats.org/officeDocument/2006/relationships/hyperlink" Target="http://www.cleveland19.com/story/35108934/officer-involved-shooting-suspect-critical-condition" TargetMode="External"/><Relationship Id="rId6677" Type="http://schemas.openxmlformats.org/officeDocument/2006/relationships/hyperlink" Target="https://www.14news.com/2019/08/29/man-dies-after-spencer-co-arrest/" TargetMode="External"/><Relationship Id="rId442" Type="http://schemas.openxmlformats.org/officeDocument/2006/relationships/hyperlink" Target="http://www.hickoryrecord.com/news/hickory-police-man-killed-in-officer-involved-shooting/article_701d15ba-ea50-11e3-ad29-001a4bcf6878.html" TargetMode="External"/><Relationship Id="rId1072" Type="http://schemas.openxmlformats.org/officeDocument/2006/relationships/hyperlink" Target="http://kfor.com/2015/01/17/update-on-off-duty-officer-shooting-at-garth-brooks-concert-in-tulsa/" TargetMode="External"/><Relationship Id="rId2123" Type="http://schemas.openxmlformats.org/officeDocument/2006/relationships/hyperlink" Target="http://www.rgj.com/story/news/crime/2016/08/19/man-killed-officer-involved-shooting-stead/89017370/" TargetMode="External"/><Relationship Id="rId5279" Type="http://schemas.openxmlformats.org/officeDocument/2006/relationships/hyperlink" Target="http://www.staradvertiser.com/2018/10/12/breaking-news/hawaii-island-police-fatally-shoot-woman-in-stolen-suv-in-puna/" TargetMode="External"/><Relationship Id="rId5693" Type="http://schemas.openxmlformats.org/officeDocument/2006/relationships/hyperlink" Target="https://www.fatalencounters.org/wp-content/uploads/2019/01/Geoffrey-Morris.jpg" TargetMode="External"/><Relationship Id="rId6744" Type="http://schemas.openxmlformats.org/officeDocument/2006/relationships/hyperlink" Target="https://ktla.com/2019/09/12/man-struck-by-gunfire-in-deputy-involved-shooting-in-santa-clarita-l-a-sheriffs-department/" TargetMode="External"/><Relationship Id="rId4295" Type="http://schemas.openxmlformats.org/officeDocument/2006/relationships/hyperlink" Target="http://ksnt.com/2018/02/26/1-dead-after-officer-involved-shooting-in-wamego/" TargetMode="External"/><Relationship Id="rId5346" Type="http://schemas.openxmlformats.org/officeDocument/2006/relationships/hyperlink" Target="https://www.baltimoresun.com/news/maryland/crime/bs-md-officer-fatal-shooting-20181101-story.html" TargetMode="External"/><Relationship Id="rId1889" Type="http://schemas.openxmlformats.org/officeDocument/2006/relationships/hyperlink" Target="http://www.khou.com/news/local/fbcso-one-dead-one-injured-in-officer-involved-shooting-during-family-dispute/255482942" TargetMode="External"/><Relationship Id="rId4362" Type="http://schemas.openxmlformats.org/officeDocument/2006/relationships/hyperlink" Target="http://www.chicagotribune.com/suburbs/elgin-courier-news/news/ct-met-interstate-90-police-shooting-20180312-story.html" TargetMode="External"/><Relationship Id="rId5760" Type="http://schemas.openxmlformats.org/officeDocument/2006/relationships/hyperlink" Target="https://www.fatalencounters.org/wp-content/uploads/2019/01/Marcus-Gishal.jpg" TargetMode="External"/><Relationship Id="rId6811" Type="http://schemas.openxmlformats.org/officeDocument/2006/relationships/hyperlink" Target="https://www.nbcwashington.com/news/local/Prince-Georges-Police-Investigating-Officer-Involved-Shooting-561423731.html" TargetMode="External"/><Relationship Id="rId1956" Type="http://schemas.openxmlformats.org/officeDocument/2006/relationships/hyperlink" Target="http://www.sacbee.com/news/local/crime/article88885402.html" TargetMode="External"/><Relationship Id="rId4015" Type="http://schemas.openxmlformats.org/officeDocument/2006/relationships/hyperlink" Target="http://www.wibc.com/news/local-news/carjacking-suspect-shot-killed-lawrence-police" TargetMode="External"/><Relationship Id="rId5413" Type="http://schemas.openxmlformats.org/officeDocument/2006/relationships/hyperlink" Target="https://www.eastbaytimes.com/2018/11/16/officer-involved-shooting-by-hayward-police-injures-man/" TargetMode="External"/><Relationship Id="rId1609" Type="http://schemas.openxmlformats.org/officeDocument/2006/relationships/hyperlink" Target="http://www.baynews9.com/content/news/baynews9/news/article.html/content/news/articles/bn9/2016/3/27/new_information_in_o.html" TargetMode="External"/><Relationship Id="rId3031" Type="http://schemas.openxmlformats.org/officeDocument/2006/relationships/hyperlink" Target="http://www.abc15.com/news/region-central-southern-az/tucson/sheriff-deputies-shoot-kill-armed-robber-in-tucson" TargetMode="External"/><Relationship Id="rId6187" Type="http://schemas.openxmlformats.org/officeDocument/2006/relationships/hyperlink" Target="https://fatalencounters.org/wp-content/uploads/2019/05/Jorge-Albert-Merino.jpg" TargetMode="External"/><Relationship Id="rId7238" Type="http://schemas.openxmlformats.org/officeDocument/2006/relationships/hyperlink" Target="http://www.foxcarolina.com/story/23689681/shooting-reported-in-anderson-county" TargetMode="External"/><Relationship Id="rId2797" Type="http://schemas.openxmlformats.org/officeDocument/2006/relationships/hyperlink" Target="http://www.ktre.com/story/34633212/lufkin-pd-officer-shoots-kills-armed-suspect-to-save-assault-victim" TargetMode="External"/><Relationship Id="rId3848" Type="http://schemas.openxmlformats.org/officeDocument/2006/relationships/hyperlink" Target="http://sanfrancisco.cbslocal.com/2017/11/14/rancho-tehama-northern-california-fatal-shooting/" TargetMode="External"/><Relationship Id="rId6254" Type="http://schemas.openxmlformats.org/officeDocument/2006/relationships/hyperlink" Target="https://abc7.com/man-with-hammer-dies-after-deputy-involved-shooting-in-lynwood/5311748/" TargetMode="External"/><Relationship Id="rId769" Type="http://schemas.openxmlformats.org/officeDocument/2006/relationships/hyperlink" Target="http://bloximages.chicago2.vip.townnews.com/grandrapidsmn.com/content/tncms/assets/v3/editorial/8/3b/83b1ca04-4ffc-11e5-ad77-6f83536a09fe/55e47f70cd36f.image.jpg?resize=300%2C213" TargetMode="External"/><Relationship Id="rId1399" Type="http://schemas.openxmlformats.org/officeDocument/2006/relationships/hyperlink" Target="http://www.news-leader.com/story/news/crime/2016/02/16/car-crashes-into-republic-home-neighbors-hear-gunshots/80455040/" TargetMode="External"/><Relationship Id="rId5270" Type="http://schemas.openxmlformats.org/officeDocument/2006/relationships/hyperlink" Target="https://www.fatalencounters.org/wp-content/uploads/2018/10/Samuel_E_Rice.jpg" TargetMode="External"/><Relationship Id="rId6321" Type="http://schemas.openxmlformats.org/officeDocument/2006/relationships/hyperlink" Target="https://ktla.com/2019/06/07/man-shot-by-deputies-in-inglewood/" TargetMode="External"/><Relationship Id="rId1466" Type="http://schemas.openxmlformats.org/officeDocument/2006/relationships/hyperlink" Target="http://www.fatalencounters.org/wp-content/uploads/2013/10/Kalonji.png" TargetMode="External"/><Relationship Id="rId2864" Type="http://schemas.openxmlformats.org/officeDocument/2006/relationships/hyperlink" Target="http://www.fatalencounters.org/wp-content/uploads/2013/10/Joshua-D.-Jones.jpg" TargetMode="External"/><Relationship Id="rId3915" Type="http://schemas.openxmlformats.org/officeDocument/2006/relationships/hyperlink" Target="http://wlos.com/news/local/few-details-released-after-officer-involved-shooting-in-hendersonville" TargetMode="External"/><Relationship Id="rId836" Type="http://schemas.openxmlformats.org/officeDocument/2006/relationships/hyperlink" Target="http://www.latimes.com/local/crime/la-me-san-jose-police-20150822-story.html" TargetMode="External"/><Relationship Id="rId1119" Type="http://schemas.openxmlformats.org/officeDocument/2006/relationships/hyperlink" Target="http://www.startribune.com/police-officer-shoots-north-minneapolis-assault-suspect-during-physical-struggle/349730171/" TargetMode="External"/><Relationship Id="rId1880" Type="http://schemas.openxmlformats.org/officeDocument/2006/relationships/hyperlink" Target="http://abc3340.com/news/local/two-county-chase-leads-deputies-to-stolen-vehicle-and-stolen-weapon" TargetMode="External"/><Relationship Id="rId2517" Type="http://schemas.openxmlformats.org/officeDocument/2006/relationships/hyperlink" Target="http://www.nbcphiladelphia.com/news/local/US-Marshal-Gunfire-Frontenac-406031025.html" TargetMode="External"/><Relationship Id="rId2931" Type="http://schemas.openxmlformats.org/officeDocument/2006/relationships/hyperlink" Target="http://www.fatalencounters.org/wp-content/uploads/2013/10/Jesus-Cervantes.jpg" TargetMode="External"/><Relationship Id="rId7095" Type="http://schemas.openxmlformats.org/officeDocument/2006/relationships/hyperlink" Target="http://www.theadvocate.com/baton_rouge/news/crime_police/article_b66babf4-7386-11e7-ac75-fb824416e1e4.html" TargetMode="External"/><Relationship Id="rId903" Type="http://schemas.openxmlformats.org/officeDocument/2006/relationships/hyperlink" Target="http://amarillo.com/news/latest-news/2015-10-03/randall-county-sheriffs-office-ids-man-killed-officer-involved-shooting" TargetMode="External"/><Relationship Id="rId1533" Type="http://schemas.openxmlformats.org/officeDocument/2006/relationships/hyperlink" Target="http://www.nbc12.com/story/31818572/police-virginia-man-killed-after-he-fired-at-officers" TargetMode="External"/><Relationship Id="rId4689" Type="http://schemas.openxmlformats.org/officeDocument/2006/relationships/hyperlink" Target="http://www.wbay.com/content/news/Man-shot-by-police-officer-on-Trestle-Trail-identified-483739591.html" TargetMode="External"/><Relationship Id="rId1600" Type="http://schemas.openxmlformats.org/officeDocument/2006/relationships/hyperlink" Target="http://www.fatalencounters.org/wp-content/uploads/2013/10/Thurman.png" TargetMode="External"/><Relationship Id="rId4756" Type="http://schemas.openxmlformats.org/officeDocument/2006/relationships/hyperlink" Target="https://azdailysun.com/news/state-and-regional/phoenix-police-id-trespassing-suspect-who-was-fatally-shot/article_7f1598d0-a9e8-5978-b4e9-29f751b02b03.html" TargetMode="External"/><Relationship Id="rId5807" Type="http://schemas.openxmlformats.org/officeDocument/2006/relationships/hyperlink" Target="https://www.fatalencounters.org/wp-content/uploads/2019/02/Dylan-Joseph-Mark-Cross.jpg" TargetMode="External"/><Relationship Id="rId7162" Type="http://schemas.openxmlformats.org/officeDocument/2006/relationships/hyperlink" Target="http://www.demingheadlight.com/ci_22879083/artesia-man-fatally-shot-calrsbad-shootout" TargetMode="External"/><Relationship Id="rId3358" Type="http://schemas.openxmlformats.org/officeDocument/2006/relationships/hyperlink" Target="http://www.fatalencounters.org/wp-content/uploads/2013/10/James-Gerald-Davis.png" TargetMode="External"/><Relationship Id="rId3772" Type="http://schemas.openxmlformats.org/officeDocument/2006/relationships/hyperlink" Target="http://komonews.com/news/local/one-man-killed-in-officer-involved-shooting-in-federal-way" TargetMode="External"/><Relationship Id="rId4409" Type="http://schemas.openxmlformats.org/officeDocument/2006/relationships/hyperlink" Target="http://www.khou.com/article/news/crime/sister-of-suspect-shot-by-deputy-he-hadnt-been-the-same-since-his-children-were-murdered/285-531003715" TargetMode="External"/><Relationship Id="rId4823" Type="http://schemas.openxmlformats.org/officeDocument/2006/relationships/hyperlink" Target="http://abc13.com/police-investigating-officer-involved-shooting-in-galveston/3649770/" TargetMode="External"/><Relationship Id="rId279" Type="http://schemas.openxmlformats.org/officeDocument/2006/relationships/hyperlink" Target="http://kfor.com/2015/04/08/officer-involved-shooting-in-shawnee-leaves-one-dead/" TargetMode="External"/><Relationship Id="rId693" Type="http://schemas.openxmlformats.org/officeDocument/2006/relationships/hyperlink" Target="http://www.wral.com/one-dead-in-officer-involved-shooting-in-harnett-county/15110806/" TargetMode="External"/><Relationship Id="rId2374" Type="http://schemas.openxmlformats.org/officeDocument/2006/relationships/hyperlink" Target="http://www.azcentral.com/story/news/local/arizona-breaking/2016/11/08/show-low-police-seek-man-linked-officers-shooting/93495824/" TargetMode="External"/><Relationship Id="rId3425" Type="http://schemas.openxmlformats.org/officeDocument/2006/relationships/hyperlink" Target="http://wgme.com/news/local/orrington-standoff-ends-with-1-man-dead" TargetMode="External"/><Relationship Id="rId346" Type="http://schemas.openxmlformats.org/officeDocument/2006/relationships/hyperlink" Target="http://www.lansingstatejournal.com/story/news/local/2014/12/08/shooting-lansing-township/20101031/" TargetMode="External"/><Relationship Id="rId760" Type="http://schemas.openxmlformats.org/officeDocument/2006/relationships/hyperlink" Target="http://images1.westword.com/imager/u/745xauto/7095329/william.rippley.facebook.4.jpg" TargetMode="External"/><Relationship Id="rId1390" Type="http://schemas.openxmlformats.org/officeDocument/2006/relationships/hyperlink" Target="http://www.santacruzsentinel.com/general-news/20160212/man-allegedly-wielding-ax-shot-in-north-los-angeles-county" TargetMode="External"/><Relationship Id="rId2027" Type="http://schemas.openxmlformats.org/officeDocument/2006/relationships/hyperlink" Target="http://www.fatalencounters.org/wp-content/uploads/2013/10/Casey.jpg" TargetMode="External"/><Relationship Id="rId2441" Type="http://schemas.openxmlformats.org/officeDocument/2006/relationships/hyperlink" Target="http://www.wcsh6.com/news/local/windham/deputies-shoot-and-kill-man-in-naples-after-exchange-of-gunfire/356211728" TargetMode="External"/><Relationship Id="rId5597" Type="http://schemas.openxmlformats.org/officeDocument/2006/relationships/hyperlink" Target="https://www.theledger.com/news/20181226/lakeland-police-release-video-of-shooting-that-killed-haven-teen" TargetMode="External"/><Relationship Id="rId6995" Type="http://schemas.openxmlformats.org/officeDocument/2006/relationships/hyperlink" Target="https://fatalencounters.org/wp-content/uploads/2019/12/Cortez-Bufford.jpg" TargetMode="External"/><Relationship Id="rId413" Type="http://schemas.openxmlformats.org/officeDocument/2006/relationships/hyperlink" Target="http://bangordailynews.com/2014/08/04/news/penobscot/lagrange-man-49-killed-by-state-trooper-after-3-hour-standoff/" TargetMode="External"/><Relationship Id="rId1043" Type="http://schemas.openxmlformats.org/officeDocument/2006/relationships/hyperlink" Target="http://www.nydailynews.com/new-york/cops-shoot-man-east-village-altercation-police-article-1.2198797" TargetMode="External"/><Relationship Id="rId4199" Type="http://schemas.openxmlformats.org/officeDocument/2006/relationships/hyperlink" Target="https://www.courier-journal.com/story/news/crime/2018/02/01/metrosafe-reports-officer-has-been-shot-buechel-neighborhood/1087454001/" TargetMode="External"/><Relationship Id="rId6648" Type="http://schemas.openxmlformats.org/officeDocument/2006/relationships/hyperlink" Target="https://dfw.cbslocal.com/2019/08/18/troopers-fatally-shoot-driver-who-pulled-out-gun-after-fleeing-traffic-stop-in-dallas/" TargetMode="External"/><Relationship Id="rId5664" Type="http://schemas.openxmlformats.org/officeDocument/2006/relationships/hyperlink" Target="https://www.ksat.com/news/breaking-news-sapd-involved-in-second-officer-involved-shooting-in-two-days" TargetMode="External"/><Relationship Id="rId6715" Type="http://schemas.openxmlformats.org/officeDocument/2006/relationships/hyperlink" Target="https://fatalencounters.org/wp-content/uploads/2019/09/Attilio.jpg" TargetMode="External"/><Relationship Id="rId1110" Type="http://schemas.openxmlformats.org/officeDocument/2006/relationships/hyperlink" Target="http://www.wsvn.com/story/30546376/police-involved-shooting-in-opa-locka-1-dead" TargetMode="External"/><Relationship Id="rId4266" Type="http://schemas.openxmlformats.org/officeDocument/2006/relationships/hyperlink" Target="https://www.abcactionnews.com/news/region-citrus-hernando/deputies-shoot-and-kill-man-that-made-threatens-to-shoot-person-in-game-store" TargetMode="External"/><Relationship Id="rId4680" Type="http://schemas.openxmlformats.org/officeDocument/2006/relationships/hyperlink" Target="http://www.kesq.com/news/2-dead-following-joshua-tree-shooting/745038009" TargetMode="External"/><Relationship Id="rId5317" Type="http://schemas.openxmlformats.org/officeDocument/2006/relationships/hyperlink" Target="https://www.fatalencounters.org/wp-content/uploads/2018/10/Tafahree-Maynard.jpg" TargetMode="External"/><Relationship Id="rId5731" Type="http://schemas.openxmlformats.org/officeDocument/2006/relationships/hyperlink" Target="https://www.fatalencounters.org/wp-content/uploads/2019/01/Quency-Floyd.jpg" TargetMode="External"/><Relationship Id="rId1927" Type="http://schemas.openxmlformats.org/officeDocument/2006/relationships/hyperlink" Target="http://www.nbcwashington.com/news/local/Metro-Transit-Officer-Shoots-Man-Near-Deanwood-Metro-Station-385521951.html" TargetMode="External"/><Relationship Id="rId3282" Type="http://schemas.openxmlformats.org/officeDocument/2006/relationships/hyperlink" Target="http://www.kshb.com/news/local-news/one-person-shot-in-olathe-after-police-standoff" TargetMode="External"/><Relationship Id="rId4333" Type="http://schemas.openxmlformats.org/officeDocument/2006/relationships/hyperlink" Target="https://www.chieftain.com/news/pueblo/dead-in-officer-involved-shooting-on-pueblo-s-east-side/article_a7da9152-bce5-585a-8c3f-8acb6d76064a.html" TargetMode="External"/><Relationship Id="rId4400" Type="http://schemas.openxmlformats.org/officeDocument/2006/relationships/hyperlink" Target="http://abc11.com/person-dies-after-officer-involved-shooting-in-timberlake/3242185/" TargetMode="External"/><Relationship Id="rId270" Type="http://schemas.openxmlformats.org/officeDocument/2006/relationships/hyperlink" Target="http://www.northescambia.com/2015/04/santa-rosa-deputy-attacked-by-man-with-sword-suspect-shot-and-killed" TargetMode="External"/><Relationship Id="rId3002" Type="http://schemas.openxmlformats.org/officeDocument/2006/relationships/hyperlink" Target="http://bakersfieldnow.com/news/local/police-involved-in-south-bakersfield-shooting" TargetMode="External"/><Relationship Id="rId6158" Type="http://schemas.openxmlformats.org/officeDocument/2006/relationships/hyperlink" Target="https://www.fresnobee.com/news/local/crime/article229714229.html" TargetMode="External"/><Relationship Id="rId6572" Type="http://schemas.openxmlformats.org/officeDocument/2006/relationships/hyperlink" Target="https://fatalencounters.org/wp-content/uploads/2019/08/deshon_downing.jpg" TargetMode="External"/><Relationship Id="rId7209" Type="http://schemas.openxmlformats.org/officeDocument/2006/relationships/hyperlink" Target="http://www.adn.com/article/20130524/trooper-shoots-kills-sutton-man-standoff-over-restraining-order" TargetMode="External"/><Relationship Id="rId5174" Type="http://schemas.openxmlformats.org/officeDocument/2006/relationships/hyperlink" Target="https://www.delmarvanow.com/story/news/local/maryland/2018/09/17/man-died-after-attempting-kidnap-child/1333099002/" TargetMode="External"/><Relationship Id="rId6225" Type="http://schemas.openxmlformats.org/officeDocument/2006/relationships/hyperlink" Target="https://www.fox5vegas.com/news/police-identify-suspect-officer-involved-in-deadly-shooting-in-central/article_5e33a34e-7832-11e9-b0a3-b79a00ec5209.html" TargetMode="External"/><Relationship Id="rId2768" Type="http://schemas.openxmlformats.org/officeDocument/2006/relationships/hyperlink" Target="http://www.thv11.com/news/local/nlr-police-chase-ends-in-officer-involved-shooting-suspect-dead/424989517" TargetMode="External"/><Relationship Id="rId3819" Type="http://schemas.openxmlformats.org/officeDocument/2006/relationships/hyperlink" Target="http://www.fatalencounters.org/wp-content/uploads/2013/10/paul-jones-iii-25.png" TargetMode="External"/><Relationship Id="rId1784" Type="http://schemas.openxmlformats.org/officeDocument/2006/relationships/hyperlink" Target="http://www.kentucky.com/news/local/crime/article81140062.html" TargetMode="External"/><Relationship Id="rId2835" Type="http://schemas.openxmlformats.org/officeDocument/2006/relationships/hyperlink" Target="http://www.fatalencounters.org/wp-content/uploads/2013/10/ChadRobertson.png" TargetMode="External"/><Relationship Id="rId4190" Type="http://schemas.openxmlformats.org/officeDocument/2006/relationships/hyperlink" Target="https://www.twincities.com/2018/01/31/police-fatally-shoot-man-after-southwestern-minnesota-pursuit-confrontation/" TargetMode="External"/><Relationship Id="rId5241" Type="http://schemas.openxmlformats.org/officeDocument/2006/relationships/hyperlink" Target="https://www.fatalencounters.org/wp-content/uploads/2018/10/Brian-Baker.jpg" TargetMode="External"/><Relationship Id="rId76" Type="http://schemas.openxmlformats.org/officeDocument/2006/relationships/hyperlink" Target="https://localtvkstu.files.wordpress.com/2015/07/gormley.jpg" TargetMode="External"/><Relationship Id="rId807" Type="http://schemas.openxmlformats.org/officeDocument/2006/relationships/hyperlink" Target="http://www.tennessean.com/story/news/2015/08/06/police-describe-scene-inside-antioch-theater/31202637/" TargetMode="External"/><Relationship Id="rId1437" Type="http://schemas.openxmlformats.org/officeDocument/2006/relationships/hyperlink" Target="http://www.buffalonews.com/city-region/man-killed-by-police-officer-in-cheektowaga-was-troubled-20160307" TargetMode="External"/><Relationship Id="rId1851" Type="http://schemas.openxmlformats.org/officeDocument/2006/relationships/hyperlink" Target="http://www.nwfdailynews.com/news/20160619/update-man-dies-in-fwbpd-officer-involved-shooting-early-sunday-morning" TargetMode="External"/><Relationship Id="rId2902" Type="http://schemas.openxmlformats.org/officeDocument/2006/relationships/hyperlink" Target="http://www.rrobserver.com/news/article_66b640a6-8790-11e7-b07a-67ed9fc091ed.html" TargetMode="External"/><Relationship Id="rId1504" Type="http://schemas.openxmlformats.org/officeDocument/2006/relationships/hyperlink" Target="http://www.kvue.com/story/news/local/2016/02/08/police-responding-officer-involved-shooting-northeast-austin/80006352/" TargetMode="External"/><Relationship Id="rId7066" Type="http://schemas.openxmlformats.org/officeDocument/2006/relationships/hyperlink" Target="https://baltimore.cbslocal.com/2019/12/27/police-officer-fbi-involved-shooting-in-linthicum-heights-latest/" TargetMode="External"/><Relationship Id="rId3676" Type="http://schemas.openxmlformats.org/officeDocument/2006/relationships/hyperlink" Target="http://www.fatalencounters.org/wp-content/uploads/2013/10/Daniel.jpg" TargetMode="External"/><Relationship Id="rId6082" Type="http://schemas.openxmlformats.org/officeDocument/2006/relationships/hyperlink" Target="https://www.fatalencounters.org/wp-content/uploads/2019/04/Charles-Bradley-Payne.jpg" TargetMode="External"/><Relationship Id="rId7133" Type="http://schemas.openxmlformats.org/officeDocument/2006/relationships/hyperlink" Target="http://media.pennlive.com/midstate_impact/photo/12446083-thumb_square_large.jpg" TargetMode="External"/><Relationship Id="rId597" Type="http://schemas.openxmlformats.org/officeDocument/2006/relationships/hyperlink" Target="http://www.killedbypolice.net/victims/150958.jpg" TargetMode="External"/><Relationship Id="rId2278" Type="http://schemas.openxmlformats.org/officeDocument/2006/relationships/hyperlink" Target="http://katv.com/news/local/officer-involved-shooting-results-in-death-of-17-year-old-in-benton" TargetMode="External"/><Relationship Id="rId3329" Type="http://schemas.openxmlformats.org/officeDocument/2006/relationships/hyperlink" Target="http://www.fatalencounters.org/wp-content/uploads/2013/10/Teel.jpg" TargetMode="External"/><Relationship Id="rId4727" Type="http://schemas.openxmlformats.org/officeDocument/2006/relationships/hyperlink" Target="http://www.newson6.com/story/38335606/osbi-officers-shoot-and-kill-suspect-involved-in-chickasha-double-homicide" TargetMode="External"/><Relationship Id="rId7200" Type="http://schemas.openxmlformats.org/officeDocument/2006/relationships/hyperlink" Target="http://www.wtoc.com/story/22131960/clinch-county-man-shot-by-sheriffs-deputy" TargetMode="External"/><Relationship Id="rId1294" Type="http://schemas.openxmlformats.org/officeDocument/2006/relationships/hyperlink" Target="http://helenair.com/news/crime-and-courts/man-dead-after-officer-involved-shooting-in-livingston/article_68963d1e-a02d-5b6b-808c-d0bcf0d840a8.html" TargetMode="External"/><Relationship Id="rId2692" Type="http://schemas.openxmlformats.org/officeDocument/2006/relationships/hyperlink" Target="http://www.fatalencounters.org/wp-content/uploads/2013/10/Joshua-Anthony-Barre.png" TargetMode="External"/><Relationship Id="rId3743" Type="http://schemas.openxmlformats.org/officeDocument/2006/relationships/hyperlink" Target="http://www.wdrb.com/story/36664711/ksp-investigating-shelbyville-officer-who-shot-and-killed-woman" TargetMode="External"/><Relationship Id="rId6899" Type="http://schemas.openxmlformats.org/officeDocument/2006/relationships/hyperlink" Target="https://fatalencounters.org/wp-content/uploads/2019/10/Terry-Countryman.jp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en.wikipedia.org/wiki/New_York" TargetMode="External"/><Relationship Id="rId18" Type="http://schemas.openxmlformats.org/officeDocument/2006/relationships/hyperlink" Target="http://en.wikipedia.org/wiki/Texas" TargetMode="External"/><Relationship Id="rId26" Type="http://schemas.openxmlformats.org/officeDocument/2006/relationships/hyperlink" Target="http://en.wikipedia.org/wiki/California" TargetMode="External"/><Relationship Id="rId39" Type="http://schemas.openxmlformats.org/officeDocument/2006/relationships/hyperlink" Target="http://en.wikipedia.org/wiki/Iowa" TargetMode="External"/><Relationship Id="rId21" Type="http://schemas.openxmlformats.org/officeDocument/2006/relationships/hyperlink" Target="http://en.wikipedia.org/wiki/Connecticut" TargetMode="External"/><Relationship Id="rId34" Type="http://schemas.openxmlformats.org/officeDocument/2006/relationships/hyperlink" Target="http://en.wikipedia.org/wiki/Arizona" TargetMode="External"/><Relationship Id="rId42" Type="http://schemas.openxmlformats.org/officeDocument/2006/relationships/hyperlink" Target="http://en.wikipedia.org/wiki/Utah" TargetMode="External"/><Relationship Id="rId47" Type="http://schemas.openxmlformats.org/officeDocument/2006/relationships/hyperlink" Target="http://en.wikipedia.org/wiki/Idaho" TargetMode="External"/><Relationship Id="rId7" Type="http://schemas.openxmlformats.org/officeDocument/2006/relationships/hyperlink" Target="http://en.wikipedia.org/wiki/North_Carolina" TargetMode="External"/><Relationship Id="rId2" Type="http://schemas.openxmlformats.org/officeDocument/2006/relationships/hyperlink" Target="http://en.wikipedia.org/wiki/Louisiana" TargetMode="External"/><Relationship Id="rId16" Type="http://schemas.openxmlformats.org/officeDocument/2006/relationships/hyperlink" Target="http://en.wikipedia.org/wiki/Michigan" TargetMode="External"/><Relationship Id="rId29" Type="http://schemas.openxmlformats.org/officeDocument/2006/relationships/hyperlink" Target="http://en.wikipedia.org/wiki/Wisconsin" TargetMode="External"/><Relationship Id="rId1" Type="http://schemas.openxmlformats.org/officeDocument/2006/relationships/hyperlink" Target="http://en.wikipedia.org/wiki/Mississippi" TargetMode="External"/><Relationship Id="rId6" Type="http://schemas.openxmlformats.org/officeDocument/2006/relationships/hyperlink" Target="http://en.wikipedia.org/wiki/Alabama" TargetMode="External"/><Relationship Id="rId11" Type="http://schemas.openxmlformats.org/officeDocument/2006/relationships/hyperlink" Target="http://en.wikipedia.org/wiki/Florida" TargetMode="External"/><Relationship Id="rId24" Type="http://schemas.openxmlformats.org/officeDocument/2006/relationships/hyperlink" Target="http://en.wikipedia.org/wiki/Oklahoma" TargetMode="External"/><Relationship Id="rId32" Type="http://schemas.openxmlformats.org/officeDocument/2006/relationships/hyperlink" Target="http://en.wikipedia.org/wiki/Colorado" TargetMode="External"/><Relationship Id="rId37" Type="http://schemas.openxmlformats.org/officeDocument/2006/relationships/hyperlink" Target="http://en.wikipedia.org/wiki/Hawaii" TargetMode="External"/><Relationship Id="rId40" Type="http://schemas.openxmlformats.org/officeDocument/2006/relationships/hyperlink" Target="http://en.wikipedia.org/wiki/Oregon" TargetMode="External"/><Relationship Id="rId45" Type="http://schemas.openxmlformats.org/officeDocument/2006/relationships/hyperlink" Target="http://en.wikipedia.org/wiki/North_Dakota" TargetMode="External"/><Relationship Id="rId5" Type="http://schemas.openxmlformats.org/officeDocument/2006/relationships/hyperlink" Target="http://en.wikipedia.org/wiki/South_Carolina" TargetMode="External"/><Relationship Id="rId15" Type="http://schemas.openxmlformats.org/officeDocument/2006/relationships/hyperlink" Target="http://en.wikipedia.org/wiki/New_Jersey" TargetMode="External"/><Relationship Id="rId23" Type="http://schemas.openxmlformats.org/officeDocument/2006/relationships/hyperlink" Target="http://en.wikipedia.org/wiki/Nevada" TargetMode="External"/><Relationship Id="rId28" Type="http://schemas.openxmlformats.org/officeDocument/2006/relationships/hyperlink" Target="http://en.wikipedia.org/wiki/Kansas" TargetMode="External"/><Relationship Id="rId36" Type="http://schemas.openxmlformats.org/officeDocument/2006/relationships/hyperlink" Target="http://en.wikipedia.org/wiki/West_Virginia" TargetMode="External"/><Relationship Id="rId10" Type="http://schemas.openxmlformats.org/officeDocument/2006/relationships/hyperlink" Target="http://en.wikipedia.org/wiki/Tennessee" TargetMode="External"/><Relationship Id="rId19" Type="http://schemas.openxmlformats.org/officeDocument/2006/relationships/hyperlink" Target="http://en.wikipedia.org/wiki/Missouri" TargetMode="External"/><Relationship Id="rId31" Type="http://schemas.openxmlformats.org/officeDocument/2006/relationships/hyperlink" Target="http://en.wikipedia.org/wiki/Nebraska" TargetMode="External"/><Relationship Id="rId44" Type="http://schemas.openxmlformats.org/officeDocument/2006/relationships/hyperlink" Target="http://en.wikipedia.org/wiki/South_Dakota" TargetMode="External"/><Relationship Id="rId4" Type="http://schemas.openxmlformats.org/officeDocument/2006/relationships/hyperlink" Target="http://en.wikipedia.org/wiki/Maryland" TargetMode="External"/><Relationship Id="rId9" Type="http://schemas.openxmlformats.org/officeDocument/2006/relationships/hyperlink" Target="http://en.wikipedia.org/wiki/Virginia" TargetMode="External"/><Relationship Id="rId14" Type="http://schemas.openxmlformats.org/officeDocument/2006/relationships/hyperlink" Target="http://en.wikipedia.org/wiki/Illinois" TargetMode="External"/><Relationship Id="rId22" Type="http://schemas.openxmlformats.org/officeDocument/2006/relationships/hyperlink" Target="http://en.wikipedia.org/wiki/Indiana" TargetMode="External"/><Relationship Id="rId27" Type="http://schemas.openxmlformats.org/officeDocument/2006/relationships/hyperlink" Target="http://en.wikipedia.org/wiki/Rhode_Island" TargetMode="External"/><Relationship Id="rId30" Type="http://schemas.openxmlformats.org/officeDocument/2006/relationships/hyperlink" Target="http://en.wikipedia.org/wiki/Minnesota" TargetMode="External"/><Relationship Id="rId35" Type="http://schemas.openxmlformats.org/officeDocument/2006/relationships/hyperlink" Target="http://en.wikipedia.org/wiki/Washington_(U.S._state)" TargetMode="External"/><Relationship Id="rId43" Type="http://schemas.openxmlformats.org/officeDocument/2006/relationships/hyperlink" Target="http://en.wikipedia.org/wiki/New_Hampshire" TargetMode="External"/><Relationship Id="rId48" Type="http://schemas.openxmlformats.org/officeDocument/2006/relationships/hyperlink" Target="http://en.wikipedia.org/wiki/Montana" TargetMode="External"/><Relationship Id="rId8" Type="http://schemas.openxmlformats.org/officeDocument/2006/relationships/hyperlink" Target="http://en.wikipedia.org/wiki/Delaware" TargetMode="External"/><Relationship Id="rId3" Type="http://schemas.openxmlformats.org/officeDocument/2006/relationships/hyperlink" Target="http://en.wikipedia.org/wiki/Georgia_(U.S._state)" TargetMode="External"/><Relationship Id="rId12" Type="http://schemas.openxmlformats.org/officeDocument/2006/relationships/hyperlink" Target="http://en.wikipedia.org/wiki/Arkansas" TargetMode="External"/><Relationship Id="rId17" Type="http://schemas.openxmlformats.org/officeDocument/2006/relationships/hyperlink" Target="http://en.wikipedia.org/wiki/Ohio" TargetMode="External"/><Relationship Id="rId25" Type="http://schemas.openxmlformats.org/officeDocument/2006/relationships/hyperlink" Target="http://en.wikipedia.org/wiki/Massachusetts" TargetMode="External"/><Relationship Id="rId33" Type="http://schemas.openxmlformats.org/officeDocument/2006/relationships/hyperlink" Target="http://en.wikipedia.org/wiki/Alaska" TargetMode="External"/><Relationship Id="rId38" Type="http://schemas.openxmlformats.org/officeDocument/2006/relationships/hyperlink" Target="http://en.wikipedia.org/wiki/New_Mexico" TargetMode="External"/><Relationship Id="rId46" Type="http://schemas.openxmlformats.org/officeDocument/2006/relationships/hyperlink" Target="http://en.wikipedia.org/wiki/Maine" TargetMode="External"/><Relationship Id="rId20" Type="http://schemas.openxmlformats.org/officeDocument/2006/relationships/hyperlink" Target="http://en.wikipedia.org/wiki/Pennsylvania" TargetMode="External"/><Relationship Id="rId41" Type="http://schemas.openxmlformats.org/officeDocument/2006/relationships/hyperlink" Target="http://en.wikipedia.org/wiki/Wyom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7908"/>
  <sheetViews>
    <sheetView tabSelected="1" zoomScale="110" workbookViewId="0">
      <pane xSplit="1" ySplit="1" topLeftCell="B2" activePane="bottomRight" state="frozen"/>
      <selection pane="topRight" activeCell="B1" sqref="B1"/>
      <selection pane="bottomLeft" activeCell="A2" sqref="A2"/>
      <selection pane="bottomRight" activeCell="H4" sqref="H4"/>
    </sheetView>
  </sheetViews>
  <sheetFormatPr baseColWidth="10" defaultColWidth="17.33203125" defaultRowHeight="13" x14ac:dyDescent="0.15"/>
  <cols>
    <col min="1" max="1" width="25.1640625" style="33" customWidth="1"/>
    <col min="2" max="2" width="5.33203125" style="33" customWidth="1"/>
    <col min="3" max="3" width="8.83203125" style="33" customWidth="1"/>
    <col min="4" max="4" width="12.83203125" style="33" customWidth="1"/>
    <col min="5" max="5" width="15.5" style="33" customWidth="1"/>
    <col min="6" max="6" width="15.33203125" style="67" customWidth="1"/>
    <col min="7" max="7" width="24.33203125" style="33" customWidth="1"/>
    <col min="8" max="8" width="17.1640625" style="33" customWidth="1"/>
    <col min="9" max="9" width="10.33203125" style="33" customWidth="1"/>
    <col min="10" max="10" width="10.83203125" style="33" customWidth="1"/>
    <col min="11" max="11" width="27.83203125" style="33" customWidth="1"/>
    <col min="12" max="12" width="35.5" style="33" customWidth="1"/>
    <col min="13" max="13" width="14.33203125" style="33" customWidth="1"/>
    <col min="14" max="14" width="20.6640625" style="33" customWidth="1"/>
    <col min="15" max="15" width="14.33203125" style="33" customWidth="1"/>
    <col min="16" max="16" width="13.6640625" style="33" customWidth="1"/>
    <col min="17" max="17" width="26.83203125" style="40" customWidth="1"/>
    <col min="18" max="18" width="13" style="33" customWidth="1"/>
    <col min="19" max="19" width="17.1640625" style="33" customWidth="1"/>
    <col min="20" max="22" width="17.33203125" style="33"/>
    <col min="23" max="23" width="13.33203125" style="33" customWidth="1"/>
    <col min="24" max="24" width="10.6640625" style="33" customWidth="1"/>
    <col min="25" max="26" width="17.33203125" style="33"/>
    <col min="27" max="27" width="34.83203125" style="33" customWidth="1"/>
    <col min="28" max="29" width="10.83203125" style="1"/>
    <col min="30" max="30" width="17.33203125" style="33"/>
    <col min="31" max="31" width="52.6640625" style="1" customWidth="1"/>
    <col min="32" max="32" width="32.83203125" style="1" customWidth="1"/>
    <col min="33" max="16384" width="17.33203125" style="33"/>
  </cols>
  <sheetData>
    <row r="1" spans="1:66" s="37" customFormat="1" ht="12" customHeight="1" x14ac:dyDescent="0.15">
      <c r="A1" s="37" t="s">
        <v>0</v>
      </c>
      <c r="B1" s="37" t="s">
        <v>1</v>
      </c>
      <c r="C1" s="37" t="s">
        <v>2</v>
      </c>
      <c r="D1" s="37" t="s">
        <v>3</v>
      </c>
      <c r="E1" s="37" t="s">
        <v>4</v>
      </c>
      <c r="F1" s="37" t="s">
        <v>29206</v>
      </c>
      <c r="G1" s="37" t="s">
        <v>29207</v>
      </c>
      <c r="H1" s="37" t="s">
        <v>19223</v>
      </c>
      <c r="I1" s="37" t="s">
        <v>19222</v>
      </c>
      <c r="J1" s="37" t="s">
        <v>29208</v>
      </c>
      <c r="K1" s="37" t="s">
        <v>29209</v>
      </c>
      <c r="L1" s="37" t="s">
        <v>5</v>
      </c>
      <c r="M1" s="37" t="s">
        <v>6</v>
      </c>
      <c r="N1" s="37" t="s">
        <v>7</v>
      </c>
      <c r="O1" s="37" t="s">
        <v>8</v>
      </c>
      <c r="P1" s="37" t="s">
        <v>9</v>
      </c>
      <c r="Q1" s="38" t="s">
        <v>10</v>
      </c>
      <c r="R1" s="37" t="s">
        <v>11</v>
      </c>
      <c r="S1" s="37" t="s">
        <v>12</v>
      </c>
      <c r="T1" s="37" t="s">
        <v>26732</v>
      </c>
      <c r="U1" s="37" t="s">
        <v>26731</v>
      </c>
      <c r="V1" s="37" t="s">
        <v>26733</v>
      </c>
      <c r="W1" s="37" t="s">
        <v>26734</v>
      </c>
      <c r="X1" s="37" t="s">
        <v>29210</v>
      </c>
      <c r="Y1" s="37" t="s">
        <v>42477</v>
      </c>
      <c r="Z1" s="37" t="s">
        <v>42969</v>
      </c>
      <c r="AA1" s="37" t="s">
        <v>735</v>
      </c>
      <c r="AB1" s="1"/>
      <c r="AC1" s="1"/>
      <c r="AE1" s="1"/>
      <c r="AF1" s="1"/>
    </row>
    <row r="2" spans="1:66" s="1" customFormat="1" ht="13" customHeight="1" x14ac:dyDescent="0.15">
      <c r="A2" s="10" t="s">
        <v>41829</v>
      </c>
      <c r="B2" s="99">
        <v>28</v>
      </c>
      <c r="C2" s="10" t="s">
        <v>14</v>
      </c>
      <c r="D2" s="10" t="s">
        <v>31</v>
      </c>
      <c r="E2" s="64" t="s">
        <v>41830</v>
      </c>
      <c r="F2" s="67">
        <v>43830</v>
      </c>
      <c r="G2" s="10" t="s">
        <v>41831</v>
      </c>
      <c r="H2" s="10" t="s">
        <v>28623</v>
      </c>
      <c r="I2" s="10" t="s">
        <v>112</v>
      </c>
      <c r="J2" s="65">
        <v>85501</v>
      </c>
      <c r="K2" s="10" t="s">
        <v>6518</v>
      </c>
      <c r="L2" s="10" t="s">
        <v>41832</v>
      </c>
      <c r="M2" s="10" t="s">
        <v>21</v>
      </c>
      <c r="N2" s="10" t="s">
        <v>41833</v>
      </c>
      <c r="O2" s="10" t="s">
        <v>372</v>
      </c>
      <c r="P2" s="1" t="s">
        <v>30089</v>
      </c>
      <c r="Q2" s="64" t="s">
        <v>41834</v>
      </c>
      <c r="R2" s="10" t="s">
        <v>94</v>
      </c>
      <c r="S2" s="63" t="s">
        <v>22</v>
      </c>
      <c r="T2" s="34" t="s">
        <v>26774</v>
      </c>
      <c r="U2" s="34" t="s">
        <v>26570</v>
      </c>
      <c r="V2" s="54" t="s">
        <v>42479</v>
      </c>
      <c r="W2" s="54" t="s">
        <v>42480</v>
      </c>
      <c r="X2" s="68">
        <v>5332</v>
      </c>
      <c r="Y2" s="33"/>
      <c r="Z2" s="68" t="s">
        <v>42967</v>
      </c>
      <c r="AA2" s="33">
        <v>7664</v>
      </c>
      <c r="AD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row>
    <row r="3" spans="1:66" s="68" customFormat="1" ht="12" customHeight="1" x14ac:dyDescent="0.15">
      <c r="A3" s="10" t="s">
        <v>3002</v>
      </c>
      <c r="B3" s="70"/>
      <c r="C3" s="10" t="s">
        <v>14</v>
      </c>
      <c r="D3" s="10" t="s">
        <v>24</v>
      </c>
      <c r="E3" s="10"/>
      <c r="F3" s="67">
        <v>43830</v>
      </c>
      <c r="G3" s="10" t="s">
        <v>42187</v>
      </c>
      <c r="H3" s="10" t="s">
        <v>1116</v>
      </c>
      <c r="I3" s="10" t="s">
        <v>918</v>
      </c>
      <c r="J3" s="65">
        <v>38103</v>
      </c>
      <c r="K3" s="10" t="s">
        <v>5233</v>
      </c>
      <c r="L3" s="10" t="s">
        <v>42188</v>
      </c>
      <c r="M3" s="10" t="s">
        <v>21</v>
      </c>
      <c r="N3" s="10" t="s">
        <v>42189</v>
      </c>
      <c r="O3" s="10" t="s">
        <v>372</v>
      </c>
      <c r="P3" s="1" t="s">
        <v>30089</v>
      </c>
      <c r="Q3" s="64" t="s">
        <v>42190</v>
      </c>
      <c r="R3" s="10" t="s">
        <v>94</v>
      </c>
      <c r="S3" s="63" t="s">
        <v>29</v>
      </c>
      <c r="T3" s="34" t="s">
        <v>41840</v>
      </c>
      <c r="U3" s="34" t="s">
        <v>26570</v>
      </c>
      <c r="Y3" s="33"/>
      <c r="Z3" s="68" t="s">
        <v>42966</v>
      </c>
      <c r="AA3" s="33">
        <v>7665</v>
      </c>
      <c r="AB3" s="1"/>
      <c r="AC3" s="1"/>
      <c r="AD3" s="33"/>
      <c r="AE3" s="1"/>
      <c r="AF3" s="1"/>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row>
    <row r="4" spans="1:66" s="68" customFormat="1" ht="12" customHeight="1" x14ac:dyDescent="0.15">
      <c r="A4" s="10" t="s">
        <v>41690</v>
      </c>
      <c r="B4" s="99">
        <v>57</v>
      </c>
      <c r="C4" s="10" t="s">
        <v>14</v>
      </c>
      <c r="D4" s="10" t="s">
        <v>79</v>
      </c>
      <c r="E4" s="10"/>
      <c r="F4" s="67">
        <v>43830</v>
      </c>
      <c r="G4" s="10" t="s">
        <v>41691</v>
      </c>
      <c r="H4" s="10" t="s">
        <v>1522</v>
      </c>
      <c r="I4" s="10" t="s">
        <v>432</v>
      </c>
      <c r="J4" s="65">
        <v>68110</v>
      </c>
      <c r="K4" s="10" t="s">
        <v>882</v>
      </c>
      <c r="L4" s="80" t="s">
        <v>2101</v>
      </c>
      <c r="M4" s="10" t="s">
        <v>21</v>
      </c>
      <c r="N4" s="10" t="s">
        <v>41692</v>
      </c>
      <c r="O4" s="10" t="s">
        <v>372</v>
      </c>
      <c r="P4" s="1" t="s">
        <v>30089</v>
      </c>
      <c r="Q4" s="64" t="s">
        <v>41693</v>
      </c>
      <c r="R4" s="10" t="s">
        <v>94</v>
      </c>
      <c r="S4" s="63" t="s">
        <v>22</v>
      </c>
      <c r="T4" s="34" t="s">
        <v>26781</v>
      </c>
      <c r="U4" s="34" t="s">
        <v>26572</v>
      </c>
      <c r="V4" s="54" t="s">
        <v>42479</v>
      </c>
      <c r="W4" s="54" t="s">
        <v>42480</v>
      </c>
      <c r="X4" s="68">
        <v>5359</v>
      </c>
      <c r="Y4" s="33"/>
      <c r="Z4" s="68" t="s">
        <v>42966</v>
      </c>
      <c r="AA4" s="33">
        <v>7661</v>
      </c>
      <c r="AB4" s="1"/>
      <c r="AC4" s="1"/>
      <c r="AD4" s="33"/>
      <c r="AE4" s="1"/>
      <c r="AF4" s="1"/>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row>
    <row r="5" spans="1:66" s="68" customFormat="1" ht="12" customHeight="1" x14ac:dyDescent="0.15">
      <c r="A5" s="10" t="s">
        <v>42485</v>
      </c>
      <c r="B5" s="100">
        <v>23</v>
      </c>
      <c r="C5" s="10" t="s">
        <v>14</v>
      </c>
      <c r="D5" s="10" t="s">
        <v>79</v>
      </c>
      <c r="E5" s="10"/>
      <c r="F5" s="67">
        <v>43830</v>
      </c>
      <c r="G5" s="10" t="s">
        <v>42195</v>
      </c>
      <c r="H5" s="10" t="s">
        <v>15505</v>
      </c>
      <c r="I5" s="10" t="s">
        <v>282</v>
      </c>
      <c r="J5" s="65">
        <v>98003</v>
      </c>
      <c r="K5" s="10" t="s">
        <v>1133</v>
      </c>
      <c r="L5" s="10" t="s">
        <v>15507</v>
      </c>
      <c r="M5" s="10" t="s">
        <v>21</v>
      </c>
      <c r="N5" s="10" t="s">
        <v>42196</v>
      </c>
      <c r="O5" s="10" t="s">
        <v>372</v>
      </c>
      <c r="P5" s="1" t="s">
        <v>30089</v>
      </c>
      <c r="Q5" s="64" t="s">
        <v>42197</v>
      </c>
      <c r="R5" s="10" t="s">
        <v>94</v>
      </c>
      <c r="S5" s="63" t="s">
        <v>22</v>
      </c>
      <c r="T5" s="34" t="s">
        <v>26781</v>
      </c>
      <c r="U5" s="34" t="s">
        <v>26572</v>
      </c>
      <c r="V5" s="54" t="s">
        <v>42479</v>
      </c>
      <c r="W5" s="54" t="s">
        <v>42480</v>
      </c>
      <c r="X5" s="68">
        <v>5358</v>
      </c>
      <c r="Y5" s="33"/>
      <c r="Z5" s="68" t="s">
        <v>42968</v>
      </c>
      <c r="AA5" s="33">
        <v>7662</v>
      </c>
      <c r="AB5" s="1"/>
      <c r="AC5" s="1"/>
      <c r="AD5" s="33"/>
      <c r="AE5" s="1"/>
      <c r="AF5" s="1"/>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row>
    <row r="6" spans="1:66" s="68" customFormat="1" ht="12" customHeight="1" x14ac:dyDescent="0.15">
      <c r="A6" s="10" t="s">
        <v>42191</v>
      </c>
      <c r="B6" s="100">
        <v>37</v>
      </c>
      <c r="C6" s="10" t="s">
        <v>14</v>
      </c>
      <c r="D6" s="10" t="s">
        <v>79</v>
      </c>
      <c r="E6" s="10"/>
      <c r="F6" s="67">
        <v>43830</v>
      </c>
      <c r="G6" s="10" t="s">
        <v>42192</v>
      </c>
      <c r="H6" s="10" t="s">
        <v>10815</v>
      </c>
      <c r="I6" s="10" t="s">
        <v>402</v>
      </c>
      <c r="J6" s="65">
        <v>63005</v>
      </c>
      <c r="K6" s="10" t="s">
        <v>661</v>
      </c>
      <c r="L6" s="80" t="s">
        <v>16682</v>
      </c>
      <c r="M6" s="10" t="s">
        <v>21</v>
      </c>
      <c r="N6" s="10" t="s">
        <v>42193</v>
      </c>
      <c r="O6" s="10" t="s">
        <v>372</v>
      </c>
      <c r="P6" s="1" t="s">
        <v>30089</v>
      </c>
      <c r="Q6" s="64" t="s">
        <v>42194</v>
      </c>
      <c r="R6" s="10" t="s">
        <v>94</v>
      </c>
      <c r="S6" s="63" t="s">
        <v>351</v>
      </c>
      <c r="T6" s="34" t="s">
        <v>26867</v>
      </c>
      <c r="U6" s="34" t="s">
        <v>26572</v>
      </c>
      <c r="V6" s="54" t="s">
        <v>42483</v>
      </c>
      <c r="W6" s="54" t="s">
        <v>42480</v>
      </c>
      <c r="X6" s="68">
        <v>5333</v>
      </c>
      <c r="Y6" s="33"/>
      <c r="Z6" s="68" t="s">
        <v>42968</v>
      </c>
      <c r="AA6" s="33">
        <v>7667</v>
      </c>
      <c r="AB6" s="1"/>
      <c r="AC6" s="1"/>
      <c r="AD6" s="33"/>
      <c r="AE6" s="1"/>
      <c r="AF6" s="1"/>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row>
    <row r="7" spans="1:66" s="68" customFormat="1" ht="12" customHeight="1" x14ac:dyDescent="0.15">
      <c r="A7" s="33" t="s">
        <v>42486</v>
      </c>
      <c r="B7" s="33">
        <v>49</v>
      </c>
      <c r="C7" s="33" t="s">
        <v>14</v>
      </c>
      <c r="D7" s="33" t="s">
        <v>31</v>
      </c>
      <c r="E7" s="33"/>
      <c r="F7" s="67">
        <v>43830</v>
      </c>
      <c r="G7" s="33" t="s">
        <v>42491</v>
      </c>
      <c r="H7" s="33" t="s">
        <v>42487</v>
      </c>
      <c r="I7" s="33" t="s">
        <v>139</v>
      </c>
      <c r="J7" s="33">
        <v>25313</v>
      </c>
      <c r="K7" s="33" t="s">
        <v>859</v>
      </c>
      <c r="L7" s="33" t="s">
        <v>42490</v>
      </c>
      <c r="M7" s="33" t="s">
        <v>21</v>
      </c>
      <c r="N7" s="33" t="s">
        <v>42489</v>
      </c>
      <c r="O7" s="33" t="s">
        <v>372</v>
      </c>
      <c r="P7" s="33" t="s">
        <v>30089</v>
      </c>
      <c r="Q7" s="42" t="s">
        <v>42488</v>
      </c>
      <c r="R7" s="33" t="s">
        <v>94</v>
      </c>
      <c r="S7" s="63" t="s">
        <v>22</v>
      </c>
      <c r="T7" s="33" t="s">
        <v>26781</v>
      </c>
      <c r="U7" s="33" t="s">
        <v>26572</v>
      </c>
      <c r="V7" s="33" t="s">
        <v>26574</v>
      </c>
      <c r="W7" s="33" t="s">
        <v>94</v>
      </c>
      <c r="X7" s="33">
        <v>5374</v>
      </c>
      <c r="Y7" s="33"/>
      <c r="Z7" s="33" t="s">
        <v>42968</v>
      </c>
      <c r="AA7" s="33">
        <v>7663</v>
      </c>
      <c r="AB7" s="1"/>
      <c r="AC7" s="1"/>
      <c r="AD7" s="33"/>
      <c r="AE7" s="1"/>
      <c r="AF7" s="1"/>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row>
    <row r="8" spans="1:66" s="68" customFormat="1" ht="12" customHeight="1" x14ac:dyDescent="0.15">
      <c r="A8" s="10" t="s">
        <v>42198</v>
      </c>
      <c r="B8" s="100">
        <v>47</v>
      </c>
      <c r="C8" s="10" t="s">
        <v>14</v>
      </c>
      <c r="D8" s="10" t="s">
        <v>24</v>
      </c>
      <c r="E8" s="63"/>
      <c r="F8" s="67">
        <v>43830</v>
      </c>
      <c r="G8" s="10" t="s">
        <v>42199</v>
      </c>
      <c r="H8" s="10" t="s">
        <v>42200</v>
      </c>
      <c r="I8" s="10" t="s">
        <v>621</v>
      </c>
      <c r="J8" s="65">
        <v>38610</v>
      </c>
      <c r="K8" s="10" t="s">
        <v>41912</v>
      </c>
      <c r="L8" s="10" t="s">
        <v>15536</v>
      </c>
      <c r="M8" s="10" t="s">
        <v>21</v>
      </c>
      <c r="N8" s="10" t="s">
        <v>42201</v>
      </c>
      <c r="O8" s="10" t="s">
        <v>372</v>
      </c>
      <c r="P8" s="1" t="s">
        <v>30089</v>
      </c>
      <c r="Q8" s="64" t="s">
        <v>42202</v>
      </c>
      <c r="R8" s="10" t="s">
        <v>94</v>
      </c>
      <c r="S8" s="63" t="s">
        <v>29</v>
      </c>
      <c r="T8" s="34" t="s">
        <v>41840</v>
      </c>
      <c r="U8" s="34" t="s">
        <v>26570</v>
      </c>
      <c r="V8" s="54" t="s">
        <v>42483</v>
      </c>
      <c r="W8" s="54" t="s">
        <v>42480</v>
      </c>
      <c r="X8" s="68">
        <v>5343</v>
      </c>
      <c r="Y8" s="33"/>
      <c r="Z8" s="68" t="s">
        <v>42967</v>
      </c>
      <c r="AA8" s="33">
        <v>7666</v>
      </c>
      <c r="AB8" s="1"/>
      <c r="AC8" s="1"/>
      <c r="AD8" s="33"/>
      <c r="AE8" s="1"/>
      <c r="AF8" s="1"/>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row>
    <row r="9" spans="1:66" s="68" customFormat="1" ht="12" customHeight="1" x14ac:dyDescent="0.15">
      <c r="A9" s="10" t="s">
        <v>42484</v>
      </c>
      <c r="B9" s="100">
        <v>51</v>
      </c>
      <c r="C9" s="10" t="s">
        <v>103</v>
      </c>
      <c r="D9" s="10" t="s">
        <v>31</v>
      </c>
      <c r="E9" s="10"/>
      <c r="F9" s="67">
        <v>43829</v>
      </c>
      <c r="G9" s="10" t="s">
        <v>42203</v>
      </c>
      <c r="H9" s="10" t="s">
        <v>635</v>
      </c>
      <c r="I9" s="10" t="s">
        <v>337</v>
      </c>
      <c r="J9" s="65">
        <v>67207</v>
      </c>
      <c r="K9" s="10" t="s">
        <v>636</v>
      </c>
      <c r="L9" s="10" t="s">
        <v>42204</v>
      </c>
      <c r="M9" s="10" t="s">
        <v>21</v>
      </c>
      <c r="N9" s="10" t="s">
        <v>42205</v>
      </c>
      <c r="O9" s="10" t="s">
        <v>372</v>
      </c>
      <c r="P9" s="1" t="s">
        <v>30089</v>
      </c>
      <c r="Q9" s="64" t="s">
        <v>42206</v>
      </c>
      <c r="R9" s="10" t="s">
        <v>94</v>
      </c>
      <c r="S9" s="63" t="s">
        <v>351</v>
      </c>
      <c r="T9" s="34" t="s">
        <v>26867</v>
      </c>
      <c r="U9" s="34" t="s">
        <v>26572</v>
      </c>
      <c r="V9" s="54" t="s">
        <v>42483</v>
      </c>
      <c r="W9" s="54" t="s">
        <v>42480</v>
      </c>
      <c r="X9" s="68">
        <v>5402</v>
      </c>
      <c r="Y9" s="33"/>
      <c r="Z9" s="68" t="s">
        <v>42968</v>
      </c>
      <c r="AA9" s="33">
        <v>7660</v>
      </c>
      <c r="AB9" s="1"/>
      <c r="AC9" s="1"/>
      <c r="AD9" s="33"/>
      <c r="AE9" s="1"/>
      <c r="AF9" s="1"/>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row>
    <row r="10" spans="1:66" s="68" customFormat="1" ht="12" customHeight="1" x14ac:dyDescent="0.15">
      <c r="A10" s="10" t="s">
        <v>3002</v>
      </c>
      <c r="B10" s="70"/>
      <c r="C10" s="10" t="s">
        <v>14</v>
      </c>
      <c r="D10" s="10" t="s">
        <v>24</v>
      </c>
      <c r="E10" s="10"/>
      <c r="F10" s="67">
        <v>43829</v>
      </c>
      <c r="G10" s="10" t="s">
        <v>37186</v>
      </c>
      <c r="H10" s="10" t="s">
        <v>674</v>
      </c>
      <c r="I10" s="10" t="s">
        <v>67</v>
      </c>
      <c r="J10" s="65">
        <v>77033</v>
      </c>
      <c r="K10" s="10" t="s">
        <v>515</v>
      </c>
      <c r="L10" s="10" t="s">
        <v>37187</v>
      </c>
      <c r="M10" s="10" t="s">
        <v>21</v>
      </c>
      <c r="N10" s="10" t="s">
        <v>37188</v>
      </c>
      <c r="O10" s="10" t="s">
        <v>372</v>
      </c>
      <c r="P10" s="1" t="s">
        <v>30089</v>
      </c>
      <c r="Q10" s="64" t="s">
        <v>37189</v>
      </c>
      <c r="R10" s="10" t="s">
        <v>94</v>
      </c>
      <c r="S10" s="63" t="s">
        <v>22</v>
      </c>
      <c r="T10" s="68" t="s">
        <v>26781</v>
      </c>
      <c r="X10" s="68">
        <v>5312</v>
      </c>
      <c r="Y10" s="33"/>
      <c r="Z10" s="68" t="s">
        <v>42966</v>
      </c>
      <c r="AA10" s="33">
        <v>7658</v>
      </c>
      <c r="AB10" s="1"/>
      <c r="AC10" s="1"/>
      <c r="AD10" s="33"/>
      <c r="AE10" s="1"/>
      <c r="AF10" s="1"/>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row>
    <row r="11" spans="1:66" s="68" customFormat="1" ht="12" customHeight="1" x14ac:dyDescent="0.15">
      <c r="A11" s="10" t="s">
        <v>41835</v>
      </c>
      <c r="B11" s="99">
        <v>27</v>
      </c>
      <c r="C11" s="10" t="s">
        <v>14</v>
      </c>
      <c r="D11" s="10" t="s">
        <v>31</v>
      </c>
      <c r="E11" s="10"/>
      <c r="F11" s="67">
        <v>43829</v>
      </c>
      <c r="G11" s="10" t="s">
        <v>41836</v>
      </c>
      <c r="H11" s="10" t="s">
        <v>1454</v>
      </c>
      <c r="I11" s="10" t="s">
        <v>402</v>
      </c>
      <c r="J11" s="65">
        <v>65251</v>
      </c>
      <c r="K11" s="10" t="s">
        <v>41837</v>
      </c>
      <c r="L11" s="10" t="s">
        <v>25229</v>
      </c>
      <c r="M11" s="10" t="s">
        <v>21</v>
      </c>
      <c r="N11" s="10" t="s">
        <v>41838</v>
      </c>
      <c r="O11" s="10" t="s">
        <v>372</v>
      </c>
      <c r="P11" s="1" t="s">
        <v>30089</v>
      </c>
      <c r="Q11" s="64" t="s">
        <v>41839</v>
      </c>
      <c r="R11" s="10" t="s">
        <v>94</v>
      </c>
      <c r="S11" s="63" t="s">
        <v>351</v>
      </c>
      <c r="T11" s="34" t="s">
        <v>26867</v>
      </c>
      <c r="U11" s="34" t="s">
        <v>26572</v>
      </c>
      <c r="V11" s="54" t="s">
        <v>42483</v>
      </c>
      <c r="W11" s="54" t="s">
        <v>42480</v>
      </c>
      <c r="X11" s="68">
        <v>5404</v>
      </c>
      <c r="Y11" s="33"/>
      <c r="Z11" s="68" t="s">
        <v>42967</v>
      </c>
      <c r="AA11" s="33">
        <v>7659</v>
      </c>
      <c r="AB11" s="1"/>
      <c r="AC11" s="1"/>
      <c r="AD11" s="33"/>
      <c r="AE11" s="1"/>
      <c r="AF11" s="1"/>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row>
    <row r="12" spans="1:66" s="68" customFormat="1" ht="12" customHeight="1" x14ac:dyDescent="0.15">
      <c r="A12" s="10" t="s">
        <v>39601</v>
      </c>
      <c r="B12" s="100">
        <v>50</v>
      </c>
      <c r="C12" s="10" t="s">
        <v>14</v>
      </c>
      <c r="D12" s="10" t="s">
        <v>42</v>
      </c>
      <c r="E12" s="10"/>
      <c r="F12" s="67">
        <v>43828</v>
      </c>
      <c r="G12" s="10" t="s">
        <v>39602</v>
      </c>
      <c r="H12" s="10" t="s">
        <v>10737</v>
      </c>
      <c r="I12" s="10" t="s">
        <v>39</v>
      </c>
      <c r="J12" s="80">
        <v>92243</v>
      </c>
      <c r="K12" s="10" t="s">
        <v>8996</v>
      </c>
      <c r="L12" s="10" t="s">
        <v>39603</v>
      </c>
      <c r="M12" s="10" t="s">
        <v>21</v>
      </c>
      <c r="N12" s="10" t="s">
        <v>39604</v>
      </c>
      <c r="O12" s="10" t="s">
        <v>372</v>
      </c>
      <c r="P12" s="1" t="s">
        <v>30089</v>
      </c>
      <c r="Q12" s="62" t="s">
        <v>39605</v>
      </c>
      <c r="R12" s="10" t="s">
        <v>23</v>
      </c>
      <c r="S12" s="63" t="s">
        <v>22</v>
      </c>
      <c r="T12" s="68" t="s">
        <v>26774</v>
      </c>
      <c r="U12" s="68" t="s">
        <v>26570</v>
      </c>
      <c r="V12" s="68" t="s">
        <v>26573</v>
      </c>
      <c r="W12" s="68" t="s">
        <v>94</v>
      </c>
      <c r="X12" s="68">
        <v>5318</v>
      </c>
      <c r="Y12" s="33"/>
      <c r="Z12" s="68" t="s">
        <v>42966</v>
      </c>
      <c r="AA12" s="33">
        <v>7657</v>
      </c>
      <c r="AB12" s="1"/>
      <c r="AC12" s="1"/>
      <c r="AD12" s="33"/>
      <c r="AE12" s="1"/>
      <c r="AF12" s="1"/>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row>
    <row r="13" spans="1:66" s="68" customFormat="1" ht="12" customHeight="1" x14ac:dyDescent="0.15">
      <c r="A13" s="10" t="s">
        <v>40562</v>
      </c>
      <c r="B13" s="100">
        <v>76</v>
      </c>
      <c r="C13" s="10" t="s">
        <v>14</v>
      </c>
      <c r="D13" s="10" t="s">
        <v>24</v>
      </c>
      <c r="E13" s="10"/>
      <c r="F13" s="67">
        <v>43828</v>
      </c>
      <c r="G13" s="10" t="s">
        <v>40563</v>
      </c>
      <c r="H13" s="10" t="s">
        <v>40564</v>
      </c>
      <c r="I13" s="10" t="s">
        <v>621</v>
      </c>
      <c r="J13" s="80">
        <v>38611</v>
      </c>
      <c r="K13" s="10" t="s">
        <v>1107</v>
      </c>
      <c r="L13" s="10" t="s">
        <v>22483</v>
      </c>
      <c r="M13" s="10" t="s">
        <v>21</v>
      </c>
      <c r="N13" s="10" t="s">
        <v>40565</v>
      </c>
      <c r="O13" s="10" t="s">
        <v>372</v>
      </c>
      <c r="P13" s="1" t="s">
        <v>30089</v>
      </c>
      <c r="Q13" s="62" t="s">
        <v>40566</v>
      </c>
      <c r="R13" s="10" t="s">
        <v>23</v>
      </c>
      <c r="S13" s="63" t="s">
        <v>22</v>
      </c>
      <c r="T13" s="54" t="s">
        <v>26781</v>
      </c>
      <c r="U13" s="68" t="s">
        <v>26575</v>
      </c>
      <c r="V13" s="68">
        <v>0</v>
      </c>
      <c r="W13" s="68" t="s">
        <v>94</v>
      </c>
      <c r="X13" s="68">
        <v>5310</v>
      </c>
      <c r="Y13" s="33"/>
      <c r="Z13" s="68" t="s">
        <v>42967</v>
      </c>
      <c r="AA13" s="33">
        <v>7654</v>
      </c>
      <c r="AB13" s="1"/>
      <c r="AC13" s="1"/>
      <c r="AD13" s="33"/>
      <c r="AE13" s="1"/>
      <c r="AF13" s="1"/>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row>
    <row r="14" spans="1:66" s="68" customFormat="1" ht="12" customHeight="1" x14ac:dyDescent="0.15">
      <c r="A14" s="10" t="s">
        <v>39119</v>
      </c>
      <c r="B14" s="99">
        <v>29</v>
      </c>
      <c r="C14" s="10" t="s">
        <v>14</v>
      </c>
      <c r="D14" s="10" t="s">
        <v>24</v>
      </c>
      <c r="E14" s="10"/>
      <c r="F14" s="67">
        <v>43828</v>
      </c>
      <c r="G14" s="10" t="s">
        <v>39120</v>
      </c>
      <c r="H14" s="10" t="s">
        <v>131</v>
      </c>
      <c r="I14" s="10" t="s">
        <v>132</v>
      </c>
      <c r="J14" s="65">
        <v>57701</v>
      </c>
      <c r="K14" s="10" t="s">
        <v>133</v>
      </c>
      <c r="L14" s="10" t="s">
        <v>134</v>
      </c>
      <c r="M14" s="10" t="s">
        <v>21</v>
      </c>
      <c r="N14" s="10" t="s">
        <v>39121</v>
      </c>
      <c r="O14" s="10" t="s">
        <v>372</v>
      </c>
      <c r="P14" s="1" t="s">
        <v>30089</v>
      </c>
      <c r="Q14" s="64" t="s">
        <v>39122</v>
      </c>
      <c r="R14" s="10" t="s">
        <v>94</v>
      </c>
      <c r="S14" s="63" t="s">
        <v>22</v>
      </c>
      <c r="T14" s="68" t="s">
        <v>26781</v>
      </c>
      <c r="U14" s="68" t="s">
        <v>26572</v>
      </c>
      <c r="V14" s="68" t="s">
        <v>26573</v>
      </c>
      <c r="W14" s="68" t="s">
        <v>94</v>
      </c>
      <c r="X14" s="68">
        <v>5311</v>
      </c>
      <c r="Y14" s="33"/>
      <c r="Z14" s="68" t="s">
        <v>42968</v>
      </c>
      <c r="AA14" s="33">
        <v>7655</v>
      </c>
      <c r="AB14" s="1"/>
      <c r="AC14" s="1"/>
      <c r="AD14" s="33"/>
      <c r="AE14" s="1"/>
      <c r="AF14" s="1"/>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row>
    <row r="15" spans="1:66" s="68" customFormat="1" ht="12" customHeight="1" x14ac:dyDescent="0.15">
      <c r="A15" s="10" t="s">
        <v>3002</v>
      </c>
      <c r="B15" s="70"/>
      <c r="C15" s="10"/>
      <c r="D15" s="10" t="s">
        <v>24</v>
      </c>
      <c r="E15" s="10"/>
      <c r="F15" s="67">
        <v>43828</v>
      </c>
      <c r="G15" s="10" t="s">
        <v>42207</v>
      </c>
      <c r="H15" s="10" t="s">
        <v>10335</v>
      </c>
      <c r="I15" s="10" t="s">
        <v>198</v>
      </c>
      <c r="J15" s="65">
        <v>47905</v>
      </c>
      <c r="K15" s="10" t="s">
        <v>42208</v>
      </c>
      <c r="L15" s="10" t="s">
        <v>42209</v>
      </c>
      <c r="M15" s="10" t="s">
        <v>21</v>
      </c>
      <c r="N15" s="10" t="s">
        <v>42210</v>
      </c>
      <c r="O15" s="10" t="s">
        <v>372</v>
      </c>
      <c r="P15" s="1" t="s">
        <v>30089</v>
      </c>
      <c r="Q15" s="64" t="s">
        <v>42211</v>
      </c>
      <c r="R15" s="10" t="s">
        <v>94</v>
      </c>
      <c r="S15" s="63" t="s">
        <v>22</v>
      </c>
      <c r="T15" s="34" t="s">
        <v>26781</v>
      </c>
      <c r="U15" s="34" t="s">
        <v>26572</v>
      </c>
      <c r="V15" s="54" t="s">
        <v>42479</v>
      </c>
      <c r="W15" s="54" t="s">
        <v>42480</v>
      </c>
      <c r="X15" s="68">
        <v>5401</v>
      </c>
      <c r="Y15" s="33"/>
      <c r="Z15" s="68" t="s">
        <v>42966</v>
      </c>
      <c r="AA15" s="33">
        <v>7656</v>
      </c>
      <c r="AB15" s="1"/>
      <c r="AC15" s="1"/>
      <c r="AD15" s="33"/>
      <c r="AE15" s="1"/>
      <c r="AF15" s="1"/>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row>
    <row r="16" spans="1:66" s="68" customFormat="1" ht="12" customHeight="1" x14ac:dyDescent="0.15">
      <c r="A16" s="10" t="s">
        <v>40184</v>
      </c>
      <c r="B16" s="99">
        <v>34</v>
      </c>
      <c r="C16" s="10" t="s">
        <v>14</v>
      </c>
      <c r="D16" s="10" t="s">
        <v>24</v>
      </c>
      <c r="E16" s="10"/>
      <c r="F16" s="67">
        <v>43828</v>
      </c>
      <c r="G16" s="10" t="s">
        <v>40185</v>
      </c>
      <c r="H16" s="10" t="s">
        <v>40186</v>
      </c>
      <c r="I16" s="10" t="s">
        <v>309</v>
      </c>
      <c r="J16" s="65">
        <v>99801</v>
      </c>
      <c r="K16" s="10" t="s">
        <v>40186</v>
      </c>
      <c r="L16" s="10" t="s">
        <v>40187</v>
      </c>
      <c r="M16" s="10" t="s">
        <v>21</v>
      </c>
      <c r="N16" s="10" t="s">
        <v>40188</v>
      </c>
      <c r="O16" s="10" t="s">
        <v>372</v>
      </c>
      <c r="P16" s="1" t="s">
        <v>30089</v>
      </c>
      <c r="Q16" s="64" t="s">
        <v>40189</v>
      </c>
      <c r="R16" s="10" t="s">
        <v>94</v>
      </c>
      <c r="S16" s="63" t="s">
        <v>29</v>
      </c>
      <c r="T16" s="68" t="s">
        <v>26614</v>
      </c>
      <c r="U16" s="68" t="s">
        <v>26570</v>
      </c>
      <c r="V16" s="68" t="s">
        <v>26573</v>
      </c>
      <c r="W16" s="68" t="s">
        <v>94</v>
      </c>
      <c r="X16" s="68">
        <v>5313</v>
      </c>
      <c r="Y16" s="33"/>
      <c r="Z16" s="68" t="s">
        <v>42968</v>
      </c>
      <c r="AA16" s="33">
        <v>7653</v>
      </c>
      <c r="AB16" s="1"/>
      <c r="AC16" s="1"/>
      <c r="AD16" s="33"/>
      <c r="AE16" s="1"/>
      <c r="AF16" s="1"/>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row>
    <row r="17" spans="1:66" s="68" customFormat="1" ht="12" customHeight="1" x14ac:dyDescent="0.15">
      <c r="A17" s="10" t="s">
        <v>39777</v>
      </c>
      <c r="B17" s="99">
        <v>31</v>
      </c>
      <c r="C17" s="10" t="s">
        <v>14</v>
      </c>
      <c r="D17" s="10" t="s">
        <v>24</v>
      </c>
      <c r="E17" s="10"/>
      <c r="F17" s="67">
        <v>43827</v>
      </c>
      <c r="G17" s="10" t="s">
        <v>39778</v>
      </c>
      <c r="H17" s="10" t="s">
        <v>1397</v>
      </c>
      <c r="I17" s="10" t="s">
        <v>63</v>
      </c>
      <c r="J17" s="65">
        <v>43130</v>
      </c>
      <c r="K17" s="10" t="s">
        <v>4499</v>
      </c>
      <c r="L17" s="10" t="s">
        <v>2121</v>
      </c>
      <c r="M17" s="10" t="s">
        <v>21</v>
      </c>
      <c r="N17" s="10" t="s">
        <v>39779</v>
      </c>
      <c r="O17" s="10" t="s">
        <v>372</v>
      </c>
      <c r="P17" s="1" t="s">
        <v>30089</v>
      </c>
      <c r="Q17" s="64" t="s">
        <v>39780</v>
      </c>
      <c r="R17" s="10" t="s">
        <v>94</v>
      </c>
      <c r="S17" s="63" t="s">
        <v>22</v>
      </c>
      <c r="T17" s="68" t="s">
        <v>26774</v>
      </c>
      <c r="U17" s="68" t="s">
        <v>26572</v>
      </c>
      <c r="V17" s="68" t="s">
        <v>26573</v>
      </c>
      <c r="W17" s="68" t="s">
        <v>94</v>
      </c>
      <c r="X17" s="68">
        <v>5321</v>
      </c>
      <c r="Y17" s="33"/>
      <c r="Z17" s="68" t="s">
        <v>42968</v>
      </c>
      <c r="AA17" s="33">
        <v>7649</v>
      </c>
      <c r="AB17" s="1"/>
      <c r="AC17" s="1"/>
      <c r="AD17" s="33"/>
      <c r="AE17" s="1"/>
      <c r="AF17" s="1"/>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row>
    <row r="18" spans="1:66" s="68" customFormat="1" ht="12" customHeight="1" x14ac:dyDescent="0.15">
      <c r="A18" s="10" t="s">
        <v>40522</v>
      </c>
      <c r="B18" s="99">
        <v>31</v>
      </c>
      <c r="C18" s="10" t="s">
        <v>14</v>
      </c>
      <c r="D18" s="10" t="s">
        <v>31</v>
      </c>
      <c r="E18" s="62" t="s">
        <v>40523</v>
      </c>
      <c r="F18" s="67">
        <v>43827</v>
      </c>
      <c r="G18" s="10" t="s">
        <v>40524</v>
      </c>
      <c r="H18" s="10" t="s">
        <v>20354</v>
      </c>
      <c r="I18" s="10" t="s">
        <v>298</v>
      </c>
      <c r="J18" s="65">
        <v>37643</v>
      </c>
      <c r="K18" s="10" t="s">
        <v>761</v>
      </c>
      <c r="L18" s="10" t="s">
        <v>20356</v>
      </c>
      <c r="M18" s="10" t="s">
        <v>21</v>
      </c>
      <c r="N18" s="10" t="s">
        <v>40525</v>
      </c>
      <c r="O18" s="10" t="s">
        <v>372</v>
      </c>
      <c r="P18" s="1" t="s">
        <v>30089</v>
      </c>
      <c r="Q18" s="64" t="s">
        <v>40526</v>
      </c>
      <c r="R18" s="10" t="s">
        <v>94</v>
      </c>
      <c r="S18" s="63" t="s">
        <v>29</v>
      </c>
      <c r="T18" s="68" t="s">
        <v>26576</v>
      </c>
      <c r="U18" s="68" t="s">
        <v>26572</v>
      </c>
      <c r="V18" s="68" t="s">
        <v>26573</v>
      </c>
      <c r="W18" s="68" t="s">
        <v>94</v>
      </c>
      <c r="X18" s="68">
        <v>5316</v>
      </c>
      <c r="Y18" s="33"/>
      <c r="Z18" s="68" t="s">
        <v>42968</v>
      </c>
      <c r="AA18" s="33">
        <v>7651</v>
      </c>
      <c r="AB18" s="1"/>
      <c r="AC18" s="1"/>
      <c r="AD18" s="33"/>
      <c r="AE18" s="1"/>
      <c r="AF18" s="1"/>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row>
    <row r="19" spans="1:66" s="68" customFormat="1" ht="12" customHeight="1" x14ac:dyDescent="0.15">
      <c r="A19" s="10" t="s">
        <v>41103</v>
      </c>
      <c r="B19" s="99">
        <v>52</v>
      </c>
      <c r="C19" s="10" t="s">
        <v>14</v>
      </c>
      <c r="D19" s="10" t="s">
        <v>31</v>
      </c>
      <c r="E19" s="62" t="s">
        <v>41104</v>
      </c>
      <c r="F19" s="67">
        <v>43827</v>
      </c>
      <c r="G19" s="10" t="s">
        <v>41105</v>
      </c>
      <c r="H19" s="10" t="s">
        <v>674</v>
      </c>
      <c r="I19" s="10" t="s">
        <v>67</v>
      </c>
      <c r="J19" s="65">
        <v>77030</v>
      </c>
      <c r="K19" s="10" t="s">
        <v>515</v>
      </c>
      <c r="L19" s="10" t="s">
        <v>41106</v>
      </c>
      <c r="M19" s="10" t="s">
        <v>21</v>
      </c>
      <c r="N19" s="10" t="s">
        <v>41107</v>
      </c>
      <c r="O19" s="10" t="s">
        <v>372</v>
      </c>
      <c r="P19" s="1" t="s">
        <v>30089</v>
      </c>
      <c r="Q19" s="64" t="s">
        <v>41108</v>
      </c>
      <c r="R19" s="10" t="s">
        <v>512</v>
      </c>
      <c r="S19" s="63" t="s">
        <v>22</v>
      </c>
      <c r="T19" s="68" t="s">
        <v>26781</v>
      </c>
      <c r="U19" s="68" t="s">
        <v>26570</v>
      </c>
      <c r="V19" s="68" t="s">
        <v>26573</v>
      </c>
      <c r="W19" s="68" t="s">
        <v>94</v>
      </c>
      <c r="X19" s="68">
        <v>5315</v>
      </c>
      <c r="Y19" s="33"/>
      <c r="Z19" s="68" t="s">
        <v>42968</v>
      </c>
      <c r="AA19" s="33">
        <v>7648</v>
      </c>
      <c r="AB19" s="1"/>
      <c r="AC19" s="1"/>
      <c r="AD19" s="33"/>
      <c r="AE19" s="1"/>
      <c r="AF19" s="1"/>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row>
    <row r="20" spans="1:66" s="68" customFormat="1" ht="12" customHeight="1" x14ac:dyDescent="0.15">
      <c r="A20" s="10" t="s">
        <v>41841</v>
      </c>
      <c r="B20" s="99">
        <v>34</v>
      </c>
      <c r="C20" s="10" t="s">
        <v>14</v>
      </c>
      <c r="D20" s="10" t="s">
        <v>31</v>
      </c>
      <c r="E20" s="10"/>
      <c r="F20" s="67">
        <v>43827</v>
      </c>
      <c r="G20" s="10" t="s">
        <v>41842</v>
      </c>
      <c r="H20" s="10" t="s">
        <v>41843</v>
      </c>
      <c r="I20" s="10" t="s">
        <v>39</v>
      </c>
      <c r="J20" s="65">
        <v>95423</v>
      </c>
      <c r="K20" s="10" t="s">
        <v>1179</v>
      </c>
      <c r="L20" s="10" t="s">
        <v>1180</v>
      </c>
      <c r="M20" s="10" t="s">
        <v>21</v>
      </c>
      <c r="N20" s="10" t="s">
        <v>41844</v>
      </c>
      <c r="O20" s="10" t="s">
        <v>372</v>
      </c>
      <c r="P20" s="1" t="s">
        <v>30089</v>
      </c>
      <c r="Q20" s="64" t="s">
        <v>41845</v>
      </c>
      <c r="R20" s="10" t="s">
        <v>94</v>
      </c>
      <c r="S20" s="63" t="s">
        <v>22</v>
      </c>
      <c r="T20" s="34" t="s">
        <v>26774</v>
      </c>
      <c r="U20" s="34" t="s">
        <v>26572</v>
      </c>
      <c r="V20" s="54" t="s">
        <v>42481</v>
      </c>
      <c r="W20" s="54" t="s">
        <v>42480</v>
      </c>
      <c r="X20" s="68">
        <v>5400</v>
      </c>
      <c r="Y20" s="33"/>
      <c r="Z20" s="68" t="s">
        <v>42967</v>
      </c>
      <c r="AA20" s="33">
        <v>7650</v>
      </c>
      <c r="AB20" s="1"/>
      <c r="AC20" s="1"/>
      <c r="AD20" s="33"/>
      <c r="AE20" s="1"/>
      <c r="AF20" s="1"/>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row>
    <row r="21" spans="1:66" s="68" customFormat="1" ht="12" customHeight="1" x14ac:dyDescent="0.15">
      <c r="A21" s="10" t="s">
        <v>40553</v>
      </c>
      <c r="B21" s="99">
        <v>27</v>
      </c>
      <c r="C21" s="10" t="s">
        <v>14</v>
      </c>
      <c r="D21" s="10" t="s">
        <v>24</v>
      </c>
      <c r="E21" s="10"/>
      <c r="F21" s="67">
        <v>43827</v>
      </c>
      <c r="G21" s="10" t="s">
        <v>40554</v>
      </c>
      <c r="H21" s="10" t="s">
        <v>631</v>
      </c>
      <c r="I21" s="10" t="s">
        <v>39</v>
      </c>
      <c r="J21" s="65">
        <v>93305</v>
      </c>
      <c r="K21" s="10" t="s">
        <v>632</v>
      </c>
      <c r="L21" s="10" t="s">
        <v>40555</v>
      </c>
      <c r="M21" s="10" t="s">
        <v>21</v>
      </c>
      <c r="N21" s="10" t="s">
        <v>40556</v>
      </c>
      <c r="O21" s="10" t="s">
        <v>372</v>
      </c>
      <c r="P21" s="1" t="s">
        <v>30089</v>
      </c>
      <c r="Q21" s="64" t="s">
        <v>40557</v>
      </c>
      <c r="R21" s="10" t="s">
        <v>94</v>
      </c>
      <c r="S21" s="63" t="s">
        <v>29</v>
      </c>
      <c r="T21" s="68" t="s">
        <v>26576</v>
      </c>
      <c r="U21" s="68" t="s">
        <v>26572</v>
      </c>
      <c r="V21" s="68" t="s">
        <v>26573</v>
      </c>
      <c r="W21" s="68" t="s">
        <v>94</v>
      </c>
      <c r="X21" s="68">
        <v>5319</v>
      </c>
      <c r="Y21" s="33"/>
      <c r="Z21" s="68" t="s">
        <v>42966</v>
      </c>
      <c r="AA21" s="33">
        <v>7652</v>
      </c>
      <c r="AB21" s="1"/>
      <c r="AC21" s="1"/>
      <c r="AD21" s="33"/>
      <c r="AE21" s="1"/>
      <c r="AF21" s="1"/>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row>
    <row r="22" spans="1:66" s="68" customFormat="1" ht="12" customHeight="1" x14ac:dyDescent="0.15">
      <c r="A22" s="10" t="s">
        <v>41231</v>
      </c>
      <c r="B22" s="70"/>
      <c r="C22" s="10" t="s">
        <v>14</v>
      </c>
      <c r="D22" s="10" t="s">
        <v>24</v>
      </c>
      <c r="E22" s="10"/>
      <c r="F22" s="67">
        <v>43826</v>
      </c>
      <c r="G22" s="10" t="s">
        <v>41232</v>
      </c>
      <c r="H22" s="10" t="s">
        <v>18709</v>
      </c>
      <c r="I22" s="10" t="s">
        <v>46</v>
      </c>
      <c r="J22" s="65">
        <v>21090</v>
      </c>
      <c r="K22" s="10" t="s">
        <v>2937</v>
      </c>
      <c r="L22" s="10" t="s">
        <v>41233</v>
      </c>
      <c r="M22" s="10" t="s">
        <v>21</v>
      </c>
      <c r="N22" s="10" t="s">
        <v>41234</v>
      </c>
      <c r="O22" s="10" t="s">
        <v>372</v>
      </c>
      <c r="P22" s="1" t="s">
        <v>30089</v>
      </c>
      <c r="Q22" s="64" t="s">
        <v>41235</v>
      </c>
      <c r="R22" s="10" t="s">
        <v>512</v>
      </c>
      <c r="S22" s="63" t="s">
        <v>22</v>
      </c>
      <c r="T22" s="68" t="s">
        <v>26781</v>
      </c>
      <c r="U22" s="68" t="s">
        <v>26572</v>
      </c>
      <c r="V22" s="68" t="s">
        <v>26573</v>
      </c>
      <c r="W22" s="68" t="s">
        <v>94</v>
      </c>
      <c r="X22" s="68">
        <v>5323</v>
      </c>
      <c r="Y22" s="33"/>
      <c r="Z22" s="68" t="s">
        <v>42968</v>
      </c>
      <c r="AA22" s="33">
        <v>7644</v>
      </c>
      <c r="AB22" s="1"/>
      <c r="AC22" s="1"/>
      <c r="AD22" s="33"/>
      <c r="AE22" s="1"/>
      <c r="AF22" s="1"/>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row>
    <row r="23" spans="1:66" s="68" customFormat="1" ht="12" customHeight="1" x14ac:dyDescent="0.15">
      <c r="A23" s="10" t="s">
        <v>39912</v>
      </c>
      <c r="B23" s="99">
        <v>43</v>
      </c>
      <c r="C23" s="10" t="s">
        <v>14</v>
      </c>
      <c r="D23" s="10" t="s">
        <v>31</v>
      </c>
      <c r="E23" s="10"/>
      <c r="F23" s="67">
        <v>43826</v>
      </c>
      <c r="G23" s="10" t="s">
        <v>39913</v>
      </c>
      <c r="H23" s="10" t="s">
        <v>1382</v>
      </c>
      <c r="I23" s="10" t="s">
        <v>225</v>
      </c>
      <c r="J23" s="65">
        <v>23606</v>
      </c>
      <c r="K23" s="10" t="s">
        <v>26823</v>
      </c>
      <c r="L23" s="10" t="s">
        <v>1384</v>
      </c>
      <c r="M23" s="10" t="s">
        <v>21</v>
      </c>
      <c r="N23" s="10" t="s">
        <v>39914</v>
      </c>
      <c r="O23" s="10" t="s">
        <v>372</v>
      </c>
      <c r="P23" s="1" t="s">
        <v>30089</v>
      </c>
      <c r="Q23" s="64" t="s">
        <v>39915</v>
      </c>
      <c r="R23" s="10" t="s">
        <v>512</v>
      </c>
      <c r="S23" s="63" t="s">
        <v>22</v>
      </c>
      <c r="T23" s="68" t="s">
        <v>363</v>
      </c>
      <c r="U23" s="68" t="s">
        <v>26572</v>
      </c>
      <c r="V23" s="68" t="s">
        <v>26573</v>
      </c>
      <c r="W23" s="68" t="s">
        <v>94</v>
      </c>
      <c r="X23" s="68">
        <v>5320</v>
      </c>
      <c r="Y23" s="33"/>
      <c r="Z23" s="68" t="s">
        <v>42966</v>
      </c>
      <c r="AA23" s="33">
        <v>7645</v>
      </c>
      <c r="AB23" s="1"/>
      <c r="AC23" s="1"/>
      <c r="AD23" s="33"/>
      <c r="AE23" s="1"/>
      <c r="AF23" s="1"/>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row>
    <row r="24" spans="1:66" s="68" customFormat="1" ht="12" customHeight="1" x14ac:dyDescent="0.15">
      <c r="A24" s="10" t="s">
        <v>40355</v>
      </c>
      <c r="B24" s="99">
        <v>42</v>
      </c>
      <c r="C24" s="10" t="s">
        <v>14</v>
      </c>
      <c r="D24" s="10" t="s">
        <v>31</v>
      </c>
      <c r="E24" s="62" t="s">
        <v>40356</v>
      </c>
      <c r="F24" s="67">
        <v>43826</v>
      </c>
      <c r="G24" s="10" t="s">
        <v>40357</v>
      </c>
      <c r="H24" s="10" t="s">
        <v>40358</v>
      </c>
      <c r="I24" s="10" t="s">
        <v>221</v>
      </c>
      <c r="J24" s="65">
        <v>84405</v>
      </c>
      <c r="K24" s="10" t="s">
        <v>1356</v>
      </c>
      <c r="L24" s="10" t="s">
        <v>40359</v>
      </c>
      <c r="M24" s="10" t="s">
        <v>21</v>
      </c>
      <c r="N24" s="10" t="s">
        <v>40360</v>
      </c>
      <c r="O24" s="10" t="s">
        <v>372</v>
      </c>
      <c r="P24" s="1" t="s">
        <v>30089</v>
      </c>
      <c r="Q24" s="64" t="s">
        <v>40361</v>
      </c>
      <c r="R24" s="10" t="s">
        <v>904</v>
      </c>
      <c r="S24" s="63" t="s">
        <v>29</v>
      </c>
      <c r="T24" s="68" t="s">
        <v>26575</v>
      </c>
      <c r="U24" s="68" t="s">
        <v>26575</v>
      </c>
      <c r="V24" s="68" t="s">
        <v>26571</v>
      </c>
      <c r="W24" s="68" t="s">
        <v>94</v>
      </c>
      <c r="X24" s="68">
        <v>5324</v>
      </c>
      <c r="Y24" s="33"/>
      <c r="Z24" s="68" t="s">
        <v>42968</v>
      </c>
      <c r="AA24" s="33">
        <v>7646</v>
      </c>
      <c r="AB24" s="1"/>
      <c r="AC24" s="1"/>
      <c r="AD24" s="33"/>
      <c r="AE24" s="1"/>
      <c r="AF24" s="1"/>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row>
    <row r="25" spans="1:66" s="68" customFormat="1" ht="12" customHeight="1" x14ac:dyDescent="0.15">
      <c r="A25" s="10" t="s">
        <v>40454</v>
      </c>
      <c r="B25" s="99">
        <v>16</v>
      </c>
      <c r="C25" s="10" t="s">
        <v>14</v>
      </c>
      <c r="D25" s="10" t="s">
        <v>24</v>
      </c>
      <c r="E25" s="10"/>
      <c r="F25" s="67">
        <v>43826</v>
      </c>
      <c r="G25" s="10" t="s">
        <v>40455</v>
      </c>
      <c r="H25" s="10" t="s">
        <v>40456</v>
      </c>
      <c r="I25" s="10" t="s">
        <v>4034</v>
      </c>
      <c r="J25" s="65">
        <v>4048</v>
      </c>
      <c r="K25" s="10" t="s">
        <v>1499</v>
      </c>
      <c r="L25" s="10" t="s">
        <v>10417</v>
      </c>
      <c r="M25" s="10" t="s">
        <v>21</v>
      </c>
      <c r="N25" s="10" t="s">
        <v>40457</v>
      </c>
      <c r="O25" s="10" t="s">
        <v>372</v>
      </c>
      <c r="P25" s="1" t="s">
        <v>30089</v>
      </c>
      <c r="Q25" s="64" t="s">
        <v>40458</v>
      </c>
      <c r="R25" s="10" t="s">
        <v>94</v>
      </c>
      <c r="S25" s="63" t="s">
        <v>29</v>
      </c>
      <c r="T25" s="68" t="s">
        <v>26575</v>
      </c>
      <c r="U25" s="68" t="s">
        <v>26575</v>
      </c>
      <c r="V25" s="68">
        <v>0</v>
      </c>
      <c r="W25" s="68" t="s">
        <v>94</v>
      </c>
      <c r="X25" s="68">
        <v>5322</v>
      </c>
      <c r="Y25" s="33"/>
      <c r="Z25" s="68" t="s">
        <v>42967</v>
      </c>
      <c r="AA25" s="33">
        <v>7647</v>
      </c>
      <c r="AB25" s="1"/>
      <c r="AC25" s="1"/>
      <c r="AD25" s="33"/>
      <c r="AE25" s="1"/>
      <c r="AF25" s="1"/>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row>
    <row r="26" spans="1:66" s="68" customFormat="1" ht="12" customHeight="1" x14ac:dyDescent="0.15">
      <c r="A26" s="10" t="s">
        <v>40494</v>
      </c>
      <c r="B26" s="99">
        <v>35</v>
      </c>
      <c r="C26" s="10" t="s">
        <v>14</v>
      </c>
      <c r="D26" s="10" t="s">
        <v>79</v>
      </c>
      <c r="E26" s="62" t="s">
        <v>40495</v>
      </c>
      <c r="F26" s="67">
        <v>43825</v>
      </c>
      <c r="G26" s="10" t="s">
        <v>40496</v>
      </c>
      <c r="H26" s="10" t="s">
        <v>1116</v>
      </c>
      <c r="I26" s="10" t="s">
        <v>298</v>
      </c>
      <c r="J26" s="65">
        <v>38127</v>
      </c>
      <c r="K26" s="10" t="s">
        <v>1117</v>
      </c>
      <c r="L26" s="10" t="s">
        <v>1118</v>
      </c>
      <c r="M26" s="10" t="s">
        <v>21</v>
      </c>
      <c r="N26" s="10" t="s">
        <v>40497</v>
      </c>
      <c r="O26" s="10" t="s">
        <v>372</v>
      </c>
      <c r="P26" s="1" t="s">
        <v>30089</v>
      </c>
      <c r="Q26" s="64" t="s">
        <v>40498</v>
      </c>
      <c r="R26" s="10" t="s">
        <v>94</v>
      </c>
      <c r="S26" s="63" t="s">
        <v>29</v>
      </c>
      <c r="T26" s="68" t="s">
        <v>26576</v>
      </c>
      <c r="U26" s="68" t="s">
        <v>26570</v>
      </c>
      <c r="V26" s="68">
        <v>0</v>
      </c>
      <c r="W26" s="68" t="s">
        <v>94</v>
      </c>
      <c r="X26" s="68">
        <v>5314</v>
      </c>
      <c r="Y26" s="33"/>
      <c r="Z26" s="68" t="s">
        <v>42968</v>
      </c>
      <c r="AA26" s="33">
        <v>7643</v>
      </c>
      <c r="AB26" s="1"/>
      <c r="AC26" s="1"/>
      <c r="AD26" s="33"/>
      <c r="AE26" s="1"/>
      <c r="AF26" s="1"/>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row>
    <row r="27" spans="1:66" s="68" customFormat="1" ht="12" customHeight="1" x14ac:dyDescent="0.15">
      <c r="A27" s="10" t="s">
        <v>41115</v>
      </c>
      <c r="B27" s="99">
        <v>35</v>
      </c>
      <c r="C27" s="10" t="s">
        <v>14</v>
      </c>
      <c r="D27" s="10" t="s">
        <v>42</v>
      </c>
      <c r="E27" s="10"/>
      <c r="F27" s="67">
        <v>43825</v>
      </c>
      <c r="G27" s="10" t="s">
        <v>41116</v>
      </c>
      <c r="H27" s="10" t="s">
        <v>237</v>
      </c>
      <c r="I27" s="10" t="s">
        <v>56</v>
      </c>
      <c r="J27" s="65">
        <v>33823</v>
      </c>
      <c r="K27" s="10" t="s">
        <v>1736</v>
      </c>
      <c r="L27" s="10" t="s">
        <v>238</v>
      </c>
      <c r="M27" s="10" t="s">
        <v>21</v>
      </c>
      <c r="N27" s="10" t="s">
        <v>41117</v>
      </c>
      <c r="O27" s="10" t="s">
        <v>372</v>
      </c>
      <c r="P27" s="1" t="s">
        <v>30089</v>
      </c>
      <c r="Q27" s="64" t="s">
        <v>41118</v>
      </c>
      <c r="R27" s="10" t="s">
        <v>512</v>
      </c>
      <c r="S27" s="63" t="s">
        <v>22</v>
      </c>
      <c r="T27" s="68" t="s">
        <v>26781</v>
      </c>
      <c r="U27" s="68" t="s">
        <v>26572</v>
      </c>
      <c r="V27" s="68" t="s">
        <v>26573</v>
      </c>
      <c r="W27" s="68" t="s">
        <v>94</v>
      </c>
      <c r="X27" s="68">
        <v>5325</v>
      </c>
      <c r="Y27" s="33"/>
      <c r="Z27" s="68" t="s">
        <v>42968</v>
      </c>
      <c r="AA27" s="33">
        <v>7642</v>
      </c>
      <c r="AB27" s="1"/>
      <c r="AC27" s="1"/>
      <c r="AD27" s="33"/>
      <c r="AE27" s="1"/>
      <c r="AF27" s="1"/>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row>
    <row r="28" spans="1:66" s="68" customFormat="1" ht="12" customHeight="1" x14ac:dyDescent="0.15">
      <c r="A28" s="10" t="s">
        <v>40631</v>
      </c>
      <c r="B28" s="99">
        <v>23</v>
      </c>
      <c r="C28" s="10" t="s">
        <v>14</v>
      </c>
      <c r="D28" s="10" t="s">
        <v>79</v>
      </c>
      <c r="E28" s="64" t="s">
        <v>40632</v>
      </c>
      <c r="F28" s="67">
        <v>43824</v>
      </c>
      <c r="G28" s="10" t="s">
        <v>40633</v>
      </c>
      <c r="H28" s="10" t="s">
        <v>1786</v>
      </c>
      <c r="I28" s="10" t="s">
        <v>160</v>
      </c>
      <c r="J28" s="65">
        <v>30349</v>
      </c>
      <c r="K28" s="10" t="s">
        <v>1454</v>
      </c>
      <c r="L28" s="10" t="s">
        <v>40634</v>
      </c>
      <c r="M28" s="10" t="s">
        <v>21</v>
      </c>
      <c r="N28" s="10" t="s">
        <v>40635</v>
      </c>
      <c r="O28" s="10" t="s">
        <v>372</v>
      </c>
      <c r="P28" s="1" t="s">
        <v>30089</v>
      </c>
      <c r="Q28" s="64" t="s">
        <v>40636</v>
      </c>
      <c r="R28" s="10" t="s">
        <v>94</v>
      </c>
      <c r="S28" s="63" t="s">
        <v>351</v>
      </c>
      <c r="T28" s="68" t="s">
        <v>26867</v>
      </c>
      <c r="U28" s="68" t="s">
        <v>26570</v>
      </c>
      <c r="V28" s="68" t="s">
        <v>26571</v>
      </c>
      <c r="W28" s="68" t="s">
        <v>94</v>
      </c>
      <c r="X28" s="68">
        <v>5330</v>
      </c>
      <c r="Y28" s="33"/>
      <c r="Z28" s="68" t="s">
        <v>42968</v>
      </c>
      <c r="AA28" s="33">
        <v>7641</v>
      </c>
      <c r="AB28" s="1"/>
      <c r="AC28" s="1"/>
      <c r="AD28" s="33"/>
      <c r="AE28" s="1"/>
      <c r="AF28" s="1"/>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row>
    <row r="29" spans="1:66" s="68" customFormat="1" ht="12" customHeight="1" x14ac:dyDescent="0.15">
      <c r="A29" s="10" t="s">
        <v>41240</v>
      </c>
      <c r="B29" s="99">
        <v>59</v>
      </c>
      <c r="C29" s="10" t="s">
        <v>103</v>
      </c>
      <c r="D29" s="10" t="s">
        <v>24</v>
      </c>
      <c r="E29" s="10"/>
      <c r="F29" s="67">
        <v>43824</v>
      </c>
      <c r="G29" s="10" t="s">
        <v>41241</v>
      </c>
      <c r="H29" s="10" t="s">
        <v>2814</v>
      </c>
      <c r="I29" s="10" t="s">
        <v>56</v>
      </c>
      <c r="J29" s="65">
        <v>34476</v>
      </c>
      <c r="K29" s="10" t="s">
        <v>392</v>
      </c>
      <c r="L29" s="10" t="s">
        <v>41242</v>
      </c>
      <c r="M29" s="10" t="s">
        <v>21</v>
      </c>
      <c r="N29" s="10" t="s">
        <v>41243</v>
      </c>
      <c r="O29" s="10" t="s">
        <v>372</v>
      </c>
      <c r="P29" s="1" t="s">
        <v>30089</v>
      </c>
      <c r="Q29" s="64" t="s">
        <v>41244</v>
      </c>
      <c r="R29" s="10" t="s">
        <v>512</v>
      </c>
      <c r="S29" s="63" t="s">
        <v>22</v>
      </c>
      <c r="T29" s="68" t="s">
        <v>26781</v>
      </c>
      <c r="U29" s="68" t="s">
        <v>26572</v>
      </c>
      <c r="V29" s="68" t="s">
        <v>26573</v>
      </c>
      <c r="W29" s="68" t="s">
        <v>94</v>
      </c>
      <c r="X29" s="68">
        <v>5328</v>
      </c>
      <c r="Y29" s="33"/>
      <c r="Z29" s="68" t="s">
        <v>42968</v>
      </c>
      <c r="AA29" s="33">
        <v>7640</v>
      </c>
      <c r="AB29" s="1"/>
      <c r="AC29" s="1"/>
      <c r="AD29" s="33"/>
      <c r="AE29" s="1"/>
      <c r="AF29" s="1"/>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row>
    <row r="30" spans="1:66" s="68" customFormat="1" ht="12" customHeight="1" x14ac:dyDescent="0.15">
      <c r="A30" s="10" t="s">
        <v>42212</v>
      </c>
      <c r="B30" s="99">
        <v>56</v>
      </c>
      <c r="C30" s="10" t="s">
        <v>14</v>
      </c>
      <c r="D30" s="10" t="s">
        <v>24</v>
      </c>
      <c r="E30" s="63"/>
      <c r="F30" s="67">
        <v>43823</v>
      </c>
      <c r="G30" s="10" t="s">
        <v>42213</v>
      </c>
      <c r="H30" s="10" t="s">
        <v>3846</v>
      </c>
      <c r="I30" s="10" t="s">
        <v>402</v>
      </c>
      <c r="J30" s="65">
        <v>65807</v>
      </c>
      <c r="K30" s="10" t="s">
        <v>4549</v>
      </c>
      <c r="L30" s="10" t="s">
        <v>3849</v>
      </c>
      <c r="M30" s="10" t="s">
        <v>21</v>
      </c>
      <c r="N30" s="10" t="s">
        <v>42214</v>
      </c>
      <c r="O30" s="10" t="s">
        <v>372</v>
      </c>
      <c r="P30" s="1" t="s">
        <v>30089</v>
      </c>
      <c r="Q30" s="64" t="s">
        <v>42215</v>
      </c>
      <c r="R30" s="10" t="s">
        <v>94</v>
      </c>
      <c r="S30" s="63" t="s">
        <v>22</v>
      </c>
      <c r="T30" s="34" t="s">
        <v>26781</v>
      </c>
      <c r="U30" s="34" t="s">
        <v>26570</v>
      </c>
      <c r="V30" s="54" t="s">
        <v>42479</v>
      </c>
      <c r="W30" s="54" t="s">
        <v>42480</v>
      </c>
      <c r="X30" s="68">
        <v>5399</v>
      </c>
      <c r="Y30" s="33"/>
      <c r="Z30" s="68" t="s">
        <v>42966</v>
      </c>
      <c r="AA30" s="33">
        <v>7639</v>
      </c>
      <c r="AB30" s="1"/>
      <c r="AC30" s="1"/>
      <c r="AD30" s="33"/>
      <c r="AE30" s="1"/>
      <c r="AF30" s="1"/>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row>
    <row r="31" spans="1:66" s="68" customFormat="1" ht="12" customHeight="1" x14ac:dyDescent="0.15">
      <c r="A31" s="10" t="s">
        <v>41236</v>
      </c>
      <c r="B31" s="99">
        <v>65</v>
      </c>
      <c r="C31" s="10" t="s">
        <v>14</v>
      </c>
      <c r="D31" s="10" t="s">
        <v>24</v>
      </c>
      <c r="E31" s="63"/>
      <c r="F31" s="67">
        <v>43823</v>
      </c>
      <c r="G31" s="10" t="s">
        <v>41237</v>
      </c>
      <c r="H31" s="10" t="s">
        <v>3569</v>
      </c>
      <c r="I31" s="10" t="s">
        <v>56</v>
      </c>
      <c r="J31" s="65">
        <v>32725</v>
      </c>
      <c r="K31" s="10" t="s">
        <v>3571</v>
      </c>
      <c r="L31" s="10" t="s">
        <v>242</v>
      </c>
      <c r="M31" s="10" t="s">
        <v>21</v>
      </c>
      <c r="N31" s="10" t="s">
        <v>41238</v>
      </c>
      <c r="O31" s="10" t="s">
        <v>372</v>
      </c>
      <c r="P31" s="1" t="s">
        <v>30089</v>
      </c>
      <c r="Q31" s="64" t="s">
        <v>41239</v>
      </c>
      <c r="R31" s="10" t="s">
        <v>512</v>
      </c>
      <c r="S31" s="63" t="s">
        <v>22</v>
      </c>
      <c r="T31" s="68" t="s">
        <v>26781</v>
      </c>
      <c r="U31" s="68" t="s">
        <v>26572</v>
      </c>
      <c r="V31" s="68" t="s">
        <v>26573</v>
      </c>
      <c r="W31" s="68" t="s">
        <v>512</v>
      </c>
      <c r="X31" s="68">
        <v>5326</v>
      </c>
      <c r="Y31" s="33"/>
      <c r="Z31" s="68" t="s">
        <v>42968</v>
      </c>
      <c r="AA31" s="33">
        <v>7638</v>
      </c>
      <c r="AB31" s="1"/>
      <c r="AC31" s="1"/>
      <c r="AD31" s="33"/>
      <c r="AE31" s="1"/>
      <c r="AF31" s="1"/>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row>
    <row r="32" spans="1:66" s="68" customFormat="1" ht="12" customHeight="1" x14ac:dyDescent="0.15">
      <c r="A32" s="10" t="s">
        <v>37785</v>
      </c>
      <c r="B32" s="99">
        <v>60</v>
      </c>
      <c r="C32" s="10" t="s">
        <v>14</v>
      </c>
      <c r="D32" s="10" t="s">
        <v>79</v>
      </c>
      <c r="E32" s="64" t="s">
        <v>37786</v>
      </c>
      <c r="F32" s="67">
        <v>43823</v>
      </c>
      <c r="G32" s="10" t="s">
        <v>37787</v>
      </c>
      <c r="H32" s="10" t="s">
        <v>1027</v>
      </c>
      <c r="I32" s="10" t="s">
        <v>367</v>
      </c>
      <c r="J32" s="65">
        <v>73111</v>
      </c>
      <c r="K32" s="10" t="s">
        <v>1028</v>
      </c>
      <c r="L32" s="10" t="s">
        <v>1029</v>
      </c>
      <c r="M32" s="10" t="s">
        <v>21</v>
      </c>
      <c r="N32" s="10" t="s">
        <v>37788</v>
      </c>
      <c r="O32" s="10" t="s">
        <v>372</v>
      </c>
      <c r="P32" s="1" t="s">
        <v>30089</v>
      </c>
      <c r="Q32" s="64" t="s">
        <v>37789</v>
      </c>
      <c r="R32" s="10" t="s">
        <v>904</v>
      </c>
      <c r="S32" s="63" t="s">
        <v>22</v>
      </c>
      <c r="T32" s="68" t="s">
        <v>26781</v>
      </c>
      <c r="U32" s="68" t="s">
        <v>26572</v>
      </c>
      <c r="V32" s="68" t="s">
        <v>26571</v>
      </c>
      <c r="W32" s="68" t="s">
        <v>94</v>
      </c>
      <c r="X32" s="68">
        <v>5331</v>
      </c>
      <c r="Y32" s="33"/>
      <c r="Z32" s="68" t="s">
        <v>42966</v>
      </c>
      <c r="AA32" s="33">
        <v>7637</v>
      </c>
      <c r="AB32" s="1"/>
      <c r="AC32" s="1"/>
      <c r="AD32" s="33"/>
      <c r="AE32" s="1"/>
      <c r="AF32" s="1"/>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row>
    <row r="33" spans="1:66" s="68" customFormat="1" ht="12" customHeight="1" x14ac:dyDescent="0.15">
      <c r="A33" s="10" t="s">
        <v>39351</v>
      </c>
      <c r="B33" s="99">
        <v>38</v>
      </c>
      <c r="C33" s="10" t="s">
        <v>14</v>
      </c>
      <c r="D33" s="10" t="s">
        <v>24</v>
      </c>
      <c r="E33" s="63"/>
      <c r="F33" s="67">
        <v>43822</v>
      </c>
      <c r="G33" s="10" t="s">
        <v>39352</v>
      </c>
      <c r="H33" s="10" t="s">
        <v>584</v>
      </c>
      <c r="I33" s="10" t="s">
        <v>112</v>
      </c>
      <c r="J33" s="65">
        <v>85033</v>
      </c>
      <c r="K33" s="10" t="s">
        <v>585</v>
      </c>
      <c r="L33" s="10" t="s">
        <v>586</v>
      </c>
      <c r="M33" s="10" t="s">
        <v>21</v>
      </c>
      <c r="N33" s="10" t="s">
        <v>39353</v>
      </c>
      <c r="O33" s="10" t="s">
        <v>372</v>
      </c>
      <c r="P33" s="1" t="s">
        <v>30089</v>
      </c>
      <c r="Q33" s="64" t="s">
        <v>39354</v>
      </c>
      <c r="R33" s="10" t="s">
        <v>94</v>
      </c>
      <c r="S33" s="63" t="s">
        <v>22</v>
      </c>
      <c r="T33" s="68" t="s">
        <v>34228</v>
      </c>
      <c r="U33" s="68" t="s">
        <v>26572</v>
      </c>
      <c r="V33" s="68" t="s">
        <v>26571</v>
      </c>
      <c r="W33" s="68" t="s">
        <v>94</v>
      </c>
      <c r="X33" s="68">
        <v>5317</v>
      </c>
      <c r="Y33" s="33"/>
      <c r="Z33" s="68" t="s">
        <v>42966</v>
      </c>
      <c r="AA33" s="33">
        <v>7636</v>
      </c>
      <c r="AB33" s="1"/>
      <c r="AC33" s="1"/>
      <c r="AD33" s="33"/>
      <c r="AE33" s="1"/>
      <c r="AF33" s="1"/>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row>
    <row r="34" spans="1:66" s="68" customFormat="1" ht="12" customHeight="1" x14ac:dyDescent="0.15">
      <c r="A34" s="10" t="s">
        <v>41109</v>
      </c>
      <c r="B34" s="99">
        <v>24</v>
      </c>
      <c r="C34" s="10" t="s">
        <v>14</v>
      </c>
      <c r="D34" s="10" t="s">
        <v>31</v>
      </c>
      <c r="E34" s="63"/>
      <c r="F34" s="67">
        <v>43822</v>
      </c>
      <c r="G34" s="10" t="s">
        <v>41110</v>
      </c>
      <c r="H34" s="10" t="s">
        <v>41111</v>
      </c>
      <c r="I34" s="10" t="s">
        <v>918</v>
      </c>
      <c r="J34" s="65">
        <v>72022</v>
      </c>
      <c r="K34" s="10" t="s">
        <v>4686</v>
      </c>
      <c r="L34" s="10" t="s">
        <v>41112</v>
      </c>
      <c r="M34" s="10" t="s">
        <v>21</v>
      </c>
      <c r="N34" s="10" t="s">
        <v>41113</v>
      </c>
      <c r="O34" s="10" t="s">
        <v>372</v>
      </c>
      <c r="P34" s="1" t="s">
        <v>30089</v>
      </c>
      <c r="Q34" s="64" t="s">
        <v>41114</v>
      </c>
      <c r="R34" s="10" t="s">
        <v>512</v>
      </c>
      <c r="S34" s="63" t="s">
        <v>22</v>
      </c>
      <c r="T34" s="68" t="s">
        <v>26781</v>
      </c>
      <c r="U34" s="68" t="s">
        <v>26572</v>
      </c>
      <c r="V34" s="68" t="s">
        <v>26573</v>
      </c>
      <c r="W34" s="68" t="s">
        <v>94</v>
      </c>
      <c r="X34" s="68">
        <v>5329</v>
      </c>
      <c r="Y34" s="33"/>
      <c r="Z34" s="68" t="s">
        <v>42968</v>
      </c>
      <c r="AA34" s="33">
        <v>7634</v>
      </c>
      <c r="AB34" s="1"/>
      <c r="AC34" s="1"/>
      <c r="AD34" s="33"/>
      <c r="AE34" s="1"/>
      <c r="AF34" s="1"/>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row>
    <row r="35" spans="1:66" s="68" customFormat="1" ht="12" customHeight="1" x14ac:dyDescent="0.15">
      <c r="A35" s="10" t="s">
        <v>42482</v>
      </c>
      <c r="B35" s="101">
        <v>34</v>
      </c>
      <c r="C35" s="10" t="s">
        <v>14</v>
      </c>
      <c r="D35" s="10" t="s">
        <v>42</v>
      </c>
      <c r="E35" s="63"/>
      <c r="F35" s="67">
        <v>43822</v>
      </c>
      <c r="G35" s="10" t="s">
        <v>42216</v>
      </c>
      <c r="H35" s="10" t="s">
        <v>532</v>
      </c>
      <c r="I35" s="10" t="s">
        <v>67</v>
      </c>
      <c r="J35" s="65">
        <v>78204</v>
      </c>
      <c r="K35" s="10" t="s">
        <v>533</v>
      </c>
      <c r="L35" s="10" t="s">
        <v>534</v>
      </c>
      <c r="M35" s="10" t="s">
        <v>21</v>
      </c>
      <c r="N35" s="10" t="s">
        <v>42217</v>
      </c>
      <c r="O35" s="10" t="s">
        <v>372</v>
      </c>
      <c r="P35" s="1" t="s">
        <v>30089</v>
      </c>
      <c r="Q35" s="64" t="s">
        <v>42218</v>
      </c>
      <c r="R35" s="10" t="s">
        <v>94</v>
      </c>
      <c r="S35" s="63" t="s">
        <v>22</v>
      </c>
      <c r="T35" s="34" t="s">
        <v>26781</v>
      </c>
      <c r="U35" s="34" t="s">
        <v>26570</v>
      </c>
      <c r="V35" s="54" t="s">
        <v>42483</v>
      </c>
      <c r="W35" s="54" t="s">
        <v>42480</v>
      </c>
      <c r="X35" s="68">
        <v>5398</v>
      </c>
      <c r="Y35" s="33"/>
      <c r="Z35" s="68" t="s">
        <v>42966</v>
      </c>
      <c r="AA35" s="33">
        <v>7635</v>
      </c>
      <c r="AB35" s="1"/>
      <c r="AC35" s="1"/>
      <c r="AD35" s="33"/>
      <c r="AE35" s="1"/>
      <c r="AF35" s="1"/>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row>
    <row r="36" spans="1:66" s="68" customFormat="1" ht="12" customHeight="1" x14ac:dyDescent="0.15">
      <c r="A36" s="10" t="s">
        <v>37774</v>
      </c>
      <c r="B36" s="99">
        <v>24</v>
      </c>
      <c r="C36" s="10" t="s">
        <v>14</v>
      </c>
      <c r="D36" s="10" t="s">
        <v>79</v>
      </c>
      <c r="E36" s="64" t="s">
        <v>37775</v>
      </c>
      <c r="F36" s="67">
        <v>43821</v>
      </c>
      <c r="G36" s="10" t="s">
        <v>37776</v>
      </c>
      <c r="H36" s="10" t="s">
        <v>1528</v>
      </c>
      <c r="I36" s="10" t="s">
        <v>376</v>
      </c>
      <c r="J36" s="65">
        <v>15221</v>
      </c>
      <c r="K36" s="10" t="s">
        <v>1530</v>
      </c>
      <c r="L36" s="10" t="s">
        <v>37777</v>
      </c>
      <c r="M36" s="10" t="s">
        <v>21</v>
      </c>
      <c r="N36" s="10" t="s">
        <v>37778</v>
      </c>
      <c r="O36" s="10" t="s">
        <v>372</v>
      </c>
      <c r="P36" s="1" t="s">
        <v>30089</v>
      </c>
      <c r="Q36" s="64" t="s">
        <v>37779</v>
      </c>
      <c r="R36" s="10" t="s">
        <v>94</v>
      </c>
      <c r="S36" s="63" t="s">
        <v>22</v>
      </c>
      <c r="T36" s="68" t="s">
        <v>26781</v>
      </c>
      <c r="U36" s="68" t="s">
        <v>26572</v>
      </c>
      <c r="V36" s="68" t="s">
        <v>26574</v>
      </c>
      <c r="W36" s="68" t="s">
        <v>94</v>
      </c>
      <c r="X36" s="68">
        <v>5300</v>
      </c>
      <c r="Y36" s="33"/>
      <c r="Z36" s="68" t="s">
        <v>42968</v>
      </c>
      <c r="AA36" s="33">
        <v>7631</v>
      </c>
      <c r="AB36" s="1"/>
      <c r="AC36" s="1"/>
      <c r="AD36" s="33"/>
      <c r="AE36" s="1"/>
      <c r="AF36" s="1"/>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row>
    <row r="37" spans="1:66" s="68" customFormat="1" ht="12" customHeight="1" x14ac:dyDescent="0.15">
      <c r="A37" s="10" t="s">
        <v>40558</v>
      </c>
      <c r="B37" s="99">
        <v>46</v>
      </c>
      <c r="C37" s="10" t="s">
        <v>14</v>
      </c>
      <c r="D37" s="10" t="s">
        <v>24</v>
      </c>
      <c r="E37" s="63"/>
      <c r="F37" s="67">
        <v>43821</v>
      </c>
      <c r="G37" s="10" t="s">
        <v>40559</v>
      </c>
      <c r="H37" s="10" t="s">
        <v>6834</v>
      </c>
      <c r="I37" s="10" t="s">
        <v>621</v>
      </c>
      <c r="J37" s="65">
        <v>39402</v>
      </c>
      <c r="K37" s="10" t="s">
        <v>6396</v>
      </c>
      <c r="L37" s="10" t="s">
        <v>25001</v>
      </c>
      <c r="M37" s="10" t="s">
        <v>21</v>
      </c>
      <c r="N37" s="10" t="s">
        <v>40560</v>
      </c>
      <c r="O37" s="10" t="s">
        <v>372</v>
      </c>
      <c r="P37" s="1" t="s">
        <v>30089</v>
      </c>
      <c r="Q37" s="64" t="s">
        <v>40561</v>
      </c>
      <c r="R37" s="10" t="s">
        <v>94</v>
      </c>
      <c r="S37" s="63" t="s">
        <v>29</v>
      </c>
      <c r="T37" s="68" t="s">
        <v>26576</v>
      </c>
      <c r="U37" s="68" t="s">
        <v>26575</v>
      </c>
      <c r="V37" s="68" t="s">
        <v>19228</v>
      </c>
      <c r="W37" s="68" t="s">
        <v>94</v>
      </c>
      <c r="X37" s="68">
        <v>5327</v>
      </c>
      <c r="Y37" s="33"/>
      <c r="Z37" s="68" t="s">
        <v>42968</v>
      </c>
      <c r="AA37" s="33">
        <v>7633</v>
      </c>
      <c r="AB37" s="1"/>
      <c r="AC37" s="1"/>
      <c r="AD37" s="33"/>
      <c r="AE37" s="1"/>
      <c r="AF37" s="1"/>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row>
    <row r="38" spans="1:66" s="68" customFormat="1" ht="12" customHeight="1" x14ac:dyDescent="0.15">
      <c r="A38" s="10" t="s">
        <v>3002</v>
      </c>
      <c r="B38" s="69"/>
      <c r="C38" s="10" t="s">
        <v>14</v>
      </c>
      <c r="D38" s="10" t="s">
        <v>24</v>
      </c>
      <c r="E38" s="63"/>
      <c r="F38" s="67">
        <v>43821</v>
      </c>
      <c r="G38" s="10" t="s">
        <v>40451</v>
      </c>
      <c r="H38" s="10" t="s">
        <v>6885</v>
      </c>
      <c r="I38" s="10" t="s">
        <v>39</v>
      </c>
      <c r="J38" s="65">
        <v>96001</v>
      </c>
      <c r="K38" s="10" t="s">
        <v>6887</v>
      </c>
      <c r="L38" s="10" t="s">
        <v>6888</v>
      </c>
      <c r="M38" s="10" t="s">
        <v>21</v>
      </c>
      <c r="N38" s="10" t="s">
        <v>40452</v>
      </c>
      <c r="O38" s="10" t="s">
        <v>372</v>
      </c>
      <c r="P38" s="1" t="s">
        <v>30089</v>
      </c>
      <c r="Q38" s="64" t="s">
        <v>40453</v>
      </c>
      <c r="R38" s="10" t="s">
        <v>94</v>
      </c>
      <c r="S38" s="63" t="s">
        <v>29</v>
      </c>
      <c r="T38" s="68" t="s">
        <v>26575</v>
      </c>
      <c r="U38" s="68" t="s">
        <v>26575</v>
      </c>
      <c r="V38" s="68" t="s">
        <v>26573</v>
      </c>
      <c r="W38" s="68" t="s">
        <v>94</v>
      </c>
      <c r="X38" s="68">
        <v>5302</v>
      </c>
      <c r="Y38" s="33"/>
      <c r="Z38" s="68" t="s">
        <v>42968</v>
      </c>
      <c r="AA38" s="33">
        <v>7632</v>
      </c>
      <c r="AB38" s="1"/>
      <c r="AC38" s="1"/>
      <c r="AD38" s="33"/>
      <c r="AE38" s="1"/>
      <c r="AF38" s="1"/>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row>
    <row r="39" spans="1:66" s="68" customFormat="1" ht="12" customHeight="1" x14ac:dyDescent="0.15">
      <c r="A39" s="10" t="s">
        <v>39593</v>
      </c>
      <c r="B39" s="99">
        <v>57</v>
      </c>
      <c r="C39" s="10" t="s">
        <v>14</v>
      </c>
      <c r="D39" s="10" t="s">
        <v>31</v>
      </c>
      <c r="E39" s="64" t="s">
        <v>39594</v>
      </c>
      <c r="F39" s="67">
        <v>43820</v>
      </c>
      <c r="G39" s="10" t="s">
        <v>39595</v>
      </c>
      <c r="H39" s="10" t="s">
        <v>39596</v>
      </c>
      <c r="I39" s="10" t="s">
        <v>395</v>
      </c>
      <c r="J39" s="65">
        <v>14850</v>
      </c>
      <c r="K39" s="10" t="s">
        <v>39597</v>
      </c>
      <c r="L39" s="10" t="s">
        <v>39598</v>
      </c>
      <c r="M39" s="10" t="s">
        <v>21</v>
      </c>
      <c r="N39" s="10" t="s">
        <v>39599</v>
      </c>
      <c r="O39" s="10" t="s">
        <v>372</v>
      </c>
      <c r="P39" s="1" t="s">
        <v>30089</v>
      </c>
      <c r="Q39" s="64" t="s">
        <v>39600</v>
      </c>
      <c r="R39" s="10" t="s">
        <v>94</v>
      </c>
      <c r="S39" s="63" t="s">
        <v>22</v>
      </c>
      <c r="T39" s="68" t="s">
        <v>26774</v>
      </c>
      <c r="U39" s="68" t="s">
        <v>26572</v>
      </c>
      <c r="V39" s="68" t="s">
        <v>26573</v>
      </c>
      <c r="W39" s="68" t="s">
        <v>94</v>
      </c>
      <c r="X39" s="68">
        <v>5304</v>
      </c>
      <c r="Y39" s="33"/>
      <c r="Z39" s="68" t="s">
        <v>42968</v>
      </c>
      <c r="AA39" s="33">
        <v>7629</v>
      </c>
      <c r="AB39" s="1"/>
      <c r="AC39" s="1"/>
      <c r="AD39" s="33"/>
      <c r="AE39" s="1"/>
      <c r="AF39" s="1"/>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row>
    <row r="40" spans="1:66" s="68" customFormat="1" ht="12" customHeight="1" x14ac:dyDescent="0.15">
      <c r="A40" s="63" t="s">
        <v>37886</v>
      </c>
      <c r="B40" s="101">
        <v>40</v>
      </c>
      <c r="C40" s="10" t="s">
        <v>14</v>
      </c>
      <c r="D40" s="10" t="s">
        <v>31</v>
      </c>
      <c r="E40" s="63"/>
      <c r="F40" s="67">
        <v>43820</v>
      </c>
      <c r="G40" s="10" t="s">
        <v>37887</v>
      </c>
      <c r="H40" s="10" t="s">
        <v>7595</v>
      </c>
      <c r="I40" s="10" t="s">
        <v>221</v>
      </c>
      <c r="J40" s="65">
        <v>84528</v>
      </c>
      <c r="K40" s="10" t="s">
        <v>37888</v>
      </c>
      <c r="L40" s="10" t="s">
        <v>37889</v>
      </c>
      <c r="M40" s="10" t="s">
        <v>21</v>
      </c>
      <c r="N40" s="10" t="s">
        <v>37890</v>
      </c>
      <c r="O40" s="10" t="s">
        <v>372</v>
      </c>
      <c r="P40" s="1" t="s">
        <v>30089</v>
      </c>
      <c r="Q40" s="64" t="s">
        <v>37891</v>
      </c>
      <c r="R40" s="10" t="s">
        <v>904</v>
      </c>
      <c r="S40" s="63" t="s">
        <v>22</v>
      </c>
      <c r="T40" s="68" t="s">
        <v>26781</v>
      </c>
      <c r="U40" s="68" t="s">
        <v>26572</v>
      </c>
      <c r="V40" s="68" t="s">
        <v>26571</v>
      </c>
      <c r="W40" s="68" t="s">
        <v>94</v>
      </c>
      <c r="X40" s="68">
        <v>5301</v>
      </c>
      <c r="Y40" s="33"/>
      <c r="Z40" s="68" t="s">
        <v>42967</v>
      </c>
      <c r="AA40" s="33">
        <v>7627</v>
      </c>
      <c r="AB40" s="1"/>
      <c r="AC40" s="1"/>
      <c r="AD40" s="33"/>
      <c r="AE40" s="1"/>
      <c r="AF40" s="1"/>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row>
    <row r="41" spans="1:66" s="68" customFormat="1" ht="12" customHeight="1" x14ac:dyDescent="0.15">
      <c r="A41" s="10" t="s">
        <v>41227</v>
      </c>
      <c r="B41" s="99">
        <v>57</v>
      </c>
      <c r="C41" s="10" t="s">
        <v>14</v>
      </c>
      <c r="D41" s="10" t="s">
        <v>24</v>
      </c>
      <c r="E41" s="63"/>
      <c r="F41" s="67">
        <v>43820</v>
      </c>
      <c r="G41" s="10" t="s">
        <v>41228</v>
      </c>
      <c r="H41" s="10" t="s">
        <v>20447</v>
      </c>
      <c r="I41" s="10" t="s">
        <v>198</v>
      </c>
      <c r="J41" s="65">
        <v>47715</v>
      </c>
      <c r="K41" s="10" t="s">
        <v>20448</v>
      </c>
      <c r="L41" s="10" t="s">
        <v>20449</v>
      </c>
      <c r="M41" s="10" t="s">
        <v>21</v>
      </c>
      <c r="N41" s="10" t="s">
        <v>41229</v>
      </c>
      <c r="O41" s="10" t="s">
        <v>372</v>
      </c>
      <c r="P41" s="1" t="s">
        <v>30089</v>
      </c>
      <c r="Q41" s="64" t="s">
        <v>41230</v>
      </c>
      <c r="R41" s="10" t="s">
        <v>512</v>
      </c>
      <c r="S41" s="63" t="s">
        <v>22</v>
      </c>
      <c r="T41" s="68" t="s">
        <v>26781</v>
      </c>
      <c r="U41" s="68" t="s">
        <v>26570</v>
      </c>
      <c r="V41" s="68" t="s">
        <v>26573</v>
      </c>
      <c r="W41" s="68" t="s">
        <v>94</v>
      </c>
      <c r="X41" s="68">
        <v>5305</v>
      </c>
      <c r="Y41" s="33"/>
      <c r="Z41" s="68" t="s">
        <v>42966</v>
      </c>
      <c r="AA41" s="33">
        <v>7628</v>
      </c>
      <c r="AB41" s="1"/>
      <c r="AC41" s="1"/>
      <c r="AD41" s="33"/>
      <c r="AE41" s="1"/>
      <c r="AF41" s="1"/>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row>
    <row r="42" spans="1:66" s="68" customFormat="1" ht="12" customHeight="1" x14ac:dyDescent="0.15">
      <c r="A42" s="10" t="s">
        <v>40232</v>
      </c>
      <c r="B42" s="99">
        <v>26</v>
      </c>
      <c r="C42" s="10" t="s">
        <v>14</v>
      </c>
      <c r="D42" s="10" t="s">
        <v>31</v>
      </c>
      <c r="E42" s="64" t="s">
        <v>40233</v>
      </c>
      <c r="F42" s="67">
        <v>43820</v>
      </c>
      <c r="G42" s="10" t="s">
        <v>40234</v>
      </c>
      <c r="H42" s="10" t="s">
        <v>1935</v>
      </c>
      <c r="I42" s="10" t="s">
        <v>160</v>
      </c>
      <c r="J42" s="65">
        <v>30117</v>
      </c>
      <c r="K42" s="10" t="s">
        <v>1937</v>
      </c>
      <c r="L42" s="10" t="s">
        <v>3970</v>
      </c>
      <c r="M42" s="10" t="s">
        <v>21</v>
      </c>
      <c r="N42" s="10" t="s">
        <v>40235</v>
      </c>
      <c r="O42" s="10" t="s">
        <v>372</v>
      </c>
      <c r="P42" s="1" t="s">
        <v>30089</v>
      </c>
      <c r="Q42" s="64" t="s">
        <v>40236</v>
      </c>
      <c r="R42" s="10" t="s">
        <v>94</v>
      </c>
      <c r="S42" s="63" t="s">
        <v>29</v>
      </c>
      <c r="T42" s="68" t="s">
        <v>26604</v>
      </c>
      <c r="U42" s="68" t="s">
        <v>26572</v>
      </c>
      <c r="V42" s="68" t="s">
        <v>26574</v>
      </c>
      <c r="W42" s="68" t="s">
        <v>94</v>
      </c>
      <c r="X42" s="68">
        <v>5303</v>
      </c>
      <c r="Y42" s="33"/>
      <c r="Z42" s="68" t="s">
        <v>42968</v>
      </c>
      <c r="AA42" s="33">
        <v>7630</v>
      </c>
      <c r="AB42" s="1"/>
      <c r="AC42" s="1"/>
      <c r="AD42" s="33"/>
      <c r="AE42" s="1"/>
      <c r="AF42" s="1"/>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row>
    <row r="43" spans="1:66" s="68" customFormat="1" ht="12" customHeight="1" x14ac:dyDescent="0.15">
      <c r="A43" s="10" t="s">
        <v>37780</v>
      </c>
      <c r="B43" s="99">
        <v>61</v>
      </c>
      <c r="C43" s="10" t="s">
        <v>14</v>
      </c>
      <c r="D43" s="10" t="s">
        <v>79</v>
      </c>
      <c r="E43" s="64" t="s">
        <v>37781</v>
      </c>
      <c r="F43" s="67">
        <v>43819</v>
      </c>
      <c r="G43" s="10" t="s">
        <v>37782</v>
      </c>
      <c r="H43" s="10" t="s">
        <v>18513</v>
      </c>
      <c r="I43" s="10" t="s">
        <v>338</v>
      </c>
      <c r="J43" s="65">
        <v>27101</v>
      </c>
      <c r="K43" s="10" t="s">
        <v>8497</v>
      </c>
      <c r="L43" s="10" t="s">
        <v>18512</v>
      </c>
      <c r="M43" s="10" t="s">
        <v>21</v>
      </c>
      <c r="N43" s="10" t="s">
        <v>37783</v>
      </c>
      <c r="O43" s="10" t="s">
        <v>372</v>
      </c>
      <c r="P43" s="1" t="s">
        <v>30089</v>
      </c>
      <c r="Q43" s="64" t="s">
        <v>37784</v>
      </c>
      <c r="R43" s="10" t="s">
        <v>94</v>
      </c>
      <c r="S43" s="63" t="s">
        <v>22</v>
      </c>
      <c r="T43" s="68" t="s">
        <v>26781</v>
      </c>
      <c r="U43" s="68" t="s">
        <v>26572</v>
      </c>
      <c r="V43" s="68" t="s">
        <v>26573</v>
      </c>
      <c r="W43" s="68" t="s">
        <v>94</v>
      </c>
      <c r="X43" s="68">
        <v>5308</v>
      </c>
      <c r="Y43" s="33"/>
      <c r="Z43" s="68" t="s">
        <v>42966</v>
      </c>
      <c r="AA43" s="33">
        <v>7625</v>
      </c>
      <c r="AB43" s="1"/>
      <c r="AC43" s="1"/>
      <c r="AD43" s="33"/>
      <c r="AE43" s="1"/>
      <c r="AF43" s="1"/>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row>
    <row r="44" spans="1:66" s="68" customFormat="1" ht="12" customHeight="1" x14ac:dyDescent="0.15">
      <c r="A44" s="10" t="s">
        <v>38495</v>
      </c>
      <c r="B44" s="99">
        <v>44</v>
      </c>
      <c r="C44" s="10" t="s">
        <v>14</v>
      </c>
      <c r="D44" s="10" t="s">
        <v>31</v>
      </c>
      <c r="E44" s="64" t="s">
        <v>38496</v>
      </c>
      <c r="F44" s="67">
        <v>43819</v>
      </c>
      <c r="G44" s="10" t="s">
        <v>38497</v>
      </c>
      <c r="H44" s="10" t="s">
        <v>1191</v>
      </c>
      <c r="I44" s="10" t="s">
        <v>198</v>
      </c>
      <c r="J44" s="65">
        <v>47355</v>
      </c>
      <c r="K44" s="10" t="s">
        <v>14479</v>
      </c>
      <c r="L44" s="10" t="s">
        <v>38498</v>
      </c>
      <c r="M44" s="10" t="s">
        <v>21</v>
      </c>
      <c r="N44" s="10" t="s">
        <v>38499</v>
      </c>
      <c r="O44" s="10" t="s">
        <v>372</v>
      </c>
      <c r="P44" s="1" t="s">
        <v>30089</v>
      </c>
      <c r="Q44" s="64" t="s">
        <v>38500</v>
      </c>
      <c r="R44" s="10" t="s">
        <v>94</v>
      </c>
      <c r="S44" s="63" t="s">
        <v>22</v>
      </c>
      <c r="T44" s="68" t="s">
        <v>26781</v>
      </c>
      <c r="U44" s="68" t="s">
        <v>26572</v>
      </c>
      <c r="V44" s="68" t="s">
        <v>26573</v>
      </c>
      <c r="W44" s="68" t="s">
        <v>94</v>
      </c>
      <c r="X44" s="68">
        <v>5307</v>
      </c>
      <c r="Y44" s="33"/>
      <c r="Z44" s="68" t="s">
        <v>42967</v>
      </c>
      <c r="AA44" s="33">
        <v>7626</v>
      </c>
      <c r="AB44" s="1"/>
      <c r="AC44" s="1"/>
      <c r="AD44" s="33"/>
      <c r="AE44" s="1"/>
      <c r="AF44" s="1"/>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row>
    <row r="45" spans="1:66" s="68" customFormat="1" ht="12" customHeight="1" x14ac:dyDescent="0.15">
      <c r="A45" s="10" t="s">
        <v>39587</v>
      </c>
      <c r="B45" s="99">
        <v>38</v>
      </c>
      <c r="C45" s="10" t="s">
        <v>14</v>
      </c>
      <c r="D45" s="10" t="s">
        <v>31</v>
      </c>
      <c r="E45" s="64" t="s">
        <v>39588</v>
      </c>
      <c r="F45" s="67">
        <v>43818</v>
      </c>
      <c r="G45" s="10" t="s">
        <v>39589</v>
      </c>
      <c r="H45" s="10" t="s">
        <v>34479</v>
      </c>
      <c r="I45" s="10" t="s">
        <v>298</v>
      </c>
      <c r="J45" s="65">
        <v>37030</v>
      </c>
      <c r="K45" s="10" t="s">
        <v>34448</v>
      </c>
      <c r="L45" s="10" t="s">
        <v>39590</v>
      </c>
      <c r="M45" s="10" t="s">
        <v>21</v>
      </c>
      <c r="N45" s="10" t="s">
        <v>39591</v>
      </c>
      <c r="O45" s="10" t="s">
        <v>372</v>
      </c>
      <c r="P45" s="1" t="s">
        <v>30089</v>
      </c>
      <c r="Q45" s="64" t="s">
        <v>39592</v>
      </c>
      <c r="R45" s="10" t="s">
        <v>94</v>
      </c>
      <c r="S45" s="63" t="s">
        <v>22</v>
      </c>
      <c r="T45" s="68" t="s">
        <v>26774</v>
      </c>
      <c r="U45" s="68" t="s">
        <v>26570</v>
      </c>
      <c r="V45" s="68">
        <v>0</v>
      </c>
      <c r="W45" s="68" t="s">
        <v>94</v>
      </c>
      <c r="X45" s="68">
        <v>5294</v>
      </c>
      <c r="Y45" s="33"/>
      <c r="Z45" s="68" t="s">
        <v>42967</v>
      </c>
      <c r="AA45" s="33">
        <v>7620</v>
      </c>
      <c r="AB45" s="1"/>
      <c r="AC45" s="1"/>
      <c r="AD45" s="33"/>
      <c r="AE45" s="1"/>
      <c r="AF45" s="1"/>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row>
    <row r="46" spans="1:66" s="68" customFormat="1" ht="12" customHeight="1" x14ac:dyDescent="0.15">
      <c r="A46" s="10" t="s">
        <v>39161</v>
      </c>
      <c r="B46" s="99">
        <v>21</v>
      </c>
      <c r="C46" s="10" t="s">
        <v>14</v>
      </c>
      <c r="D46" s="68" t="s">
        <v>79</v>
      </c>
      <c r="E46" s="63"/>
      <c r="F46" s="67">
        <v>43818</v>
      </c>
      <c r="G46" s="10" t="s">
        <v>39162</v>
      </c>
      <c r="H46" s="10" t="s">
        <v>39163</v>
      </c>
      <c r="I46" s="10" t="s">
        <v>395</v>
      </c>
      <c r="J46" s="65">
        <v>11717</v>
      </c>
      <c r="K46" s="10" t="s">
        <v>1588</v>
      </c>
      <c r="L46" s="10" t="s">
        <v>3093</v>
      </c>
      <c r="M46" s="10" t="s">
        <v>21</v>
      </c>
      <c r="N46" s="10" t="s">
        <v>39164</v>
      </c>
      <c r="O46" s="10" t="s">
        <v>372</v>
      </c>
      <c r="P46" s="1" t="s">
        <v>30089</v>
      </c>
      <c r="Q46" s="64" t="s">
        <v>39165</v>
      </c>
      <c r="R46" s="10" t="s">
        <v>94</v>
      </c>
      <c r="S46" s="63" t="s">
        <v>22</v>
      </c>
      <c r="T46" s="68" t="s">
        <v>26781</v>
      </c>
      <c r="U46" s="68" t="s">
        <v>26572</v>
      </c>
      <c r="V46" s="68" t="s">
        <v>26574</v>
      </c>
      <c r="W46" s="68" t="s">
        <v>94</v>
      </c>
      <c r="X46" s="68">
        <v>5306</v>
      </c>
      <c r="Y46" s="33"/>
      <c r="Z46" s="68" t="s">
        <v>42968</v>
      </c>
      <c r="AA46" s="33">
        <v>7619</v>
      </c>
      <c r="AB46" s="1"/>
      <c r="AC46" s="1"/>
      <c r="AD46" s="33"/>
      <c r="AE46" s="1"/>
      <c r="AF46" s="1"/>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row>
    <row r="47" spans="1:66" s="68" customFormat="1" ht="12" customHeight="1" x14ac:dyDescent="0.15">
      <c r="A47" s="10" t="s">
        <v>41420</v>
      </c>
      <c r="B47" s="99">
        <v>29</v>
      </c>
      <c r="C47" s="10" t="s">
        <v>14</v>
      </c>
      <c r="D47" s="10" t="s">
        <v>31</v>
      </c>
      <c r="E47" s="63"/>
      <c r="F47" s="67">
        <v>43818</v>
      </c>
      <c r="G47" s="10" t="s">
        <v>41421</v>
      </c>
      <c r="H47" s="10" t="s">
        <v>4602</v>
      </c>
      <c r="I47" s="10" t="s">
        <v>39</v>
      </c>
      <c r="J47" s="65">
        <v>95616</v>
      </c>
      <c r="K47" s="10" t="s">
        <v>7123</v>
      </c>
      <c r="L47" s="10" t="s">
        <v>18989</v>
      </c>
      <c r="M47" s="10" t="s">
        <v>21</v>
      </c>
      <c r="N47" s="10" t="s">
        <v>41422</v>
      </c>
      <c r="O47" s="10" t="s">
        <v>372</v>
      </c>
      <c r="P47" s="1" t="s">
        <v>30089</v>
      </c>
      <c r="Q47" s="64" t="s">
        <v>41423</v>
      </c>
      <c r="R47" s="10" t="s">
        <v>512</v>
      </c>
      <c r="S47" s="63" t="s">
        <v>22</v>
      </c>
      <c r="T47" s="68" t="s">
        <v>26774</v>
      </c>
      <c r="U47" s="68" t="s">
        <v>26572</v>
      </c>
      <c r="V47" s="68" t="s">
        <v>26573</v>
      </c>
      <c r="W47" s="68" t="s">
        <v>94</v>
      </c>
      <c r="X47" s="68">
        <v>5295</v>
      </c>
      <c r="Y47" s="33"/>
      <c r="Z47" s="68" t="s">
        <v>42968</v>
      </c>
      <c r="AA47" s="33">
        <v>7621</v>
      </c>
      <c r="AB47" s="1"/>
      <c r="AC47" s="1"/>
      <c r="AD47" s="33"/>
      <c r="AE47" s="1"/>
      <c r="AF47" s="1"/>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row>
    <row r="48" spans="1:66" s="68" customFormat="1" ht="12" customHeight="1" x14ac:dyDescent="0.15">
      <c r="A48" s="10" t="s">
        <v>40549</v>
      </c>
      <c r="B48" s="99">
        <v>47</v>
      </c>
      <c r="C48" s="10" t="s">
        <v>14</v>
      </c>
      <c r="D48" s="10" t="s">
        <v>24</v>
      </c>
      <c r="E48" s="63"/>
      <c r="F48" s="67">
        <v>43818</v>
      </c>
      <c r="G48" s="10" t="s">
        <v>40550</v>
      </c>
      <c r="H48" s="10" t="s">
        <v>1342</v>
      </c>
      <c r="I48" s="10" t="s">
        <v>192</v>
      </c>
      <c r="J48" s="65">
        <v>80215</v>
      </c>
      <c r="K48" s="10" t="s">
        <v>1659</v>
      </c>
      <c r="L48" s="10" t="s">
        <v>2530</v>
      </c>
      <c r="M48" s="10" t="s">
        <v>21</v>
      </c>
      <c r="N48" s="10" t="s">
        <v>40551</v>
      </c>
      <c r="O48" s="10" t="s">
        <v>372</v>
      </c>
      <c r="P48" s="1" t="s">
        <v>30089</v>
      </c>
      <c r="Q48" s="64" t="s">
        <v>40552</v>
      </c>
      <c r="R48" s="10" t="s">
        <v>94</v>
      </c>
      <c r="S48" s="63" t="s">
        <v>29</v>
      </c>
      <c r="T48" s="68" t="s">
        <v>26576</v>
      </c>
      <c r="U48" s="68" t="s">
        <v>26572</v>
      </c>
      <c r="V48" s="68" t="s">
        <v>26573</v>
      </c>
      <c r="W48" s="68" t="s">
        <v>94</v>
      </c>
      <c r="X48" s="68">
        <v>5298</v>
      </c>
      <c r="Y48" s="33"/>
      <c r="Z48" s="68" t="s">
        <v>42966</v>
      </c>
      <c r="AA48" s="33">
        <v>7624</v>
      </c>
      <c r="AB48" s="1"/>
      <c r="AC48" s="1"/>
      <c r="AD48" s="33"/>
      <c r="AE48" s="1"/>
      <c r="AF48" s="1"/>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row>
    <row r="49" spans="1:66" s="68" customFormat="1" ht="12" customHeight="1" x14ac:dyDescent="0.15">
      <c r="A49" s="10" t="s">
        <v>41846</v>
      </c>
      <c r="B49" s="99">
        <v>38</v>
      </c>
      <c r="C49" s="10" t="s">
        <v>14</v>
      </c>
      <c r="D49" s="10" t="s">
        <v>31</v>
      </c>
      <c r="E49" s="64" t="s">
        <v>41847</v>
      </c>
      <c r="F49" s="67">
        <v>43818</v>
      </c>
      <c r="G49" s="10" t="s">
        <v>41848</v>
      </c>
      <c r="H49" s="10" t="s">
        <v>6861</v>
      </c>
      <c r="I49" s="10" t="s">
        <v>56</v>
      </c>
      <c r="J49" s="65">
        <v>32784</v>
      </c>
      <c r="K49" s="10" t="s">
        <v>1179</v>
      </c>
      <c r="L49" s="10" t="s">
        <v>1180</v>
      </c>
      <c r="M49" s="10" t="s">
        <v>21</v>
      </c>
      <c r="N49" s="10" t="s">
        <v>41849</v>
      </c>
      <c r="O49" s="10" t="s">
        <v>372</v>
      </c>
      <c r="P49" s="1" t="s">
        <v>30089</v>
      </c>
      <c r="Q49" s="64" t="s">
        <v>41850</v>
      </c>
      <c r="R49" s="10" t="s">
        <v>94</v>
      </c>
      <c r="S49" s="63" t="s">
        <v>29</v>
      </c>
      <c r="T49" s="33" t="s">
        <v>41840</v>
      </c>
      <c r="U49" s="34"/>
      <c r="X49" s="68">
        <v>5397</v>
      </c>
      <c r="Y49" s="33"/>
      <c r="Z49" s="68" t="s">
        <v>42967</v>
      </c>
      <c r="AA49" s="33">
        <v>7623</v>
      </c>
      <c r="AB49" s="1"/>
      <c r="AC49" s="1"/>
      <c r="AD49" s="33"/>
      <c r="AE49" s="1"/>
      <c r="AF49" s="1"/>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row>
    <row r="50" spans="1:66" s="68" customFormat="1" ht="12" customHeight="1" x14ac:dyDescent="0.15">
      <c r="A50" s="10" t="s">
        <v>39907</v>
      </c>
      <c r="B50" s="99">
        <v>25</v>
      </c>
      <c r="C50" s="10" t="s">
        <v>14</v>
      </c>
      <c r="D50" s="10" t="s">
        <v>79</v>
      </c>
      <c r="E50" s="64" t="s">
        <v>39908</v>
      </c>
      <c r="F50" s="67">
        <v>43818</v>
      </c>
      <c r="G50" s="10" t="s">
        <v>39909</v>
      </c>
      <c r="H50" s="10" t="s">
        <v>3585</v>
      </c>
      <c r="I50" s="10" t="s">
        <v>112</v>
      </c>
      <c r="J50" s="65">
        <v>85281</v>
      </c>
      <c r="K50" s="10" t="s">
        <v>585</v>
      </c>
      <c r="L50" s="10" t="s">
        <v>10122</v>
      </c>
      <c r="M50" s="10" t="s">
        <v>21</v>
      </c>
      <c r="N50" s="10" t="s">
        <v>39910</v>
      </c>
      <c r="O50" s="10" t="s">
        <v>372</v>
      </c>
      <c r="P50" s="1" t="s">
        <v>30089</v>
      </c>
      <c r="Q50" s="64" t="s">
        <v>39911</v>
      </c>
      <c r="R50" s="10" t="s">
        <v>94</v>
      </c>
      <c r="S50" s="63" t="s">
        <v>22</v>
      </c>
      <c r="T50" s="68" t="s">
        <v>363</v>
      </c>
      <c r="U50" s="68" t="s">
        <v>26572</v>
      </c>
      <c r="V50" s="68" t="s">
        <v>26573</v>
      </c>
      <c r="W50" s="68" t="s">
        <v>94</v>
      </c>
      <c r="X50" s="68">
        <v>5299</v>
      </c>
      <c r="Y50" s="33"/>
      <c r="Z50" s="68" t="s">
        <v>42966</v>
      </c>
      <c r="AA50" s="33">
        <v>7622</v>
      </c>
      <c r="AB50" s="1"/>
      <c r="AC50" s="1"/>
      <c r="AD50" s="33"/>
      <c r="AE50" s="1"/>
      <c r="AF50" s="1"/>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row>
    <row r="51" spans="1:66" s="68" customFormat="1" ht="12" customHeight="1" x14ac:dyDescent="0.15">
      <c r="A51" s="10" t="s">
        <v>37811</v>
      </c>
      <c r="B51" s="99">
        <v>28</v>
      </c>
      <c r="C51" s="10" t="s">
        <v>14</v>
      </c>
      <c r="D51" s="10" t="s">
        <v>79</v>
      </c>
      <c r="E51" s="63"/>
      <c r="F51" s="67">
        <v>43818</v>
      </c>
      <c r="G51" s="10" t="s">
        <v>37812</v>
      </c>
      <c r="H51" s="10" t="s">
        <v>19413</v>
      </c>
      <c r="I51" s="10" t="s">
        <v>338</v>
      </c>
      <c r="J51" s="65">
        <v>28645</v>
      </c>
      <c r="K51" s="10" t="s">
        <v>7861</v>
      </c>
      <c r="L51" s="10" t="s">
        <v>5161</v>
      </c>
      <c r="M51" s="10" t="s">
        <v>21</v>
      </c>
      <c r="N51" s="10" t="s">
        <v>37813</v>
      </c>
      <c r="O51" s="10" t="s">
        <v>372</v>
      </c>
      <c r="P51" s="1" t="s">
        <v>30089</v>
      </c>
      <c r="Q51" s="64" t="s">
        <v>37814</v>
      </c>
      <c r="R51" s="10" t="s">
        <v>94</v>
      </c>
      <c r="S51" s="63" t="s">
        <v>22</v>
      </c>
      <c r="T51" s="68" t="s">
        <v>26781</v>
      </c>
      <c r="U51" s="68" t="s">
        <v>26572</v>
      </c>
      <c r="V51" s="68" t="s">
        <v>19228</v>
      </c>
      <c r="W51" s="68" t="s">
        <v>94</v>
      </c>
      <c r="X51" s="68">
        <v>5309</v>
      </c>
      <c r="Y51" s="33"/>
      <c r="Z51" s="68" t="s">
        <v>42967</v>
      </c>
      <c r="AA51" s="33">
        <v>7618</v>
      </c>
      <c r="AB51" s="1"/>
      <c r="AC51" s="1"/>
      <c r="AD51" s="33"/>
      <c r="AE51" s="1"/>
      <c r="AF51" s="1"/>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row>
    <row r="52" spans="1:66" s="68" customFormat="1" ht="12" customHeight="1" x14ac:dyDescent="0.15">
      <c r="A52" s="10" t="s">
        <v>39115</v>
      </c>
      <c r="B52" s="99">
        <v>29</v>
      </c>
      <c r="C52" s="10" t="s">
        <v>14</v>
      </c>
      <c r="D52" s="10" t="s">
        <v>24</v>
      </c>
      <c r="E52" s="63"/>
      <c r="F52" s="67">
        <v>43817</v>
      </c>
      <c r="G52" s="10" t="s">
        <v>39116</v>
      </c>
      <c r="H52" s="10" t="s">
        <v>2307</v>
      </c>
      <c r="I52" s="10" t="s">
        <v>367</v>
      </c>
      <c r="J52" s="65">
        <v>74107</v>
      </c>
      <c r="K52" s="10" t="s">
        <v>2307</v>
      </c>
      <c r="L52" s="10" t="s">
        <v>3108</v>
      </c>
      <c r="M52" s="10" t="s">
        <v>21</v>
      </c>
      <c r="N52" s="10" t="s">
        <v>39117</v>
      </c>
      <c r="O52" s="10" t="s">
        <v>372</v>
      </c>
      <c r="P52" s="1" t="s">
        <v>30089</v>
      </c>
      <c r="Q52" s="64" t="s">
        <v>39118</v>
      </c>
      <c r="R52" s="10" t="s">
        <v>94</v>
      </c>
      <c r="S52" s="63" t="s">
        <v>22</v>
      </c>
      <c r="T52" s="68" t="s">
        <v>26781</v>
      </c>
      <c r="U52" s="68" t="s">
        <v>26572</v>
      </c>
      <c r="V52" s="68" t="s">
        <v>26573</v>
      </c>
      <c r="W52" s="68" t="s">
        <v>94</v>
      </c>
      <c r="X52" s="68">
        <v>5287</v>
      </c>
      <c r="Y52" s="33"/>
      <c r="Z52" s="68" t="s">
        <v>42968</v>
      </c>
      <c r="AA52" s="33">
        <v>7617</v>
      </c>
      <c r="AB52" s="1"/>
      <c r="AC52" s="1"/>
      <c r="AD52" s="33"/>
      <c r="AE52" s="1"/>
      <c r="AF52" s="1"/>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row>
    <row r="53" spans="1:66" s="68" customFormat="1" ht="12" customHeight="1" x14ac:dyDescent="0.15">
      <c r="A53" s="10" t="s">
        <v>41851</v>
      </c>
      <c r="B53" s="99">
        <v>41</v>
      </c>
      <c r="C53" s="10" t="s">
        <v>14</v>
      </c>
      <c r="D53" s="10" t="s">
        <v>31</v>
      </c>
      <c r="E53" s="64" t="s">
        <v>41852</v>
      </c>
      <c r="F53" s="67">
        <v>43816</v>
      </c>
      <c r="G53" s="10" t="s">
        <v>41853</v>
      </c>
      <c r="H53" s="10" t="s">
        <v>15216</v>
      </c>
      <c r="I53" s="10" t="s">
        <v>798</v>
      </c>
      <c r="J53" s="65">
        <v>59401</v>
      </c>
      <c r="K53" s="10" t="s">
        <v>13474</v>
      </c>
      <c r="L53" s="10" t="s">
        <v>5161</v>
      </c>
      <c r="M53" s="10" t="s">
        <v>21</v>
      </c>
      <c r="N53" s="10" t="s">
        <v>41854</v>
      </c>
      <c r="O53" s="10" t="s">
        <v>372</v>
      </c>
      <c r="P53" s="1" t="s">
        <v>30089</v>
      </c>
      <c r="Q53" s="64" t="s">
        <v>41855</v>
      </c>
      <c r="R53" s="10" t="s">
        <v>94</v>
      </c>
      <c r="S53" s="63" t="s">
        <v>22</v>
      </c>
      <c r="T53" s="34" t="s">
        <v>26781</v>
      </c>
      <c r="U53" s="34" t="s">
        <v>26572</v>
      </c>
      <c r="V53" s="54" t="s">
        <v>42481</v>
      </c>
      <c r="W53" s="54" t="s">
        <v>42480</v>
      </c>
      <c r="X53" s="68">
        <v>5395</v>
      </c>
      <c r="Y53" s="33"/>
      <c r="Z53" s="68" t="s">
        <v>42966</v>
      </c>
      <c r="AA53" s="33">
        <v>7614</v>
      </c>
      <c r="AB53" s="1"/>
      <c r="AC53" s="1"/>
      <c r="AD53" s="33"/>
      <c r="AE53" s="1"/>
      <c r="AF53" s="1"/>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row>
    <row r="54" spans="1:66" s="68" customFormat="1" ht="12" customHeight="1" x14ac:dyDescent="0.15">
      <c r="A54" s="10" t="s">
        <v>38490</v>
      </c>
      <c r="B54" s="99">
        <v>27</v>
      </c>
      <c r="C54" s="10" t="s">
        <v>14</v>
      </c>
      <c r="D54" s="10" t="s">
        <v>31</v>
      </c>
      <c r="E54" s="64" t="s">
        <v>38491</v>
      </c>
      <c r="F54" s="67">
        <v>43816</v>
      </c>
      <c r="G54" s="10" t="s">
        <v>38492</v>
      </c>
      <c r="H54" s="10" t="s">
        <v>22048</v>
      </c>
      <c r="I54" s="10" t="s">
        <v>56</v>
      </c>
      <c r="J54" s="65">
        <v>32547</v>
      </c>
      <c r="K54" s="10" t="s">
        <v>11165</v>
      </c>
      <c r="L54" s="10" t="s">
        <v>247</v>
      </c>
      <c r="M54" s="10" t="s">
        <v>21</v>
      </c>
      <c r="N54" s="10" t="s">
        <v>38493</v>
      </c>
      <c r="O54" s="10" t="s">
        <v>372</v>
      </c>
      <c r="P54" s="1" t="s">
        <v>30089</v>
      </c>
      <c r="Q54" s="64" t="s">
        <v>38494</v>
      </c>
      <c r="R54" s="10" t="s">
        <v>94</v>
      </c>
      <c r="S54" s="63" t="s">
        <v>22</v>
      </c>
      <c r="T54" s="68" t="s">
        <v>26781</v>
      </c>
      <c r="U54" s="68" t="s">
        <v>26572</v>
      </c>
      <c r="V54" s="68" t="s">
        <v>26571</v>
      </c>
      <c r="W54" s="68" t="s">
        <v>94</v>
      </c>
      <c r="X54" s="68">
        <v>5289</v>
      </c>
      <c r="Y54" s="33"/>
      <c r="Z54" s="68" t="s">
        <v>42968</v>
      </c>
      <c r="AA54" s="33">
        <v>7613</v>
      </c>
      <c r="AB54" s="1"/>
      <c r="AC54" s="1"/>
      <c r="AD54" s="33"/>
      <c r="AE54" s="1"/>
      <c r="AF54" s="1"/>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row>
    <row r="55" spans="1:66" s="68" customFormat="1" ht="12" customHeight="1" x14ac:dyDescent="0.15">
      <c r="A55" s="10" t="s">
        <v>42219</v>
      </c>
      <c r="B55" s="99">
        <v>63</v>
      </c>
      <c r="C55" s="10" t="s">
        <v>14</v>
      </c>
      <c r="D55" s="10" t="s">
        <v>24</v>
      </c>
      <c r="E55" s="63"/>
      <c r="F55" s="67">
        <v>43816</v>
      </c>
      <c r="G55" s="10" t="s">
        <v>42220</v>
      </c>
      <c r="H55" s="10" t="s">
        <v>801</v>
      </c>
      <c r="I55" s="10" t="s">
        <v>67</v>
      </c>
      <c r="J55" s="65">
        <v>79924</v>
      </c>
      <c r="K55" s="10" t="s">
        <v>801</v>
      </c>
      <c r="L55" s="10" t="s">
        <v>42221</v>
      </c>
      <c r="M55" s="10" t="s">
        <v>21</v>
      </c>
      <c r="N55" s="10" t="s">
        <v>42222</v>
      </c>
      <c r="O55" s="10" t="s">
        <v>372</v>
      </c>
      <c r="P55" s="1" t="s">
        <v>30089</v>
      </c>
      <c r="Q55" s="64" t="s">
        <v>42223</v>
      </c>
      <c r="R55" s="10" t="s">
        <v>94</v>
      </c>
      <c r="S55" s="63" t="s">
        <v>22</v>
      </c>
      <c r="T55" s="34" t="s">
        <v>26781</v>
      </c>
      <c r="U55" s="34" t="s">
        <v>26572</v>
      </c>
      <c r="W55" s="54" t="s">
        <v>42480</v>
      </c>
      <c r="X55" s="68">
        <v>5396</v>
      </c>
      <c r="Y55" s="33"/>
      <c r="Z55" s="68" t="s">
        <v>42968</v>
      </c>
      <c r="AA55" s="33">
        <v>7615</v>
      </c>
      <c r="AB55" s="1"/>
      <c r="AC55" s="1"/>
      <c r="AD55" s="33"/>
      <c r="AE55" s="1"/>
      <c r="AF55" s="1"/>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row>
    <row r="56" spans="1:66" s="68" customFormat="1" ht="12" customHeight="1" x14ac:dyDescent="0.15">
      <c r="A56" s="10" t="s">
        <v>39458</v>
      </c>
      <c r="B56" s="99">
        <v>27</v>
      </c>
      <c r="C56" s="10" t="s">
        <v>14</v>
      </c>
      <c r="D56" s="10" t="s">
        <v>885</v>
      </c>
      <c r="E56" s="64" t="s">
        <v>39459</v>
      </c>
      <c r="F56" s="67">
        <v>43816</v>
      </c>
      <c r="G56" s="10" t="s">
        <v>39460</v>
      </c>
      <c r="H56" s="10" t="s">
        <v>6748</v>
      </c>
      <c r="I56" s="10" t="s">
        <v>814</v>
      </c>
      <c r="J56" s="65">
        <v>96707</v>
      </c>
      <c r="K56" s="10" t="s">
        <v>2196</v>
      </c>
      <c r="L56" s="10" t="s">
        <v>3281</v>
      </c>
      <c r="M56" s="10" t="s">
        <v>21</v>
      </c>
      <c r="N56" s="10" t="s">
        <v>39461</v>
      </c>
      <c r="O56" s="10" t="s">
        <v>372</v>
      </c>
      <c r="P56" s="1" t="s">
        <v>30089</v>
      </c>
      <c r="Q56" s="64" t="s">
        <v>39462</v>
      </c>
      <c r="R56" s="10" t="s">
        <v>94</v>
      </c>
      <c r="S56" s="63" t="s">
        <v>22</v>
      </c>
      <c r="T56" s="68" t="s">
        <v>26774</v>
      </c>
      <c r="U56" s="68" t="s">
        <v>26572</v>
      </c>
      <c r="V56" s="68">
        <v>0</v>
      </c>
      <c r="W56" s="68" t="s">
        <v>512</v>
      </c>
      <c r="X56" s="68">
        <v>5290</v>
      </c>
      <c r="Y56" s="33"/>
      <c r="Z56" s="68" t="s">
        <v>42968</v>
      </c>
      <c r="AA56" s="33">
        <v>7616</v>
      </c>
      <c r="AB56" s="1"/>
      <c r="AC56" s="1"/>
      <c r="AD56" s="33"/>
      <c r="AE56" s="1"/>
      <c r="AF56" s="1"/>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row>
    <row r="57" spans="1:66" s="68" customFormat="1" ht="12" customHeight="1" x14ac:dyDescent="0.15">
      <c r="A57" s="10" t="s">
        <v>38485</v>
      </c>
      <c r="B57" s="99">
        <v>31</v>
      </c>
      <c r="C57" s="10" t="s">
        <v>14</v>
      </c>
      <c r="D57" s="10" t="s">
        <v>31</v>
      </c>
      <c r="E57" s="64" t="s">
        <v>38486</v>
      </c>
      <c r="F57" s="67">
        <v>43816</v>
      </c>
      <c r="G57" s="10" t="s">
        <v>38487</v>
      </c>
      <c r="H57" s="10" t="s">
        <v>205</v>
      </c>
      <c r="I57" s="10" t="s">
        <v>338</v>
      </c>
      <c r="J57" s="65">
        <v>28411</v>
      </c>
      <c r="K57" s="10" t="s">
        <v>7811</v>
      </c>
      <c r="L57" s="10" t="s">
        <v>7812</v>
      </c>
      <c r="M57" s="10" t="s">
        <v>21</v>
      </c>
      <c r="N57" s="10" t="s">
        <v>38488</v>
      </c>
      <c r="O57" s="10" t="s">
        <v>372</v>
      </c>
      <c r="P57" s="1" t="s">
        <v>30089</v>
      </c>
      <c r="Q57" s="64" t="s">
        <v>38489</v>
      </c>
      <c r="R57" s="10" t="s">
        <v>94</v>
      </c>
      <c r="S57" s="63" t="s">
        <v>22</v>
      </c>
      <c r="T57" s="68" t="s">
        <v>26781</v>
      </c>
      <c r="U57" s="68" t="s">
        <v>26572</v>
      </c>
      <c r="V57" s="68" t="s">
        <v>26573</v>
      </c>
      <c r="W57" s="68" t="s">
        <v>94</v>
      </c>
      <c r="X57" s="68">
        <v>5288</v>
      </c>
      <c r="Y57" s="33"/>
      <c r="Z57" s="68" t="s">
        <v>42968</v>
      </c>
      <c r="AA57" s="33">
        <v>7612</v>
      </c>
      <c r="AB57" s="1"/>
      <c r="AC57" s="1"/>
      <c r="AD57" s="33"/>
      <c r="AE57" s="1"/>
      <c r="AF57" s="1"/>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row>
    <row r="58" spans="1:66" s="68" customFormat="1" ht="12" customHeight="1" x14ac:dyDescent="0.15">
      <c r="A58" s="10" t="s">
        <v>3002</v>
      </c>
      <c r="B58" s="69"/>
      <c r="C58" s="10" t="s">
        <v>14</v>
      </c>
      <c r="D58" s="68" t="s">
        <v>42</v>
      </c>
      <c r="E58" s="63"/>
      <c r="F58" s="67">
        <v>43815</v>
      </c>
      <c r="G58" s="10" t="s">
        <v>39207</v>
      </c>
      <c r="H58" s="10" t="s">
        <v>92</v>
      </c>
      <c r="I58" s="10" t="s">
        <v>39</v>
      </c>
      <c r="J58" s="65">
        <v>90020</v>
      </c>
      <c r="K58" s="10" t="s">
        <v>92</v>
      </c>
      <c r="L58" s="10" t="s">
        <v>386</v>
      </c>
      <c r="M58" s="10" t="s">
        <v>21</v>
      </c>
      <c r="N58" s="10" t="s">
        <v>39208</v>
      </c>
      <c r="O58" s="10" t="s">
        <v>372</v>
      </c>
      <c r="P58" s="1" t="s">
        <v>30089</v>
      </c>
      <c r="Q58" s="64" t="s">
        <v>39209</v>
      </c>
      <c r="R58" s="10" t="s">
        <v>94</v>
      </c>
      <c r="S58" s="63" t="s">
        <v>22</v>
      </c>
      <c r="T58" s="68" t="s">
        <v>26781</v>
      </c>
      <c r="U58" s="68" t="s">
        <v>26572</v>
      </c>
      <c r="V58" s="68" t="s">
        <v>26574</v>
      </c>
      <c r="W58" s="68" t="s">
        <v>94</v>
      </c>
      <c r="X58" s="68">
        <v>5292</v>
      </c>
      <c r="Y58" s="33"/>
      <c r="Z58" s="68" t="s">
        <v>42966</v>
      </c>
      <c r="AA58" s="33">
        <v>7610</v>
      </c>
      <c r="AB58" s="1"/>
      <c r="AC58" s="1"/>
      <c r="AD58" s="33"/>
      <c r="AE58" s="1"/>
      <c r="AF58" s="1"/>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row>
    <row r="59" spans="1:66" s="68" customFormat="1" ht="12" customHeight="1" x14ac:dyDescent="0.15">
      <c r="A59" s="10" t="s">
        <v>40290</v>
      </c>
      <c r="B59" s="99">
        <v>28</v>
      </c>
      <c r="C59" s="10" t="s">
        <v>14</v>
      </c>
      <c r="D59" s="10" t="s">
        <v>31</v>
      </c>
      <c r="E59" s="64" t="s">
        <v>40291</v>
      </c>
      <c r="F59" s="67">
        <v>43815</v>
      </c>
      <c r="G59" s="10" t="s">
        <v>40292</v>
      </c>
      <c r="H59" s="10" t="s">
        <v>288</v>
      </c>
      <c r="I59" s="10" t="s">
        <v>39</v>
      </c>
      <c r="J59" s="65">
        <v>92407</v>
      </c>
      <c r="K59" s="10" t="s">
        <v>288</v>
      </c>
      <c r="L59" s="10" t="s">
        <v>32215</v>
      </c>
      <c r="M59" s="10" t="s">
        <v>21</v>
      </c>
      <c r="N59" s="10" t="s">
        <v>40293</v>
      </c>
      <c r="O59" s="10" t="s">
        <v>372</v>
      </c>
      <c r="P59" s="1" t="s">
        <v>30089</v>
      </c>
      <c r="Q59" s="64" t="s">
        <v>40294</v>
      </c>
      <c r="R59" s="10" t="s">
        <v>94</v>
      </c>
      <c r="S59" s="63" t="s">
        <v>29</v>
      </c>
      <c r="T59" s="68" t="s">
        <v>26575</v>
      </c>
      <c r="U59" s="68" t="s">
        <v>26575</v>
      </c>
      <c r="V59" s="68" t="s">
        <v>26571</v>
      </c>
      <c r="W59" s="68" t="s">
        <v>94</v>
      </c>
      <c r="X59" s="68">
        <v>5296</v>
      </c>
      <c r="Y59" s="33"/>
      <c r="Z59" s="68" t="s">
        <v>42968</v>
      </c>
      <c r="AA59" s="33">
        <v>7611</v>
      </c>
      <c r="AB59" s="1"/>
      <c r="AC59" s="1"/>
      <c r="AD59" s="33"/>
      <c r="AE59" s="1"/>
      <c r="AF59" s="1"/>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row>
    <row r="60" spans="1:66" s="68" customFormat="1" ht="12" customHeight="1" x14ac:dyDescent="0.15">
      <c r="A60" s="10" t="s">
        <v>37845</v>
      </c>
      <c r="B60" s="99">
        <v>34</v>
      </c>
      <c r="C60" s="10" t="s">
        <v>14</v>
      </c>
      <c r="D60" s="10" t="s">
        <v>885</v>
      </c>
      <c r="E60" s="64" t="s">
        <v>37846</v>
      </c>
      <c r="F60" s="67">
        <v>43815</v>
      </c>
      <c r="G60" s="10" t="s">
        <v>37847</v>
      </c>
      <c r="H60" s="10" t="s">
        <v>2196</v>
      </c>
      <c r="I60" s="10" t="s">
        <v>814</v>
      </c>
      <c r="J60" s="65">
        <v>96819</v>
      </c>
      <c r="K60" s="10" t="s">
        <v>2196</v>
      </c>
      <c r="L60" s="10" t="s">
        <v>3281</v>
      </c>
      <c r="M60" s="10" t="s">
        <v>21</v>
      </c>
      <c r="N60" s="10" t="s">
        <v>37848</v>
      </c>
      <c r="O60" s="10" t="s">
        <v>372</v>
      </c>
      <c r="P60" s="1" t="s">
        <v>30089</v>
      </c>
      <c r="Q60" s="64" t="s">
        <v>37849</v>
      </c>
      <c r="R60" s="10" t="s">
        <v>94</v>
      </c>
      <c r="S60" s="63" t="s">
        <v>22</v>
      </c>
      <c r="T60" s="68" t="s">
        <v>26781</v>
      </c>
      <c r="U60" s="68" t="s">
        <v>26572</v>
      </c>
      <c r="V60" s="68" t="s">
        <v>26574</v>
      </c>
      <c r="W60" s="68" t="s">
        <v>94</v>
      </c>
      <c r="X60" s="68">
        <v>5291</v>
      </c>
      <c r="Y60" s="33"/>
      <c r="Z60" s="68" t="s">
        <v>42968</v>
      </c>
      <c r="AA60" s="33">
        <v>7609</v>
      </c>
      <c r="AB60" s="1"/>
      <c r="AC60" s="1"/>
      <c r="AD60" s="33"/>
      <c r="AE60" s="1"/>
      <c r="AF60" s="1"/>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row>
    <row r="61" spans="1:66" s="68" customFormat="1" ht="12" customHeight="1" x14ac:dyDescent="0.15">
      <c r="A61" s="10" t="s">
        <v>38475</v>
      </c>
      <c r="B61" s="99">
        <v>23</v>
      </c>
      <c r="C61" s="10" t="s">
        <v>14</v>
      </c>
      <c r="D61" s="10" t="s">
        <v>31</v>
      </c>
      <c r="E61" s="64" t="s">
        <v>38476</v>
      </c>
      <c r="F61" s="67">
        <v>43814</v>
      </c>
      <c r="G61" s="10" t="s">
        <v>38477</v>
      </c>
      <c r="H61" s="10" t="s">
        <v>831</v>
      </c>
      <c r="I61" s="10" t="s">
        <v>409</v>
      </c>
      <c r="J61" s="65">
        <v>53218</v>
      </c>
      <c r="K61" s="10" t="s">
        <v>831</v>
      </c>
      <c r="L61" s="10" t="s">
        <v>3545</v>
      </c>
      <c r="M61" s="10" t="s">
        <v>21</v>
      </c>
      <c r="N61" s="10" t="s">
        <v>38478</v>
      </c>
      <c r="O61" s="10" t="s">
        <v>372</v>
      </c>
      <c r="P61" s="1" t="s">
        <v>30089</v>
      </c>
      <c r="Q61" s="64" t="s">
        <v>38479</v>
      </c>
      <c r="R61" s="10" t="s">
        <v>94</v>
      </c>
      <c r="S61" s="63" t="s">
        <v>22</v>
      </c>
      <c r="T61" s="68" t="s">
        <v>26781</v>
      </c>
      <c r="U61" s="68" t="s">
        <v>26572</v>
      </c>
      <c r="V61" s="68" t="s">
        <v>26571</v>
      </c>
      <c r="W61" s="68" t="s">
        <v>94</v>
      </c>
      <c r="X61" s="68">
        <v>5274</v>
      </c>
      <c r="Y61" s="33"/>
      <c r="Z61" s="68" t="s">
        <v>42966</v>
      </c>
      <c r="AA61" s="33">
        <v>7606</v>
      </c>
      <c r="AB61" s="1"/>
      <c r="AC61" s="1"/>
      <c r="AD61" s="33"/>
      <c r="AE61" s="1"/>
      <c r="AF61" s="1"/>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row>
    <row r="62" spans="1:66" s="68" customFormat="1" ht="12" customHeight="1" x14ac:dyDescent="0.15">
      <c r="A62" s="10" t="s">
        <v>40362</v>
      </c>
      <c r="B62" s="99">
        <v>27</v>
      </c>
      <c r="C62" s="10" t="s">
        <v>14</v>
      </c>
      <c r="D62" s="10" t="s">
        <v>42</v>
      </c>
      <c r="E62" s="63"/>
      <c r="F62" s="67">
        <v>43814</v>
      </c>
      <c r="G62" s="10" t="s">
        <v>40363</v>
      </c>
      <c r="H62" s="10" t="s">
        <v>1122</v>
      </c>
      <c r="I62" s="10" t="s">
        <v>67</v>
      </c>
      <c r="J62" s="65">
        <v>78520</v>
      </c>
      <c r="K62" s="10" t="s">
        <v>1123</v>
      </c>
      <c r="L62" s="10" t="s">
        <v>1124</v>
      </c>
      <c r="M62" s="10" t="s">
        <v>21</v>
      </c>
      <c r="N62" s="10" t="s">
        <v>40364</v>
      </c>
      <c r="O62" s="10" t="s">
        <v>372</v>
      </c>
      <c r="P62" s="1" t="s">
        <v>30089</v>
      </c>
      <c r="Q62" s="64" t="s">
        <v>40365</v>
      </c>
      <c r="R62" s="10" t="s">
        <v>94</v>
      </c>
      <c r="S62" s="63" t="s">
        <v>29</v>
      </c>
      <c r="T62" s="68" t="s">
        <v>26575</v>
      </c>
      <c r="U62" s="68" t="s">
        <v>26575</v>
      </c>
      <c r="V62" s="68">
        <v>0</v>
      </c>
      <c r="W62" s="68" t="s">
        <v>94</v>
      </c>
      <c r="X62" s="68">
        <v>5293</v>
      </c>
      <c r="Y62" s="33"/>
      <c r="Z62" s="68" t="s">
        <v>42966</v>
      </c>
      <c r="AA62" s="33">
        <v>7608</v>
      </c>
      <c r="AB62" s="1"/>
      <c r="AC62" s="1"/>
      <c r="AD62" s="33"/>
      <c r="AE62" s="1"/>
      <c r="AF62" s="1"/>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row>
    <row r="63" spans="1:66" s="68" customFormat="1" ht="12" customHeight="1" x14ac:dyDescent="0.15">
      <c r="A63" s="10" t="s">
        <v>37840</v>
      </c>
      <c r="B63" s="99">
        <v>52</v>
      </c>
      <c r="C63" s="10" t="s">
        <v>14</v>
      </c>
      <c r="D63" s="1" t="s">
        <v>15</v>
      </c>
      <c r="E63" s="64" t="s">
        <v>37841</v>
      </c>
      <c r="F63" s="67">
        <v>43814</v>
      </c>
      <c r="G63" s="10" t="s">
        <v>37842</v>
      </c>
      <c r="H63" s="10" t="s">
        <v>6191</v>
      </c>
      <c r="I63" s="10" t="s">
        <v>122</v>
      </c>
      <c r="J63" s="65">
        <v>55411</v>
      </c>
      <c r="K63" s="10" t="s">
        <v>1009</v>
      </c>
      <c r="L63" s="10" t="s">
        <v>15162</v>
      </c>
      <c r="M63" s="10" t="s">
        <v>21</v>
      </c>
      <c r="N63" s="10" t="s">
        <v>37843</v>
      </c>
      <c r="O63" s="10" t="s">
        <v>372</v>
      </c>
      <c r="P63" s="1" t="s">
        <v>30089</v>
      </c>
      <c r="Q63" s="64" t="s">
        <v>37844</v>
      </c>
      <c r="R63" s="10" t="s">
        <v>94</v>
      </c>
      <c r="S63" s="63" t="s">
        <v>22</v>
      </c>
      <c r="T63" s="68" t="s">
        <v>26781</v>
      </c>
      <c r="U63" s="68" t="s">
        <v>26572</v>
      </c>
      <c r="V63" s="68" t="s">
        <v>26573</v>
      </c>
      <c r="W63" s="68" t="s">
        <v>512</v>
      </c>
      <c r="X63" s="68">
        <v>5275</v>
      </c>
      <c r="Y63" s="33"/>
      <c r="Z63" s="68" t="s">
        <v>42966</v>
      </c>
      <c r="AA63" s="33">
        <v>7605</v>
      </c>
      <c r="AB63" s="1"/>
      <c r="AC63" s="1"/>
      <c r="AD63" s="33"/>
      <c r="AE63" s="1"/>
      <c r="AF63" s="1"/>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row>
    <row r="64" spans="1:66" s="68" customFormat="1" ht="12" customHeight="1" x14ac:dyDescent="0.15">
      <c r="A64" s="10" t="s">
        <v>41138</v>
      </c>
      <c r="B64" s="99">
        <v>40</v>
      </c>
      <c r="C64" s="10" t="s">
        <v>14</v>
      </c>
      <c r="D64" s="10" t="s">
        <v>15</v>
      </c>
      <c r="E64" s="64" t="s">
        <v>41139</v>
      </c>
      <c r="F64" s="67">
        <v>43814</v>
      </c>
      <c r="G64" s="10" t="s">
        <v>41140</v>
      </c>
      <c r="H64" s="10" t="s">
        <v>187</v>
      </c>
      <c r="I64" s="10" t="s">
        <v>63</v>
      </c>
      <c r="J64" s="65">
        <v>44310</v>
      </c>
      <c r="K64" s="10" t="s">
        <v>3180</v>
      </c>
      <c r="L64" s="10" t="s">
        <v>188</v>
      </c>
      <c r="M64" s="10" t="s">
        <v>21</v>
      </c>
      <c r="N64" s="10" t="s">
        <v>41141</v>
      </c>
      <c r="O64" s="10" t="s">
        <v>372</v>
      </c>
      <c r="P64" s="1" t="s">
        <v>30089</v>
      </c>
      <c r="Q64" s="64" t="s">
        <v>41142</v>
      </c>
      <c r="R64" s="10" t="s">
        <v>512</v>
      </c>
      <c r="S64" s="63" t="s">
        <v>22</v>
      </c>
      <c r="T64" s="68" t="s">
        <v>26781</v>
      </c>
      <c r="U64" s="68" t="s">
        <v>26570</v>
      </c>
      <c r="V64" s="68" t="s">
        <v>26574</v>
      </c>
      <c r="W64" s="68" t="s">
        <v>94</v>
      </c>
      <c r="X64" s="68">
        <v>5276</v>
      </c>
      <c r="Y64" s="33"/>
      <c r="Z64" s="68" t="s">
        <v>42966</v>
      </c>
      <c r="AA64" s="33">
        <v>7607</v>
      </c>
      <c r="AB64" s="1"/>
      <c r="AC64" s="1"/>
      <c r="AD64" s="33"/>
      <c r="AE64" s="1"/>
      <c r="AF64" s="1"/>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row>
    <row r="65" spans="1:66" s="68" customFormat="1" ht="12" customHeight="1" x14ac:dyDescent="0.15">
      <c r="A65" s="10" t="s">
        <v>37764</v>
      </c>
      <c r="B65" s="99">
        <v>65</v>
      </c>
      <c r="C65" s="10" t="s">
        <v>14</v>
      </c>
      <c r="D65" s="10" t="s">
        <v>79</v>
      </c>
      <c r="E65" s="64" t="s">
        <v>37765</v>
      </c>
      <c r="F65" s="67">
        <v>43813</v>
      </c>
      <c r="G65" s="10" t="s">
        <v>37766</v>
      </c>
      <c r="H65" s="10" t="s">
        <v>415</v>
      </c>
      <c r="I65" s="10" t="s">
        <v>51</v>
      </c>
      <c r="J65" s="65">
        <v>48213</v>
      </c>
      <c r="K65" s="10" t="s">
        <v>1057</v>
      </c>
      <c r="L65" s="10" t="s">
        <v>2030</v>
      </c>
      <c r="M65" s="10" t="s">
        <v>21</v>
      </c>
      <c r="N65" s="10" t="s">
        <v>37767</v>
      </c>
      <c r="O65" s="10" t="s">
        <v>372</v>
      </c>
      <c r="P65" s="1" t="s">
        <v>30089</v>
      </c>
      <c r="Q65" s="64" t="s">
        <v>37768</v>
      </c>
      <c r="R65" s="10" t="s">
        <v>94</v>
      </c>
      <c r="S65" s="63" t="s">
        <v>22</v>
      </c>
      <c r="T65" s="68" t="s">
        <v>26781</v>
      </c>
      <c r="U65" s="68" t="s">
        <v>26572</v>
      </c>
      <c r="V65" s="68" t="s">
        <v>26573</v>
      </c>
      <c r="W65" s="68" t="s">
        <v>94</v>
      </c>
      <c r="X65" s="68">
        <v>5278</v>
      </c>
      <c r="Y65" s="33"/>
      <c r="Z65" s="68" t="s">
        <v>42966</v>
      </c>
      <c r="AA65" s="33">
        <v>7601</v>
      </c>
      <c r="AB65" s="1"/>
      <c r="AC65" s="1"/>
      <c r="AD65" s="33"/>
      <c r="AE65" s="1"/>
      <c r="AF65" s="1"/>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row>
    <row r="66" spans="1:66" s="68" customFormat="1" ht="12" customHeight="1" x14ac:dyDescent="0.15">
      <c r="A66" s="10" t="s">
        <v>39315</v>
      </c>
      <c r="B66" s="99">
        <v>22</v>
      </c>
      <c r="C66" s="10" t="s">
        <v>14</v>
      </c>
      <c r="D66" s="10" t="s">
        <v>79</v>
      </c>
      <c r="E66" s="64" t="s">
        <v>39316</v>
      </c>
      <c r="F66" s="67">
        <v>43813</v>
      </c>
      <c r="G66" s="10" t="s">
        <v>39317</v>
      </c>
      <c r="H66" s="10" t="s">
        <v>603</v>
      </c>
      <c r="I66" s="10" t="s">
        <v>56</v>
      </c>
      <c r="J66" s="65">
        <v>32206</v>
      </c>
      <c r="K66" s="10" t="s">
        <v>604</v>
      </c>
      <c r="L66" s="10" t="s">
        <v>605</v>
      </c>
      <c r="M66" s="10" t="s">
        <v>21</v>
      </c>
      <c r="N66" s="10" t="s">
        <v>39318</v>
      </c>
      <c r="O66" s="10" t="s">
        <v>372</v>
      </c>
      <c r="P66" s="1" t="s">
        <v>30089</v>
      </c>
      <c r="Q66" s="64" t="s">
        <v>39319</v>
      </c>
      <c r="R66" s="10" t="s">
        <v>94</v>
      </c>
      <c r="S66" s="63" t="s">
        <v>22</v>
      </c>
      <c r="T66" s="68" t="s">
        <v>29833</v>
      </c>
      <c r="U66" s="68" t="s">
        <v>26572</v>
      </c>
      <c r="V66" s="68" t="s">
        <v>26571</v>
      </c>
      <c r="W66" s="68" t="s">
        <v>512</v>
      </c>
      <c r="X66" s="68">
        <v>5273</v>
      </c>
      <c r="Y66" s="33"/>
      <c r="Z66" s="68" t="s">
        <v>42966</v>
      </c>
      <c r="AA66" s="33">
        <v>7603</v>
      </c>
      <c r="AB66" s="1"/>
      <c r="AC66" s="1"/>
      <c r="AD66" s="33"/>
      <c r="AE66" s="1"/>
      <c r="AF66" s="1"/>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row>
    <row r="67" spans="1:66" s="68" customFormat="1" ht="12" customHeight="1" x14ac:dyDescent="0.15">
      <c r="A67" s="10" t="s">
        <v>38480</v>
      </c>
      <c r="B67" s="99">
        <v>42</v>
      </c>
      <c r="C67" s="10" t="s">
        <v>14</v>
      </c>
      <c r="D67" s="10" t="s">
        <v>31</v>
      </c>
      <c r="E67" s="64" t="s">
        <v>38481</v>
      </c>
      <c r="F67" s="67">
        <v>43813</v>
      </c>
      <c r="G67" s="10" t="s">
        <v>38482</v>
      </c>
      <c r="H67" s="10" t="s">
        <v>518</v>
      </c>
      <c r="I67" s="10" t="s">
        <v>112</v>
      </c>
      <c r="J67" s="65">
        <v>85705</v>
      </c>
      <c r="K67" s="10" t="s">
        <v>519</v>
      </c>
      <c r="L67" s="10" t="s">
        <v>520</v>
      </c>
      <c r="M67" s="10" t="s">
        <v>21</v>
      </c>
      <c r="N67" s="10" t="s">
        <v>38483</v>
      </c>
      <c r="O67" s="10" t="s">
        <v>372</v>
      </c>
      <c r="P67" s="1" t="s">
        <v>30089</v>
      </c>
      <c r="Q67" s="64" t="s">
        <v>38484</v>
      </c>
      <c r="R67" s="10" t="s">
        <v>94</v>
      </c>
      <c r="S67" s="63" t="s">
        <v>22</v>
      </c>
      <c r="T67" s="68" t="s">
        <v>26781</v>
      </c>
      <c r="U67" s="68" t="s">
        <v>26572</v>
      </c>
      <c r="V67" s="68" t="s">
        <v>26573</v>
      </c>
      <c r="W67" s="68" t="s">
        <v>94</v>
      </c>
      <c r="X67" s="68">
        <v>5277</v>
      </c>
      <c r="Y67" s="33"/>
      <c r="Z67" s="68" t="s">
        <v>42968</v>
      </c>
      <c r="AA67" s="33">
        <v>7602</v>
      </c>
      <c r="AB67" s="1"/>
      <c r="AC67" s="1"/>
      <c r="AD67" s="33"/>
      <c r="AE67" s="1"/>
      <c r="AF67" s="1"/>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row>
    <row r="68" spans="1:66" s="68" customFormat="1" ht="12" customHeight="1" x14ac:dyDescent="0.15">
      <c r="A68" s="10" t="s">
        <v>39698</v>
      </c>
      <c r="B68" s="99">
        <v>18</v>
      </c>
      <c r="C68" s="10" t="s">
        <v>14</v>
      </c>
      <c r="D68" s="10" t="s">
        <v>42</v>
      </c>
      <c r="E68" s="63"/>
      <c r="F68" s="67">
        <v>43813</v>
      </c>
      <c r="G68" s="10" t="s">
        <v>39699</v>
      </c>
      <c r="H68" s="10" t="s">
        <v>4016</v>
      </c>
      <c r="I68" s="10" t="s">
        <v>282</v>
      </c>
      <c r="J68" s="65">
        <v>99301</v>
      </c>
      <c r="K68" s="10" t="s">
        <v>1203</v>
      </c>
      <c r="L68" s="10" t="s">
        <v>4018</v>
      </c>
      <c r="M68" s="10" t="s">
        <v>21</v>
      </c>
      <c r="N68" s="10" t="s">
        <v>39700</v>
      </c>
      <c r="O68" s="10" t="s">
        <v>372</v>
      </c>
      <c r="P68" s="1" t="s">
        <v>30089</v>
      </c>
      <c r="Q68" s="64" t="s">
        <v>39701</v>
      </c>
      <c r="R68" s="10" t="s">
        <v>94</v>
      </c>
      <c r="S68" s="63" t="s">
        <v>22</v>
      </c>
      <c r="T68" s="68" t="s">
        <v>26774</v>
      </c>
      <c r="U68" s="68" t="s">
        <v>26572</v>
      </c>
      <c r="V68" s="68" t="s">
        <v>26573</v>
      </c>
      <c r="W68" s="68" t="s">
        <v>94</v>
      </c>
      <c r="X68" s="68">
        <v>5279</v>
      </c>
      <c r="Y68" s="33"/>
      <c r="Z68" s="68" t="s">
        <v>42968</v>
      </c>
      <c r="AA68" s="33">
        <v>7604</v>
      </c>
      <c r="AB68" s="1"/>
      <c r="AC68" s="1"/>
      <c r="AD68" s="33"/>
      <c r="AE68" s="1"/>
      <c r="AF68" s="1"/>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row>
    <row r="69" spans="1:66" s="68" customFormat="1" ht="12" customHeight="1" x14ac:dyDescent="0.15">
      <c r="A69" s="10" t="s">
        <v>40268</v>
      </c>
      <c r="B69" s="99">
        <v>34</v>
      </c>
      <c r="C69" s="10" t="s">
        <v>14</v>
      </c>
      <c r="D69" s="10" t="s">
        <v>79</v>
      </c>
      <c r="E69" s="63"/>
      <c r="F69" s="67">
        <v>43811</v>
      </c>
      <c r="G69" s="10" t="s">
        <v>40269</v>
      </c>
      <c r="H69" s="10" t="s">
        <v>1751</v>
      </c>
      <c r="I69" s="10" t="s">
        <v>39</v>
      </c>
      <c r="J69" s="65">
        <v>92805</v>
      </c>
      <c r="K69" s="10" t="s">
        <v>998</v>
      </c>
      <c r="L69" s="10" t="s">
        <v>1753</v>
      </c>
      <c r="M69" s="10" t="s">
        <v>21</v>
      </c>
      <c r="N69" s="10" t="s">
        <v>40270</v>
      </c>
      <c r="O69" s="10" t="s">
        <v>372</v>
      </c>
      <c r="P69" s="1" t="s">
        <v>30089</v>
      </c>
      <c r="Q69" s="64" t="s">
        <v>40271</v>
      </c>
      <c r="R69" s="10" t="s">
        <v>94</v>
      </c>
      <c r="S69" s="63" t="s">
        <v>29</v>
      </c>
      <c r="T69" s="68" t="s">
        <v>26575</v>
      </c>
      <c r="U69" s="68" t="s">
        <v>26575</v>
      </c>
      <c r="V69" s="68">
        <v>0</v>
      </c>
      <c r="W69" s="68" t="s">
        <v>512</v>
      </c>
      <c r="X69" s="68">
        <v>5282</v>
      </c>
      <c r="Y69" s="33"/>
      <c r="Z69" s="68" t="s">
        <v>42966</v>
      </c>
      <c r="AA69" s="33">
        <v>7600</v>
      </c>
      <c r="AB69" s="1"/>
      <c r="AC69" s="1"/>
      <c r="AD69" s="33"/>
      <c r="AE69" s="1"/>
      <c r="AF69" s="1"/>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row>
    <row r="70" spans="1:66" s="68" customFormat="1" ht="12" customHeight="1" x14ac:dyDescent="0.15">
      <c r="A70" s="10" t="s">
        <v>39440</v>
      </c>
      <c r="B70" s="99">
        <v>22</v>
      </c>
      <c r="C70" s="10" t="s">
        <v>14</v>
      </c>
      <c r="D70" s="10" t="s">
        <v>79</v>
      </c>
      <c r="E70" s="63"/>
      <c r="F70" s="67">
        <v>43811</v>
      </c>
      <c r="G70" s="10" t="s">
        <v>39441</v>
      </c>
      <c r="H70" s="10" t="s">
        <v>1463</v>
      </c>
      <c r="I70" s="10" t="s">
        <v>56</v>
      </c>
      <c r="J70" s="65">
        <v>33617</v>
      </c>
      <c r="K70" s="10" t="s">
        <v>590</v>
      </c>
      <c r="L70" s="10" t="s">
        <v>591</v>
      </c>
      <c r="M70" s="10" t="s">
        <v>21</v>
      </c>
      <c r="N70" s="10" t="s">
        <v>39442</v>
      </c>
      <c r="O70" s="10" t="s">
        <v>372</v>
      </c>
      <c r="P70" s="1" t="s">
        <v>30089</v>
      </c>
      <c r="Q70" s="64" t="s">
        <v>39443</v>
      </c>
      <c r="R70" s="10" t="s">
        <v>94</v>
      </c>
      <c r="S70" s="63" t="s">
        <v>22</v>
      </c>
      <c r="T70" s="68" t="s">
        <v>26774</v>
      </c>
      <c r="U70" s="68" t="s">
        <v>26572</v>
      </c>
      <c r="V70" s="68" t="s">
        <v>26573</v>
      </c>
      <c r="W70" s="68" t="s">
        <v>94</v>
      </c>
      <c r="X70" s="68">
        <v>5297</v>
      </c>
      <c r="Y70" s="33"/>
      <c r="Z70" s="68" t="s">
        <v>42968</v>
      </c>
      <c r="AA70" s="33">
        <v>7596</v>
      </c>
      <c r="AB70" s="1"/>
      <c r="AC70" s="1"/>
      <c r="AD70" s="33"/>
      <c r="AE70" s="1"/>
      <c r="AF70" s="1"/>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row>
    <row r="71" spans="1:66" s="68" customFormat="1" ht="12" customHeight="1" x14ac:dyDescent="0.15">
      <c r="A71" s="10" t="s">
        <v>37769</v>
      </c>
      <c r="B71" s="99">
        <v>24</v>
      </c>
      <c r="C71" s="10" t="s">
        <v>14</v>
      </c>
      <c r="D71" s="10" t="s">
        <v>79</v>
      </c>
      <c r="E71" s="64" t="s">
        <v>37770</v>
      </c>
      <c r="F71" s="67">
        <v>43811</v>
      </c>
      <c r="G71" s="10" t="s">
        <v>37771</v>
      </c>
      <c r="H71" s="10" t="s">
        <v>661</v>
      </c>
      <c r="I71" s="10" t="s">
        <v>402</v>
      </c>
      <c r="J71" s="65">
        <v>63111</v>
      </c>
      <c r="K71" s="10" t="s">
        <v>29523</v>
      </c>
      <c r="L71" s="10" t="s">
        <v>4162</v>
      </c>
      <c r="M71" s="10" t="s">
        <v>21</v>
      </c>
      <c r="N71" s="10" t="s">
        <v>37772</v>
      </c>
      <c r="O71" s="10" t="s">
        <v>372</v>
      </c>
      <c r="P71" s="1" t="s">
        <v>30089</v>
      </c>
      <c r="Q71" s="64" t="s">
        <v>37773</v>
      </c>
      <c r="R71" s="10" t="s">
        <v>94</v>
      </c>
      <c r="S71" s="63" t="s">
        <v>22</v>
      </c>
      <c r="T71" s="68" t="s">
        <v>26781</v>
      </c>
      <c r="U71" s="68" t="s">
        <v>26570</v>
      </c>
      <c r="V71" s="68" t="s">
        <v>26574</v>
      </c>
      <c r="W71" s="68" t="s">
        <v>94</v>
      </c>
      <c r="X71" s="68">
        <v>5280</v>
      </c>
      <c r="Y71" s="33"/>
      <c r="Z71" s="68" t="s">
        <v>42966</v>
      </c>
      <c r="AA71" s="33">
        <v>7594</v>
      </c>
      <c r="AB71" s="1"/>
      <c r="AC71" s="1"/>
      <c r="AD71" s="33"/>
      <c r="AE71" s="1"/>
      <c r="AF71" s="1"/>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row>
    <row r="72" spans="1:66" s="68" customFormat="1" ht="12" customHeight="1" x14ac:dyDescent="0.15">
      <c r="A72" s="10" t="s">
        <v>39580</v>
      </c>
      <c r="B72" s="99">
        <v>30</v>
      </c>
      <c r="C72" s="10" t="s">
        <v>14</v>
      </c>
      <c r="D72" s="10" t="s">
        <v>31</v>
      </c>
      <c r="E72" s="64" t="s">
        <v>39581</v>
      </c>
      <c r="F72" s="67">
        <v>43811</v>
      </c>
      <c r="G72" s="10" t="s">
        <v>39582</v>
      </c>
      <c r="H72" s="10" t="s">
        <v>39583</v>
      </c>
      <c r="I72" s="10" t="s">
        <v>367</v>
      </c>
      <c r="J72" s="65">
        <v>73632</v>
      </c>
      <c r="K72" s="10" t="s">
        <v>24645</v>
      </c>
      <c r="L72" s="10" t="s">
        <v>39584</v>
      </c>
      <c r="M72" s="10" t="s">
        <v>21</v>
      </c>
      <c r="N72" s="10" t="s">
        <v>39585</v>
      </c>
      <c r="O72" s="10" t="s">
        <v>372</v>
      </c>
      <c r="P72" s="1" t="s">
        <v>30089</v>
      </c>
      <c r="Q72" s="64" t="s">
        <v>39586</v>
      </c>
      <c r="R72" s="10" t="s">
        <v>94</v>
      </c>
      <c r="S72" s="63" t="s">
        <v>22</v>
      </c>
      <c r="T72" s="68" t="s">
        <v>26774</v>
      </c>
      <c r="U72" s="68" t="s">
        <v>26572</v>
      </c>
      <c r="V72" s="68" t="s">
        <v>26571</v>
      </c>
      <c r="W72" s="68" t="s">
        <v>94</v>
      </c>
      <c r="X72" s="68">
        <v>5281</v>
      </c>
      <c r="Y72" s="33"/>
      <c r="Z72" s="68" t="s">
        <v>42967</v>
      </c>
      <c r="AA72" s="33">
        <v>7597</v>
      </c>
      <c r="AB72" s="1"/>
      <c r="AC72" s="1"/>
      <c r="AD72" s="33"/>
      <c r="AE72" s="1"/>
      <c r="AF72" s="1"/>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row>
    <row r="73" spans="1:66" s="68" customFormat="1" ht="12" customHeight="1" x14ac:dyDescent="0.15">
      <c r="A73" s="10" t="s">
        <v>41456</v>
      </c>
      <c r="B73" s="99">
        <v>43</v>
      </c>
      <c r="C73" s="10" t="s">
        <v>14</v>
      </c>
      <c r="D73" s="10" t="s">
        <v>24</v>
      </c>
      <c r="E73" s="63"/>
      <c r="F73" s="67">
        <v>43811</v>
      </c>
      <c r="G73" s="10" t="s">
        <v>41457</v>
      </c>
      <c r="H73" s="10" t="s">
        <v>998</v>
      </c>
      <c r="I73" s="10" t="s">
        <v>39</v>
      </c>
      <c r="J73" s="65">
        <v>92867</v>
      </c>
      <c r="K73" s="10" t="s">
        <v>998</v>
      </c>
      <c r="L73" s="10" t="s">
        <v>14504</v>
      </c>
      <c r="M73" s="10" t="s">
        <v>21</v>
      </c>
      <c r="N73" s="10" t="s">
        <v>41458</v>
      </c>
      <c r="O73" s="10" t="s">
        <v>372</v>
      </c>
      <c r="P73" s="1" t="s">
        <v>30089</v>
      </c>
      <c r="Q73" s="64" t="s">
        <v>41459</v>
      </c>
      <c r="R73" s="10" t="s">
        <v>512</v>
      </c>
      <c r="S73" s="63" t="s">
        <v>22</v>
      </c>
      <c r="T73" s="68" t="s">
        <v>26774</v>
      </c>
      <c r="U73" s="68" t="s">
        <v>26570</v>
      </c>
      <c r="V73" s="68" t="s">
        <v>26573</v>
      </c>
      <c r="W73" s="68" t="s">
        <v>512</v>
      </c>
      <c r="X73" s="68">
        <v>5283</v>
      </c>
      <c r="Y73" s="33"/>
      <c r="Z73" s="68" t="s">
        <v>42968</v>
      </c>
      <c r="AA73" s="33">
        <v>7598</v>
      </c>
      <c r="AB73" s="1"/>
      <c r="AC73" s="1"/>
      <c r="AD73" s="33"/>
      <c r="AE73" s="1"/>
      <c r="AF73" s="1"/>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row>
    <row r="74" spans="1:66" s="68" customFormat="1" ht="12" customHeight="1" x14ac:dyDescent="0.15">
      <c r="A74" s="10" t="s">
        <v>40006</v>
      </c>
      <c r="B74" s="99">
        <v>43</v>
      </c>
      <c r="C74" s="10" t="s">
        <v>14</v>
      </c>
      <c r="D74" s="10" t="s">
        <v>31</v>
      </c>
      <c r="E74" s="63"/>
      <c r="F74" s="67">
        <v>43811</v>
      </c>
      <c r="G74" s="10" t="s">
        <v>40007</v>
      </c>
      <c r="H74" s="10" t="s">
        <v>40008</v>
      </c>
      <c r="I74" s="10" t="s">
        <v>282</v>
      </c>
      <c r="J74" s="65">
        <v>98058</v>
      </c>
      <c r="K74" s="10" t="s">
        <v>1133</v>
      </c>
      <c r="L74" s="10" t="s">
        <v>40009</v>
      </c>
      <c r="M74" s="10" t="s">
        <v>21</v>
      </c>
      <c r="N74" s="10" t="s">
        <v>40010</v>
      </c>
      <c r="O74" s="10" t="s">
        <v>372</v>
      </c>
      <c r="P74" s="1" t="s">
        <v>30089</v>
      </c>
      <c r="Q74" s="64" t="s">
        <v>40011</v>
      </c>
      <c r="R74" s="10" t="s">
        <v>904</v>
      </c>
      <c r="S74" s="63" t="s">
        <v>12</v>
      </c>
      <c r="T74" s="68" t="s">
        <v>39971</v>
      </c>
      <c r="U74" s="68" t="s">
        <v>26570</v>
      </c>
      <c r="V74" s="68" t="s">
        <v>26573</v>
      </c>
      <c r="W74" s="68" t="s">
        <v>94</v>
      </c>
      <c r="X74" s="68">
        <v>5286</v>
      </c>
      <c r="Y74" s="33"/>
      <c r="Z74" s="68" t="s">
        <v>42968</v>
      </c>
      <c r="AA74" s="33">
        <v>7599</v>
      </c>
      <c r="AB74" s="1"/>
      <c r="AC74" s="1"/>
      <c r="AD74" s="33"/>
      <c r="AE74" s="1"/>
      <c r="AF74" s="1"/>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row>
    <row r="75" spans="1:66" s="68" customFormat="1" ht="12" customHeight="1" x14ac:dyDescent="0.15">
      <c r="A75" s="10" t="s">
        <v>41098</v>
      </c>
      <c r="B75" s="99">
        <v>23</v>
      </c>
      <c r="C75" s="10" t="s">
        <v>14</v>
      </c>
      <c r="D75" s="10" t="s">
        <v>31</v>
      </c>
      <c r="E75" s="64" t="s">
        <v>41099</v>
      </c>
      <c r="F75" s="67">
        <v>43811</v>
      </c>
      <c r="G75" s="10" t="s">
        <v>41100</v>
      </c>
      <c r="H75" s="10" t="s">
        <v>12443</v>
      </c>
      <c r="I75" s="10" t="s">
        <v>88</v>
      </c>
      <c r="J75" s="65">
        <v>36360</v>
      </c>
      <c r="K75" s="10" t="s">
        <v>12445</v>
      </c>
      <c r="L75" s="10" t="s">
        <v>12446</v>
      </c>
      <c r="M75" s="10" t="s">
        <v>21</v>
      </c>
      <c r="N75" s="10" t="s">
        <v>41101</v>
      </c>
      <c r="O75" s="10" t="s">
        <v>372</v>
      </c>
      <c r="P75" s="1" t="s">
        <v>30089</v>
      </c>
      <c r="Q75" s="64" t="s">
        <v>41102</v>
      </c>
      <c r="R75" s="10" t="s">
        <v>512</v>
      </c>
      <c r="S75" s="63" t="s">
        <v>22</v>
      </c>
      <c r="T75" s="68" t="s">
        <v>26781</v>
      </c>
      <c r="U75" s="68" t="s">
        <v>26572</v>
      </c>
      <c r="V75" s="68" t="s">
        <v>26573</v>
      </c>
      <c r="W75" s="68" t="s">
        <v>94</v>
      </c>
      <c r="X75" s="68">
        <v>5284</v>
      </c>
      <c r="Y75" s="33"/>
      <c r="Z75" s="68" t="s">
        <v>42967</v>
      </c>
      <c r="AA75" s="33">
        <v>7595</v>
      </c>
      <c r="AB75" s="1"/>
      <c r="AC75" s="1"/>
      <c r="AD75" s="33"/>
      <c r="AE75" s="1"/>
      <c r="AF75" s="1"/>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row>
    <row r="76" spans="1:66" s="68" customFormat="1" ht="12" customHeight="1" x14ac:dyDescent="0.15">
      <c r="A76" s="10" t="s">
        <v>41856</v>
      </c>
      <c r="B76" s="99">
        <v>31</v>
      </c>
      <c r="C76" s="10" t="s">
        <v>14</v>
      </c>
      <c r="D76" s="10" t="s">
        <v>31</v>
      </c>
      <c r="E76" s="63"/>
      <c r="F76" s="67">
        <v>43810</v>
      </c>
      <c r="G76" s="10" t="s">
        <v>41857</v>
      </c>
      <c r="H76" s="10" t="s">
        <v>31779</v>
      </c>
      <c r="I76" s="10" t="s">
        <v>67</v>
      </c>
      <c r="J76" s="65">
        <v>77539</v>
      </c>
      <c r="K76" s="10" t="s">
        <v>4843</v>
      </c>
      <c r="L76" s="10" t="s">
        <v>32195</v>
      </c>
      <c r="M76" s="10" t="s">
        <v>21</v>
      </c>
      <c r="N76" s="10" t="s">
        <v>41858</v>
      </c>
      <c r="O76" s="10" t="s">
        <v>372</v>
      </c>
      <c r="P76" s="1" t="s">
        <v>30089</v>
      </c>
      <c r="Q76" s="64" t="s">
        <v>41859</v>
      </c>
      <c r="R76" s="10" t="s">
        <v>94</v>
      </c>
      <c r="S76" s="63" t="s">
        <v>12</v>
      </c>
      <c r="T76" s="34" t="s">
        <v>29705</v>
      </c>
      <c r="U76" s="34" t="s">
        <v>26572</v>
      </c>
      <c r="V76" s="54" t="s">
        <v>42479</v>
      </c>
      <c r="W76" s="54" t="s">
        <v>42480</v>
      </c>
      <c r="X76" s="68">
        <v>5393</v>
      </c>
      <c r="Y76" s="33"/>
      <c r="Z76" s="68" t="s">
        <v>42968</v>
      </c>
      <c r="AA76" s="33">
        <v>7593</v>
      </c>
      <c r="AB76" s="1"/>
      <c r="AC76" s="1"/>
      <c r="AD76" s="33"/>
      <c r="AE76" s="1"/>
      <c r="AF76" s="1"/>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row>
    <row r="77" spans="1:66" s="68" customFormat="1" ht="12" customHeight="1" x14ac:dyDescent="0.15">
      <c r="A77" s="10" t="s">
        <v>37215</v>
      </c>
      <c r="B77" s="99">
        <v>42</v>
      </c>
      <c r="C77" s="10" t="s">
        <v>14</v>
      </c>
      <c r="D77" s="10" t="s">
        <v>42</v>
      </c>
      <c r="E77" s="63"/>
      <c r="F77" s="67">
        <v>43809</v>
      </c>
      <c r="G77" s="10" t="s">
        <v>37216</v>
      </c>
      <c r="H77" s="10" t="s">
        <v>21406</v>
      </c>
      <c r="I77" s="10" t="s">
        <v>39</v>
      </c>
      <c r="J77" s="65">
        <v>92345</v>
      </c>
      <c r="K77" s="10" t="s">
        <v>288</v>
      </c>
      <c r="L77" s="10" t="s">
        <v>32215</v>
      </c>
      <c r="M77" s="10" t="s">
        <v>21</v>
      </c>
      <c r="N77" s="10" t="s">
        <v>37217</v>
      </c>
      <c r="O77" s="10" t="s">
        <v>372</v>
      </c>
      <c r="P77" s="1" t="s">
        <v>30089</v>
      </c>
      <c r="Q77" s="64" t="s">
        <v>37218</v>
      </c>
      <c r="R77" s="10" t="s">
        <v>94</v>
      </c>
      <c r="S77" s="63" t="s">
        <v>22</v>
      </c>
      <c r="T77" s="68" t="s">
        <v>26580</v>
      </c>
      <c r="U77" s="68" t="s">
        <v>26572</v>
      </c>
      <c r="V77" s="68" t="s">
        <v>26573</v>
      </c>
      <c r="W77" s="68" t="s">
        <v>94</v>
      </c>
      <c r="X77" s="68">
        <v>5266</v>
      </c>
      <c r="Y77" s="33"/>
      <c r="Z77" s="68" t="s">
        <v>42968</v>
      </c>
      <c r="AA77" s="33">
        <v>7584</v>
      </c>
      <c r="AB77" s="1"/>
      <c r="AC77" s="1"/>
      <c r="AD77" s="33"/>
      <c r="AE77" s="1"/>
      <c r="AF77" s="1"/>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row>
    <row r="78" spans="1:66" s="68" customFormat="1" ht="12" customHeight="1" x14ac:dyDescent="0.15">
      <c r="A78" s="10" t="s">
        <v>41301</v>
      </c>
      <c r="B78" s="99">
        <v>55</v>
      </c>
      <c r="C78" s="10" t="s">
        <v>14</v>
      </c>
      <c r="D78" s="10" t="s">
        <v>31</v>
      </c>
      <c r="E78" s="63"/>
      <c r="F78" s="67">
        <v>43809</v>
      </c>
      <c r="G78" s="10" t="s">
        <v>41302</v>
      </c>
      <c r="H78" s="10" t="s">
        <v>41303</v>
      </c>
      <c r="I78" s="10" t="s">
        <v>395</v>
      </c>
      <c r="J78" s="65">
        <v>12139</v>
      </c>
      <c r="K78" s="10" t="s">
        <v>505</v>
      </c>
      <c r="L78" s="10" t="s">
        <v>20831</v>
      </c>
      <c r="M78" s="10" t="s">
        <v>21</v>
      </c>
      <c r="N78" s="10" t="s">
        <v>41304</v>
      </c>
      <c r="O78" s="10" t="s">
        <v>372</v>
      </c>
      <c r="P78" s="1" t="s">
        <v>30089</v>
      </c>
      <c r="Q78" s="64" t="s">
        <v>41305</v>
      </c>
      <c r="R78" s="10" t="s">
        <v>512</v>
      </c>
      <c r="S78" s="63" t="s">
        <v>22</v>
      </c>
      <c r="T78" s="68" t="s">
        <v>26585</v>
      </c>
      <c r="U78" s="68" t="s">
        <v>26572</v>
      </c>
      <c r="V78" s="68">
        <v>0</v>
      </c>
      <c r="W78" s="68" t="s">
        <v>94</v>
      </c>
      <c r="X78" s="68">
        <v>5267</v>
      </c>
      <c r="Y78" s="33"/>
      <c r="Z78" s="68" t="s">
        <v>42967</v>
      </c>
      <c r="AA78" s="33">
        <v>7592</v>
      </c>
      <c r="AB78" s="1"/>
      <c r="AC78" s="1"/>
      <c r="AD78" s="33"/>
      <c r="AE78" s="1"/>
      <c r="AF78" s="1"/>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row>
    <row r="79" spans="1:66" s="68" customFormat="1" ht="12" customHeight="1" x14ac:dyDescent="0.15">
      <c r="A79" s="10" t="s">
        <v>37747</v>
      </c>
      <c r="B79" s="99">
        <v>31</v>
      </c>
      <c r="C79" s="10" t="s">
        <v>14</v>
      </c>
      <c r="D79" s="10" t="s">
        <v>79</v>
      </c>
      <c r="E79" s="63"/>
      <c r="F79" s="67">
        <v>43809</v>
      </c>
      <c r="G79" s="10" t="s">
        <v>37748</v>
      </c>
      <c r="H79" s="10" t="s">
        <v>37749</v>
      </c>
      <c r="I79" s="10" t="s">
        <v>26</v>
      </c>
      <c r="J79" s="65">
        <v>29510</v>
      </c>
      <c r="K79" s="10" t="s">
        <v>7825</v>
      </c>
      <c r="L79" s="10" t="s">
        <v>36820</v>
      </c>
      <c r="M79" s="10" t="s">
        <v>21</v>
      </c>
      <c r="N79" s="10" t="s">
        <v>37750</v>
      </c>
      <c r="O79" s="10" t="s">
        <v>372</v>
      </c>
      <c r="P79" s="1" t="s">
        <v>30089</v>
      </c>
      <c r="Q79" s="64" t="s">
        <v>37751</v>
      </c>
      <c r="R79" s="10" t="s">
        <v>94</v>
      </c>
      <c r="S79" s="63" t="s">
        <v>22</v>
      </c>
      <c r="T79" s="68" t="s">
        <v>26781</v>
      </c>
      <c r="U79" s="68" t="s">
        <v>26572</v>
      </c>
      <c r="V79" s="68">
        <v>0</v>
      </c>
      <c r="W79" s="68" t="s">
        <v>94</v>
      </c>
      <c r="X79" s="68">
        <v>5269</v>
      </c>
      <c r="Y79" s="33"/>
      <c r="Z79" s="68" t="s">
        <v>42967</v>
      </c>
      <c r="AA79" s="33">
        <v>7585</v>
      </c>
      <c r="AB79" s="1"/>
      <c r="AC79" s="1"/>
      <c r="AD79" s="33"/>
      <c r="AE79" s="1"/>
      <c r="AF79" s="1"/>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row>
    <row r="80" spans="1:66" s="68" customFormat="1" ht="12" customHeight="1" x14ac:dyDescent="0.15">
      <c r="A80" s="10" t="s">
        <v>37762</v>
      </c>
      <c r="B80" s="99">
        <v>47</v>
      </c>
      <c r="C80" s="10" t="s">
        <v>14</v>
      </c>
      <c r="D80" s="10" t="s">
        <v>79</v>
      </c>
      <c r="E80" s="64" t="s">
        <v>37763</v>
      </c>
      <c r="F80" s="67">
        <v>43809</v>
      </c>
      <c r="G80" s="10" t="s">
        <v>37759</v>
      </c>
      <c r="H80" s="10" t="s">
        <v>7795</v>
      </c>
      <c r="I80" s="10" t="s">
        <v>75</v>
      </c>
      <c r="J80" s="65">
        <v>7305</v>
      </c>
      <c r="K80" s="10" t="s">
        <v>2300</v>
      </c>
      <c r="L80" s="10" t="s">
        <v>7797</v>
      </c>
      <c r="M80" s="10" t="s">
        <v>21</v>
      </c>
      <c r="N80" s="10" t="s">
        <v>37760</v>
      </c>
      <c r="O80" s="10" t="s">
        <v>372</v>
      </c>
      <c r="P80" s="1" t="s">
        <v>30089</v>
      </c>
      <c r="Q80" s="64" t="s">
        <v>37761</v>
      </c>
      <c r="R80" s="10" t="s">
        <v>94</v>
      </c>
      <c r="S80" s="63" t="s">
        <v>22</v>
      </c>
      <c r="T80" s="68" t="s">
        <v>26781</v>
      </c>
      <c r="U80" s="68" t="s">
        <v>26572</v>
      </c>
      <c r="V80" s="68" t="s">
        <v>26573</v>
      </c>
      <c r="W80" s="68" t="s">
        <v>94</v>
      </c>
      <c r="X80" s="68">
        <v>5272</v>
      </c>
      <c r="Y80" s="33"/>
      <c r="Z80" s="68" t="s">
        <v>42966</v>
      </c>
      <c r="AA80" s="33">
        <v>7588</v>
      </c>
      <c r="AB80" s="1"/>
      <c r="AC80" s="1"/>
      <c r="AD80" s="33"/>
      <c r="AE80" s="1"/>
      <c r="AF80" s="1"/>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row>
    <row r="81" spans="1:66" s="68" customFormat="1" ht="12" customHeight="1" x14ac:dyDescent="0.15">
      <c r="A81" s="10" t="s">
        <v>37757</v>
      </c>
      <c r="B81" s="99">
        <v>50</v>
      </c>
      <c r="C81" s="10" t="s">
        <v>103</v>
      </c>
      <c r="D81" s="10" t="s">
        <v>79</v>
      </c>
      <c r="E81" s="64" t="s">
        <v>37758</v>
      </c>
      <c r="F81" s="67">
        <v>43809</v>
      </c>
      <c r="G81" s="10" t="s">
        <v>37759</v>
      </c>
      <c r="H81" s="10" t="s">
        <v>7795</v>
      </c>
      <c r="I81" s="10" t="s">
        <v>75</v>
      </c>
      <c r="J81" s="65">
        <v>7305</v>
      </c>
      <c r="K81" s="10" t="s">
        <v>2300</v>
      </c>
      <c r="L81" s="10" t="s">
        <v>7797</v>
      </c>
      <c r="M81" s="10" t="s">
        <v>21</v>
      </c>
      <c r="N81" s="10" t="s">
        <v>37760</v>
      </c>
      <c r="O81" s="10" t="s">
        <v>372</v>
      </c>
      <c r="P81" s="1" t="s">
        <v>30089</v>
      </c>
      <c r="Q81" s="64" t="s">
        <v>37761</v>
      </c>
      <c r="R81" s="10" t="s">
        <v>94</v>
      </c>
      <c r="S81" s="63" t="s">
        <v>22</v>
      </c>
      <c r="T81" s="68" t="s">
        <v>26781</v>
      </c>
      <c r="U81" s="68" t="s">
        <v>26572</v>
      </c>
      <c r="V81" s="68" t="s">
        <v>26573</v>
      </c>
      <c r="W81" s="68" t="s">
        <v>94</v>
      </c>
      <c r="X81" s="68">
        <v>5271</v>
      </c>
      <c r="Y81" s="33"/>
      <c r="Z81" s="68" t="s">
        <v>42966</v>
      </c>
      <c r="AA81" s="33">
        <v>7587</v>
      </c>
      <c r="AB81" s="1"/>
      <c r="AC81" s="1"/>
      <c r="AD81" s="33"/>
      <c r="AE81" s="1"/>
      <c r="AF81" s="1"/>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row>
    <row r="82" spans="1:66" s="68" customFormat="1" ht="12" customHeight="1" x14ac:dyDescent="0.15">
      <c r="A82" s="10" t="s">
        <v>37752</v>
      </c>
      <c r="B82" s="99">
        <v>23</v>
      </c>
      <c r="C82" s="10" t="s">
        <v>14</v>
      </c>
      <c r="D82" s="10" t="s">
        <v>79</v>
      </c>
      <c r="E82" s="64" t="s">
        <v>37753</v>
      </c>
      <c r="F82" s="67">
        <v>43809</v>
      </c>
      <c r="G82" s="10" t="s">
        <v>37754</v>
      </c>
      <c r="H82" s="10" t="s">
        <v>14520</v>
      </c>
      <c r="I82" s="10" t="s">
        <v>409</v>
      </c>
      <c r="J82" s="65">
        <v>53511</v>
      </c>
      <c r="K82" s="10" t="s">
        <v>14522</v>
      </c>
      <c r="L82" s="10" t="s">
        <v>14523</v>
      </c>
      <c r="M82" s="10" t="s">
        <v>21</v>
      </c>
      <c r="N82" s="10" t="s">
        <v>37755</v>
      </c>
      <c r="O82" s="10" t="s">
        <v>372</v>
      </c>
      <c r="P82" s="1" t="s">
        <v>30089</v>
      </c>
      <c r="Q82" s="64" t="s">
        <v>37756</v>
      </c>
      <c r="R82" s="10" t="s">
        <v>94</v>
      </c>
      <c r="S82" s="63" t="s">
        <v>22</v>
      </c>
      <c r="T82" s="68" t="s">
        <v>26781</v>
      </c>
      <c r="U82" s="68" t="s">
        <v>26570</v>
      </c>
      <c r="V82" s="68" t="s">
        <v>26571</v>
      </c>
      <c r="W82" s="68" t="s">
        <v>94</v>
      </c>
      <c r="X82" s="68">
        <v>5270</v>
      </c>
      <c r="Y82" s="33"/>
      <c r="Z82" s="68" t="s">
        <v>42968</v>
      </c>
      <c r="AA82" s="33">
        <v>7586</v>
      </c>
      <c r="AB82" s="1"/>
      <c r="AC82" s="1"/>
      <c r="AD82" s="33"/>
      <c r="AE82" s="1"/>
      <c r="AF82" s="1"/>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row>
    <row r="83" spans="1:66" s="68" customFormat="1" ht="12" customHeight="1" x14ac:dyDescent="0.15">
      <c r="A83" s="10" t="s">
        <v>41860</v>
      </c>
      <c r="B83" s="99">
        <v>66</v>
      </c>
      <c r="C83" s="10" t="s">
        <v>14</v>
      </c>
      <c r="D83" s="10" t="s">
        <v>31</v>
      </c>
      <c r="E83" s="64" t="s">
        <v>41861</v>
      </c>
      <c r="F83" s="67">
        <v>43809</v>
      </c>
      <c r="G83" s="10" t="s">
        <v>41862</v>
      </c>
      <c r="H83" s="10" t="s">
        <v>41863</v>
      </c>
      <c r="I83" s="10" t="s">
        <v>88</v>
      </c>
      <c r="J83" s="65">
        <v>36575</v>
      </c>
      <c r="K83" s="10" t="s">
        <v>12671</v>
      </c>
      <c r="L83" s="10" t="s">
        <v>12672</v>
      </c>
      <c r="M83" s="10" t="s">
        <v>21</v>
      </c>
      <c r="N83" s="10" t="s">
        <v>41864</v>
      </c>
      <c r="O83" s="10" t="s">
        <v>372</v>
      </c>
      <c r="P83" s="1" t="s">
        <v>30089</v>
      </c>
      <c r="Q83" s="64" t="s">
        <v>41865</v>
      </c>
      <c r="R83" s="10" t="s">
        <v>512</v>
      </c>
      <c r="S83" s="63" t="s">
        <v>22</v>
      </c>
      <c r="T83" s="34" t="s">
        <v>26781</v>
      </c>
      <c r="U83" s="34" t="s">
        <v>26572</v>
      </c>
      <c r="V83" s="54" t="s">
        <v>42479</v>
      </c>
      <c r="W83" s="54" t="s">
        <v>42480</v>
      </c>
      <c r="X83" s="68">
        <v>5392</v>
      </c>
      <c r="Y83" s="33"/>
      <c r="Z83" s="68" t="s">
        <v>42968</v>
      </c>
      <c r="AA83" s="33">
        <v>7591</v>
      </c>
      <c r="AB83" s="1"/>
      <c r="AC83" s="1"/>
      <c r="AD83" s="33"/>
      <c r="AE83" s="1"/>
      <c r="AF83" s="1"/>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row>
    <row r="84" spans="1:66" s="68" customFormat="1" ht="12" customHeight="1" x14ac:dyDescent="0.15">
      <c r="A84" s="10" t="s">
        <v>38470</v>
      </c>
      <c r="B84" s="99">
        <v>42</v>
      </c>
      <c r="C84" s="10" t="s">
        <v>14</v>
      </c>
      <c r="D84" s="10" t="s">
        <v>31</v>
      </c>
      <c r="E84" s="64" t="s">
        <v>38471</v>
      </c>
      <c r="F84" s="67">
        <v>43809</v>
      </c>
      <c r="G84" s="10" t="s">
        <v>38472</v>
      </c>
      <c r="H84" s="10" t="s">
        <v>7435</v>
      </c>
      <c r="I84" s="10" t="s">
        <v>342</v>
      </c>
      <c r="J84" s="65">
        <v>52627</v>
      </c>
      <c r="K84" s="10" t="s">
        <v>5086</v>
      </c>
      <c r="L84" s="10" t="s">
        <v>7437</v>
      </c>
      <c r="M84" s="10" t="s">
        <v>21</v>
      </c>
      <c r="N84" s="10" t="s">
        <v>38473</v>
      </c>
      <c r="O84" s="10" t="s">
        <v>372</v>
      </c>
      <c r="P84" s="1" t="s">
        <v>30089</v>
      </c>
      <c r="Q84" s="64" t="s">
        <v>38474</v>
      </c>
      <c r="R84" s="10" t="s">
        <v>94</v>
      </c>
      <c r="S84" s="63" t="s">
        <v>22</v>
      </c>
      <c r="T84" s="68" t="s">
        <v>26781</v>
      </c>
      <c r="U84" s="68" t="s">
        <v>26570</v>
      </c>
      <c r="V84" s="68">
        <v>0</v>
      </c>
      <c r="W84" s="68" t="s">
        <v>94</v>
      </c>
      <c r="X84" s="68">
        <v>5265</v>
      </c>
      <c r="Y84" s="33"/>
      <c r="Z84" s="68" t="s">
        <v>42967</v>
      </c>
      <c r="AA84" s="33">
        <v>7589</v>
      </c>
      <c r="AB84" s="1"/>
      <c r="AC84" s="1"/>
      <c r="AD84" s="33"/>
      <c r="AE84" s="1"/>
      <c r="AF84" s="1"/>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row>
    <row r="85" spans="1:66" s="68" customFormat="1" ht="12" customHeight="1" x14ac:dyDescent="0.15">
      <c r="A85" s="10" t="s">
        <v>41093</v>
      </c>
      <c r="B85" s="99">
        <v>68</v>
      </c>
      <c r="C85" s="10" t="s">
        <v>14</v>
      </c>
      <c r="D85" s="10" t="s">
        <v>31</v>
      </c>
      <c r="E85" s="63"/>
      <c r="F85" s="67">
        <v>43809</v>
      </c>
      <c r="G85" s="10" t="s">
        <v>41094</v>
      </c>
      <c r="H85" s="10" t="s">
        <v>41095</v>
      </c>
      <c r="I85" s="10" t="s">
        <v>376</v>
      </c>
      <c r="J85" s="65">
        <v>16920</v>
      </c>
      <c r="K85" s="10" t="s">
        <v>15560</v>
      </c>
      <c r="L85" s="10" t="s">
        <v>473</v>
      </c>
      <c r="M85" s="10" t="s">
        <v>21</v>
      </c>
      <c r="N85" s="10" t="s">
        <v>41096</v>
      </c>
      <c r="O85" s="10" t="s">
        <v>372</v>
      </c>
      <c r="P85" s="1" t="s">
        <v>30089</v>
      </c>
      <c r="Q85" s="64" t="s">
        <v>41097</v>
      </c>
      <c r="R85" s="10" t="s">
        <v>512</v>
      </c>
      <c r="S85" s="63" t="s">
        <v>22</v>
      </c>
      <c r="T85" s="68" t="s">
        <v>26781</v>
      </c>
      <c r="U85" s="68" t="s">
        <v>26572</v>
      </c>
      <c r="V85" s="68" t="s">
        <v>26573</v>
      </c>
      <c r="W85" s="68" t="s">
        <v>94</v>
      </c>
      <c r="X85" s="68">
        <v>5268</v>
      </c>
      <c r="Y85" s="33"/>
      <c r="Z85" s="68" t="s">
        <v>42967</v>
      </c>
      <c r="AA85" s="33">
        <v>7590</v>
      </c>
      <c r="AB85" s="1"/>
      <c r="AC85" s="1"/>
      <c r="AD85" s="33"/>
      <c r="AE85" s="1"/>
      <c r="AF85" s="1"/>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row>
    <row r="86" spans="1:66" s="68" customFormat="1" ht="12" customHeight="1" x14ac:dyDescent="0.15">
      <c r="A86" s="10" t="s">
        <v>37740</v>
      </c>
      <c r="B86" s="99">
        <v>47</v>
      </c>
      <c r="C86" s="10" t="s">
        <v>14</v>
      </c>
      <c r="D86" s="10" t="s">
        <v>79</v>
      </c>
      <c r="E86" s="64" t="s">
        <v>37741</v>
      </c>
      <c r="F86" s="67">
        <v>43808</v>
      </c>
      <c r="G86" s="10" t="s">
        <v>37742</v>
      </c>
      <c r="H86" s="10" t="s">
        <v>4913</v>
      </c>
      <c r="I86" s="10" t="s">
        <v>19</v>
      </c>
      <c r="J86" s="65">
        <v>70443</v>
      </c>
      <c r="K86" s="10" t="s">
        <v>37743</v>
      </c>
      <c r="L86" s="10" t="s">
        <v>37744</v>
      </c>
      <c r="M86" s="10" t="s">
        <v>21</v>
      </c>
      <c r="N86" s="10" t="s">
        <v>37745</v>
      </c>
      <c r="O86" s="10" t="s">
        <v>372</v>
      </c>
      <c r="P86" s="1" t="s">
        <v>30089</v>
      </c>
      <c r="Q86" s="64" t="s">
        <v>37746</v>
      </c>
      <c r="R86" s="10" t="s">
        <v>94</v>
      </c>
      <c r="S86" s="63" t="s">
        <v>22</v>
      </c>
      <c r="T86" s="68" t="s">
        <v>26781</v>
      </c>
      <c r="U86" s="68" t="s">
        <v>26570</v>
      </c>
      <c r="V86" s="68" t="s">
        <v>26573</v>
      </c>
      <c r="W86" s="68" t="s">
        <v>94</v>
      </c>
      <c r="X86" s="68">
        <v>5262</v>
      </c>
      <c r="Y86" s="33"/>
      <c r="Z86" s="68" t="s">
        <v>42967</v>
      </c>
      <c r="AA86" s="33">
        <v>7583</v>
      </c>
      <c r="AB86" s="1"/>
      <c r="AC86" s="1"/>
      <c r="AD86" s="33"/>
      <c r="AE86" s="1"/>
      <c r="AF86" s="1"/>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row>
    <row r="87" spans="1:66" s="68" customFormat="1" ht="12" customHeight="1" x14ac:dyDescent="0.15">
      <c r="A87" s="10" t="s">
        <v>41416</v>
      </c>
      <c r="B87" s="99">
        <v>51</v>
      </c>
      <c r="C87" s="10" t="s">
        <v>14</v>
      </c>
      <c r="D87" s="10" t="s">
        <v>31</v>
      </c>
      <c r="E87" s="63"/>
      <c r="F87" s="67">
        <v>43807</v>
      </c>
      <c r="G87" s="10" t="s">
        <v>41417</v>
      </c>
      <c r="H87" s="10" t="s">
        <v>1459</v>
      </c>
      <c r="I87" s="10" t="s">
        <v>106</v>
      </c>
      <c r="J87" s="65">
        <v>97216</v>
      </c>
      <c r="K87" s="10" t="s">
        <v>1461</v>
      </c>
      <c r="L87" s="10" t="s">
        <v>16039</v>
      </c>
      <c r="M87" s="10" t="s">
        <v>21</v>
      </c>
      <c r="N87" s="10" t="s">
        <v>41418</v>
      </c>
      <c r="O87" s="10" t="s">
        <v>372</v>
      </c>
      <c r="P87" s="1" t="s">
        <v>30089</v>
      </c>
      <c r="Q87" s="64" t="s">
        <v>41419</v>
      </c>
      <c r="R87" s="10" t="s">
        <v>512</v>
      </c>
      <c r="S87" s="63" t="s">
        <v>22</v>
      </c>
      <c r="T87" s="68" t="s">
        <v>26774</v>
      </c>
      <c r="U87" s="68" t="s">
        <v>26570</v>
      </c>
      <c r="V87" s="68" t="s">
        <v>26573</v>
      </c>
      <c r="W87" s="68" t="s">
        <v>94</v>
      </c>
      <c r="X87" s="68">
        <v>5251</v>
      </c>
      <c r="Y87" s="33"/>
      <c r="Z87" s="68" t="s">
        <v>42966</v>
      </c>
      <c r="AA87" s="33">
        <v>7582</v>
      </c>
      <c r="AB87" s="1"/>
      <c r="AC87" s="1"/>
      <c r="AD87" s="33"/>
      <c r="AE87" s="1"/>
      <c r="AF87" s="1"/>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row>
    <row r="88" spans="1:66" s="68" customFormat="1" ht="12" customHeight="1" x14ac:dyDescent="0.15">
      <c r="A88" s="10" t="s">
        <v>38465</v>
      </c>
      <c r="B88" s="99">
        <v>35</v>
      </c>
      <c r="C88" s="10" t="s">
        <v>14</v>
      </c>
      <c r="D88" s="10" t="s">
        <v>31</v>
      </c>
      <c r="E88" s="64" t="s">
        <v>38466</v>
      </c>
      <c r="F88" s="67">
        <v>43806</v>
      </c>
      <c r="G88" s="10" t="s">
        <v>38467</v>
      </c>
      <c r="H88" s="10" t="s">
        <v>5472</v>
      </c>
      <c r="I88" s="10" t="s">
        <v>918</v>
      </c>
      <c r="J88" s="65">
        <v>72701</v>
      </c>
      <c r="K88" s="10" t="s">
        <v>107</v>
      </c>
      <c r="L88" s="10" t="s">
        <v>5474</v>
      </c>
      <c r="M88" s="10" t="s">
        <v>21</v>
      </c>
      <c r="N88" s="10" t="s">
        <v>38468</v>
      </c>
      <c r="O88" s="10" t="s">
        <v>372</v>
      </c>
      <c r="P88" s="1" t="s">
        <v>30089</v>
      </c>
      <c r="Q88" s="64" t="s">
        <v>38469</v>
      </c>
      <c r="R88" s="10" t="s">
        <v>94</v>
      </c>
      <c r="S88" s="63" t="s">
        <v>22</v>
      </c>
      <c r="T88" s="68" t="s">
        <v>26781</v>
      </c>
      <c r="U88" s="68" t="s">
        <v>26572</v>
      </c>
      <c r="V88" s="68" t="s">
        <v>26573</v>
      </c>
      <c r="W88" s="68" t="s">
        <v>94</v>
      </c>
      <c r="X88" s="68">
        <v>5253</v>
      </c>
      <c r="Y88" s="33"/>
      <c r="Z88" s="68" t="s">
        <v>42966</v>
      </c>
      <c r="AA88" s="33">
        <v>7580</v>
      </c>
      <c r="AB88" s="1"/>
      <c r="AC88" s="1"/>
      <c r="AD88" s="33"/>
      <c r="AE88" s="1"/>
      <c r="AF88" s="1"/>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row>
    <row r="89" spans="1:66" s="68" customFormat="1" ht="12" customHeight="1" x14ac:dyDescent="0.15">
      <c r="A89" s="10" t="s">
        <v>41088</v>
      </c>
      <c r="B89" s="99">
        <v>65</v>
      </c>
      <c r="C89" s="10" t="s">
        <v>14</v>
      </c>
      <c r="D89" s="10" t="s">
        <v>31</v>
      </c>
      <c r="E89" s="63"/>
      <c r="F89" s="67">
        <v>43806</v>
      </c>
      <c r="G89" s="10" t="s">
        <v>41089</v>
      </c>
      <c r="H89" s="10" t="s">
        <v>33560</v>
      </c>
      <c r="I89" s="10" t="s">
        <v>56</v>
      </c>
      <c r="J89" s="65">
        <v>34275</v>
      </c>
      <c r="K89" s="10" t="s">
        <v>1774</v>
      </c>
      <c r="L89" s="10" t="s">
        <v>41090</v>
      </c>
      <c r="M89" s="10" t="s">
        <v>21</v>
      </c>
      <c r="N89" s="10" t="s">
        <v>41091</v>
      </c>
      <c r="O89" s="10" t="s">
        <v>372</v>
      </c>
      <c r="P89" s="1" t="s">
        <v>30089</v>
      </c>
      <c r="Q89" s="64" t="s">
        <v>41092</v>
      </c>
      <c r="R89" s="10" t="s">
        <v>512</v>
      </c>
      <c r="S89" s="63" t="s">
        <v>22</v>
      </c>
      <c r="T89" s="68" t="s">
        <v>26781</v>
      </c>
      <c r="U89" s="68" t="s">
        <v>26572</v>
      </c>
      <c r="V89" s="68" t="s">
        <v>26573</v>
      </c>
      <c r="W89" s="68" t="s">
        <v>94</v>
      </c>
      <c r="X89" s="68">
        <v>5264</v>
      </c>
      <c r="Y89" s="33"/>
      <c r="Z89" s="68" t="s">
        <v>42968</v>
      </c>
      <c r="AA89" s="33">
        <v>7581</v>
      </c>
      <c r="AB89" s="1"/>
      <c r="AC89" s="1"/>
      <c r="AD89" s="33"/>
      <c r="AE89" s="1"/>
      <c r="AF89" s="1"/>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row>
    <row r="90" spans="1:66" s="1" customFormat="1" ht="13" customHeight="1" x14ac:dyDescent="0.15">
      <c r="A90" s="63" t="s">
        <v>38460</v>
      </c>
      <c r="B90" s="101">
        <v>23</v>
      </c>
      <c r="C90" s="63" t="s">
        <v>14</v>
      </c>
      <c r="D90" s="63" t="s">
        <v>31</v>
      </c>
      <c r="E90" s="63"/>
      <c r="F90" s="67">
        <v>43805</v>
      </c>
      <c r="G90" s="10" t="s">
        <v>38461</v>
      </c>
      <c r="H90" s="10" t="s">
        <v>21113</v>
      </c>
      <c r="I90" s="10" t="s">
        <v>192</v>
      </c>
      <c r="J90" s="65">
        <v>80031</v>
      </c>
      <c r="K90" s="10" t="s">
        <v>1790</v>
      </c>
      <c r="L90" s="10" t="s">
        <v>38462</v>
      </c>
      <c r="M90" s="10" t="s">
        <v>21</v>
      </c>
      <c r="N90" s="10" t="s">
        <v>38463</v>
      </c>
      <c r="O90" s="10" t="s">
        <v>372</v>
      </c>
      <c r="P90" s="1" t="s">
        <v>30089</v>
      </c>
      <c r="Q90" s="64" t="s">
        <v>38464</v>
      </c>
      <c r="R90" s="10" t="s">
        <v>94</v>
      </c>
      <c r="S90" s="63" t="s">
        <v>22</v>
      </c>
      <c r="T90" s="68" t="s">
        <v>26781</v>
      </c>
      <c r="U90" s="68" t="s">
        <v>26570</v>
      </c>
      <c r="V90" s="68">
        <v>0</v>
      </c>
      <c r="W90" s="68" t="s">
        <v>94</v>
      </c>
      <c r="X90" s="68">
        <v>5252</v>
      </c>
      <c r="Y90" s="33"/>
      <c r="Z90" s="68" t="s">
        <v>42968</v>
      </c>
      <c r="AA90" s="33">
        <v>7578</v>
      </c>
      <c r="AD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row>
    <row r="91" spans="1:66" s="1" customFormat="1" ht="13" customHeight="1" x14ac:dyDescent="0.15">
      <c r="A91" s="10" t="s">
        <v>39109</v>
      </c>
      <c r="B91" s="99">
        <v>17</v>
      </c>
      <c r="C91" s="10" t="s">
        <v>14</v>
      </c>
      <c r="D91" s="10" t="s">
        <v>24</v>
      </c>
      <c r="E91" s="63"/>
      <c r="F91" s="67">
        <v>43805</v>
      </c>
      <c r="G91" s="10" t="s">
        <v>39110</v>
      </c>
      <c r="H91" s="10" t="s">
        <v>39111</v>
      </c>
      <c r="I91" s="10" t="s">
        <v>918</v>
      </c>
      <c r="J91" s="65">
        <v>72712</v>
      </c>
      <c r="K91" s="10" t="s">
        <v>2325</v>
      </c>
      <c r="L91" s="10" t="s">
        <v>39112</v>
      </c>
      <c r="M91" s="10" t="s">
        <v>21</v>
      </c>
      <c r="N91" s="10" t="s">
        <v>39113</v>
      </c>
      <c r="O91" s="10" t="s">
        <v>372</v>
      </c>
      <c r="P91" s="1" t="s">
        <v>30089</v>
      </c>
      <c r="Q91" s="64" t="s">
        <v>39114</v>
      </c>
      <c r="R91" s="10" t="s">
        <v>94</v>
      </c>
      <c r="S91" s="63" t="s">
        <v>22</v>
      </c>
      <c r="T91" s="68" t="s">
        <v>26781</v>
      </c>
      <c r="U91" s="68" t="s">
        <v>26570</v>
      </c>
      <c r="V91" s="68" t="s">
        <v>26573</v>
      </c>
      <c r="W91" s="68" t="s">
        <v>94</v>
      </c>
      <c r="X91" s="68">
        <v>5254</v>
      </c>
      <c r="Y91" s="33"/>
      <c r="Z91" s="68" t="s">
        <v>42968</v>
      </c>
      <c r="AA91" s="33">
        <v>7579</v>
      </c>
      <c r="AD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row>
    <row r="92" spans="1:66" s="1" customFormat="1" ht="13" customHeight="1" x14ac:dyDescent="0.15">
      <c r="A92" s="10" t="s">
        <v>42071</v>
      </c>
      <c r="B92" s="99">
        <v>27</v>
      </c>
      <c r="C92" s="10" t="s">
        <v>14</v>
      </c>
      <c r="D92" s="10" t="s">
        <v>42</v>
      </c>
      <c r="E92" s="64" t="s">
        <v>42072</v>
      </c>
      <c r="F92" s="67">
        <v>43804</v>
      </c>
      <c r="G92" s="10" t="s">
        <v>37734</v>
      </c>
      <c r="H92" s="10" t="s">
        <v>15391</v>
      </c>
      <c r="I92" s="10" t="s">
        <v>56</v>
      </c>
      <c r="J92" s="65">
        <v>33025</v>
      </c>
      <c r="K92" s="10" t="s">
        <v>1052</v>
      </c>
      <c r="L92" s="10" t="s">
        <v>37735</v>
      </c>
      <c r="M92" s="10" t="s">
        <v>21</v>
      </c>
      <c r="N92" s="10" t="s">
        <v>37736</v>
      </c>
      <c r="O92" s="10" t="s">
        <v>372</v>
      </c>
      <c r="P92" s="1" t="s">
        <v>30089</v>
      </c>
      <c r="Q92" s="64" t="s">
        <v>37737</v>
      </c>
      <c r="R92" s="10" t="s">
        <v>94</v>
      </c>
      <c r="S92" s="63" t="s">
        <v>12</v>
      </c>
      <c r="T92" s="34" t="s">
        <v>29705</v>
      </c>
      <c r="U92" s="34" t="s">
        <v>26570</v>
      </c>
      <c r="V92" s="68"/>
      <c r="W92" s="68"/>
      <c r="X92" s="68"/>
      <c r="Y92" s="33"/>
      <c r="Z92" s="68" t="s">
        <v>42968</v>
      </c>
      <c r="AA92" s="33">
        <v>7576</v>
      </c>
      <c r="AD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row>
    <row r="93" spans="1:66" s="1" customFormat="1" ht="13" customHeight="1" x14ac:dyDescent="0.15">
      <c r="A93" s="10" t="s">
        <v>37732</v>
      </c>
      <c r="B93" s="99">
        <v>41</v>
      </c>
      <c r="C93" s="10" t="s">
        <v>14</v>
      </c>
      <c r="D93" s="10" t="s">
        <v>79</v>
      </c>
      <c r="E93" s="64" t="s">
        <v>37733</v>
      </c>
      <c r="F93" s="67">
        <v>43804</v>
      </c>
      <c r="G93" s="10" t="s">
        <v>37734</v>
      </c>
      <c r="H93" s="10" t="s">
        <v>15391</v>
      </c>
      <c r="I93" s="10" t="s">
        <v>56</v>
      </c>
      <c r="J93" s="65">
        <v>33025</v>
      </c>
      <c r="K93" s="10" t="s">
        <v>1052</v>
      </c>
      <c r="L93" s="10" t="s">
        <v>37735</v>
      </c>
      <c r="M93" s="10" t="s">
        <v>21</v>
      </c>
      <c r="N93" s="10" t="s">
        <v>37736</v>
      </c>
      <c r="O93" s="10" t="s">
        <v>372</v>
      </c>
      <c r="P93" s="1" t="s">
        <v>30089</v>
      </c>
      <c r="Q93" s="64" t="s">
        <v>37737</v>
      </c>
      <c r="R93" s="10" t="s">
        <v>94</v>
      </c>
      <c r="S93" s="63" t="s">
        <v>22</v>
      </c>
      <c r="T93" s="68" t="s">
        <v>26781</v>
      </c>
      <c r="U93" s="68" t="s">
        <v>26572</v>
      </c>
      <c r="V93" s="68" t="s">
        <v>26571</v>
      </c>
      <c r="W93" s="68" t="s">
        <v>94</v>
      </c>
      <c r="X93" s="68">
        <v>5260</v>
      </c>
      <c r="Y93" s="33"/>
      <c r="Z93" s="68" t="s">
        <v>42968</v>
      </c>
      <c r="AA93" s="33">
        <v>7572</v>
      </c>
      <c r="AD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row>
    <row r="94" spans="1:66" s="1" customFormat="1" ht="13" customHeight="1" x14ac:dyDescent="0.15">
      <c r="A94" s="10" t="s">
        <v>41872</v>
      </c>
      <c r="B94" s="99">
        <v>70</v>
      </c>
      <c r="C94" s="10" t="s">
        <v>14</v>
      </c>
      <c r="D94" s="10" t="s">
        <v>31</v>
      </c>
      <c r="E94" s="64" t="s">
        <v>41873</v>
      </c>
      <c r="F94" s="67">
        <v>43804</v>
      </c>
      <c r="G94" s="10" t="s">
        <v>37734</v>
      </c>
      <c r="H94" s="10" t="s">
        <v>15391</v>
      </c>
      <c r="I94" s="10" t="s">
        <v>56</v>
      </c>
      <c r="J94" s="65">
        <v>33025</v>
      </c>
      <c r="K94" s="10" t="s">
        <v>1052</v>
      </c>
      <c r="L94" s="10" t="s">
        <v>37735</v>
      </c>
      <c r="M94" s="10" t="s">
        <v>21</v>
      </c>
      <c r="N94" s="10" t="s">
        <v>37736</v>
      </c>
      <c r="O94" s="10" t="s">
        <v>372</v>
      </c>
      <c r="P94" s="1" t="s">
        <v>30089</v>
      </c>
      <c r="Q94" s="64" t="s">
        <v>37737</v>
      </c>
      <c r="R94" s="10" t="s">
        <v>94</v>
      </c>
      <c r="S94" s="63" t="s">
        <v>12</v>
      </c>
      <c r="T94" s="34" t="s">
        <v>29705</v>
      </c>
      <c r="U94" s="34" t="s">
        <v>26570</v>
      </c>
      <c r="V94" s="68"/>
      <c r="W94" s="68"/>
      <c r="X94" s="68"/>
      <c r="Y94" s="33"/>
      <c r="Z94" s="68" t="s">
        <v>42968</v>
      </c>
      <c r="AA94" s="33">
        <v>7575</v>
      </c>
      <c r="AD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row>
    <row r="95" spans="1:66" s="1" customFormat="1" ht="13" customHeight="1" x14ac:dyDescent="0.15">
      <c r="A95" s="10" t="s">
        <v>37738</v>
      </c>
      <c r="B95" s="99">
        <v>41</v>
      </c>
      <c r="C95" s="10" t="s">
        <v>14</v>
      </c>
      <c r="D95" s="10" t="s">
        <v>79</v>
      </c>
      <c r="E95" s="64" t="s">
        <v>37739</v>
      </c>
      <c r="F95" s="67">
        <v>43804</v>
      </c>
      <c r="G95" s="10" t="s">
        <v>37734</v>
      </c>
      <c r="H95" s="10" t="s">
        <v>15391</v>
      </c>
      <c r="I95" s="10" t="s">
        <v>56</v>
      </c>
      <c r="J95" s="65">
        <v>33025</v>
      </c>
      <c r="K95" s="10" t="s">
        <v>1052</v>
      </c>
      <c r="L95" s="10" t="s">
        <v>37735</v>
      </c>
      <c r="M95" s="10" t="s">
        <v>21</v>
      </c>
      <c r="N95" s="10" t="s">
        <v>37736</v>
      </c>
      <c r="O95" s="10" t="s">
        <v>372</v>
      </c>
      <c r="P95" s="1" t="s">
        <v>30089</v>
      </c>
      <c r="Q95" s="64" t="s">
        <v>37737</v>
      </c>
      <c r="R95" s="10" t="s">
        <v>94</v>
      </c>
      <c r="S95" s="63" t="s">
        <v>22</v>
      </c>
      <c r="T95" s="68" t="s">
        <v>26781</v>
      </c>
      <c r="U95" s="68" t="s">
        <v>26572</v>
      </c>
      <c r="V95" s="68" t="s">
        <v>26571</v>
      </c>
      <c r="W95" s="68" t="s">
        <v>94</v>
      </c>
      <c r="X95" s="68">
        <v>5261</v>
      </c>
      <c r="Y95" s="33"/>
      <c r="Z95" s="68" t="s">
        <v>42968</v>
      </c>
      <c r="AA95" s="33">
        <v>7573</v>
      </c>
      <c r="AD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row>
    <row r="96" spans="1:66" s="1" customFormat="1" ht="13" customHeight="1" x14ac:dyDescent="0.15">
      <c r="A96" s="10" t="s">
        <v>40626</v>
      </c>
      <c r="B96" s="99">
        <v>31</v>
      </c>
      <c r="C96" s="10" t="s">
        <v>14</v>
      </c>
      <c r="D96" s="10" t="s">
        <v>79</v>
      </c>
      <c r="E96" s="64" t="s">
        <v>40627</v>
      </c>
      <c r="F96" s="67">
        <v>43804</v>
      </c>
      <c r="G96" s="10" t="s">
        <v>40628</v>
      </c>
      <c r="H96" s="10" t="s">
        <v>611</v>
      </c>
      <c r="I96" s="10" t="s">
        <v>67</v>
      </c>
      <c r="J96" s="65">
        <v>75670</v>
      </c>
      <c r="K96" s="10" t="s">
        <v>3687</v>
      </c>
      <c r="L96" s="10" t="s">
        <v>11075</v>
      </c>
      <c r="M96" s="10" t="s">
        <v>21</v>
      </c>
      <c r="N96" s="10" t="s">
        <v>40629</v>
      </c>
      <c r="O96" s="10" t="s">
        <v>372</v>
      </c>
      <c r="P96" s="1" t="s">
        <v>30089</v>
      </c>
      <c r="Q96" s="64" t="s">
        <v>40630</v>
      </c>
      <c r="R96" s="10" t="s">
        <v>94</v>
      </c>
      <c r="S96" s="63" t="s">
        <v>351</v>
      </c>
      <c r="T96" s="68" t="s">
        <v>26867</v>
      </c>
      <c r="U96" s="68" t="s">
        <v>26572</v>
      </c>
      <c r="V96" s="68" t="s">
        <v>26574</v>
      </c>
      <c r="W96" s="68" t="s">
        <v>94</v>
      </c>
      <c r="X96" s="68">
        <v>5256</v>
      </c>
      <c r="Y96" s="33"/>
      <c r="Z96" s="68" t="s">
        <v>42968</v>
      </c>
      <c r="AA96" s="33">
        <v>7577</v>
      </c>
      <c r="AD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row>
    <row r="97" spans="1:66" s="1" customFormat="1" ht="13" customHeight="1" x14ac:dyDescent="0.15">
      <c r="A97" s="10" t="s">
        <v>41866</v>
      </c>
      <c r="B97" s="99">
        <v>41</v>
      </c>
      <c r="C97" s="10" t="s">
        <v>14</v>
      </c>
      <c r="D97" s="10" t="s">
        <v>31</v>
      </c>
      <c r="E97" s="64" t="s">
        <v>41867</v>
      </c>
      <c r="F97" s="67">
        <v>43804</v>
      </c>
      <c r="G97" s="10" t="s">
        <v>41868</v>
      </c>
      <c r="H97" s="10" t="s">
        <v>288</v>
      </c>
      <c r="I97" s="10" t="s">
        <v>39</v>
      </c>
      <c r="J97" s="65">
        <v>92408</v>
      </c>
      <c r="K97" s="10" t="s">
        <v>288</v>
      </c>
      <c r="L97" s="10" t="s">
        <v>41869</v>
      </c>
      <c r="M97" s="10" t="s">
        <v>21</v>
      </c>
      <c r="N97" s="10" t="s">
        <v>41870</v>
      </c>
      <c r="O97" s="10" t="s">
        <v>372</v>
      </c>
      <c r="P97" s="1" t="s">
        <v>30089</v>
      </c>
      <c r="Q97" s="64" t="s">
        <v>41871</v>
      </c>
      <c r="R97" s="10" t="s">
        <v>94</v>
      </c>
      <c r="S97" s="63" t="s">
        <v>22</v>
      </c>
      <c r="T97" s="34" t="s">
        <v>26781</v>
      </c>
      <c r="U97" s="34" t="s">
        <v>26572</v>
      </c>
      <c r="V97" s="54" t="s">
        <v>42479</v>
      </c>
      <c r="W97" s="54" t="s">
        <v>42480</v>
      </c>
      <c r="X97" s="68">
        <v>5390</v>
      </c>
      <c r="Y97" s="33"/>
      <c r="Z97" s="68" t="s">
        <v>42968</v>
      </c>
      <c r="AA97" s="33">
        <v>7574</v>
      </c>
      <c r="AD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row>
    <row r="98" spans="1:66" s="1" customFormat="1" ht="13" customHeight="1" x14ac:dyDescent="0.15">
      <c r="A98" s="10" t="s">
        <v>37722</v>
      </c>
      <c r="B98" s="99">
        <v>58</v>
      </c>
      <c r="C98" s="10" t="s">
        <v>14</v>
      </c>
      <c r="D98" s="10" t="s">
        <v>79</v>
      </c>
      <c r="E98" s="63"/>
      <c r="F98" s="67">
        <v>43804</v>
      </c>
      <c r="G98" s="10" t="s">
        <v>37723</v>
      </c>
      <c r="H98" s="10" t="s">
        <v>24934</v>
      </c>
      <c r="I98" s="10" t="s">
        <v>192</v>
      </c>
      <c r="J98" s="65">
        <v>81620</v>
      </c>
      <c r="K98" s="10" t="s">
        <v>9077</v>
      </c>
      <c r="L98" s="10" t="s">
        <v>37724</v>
      </c>
      <c r="M98" s="10" t="s">
        <v>21</v>
      </c>
      <c r="N98" s="10" t="s">
        <v>37725</v>
      </c>
      <c r="O98" s="10" t="s">
        <v>372</v>
      </c>
      <c r="P98" s="1" t="s">
        <v>30089</v>
      </c>
      <c r="Q98" s="64" t="s">
        <v>37726</v>
      </c>
      <c r="R98" s="10" t="s">
        <v>94</v>
      </c>
      <c r="S98" s="63" t="s">
        <v>22</v>
      </c>
      <c r="T98" s="68" t="s">
        <v>26781</v>
      </c>
      <c r="U98" s="68" t="s">
        <v>26572</v>
      </c>
      <c r="V98" s="68" t="s">
        <v>26571</v>
      </c>
      <c r="W98" s="68" t="s">
        <v>94</v>
      </c>
      <c r="X98" s="68">
        <v>5255</v>
      </c>
      <c r="Y98" s="33"/>
      <c r="Z98" s="68" t="s">
        <v>42968</v>
      </c>
      <c r="AA98" s="33">
        <v>7571</v>
      </c>
      <c r="AD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row>
    <row r="99" spans="1:66" s="1" customFormat="1" ht="13" customHeight="1" x14ac:dyDescent="0.15">
      <c r="A99" s="10" t="s">
        <v>37727</v>
      </c>
      <c r="B99" s="99">
        <v>31</v>
      </c>
      <c r="C99" s="10" t="s">
        <v>14</v>
      </c>
      <c r="D99" s="10" t="s">
        <v>79</v>
      </c>
      <c r="E99" s="64" t="s">
        <v>37728</v>
      </c>
      <c r="F99" s="67">
        <v>43802</v>
      </c>
      <c r="G99" s="10" t="s">
        <v>37729</v>
      </c>
      <c r="H99" s="10" t="s">
        <v>4600</v>
      </c>
      <c r="I99" s="10" t="s">
        <v>395</v>
      </c>
      <c r="J99" s="65">
        <v>13204</v>
      </c>
      <c r="K99" s="10" t="s">
        <v>12104</v>
      </c>
      <c r="L99" s="10" t="s">
        <v>19425</v>
      </c>
      <c r="M99" s="10" t="s">
        <v>21</v>
      </c>
      <c r="N99" s="10" t="s">
        <v>37730</v>
      </c>
      <c r="O99" s="10" t="s">
        <v>372</v>
      </c>
      <c r="P99" s="1" t="s">
        <v>30089</v>
      </c>
      <c r="Q99" s="64" t="s">
        <v>37731</v>
      </c>
      <c r="R99" s="10" t="s">
        <v>94</v>
      </c>
      <c r="S99" s="63" t="s">
        <v>22</v>
      </c>
      <c r="T99" s="68" t="s">
        <v>26781</v>
      </c>
      <c r="U99" s="68" t="s">
        <v>26572</v>
      </c>
      <c r="V99" s="68" t="s">
        <v>26573</v>
      </c>
      <c r="W99" s="68" t="s">
        <v>512</v>
      </c>
      <c r="X99" s="68">
        <v>5257</v>
      </c>
      <c r="Y99" s="33"/>
      <c r="Z99" s="68" t="s">
        <v>42966</v>
      </c>
      <c r="AA99" s="33">
        <v>7569</v>
      </c>
      <c r="AD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row>
    <row r="100" spans="1:66" s="1" customFormat="1" ht="13" customHeight="1" x14ac:dyDescent="0.15">
      <c r="A100" s="10" t="s">
        <v>38454</v>
      </c>
      <c r="B100" s="99">
        <v>58</v>
      </c>
      <c r="C100" s="10" t="s">
        <v>14</v>
      </c>
      <c r="D100" s="10" t="s">
        <v>31</v>
      </c>
      <c r="E100" s="64" t="s">
        <v>38455</v>
      </c>
      <c r="F100" s="67">
        <v>43802</v>
      </c>
      <c r="G100" s="10" t="s">
        <v>38456</v>
      </c>
      <c r="H100" s="10" t="s">
        <v>3903</v>
      </c>
      <c r="I100" s="10" t="s">
        <v>367</v>
      </c>
      <c r="J100" s="65">
        <v>74820</v>
      </c>
      <c r="K100" s="10" t="s">
        <v>21448</v>
      </c>
      <c r="L100" s="10" t="s">
        <v>38457</v>
      </c>
      <c r="M100" s="10" t="s">
        <v>21</v>
      </c>
      <c r="N100" s="10" t="s">
        <v>38458</v>
      </c>
      <c r="O100" s="10" t="s">
        <v>372</v>
      </c>
      <c r="P100" s="1" t="s">
        <v>30089</v>
      </c>
      <c r="Q100" s="64" t="s">
        <v>38459</v>
      </c>
      <c r="R100" s="10" t="s">
        <v>94</v>
      </c>
      <c r="S100" s="63" t="s">
        <v>22</v>
      </c>
      <c r="T100" s="68" t="s">
        <v>26781</v>
      </c>
      <c r="U100" s="68" t="s">
        <v>26572</v>
      </c>
      <c r="V100" s="68" t="s">
        <v>26573</v>
      </c>
      <c r="W100" s="68" t="s">
        <v>94</v>
      </c>
      <c r="X100" s="68">
        <v>5247</v>
      </c>
      <c r="Y100" s="33"/>
      <c r="Z100" s="68" t="s">
        <v>42967</v>
      </c>
      <c r="AA100" s="33">
        <v>7570</v>
      </c>
      <c r="AD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row>
    <row r="101" spans="1:66" s="1" customFormat="1" ht="13" customHeight="1" x14ac:dyDescent="0.15">
      <c r="A101" s="10" t="s">
        <v>37717</v>
      </c>
      <c r="B101" s="99">
        <v>26</v>
      </c>
      <c r="C101" s="10" t="s">
        <v>14</v>
      </c>
      <c r="D101" s="10" t="s">
        <v>79</v>
      </c>
      <c r="E101" s="64" t="s">
        <v>37718</v>
      </c>
      <c r="F101" s="67">
        <v>43802</v>
      </c>
      <c r="G101" s="10" t="s">
        <v>37719</v>
      </c>
      <c r="H101" s="10" t="s">
        <v>401</v>
      </c>
      <c r="I101" s="10" t="s">
        <v>402</v>
      </c>
      <c r="J101" s="65">
        <v>64130</v>
      </c>
      <c r="K101" s="10" t="s">
        <v>404</v>
      </c>
      <c r="L101" s="10" t="s">
        <v>405</v>
      </c>
      <c r="M101" s="10" t="s">
        <v>21</v>
      </c>
      <c r="N101" s="10" t="s">
        <v>37720</v>
      </c>
      <c r="O101" s="10" t="s">
        <v>372</v>
      </c>
      <c r="P101" s="1" t="s">
        <v>30089</v>
      </c>
      <c r="Q101" s="64" t="s">
        <v>37721</v>
      </c>
      <c r="R101" s="10" t="s">
        <v>94</v>
      </c>
      <c r="S101" s="63" t="s">
        <v>22</v>
      </c>
      <c r="T101" s="68" t="s">
        <v>26781</v>
      </c>
      <c r="U101" s="68" t="s">
        <v>26570</v>
      </c>
      <c r="V101" s="68" t="s">
        <v>26573</v>
      </c>
      <c r="W101" s="68" t="s">
        <v>94</v>
      </c>
      <c r="X101" s="68">
        <v>5250</v>
      </c>
      <c r="Y101" s="33"/>
      <c r="Z101" s="68" t="s">
        <v>42966</v>
      </c>
      <c r="AA101" s="33">
        <v>7568</v>
      </c>
      <c r="AD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row>
    <row r="102" spans="1:66" s="1" customFormat="1" ht="13" customHeight="1" x14ac:dyDescent="0.15">
      <c r="A102" s="10" t="s">
        <v>42173</v>
      </c>
      <c r="B102" s="99">
        <v>18</v>
      </c>
      <c r="C102" s="10" t="s">
        <v>14</v>
      </c>
      <c r="D102" s="10" t="s">
        <v>128</v>
      </c>
      <c r="E102" s="63"/>
      <c r="F102" s="67">
        <v>43801</v>
      </c>
      <c r="G102" s="10" t="s">
        <v>42174</v>
      </c>
      <c r="H102" s="10" t="s">
        <v>1337</v>
      </c>
      <c r="I102" s="10" t="s">
        <v>112</v>
      </c>
      <c r="J102" s="65">
        <v>85204</v>
      </c>
      <c r="K102" s="10" t="s">
        <v>585</v>
      </c>
      <c r="L102" s="10" t="s">
        <v>1338</v>
      </c>
      <c r="M102" s="10" t="s">
        <v>21</v>
      </c>
      <c r="N102" s="10" t="s">
        <v>42175</v>
      </c>
      <c r="O102" s="10" t="s">
        <v>372</v>
      </c>
      <c r="P102" s="1" t="s">
        <v>30089</v>
      </c>
      <c r="Q102" s="64" t="s">
        <v>42176</v>
      </c>
      <c r="R102" s="10" t="s">
        <v>94</v>
      </c>
      <c r="S102" s="63" t="s">
        <v>22</v>
      </c>
      <c r="T102" s="34" t="s">
        <v>26781</v>
      </c>
      <c r="U102" s="34" t="s">
        <v>26572</v>
      </c>
      <c r="V102" s="68"/>
      <c r="W102" s="68"/>
      <c r="X102" s="68">
        <v>5388</v>
      </c>
      <c r="Y102" s="33"/>
      <c r="Z102" s="68" t="s">
        <v>42968</v>
      </c>
      <c r="AA102" s="33">
        <v>7565</v>
      </c>
      <c r="AD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row>
    <row r="103" spans="1:66" s="1" customFormat="1" ht="13" customHeight="1" x14ac:dyDescent="0.15">
      <c r="A103" s="10" t="s">
        <v>39454</v>
      </c>
      <c r="B103" s="99">
        <v>38</v>
      </c>
      <c r="C103" s="10" t="s">
        <v>14</v>
      </c>
      <c r="D103" s="1" t="s">
        <v>15</v>
      </c>
      <c r="E103" s="63"/>
      <c r="F103" s="67">
        <v>43801</v>
      </c>
      <c r="G103" s="10" t="s">
        <v>39455</v>
      </c>
      <c r="H103" s="10" t="s">
        <v>335</v>
      </c>
      <c r="I103" s="10" t="s">
        <v>39</v>
      </c>
      <c r="J103" s="65">
        <v>91733</v>
      </c>
      <c r="K103" s="10" t="s">
        <v>92</v>
      </c>
      <c r="L103" s="10" t="s">
        <v>336</v>
      </c>
      <c r="M103" s="10" t="s">
        <v>21</v>
      </c>
      <c r="N103" s="10" t="s">
        <v>39456</v>
      </c>
      <c r="O103" s="10" t="s">
        <v>372</v>
      </c>
      <c r="P103" s="1" t="s">
        <v>30089</v>
      </c>
      <c r="Q103" s="64" t="s">
        <v>39457</v>
      </c>
      <c r="R103" s="10" t="s">
        <v>94</v>
      </c>
      <c r="S103" s="63" t="s">
        <v>22</v>
      </c>
      <c r="T103" s="68" t="s">
        <v>26774</v>
      </c>
      <c r="U103" s="68" t="s">
        <v>26570</v>
      </c>
      <c r="V103" s="68">
        <v>0</v>
      </c>
      <c r="W103" s="68" t="s">
        <v>94</v>
      </c>
      <c r="X103" s="68">
        <v>5246</v>
      </c>
      <c r="Y103" s="33"/>
      <c r="Z103" s="68" t="s">
        <v>42968</v>
      </c>
      <c r="AA103" s="33">
        <v>7566</v>
      </c>
      <c r="AD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row>
    <row r="104" spans="1:66" s="1" customFormat="1" ht="13" customHeight="1" x14ac:dyDescent="0.15">
      <c r="A104" s="10" t="s">
        <v>40263</v>
      </c>
      <c r="B104" s="99">
        <v>28</v>
      </c>
      <c r="C104" s="10" t="s">
        <v>14</v>
      </c>
      <c r="D104" s="10" t="s">
        <v>79</v>
      </c>
      <c r="E104" s="64" t="s">
        <v>40264</v>
      </c>
      <c r="F104" s="67">
        <v>43801</v>
      </c>
      <c r="G104" s="10" t="s">
        <v>40265</v>
      </c>
      <c r="H104" s="10" t="s">
        <v>22777</v>
      </c>
      <c r="I104" s="10" t="s">
        <v>67</v>
      </c>
      <c r="J104" s="65">
        <v>76502</v>
      </c>
      <c r="K104" s="10" t="s">
        <v>7728</v>
      </c>
      <c r="L104" s="10" t="s">
        <v>22779</v>
      </c>
      <c r="M104" s="10" t="s">
        <v>21</v>
      </c>
      <c r="N104" s="10" t="s">
        <v>40266</v>
      </c>
      <c r="O104" s="10" t="s">
        <v>372</v>
      </c>
      <c r="P104" s="1" t="s">
        <v>30089</v>
      </c>
      <c r="Q104" s="64" t="s">
        <v>40267</v>
      </c>
      <c r="R104" s="10" t="s">
        <v>94</v>
      </c>
      <c r="S104" s="63" t="s">
        <v>12</v>
      </c>
      <c r="T104" s="54" t="s">
        <v>29705</v>
      </c>
      <c r="U104" s="68" t="s">
        <v>26575</v>
      </c>
      <c r="V104" s="68" t="s">
        <v>26573</v>
      </c>
      <c r="W104" s="68" t="s">
        <v>94</v>
      </c>
      <c r="X104" s="68">
        <v>5249</v>
      </c>
      <c r="Y104" s="33"/>
      <c r="Z104" s="68" t="s">
        <v>42968</v>
      </c>
      <c r="AA104" s="33">
        <v>7567</v>
      </c>
      <c r="AD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row>
    <row r="105" spans="1:66" s="1" customFormat="1" ht="13" customHeight="1" x14ac:dyDescent="0.15">
      <c r="A105" s="10" t="s">
        <v>37702</v>
      </c>
      <c r="B105" s="99">
        <v>21</v>
      </c>
      <c r="C105" s="10" t="s">
        <v>14</v>
      </c>
      <c r="D105" s="10" t="s">
        <v>79</v>
      </c>
      <c r="E105" s="64" t="s">
        <v>37703</v>
      </c>
      <c r="F105" s="67">
        <v>43801</v>
      </c>
      <c r="G105" s="10" t="s">
        <v>37704</v>
      </c>
      <c r="H105" s="10" t="s">
        <v>6505</v>
      </c>
      <c r="I105" s="10" t="s">
        <v>56</v>
      </c>
      <c r="J105" s="65">
        <v>32117</v>
      </c>
      <c r="K105" s="10" t="s">
        <v>3571</v>
      </c>
      <c r="L105" s="10" t="s">
        <v>37705</v>
      </c>
      <c r="M105" s="10" t="s">
        <v>21</v>
      </c>
      <c r="N105" s="10" t="s">
        <v>37706</v>
      </c>
      <c r="O105" s="10" t="s">
        <v>372</v>
      </c>
      <c r="P105" s="1" t="s">
        <v>30089</v>
      </c>
      <c r="Q105" s="64" t="s">
        <v>37707</v>
      </c>
      <c r="R105" s="10" t="s">
        <v>94</v>
      </c>
      <c r="S105" s="63" t="s">
        <v>22</v>
      </c>
      <c r="T105" s="68" t="s">
        <v>26781</v>
      </c>
      <c r="U105" s="68" t="s">
        <v>26572</v>
      </c>
      <c r="V105" s="68" t="s">
        <v>26574</v>
      </c>
      <c r="W105" s="68" t="s">
        <v>512</v>
      </c>
      <c r="X105" s="68">
        <v>5230</v>
      </c>
      <c r="Y105" s="33"/>
      <c r="Z105" s="68" t="s">
        <v>42968</v>
      </c>
      <c r="AA105" s="33">
        <v>7564</v>
      </c>
      <c r="AD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row>
    <row r="106" spans="1:66" s="1" customFormat="1" ht="13" customHeight="1" x14ac:dyDescent="0.15">
      <c r="A106" s="10" t="s">
        <v>37697</v>
      </c>
      <c r="B106" s="99">
        <v>68</v>
      </c>
      <c r="C106" s="10" t="s">
        <v>14</v>
      </c>
      <c r="D106" s="10" t="s">
        <v>79</v>
      </c>
      <c r="E106" s="63"/>
      <c r="F106" s="67">
        <v>43800</v>
      </c>
      <c r="G106" s="10" t="s">
        <v>37698</v>
      </c>
      <c r="H106" s="10" t="s">
        <v>37699</v>
      </c>
      <c r="I106" s="10" t="s">
        <v>160</v>
      </c>
      <c r="J106" s="65">
        <v>30260</v>
      </c>
      <c r="K106" s="10" t="s">
        <v>1669</v>
      </c>
      <c r="L106" s="10" t="s">
        <v>12258</v>
      </c>
      <c r="M106" s="10" t="s">
        <v>21</v>
      </c>
      <c r="N106" s="10" t="s">
        <v>37700</v>
      </c>
      <c r="O106" s="10" t="s">
        <v>372</v>
      </c>
      <c r="P106" s="1" t="s">
        <v>30089</v>
      </c>
      <c r="Q106" s="64" t="s">
        <v>37701</v>
      </c>
      <c r="R106" s="10" t="s">
        <v>94</v>
      </c>
      <c r="S106" s="63" t="s">
        <v>22</v>
      </c>
      <c r="T106" s="68" t="s">
        <v>26781</v>
      </c>
      <c r="U106" s="68" t="s">
        <v>26572</v>
      </c>
      <c r="V106" s="68" t="s">
        <v>26573</v>
      </c>
      <c r="W106" s="68" t="s">
        <v>94</v>
      </c>
      <c r="X106" s="68">
        <v>5229</v>
      </c>
      <c r="Y106" s="33"/>
      <c r="Z106" s="68" t="s">
        <v>42968</v>
      </c>
      <c r="AA106" s="33">
        <v>7559</v>
      </c>
      <c r="AD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row>
    <row r="107" spans="1:66" s="1" customFormat="1" ht="13" customHeight="1" x14ac:dyDescent="0.15">
      <c r="A107" s="10" t="s">
        <v>39576</v>
      </c>
      <c r="B107" s="99">
        <v>60</v>
      </c>
      <c r="C107" s="10" t="s">
        <v>14</v>
      </c>
      <c r="D107" s="10" t="s">
        <v>31</v>
      </c>
      <c r="E107" s="63"/>
      <c r="F107" s="67">
        <v>43800</v>
      </c>
      <c r="G107" s="10" t="s">
        <v>39577</v>
      </c>
      <c r="H107" s="10" t="s">
        <v>5603</v>
      </c>
      <c r="I107" s="10" t="s">
        <v>39</v>
      </c>
      <c r="J107" s="65">
        <v>94518</v>
      </c>
      <c r="K107" s="10" t="s">
        <v>4146</v>
      </c>
      <c r="L107" s="10" t="s">
        <v>5605</v>
      </c>
      <c r="M107" s="10" t="s">
        <v>21</v>
      </c>
      <c r="N107" s="10" t="s">
        <v>39578</v>
      </c>
      <c r="O107" s="10" t="s">
        <v>372</v>
      </c>
      <c r="P107" s="1" t="s">
        <v>30089</v>
      </c>
      <c r="Q107" s="64" t="s">
        <v>39579</v>
      </c>
      <c r="R107" s="10" t="s">
        <v>94</v>
      </c>
      <c r="S107" s="63" t="s">
        <v>22</v>
      </c>
      <c r="T107" s="68" t="s">
        <v>26774</v>
      </c>
      <c r="U107" s="68" t="s">
        <v>26572</v>
      </c>
      <c r="V107" s="68" t="s">
        <v>26573</v>
      </c>
      <c r="W107" s="68" t="s">
        <v>512</v>
      </c>
      <c r="X107" s="68">
        <v>5232</v>
      </c>
      <c r="Y107" s="33"/>
      <c r="Z107" s="68" t="s">
        <v>42968</v>
      </c>
      <c r="AA107" s="33">
        <v>7562</v>
      </c>
      <c r="AD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row>
    <row r="108" spans="1:66" s="1" customFormat="1" ht="13" customHeight="1" x14ac:dyDescent="0.15">
      <c r="A108" s="10" t="s">
        <v>41874</v>
      </c>
      <c r="B108" s="99">
        <v>20</v>
      </c>
      <c r="C108" s="10" t="s">
        <v>14</v>
      </c>
      <c r="D108" s="10" t="s">
        <v>31</v>
      </c>
      <c r="E108" s="64" t="s">
        <v>41875</v>
      </c>
      <c r="F108" s="67">
        <v>43800</v>
      </c>
      <c r="G108" s="10" t="s">
        <v>41876</v>
      </c>
      <c r="H108" s="10" t="s">
        <v>41877</v>
      </c>
      <c r="I108" s="10" t="s">
        <v>376</v>
      </c>
      <c r="J108" s="65">
        <v>18706</v>
      </c>
      <c r="K108" s="10" t="s">
        <v>756</v>
      </c>
      <c r="L108" s="10" t="s">
        <v>473</v>
      </c>
      <c r="M108" s="10" t="s">
        <v>4966</v>
      </c>
      <c r="N108" s="10" t="s">
        <v>41878</v>
      </c>
      <c r="O108" s="10" t="s">
        <v>372</v>
      </c>
      <c r="P108" s="1" t="s">
        <v>30089</v>
      </c>
      <c r="Q108" s="64" t="s">
        <v>41879</v>
      </c>
      <c r="R108" s="10" t="s">
        <v>94</v>
      </c>
      <c r="S108" s="63" t="s">
        <v>22</v>
      </c>
      <c r="T108" s="34" t="s">
        <v>42478</v>
      </c>
      <c r="U108" s="34" t="s">
        <v>26572</v>
      </c>
      <c r="V108" s="68"/>
      <c r="W108" s="68"/>
      <c r="X108" s="68">
        <v>5384</v>
      </c>
      <c r="Y108" s="33"/>
      <c r="Z108" s="68" t="s">
        <v>42968</v>
      </c>
      <c r="AA108" s="33">
        <v>7558</v>
      </c>
      <c r="AD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row>
    <row r="109" spans="1:66" s="1" customFormat="1" ht="13" customHeight="1" x14ac:dyDescent="0.15">
      <c r="A109" s="10" t="s">
        <v>39298</v>
      </c>
      <c r="B109" s="99">
        <v>68</v>
      </c>
      <c r="C109" s="10" t="s">
        <v>14</v>
      </c>
      <c r="D109" s="68" t="s">
        <v>31</v>
      </c>
      <c r="E109" s="63"/>
      <c r="F109" s="67">
        <v>43800</v>
      </c>
      <c r="G109" s="10" t="s">
        <v>39299</v>
      </c>
      <c r="H109" s="10" t="s">
        <v>39300</v>
      </c>
      <c r="I109" s="10" t="s">
        <v>75</v>
      </c>
      <c r="J109" s="65">
        <v>7094</v>
      </c>
      <c r="K109" s="10" t="s">
        <v>2300</v>
      </c>
      <c r="L109" s="10" t="s">
        <v>39301</v>
      </c>
      <c r="M109" s="10" t="s">
        <v>21</v>
      </c>
      <c r="N109" s="10" t="s">
        <v>39302</v>
      </c>
      <c r="O109" s="10" t="s">
        <v>372</v>
      </c>
      <c r="P109" s="1" t="s">
        <v>30089</v>
      </c>
      <c r="Q109" s="64" t="s">
        <v>39303</v>
      </c>
      <c r="R109" s="10" t="s">
        <v>94</v>
      </c>
      <c r="S109" s="63" t="s">
        <v>22</v>
      </c>
      <c r="T109" s="68" t="s">
        <v>26781</v>
      </c>
      <c r="U109" s="68" t="s">
        <v>26572</v>
      </c>
      <c r="V109" s="68">
        <v>0</v>
      </c>
      <c r="W109" s="68" t="s">
        <v>94</v>
      </c>
      <c r="X109" s="68">
        <v>5228</v>
      </c>
      <c r="Y109" s="33"/>
      <c r="Z109" s="68" t="s">
        <v>42966</v>
      </c>
      <c r="AA109" s="33">
        <v>7560</v>
      </c>
      <c r="AD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row>
    <row r="110" spans="1:66" s="1" customFormat="1" ht="13" customHeight="1" x14ac:dyDescent="0.15">
      <c r="A110" s="10" t="s">
        <v>39346</v>
      </c>
      <c r="B110" s="99">
        <v>16</v>
      </c>
      <c r="C110" s="10" t="s">
        <v>14</v>
      </c>
      <c r="D110" s="10" t="s">
        <v>42</v>
      </c>
      <c r="E110" s="64" t="s">
        <v>39347</v>
      </c>
      <c r="F110" s="67">
        <v>43800</v>
      </c>
      <c r="G110" s="10" t="s">
        <v>39348</v>
      </c>
      <c r="H110" s="10" t="s">
        <v>2991</v>
      </c>
      <c r="I110" s="10" t="s">
        <v>56</v>
      </c>
      <c r="J110" s="65">
        <v>34950</v>
      </c>
      <c r="K110" s="10" t="s">
        <v>2993</v>
      </c>
      <c r="L110" s="10" t="s">
        <v>23734</v>
      </c>
      <c r="M110" s="10" t="s">
        <v>21</v>
      </c>
      <c r="N110" s="10" t="s">
        <v>39349</v>
      </c>
      <c r="O110" s="10" t="s">
        <v>372</v>
      </c>
      <c r="P110" s="1" t="s">
        <v>30089</v>
      </c>
      <c r="Q110" s="64" t="s">
        <v>39350</v>
      </c>
      <c r="R110" s="10" t="s">
        <v>94</v>
      </c>
      <c r="S110" s="63" t="s">
        <v>22</v>
      </c>
      <c r="T110" s="68" t="s">
        <v>34228</v>
      </c>
      <c r="U110" s="68" t="s">
        <v>26572</v>
      </c>
      <c r="V110" s="68" t="s">
        <v>19228</v>
      </c>
      <c r="W110" s="68" t="s">
        <v>94</v>
      </c>
      <c r="X110" s="68">
        <v>5233</v>
      </c>
      <c r="Y110" s="33"/>
      <c r="Z110" s="68" t="s">
        <v>42968</v>
      </c>
      <c r="AA110" s="33">
        <v>7561</v>
      </c>
      <c r="AD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row>
    <row r="111" spans="1:66" s="1" customFormat="1" ht="13" customHeight="1" x14ac:dyDescent="0.15">
      <c r="A111" s="10" t="s">
        <v>40742</v>
      </c>
      <c r="B111" s="99">
        <v>25</v>
      </c>
      <c r="C111" s="10" t="s">
        <v>14</v>
      </c>
      <c r="D111" s="10" t="s">
        <v>31</v>
      </c>
      <c r="E111" s="63"/>
      <c r="F111" s="67">
        <v>43800</v>
      </c>
      <c r="G111" s="10" t="s">
        <v>40743</v>
      </c>
      <c r="H111" s="10" t="s">
        <v>5610</v>
      </c>
      <c r="I111" s="10" t="s">
        <v>56</v>
      </c>
      <c r="J111" s="65">
        <v>33563</v>
      </c>
      <c r="K111" s="10" t="s">
        <v>590</v>
      </c>
      <c r="L111" s="10" t="s">
        <v>5612</v>
      </c>
      <c r="M111" s="10" t="s">
        <v>21</v>
      </c>
      <c r="N111" s="10" t="s">
        <v>40744</v>
      </c>
      <c r="O111" s="10" t="s">
        <v>372</v>
      </c>
      <c r="P111" s="1" t="s">
        <v>30089</v>
      </c>
      <c r="Q111" s="64" t="s">
        <v>40745</v>
      </c>
      <c r="R111" s="10" t="s">
        <v>94</v>
      </c>
      <c r="S111" s="63" t="s">
        <v>351</v>
      </c>
      <c r="T111" s="68" t="s">
        <v>26867</v>
      </c>
      <c r="U111" s="68" t="s">
        <v>26572</v>
      </c>
      <c r="V111" s="68" t="s">
        <v>26571</v>
      </c>
      <c r="W111" s="68" t="s">
        <v>94</v>
      </c>
      <c r="X111" s="68">
        <v>5235</v>
      </c>
      <c r="Y111" s="33"/>
      <c r="Z111" s="68" t="s">
        <v>42968</v>
      </c>
      <c r="AA111" s="33">
        <v>7563</v>
      </c>
      <c r="AD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row>
    <row r="112" spans="1:66" s="1" customFormat="1" ht="13" customHeight="1" x14ac:dyDescent="0.15">
      <c r="A112" s="63" t="s">
        <v>40154</v>
      </c>
      <c r="B112" s="101">
        <v>40</v>
      </c>
      <c r="C112" s="63" t="s">
        <v>14</v>
      </c>
      <c r="D112" s="63" t="s">
        <v>42</v>
      </c>
      <c r="E112" s="63"/>
      <c r="F112" s="67">
        <v>43799</v>
      </c>
      <c r="G112" s="10" t="s">
        <v>40155</v>
      </c>
      <c r="H112" s="10" t="s">
        <v>2944</v>
      </c>
      <c r="I112" s="10" t="s">
        <v>106</v>
      </c>
      <c r="J112" s="65">
        <v>97408</v>
      </c>
      <c r="K112" s="10" t="s">
        <v>2946</v>
      </c>
      <c r="L112" s="10" t="s">
        <v>2947</v>
      </c>
      <c r="M112" s="10" t="s">
        <v>21</v>
      </c>
      <c r="N112" s="10" t="s">
        <v>40156</v>
      </c>
      <c r="O112" s="10" t="s">
        <v>372</v>
      </c>
      <c r="P112" s="1" t="s">
        <v>30089</v>
      </c>
      <c r="Q112" s="64" t="s">
        <v>40157</v>
      </c>
      <c r="R112" s="10" t="s">
        <v>94</v>
      </c>
      <c r="S112" s="63" t="s">
        <v>12</v>
      </c>
      <c r="T112" s="68" t="s">
        <v>29705</v>
      </c>
      <c r="U112" s="68" t="s">
        <v>26572</v>
      </c>
      <c r="V112" s="68" t="s">
        <v>26573</v>
      </c>
      <c r="W112" s="68" t="s">
        <v>94</v>
      </c>
      <c r="X112" s="68">
        <v>5234</v>
      </c>
      <c r="Y112" s="33"/>
      <c r="Z112" s="68" t="s">
        <v>42968</v>
      </c>
      <c r="AA112" s="33">
        <v>7557</v>
      </c>
      <c r="AD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row>
    <row r="113" spans="1:66" s="1" customFormat="1" ht="13" customHeight="1" x14ac:dyDescent="0.15">
      <c r="A113" s="63" t="s">
        <v>40002</v>
      </c>
      <c r="B113" s="101">
        <v>54</v>
      </c>
      <c r="C113" s="10" t="s">
        <v>14</v>
      </c>
      <c r="D113" s="63" t="s">
        <v>31</v>
      </c>
      <c r="E113" s="63"/>
      <c r="F113" s="67">
        <v>43798</v>
      </c>
      <c r="G113" s="10" t="s">
        <v>40003</v>
      </c>
      <c r="H113" s="10" t="s">
        <v>9302</v>
      </c>
      <c r="I113" s="10" t="s">
        <v>39</v>
      </c>
      <c r="J113" s="65">
        <v>95350</v>
      </c>
      <c r="K113" s="10" t="s">
        <v>2954</v>
      </c>
      <c r="L113" s="10" t="s">
        <v>9304</v>
      </c>
      <c r="M113" s="10" t="s">
        <v>21</v>
      </c>
      <c r="N113" s="10" t="s">
        <v>40004</v>
      </c>
      <c r="O113" s="10" t="s">
        <v>372</v>
      </c>
      <c r="P113" s="1" t="s">
        <v>30089</v>
      </c>
      <c r="Q113" s="64" t="s">
        <v>40005</v>
      </c>
      <c r="R113" s="10" t="s">
        <v>94</v>
      </c>
      <c r="S113" s="63" t="s">
        <v>12</v>
      </c>
      <c r="T113" s="68" t="s">
        <v>39971</v>
      </c>
      <c r="U113" s="68" t="s">
        <v>26572</v>
      </c>
      <c r="V113" s="68">
        <v>0</v>
      </c>
      <c r="W113" s="68" t="s">
        <v>512</v>
      </c>
      <c r="X113" s="68">
        <v>5236</v>
      </c>
      <c r="Y113" s="33"/>
      <c r="Z113" s="68" t="s">
        <v>42968</v>
      </c>
      <c r="AA113" s="33">
        <v>7555</v>
      </c>
      <c r="AD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row>
    <row r="114" spans="1:66" s="1" customFormat="1" ht="13" customHeight="1" x14ac:dyDescent="0.15">
      <c r="A114" s="10" t="s">
        <v>3002</v>
      </c>
      <c r="B114" s="69"/>
      <c r="C114" s="63"/>
      <c r="D114" s="10" t="s">
        <v>31</v>
      </c>
      <c r="E114" s="63"/>
      <c r="F114" s="67">
        <v>43798</v>
      </c>
      <c r="G114" s="10" t="s">
        <v>40351</v>
      </c>
      <c r="H114" s="10" t="s">
        <v>40352</v>
      </c>
      <c r="I114" s="10" t="s">
        <v>282</v>
      </c>
      <c r="J114" s="65">
        <v>98328</v>
      </c>
      <c r="K114" s="10" t="s">
        <v>827</v>
      </c>
      <c r="L114" s="10" t="s">
        <v>19834</v>
      </c>
      <c r="M114" s="10" t="s">
        <v>21</v>
      </c>
      <c r="N114" s="10" t="s">
        <v>40353</v>
      </c>
      <c r="O114" s="10" t="s">
        <v>372</v>
      </c>
      <c r="P114" s="1" t="s">
        <v>30089</v>
      </c>
      <c r="Q114" s="64" t="s">
        <v>40354</v>
      </c>
      <c r="R114" s="10" t="s">
        <v>94</v>
      </c>
      <c r="S114" s="63" t="s">
        <v>29</v>
      </c>
      <c r="T114" s="68" t="s">
        <v>26575</v>
      </c>
      <c r="U114" s="68" t="s">
        <v>26575</v>
      </c>
      <c r="V114" s="68" t="s">
        <v>26571</v>
      </c>
      <c r="W114" s="68" t="s">
        <v>94</v>
      </c>
      <c r="X114" s="68">
        <v>5242</v>
      </c>
      <c r="Y114" s="33"/>
      <c r="Z114" s="68" t="s">
        <v>42967</v>
      </c>
      <c r="AA114" s="33">
        <v>7556</v>
      </c>
      <c r="AD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row>
    <row r="115" spans="1:66" s="1" customFormat="1" ht="13" customHeight="1" x14ac:dyDescent="0.15">
      <c r="A115" s="63" t="s">
        <v>38440</v>
      </c>
      <c r="B115" s="101">
        <v>40</v>
      </c>
      <c r="C115" s="10" t="s">
        <v>14</v>
      </c>
      <c r="D115" s="63" t="s">
        <v>31</v>
      </c>
      <c r="E115" s="63"/>
      <c r="F115" s="67">
        <v>43798</v>
      </c>
      <c r="G115" s="10" t="s">
        <v>38441</v>
      </c>
      <c r="H115" s="10" t="s">
        <v>3508</v>
      </c>
      <c r="I115" s="10" t="s">
        <v>192</v>
      </c>
      <c r="J115" s="65">
        <v>80102</v>
      </c>
      <c r="K115" s="10" t="s">
        <v>1790</v>
      </c>
      <c r="L115" s="10" t="s">
        <v>9286</v>
      </c>
      <c r="M115" s="10" t="s">
        <v>21</v>
      </c>
      <c r="N115" s="10" t="s">
        <v>38442</v>
      </c>
      <c r="O115" s="10" t="s">
        <v>372</v>
      </c>
      <c r="P115" s="1" t="s">
        <v>30089</v>
      </c>
      <c r="Q115" s="64" t="s">
        <v>38443</v>
      </c>
      <c r="R115" s="10" t="s">
        <v>94</v>
      </c>
      <c r="S115" s="63" t="s">
        <v>22</v>
      </c>
      <c r="T115" s="68" t="s">
        <v>26781</v>
      </c>
      <c r="U115" s="68" t="s">
        <v>26572</v>
      </c>
      <c r="V115" s="68" t="s">
        <v>26571</v>
      </c>
      <c r="W115" s="68" t="s">
        <v>94</v>
      </c>
      <c r="X115" s="68">
        <v>5241</v>
      </c>
      <c r="Y115" s="33"/>
      <c r="Z115" s="68" t="s">
        <v>42967</v>
      </c>
      <c r="AA115" s="33">
        <v>7552</v>
      </c>
      <c r="AD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row>
    <row r="116" spans="1:66" s="1" customFormat="1" ht="13" customHeight="1" x14ac:dyDescent="0.15">
      <c r="A116" s="10" t="s">
        <v>3002</v>
      </c>
      <c r="B116" s="99">
        <v>46</v>
      </c>
      <c r="C116" s="10" t="s">
        <v>14</v>
      </c>
      <c r="D116" s="10" t="s">
        <v>24</v>
      </c>
      <c r="E116" s="63"/>
      <c r="F116" s="67">
        <v>43798</v>
      </c>
      <c r="G116" s="10" t="s">
        <v>41223</v>
      </c>
      <c r="H116" s="10" t="s">
        <v>41224</v>
      </c>
      <c r="I116" s="10" t="s">
        <v>206</v>
      </c>
      <c r="J116" s="65">
        <v>19958</v>
      </c>
      <c r="K116" s="10" t="s">
        <v>1850</v>
      </c>
      <c r="L116" s="10" t="s">
        <v>5554</v>
      </c>
      <c r="M116" s="10" t="s">
        <v>21</v>
      </c>
      <c r="N116" s="10" t="s">
        <v>41225</v>
      </c>
      <c r="O116" s="10" t="s">
        <v>372</v>
      </c>
      <c r="P116" s="1" t="s">
        <v>30089</v>
      </c>
      <c r="Q116" s="64" t="s">
        <v>41226</v>
      </c>
      <c r="R116" s="10" t="s">
        <v>512</v>
      </c>
      <c r="S116" s="63" t="s">
        <v>22</v>
      </c>
      <c r="T116" s="68" t="s">
        <v>26781</v>
      </c>
      <c r="U116" s="68" t="s">
        <v>26572</v>
      </c>
      <c r="V116" s="68" t="s">
        <v>26573</v>
      </c>
      <c r="W116" s="68" t="s">
        <v>94</v>
      </c>
      <c r="X116" s="68">
        <v>5237</v>
      </c>
      <c r="Y116" s="33"/>
      <c r="Z116" s="68" t="s">
        <v>42968</v>
      </c>
      <c r="AA116" s="33">
        <v>7553</v>
      </c>
      <c r="AD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row>
    <row r="117" spans="1:66" s="1" customFormat="1" ht="13" customHeight="1" x14ac:dyDescent="0.15">
      <c r="A117" s="10" t="s">
        <v>41291</v>
      </c>
      <c r="B117" s="99">
        <v>60</v>
      </c>
      <c r="C117" s="10" t="s">
        <v>14</v>
      </c>
      <c r="D117" s="68" t="s">
        <v>31</v>
      </c>
      <c r="E117" s="63"/>
      <c r="F117" s="67">
        <v>43798</v>
      </c>
      <c r="G117" s="10" t="s">
        <v>41292</v>
      </c>
      <c r="H117" s="10" t="s">
        <v>3692</v>
      </c>
      <c r="I117" s="10" t="s">
        <v>56</v>
      </c>
      <c r="J117" s="65">
        <v>33810</v>
      </c>
      <c r="K117" s="10" t="s">
        <v>1736</v>
      </c>
      <c r="L117" s="10" t="s">
        <v>238</v>
      </c>
      <c r="M117" s="10" t="s">
        <v>21</v>
      </c>
      <c r="N117" s="10" t="s">
        <v>41293</v>
      </c>
      <c r="O117" s="10" t="s">
        <v>372</v>
      </c>
      <c r="P117" s="1" t="s">
        <v>30089</v>
      </c>
      <c r="Q117" s="64" t="s">
        <v>41294</v>
      </c>
      <c r="R117" s="10" t="s">
        <v>512</v>
      </c>
      <c r="S117" s="63" t="s">
        <v>22</v>
      </c>
      <c r="T117" s="68" t="s">
        <v>26781</v>
      </c>
      <c r="U117" s="68" t="s">
        <v>26572</v>
      </c>
      <c r="V117" s="68" t="s">
        <v>26573</v>
      </c>
      <c r="W117" s="68" t="s">
        <v>94</v>
      </c>
      <c r="X117" s="68">
        <v>5239</v>
      </c>
      <c r="Y117" s="33"/>
      <c r="Z117" s="68" t="s">
        <v>42968</v>
      </c>
      <c r="AA117" s="33">
        <v>7554</v>
      </c>
      <c r="AD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row>
    <row r="118" spans="1:66" s="1" customFormat="1" ht="13" customHeight="1" x14ac:dyDescent="0.15">
      <c r="A118" s="10" t="s">
        <v>38434</v>
      </c>
      <c r="B118" s="99">
        <v>34</v>
      </c>
      <c r="C118" s="10" t="s">
        <v>14</v>
      </c>
      <c r="D118" s="10" t="s">
        <v>31</v>
      </c>
      <c r="E118" s="64" t="s">
        <v>38435</v>
      </c>
      <c r="F118" s="67">
        <v>43797</v>
      </c>
      <c r="G118" s="10" t="s">
        <v>38436</v>
      </c>
      <c r="H118" s="10" t="s">
        <v>38437</v>
      </c>
      <c r="I118" s="10" t="s">
        <v>402</v>
      </c>
      <c r="J118" s="65">
        <v>66762</v>
      </c>
      <c r="K118" s="10" t="s">
        <v>6828</v>
      </c>
      <c r="L118" s="10" t="s">
        <v>23401</v>
      </c>
      <c r="M118" s="10" t="s">
        <v>21</v>
      </c>
      <c r="N118" s="10" t="s">
        <v>38438</v>
      </c>
      <c r="O118" s="10" t="s">
        <v>372</v>
      </c>
      <c r="P118" s="1" t="s">
        <v>30089</v>
      </c>
      <c r="Q118" s="64" t="s">
        <v>38439</v>
      </c>
      <c r="R118" s="10" t="s">
        <v>94</v>
      </c>
      <c r="S118" s="63" t="s">
        <v>22</v>
      </c>
      <c r="T118" s="68" t="s">
        <v>26781</v>
      </c>
      <c r="U118" s="68" t="s">
        <v>26570</v>
      </c>
      <c r="V118" s="68" t="s">
        <v>26571</v>
      </c>
      <c r="W118" s="68" t="s">
        <v>94</v>
      </c>
      <c r="X118" s="68">
        <v>5238</v>
      </c>
      <c r="Y118" s="33"/>
      <c r="Z118" s="68" t="s">
        <v>42968</v>
      </c>
      <c r="AA118" s="33">
        <v>7550</v>
      </c>
      <c r="AD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row>
    <row r="119" spans="1:66" s="1" customFormat="1" ht="13" customHeight="1" x14ac:dyDescent="0.15">
      <c r="A119" s="10" t="s">
        <v>42073</v>
      </c>
      <c r="B119" s="99">
        <v>49</v>
      </c>
      <c r="C119" s="10" t="s">
        <v>14</v>
      </c>
      <c r="D119" s="10" t="s">
        <v>42</v>
      </c>
      <c r="E119" s="63"/>
      <c r="F119" s="67">
        <v>43797</v>
      </c>
      <c r="G119" s="10" t="s">
        <v>42074</v>
      </c>
      <c r="H119" s="10" t="s">
        <v>532</v>
      </c>
      <c r="I119" s="10" t="s">
        <v>67</v>
      </c>
      <c r="J119" s="65">
        <v>78218</v>
      </c>
      <c r="K119" s="10" t="s">
        <v>533</v>
      </c>
      <c r="L119" s="10" t="s">
        <v>534</v>
      </c>
      <c r="M119" s="10" t="s">
        <v>21</v>
      </c>
      <c r="N119" s="10" t="s">
        <v>42075</v>
      </c>
      <c r="O119" s="10" t="s">
        <v>372</v>
      </c>
      <c r="P119" s="1" t="s">
        <v>30089</v>
      </c>
      <c r="Q119" s="64" t="s">
        <v>42076</v>
      </c>
      <c r="R119" s="10" t="s">
        <v>94</v>
      </c>
      <c r="S119" s="63" t="s">
        <v>22</v>
      </c>
      <c r="T119" s="34" t="s">
        <v>26781</v>
      </c>
      <c r="U119" s="34" t="s">
        <v>26572</v>
      </c>
      <c r="V119" s="68"/>
      <c r="W119" s="68"/>
      <c r="X119" s="68"/>
      <c r="Y119" s="33"/>
      <c r="Z119" s="68" t="s">
        <v>42968</v>
      </c>
      <c r="AA119" s="33">
        <v>7551</v>
      </c>
      <c r="AD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row>
    <row r="120" spans="1:66" s="1" customFormat="1" ht="13" customHeight="1" x14ac:dyDescent="0.15">
      <c r="A120" s="10" t="s">
        <v>37708</v>
      </c>
      <c r="B120" s="99">
        <v>31</v>
      </c>
      <c r="C120" s="10" t="s">
        <v>14</v>
      </c>
      <c r="D120" s="10" t="s">
        <v>79</v>
      </c>
      <c r="E120" s="63"/>
      <c r="F120" s="67">
        <v>43797</v>
      </c>
      <c r="G120" s="10" t="s">
        <v>37709</v>
      </c>
      <c r="H120" s="10" t="s">
        <v>1463</v>
      </c>
      <c r="I120" s="10" t="s">
        <v>56</v>
      </c>
      <c r="J120" s="65">
        <v>33604</v>
      </c>
      <c r="K120" s="10" t="s">
        <v>590</v>
      </c>
      <c r="L120" s="10" t="s">
        <v>1465</v>
      </c>
      <c r="M120" s="10" t="s">
        <v>21</v>
      </c>
      <c r="N120" s="10" t="s">
        <v>37710</v>
      </c>
      <c r="O120" s="10" t="s">
        <v>372</v>
      </c>
      <c r="P120" s="1" t="s">
        <v>30089</v>
      </c>
      <c r="Q120" s="64" t="s">
        <v>37711</v>
      </c>
      <c r="R120" s="10" t="s">
        <v>94</v>
      </c>
      <c r="S120" s="63" t="s">
        <v>22</v>
      </c>
      <c r="T120" s="68" t="s">
        <v>26781</v>
      </c>
      <c r="U120" s="68" t="s">
        <v>26572</v>
      </c>
      <c r="V120" s="68" t="s">
        <v>19228</v>
      </c>
      <c r="W120" s="68" t="s">
        <v>94</v>
      </c>
      <c r="X120" s="68">
        <v>5240</v>
      </c>
      <c r="Y120" s="33"/>
      <c r="Z120" s="68" t="s">
        <v>42966</v>
      </c>
      <c r="AA120" s="33">
        <v>7549</v>
      </c>
      <c r="AD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row>
    <row r="121" spans="1:66" s="1" customFormat="1" ht="13" customHeight="1" x14ac:dyDescent="0.15">
      <c r="A121" s="10" t="s">
        <v>41694</v>
      </c>
      <c r="B121" s="99">
        <v>40</v>
      </c>
      <c r="C121" s="10" t="s">
        <v>14</v>
      </c>
      <c r="D121" s="10" t="s">
        <v>79</v>
      </c>
      <c r="E121" s="64" t="s">
        <v>41695</v>
      </c>
      <c r="F121" s="67">
        <v>43796</v>
      </c>
      <c r="G121" s="10" t="s">
        <v>41696</v>
      </c>
      <c r="H121" s="10" t="s">
        <v>2401</v>
      </c>
      <c r="I121" s="10" t="s">
        <v>63</v>
      </c>
      <c r="J121" s="65">
        <v>44903</v>
      </c>
      <c r="K121" s="10" t="s">
        <v>2402</v>
      </c>
      <c r="L121" s="10" t="s">
        <v>2403</v>
      </c>
      <c r="M121" s="10" t="s">
        <v>21</v>
      </c>
      <c r="N121" s="10" t="s">
        <v>41697</v>
      </c>
      <c r="O121" s="10" t="s">
        <v>372</v>
      </c>
      <c r="P121" s="1" t="s">
        <v>30089</v>
      </c>
      <c r="Q121" s="64" t="s">
        <v>41698</v>
      </c>
      <c r="R121" s="10" t="s">
        <v>94</v>
      </c>
      <c r="S121" s="63" t="s">
        <v>22</v>
      </c>
      <c r="T121" s="34" t="s">
        <v>28239</v>
      </c>
      <c r="U121" s="34"/>
      <c r="V121" s="68"/>
      <c r="W121" s="68"/>
      <c r="X121" s="68"/>
      <c r="Y121" s="33"/>
      <c r="Z121" s="68" t="s">
        <v>42967</v>
      </c>
      <c r="AA121" s="33">
        <v>7547</v>
      </c>
      <c r="AD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row>
    <row r="122" spans="1:66" s="1" customFormat="1" ht="13" customHeight="1" x14ac:dyDescent="0.15">
      <c r="A122" s="1" t="s">
        <v>37124</v>
      </c>
      <c r="B122" s="1">
        <v>52</v>
      </c>
      <c r="C122" s="1" t="s">
        <v>14</v>
      </c>
      <c r="D122" s="1" t="s">
        <v>31</v>
      </c>
      <c r="E122" s="1" t="s">
        <v>37125</v>
      </c>
      <c r="F122" s="67">
        <v>43796</v>
      </c>
      <c r="G122" s="1" t="s">
        <v>37126</v>
      </c>
      <c r="H122" s="1" t="s">
        <v>6912</v>
      </c>
      <c r="I122" s="1" t="s">
        <v>39</v>
      </c>
      <c r="J122" s="1">
        <v>94952</v>
      </c>
      <c r="K122" s="1" t="s">
        <v>2469</v>
      </c>
      <c r="L122" s="1" t="s">
        <v>42469</v>
      </c>
      <c r="M122" s="33" t="s">
        <v>27767</v>
      </c>
      <c r="N122" s="1" t="s">
        <v>37127</v>
      </c>
      <c r="O122" s="1" t="s">
        <v>372</v>
      </c>
      <c r="P122" s="1" t="s">
        <v>30089</v>
      </c>
      <c r="Q122" s="1" t="s">
        <v>37128</v>
      </c>
      <c r="R122" s="1" t="s">
        <v>94</v>
      </c>
      <c r="S122" s="1" t="s">
        <v>12</v>
      </c>
      <c r="T122" s="54" t="s">
        <v>29705</v>
      </c>
      <c r="U122" s="68"/>
      <c r="V122" s="68"/>
      <c r="W122" s="68"/>
      <c r="X122" s="68"/>
      <c r="Y122" s="33"/>
      <c r="Z122" s="1" t="s">
        <v>42968</v>
      </c>
      <c r="AA122" s="33">
        <v>7548</v>
      </c>
      <c r="AD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row>
    <row r="123" spans="1:66" s="1" customFormat="1" ht="13" customHeight="1" x14ac:dyDescent="0.15">
      <c r="A123" s="10" t="s">
        <v>41880</v>
      </c>
      <c r="B123" s="99">
        <v>31</v>
      </c>
      <c r="C123" s="10" t="s">
        <v>14</v>
      </c>
      <c r="D123" s="10" t="s">
        <v>31</v>
      </c>
      <c r="E123" s="63"/>
      <c r="F123" s="67">
        <v>43796</v>
      </c>
      <c r="G123" s="10" t="s">
        <v>41881</v>
      </c>
      <c r="H123" s="10" t="s">
        <v>41882</v>
      </c>
      <c r="I123" s="10" t="s">
        <v>376</v>
      </c>
      <c r="J123" s="65">
        <v>18328</v>
      </c>
      <c r="K123" s="10" t="s">
        <v>2973</v>
      </c>
      <c r="L123" s="10" t="s">
        <v>473</v>
      </c>
      <c r="M123" s="10" t="s">
        <v>21</v>
      </c>
      <c r="N123" s="10" t="s">
        <v>41883</v>
      </c>
      <c r="O123" s="10" t="s">
        <v>372</v>
      </c>
      <c r="P123" s="1" t="s">
        <v>30089</v>
      </c>
      <c r="Q123" s="64" t="s">
        <v>41884</v>
      </c>
      <c r="R123" s="10" t="s">
        <v>94</v>
      </c>
      <c r="S123" s="63" t="s">
        <v>22</v>
      </c>
      <c r="T123" s="34" t="s">
        <v>26781</v>
      </c>
      <c r="U123" s="34" t="s">
        <v>26572</v>
      </c>
      <c r="V123" s="68"/>
      <c r="W123" s="68"/>
      <c r="X123" s="68"/>
      <c r="Y123" s="33"/>
      <c r="Z123" s="68" t="s">
        <v>42967</v>
      </c>
      <c r="AA123" s="33">
        <v>7546</v>
      </c>
      <c r="AD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row>
    <row r="124" spans="1:66" s="1" customFormat="1" ht="13" customHeight="1" x14ac:dyDescent="0.15">
      <c r="A124" s="10" t="s">
        <v>41630</v>
      </c>
      <c r="B124" s="99">
        <v>48</v>
      </c>
      <c r="C124" s="10" t="s">
        <v>14</v>
      </c>
      <c r="D124" s="10" t="s">
        <v>31</v>
      </c>
      <c r="E124" s="64" t="s">
        <v>41631</v>
      </c>
      <c r="F124" s="67">
        <v>43795</v>
      </c>
      <c r="G124" s="10" t="s">
        <v>41632</v>
      </c>
      <c r="H124" s="10" t="s">
        <v>29245</v>
      </c>
      <c r="I124" s="10" t="s">
        <v>46</v>
      </c>
      <c r="J124" s="65">
        <v>21120</v>
      </c>
      <c r="K124" s="10" t="s">
        <v>1487</v>
      </c>
      <c r="L124" s="10" t="s">
        <v>212</v>
      </c>
      <c r="M124" s="10" t="s">
        <v>21</v>
      </c>
      <c r="N124" s="10" t="s">
        <v>41633</v>
      </c>
      <c r="O124" s="10" t="s">
        <v>372</v>
      </c>
      <c r="P124" s="1" t="s">
        <v>30089</v>
      </c>
      <c r="Q124" s="64" t="s">
        <v>41634</v>
      </c>
      <c r="R124" s="10" t="s">
        <v>512</v>
      </c>
      <c r="S124" s="63" t="s">
        <v>29</v>
      </c>
      <c r="T124" s="68" t="s">
        <v>26575</v>
      </c>
      <c r="U124" s="68" t="s">
        <v>26575</v>
      </c>
      <c r="V124" s="68" t="s">
        <v>26571</v>
      </c>
      <c r="W124" s="68" t="s">
        <v>512</v>
      </c>
      <c r="X124" s="68">
        <v>5243</v>
      </c>
      <c r="Y124" s="33"/>
      <c r="Z124" s="68" t="s">
        <v>42967</v>
      </c>
      <c r="AA124" s="33">
        <v>7545</v>
      </c>
      <c r="AD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row>
    <row r="125" spans="1:66" s="1" customFormat="1" ht="13" customHeight="1" x14ac:dyDescent="0.15">
      <c r="A125" s="10" t="s">
        <v>38449</v>
      </c>
      <c r="B125" s="99">
        <v>51</v>
      </c>
      <c r="C125" s="10" t="s">
        <v>14</v>
      </c>
      <c r="D125" s="10" t="s">
        <v>31</v>
      </c>
      <c r="E125" s="64" t="s">
        <v>38450</v>
      </c>
      <c r="F125" s="67">
        <v>43795</v>
      </c>
      <c r="G125" s="10" t="s">
        <v>38451</v>
      </c>
      <c r="H125" s="10" t="s">
        <v>37364</v>
      </c>
      <c r="I125" s="10" t="s">
        <v>298</v>
      </c>
      <c r="J125" s="65">
        <v>37743</v>
      </c>
      <c r="K125" s="10" t="s">
        <v>4549</v>
      </c>
      <c r="L125" s="10" t="s">
        <v>37365</v>
      </c>
      <c r="M125" s="10" t="s">
        <v>21</v>
      </c>
      <c r="N125" s="10" t="s">
        <v>38452</v>
      </c>
      <c r="O125" s="10" t="s">
        <v>372</v>
      </c>
      <c r="P125" s="1" t="s">
        <v>30089</v>
      </c>
      <c r="Q125" s="64" t="s">
        <v>38453</v>
      </c>
      <c r="R125" s="10" t="s">
        <v>94</v>
      </c>
      <c r="S125" s="63" t="s">
        <v>22</v>
      </c>
      <c r="T125" s="68" t="s">
        <v>26781</v>
      </c>
      <c r="U125" s="68" t="s">
        <v>26572</v>
      </c>
      <c r="V125" s="68" t="s">
        <v>26573</v>
      </c>
      <c r="W125" s="68" t="s">
        <v>512</v>
      </c>
      <c r="X125" s="68">
        <v>5245</v>
      </c>
      <c r="Y125" s="33"/>
      <c r="Z125" s="68" t="s">
        <v>42967</v>
      </c>
      <c r="AA125" s="33">
        <v>7544</v>
      </c>
      <c r="AD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row>
    <row r="126" spans="1:66" s="1" customFormat="1" ht="13" customHeight="1" x14ac:dyDescent="0.15">
      <c r="A126" s="10" t="s">
        <v>39930</v>
      </c>
      <c r="B126" s="101">
        <v>22</v>
      </c>
      <c r="C126" s="10" t="s">
        <v>14</v>
      </c>
      <c r="D126" s="10" t="s">
        <v>79</v>
      </c>
      <c r="E126" s="75" t="s">
        <v>39931</v>
      </c>
      <c r="F126" s="67">
        <v>43794</v>
      </c>
      <c r="G126" s="10" t="s">
        <v>39932</v>
      </c>
      <c r="H126" s="10" t="s">
        <v>5887</v>
      </c>
      <c r="I126" s="10" t="s">
        <v>39</v>
      </c>
      <c r="J126" s="65">
        <v>90028</v>
      </c>
      <c r="K126" s="10" t="s">
        <v>92</v>
      </c>
      <c r="L126" s="10" t="s">
        <v>93</v>
      </c>
      <c r="M126" s="10" t="s">
        <v>21</v>
      </c>
      <c r="N126" s="10" t="s">
        <v>39933</v>
      </c>
      <c r="O126" s="10" t="s">
        <v>372</v>
      </c>
      <c r="P126" s="1" t="s">
        <v>30089</v>
      </c>
      <c r="Q126" s="64" t="s">
        <v>39934</v>
      </c>
      <c r="R126" s="10" t="s">
        <v>94</v>
      </c>
      <c r="S126" s="63" t="s">
        <v>22</v>
      </c>
      <c r="T126" s="68" t="s">
        <v>39935</v>
      </c>
      <c r="U126" s="68" t="s">
        <v>26572</v>
      </c>
      <c r="V126" s="68" t="s">
        <v>26574</v>
      </c>
      <c r="W126" s="68" t="s">
        <v>512</v>
      </c>
      <c r="X126" s="68">
        <v>5223</v>
      </c>
      <c r="Y126" s="33"/>
      <c r="Z126" s="68" t="s">
        <v>42966</v>
      </c>
      <c r="AA126" s="33">
        <v>7543</v>
      </c>
      <c r="AD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row>
    <row r="127" spans="1:66" s="1" customFormat="1" ht="13" customHeight="1" x14ac:dyDescent="0.15">
      <c r="A127" s="63" t="s">
        <v>40737</v>
      </c>
      <c r="B127" s="101">
        <v>36</v>
      </c>
      <c r="C127" s="63" t="s">
        <v>14</v>
      </c>
      <c r="D127" s="63" t="s">
        <v>31</v>
      </c>
      <c r="E127" s="63"/>
      <c r="F127" s="67">
        <v>43794</v>
      </c>
      <c r="G127" s="10" t="s">
        <v>40738</v>
      </c>
      <c r="H127" s="10" t="s">
        <v>40739</v>
      </c>
      <c r="I127" s="10" t="s">
        <v>282</v>
      </c>
      <c r="J127" s="65">
        <v>98022</v>
      </c>
      <c r="K127" s="10" t="s">
        <v>1133</v>
      </c>
      <c r="L127" s="10" t="s">
        <v>7282</v>
      </c>
      <c r="M127" s="10" t="s">
        <v>21</v>
      </c>
      <c r="N127" s="10" t="s">
        <v>40740</v>
      </c>
      <c r="O127" s="10" t="s">
        <v>372</v>
      </c>
      <c r="P127" s="1" t="s">
        <v>30089</v>
      </c>
      <c r="Q127" s="64" t="s">
        <v>40741</v>
      </c>
      <c r="R127" s="10" t="s">
        <v>94</v>
      </c>
      <c r="S127" s="63" t="s">
        <v>351</v>
      </c>
      <c r="T127" s="68" t="s">
        <v>26867</v>
      </c>
      <c r="U127" s="68" t="s">
        <v>26572</v>
      </c>
      <c r="V127" s="68" t="s">
        <v>26573</v>
      </c>
      <c r="W127" s="68" t="s">
        <v>94</v>
      </c>
      <c r="X127" s="68">
        <v>5224</v>
      </c>
      <c r="Y127" s="33"/>
      <c r="Z127" s="68" t="s">
        <v>42967</v>
      </c>
      <c r="AA127" s="33">
        <v>7542</v>
      </c>
      <c r="AD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row>
    <row r="128" spans="1:66" s="1" customFormat="1" ht="13" customHeight="1" x14ac:dyDescent="0.15">
      <c r="A128" s="10" t="s">
        <v>38444</v>
      </c>
      <c r="B128" s="99">
        <v>42</v>
      </c>
      <c r="C128" s="10" t="s">
        <v>14</v>
      </c>
      <c r="D128" s="10" t="s">
        <v>31</v>
      </c>
      <c r="E128" s="64" t="s">
        <v>38445</v>
      </c>
      <c r="F128" s="67">
        <v>43794</v>
      </c>
      <c r="G128" s="10" t="s">
        <v>38446</v>
      </c>
      <c r="H128" s="10" t="s">
        <v>15216</v>
      </c>
      <c r="I128" s="10" t="s">
        <v>798</v>
      </c>
      <c r="J128" s="65">
        <v>59404</v>
      </c>
      <c r="K128" s="10" t="s">
        <v>13474</v>
      </c>
      <c r="L128" s="10" t="s">
        <v>5161</v>
      </c>
      <c r="M128" s="10" t="s">
        <v>21</v>
      </c>
      <c r="N128" s="10" t="s">
        <v>38447</v>
      </c>
      <c r="O128" s="10" t="s">
        <v>372</v>
      </c>
      <c r="P128" s="1" t="s">
        <v>30089</v>
      </c>
      <c r="Q128" s="64" t="s">
        <v>38448</v>
      </c>
      <c r="R128" s="10" t="s">
        <v>94</v>
      </c>
      <c r="S128" s="63" t="s">
        <v>22</v>
      </c>
      <c r="T128" s="68" t="s">
        <v>26781</v>
      </c>
      <c r="U128" s="68" t="s">
        <v>26570</v>
      </c>
      <c r="V128" s="68" t="s">
        <v>26573</v>
      </c>
      <c r="W128" s="68" t="s">
        <v>94</v>
      </c>
      <c r="X128" s="68">
        <v>5244</v>
      </c>
      <c r="Y128" s="33"/>
      <c r="Z128" s="68" t="s">
        <v>42968</v>
      </c>
      <c r="AA128" s="33">
        <v>7541</v>
      </c>
      <c r="AD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row>
    <row r="129" spans="1:66" s="1" customFormat="1" ht="13" customHeight="1" x14ac:dyDescent="0.15">
      <c r="A129" s="10" t="s">
        <v>38429</v>
      </c>
      <c r="B129" s="99">
        <v>34</v>
      </c>
      <c r="C129" s="10" t="s">
        <v>14</v>
      </c>
      <c r="D129" s="10" t="s">
        <v>31</v>
      </c>
      <c r="E129" s="63"/>
      <c r="F129" s="67">
        <v>43793</v>
      </c>
      <c r="G129" s="10" t="s">
        <v>38430</v>
      </c>
      <c r="H129" s="10" t="s">
        <v>38431</v>
      </c>
      <c r="I129" s="10" t="s">
        <v>51</v>
      </c>
      <c r="J129" s="65">
        <v>49316</v>
      </c>
      <c r="K129" s="10" t="s">
        <v>2350</v>
      </c>
      <c r="L129" s="10" t="s">
        <v>36633</v>
      </c>
      <c r="M129" s="10" t="s">
        <v>21</v>
      </c>
      <c r="N129" s="10" t="s">
        <v>38432</v>
      </c>
      <c r="O129" s="10" t="s">
        <v>372</v>
      </c>
      <c r="P129" s="1" t="s">
        <v>30089</v>
      </c>
      <c r="Q129" s="64" t="s">
        <v>38433</v>
      </c>
      <c r="R129" s="10" t="s">
        <v>94</v>
      </c>
      <c r="S129" s="63" t="s">
        <v>22</v>
      </c>
      <c r="T129" s="68" t="s">
        <v>26781</v>
      </c>
      <c r="U129" s="68" t="s">
        <v>26572</v>
      </c>
      <c r="V129" s="68" t="s">
        <v>26573</v>
      </c>
      <c r="W129" s="68" t="s">
        <v>94</v>
      </c>
      <c r="X129" s="68">
        <v>5211</v>
      </c>
      <c r="Y129" s="33"/>
      <c r="Z129" s="68" t="s">
        <v>42968</v>
      </c>
      <c r="AA129" s="33">
        <v>7540</v>
      </c>
      <c r="AD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row>
    <row r="130" spans="1:66" s="1" customFormat="1" ht="13" customHeight="1" x14ac:dyDescent="0.15">
      <c r="A130" s="10" t="s">
        <v>40022</v>
      </c>
      <c r="B130" s="99">
        <v>24</v>
      </c>
      <c r="C130" s="10" t="s">
        <v>14</v>
      </c>
      <c r="D130" s="10" t="s">
        <v>42</v>
      </c>
      <c r="E130" s="64" t="s">
        <v>40023</v>
      </c>
      <c r="F130" s="67">
        <v>43792</v>
      </c>
      <c r="G130" s="10" t="s">
        <v>40024</v>
      </c>
      <c r="H130" s="10" t="s">
        <v>4307</v>
      </c>
      <c r="I130" s="10" t="s">
        <v>192</v>
      </c>
      <c r="J130" s="65">
        <v>81005</v>
      </c>
      <c r="K130" s="10" t="s">
        <v>4307</v>
      </c>
      <c r="L130" s="10" t="s">
        <v>4309</v>
      </c>
      <c r="M130" s="10" t="s">
        <v>21</v>
      </c>
      <c r="N130" s="10" t="s">
        <v>40025</v>
      </c>
      <c r="O130" s="10" t="s">
        <v>372</v>
      </c>
      <c r="P130" s="1" t="s">
        <v>30089</v>
      </c>
      <c r="Q130" s="64" t="s">
        <v>40026</v>
      </c>
      <c r="R130" s="10" t="s">
        <v>94</v>
      </c>
      <c r="S130" s="63" t="s">
        <v>12</v>
      </c>
      <c r="T130" s="68" t="s">
        <v>39971</v>
      </c>
      <c r="U130" s="68" t="s">
        <v>26572</v>
      </c>
      <c r="V130" s="68" t="s">
        <v>26573</v>
      </c>
      <c r="W130" s="68" t="s">
        <v>94</v>
      </c>
      <c r="X130" s="68">
        <v>5210</v>
      </c>
      <c r="Y130" s="33"/>
      <c r="Z130" s="68" t="s">
        <v>42968</v>
      </c>
      <c r="AA130" s="33">
        <v>7539</v>
      </c>
      <c r="AD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row>
    <row r="131" spans="1:66" s="1" customFormat="1" ht="13" customHeight="1" x14ac:dyDescent="0.15">
      <c r="A131" s="10" t="s">
        <v>37683</v>
      </c>
      <c r="B131" s="99">
        <v>28</v>
      </c>
      <c r="C131" s="10" t="s">
        <v>14</v>
      </c>
      <c r="D131" s="10" t="s">
        <v>79</v>
      </c>
      <c r="E131" s="63"/>
      <c r="F131" s="67">
        <v>43792</v>
      </c>
      <c r="G131" s="10" t="s">
        <v>37684</v>
      </c>
      <c r="H131" s="10" t="s">
        <v>375</v>
      </c>
      <c r="I131" s="10" t="s">
        <v>26</v>
      </c>
      <c r="J131" s="65">
        <v>29706</v>
      </c>
      <c r="K131" s="10" t="s">
        <v>375</v>
      </c>
      <c r="L131" s="10" t="s">
        <v>1823</v>
      </c>
      <c r="M131" s="10" t="s">
        <v>21</v>
      </c>
      <c r="N131" s="10" t="s">
        <v>37685</v>
      </c>
      <c r="O131" s="10" t="s">
        <v>372</v>
      </c>
      <c r="P131" s="1" t="s">
        <v>30089</v>
      </c>
      <c r="Q131" s="64" t="s">
        <v>37686</v>
      </c>
      <c r="R131" s="10" t="s">
        <v>94</v>
      </c>
      <c r="S131" s="63" t="s">
        <v>22</v>
      </c>
      <c r="T131" s="68" t="s">
        <v>26781</v>
      </c>
      <c r="U131" s="68" t="s">
        <v>26572</v>
      </c>
      <c r="V131" s="68" t="s">
        <v>26574</v>
      </c>
      <c r="W131" s="68" t="s">
        <v>94</v>
      </c>
      <c r="X131" s="68">
        <v>5209</v>
      </c>
      <c r="Y131" s="33"/>
      <c r="Z131" s="68" t="s">
        <v>42967</v>
      </c>
      <c r="AA131" s="33">
        <v>7538</v>
      </c>
      <c r="AD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row>
    <row r="132" spans="1:66" s="1" customFormat="1" ht="13" customHeight="1" x14ac:dyDescent="0.15">
      <c r="A132" s="10" t="s">
        <v>37692</v>
      </c>
      <c r="B132" s="99">
        <v>37</v>
      </c>
      <c r="C132" s="10" t="s">
        <v>14</v>
      </c>
      <c r="D132" s="10" t="s">
        <v>79</v>
      </c>
      <c r="E132" s="63"/>
      <c r="F132" s="67">
        <v>43791</v>
      </c>
      <c r="G132" s="10" t="s">
        <v>37693</v>
      </c>
      <c r="H132" s="10" t="s">
        <v>1315</v>
      </c>
      <c r="I132" s="10" t="s">
        <v>338</v>
      </c>
      <c r="J132" s="65">
        <v>28337</v>
      </c>
      <c r="K132" s="10" t="s">
        <v>3255</v>
      </c>
      <c r="L132" s="10" t="s">
        <v>37694</v>
      </c>
      <c r="M132" s="10" t="s">
        <v>21</v>
      </c>
      <c r="N132" s="10" t="s">
        <v>37695</v>
      </c>
      <c r="O132" s="10" t="s">
        <v>372</v>
      </c>
      <c r="P132" s="1" t="s">
        <v>30089</v>
      </c>
      <c r="Q132" s="64" t="s">
        <v>37696</v>
      </c>
      <c r="R132" s="10" t="s">
        <v>94</v>
      </c>
      <c r="S132" s="63" t="s">
        <v>22</v>
      </c>
      <c r="T132" s="68" t="s">
        <v>26781</v>
      </c>
      <c r="U132" s="68" t="s">
        <v>26572</v>
      </c>
      <c r="V132" s="68" t="s">
        <v>26573</v>
      </c>
      <c r="W132" s="68" t="s">
        <v>94</v>
      </c>
      <c r="X132" s="68">
        <v>5225</v>
      </c>
      <c r="Y132" s="33"/>
      <c r="Z132" s="68" t="s">
        <v>42967</v>
      </c>
      <c r="AA132" s="33">
        <v>7537</v>
      </c>
      <c r="AD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row>
    <row r="133" spans="1:66" s="1" customFormat="1" ht="13" customHeight="1" x14ac:dyDescent="0.15">
      <c r="A133" s="10" t="s">
        <v>39293</v>
      </c>
      <c r="B133" s="99">
        <v>51</v>
      </c>
      <c r="C133" s="10" t="s">
        <v>14</v>
      </c>
      <c r="D133" s="68" t="s">
        <v>31</v>
      </c>
      <c r="E133" s="63"/>
      <c r="F133" s="67">
        <v>43789</v>
      </c>
      <c r="G133" s="10" t="s">
        <v>39294</v>
      </c>
      <c r="H133" s="10" t="s">
        <v>7622</v>
      </c>
      <c r="I133" s="10" t="s">
        <v>160</v>
      </c>
      <c r="J133" s="65">
        <v>30228</v>
      </c>
      <c r="K133" s="10" t="s">
        <v>7624</v>
      </c>
      <c r="L133" s="10" t="s">
        <v>39295</v>
      </c>
      <c r="M133" s="10" t="s">
        <v>21</v>
      </c>
      <c r="N133" s="10" t="s">
        <v>39296</v>
      </c>
      <c r="O133" s="10" t="s">
        <v>372</v>
      </c>
      <c r="P133" s="1" t="s">
        <v>30089</v>
      </c>
      <c r="Q133" s="64" t="s">
        <v>39297</v>
      </c>
      <c r="R133" s="10" t="s">
        <v>94</v>
      </c>
      <c r="S133" s="63" t="s">
        <v>22</v>
      </c>
      <c r="T133" s="68" t="s">
        <v>26781</v>
      </c>
      <c r="U133" s="68" t="s">
        <v>26572</v>
      </c>
      <c r="V133" s="68" t="s">
        <v>26573</v>
      </c>
      <c r="W133" s="68" t="s">
        <v>94</v>
      </c>
      <c r="X133" s="68">
        <v>5207</v>
      </c>
      <c r="Y133" s="33"/>
      <c r="Z133" s="68" t="s">
        <v>42968</v>
      </c>
      <c r="AA133" s="33">
        <v>7534</v>
      </c>
      <c r="AD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row>
    <row r="134" spans="1:66" s="1" customFormat="1" ht="13" customHeight="1" x14ac:dyDescent="0.15">
      <c r="A134" s="10" t="s">
        <v>39304</v>
      </c>
      <c r="B134" s="99">
        <v>42</v>
      </c>
      <c r="C134" s="10" t="s">
        <v>103</v>
      </c>
      <c r="D134" s="68" t="s">
        <v>31</v>
      </c>
      <c r="E134" s="63"/>
      <c r="F134" s="67">
        <v>43789</v>
      </c>
      <c r="G134" s="10" t="s">
        <v>39305</v>
      </c>
      <c r="H134" s="10" t="s">
        <v>92</v>
      </c>
      <c r="I134" s="10" t="s">
        <v>39</v>
      </c>
      <c r="J134" s="65">
        <v>91367</v>
      </c>
      <c r="K134" s="10" t="s">
        <v>92</v>
      </c>
      <c r="L134" s="10" t="s">
        <v>21893</v>
      </c>
      <c r="M134" s="10" t="s">
        <v>21</v>
      </c>
      <c r="N134" s="10" t="s">
        <v>39306</v>
      </c>
      <c r="O134" s="10" t="s">
        <v>372</v>
      </c>
      <c r="P134" s="1" t="s">
        <v>30089</v>
      </c>
      <c r="Q134" s="64" t="s">
        <v>39307</v>
      </c>
      <c r="R134" s="10" t="s">
        <v>94</v>
      </c>
      <c r="S134" s="63" t="s">
        <v>22</v>
      </c>
      <c r="T134" s="68" t="s">
        <v>26781</v>
      </c>
      <c r="U134" s="68" t="s">
        <v>26570</v>
      </c>
      <c r="V134" s="68" t="s">
        <v>26573</v>
      </c>
      <c r="W134" s="68" t="s">
        <v>94</v>
      </c>
      <c r="X134" s="68">
        <v>5263</v>
      </c>
      <c r="Y134" s="33"/>
      <c r="Z134" s="68" t="s">
        <v>42966</v>
      </c>
      <c r="AA134" s="33">
        <v>7535</v>
      </c>
      <c r="AD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row>
    <row r="135" spans="1:66" s="1" customFormat="1" ht="13" customHeight="1" x14ac:dyDescent="0.15">
      <c r="A135" s="10" t="s">
        <v>39157</v>
      </c>
      <c r="B135" s="99">
        <v>18</v>
      </c>
      <c r="C135" s="10" t="s">
        <v>14</v>
      </c>
      <c r="D135" s="68" t="s">
        <v>79</v>
      </c>
      <c r="E135" s="63"/>
      <c r="F135" s="67">
        <v>43789</v>
      </c>
      <c r="G135" s="10" t="s">
        <v>39158</v>
      </c>
      <c r="H135" s="10" t="s">
        <v>1194</v>
      </c>
      <c r="I135" s="10" t="s">
        <v>250</v>
      </c>
      <c r="J135" s="65">
        <v>89014</v>
      </c>
      <c r="K135" s="10" t="s">
        <v>527</v>
      </c>
      <c r="L135" s="10" t="s">
        <v>1387</v>
      </c>
      <c r="M135" s="10" t="s">
        <v>21</v>
      </c>
      <c r="N135" s="10" t="s">
        <v>39159</v>
      </c>
      <c r="O135" s="10" t="s">
        <v>372</v>
      </c>
      <c r="P135" s="1" t="s">
        <v>30089</v>
      </c>
      <c r="Q135" s="64" t="s">
        <v>39160</v>
      </c>
      <c r="R135" s="10" t="s">
        <v>94</v>
      </c>
      <c r="S135" s="63" t="s">
        <v>22</v>
      </c>
      <c r="T135" s="68" t="s">
        <v>26781</v>
      </c>
      <c r="U135" s="68" t="s">
        <v>26572</v>
      </c>
      <c r="V135" s="68">
        <v>0</v>
      </c>
      <c r="W135" s="68" t="s">
        <v>512</v>
      </c>
      <c r="X135" s="68">
        <v>5208</v>
      </c>
      <c r="Y135" s="33"/>
      <c r="Z135" s="68" t="s">
        <v>42966</v>
      </c>
      <c r="AA135" s="33">
        <v>7533</v>
      </c>
      <c r="AD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row>
    <row r="136" spans="1:66" s="1" customFormat="1" ht="13" customHeight="1" x14ac:dyDescent="0.15">
      <c r="A136" s="10" t="s">
        <v>39810</v>
      </c>
      <c r="B136" s="99">
        <v>55</v>
      </c>
      <c r="C136" s="10" t="s">
        <v>14</v>
      </c>
      <c r="D136" s="68" t="s">
        <v>31</v>
      </c>
      <c r="E136" s="63"/>
      <c r="F136" s="67">
        <v>43789</v>
      </c>
      <c r="G136" s="10" t="s">
        <v>39811</v>
      </c>
      <c r="H136" s="10" t="s">
        <v>39812</v>
      </c>
      <c r="I136" s="10" t="s">
        <v>160</v>
      </c>
      <c r="J136" s="65">
        <v>30533</v>
      </c>
      <c r="K136" s="10" t="s">
        <v>25785</v>
      </c>
      <c r="L136" s="10" t="s">
        <v>39813</v>
      </c>
      <c r="M136" s="10" t="s">
        <v>21</v>
      </c>
      <c r="N136" s="10" t="s">
        <v>39814</v>
      </c>
      <c r="O136" s="10" t="s">
        <v>372</v>
      </c>
      <c r="P136" s="1" t="s">
        <v>30089</v>
      </c>
      <c r="Q136" s="64" t="s">
        <v>39815</v>
      </c>
      <c r="R136" s="10" t="s">
        <v>94</v>
      </c>
      <c r="S136" s="63" t="s">
        <v>22</v>
      </c>
      <c r="T136" s="68" t="s">
        <v>26774</v>
      </c>
      <c r="U136" s="68" t="s">
        <v>26570</v>
      </c>
      <c r="V136" s="68" t="s">
        <v>26573</v>
      </c>
      <c r="W136" s="68" t="s">
        <v>94</v>
      </c>
      <c r="X136" s="68">
        <v>5206</v>
      </c>
      <c r="Y136" s="33"/>
      <c r="Z136" s="68" t="s">
        <v>42967</v>
      </c>
      <c r="AA136" s="33">
        <v>7536</v>
      </c>
      <c r="AD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row>
    <row r="137" spans="1:66" s="1" customFormat="1" ht="13" customHeight="1" x14ac:dyDescent="0.15">
      <c r="A137" s="10" t="s">
        <v>41699</v>
      </c>
      <c r="B137" s="99">
        <v>32</v>
      </c>
      <c r="C137" s="10" t="s">
        <v>14</v>
      </c>
      <c r="D137" s="10" t="s">
        <v>79</v>
      </c>
      <c r="E137" s="63"/>
      <c r="F137" s="67">
        <v>43788</v>
      </c>
      <c r="G137" s="10" t="s">
        <v>41700</v>
      </c>
      <c r="H137" s="10" t="s">
        <v>81</v>
      </c>
      <c r="I137" s="10" t="s">
        <v>38</v>
      </c>
      <c r="J137" s="65">
        <v>60641</v>
      </c>
      <c r="K137" s="10" t="s">
        <v>82</v>
      </c>
      <c r="L137" s="10" t="s">
        <v>41701</v>
      </c>
      <c r="M137" s="10" t="s">
        <v>21</v>
      </c>
      <c r="N137" s="10" t="s">
        <v>41702</v>
      </c>
      <c r="O137" s="10" t="s">
        <v>372</v>
      </c>
      <c r="P137" s="1" t="s">
        <v>30089</v>
      </c>
      <c r="Q137" s="64" t="s">
        <v>41703</v>
      </c>
      <c r="R137" s="10" t="s">
        <v>94</v>
      </c>
      <c r="S137" s="63" t="s">
        <v>22</v>
      </c>
      <c r="T137" s="34" t="s">
        <v>26781</v>
      </c>
      <c r="U137" s="34" t="s">
        <v>26572</v>
      </c>
      <c r="V137" s="68"/>
      <c r="W137" s="68"/>
      <c r="X137" s="68"/>
      <c r="Y137" s="33"/>
      <c r="Z137" s="68" t="s">
        <v>42966</v>
      </c>
      <c r="AA137" s="33">
        <v>7530</v>
      </c>
      <c r="AD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row>
    <row r="138" spans="1:66" s="1" customFormat="1" ht="13" customHeight="1" x14ac:dyDescent="0.15">
      <c r="A138" s="10" t="s">
        <v>38424</v>
      </c>
      <c r="B138" s="99">
        <v>34</v>
      </c>
      <c r="C138" s="10" t="s">
        <v>14</v>
      </c>
      <c r="D138" s="10" t="s">
        <v>31</v>
      </c>
      <c r="E138" s="63"/>
      <c r="F138" s="67">
        <v>43788</v>
      </c>
      <c r="G138" s="10" t="s">
        <v>38425</v>
      </c>
      <c r="H138" s="10" t="s">
        <v>38426</v>
      </c>
      <c r="I138" s="10" t="s">
        <v>39</v>
      </c>
      <c r="J138" s="65">
        <v>92256</v>
      </c>
      <c r="K138" s="10" t="s">
        <v>288</v>
      </c>
      <c r="L138" s="10" t="s">
        <v>32215</v>
      </c>
      <c r="M138" s="10" t="s">
        <v>21</v>
      </c>
      <c r="N138" s="10" t="s">
        <v>38427</v>
      </c>
      <c r="O138" s="10" t="s">
        <v>372</v>
      </c>
      <c r="P138" s="1" t="s">
        <v>30089</v>
      </c>
      <c r="Q138" s="64" t="s">
        <v>38428</v>
      </c>
      <c r="R138" s="10" t="s">
        <v>94</v>
      </c>
      <c r="S138" s="63" t="s">
        <v>22</v>
      </c>
      <c r="T138" s="68" t="s">
        <v>26781</v>
      </c>
      <c r="U138" s="68" t="s">
        <v>26572</v>
      </c>
      <c r="V138" s="68" t="s">
        <v>26573</v>
      </c>
      <c r="W138" s="68" t="s">
        <v>94</v>
      </c>
      <c r="X138" s="68">
        <v>5202</v>
      </c>
      <c r="Y138" s="33"/>
      <c r="Z138" s="68" t="s">
        <v>42967</v>
      </c>
      <c r="AA138" s="33">
        <v>7528</v>
      </c>
      <c r="AD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row>
    <row r="139" spans="1:66" s="1" customFormat="1" ht="13" customHeight="1" x14ac:dyDescent="0.15">
      <c r="A139" s="10" t="s">
        <v>39687</v>
      </c>
      <c r="B139" s="99">
        <v>34</v>
      </c>
      <c r="C139" s="10" t="s">
        <v>14</v>
      </c>
      <c r="D139" s="10" t="s">
        <v>42</v>
      </c>
      <c r="E139" s="63"/>
      <c r="F139" s="67">
        <v>43788</v>
      </c>
      <c r="G139" s="10" t="s">
        <v>39688</v>
      </c>
      <c r="H139" s="10" t="s">
        <v>92</v>
      </c>
      <c r="I139" s="10" t="s">
        <v>39</v>
      </c>
      <c r="J139" s="65">
        <v>90011</v>
      </c>
      <c r="K139" s="10" t="s">
        <v>92</v>
      </c>
      <c r="L139" s="10" t="s">
        <v>93</v>
      </c>
      <c r="M139" s="10" t="s">
        <v>21</v>
      </c>
      <c r="N139" s="10" t="s">
        <v>39689</v>
      </c>
      <c r="O139" s="10" t="s">
        <v>372</v>
      </c>
      <c r="P139" s="1" t="s">
        <v>30089</v>
      </c>
      <c r="Q139" s="64" t="s">
        <v>39690</v>
      </c>
      <c r="R139" s="10" t="s">
        <v>94</v>
      </c>
      <c r="S139" s="63" t="s">
        <v>22</v>
      </c>
      <c r="T139" s="68" t="s">
        <v>26774</v>
      </c>
      <c r="U139" s="68" t="s">
        <v>26570</v>
      </c>
      <c r="V139" s="68">
        <v>0</v>
      </c>
      <c r="W139" s="68" t="s">
        <v>94</v>
      </c>
      <c r="X139" s="68">
        <v>5199</v>
      </c>
      <c r="Y139" s="33"/>
      <c r="Z139" s="68" t="s">
        <v>42966</v>
      </c>
      <c r="AA139" s="33">
        <v>7531</v>
      </c>
      <c r="AD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row>
    <row r="140" spans="1:66" s="1" customFormat="1" ht="13" customHeight="1" x14ac:dyDescent="0.15">
      <c r="A140" s="10" t="s">
        <v>38415</v>
      </c>
      <c r="B140" s="99">
        <v>41</v>
      </c>
      <c r="C140" s="10" t="s">
        <v>14</v>
      </c>
      <c r="D140" s="10" t="s">
        <v>31</v>
      </c>
      <c r="E140" s="63"/>
      <c r="F140" s="67">
        <v>43788</v>
      </c>
      <c r="G140" s="10" t="s">
        <v>38416</v>
      </c>
      <c r="H140" s="10" t="s">
        <v>32010</v>
      </c>
      <c r="I140" s="10" t="s">
        <v>621</v>
      </c>
      <c r="J140" s="65">
        <v>38637</v>
      </c>
      <c r="K140" s="10" t="s">
        <v>1107</v>
      </c>
      <c r="L140" s="10" t="s">
        <v>32216</v>
      </c>
      <c r="M140" s="10" t="s">
        <v>21</v>
      </c>
      <c r="N140" s="10" t="s">
        <v>38417</v>
      </c>
      <c r="O140" s="10" t="s">
        <v>372</v>
      </c>
      <c r="P140" s="1" t="s">
        <v>30089</v>
      </c>
      <c r="Q140" s="64" t="s">
        <v>38418</v>
      </c>
      <c r="R140" s="10" t="s">
        <v>94</v>
      </c>
      <c r="S140" s="63" t="s">
        <v>22</v>
      </c>
      <c r="T140" s="68" t="s">
        <v>26781</v>
      </c>
      <c r="U140" s="68" t="s">
        <v>26570</v>
      </c>
      <c r="V140" s="68" t="s">
        <v>26573</v>
      </c>
      <c r="W140" s="68" t="s">
        <v>94</v>
      </c>
      <c r="X140" s="68">
        <v>5198</v>
      </c>
      <c r="Y140" s="33"/>
      <c r="Z140" s="68" t="s">
        <v>42968</v>
      </c>
      <c r="AA140" s="33">
        <v>7527</v>
      </c>
      <c r="AD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row>
    <row r="141" spans="1:66" s="1" customFormat="1" ht="13" customHeight="1" x14ac:dyDescent="0.15">
      <c r="A141" s="10" t="s">
        <v>39691</v>
      </c>
      <c r="B141" s="99">
        <v>50</v>
      </c>
      <c r="C141" s="10" t="s">
        <v>14</v>
      </c>
      <c r="D141" s="10" t="s">
        <v>42</v>
      </c>
      <c r="E141" s="63"/>
      <c r="F141" s="67">
        <v>43788</v>
      </c>
      <c r="G141" s="10" t="s">
        <v>39692</v>
      </c>
      <c r="H141" s="10" t="s">
        <v>39693</v>
      </c>
      <c r="I141" s="10" t="s">
        <v>735</v>
      </c>
      <c r="J141" s="65">
        <v>83263</v>
      </c>
      <c r="K141" s="10" t="s">
        <v>1203</v>
      </c>
      <c r="L141" s="10" t="s">
        <v>39694</v>
      </c>
      <c r="M141" s="10" t="s">
        <v>21</v>
      </c>
      <c r="N141" s="10" t="s">
        <v>39695</v>
      </c>
      <c r="O141" s="10" t="s">
        <v>39696</v>
      </c>
      <c r="P141" s="1" t="s">
        <v>30089</v>
      </c>
      <c r="Q141" s="64" t="s">
        <v>39697</v>
      </c>
      <c r="R141" s="10" t="s">
        <v>23</v>
      </c>
      <c r="S141" s="63" t="s">
        <v>22</v>
      </c>
      <c r="T141" s="68" t="s">
        <v>26774</v>
      </c>
      <c r="U141" s="68" t="s">
        <v>26570</v>
      </c>
      <c r="V141" s="68" t="s">
        <v>26573</v>
      </c>
      <c r="W141" s="68" t="s">
        <v>94</v>
      </c>
      <c r="X141" s="68">
        <v>5205</v>
      </c>
      <c r="Y141" s="33"/>
      <c r="Z141" s="68" t="s">
        <v>42967</v>
      </c>
      <c r="AA141" s="33">
        <v>7532</v>
      </c>
      <c r="AD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row>
    <row r="142" spans="1:66" s="1" customFormat="1" ht="13" customHeight="1" x14ac:dyDescent="0.15">
      <c r="A142" s="10" t="s">
        <v>38797</v>
      </c>
      <c r="B142" s="99">
        <v>38</v>
      </c>
      <c r="C142" s="10" t="s">
        <v>14</v>
      </c>
      <c r="D142" s="10" t="s">
        <v>42</v>
      </c>
      <c r="E142" s="64" t="s">
        <v>38798</v>
      </c>
      <c r="F142" s="67">
        <v>43788</v>
      </c>
      <c r="G142" s="10" t="s">
        <v>38799</v>
      </c>
      <c r="H142" s="10" t="s">
        <v>38800</v>
      </c>
      <c r="I142" s="10" t="s">
        <v>409</v>
      </c>
      <c r="J142" s="65">
        <v>54216</v>
      </c>
      <c r="K142" s="10" t="s">
        <v>38800</v>
      </c>
      <c r="L142" s="10" t="s">
        <v>38801</v>
      </c>
      <c r="M142" s="10" t="s">
        <v>21</v>
      </c>
      <c r="N142" s="10" t="s">
        <v>38802</v>
      </c>
      <c r="O142" s="10" t="s">
        <v>372</v>
      </c>
      <c r="P142" s="1" t="s">
        <v>30089</v>
      </c>
      <c r="Q142" s="64" t="s">
        <v>38803</v>
      </c>
      <c r="R142" s="10" t="s">
        <v>94</v>
      </c>
      <c r="S142" s="63" t="s">
        <v>22</v>
      </c>
      <c r="T142" s="68" t="s">
        <v>26781</v>
      </c>
      <c r="U142" s="68" t="s">
        <v>26572</v>
      </c>
      <c r="V142" s="68">
        <v>0</v>
      </c>
      <c r="W142" s="68" t="s">
        <v>94</v>
      </c>
      <c r="X142" s="68">
        <v>5226</v>
      </c>
      <c r="Y142" s="33"/>
      <c r="Z142" s="68" t="s">
        <v>42967</v>
      </c>
      <c r="AA142" s="33">
        <v>7529</v>
      </c>
      <c r="AD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row>
    <row r="143" spans="1:66" s="1" customFormat="1" ht="13" customHeight="1" x14ac:dyDescent="0.15">
      <c r="A143" s="10" t="s">
        <v>38419</v>
      </c>
      <c r="B143" s="100">
        <v>26</v>
      </c>
      <c r="C143" s="10" t="s">
        <v>14</v>
      </c>
      <c r="D143" s="10" t="s">
        <v>31</v>
      </c>
      <c r="E143" s="10" t="s">
        <v>38420</v>
      </c>
      <c r="F143" s="67">
        <v>43787</v>
      </c>
      <c r="G143" s="10" t="s">
        <v>38421</v>
      </c>
      <c r="H143" s="10" t="s">
        <v>14479</v>
      </c>
      <c r="I143" s="10" t="s">
        <v>402</v>
      </c>
      <c r="J143" s="65">
        <v>64161</v>
      </c>
      <c r="K143" s="10" t="s">
        <v>3117</v>
      </c>
      <c r="L143" s="10" t="s">
        <v>3118</v>
      </c>
      <c r="M143" s="10" t="s">
        <v>21</v>
      </c>
      <c r="N143" s="10" t="s">
        <v>38422</v>
      </c>
      <c r="O143" s="10" t="s">
        <v>372</v>
      </c>
      <c r="P143" s="1" t="s">
        <v>30089</v>
      </c>
      <c r="Q143" s="64" t="s">
        <v>38423</v>
      </c>
      <c r="R143" s="10" t="s">
        <v>94</v>
      </c>
      <c r="S143" s="63" t="s">
        <v>22</v>
      </c>
      <c r="T143" s="68" t="s">
        <v>26781</v>
      </c>
      <c r="U143" s="68" t="s">
        <v>26572</v>
      </c>
      <c r="V143" s="68">
        <v>0</v>
      </c>
      <c r="W143" s="68" t="s">
        <v>94</v>
      </c>
      <c r="X143" s="68">
        <v>5201</v>
      </c>
      <c r="Y143" s="33"/>
      <c r="Z143" s="68" t="s">
        <v>42967</v>
      </c>
      <c r="AA143" s="33">
        <v>7526</v>
      </c>
      <c r="AD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row>
    <row r="144" spans="1:66" s="1" customFormat="1" ht="13" customHeight="1" x14ac:dyDescent="0.15">
      <c r="A144" s="10" t="s">
        <v>37678</v>
      </c>
      <c r="B144" s="100">
        <v>28</v>
      </c>
      <c r="C144" s="10" t="s">
        <v>14</v>
      </c>
      <c r="D144" s="10" t="s">
        <v>79</v>
      </c>
      <c r="E144" s="10" t="s">
        <v>37679</v>
      </c>
      <c r="F144" s="67">
        <v>43787</v>
      </c>
      <c r="G144" s="10" t="s">
        <v>37680</v>
      </c>
      <c r="H144" s="10" t="s">
        <v>1337</v>
      </c>
      <c r="I144" s="10" t="s">
        <v>282</v>
      </c>
      <c r="J144" s="65">
        <v>99344</v>
      </c>
      <c r="K144" s="10" t="s">
        <v>1203</v>
      </c>
      <c r="L144" s="10" t="s">
        <v>1204</v>
      </c>
      <c r="M144" s="10" t="s">
        <v>21</v>
      </c>
      <c r="N144" s="10" t="s">
        <v>37681</v>
      </c>
      <c r="O144" s="10" t="s">
        <v>372</v>
      </c>
      <c r="P144" s="1" t="s">
        <v>30089</v>
      </c>
      <c r="Q144" s="64" t="s">
        <v>37682</v>
      </c>
      <c r="R144" s="10" t="s">
        <v>94</v>
      </c>
      <c r="S144" s="63" t="s">
        <v>22</v>
      </c>
      <c r="T144" s="68" t="s">
        <v>26781</v>
      </c>
      <c r="U144" s="68" t="s">
        <v>26572</v>
      </c>
      <c r="V144" s="68" t="s">
        <v>26571</v>
      </c>
      <c r="W144" s="68" t="s">
        <v>94</v>
      </c>
      <c r="X144" s="68">
        <v>5194</v>
      </c>
      <c r="Y144" s="33"/>
      <c r="Z144" s="68" t="s">
        <v>42967</v>
      </c>
      <c r="AA144" s="33">
        <v>7525</v>
      </c>
      <c r="AD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row>
    <row r="145" spans="1:66" s="1" customFormat="1" ht="13" customHeight="1" x14ac:dyDescent="0.15">
      <c r="A145" s="10" t="s">
        <v>38410</v>
      </c>
      <c r="B145" s="100">
        <v>27</v>
      </c>
      <c r="C145" s="10" t="s">
        <v>14</v>
      </c>
      <c r="D145" s="10" t="s">
        <v>31</v>
      </c>
      <c r="E145" s="10" t="s">
        <v>38411</v>
      </c>
      <c r="F145" s="67">
        <v>43785</v>
      </c>
      <c r="G145" s="10" t="s">
        <v>38412</v>
      </c>
      <c r="H145" s="10" t="s">
        <v>1337</v>
      </c>
      <c r="I145" s="10" t="s">
        <v>112</v>
      </c>
      <c r="J145" s="65">
        <v>85201</v>
      </c>
      <c r="K145" s="10" t="s">
        <v>585</v>
      </c>
      <c r="L145" s="10" t="s">
        <v>1338</v>
      </c>
      <c r="M145" s="10" t="s">
        <v>21</v>
      </c>
      <c r="N145" s="10" t="s">
        <v>38413</v>
      </c>
      <c r="O145" s="10" t="s">
        <v>372</v>
      </c>
      <c r="P145" s="1" t="s">
        <v>30089</v>
      </c>
      <c r="Q145" s="64" t="s">
        <v>38414</v>
      </c>
      <c r="R145" s="10" t="s">
        <v>94</v>
      </c>
      <c r="S145" s="63" t="s">
        <v>22</v>
      </c>
      <c r="T145" s="68" t="s">
        <v>26781</v>
      </c>
      <c r="U145" s="68" t="s">
        <v>26572</v>
      </c>
      <c r="V145" s="68" t="s">
        <v>26573</v>
      </c>
      <c r="W145" s="68" t="s">
        <v>94</v>
      </c>
      <c r="X145" s="68">
        <v>5189</v>
      </c>
      <c r="Y145" s="33"/>
      <c r="Z145" s="68" t="s">
        <v>42968</v>
      </c>
      <c r="AA145" s="33">
        <v>7522</v>
      </c>
      <c r="AD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row>
    <row r="146" spans="1:66" s="1" customFormat="1" ht="13" customHeight="1" x14ac:dyDescent="0.15">
      <c r="A146" s="10" t="s">
        <v>40134</v>
      </c>
      <c r="B146" s="100">
        <v>41</v>
      </c>
      <c r="C146" s="10" t="s">
        <v>14</v>
      </c>
      <c r="D146" s="10" t="s">
        <v>31</v>
      </c>
      <c r="E146" s="10" t="s">
        <v>40135</v>
      </c>
      <c r="F146" s="67">
        <v>43785</v>
      </c>
      <c r="G146" s="10" t="s">
        <v>40136</v>
      </c>
      <c r="H146" s="10" t="s">
        <v>1935</v>
      </c>
      <c r="I146" s="10" t="s">
        <v>63</v>
      </c>
      <c r="J146" s="65">
        <v>44615</v>
      </c>
      <c r="K146" s="10" t="s">
        <v>1937</v>
      </c>
      <c r="L146" s="10" t="s">
        <v>3970</v>
      </c>
      <c r="M146" s="10" t="s">
        <v>21</v>
      </c>
      <c r="N146" s="10" t="s">
        <v>40137</v>
      </c>
      <c r="O146" s="10" t="s">
        <v>372</v>
      </c>
      <c r="P146" s="1" t="s">
        <v>30089</v>
      </c>
      <c r="Q146" s="64" t="s">
        <v>40138</v>
      </c>
      <c r="R146" s="10" t="s">
        <v>94</v>
      </c>
      <c r="S146" s="63" t="s">
        <v>12</v>
      </c>
      <c r="T146" s="68" t="s">
        <v>29705</v>
      </c>
      <c r="U146" s="68" t="s">
        <v>26572</v>
      </c>
      <c r="V146" s="68" t="s">
        <v>26574</v>
      </c>
      <c r="W146" s="68" t="s">
        <v>94</v>
      </c>
      <c r="X146" s="68">
        <v>5196</v>
      </c>
      <c r="Y146" s="33"/>
      <c r="Z146" s="68" t="s">
        <v>42967</v>
      </c>
      <c r="AA146" s="33">
        <v>7523</v>
      </c>
      <c r="AD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row>
    <row r="147" spans="1:66" s="1" customFormat="1" ht="13" customHeight="1" x14ac:dyDescent="0.15">
      <c r="A147" s="10" t="s">
        <v>3002</v>
      </c>
      <c r="B147" s="70"/>
      <c r="C147" s="10" t="s">
        <v>14</v>
      </c>
      <c r="D147" s="10" t="s">
        <v>24</v>
      </c>
      <c r="E147" s="10"/>
      <c r="F147" s="67">
        <v>43785</v>
      </c>
      <c r="G147" s="10" t="s">
        <v>40546</v>
      </c>
      <c r="H147" s="10" t="s">
        <v>10945</v>
      </c>
      <c r="I147" s="10" t="s">
        <v>39</v>
      </c>
      <c r="J147" s="65">
        <v>92530</v>
      </c>
      <c r="K147" s="10" t="s">
        <v>728</v>
      </c>
      <c r="L147" s="10" t="s">
        <v>729</v>
      </c>
      <c r="M147" s="10" t="s">
        <v>21</v>
      </c>
      <c r="N147" s="10" t="s">
        <v>40547</v>
      </c>
      <c r="O147" s="10" t="s">
        <v>372</v>
      </c>
      <c r="P147" s="1" t="s">
        <v>30089</v>
      </c>
      <c r="Q147" s="64" t="s">
        <v>40548</v>
      </c>
      <c r="R147" s="10" t="s">
        <v>94</v>
      </c>
      <c r="S147" s="63" t="s">
        <v>29</v>
      </c>
      <c r="T147" s="68" t="s">
        <v>26576</v>
      </c>
      <c r="U147" s="68" t="s">
        <v>26570</v>
      </c>
      <c r="V147" s="68" t="s">
        <v>26573</v>
      </c>
      <c r="W147" s="68" t="s">
        <v>94</v>
      </c>
      <c r="X147" s="68">
        <v>5188</v>
      </c>
      <c r="Y147" s="33"/>
      <c r="Z147" s="68" t="s">
        <v>42968</v>
      </c>
      <c r="AA147" s="33">
        <v>7524</v>
      </c>
      <c r="AD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row>
    <row r="148" spans="1:66" s="1" customFormat="1" ht="13" customHeight="1" x14ac:dyDescent="0.15">
      <c r="A148" s="10" t="s">
        <v>39101</v>
      </c>
      <c r="B148" s="100">
        <v>27</v>
      </c>
      <c r="C148" s="10" t="s">
        <v>14</v>
      </c>
      <c r="D148" s="10" t="s">
        <v>24</v>
      </c>
      <c r="E148" s="10"/>
      <c r="F148" s="67">
        <v>43784</v>
      </c>
      <c r="G148" s="10" t="s">
        <v>39102</v>
      </c>
      <c r="H148" s="10" t="s">
        <v>924</v>
      </c>
      <c r="I148" s="10" t="s">
        <v>63</v>
      </c>
      <c r="J148" s="65">
        <v>44120</v>
      </c>
      <c r="K148" s="10" t="s">
        <v>95</v>
      </c>
      <c r="L148" s="10" t="s">
        <v>29641</v>
      </c>
      <c r="M148" s="10" t="s">
        <v>21</v>
      </c>
      <c r="N148" s="10" t="s">
        <v>39103</v>
      </c>
      <c r="O148" s="10" t="s">
        <v>372</v>
      </c>
      <c r="P148" s="1" t="s">
        <v>30089</v>
      </c>
      <c r="Q148" s="64" t="s">
        <v>39104</v>
      </c>
      <c r="R148" s="10" t="s">
        <v>94</v>
      </c>
      <c r="S148" s="63" t="s">
        <v>22</v>
      </c>
      <c r="T148" s="68" t="s">
        <v>26781</v>
      </c>
      <c r="U148" s="68" t="s">
        <v>26570</v>
      </c>
      <c r="V148" s="68" t="s">
        <v>26574</v>
      </c>
      <c r="W148" s="68" t="s">
        <v>94</v>
      </c>
      <c r="X148" s="68">
        <v>5193</v>
      </c>
      <c r="Y148" s="33"/>
      <c r="Z148" s="68" t="s">
        <v>42966</v>
      </c>
      <c r="AA148" s="33">
        <v>7520</v>
      </c>
      <c r="AD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row>
    <row r="149" spans="1:66" s="1" customFormat="1" ht="13" customHeight="1" x14ac:dyDescent="0.15">
      <c r="A149" s="10" t="s">
        <v>3002</v>
      </c>
      <c r="B149" s="70"/>
      <c r="C149" s="10" t="s">
        <v>14</v>
      </c>
      <c r="D149" s="10" t="s">
        <v>24</v>
      </c>
      <c r="E149" s="10"/>
      <c r="F149" s="67">
        <v>43784</v>
      </c>
      <c r="G149" s="10" t="s">
        <v>39096</v>
      </c>
      <c r="H149" s="10" t="s">
        <v>39097</v>
      </c>
      <c r="I149" s="10" t="s">
        <v>40</v>
      </c>
      <c r="J149" s="65">
        <v>1581</v>
      </c>
      <c r="K149" s="10" t="s">
        <v>890</v>
      </c>
      <c r="L149" s="10" t="s">
        <v>39098</v>
      </c>
      <c r="M149" s="10" t="s">
        <v>21</v>
      </c>
      <c r="N149" s="10" t="s">
        <v>39099</v>
      </c>
      <c r="O149" s="10" t="s">
        <v>372</v>
      </c>
      <c r="P149" s="1" t="s">
        <v>30089</v>
      </c>
      <c r="Q149" s="64" t="s">
        <v>39100</v>
      </c>
      <c r="R149" s="10" t="s">
        <v>94</v>
      </c>
      <c r="S149" s="63" t="s">
        <v>22</v>
      </c>
      <c r="T149" s="68" t="s">
        <v>26781</v>
      </c>
      <c r="U149" s="68" t="s">
        <v>26570</v>
      </c>
      <c r="V149" s="68" t="s">
        <v>26573</v>
      </c>
      <c r="W149" s="68" t="s">
        <v>94</v>
      </c>
      <c r="X149" s="68">
        <v>5192</v>
      </c>
      <c r="Y149" s="33"/>
      <c r="Z149" s="68" t="s">
        <v>42968</v>
      </c>
      <c r="AA149" s="33">
        <v>7519</v>
      </c>
      <c r="AD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row>
    <row r="150" spans="1:66" s="1" customFormat="1" ht="13" customHeight="1" x14ac:dyDescent="0.15">
      <c r="A150" s="10" t="s">
        <v>39153</v>
      </c>
      <c r="B150" s="100">
        <v>33</v>
      </c>
      <c r="C150" s="10" t="s">
        <v>14</v>
      </c>
      <c r="D150" s="68" t="s">
        <v>79</v>
      </c>
      <c r="E150" s="10"/>
      <c r="F150" s="67">
        <v>43784</v>
      </c>
      <c r="G150" s="10" t="s">
        <v>39154</v>
      </c>
      <c r="H150" s="10" t="s">
        <v>3855</v>
      </c>
      <c r="I150" s="10" t="s">
        <v>338</v>
      </c>
      <c r="J150" s="65">
        <v>28202</v>
      </c>
      <c r="K150" s="10" t="s">
        <v>3857</v>
      </c>
      <c r="L150" s="10" t="s">
        <v>3858</v>
      </c>
      <c r="M150" s="10" t="s">
        <v>21</v>
      </c>
      <c r="N150" s="10" t="s">
        <v>39155</v>
      </c>
      <c r="O150" s="10" t="s">
        <v>372</v>
      </c>
      <c r="P150" s="1" t="s">
        <v>30089</v>
      </c>
      <c r="Q150" s="64" t="s">
        <v>39156</v>
      </c>
      <c r="R150" s="10" t="s">
        <v>94</v>
      </c>
      <c r="S150" s="63" t="s">
        <v>22</v>
      </c>
      <c r="T150" s="68" t="s">
        <v>26781</v>
      </c>
      <c r="U150" s="68" t="s">
        <v>26572</v>
      </c>
      <c r="V150" s="68" t="s">
        <v>26573</v>
      </c>
      <c r="W150" s="68" t="s">
        <v>94</v>
      </c>
      <c r="X150" s="68">
        <v>5190</v>
      </c>
      <c r="Y150" s="33" t="s">
        <v>42476</v>
      </c>
      <c r="Z150" s="68" t="s">
        <v>42966</v>
      </c>
      <c r="AA150" s="33">
        <v>7521</v>
      </c>
      <c r="AD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row>
    <row r="151" spans="1:66" s="1" customFormat="1" ht="13" customHeight="1" x14ac:dyDescent="0.15">
      <c r="A151" s="10" t="s">
        <v>39840</v>
      </c>
      <c r="B151" s="100">
        <v>52</v>
      </c>
      <c r="C151" s="10" t="s">
        <v>14</v>
      </c>
      <c r="D151" s="10" t="s">
        <v>31</v>
      </c>
      <c r="E151" s="10" t="s">
        <v>39841</v>
      </c>
      <c r="F151" s="67">
        <v>43783</v>
      </c>
      <c r="G151" s="10" t="s">
        <v>39842</v>
      </c>
      <c r="H151" s="10" t="s">
        <v>8137</v>
      </c>
      <c r="I151" s="10" t="s">
        <v>67</v>
      </c>
      <c r="J151" s="65">
        <v>77703</v>
      </c>
      <c r="K151" s="10" t="s">
        <v>1659</v>
      </c>
      <c r="L151" s="10" t="s">
        <v>8139</v>
      </c>
      <c r="M151" s="10" t="s">
        <v>21</v>
      </c>
      <c r="N151" s="10" t="s">
        <v>39843</v>
      </c>
      <c r="O151" s="10" t="s">
        <v>372</v>
      </c>
      <c r="P151" s="1" t="s">
        <v>30089</v>
      </c>
      <c r="Q151" s="64" t="s">
        <v>39844</v>
      </c>
      <c r="R151" s="10" t="s">
        <v>94</v>
      </c>
      <c r="S151" s="63" t="s">
        <v>22</v>
      </c>
      <c r="T151" s="68" t="s">
        <v>26586</v>
      </c>
      <c r="U151" s="68" t="s">
        <v>26572</v>
      </c>
      <c r="V151" s="68" t="s">
        <v>26573</v>
      </c>
      <c r="W151" s="68" t="s">
        <v>94</v>
      </c>
      <c r="X151" s="68">
        <v>5204</v>
      </c>
      <c r="Y151" s="33"/>
      <c r="Z151" s="68" t="s">
        <v>42966</v>
      </c>
      <c r="AA151" s="33">
        <v>7518</v>
      </c>
      <c r="AD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row>
    <row r="152" spans="1:66" s="1" customFormat="1" ht="13" customHeight="1" x14ac:dyDescent="0.15">
      <c r="A152" s="10" t="s">
        <v>42020</v>
      </c>
      <c r="B152" s="99">
        <v>39</v>
      </c>
      <c r="C152" s="10" t="s">
        <v>14</v>
      </c>
      <c r="D152" s="10" t="s">
        <v>31</v>
      </c>
      <c r="E152" s="63"/>
      <c r="F152" s="67">
        <v>43783</v>
      </c>
      <c r="G152" s="10" t="s">
        <v>42021</v>
      </c>
      <c r="H152" s="10" t="s">
        <v>15131</v>
      </c>
      <c r="I152" s="10" t="s">
        <v>282</v>
      </c>
      <c r="J152" s="65">
        <v>98201</v>
      </c>
      <c r="K152" s="10" t="s">
        <v>2004</v>
      </c>
      <c r="L152" s="10" t="s">
        <v>21094</v>
      </c>
      <c r="M152" s="10" t="s">
        <v>363</v>
      </c>
      <c r="N152" s="10" t="s">
        <v>42022</v>
      </c>
      <c r="O152" s="10" t="s">
        <v>372</v>
      </c>
      <c r="P152" s="1" t="s">
        <v>30089</v>
      </c>
      <c r="Q152" s="64" t="s">
        <v>42023</v>
      </c>
      <c r="R152" s="10" t="s">
        <v>94</v>
      </c>
      <c r="S152" s="63" t="s">
        <v>22</v>
      </c>
      <c r="T152" s="34" t="s">
        <v>26781</v>
      </c>
      <c r="U152" s="34" t="s">
        <v>26572</v>
      </c>
      <c r="V152" s="68"/>
      <c r="W152" s="68"/>
      <c r="X152" s="68"/>
      <c r="Y152" s="33"/>
      <c r="Z152" s="68" t="s">
        <v>42966</v>
      </c>
      <c r="AA152" s="33">
        <v>7517</v>
      </c>
      <c r="AD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row>
    <row r="153" spans="1:66" s="1" customFormat="1" ht="13" customHeight="1" x14ac:dyDescent="0.15">
      <c r="A153" s="10" t="s">
        <v>41082</v>
      </c>
      <c r="B153" s="100">
        <v>35</v>
      </c>
      <c r="C153" s="10" t="s">
        <v>14</v>
      </c>
      <c r="D153" s="10" t="s">
        <v>31</v>
      </c>
      <c r="E153" s="10" t="s">
        <v>41083</v>
      </c>
      <c r="F153" s="67">
        <v>43783</v>
      </c>
      <c r="G153" s="10" t="s">
        <v>41084</v>
      </c>
      <c r="H153" s="10" t="s">
        <v>15566</v>
      </c>
      <c r="I153" s="10" t="s">
        <v>409</v>
      </c>
      <c r="J153" s="65">
        <v>54952</v>
      </c>
      <c r="K153" s="10" t="s">
        <v>2173</v>
      </c>
      <c r="L153" s="10" t="s">
        <v>41085</v>
      </c>
      <c r="M153" s="10" t="s">
        <v>21</v>
      </c>
      <c r="N153" s="10" t="s">
        <v>41086</v>
      </c>
      <c r="O153" s="10" t="s">
        <v>372</v>
      </c>
      <c r="P153" s="1" t="s">
        <v>30089</v>
      </c>
      <c r="Q153" s="64" t="s">
        <v>41087</v>
      </c>
      <c r="R153" s="10" t="s">
        <v>512</v>
      </c>
      <c r="S153" s="63" t="s">
        <v>22</v>
      </c>
      <c r="T153" s="68" t="s">
        <v>26781</v>
      </c>
      <c r="U153" s="68" t="s">
        <v>26570</v>
      </c>
      <c r="V153" s="68" t="s">
        <v>26573</v>
      </c>
      <c r="W153" s="68" t="s">
        <v>94</v>
      </c>
      <c r="X153" s="68">
        <v>5212</v>
      </c>
      <c r="Y153" s="33"/>
      <c r="Z153" s="68" t="s">
        <v>42968</v>
      </c>
      <c r="AA153" s="33">
        <v>7516</v>
      </c>
      <c r="AD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row>
    <row r="154" spans="1:66" s="1" customFormat="1" ht="13" customHeight="1" x14ac:dyDescent="0.15">
      <c r="A154" s="10" t="s">
        <v>39898</v>
      </c>
      <c r="B154" s="100">
        <v>37</v>
      </c>
      <c r="C154" s="10" t="s">
        <v>14</v>
      </c>
      <c r="D154" s="10" t="s">
        <v>42</v>
      </c>
      <c r="E154" s="10"/>
      <c r="F154" s="67">
        <v>43782</v>
      </c>
      <c r="G154" s="10" t="s">
        <v>39899</v>
      </c>
      <c r="H154" s="10" t="s">
        <v>92</v>
      </c>
      <c r="I154" s="10" t="s">
        <v>39</v>
      </c>
      <c r="J154" s="65">
        <v>90063</v>
      </c>
      <c r="K154" s="10" t="s">
        <v>92</v>
      </c>
      <c r="L154" s="10" t="s">
        <v>386</v>
      </c>
      <c r="M154" s="10" t="s">
        <v>21</v>
      </c>
      <c r="N154" s="10" t="s">
        <v>39900</v>
      </c>
      <c r="O154" s="10" t="s">
        <v>372</v>
      </c>
      <c r="P154" s="1" t="s">
        <v>30089</v>
      </c>
      <c r="Q154" s="64" t="s">
        <v>39901</v>
      </c>
      <c r="R154" s="10" t="s">
        <v>94</v>
      </c>
      <c r="S154" s="63" t="s">
        <v>22</v>
      </c>
      <c r="T154" s="68" t="s">
        <v>28239</v>
      </c>
      <c r="U154" s="68" t="s">
        <v>26570</v>
      </c>
      <c r="V154" s="68" t="s">
        <v>26574</v>
      </c>
      <c r="W154" s="68" t="s">
        <v>94</v>
      </c>
      <c r="X154" s="68">
        <v>5203</v>
      </c>
      <c r="Y154" s="33"/>
      <c r="Z154" s="68" t="s">
        <v>42966</v>
      </c>
      <c r="AA154" s="33">
        <v>7514</v>
      </c>
      <c r="AD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row>
    <row r="155" spans="1:66" s="1" customFormat="1" ht="13" customHeight="1" x14ac:dyDescent="0.15">
      <c r="A155" s="10" t="s">
        <v>41411</v>
      </c>
      <c r="B155" s="100">
        <v>47</v>
      </c>
      <c r="C155" s="10" t="s">
        <v>14</v>
      </c>
      <c r="D155" s="10" t="s">
        <v>31</v>
      </c>
      <c r="E155" s="10" t="s">
        <v>41412</v>
      </c>
      <c r="F155" s="67">
        <v>43782</v>
      </c>
      <c r="G155" s="10" t="s">
        <v>41413</v>
      </c>
      <c r="H155" s="10" t="s">
        <v>603</v>
      </c>
      <c r="I155" s="10" t="s">
        <v>56</v>
      </c>
      <c r="J155" s="65">
        <v>32257</v>
      </c>
      <c r="K155" s="10" t="s">
        <v>604</v>
      </c>
      <c r="L155" s="10" t="s">
        <v>605</v>
      </c>
      <c r="M155" s="10" t="s">
        <v>21</v>
      </c>
      <c r="N155" s="10" t="s">
        <v>41414</v>
      </c>
      <c r="O155" s="10" t="s">
        <v>372</v>
      </c>
      <c r="P155" s="1" t="s">
        <v>30089</v>
      </c>
      <c r="Q155" s="64" t="s">
        <v>41415</v>
      </c>
      <c r="R155" s="10" t="s">
        <v>512</v>
      </c>
      <c r="S155" s="63" t="s">
        <v>22</v>
      </c>
      <c r="T155" s="68" t="s">
        <v>26774</v>
      </c>
      <c r="U155" s="68" t="s">
        <v>26575</v>
      </c>
      <c r="V155" s="68" t="s">
        <v>26573</v>
      </c>
      <c r="W155" s="68" t="s">
        <v>512</v>
      </c>
      <c r="X155" s="68">
        <v>5197</v>
      </c>
      <c r="Y155" s="33"/>
      <c r="Z155" s="68" t="s">
        <v>42966</v>
      </c>
      <c r="AA155" s="33">
        <v>7513</v>
      </c>
      <c r="AD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row>
    <row r="156" spans="1:66" s="1" customFormat="1" ht="13" customHeight="1" x14ac:dyDescent="0.15">
      <c r="A156" s="10" t="s">
        <v>40257</v>
      </c>
      <c r="B156" s="100">
        <v>27</v>
      </c>
      <c r="C156" s="10" t="s">
        <v>14</v>
      </c>
      <c r="D156" s="10" t="s">
        <v>79</v>
      </c>
      <c r="E156" s="10" t="s">
        <v>40258</v>
      </c>
      <c r="F156" s="67">
        <v>43782</v>
      </c>
      <c r="G156" s="10" t="s">
        <v>40259</v>
      </c>
      <c r="H156" s="10" t="s">
        <v>13784</v>
      </c>
      <c r="I156" s="10" t="s">
        <v>338</v>
      </c>
      <c r="J156" s="65">
        <v>27893</v>
      </c>
      <c r="K156" s="10" t="s">
        <v>13784</v>
      </c>
      <c r="L156" s="10" t="s">
        <v>40260</v>
      </c>
      <c r="M156" s="10" t="s">
        <v>21</v>
      </c>
      <c r="N156" s="10" t="s">
        <v>40261</v>
      </c>
      <c r="O156" s="10" t="s">
        <v>372</v>
      </c>
      <c r="P156" s="1" t="s">
        <v>30089</v>
      </c>
      <c r="Q156" s="64" t="s">
        <v>40262</v>
      </c>
      <c r="R156" s="10" t="s">
        <v>512</v>
      </c>
      <c r="S156" s="63" t="s">
        <v>29</v>
      </c>
      <c r="T156" s="68" t="s">
        <v>26575</v>
      </c>
      <c r="U156" s="68" t="s">
        <v>26575</v>
      </c>
      <c r="V156" s="68" t="s">
        <v>26574</v>
      </c>
      <c r="W156" s="68" t="s">
        <v>94</v>
      </c>
      <c r="X156" s="68">
        <v>5195</v>
      </c>
      <c r="Y156" s="33"/>
      <c r="Z156" s="68" t="s">
        <v>42968</v>
      </c>
      <c r="AA156" s="33">
        <v>7515</v>
      </c>
      <c r="AD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row>
    <row r="157" spans="1:66" s="1" customFormat="1" ht="13" customHeight="1" x14ac:dyDescent="0.15">
      <c r="A157" s="10" t="s">
        <v>39287</v>
      </c>
      <c r="B157" s="100">
        <v>39</v>
      </c>
      <c r="C157" s="10" t="s">
        <v>14</v>
      </c>
      <c r="D157" s="68" t="s">
        <v>31</v>
      </c>
      <c r="E157" s="10" t="s">
        <v>39288</v>
      </c>
      <c r="F157" s="67">
        <v>43781</v>
      </c>
      <c r="G157" s="10" t="s">
        <v>39289</v>
      </c>
      <c r="H157" s="10" t="s">
        <v>39290</v>
      </c>
      <c r="I157" s="10" t="s">
        <v>367</v>
      </c>
      <c r="J157" s="65">
        <v>73099</v>
      </c>
      <c r="K157" s="10" t="s">
        <v>13579</v>
      </c>
      <c r="L157" s="10" t="s">
        <v>1029</v>
      </c>
      <c r="M157" s="10" t="s">
        <v>21</v>
      </c>
      <c r="N157" s="10" t="s">
        <v>39291</v>
      </c>
      <c r="O157" s="10" t="s">
        <v>372</v>
      </c>
      <c r="P157" s="1" t="s">
        <v>30089</v>
      </c>
      <c r="Q157" s="64" t="s">
        <v>39292</v>
      </c>
      <c r="R157" s="10" t="s">
        <v>94</v>
      </c>
      <c r="S157" s="63" t="s">
        <v>22</v>
      </c>
      <c r="T157" s="68" t="s">
        <v>26781</v>
      </c>
      <c r="U157" s="68" t="s">
        <v>26572</v>
      </c>
      <c r="V157" s="68">
        <v>0</v>
      </c>
      <c r="W157" s="68" t="s">
        <v>94</v>
      </c>
      <c r="X157" s="68">
        <v>5181</v>
      </c>
      <c r="Y157" s="33"/>
      <c r="Z157" s="68" t="s">
        <v>42968</v>
      </c>
      <c r="AA157" s="33">
        <v>7511</v>
      </c>
      <c r="AD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row>
    <row r="158" spans="1:66" s="1" customFormat="1" ht="13" customHeight="1" x14ac:dyDescent="0.15">
      <c r="A158" s="10" t="s">
        <v>39925</v>
      </c>
      <c r="B158" s="100">
        <v>30</v>
      </c>
      <c r="C158" s="10" t="s">
        <v>14</v>
      </c>
      <c r="D158" s="10" t="s">
        <v>885</v>
      </c>
      <c r="E158" s="10" t="s">
        <v>39926</v>
      </c>
      <c r="F158" s="67">
        <v>43781</v>
      </c>
      <c r="G158" s="10" t="s">
        <v>39927</v>
      </c>
      <c r="H158" s="10" t="s">
        <v>6748</v>
      </c>
      <c r="I158" s="10" t="s">
        <v>814</v>
      </c>
      <c r="J158" s="65">
        <v>96707</v>
      </c>
      <c r="K158" s="10" t="s">
        <v>2196</v>
      </c>
      <c r="L158" s="10" t="s">
        <v>3281</v>
      </c>
      <c r="M158" s="10" t="s">
        <v>21</v>
      </c>
      <c r="N158" s="10" t="s">
        <v>39928</v>
      </c>
      <c r="O158" s="10" t="s">
        <v>372</v>
      </c>
      <c r="P158" s="1" t="s">
        <v>30089</v>
      </c>
      <c r="Q158" s="64" t="s">
        <v>39929</v>
      </c>
      <c r="R158" s="10" t="s">
        <v>94</v>
      </c>
      <c r="S158" s="63" t="s">
        <v>22</v>
      </c>
      <c r="T158" s="68" t="s">
        <v>35257</v>
      </c>
      <c r="U158" s="68" t="s">
        <v>26570</v>
      </c>
      <c r="V158" s="68" t="s">
        <v>26573</v>
      </c>
      <c r="W158" s="68" t="s">
        <v>94</v>
      </c>
      <c r="X158" s="68">
        <v>5213</v>
      </c>
      <c r="Y158" s="33"/>
      <c r="Z158" s="68" t="s">
        <v>42968</v>
      </c>
      <c r="AA158" s="33">
        <v>7512</v>
      </c>
      <c r="AD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row>
    <row r="159" spans="1:66" s="1" customFormat="1" ht="13" customHeight="1" x14ac:dyDescent="0.15">
      <c r="A159" s="10" t="s">
        <v>39283</v>
      </c>
      <c r="B159" s="100">
        <v>22</v>
      </c>
      <c r="C159" s="10" t="s">
        <v>14</v>
      </c>
      <c r="D159" s="68" t="s">
        <v>31</v>
      </c>
      <c r="E159" s="10"/>
      <c r="F159" s="67">
        <v>43780</v>
      </c>
      <c r="G159" s="10" t="s">
        <v>39284</v>
      </c>
      <c r="H159" s="10" t="s">
        <v>1342</v>
      </c>
      <c r="I159" s="10" t="s">
        <v>192</v>
      </c>
      <c r="J159" s="65">
        <v>80232</v>
      </c>
      <c r="K159" s="10" t="s">
        <v>1659</v>
      </c>
      <c r="L159" s="10" t="s">
        <v>2530</v>
      </c>
      <c r="M159" s="10" t="s">
        <v>21</v>
      </c>
      <c r="N159" s="10" t="s">
        <v>39285</v>
      </c>
      <c r="O159" s="10" t="s">
        <v>372</v>
      </c>
      <c r="P159" s="1" t="s">
        <v>30089</v>
      </c>
      <c r="Q159" s="64" t="s">
        <v>39286</v>
      </c>
      <c r="R159" s="10" t="s">
        <v>94</v>
      </c>
      <c r="S159" s="63" t="s">
        <v>22</v>
      </c>
      <c r="T159" s="68" t="s">
        <v>26781</v>
      </c>
      <c r="U159" s="68" t="s">
        <v>26570</v>
      </c>
      <c r="V159" s="68" t="s">
        <v>26574</v>
      </c>
      <c r="W159" s="68" t="s">
        <v>94</v>
      </c>
      <c r="X159" s="68">
        <v>5180</v>
      </c>
      <c r="Y159" s="33"/>
      <c r="Z159" s="68" t="s">
        <v>42968</v>
      </c>
      <c r="AA159" s="33">
        <v>7509</v>
      </c>
      <c r="AD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row>
    <row r="160" spans="1:66" s="1" customFormat="1" ht="13" customHeight="1" x14ac:dyDescent="0.15">
      <c r="A160" s="10" t="s">
        <v>39082</v>
      </c>
      <c r="B160" s="100">
        <v>59</v>
      </c>
      <c r="C160" s="10" t="s">
        <v>103</v>
      </c>
      <c r="D160" s="10" t="s">
        <v>24</v>
      </c>
      <c r="E160" s="10"/>
      <c r="F160" s="67">
        <v>43780</v>
      </c>
      <c r="G160" s="10" t="s">
        <v>39083</v>
      </c>
      <c r="H160" s="10" t="s">
        <v>509</v>
      </c>
      <c r="I160" s="10" t="s">
        <v>192</v>
      </c>
      <c r="J160" s="65">
        <v>80538</v>
      </c>
      <c r="K160" s="10" t="s">
        <v>510</v>
      </c>
      <c r="L160" s="10" t="s">
        <v>511</v>
      </c>
      <c r="M160" s="10" t="s">
        <v>21</v>
      </c>
      <c r="N160" s="10" t="s">
        <v>39084</v>
      </c>
      <c r="O160" s="10" t="s">
        <v>372</v>
      </c>
      <c r="P160" s="1" t="s">
        <v>30089</v>
      </c>
      <c r="Q160" s="64" t="s">
        <v>39085</v>
      </c>
      <c r="R160" s="10" t="s">
        <v>94</v>
      </c>
      <c r="S160" s="63" t="s">
        <v>22</v>
      </c>
      <c r="T160" s="68" t="s">
        <v>26781</v>
      </c>
      <c r="U160" s="68" t="s">
        <v>26572</v>
      </c>
      <c r="V160" s="68" t="s">
        <v>26573</v>
      </c>
      <c r="W160" s="68" t="s">
        <v>94</v>
      </c>
      <c r="X160" s="68">
        <v>5182</v>
      </c>
      <c r="Y160" s="33"/>
      <c r="Z160" s="68" t="s">
        <v>42968</v>
      </c>
      <c r="AA160" s="33">
        <v>7507</v>
      </c>
      <c r="AD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row>
    <row r="161" spans="1:66" s="1" customFormat="1" ht="13" customHeight="1" x14ac:dyDescent="0.15">
      <c r="A161" s="10" t="s">
        <v>39086</v>
      </c>
      <c r="B161" s="100">
        <v>56</v>
      </c>
      <c r="C161" s="10" t="s">
        <v>14</v>
      </c>
      <c r="D161" s="10" t="s">
        <v>24</v>
      </c>
      <c r="E161" s="10"/>
      <c r="F161" s="67">
        <v>43780</v>
      </c>
      <c r="G161" s="10" t="s">
        <v>39087</v>
      </c>
      <c r="H161" s="10" t="s">
        <v>39088</v>
      </c>
      <c r="I161" s="10" t="s">
        <v>221</v>
      </c>
      <c r="J161" s="65">
        <v>84720</v>
      </c>
      <c r="K161" s="10" t="s">
        <v>1276</v>
      </c>
      <c r="L161" s="10" t="s">
        <v>39089</v>
      </c>
      <c r="M161" s="10" t="s">
        <v>21</v>
      </c>
      <c r="N161" s="10" t="s">
        <v>39090</v>
      </c>
      <c r="O161" s="10" t="s">
        <v>372</v>
      </c>
      <c r="P161" s="1" t="s">
        <v>30089</v>
      </c>
      <c r="Q161" s="64" t="s">
        <v>39091</v>
      </c>
      <c r="R161" s="10" t="s">
        <v>512</v>
      </c>
      <c r="S161" s="63" t="s">
        <v>22</v>
      </c>
      <c r="T161" s="68" t="s">
        <v>26781</v>
      </c>
      <c r="U161" s="68" t="s">
        <v>26572</v>
      </c>
      <c r="V161" s="68" t="s">
        <v>26573</v>
      </c>
      <c r="W161" s="68" t="s">
        <v>94</v>
      </c>
      <c r="X161" s="68">
        <v>5183</v>
      </c>
      <c r="Y161" s="33"/>
      <c r="Z161" s="68" t="s">
        <v>42968</v>
      </c>
      <c r="AA161" s="33">
        <v>7508</v>
      </c>
      <c r="AD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row>
    <row r="162" spans="1:66" s="1" customFormat="1" ht="13" customHeight="1" x14ac:dyDescent="0.15">
      <c r="A162" s="10" t="s">
        <v>40725</v>
      </c>
      <c r="B162" s="100">
        <v>20</v>
      </c>
      <c r="C162" s="10" t="s">
        <v>103</v>
      </c>
      <c r="D162" s="10" t="s">
        <v>31</v>
      </c>
      <c r="E162" s="10" t="s">
        <v>40726</v>
      </c>
      <c r="F162" s="67">
        <v>43780</v>
      </c>
      <c r="G162" s="10" t="s">
        <v>40727</v>
      </c>
      <c r="H162" s="10" t="s">
        <v>3692</v>
      </c>
      <c r="I162" s="10" t="s">
        <v>56</v>
      </c>
      <c r="J162" s="65">
        <v>33810</v>
      </c>
      <c r="K162" s="10" t="s">
        <v>1736</v>
      </c>
      <c r="L162" s="10" t="s">
        <v>238</v>
      </c>
      <c r="M162" s="10" t="s">
        <v>21</v>
      </c>
      <c r="N162" s="10" t="s">
        <v>40728</v>
      </c>
      <c r="O162" s="10" t="s">
        <v>372</v>
      </c>
      <c r="P162" s="1" t="s">
        <v>30089</v>
      </c>
      <c r="Q162" s="64" t="s">
        <v>40729</v>
      </c>
      <c r="R162" s="10" t="s">
        <v>94</v>
      </c>
      <c r="S162" s="63" t="s">
        <v>351</v>
      </c>
      <c r="T162" s="68" t="s">
        <v>26867</v>
      </c>
      <c r="U162" s="68" t="s">
        <v>26572</v>
      </c>
      <c r="V162" s="68" t="s">
        <v>26573</v>
      </c>
      <c r="W162" s="68" t="s">
        <v>94</v>
      </c>
      <c r="X162" s="68">
        <v>5184</v>
      </c>
      <c r="Y162" s="33"/>
      <c r="Z162" s="68" t="s">
        <v>42968</v>
      </c>
      <c r="AA162" s="33">
        <v>7510</v>
      </c>
      <c r="AD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row>
    <row r="163" spans="1:66" s="1" customFormat="1" ht="13" customHeight="1" x14ac:dyDescent="0.15">
      <c r="A163" s="10" t="s">
        <v>42430</v>
      </c>
      <c r="B163" s="99">
        <v>38</v>
      </c>
      <c r="C163" s="10" t="s">
        <v>14</v>
      </c>
      <c r="D163" s="10" t="s">
        <v>79</v>
      </c>
      <c r="E163" s="64" t="s">
        <v>42431</v>
      </c>
      <c r="F163" s="67">
        <v>43779</v>
      </c>
      <c r="G163" s="10" t="s">
        <v>42432</v>
      </c>
      <c r="H163" s="10" t="s">
        <v>3143</v>
      </c>
      <c r="I163" s="10" t="s">
        <v>39</v>
      </c>
      <c r="J163" s="65">
        <v>94589</v>
      </c>
      <c r="K163" s="10" t="s">
        <v>3145</v>
      </c>
      <c r="L163" s="10" t="s">
        <v>819</v>
      </c>
      <c r="M163" s="10" t="s">
        <v>21</v>
      </c>
      <c r="N163" s="10" t="s">
        <v>42433</v>
      </c>
      <c r="O163" s="10" t="s">
        <v>372</v>
      </c>
      <c r="P163" s="1" t="s">
        <v>30089</v>
      </c>
      <c r="Q163" s="64" t="s">
        <v>42434</v>
      </c>
      <c r="R163" s="10" t="s">
        <v>94</v>
      </c>
      <c r="S163" s="63" t="s">
        <v>12</v>
      </c>
      <c r="T163" s="54" t="s">
        <v>29705</v>
      </c>
      <c r="U163" s="68"/>
      <c r="V163" s="68"/>
      <c r="W163" s="68"/>
      <c r="X163" s="68"/>
      <c r="Y163" s="33" t="s">
        <v>42476</v>
      </c>
      <c r="Z163" s="1" t="s">
        <v>42968</v>
      </c>
      <c r="AA163" s="33">
        <v>7505</v>
      </c>
      <c r="AD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row>
    <row r="164" spans="1:66" s="1" customFormat="1" ht="13" customHeight="1" x14ac:dyDescent="0.15">
      <c r="A164" s="1" t="s">
        <v>42456</v>
      </c>
      <c r="B164" s="1">
        <v>26</v>
      </c>
      <c r="C164" s="1" t="s">
        <v>14</v>
      </c>
      <c r="D164" s="1" t="s">
        <v>31</v>
      </c>
      <c r="E164" s="1" t="s">
        <v>42457</v>
      </c>
      <c r="F164" s="67">
        <v>43779</v>
      </c>
      <c r="G164" s="1" t="s">
        <v>42458</v>
      </c>
      <c r="H164" s="1" t="s">
        <v>6316</v>
      </c>
      <c r="I164" s="1" t="s">
        <v>160</v>
      </c>
      <c r="J164" s="1">
        <v>30607</v>
      </c>
      <c r="K164" s="1" t="s">
        <v>1281</v>
      </c>
      <c r="L164" s="1" t="s">
        <v>6382</v>
      </c>
      <c r="M164" s="1" t="s">
        <v>21</v>
      </c>
      <c r="N164" s="1" t="s">
        <v>42459</v>
      </c>
      <c r="O164" s="1" t="s">
        <v>32706</v>
      </c>
      <c r="P164" s="1" t="s">
        <v>1084</v>
      </c>
      <c r="Q164" s="1" t="s">
        <v>42460</v>
      </c>
      <c r="R164" s="1" t="s">
        <v>94</v>
      </c>
      <c r="S164" s="63" t="s">
        <v>12</v>
      </c>
      <c r="T164" s="54" t="s">
        <v>29705</v>
      </c>
      <c r="U164" s="68"/>
      <c r="V164" s="68"/>
      <c r="W164" s="68"/>
      <c r="X164" s="68"/>
      <c r="Y164" s="33" t="s">
        <v>42476</v>
      </c>
      <c r="Z164" s="1" t="s">
        <v>42966</v>
      </c>
      <c r="AA164" s="33">
        <v>7506</v>
      </c>
      <c r="AD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row>
    <row r="165" spans="1:66" s="1" customFormat="1" ht="13" customHeight="1" x14ac:dyDescent="0.15">
      <c r="A165" s="1" t="s">
        <v>42450</v>
      </c>
      <c r="B165" s="1">
        <v>44</v>
      </c>
      <c r="C165" s="1" t="s">
        <v>14</v>
      </c>
      <c r="D165" s="1" t="s">
        <v>31</v>
      </c>
      <c r="E165" s="1" t="s">
        <v>42451</v>
      </c>
      <c r="F165" s="67">
        <v>43779</v>
      </c>
      <c r="G165" s="1" t="s">
        <v>42452</v>
      </c>
      <c r="H165" s="1" t="s">
        <v>42453</v>
      </c>
      <c r="I165" s="1" t="s">
        <v>56</v>
      </c>
      <c r="J165" s="1">
        <v>32561</v>
      </c>
      <c r="K165" s="1" t="s">
        <v>4991</v>
      </c>
      <c r="L165" s="1" t="s">
        <v>32381</v>
      </c>
      <c r="M165" s="1" t="s">
        <v>37107</v>
      </c>
      <c r="N165" s="1" t="s">
        <v>42454</v>
      </c>
      <c r="O165" s="1" t="s">
        <v>32706</v>
      </c>
      <c r="P165" s="1" t="s">
        <v>1084</v>
      </c>
      <c r="Q165" s="1" t="s">
        <v>42455</v>
      </c>
      <c r="R165" s="1" t="s">
        <v>23</v>
      </c>
      <c r="S165" s="63" t="s">
        <v>22</v>
      </c>
      <c r="T165" s="68" t="s">
        <v>26781</v>
      </c>
      <c r="U165" s="68"/>
      <c r="V165" s="68"/>
      <c r="W165" s="68"/>
      <c r="X165" s="68"/>
      <c r="Y165" s="33" t="s">
        <v>42476</v>
      </c>
      <c r="Z165" s="1" t="s">
        <v>42968</v>
      </c>
      <c r="AA165" s="33">
        <v>7504</v>
      </c>
      <c r="AD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row>
    <row r="166" spans="1:66" s="1" customFormat="1" ht="13" customHeight="1" x14ac:dyDescent="0.15">
      <c r="A166" s="10" t="s">
        <v>3002</v>
      </c>
      <c r="B166" s="99">
        <v>44</v>
      </c>
      <c r="C166" s="10" t="s">
        <v>14</v>
      </c>
      <c r="D166" s="10" t="s">
        <v>24</v>
      </c>
      <c r="E166" s="10"/>
      <c r="F166" s="67">
        <v>43778</v>
      </c>
      <c r="G166" s="10" t="s">
        <v>42224</v>
      </c>
      <c r="H166" s="10" t="s">
        <v>15131</v>
      </c>
      <c r="I166" s="10" t="s">
        <v>282</v>
      </c>
      <c r="J166" s="65">
        <v>98208</v>
      </c>
      <c r="K166" s="10" t="s">
        <v>2004</v>
      </c>
      <c r="L166" s="10" t="s">
        <v>2006</v>
      </c>
      <c r="M166" s="10" t="s">
        <v>21</v>
      </c>
      <c r="N166" s="10" t="s">
        <v>42225</v>
      </c>
      <c r="O166" s="10" t="s">
        <v>372</v>
      </c>
      <c r="P166" s="1" t="s">
        <v>30089</v>
      </c>
      <c r="Q166" s="64" t="s">
        <v>42226</v>
      </c>
      <c r="R166" s="10" t="s">
        <v>512</v>
      </c>
      <c r="S166" s="63" t="s">
        <v>22</v>
      </c>
      <c r="T166" s="34" t="s">
        <v>26774</v>
      </c>
      <c r="U166" s="34" t="s">
        <v>26570</v>
      </c>
      <c r="V166" s="68"/>
      <c r="W166" s="68"/>
      <c r="X166" s="68"/>
      <c r="Y166" s="33"/>
      <c r="Z166" s="68" t="s">
        <v>42968</v>
      </c>
      <c r="AA166" s="33">
        <v>7503</v>
      </c>
      <c r="AD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row>
    <row r="167" spans="1:66" ht="13" customHeight="1" x14ac:dyDescent="0.15">
      <c r="A167" s="63" t="s">
        <v>39092</v>
      </c>
      <c r="B167" s="101">
        <v>29</v>
      </c>
      <c r="C167" s="10" t="s">
        <v>14</v>
      </c>
      <c r="D167" s="10" t="s">
        <v>24</v>
      </c>
      <c r="E167" s="10"/>
      <c r="F167" s="67">
        <v>43778</v>
      </c>
      <c r="G167" s="10" t="s">
        <v>39093</v>
      </c>
      <c r="H167" s="10" t="s">
        <v>560</v>
      </c>
      <c r="I167" s="10" t="s">
        <v>39</v>
      </c>
      <c r="J167" s="65">
        <v>95008</v>
      </c>
      <c r="K167" s="10" t="s">
        <v>561</v>
      </c>
      <c r="L167" s="10" t="s">
        <v>678</v>
      </c>
      <c r="M167" s="10" t="s">
        <v>21</v>
      </c>
      <c r="N167" s="10" t="s">
        <v>39094</v>
      </c>
      <c r="O167" s="10" t="s">
        <v>372</v>
      </c>
      <c r="P167" s="1" t="s">
        <v>30089</v>
      </c>
      <c r="Q167" s="64" t="s">
        <v>39095</v>
      </c>
      <c r="R167" s="10" t="s">
        <v>94</v>
      </c>
      <c r="S167" s="63" t="s">
        <v>22</v>
      </c>
      <c r="T167" s="68" t="s">
        <v>26781</v>
      </c>
      <c r="U167" s="68" t="s">
        <v>26570</v>
      </c>
      <c r="V167" s="68" t="s">
        <v>26573</v>
      </c>
      <c r="W167" s="68" t="s">
        <v>94</v>
      </c>
      <c r="X167" s="68">
        <v>5186</v>
      </c>
      <c r="Z167" s="68" t="s">
        <v>42966</v>
      </c>
      <c r="AA167" s="33">
        <v>7501</v>
      </c>
    </row>
    <row r="168" spans="1:66" ht="13" customHeight="1" x14ac:dyDescent="0.15">
      <c r="A168" s="10" t="s">
        <v>39773</v>
      </c>
      <c r="B168" s="99">
        <v>28</v>
      </c>
      <c r="C168" s="10" t="s">
        <v>14</v>
      </c>
      <c r="D168" s="10" t="s">
        <v>24</v>
      </c>
      <c r="E168" s="10"/>
      <c r="F168" s="67">
        <v>43778</v>
      </c>
      <c r="G168" s="10" t="s">
        <v>39774</v>
      </c>
      <c r="H168" s="10" t="s">
        <v>622</v>
      </c>
      <c r="I168" s="10" t="s">
        <v>26</v>
      </c>
      <c r="J168" s="65">
        <v>29379</v>
      </c>
      <c r="K168" s="10" t="s">
        <v>622</v>
      </c>
      <c r="L168" s="10" t="s">
        <v>4611</v>
      </c>
      <c r="M168" s="10" t="s">
        <v>21</v>
      </c>
      <c r="N168" s="10" t="s">
        <v>39775</v>
      </c>
      <c r="O168" s="10" t="s">
        <v>372</v>
      </c>
      <c r="P168" s="1" t="s">
        <v>30089</v>
      </c>
      <c r="Q168" s="64" t="s">
        <v>39776</v>
      </c>
      <c r="R168" s="10" t="s">
        <v>94</v>
      </c>
      <c r="S168" s="63" t="s">
        <v>22</v>
      </c>
      <c r="T168" s="68" t="s">
        <v>26774</v>
      </c>
      <c r="U168" s="68" t="s">
        <v>26570</v>
      </c>
      <c r="V168" s="68" t="s">
        <v>26573</v>
      </c>
      <c r="W168" s="68" t="s">
        <v>94</v>
      </c>
      <c r="X168" s="68">
        <v>5187</v>
      </c>
      <c r="Z168" s="68" t="s">
        <v>42967</v>
      </c>
      <c r="AA168" s="33">
        <v>7502</v>
      </c>
    </row>
    <row r="169" spans="1:66" ht="13" customHeight="1" x14ac:dyDescent="0.15">
      <c r="A169" s="10" t="s">
        <v>41287</v>
      </c>
      <c r="B169" s="99">
        <v>38</v>
      </c>
      <c r="C169" s="10" t="s">
        <v>14</v>
      </c>
      <c r="D169" s="68" t="s">
        <v>31</v>
      </c>
      <c r="E169" s="10"/>
      <c r="F169" s="67">
        <v>43777</v>
      </c>
      <c r="G169" s="10" t="s">
        <v>41288</v>
      </c>
      <c r="H169" s="10" t="s">
        <v>9806</v>
      </c>
      <c r="I169" s="10" t="s">
        <v>338</v>
      </c>
      <c r="J169" s="65">
        <v>28092</v>
      </c>
      <c r="K169" s="10" t="s">
        <v>2159</v>
      </c>
      <c r="L169" s="10" t="s">
        <v>9808</v>
      </c>
      <c r="M169" s="10" t="s">
        <v>21</v>
      </c>
      <c r="N169" s="10" t="s">
        <v>41289</v>
      </c>
      <c r="O169" s="10" t="s">
        <v>372</v>
      </c>
      <c r="P169" s="1" t="s">
        <v>30089</v>
      </c>
      <c r="Q169" s="64" t="s">
        <v>41290</v>
      </c>
      <c r="R169" s="10" t="s">
        <v>512</v>
      </c>
      <c r="S169" s="63" t="s">
        <v>22</v>
      </c>
      <c r="T169" s="68" t="s">
        <v>26781</v>
      </c>
      <c r="U169" s="68" t="s">
        <v>26572</v>
      </c>
      <c r="V169" s="68" t="s">
        <v>26573</v>
      </c>
      <c r="W169" s="68" t="s">
        <v>94</v>
      </c>
      <c r="X169" s="68">
        <v>5185</v>
      </c>
      <c r="Z169" s="68" t="s">
        <v>42968</v>
      </c>
      <c r="AA169" s="33">
        <v>7500</v>
      </c>
    </row>
    <row r="170" spans="1:66" ht="13" customHeight="1" x14ac:dyDescent="0.15">
      <c r="A170" s="10" t="s">
        <v>39075</v>
      </c>
      <c r="B170" s="99">
        <v>66</v>
      </c>
      <c r="C170" s="10" t="s">
        <v>14</v>
      </c>
      <c r="D170" s="10" t="s">
        <v>24</v>
      </c>
      <c r="E170" s="10"/>
      <c r="F170" s="67">
        <v>43776</v>
      </c>
      <c r="G170" s="10" t="s">
        <v>39076</v>
      </c>
      <c r="H170" s="10" t="s">
        <v>39077</v>
      </c>
      <c r="I170" s="10" t="s">
        <v>160</v>
      </c>
      <c r="J170" s="65">
        <v>30012</v>
      </c>
      <c r="K170" s="10" t="s">
        <v>39078</v>
      </c>
      <c r="L170" s="10" t="s">
        <v>39079</v>
      </c>
      <c r="M170" s="10" t="s">
        <v>21</v>
      </c>
      <c r="N170" s="10" t="s">
        <v>39080</v>
      </c>
      <c r="O170" s="10" t="s">
        <v>372</v>
      </c>
      <c r="P170" s="1" t="s">
        <v>30089</v>
      </c>
      <c r="Q170" s="64" t="s">
        <v>39081</v>
      </c>
      <c r="R170" s="10" t="s">
        <v>94</v>
      </c>
      <c r="S170" s="63" t="s">
        <v>22</v>
      </c>
      <c r="T170" s="68" t="s">
        <v>26781</v>
      </c>
      <c r="U170" s="68" t="s">
        <v>26572</v>
      </c>
      <c r="V170" s="68" t="s">
        <v>26573</v>
      </c>
      <c r="W170" s="68" t="s">
        <v>94</v>
      </c>
      <c r="X170" s="68">
        <v>5178</v>
      </c>
      <c r="Z170" s="68" t="s">
        <v>42968</v>
      </c>
      <c r="AA170" s="33">
        <v>7499</v>
      </c>
    </row>
    <row r="171" spans="1:66" ht="13" customHeight="1" x14ac:dyDescent="0.15">
      <c r="A171" s="10" t="s">
        <v>39947</v>
      </c>
      <c r="B171" s="99">
        <v>26</v>
      </c>
      <c r="C171" s="10" t="s">
        <v>14</v>
      </c>
      <c r="D171" s="10" t="s">
        <v>31</v>
      </c>
      <c r="E171" s="64" t="s">
        <v>39948</v>
      </c>
      <c r="F171" s="67">
        <v>43776</v>
      </c>
      <c r="G171" s="10" t="s">
        <v>39949</v>
      </c>
      <c r="H171" s="10" t="s">
        <v>39950</v>
      </c>
      <c r="I171" s="10" t="s">
        <v>63</v>
      </c>
      <c r="J171" s="65">
        <v>44281</v>
      </c>
      <c r="K171" s="10" t="s">
        <v>11178</v>
      </c>
      <c r="L171" s="10" t="s">
        <v>39951</v>
      </c>
      <c r="M171" s="10" t="s">
        <v>21</v>
      </c>
      <c r="N171" s="10" t="s">
        <v>39952</v>
      </c>
      <c r="O171" s="10" t="s">
        <v>372</v>
      </c>
      <c r="P171" s="1" t="s">
        <v>30089</v>
      </c>
      <c r="Q171" s="64" t="s">
        <v>39953</v>
      </c>
      <c r="R171" s="10" t="s">
        <v>94</v>
      </c>
      <c r="S171" s="63" t="s">
        <v>12</v>
      </c>
      <c r="T171" s="68" t="s">
        <v>37135</v>
      </c>
      <c r="U171" s="68" t="s">
        <v>26572</v>
      </c>
      <c r="V171" s="68">
        <v>0</v>
      </c>
      <c r="W171" s="68" t="s">
        <v>94</v>
      </c>
      <c r="X171" s="68">
        <v>5176</v>
      </c>
      <c r="Z171" s="68" t="s">
        <v>42968</v>
      </c>
      <c r="AA171" s="33">
        <v>7496</v>
      </c>
    </row>
    <row r="172" spans="1:66" ht="13" customHeight="1" x14ac:dyDescent="0.15">
      <c r="A172" s="10" t="s">
        <v>38405</v>
      </c>
      <c r="B172" s="99">
        <v>37</v>
      </c>
      <c r="C172" s="10" t="s">
        <v>14</v>
      </c>
      <c r="D172" s="10" t="s">
        <v>31</v>
      </c>
      <c r="E172" s="64" t="s">
        <v>38406</v>
      </c>
      <c r="F172" s="67">
        <v>43776</v>
      </c>
      <c r="G172" s="10" t="s">
        <v>38407</v>
      </c>
      <c r="H172" s="10" t="s">
        <v>23057</v>
      </c>
      <c r="I172" s="10" t="s">
        <v>63</v>
      </c>
      <c r="J172" s="65">
        <v>44004</v>
      </c>
      <c r="K172" s="10" t="s">
        <v>23057</v>
      </c>
      <c r="L172" s="10" t="s">
        <v>23058</v>
      </c>
      <c r="M172" s="10" t="s">
        <v>21</v>
      </c>
      <c r="N172" s="10" t="s">
        <v>38408</v>
      </c>
      <c r="O172" s="10" t="s">
        <v>372</v>
      </c>
      <c r="P172" s="1" t="s">
        <v>30089</v>
      </c>
      <c r="Q172" s="64" t="s">
        <v>38409</v>
      </c>
      <c r="R172" s="10" t="s">
        <v>94</v>
      </c>
      <c r="S172" s="63" t="s">
        <v>22</v>
      </c>
      <c r="T172" s="68" t="s">
        <v>26781</v>
      </c>
      <c r="U172" s="68" t="s">
        <v>26570</v>
      </c>
      <c r="V172" s="68" t="s">
        <v>26573</v>
      </c>
      <c r="W172" s="68" t="s">
        <v>94</v>
      </c>
      <c r="X172" s="68">
        <v>5179</v>
      </c>
      <c r="Z172" s="68" t="s">
        <v>42966</v>
      </c>
      <c r="AA172" s="33">
        <v>7498</v>
      </c>
    </row>
    <row r="173" spans="1:66" ht="13" customHeight="1" x14ac:dyDescent="0.15">
      <c r="A173" s="10" t="s">
        <v>37673</v>
      </c>
      <c r="B173" s="99">
        <v>32</v>
      </c>
      <c r="C173" s="10" t="s">
        <v>14</v>
      </c>
      <c r="D173" s="10" t="s">
        <v>79</v>
      </c>
      <c r="E173" s="64" t="s">
        <v>37674</v>
      </c>
      <c r="F173" s="67">
        <v>43776</v>
      </c>
      <c r="G173" s="10" t="s">
        <v>37675</v>
      </c>
      <c r="H173" s="10" t="s">
        <v>834</v>
      </c>
      <c r="I173" s="10" t="s">
        <v>294</v>
      </c>
      <c r="J173" s="65">
        <v>40212</v>
      </c>
      <c r="K173" s="10" t="s">
        <v>1659</v>
      </c>
      <c r="L173" s="10" t="s">
        <v>835</v>
      </c>
      <c r="M173" s="10" t="s">
        <v>21</v>
      </c>
      <c r="N173" s="10" t="s">
        <v>37676</v>
      </c>
      <c r="O173" s="10" t="s">
        <v>372</v>
      </c>
      <c r="P173" s="1" t="s">
        <v>30089</v>
      </c>
      <c r="Q173" s="64" t="s">
        <v>37677</v>
      </c>
      <c r="R173" s="10" t="s">
        <v>94</v>
      </c>
      <c r="S173" s="63" t="s">
        <v>22</v>
      </c>
      <c r="T173" s="68" t="s">
        <v>26781</v>
      </c>
      <c r="U173" s="68" t="s">
        <v>26572</v>
      </c>
      <c r="V173" s="68">
        <v>0</v>
      </c>
      <c r="W173" s="68" t="s">
        <v>94</v>
      </c>
      <c r="X173" s="68">
        <v>5177</v>
      </c>
      <c r="Z173" s="68" t="s">
        <v>42966</v>
      </c>
      <c r="AA173" s="33">
        <v>7497</v>
      </c>
    </row>
    <row r="174" spans="1:66" ht="13" customHeight="1" x14ac:dyDescent="0.15">
      <c r="A174" s="10" t="s">
        <v>38780</v>
      </c>
      <c r="B174" s="99">
        <v>34</v>
      </c>
      <c r="C174" s="10" t="s">
        <v>14</v>
      </c>
      <c r="D174" s="10" t="s">
        <v>42</v>
      </c>
      <c r="E174" s="64" t="s">
        <v>38781</v>
      </c>
      <c r="F174" s="67">
        <v>43775</v>
      </c>
      <c r="G174" s="10" t="s">
        <v>38782</v>
      </c>
      <c r="H174" s="10" t="s">
        <v>532</v>
      </c>
      <c r="I174" s="10" t="s">
        <v>67</v>
      </c>
      <c r="J174" s="65">
        <v>78227</v>
      </c>
      <c r="K174" s="10" t="s">
        <v>533</v>
      </c>
      <c r="L174" s="10" t="s">
        <v>534</v>
      </c>
      <c r="M174" s="10" t="s">
        <v>21</v>
      </c>
      <c r="N174" s="10" t="s">
        <v>38783</v>
      </c>
      <c r="O174" s="10" t="s">
        <v>372</v>
      </c>
      <c r="P174" s="1" t="s">
        <v>30089</v>
      </c>
      <c r="Q174" s="64" t="s">
        <v>38784</v>
      </c>
      <c r="R174" s="10" t="s">
        <v>94</v>
      </c>
      <c r="S174" s="63" t="s">
        <v>22</v>
      </c>
      <c r="T174" s="68" t="s">
        <v>26781</v>
      </c>
      <c r="U174" s="68" t="s">
        <v>26570</v>
      </c>
      <c r="V174" s="68">
        <v>0</v>
      </c>
      <c r="W174" s="68" t="s">
        <v>94</v>
      </c>
      <c r="X174" s="68">
        <v>5166</v>
      </c>
      <c r="Z174" s="68" t="s">
        <v>42968</v>
      </c>
      <c r="AA174" s="33">
        <v>7494</v>
      </c>
    </row>
    <row r="175" spans="1:66" ht="13" customHeight="1" x14ac:dyDescent="0.15">
      <c r="A175" s="10" t="s">
        <v>37659</v>
      </c>
      <c r="B175" s="99">
        <v>37</v>
      </c>
      <c r="C175" s="10" t="s">
        <v>14</v>
      </c>
      <c r="D175" s="10" t="s">
        <v>79</v>
      </c>
      <c r="E175" s="64" t="s">
        <v>37660</v>
      </c>
      <c r="F175" s="67">
        <v>43775</v>
      </c>
      <c r="G175" s="10" t="s">
        <v>37661</v>
      </c>
      <c r="H175" s="10" t="s">
        <v>1468</v>
      </c>
      <c r="I175" s="10" t="s">
        <v>367</v>
      </c>
      <c r="J175" s="65">
        <v>74464</v>
      </c>
      <c r="K175" s="10" t="s">
        <v>1470</v>
      </c>
      <c r="L175" s="10" t="s">
        <v>27609</v>
      </c>
      <c r="M175" s="10" t="s">
        <v>21</v>
      </c>
      <c r="N175" s="10" t="s">
        <v>37662</v>
      </c>
      <c r="O175" s="10" t="s">
        <v>372</v>
      </c>
      <c r="P175" s="1" t="s">
        <v>30089</v>
      </c>
      <c r="Q175" s="64" t="s">
        <v>37663</v>
      </c>
      <c r="R175" s="10" t="s">
        <v>94</v>
      </c>
      <c r="S175" s="63" t="s">
        <v>22</v>
      </c>
      <c r="T175" s="68" t="s">
        <v>26781</v>
      </c>
      <c r="U175" s="68" t="s">
        <v>26572</v>
      </c>
      <c r="V175" s="68" t="s">
        <v>26573</v>
      </c>
      <c r="W175" s="68" t="s">
        <v>94</v>
      </c>
      <c r="X175" s="68">
        <v>5164</v>
      </c>
      <c r="Z175" s="68" t="s">
        <v>42967</v>
      </c>
      <c r="AA175" s="33">
        <v>7492</v>
      </c>
    </row>
    <row r="176" spans="1:66" ht="13" customHeight="1" x14ac:dyDescent="0.15">
      <c r="A176" s="10" t="s">
        <v>37668</v>
      </c>
      <c r="B176" s="99">
        <v>31</v>
      </c>
      <c r="C176" s="10" t="s">
        <v>14</v>
      </c>
      <c r="D176" s="10" t="s">
        <v>79</v>
      </c>
      <c r="E176" s="64" t="s">
        <v>37669</v>
      </c>
      <c r="F176" s="67">
        <v>43775</v>
      </c>
      <c r="G176" s="10" t="s">
        <v>37670</v>
      </c>
      <c r="H176" s="10" t="s">
        <v>5472</v>
      </c>
      <c r="I176" s="10" t="s">
        <v>338</v>
      </c>
      <c r="J176" s="65">
        <v>28304</v>
      </c>
      <c r="K176" s="10" t="s">
        <v>2907</v>
      </c>
      <c r="L176" s="10" t="s">
        <v>5474</v>
      </c>
      <c r="M176" s="10" t="s">
        <v>21</v>
      </c>
      <c r="N176" s="10" t="s">
        <v>37671</v>
      </c>
      <c r="O176" s="10" t="s">
        <v>372</v>
      </c>
      <c r="P176" s="1" t="s">
        <v>30089</v>
      </c>
      <c r="Q176" s="64" t="s">
        <v>37672</v>
      </c>
      <c r="R176" s="10" t="s">
        <v>94</v>
      </c>
      <c r="S176" s="63" t="s">
        <v>22</v>
      </c>
      <c r="T176" s="68" t="s">
        <v>26781</v>
      </c>
      <c r="U176" s="68" t="s">
        <v>26572</v>
      </c>
      <c r="V176" s="68" t="s">
        <v>26573</v>
      </c>
      <c r="W176" s="68" t="s">
        <v>94</v>
      </c>
      <c r="X176" s="68">
        <v>5170</v>
      </c>
      <c r="Z176" s="68" t="s">
        <v>42968</v>
      </c>
      <c r="AA176" s="33">
        <v>7493</v>
      </c>
    </row>
    <row r="177" spans="1:27" ht="13" customHeight="1" x14ac:dyDescent="0.15">
      <c r="A177" s="10" t="s">
        <v>40347</v>
      </c>
      <c r="B177" s="99">
        <v>20</v>
      </c>
      <c r="C177" s="10" t="s">
        <v>14</v>
      </c>
      <c r="D177" s="10" t="s">
        <v>31</v>
      </c>
      <c r="E177" s="10"/>
      <c r="F177" s="67">
        <v>43775</v>
      </c>
      <c r="G177" s="10" t="s">
        <v>40348</v>
      </c>
      <c r="H177" s="10" t="s">
        <v>6782</v>
      </c>
      <c r="I177" s="10" t="s">
        <v>367</v>
      </c>
      <c r="J177" s="65">
        <v>74437</v>
      </c>
      <c r="K177" s="10" t="s">
        <v>6784</v>
      </c>
      <c r="L177" s="10" t="s">
        <v>5161</v>
      </c>
      <c r="M177" s="10" t="s">
        <v>21</v>
      </c>
      <c r="N177" s="10" t="s">
        <v>40349</v>
      </c>
      <c r="O177" s="10" t="s">
        <v>372</v>
      </c>
      <c r="P177" s="1" t="s">
        <v>30089</v>
      </c>
      <c r="Q177" s="64" t="s">
        <v>40350</v>
      </c>
      <c r="R177" s="10" t="s">
        <v>94</v>
      </c>
      <c r="S177" s="63" t="s">
        <v>29</v>
      </c>
      <c r="T177" s="68" t="s">
        <v>26575</v>
      </c>
      <c r="U177" s="68" t="s">
        <v>26575</v>
      </c>
      <c r="V177" s="68">
        <v>0</v>
      </c>
      <c r="W177" s="68" t="s">
        <v>94</v>
      </c>
      <c r="X177" s="68">
        <v>5165</v>
      </c>
      <c r="Z177" s="68" t="s">
        <v>42967</v>
      </c>
      <c r="AA177" s="33">
        <v>7495</v>
      </c>
    </row>
    <row r="178" spans="1:27" ht="13" customHeight="1" x14ac:dyDescent="0.15">
      <c r="A178" s="10" t="s">
        <v>39806</v>
      </c>
      <c r="B178" s="99">
        <v>45</v>
      </c>
      <c r="C178" s="10" t="s">
        <v>14</v>
      </c>
      <c r="D178" s="68" t="s">
        <v>31</v>
      </c>
      <c r="E178" s="10"/>
      <c r="F178" s="67">
        <v>43774</v>
      </c>
      <c r="G178" s="10" t="s">
        <v>39807</v>
      </c>
      <c r="H178" s="10" t="s">
        <v>33211</v>
      </c>
      <c r="I178" s="10" t="s">
        <v>67</v>
      </c>
      <c r="J178" s="65">
        <v>77318</v>
      </c>
      <c r="K178" s="10" t="s">
        <v>995</v>
      </c>
      <c r="L178" s="10" t="s">
        <v>18546</v>
      </c>
      <c r="M178" s="10" t="s">
        <v>21</v>
      </c>
      <c r="N178" s="10" t="s">
        <v>39808</v>
      </c>
      <c r="O178" s="10" t="s">
        <v>372</v>
      </c>
      <c r="P178" s="1" t="s">
        <v>30089</v>
      </c>
      <c r="Q178" s="64" t="s">
        <v>39809</v>
      </c>
      <c r="R178" s="10" t="s">
        <v>94</v>
      </c>
      <c r="S178" s="63" t="s">
        <v>22</v>
      </c>
      <c r="T178" s="68" t="s">
        <v>26774</v>
      </c>
      <c r="U178" s="68" t="s">
        <v>26570</v>
      </c>
      <c r="V178" s="68" t="s">
        <v>26571</v>
      </c>
      <c r="W178" s="68" t="s">
        <v>94</v>
      </c>
      <c r="X178" s="68">
        <v>5171</v>
      </c>
      <c r="Z178" s="68" t="s">
        <v>42968</v>
      </c>
      <c r="AA178" s="33">
        <v>7491</v>
      </c>
    </row>
    <row r="179" spans="1:27" ht="13" customHeight="1" x14ac:dyDescent="0.15">
      <c r="A179" s="10" t="s">
        <v>37835</v>
      </c>
      <c r="B179" s="99">
        <v>32</v>
      </c>
      <c r="C179" s="10" t="s">
        <v>14</v>
      </c>
      <c r="D179" s="1" t="s">
        <v>15</v>
      </c>
      <c r="E179" s="10"/>
      <c r="F179" s="67">
        <v>43774</v>
      </c>
      <c r="G179" s="10" t="s">
        <v>37836</v>
      </c>
      <c r="H179" s="10" t="s">
        <v>11245</v>
      </c>
      <c r="I179" s="10" t="s">
        <v>409</v>
      </c>
      <c r="J179" s="65">
        <v>54656</v>
      </c>
      <c r="K179" s="10" t="s">
        <v>1037</v>
      </c>
      <c r="L179" s="10" t="s">
        <v>37837</v>
      </c>
      <c r="M179" s="10" t="s">
        <v>21</v>
      </c>
      <c r="N179" s="10" t="s">
        <v>37838</v>
      </c>
      <c r="O179" s="10" t="s">
        <v>372</v>
      </c>
      <c r="P179" s="1" t="s">
        <v>30089</v>
      </c>
      <c r="Q179" s="64" t="s">
        <v>37839</v>
      </c>
      <c r="R179" s="10" t="s">
        <v>94</v>
      </c>
      <c r="S179" s="63" t="s">
        <v>22</v>
      </c>
      <c r="T179" s="68" t="s">
        <v>26781</v>
      </c>
      <c r="U179" s="68" t="s">
        <v>26570</v>
      </c>
      <c r="V179" s="68" t="s">
        <v>26573</v>
      </c>
      <c r="W179" s="68" t="s">
        <v>94</v>
      </c>
      <c r="X179" s="68">
        <v>5169</v>
      </c>
      <c r="Z179" s="68" t="s">
        <v>42967</v>
      </c>
      <c r="AA179" s="33">
        <v>7489</v>
      </c>
    </row>
    <row r="180" spans="1:27" ht="13" customHeight="1" x14ac:dyDescent="0.15">
      <c r="A180" s="10" t="s">
        <v>39277</v>
      </c>
      <c r="B180" s="99">
        <v>58</v>
      </c>
      <c r="C180" s="10" t="s">
        <v>14</v>
      </c>
      <c r="D180" s="68" t="s">
        <v>31</v>
      </c>
      <c r="E180" s="10"/>
      <c r="F180" s="67">
        <v>43774</v>
      </c>
      <c r="G180" s="10" t="s">
        <v>39278</v>
      </c>
      <c r="H180" s="10" t="s">
        <v>39279</v>
      </c>
      <c r="I180" s="10" t="s">
        <v>402</v>
      </c>
      <c r="J180" s="65">
        <v>65337</v>
      </c>
      <c r="K180" s="10" t="s">
        <v>2037</v>
      </c>
      <c r="L180" s="10" t="s">
        <v>39280</v>
      </c>
      <c r="M180" s="10" t="s">
        <v>21</v>
      </c>
      <c r="N180" s="10" t="s">
        <v>39281</v>
      </c>
      <c r="O180" s="10" t="s">
        <v>372</v>
      </c>
      <c r="P180" s="1" t="s">
        <v>30089</v>
      </c>
      <c r="Q180" s="64" t="s">
        <v>39282</v>
      </c>
      <c r="R180" s="10" t="s">
        <v>904</v>
      </c>
      <c r="S180" s="63" t="s">
        <v>22</v>
      </c>
      <c r="T180" s="68" t="s">
        <v>26781</v>
      </c>
      <c r="U180" s="68" t="s">
        <v>26572</v>
      </c>
      <c r="V180" s="68" t="s">
        <v>26573</v>
      </c>
      <c r="W180" s="68" t="s">
        <v>94</v>
      </c>
      <c r="X180" s="68">
        <v>5168</v>
      </c>
      <c r="Z180" s="68" t="s">
        <v>42967</v>
      </c>
      <c r="AA180" s="33">
        <v>7490</v>
      </c>
    </row>
    <row r="181" spans="1:27" ht="13" customHeight="1" x14ac:dyDescent="0.15">
      <c r="A181" s="10" t="s">
        <v>37664</v>
      </c>
      <c r="B181" s="99">
        <v>48</v>
      </c>
      <c r="C181" s="10" t="s">
        <v>14</v>
      </c>
      <c r="D181" s="10" t="s">
        <v>79</v>
      </c>
      <c r="E181" s="10"/>
      <c r="F181" s="67">
        <v>43774</v>
      </c>
      <c r="G181" s="10" t="s">
        <v>37665</v>
      </c>
      <c r="H181" s="10" t="s">
        <v>924</v>
      </c>
      <c r="I181" s="10" t="s">
        <v>63</v>
      </c>
      <c r="J181" s="65">
        <v>44114</v>
      </c>
      <c r="K181" s="10" t="s">
        <v>95</v>
      </c>
      <c r="L181" s="10" t="s">
        <v>96</v>
      </c>
      <c r="M181" s="10" t="s">
        <v>21</v>
      </c>
      <c r="N181" s="10" t="s">
        <v>37666</v>
      </c>
      <c r="O181" s="10" t="s">
        <v>372</v>
      </c>
      <c r="P181" s="1" t="s">
        <v>30089</v>
      </c>
      <c r="Q181" s="64" t="s">
        <v>37667</v>
      </c>
      <c r="R181" s="10" t="s">
        <v>94</v>
      </c>
      <c r="S181" s="63" t="s">
        <v>22</v>
      </c>
      <c r="T181" s="68" t="s">
        <v>26781</v>
      </c>
      <c r="U181" s="68" t="s">
        <v>26572</v>
      </c>
      <c r="V181" s="68" t="s">
        <v>26573</v>
      </c>
      <c r="W181" s="68" t="s">
        <v>512</v>
      </c>
      <c r="X181" s="68">
        <v>5167</v>
      </c>
      <c r="Z181" s="68" t="s">
        <v>42966</v>
      </c>
      <c r="AA181" s="33">
        <v>7488</v>
      </c>
    </row>
    <row r="182" spans="1:27" ht="13" customHeight="1" x14ac:dyDescent="0.15">
      <c r="A182" s="10" t="s">
        <v>38398</v>
      </c>
      <c r="B182" s="99">
        <v>30</v>
      </c>
      <c r="C182" s="10" t="s">
        <v>14</v>
      </c>
      <c r="D182" s="10" t="s">
        <v>31</v>
      </c>
      <c r="E182" s="64" t="s">
        <v>38399</v>
      </c>
      <c r="F182" s="67">
        <v>43773</v>
      </c>
      <c r="G182" s="10" t="s">
        <v>38400</v>
      </c>
      <c r="H182" s="10" t="s">
        <v>38401</v>
      </c>
      <c r="I182" s="10" t="s">
        <v>409</v>
      </c>
      <c r="J182" s="65">
        <v>54241</v>
      </c>
      <c r="K182" s="10" t="s">
        <v>34004</v>
      </c>
      <c r="L182" s="10" t="s">
        <v>38402</v>
      </c>
      <c r="M182" s="10" t="s">
        <v>21</v>
      </c>
      <c r="N182" s="10" t="s">
        <v>38403</v>
      </c>
      <c r="O182" s="10" t="s">
        <v>372</v>
      </c>
      <c r="P182" s="1" t="s">
        <v>30089</v>
      </c>
      <c r="Q182" s="64" t="s">
        <v>38404</v>
      </c>
      <c r="R182" s="10" t="s">
        <v>94</v>
      </c>
      <c r="S182" s="63" t="s">
        <v>22</v>
      </c>
      <c r="T182" s="68" t="s">
        <v>26781</v>
      </c>
      <c r="U182" s="68" t="s">
        <v>26570</v>
      </c>
      <c r="V182" s="68" t="s">
        <v>26573</v>
      </c>
      <c r="W182" s="68" t="s">
        <v>94</v>
      </c>
      <c r="X182" s="68">
        <v>5175</v>
      </c>
      <c r="Z182" s="68" t="s">
        <v>42967</v>
      </c>
      <c r="AA182" s="33">
        <v>7484</v>
      </c>
    </row>
    <row r="183" spans="1:27" ht="13" customHeight="1" x14ac:dyDescent="0.15">
      <c r="A183" s="10" t="s">
        <v>38789</v>
      </c>
      <c r="B183" s="100">
        <v>21</v>
      </c>
      <c r="C183" s="10" t="s">
        <v>14</v>
      </c>
      <c r="D183" s="10" t="s">
        <v>42</v>
      </c>
      <c r="E183" s="10"/>
      <c r="F183" s="67">
        <v>43773</v>
      </c>
      <c r="G183" s="10" t="s">
        <v>38790</v>
      </c>
      <c r="H183" s="10" t="s">
        <v>911</v>
      </c>
      <c r="I183" s="10" t="s">
        <v>178</v>
      </c>
      <c r="J183" s="65">
        <v>88001</v>
      </c>
      <c r="K183" s="10" t="s">
        <v>912</v>
      </c>
      <c r="L183" s="10" t="s">
        <v>6512</v>
      </c>
      <c r="M183" s="10" t="s">
        <v>21</v>
      </c>
      <c r="N183" s="10" t="s">
        <v>38791</v>
      </c>
      <c r="O183" s="10" t="s">
        <v>372</v>
      </c>
      <c r="P183" s="1" t="s">
        <v>30089</v>
      </c>
      <c r="Q183" s="64" t="s">
        <v>38792</v>
      </c>
      <c r="R183" s="10" t="s">
        <v>94</v>
      </c>
      <c r="S183" s="63" t="s">
        <v>22</v>
      </c>
      <c r="T183" s="68" t="s">
        <v>26781</v>
      </c>
      <c r="U183" s="68" t="s">
        <v>26572</v>
      </c>
      <c r="V183" s="68">
        <v>0</v>
      </c>
      <c r="W183" s="68" t="s">
        <v>94</v>
      </c>
      <c r="X183" s="68">
        <v>5174</v>
      </c>
      <c r="Z183" s="68" t="s">
        <v>42968</v>
      </c>
      <c r="AA183" s="33">
        <v>7486</v>
      </c>
    </row>
    <row r="184" spans="1:27" ht="13" customHeight="1" x14ac:dyDescent="0.15">
      <c r="A184" s="10" t="s">
        <v>41506</v>
      </c>
      <c r="B184" s="99">
        <v>31</v>
      </c>
      <c r="C184" s="10" t="s">
        <v>14</v>
      </c>
      <c r="D184" s="10" t="s">
        <v>31</v>
      </c>
      <c r="E184" s="64" t="s">
        <v>41507</v>
      </c>
      <c r="F184" s="67">
        <v>43773</v>
      </c>
      <c r="G184" s="10" t="s">
        <v>41508</v>
      </c>
      <c r="H184" s="10" t="s">
        <v>3067</v>
      </c>
      <c r="I184" s="10" t="s">
        <v>112</v>
      </c>
      <c r="J184" s="65">
        <v>85302</v>
      </c>
      <c r="K184" s="10" t="s">
        <v>585</v>
      </c>
      <c r="L184" s="10" t="s">
        <v>3069</v>
      </c>
      <c r="M184" s="10" t="s">
        <v>21</v>
      </c>
      <c r="N184" s="10" t="s">
        <v>41509</v>
      </c>
      <c r="O184" s="10" t="s">
        <v>372</v>
      </c>
      <c r="P184" s="1" t="s">
        <v>30089</v>
      </c>
      <c r="Q184" s="64" t="s">
        <v>41510</v>
      </c>
      <c r="R184" s="10" t="s">
        <v>512</v>
      </c>
      <c r="S184" s="63" t="s">
        <v>22</v>
      </c>
      <c r="T184" s="68" t="s">
        <v>26578</v>
      </c>
      <c r="U184" s="68" t="s">
        <v>26572</v>
      </c>
      <c r="V184" s="68" t="s">
        <v>26573</v>
      </c>
      <c r="W184" s="68" t="s">
        <v>512</v>
      </c>
      <c r="X184" s="68">
        <v>5172</v>
      </c>
      <c r="Z184" s="68" t="s">
        <v>42966</v>
      </c>
      <c r="AA184" s="33">
        <v>7487</v>
      </c>
    </row>
    <row r="185" spans="1:27" ht="13" customHeight="1" x14ac:dyDescent="0.15">
      <c r="A185" s="10" t="s">
        <v>3002</v>
      </c>
      <c r="B185" s="70"/>
      <c r="C185" s="10" t="s">
        <v>14</v>
      </c>
      <c r="D185" s="10" t="s">
        <v>42</v>
      </c>
      <c r="E185" s="10"/>
      <c r="F185" s="67">
        <v>43773</v>
      </c>
      <c r="G185" s="10" t="s">
        <v>38537</v>
      </c>
      <c r="H185" s="10" t="s">
        <v>38538</v>
      </c>
      <c r="I185" s="10" t="s">
        <v>178</v>
      </c>
      <c r="J185" s="65">
        <v>88063</v>
      </c>
      <c r="K185" s="10" t="s">
        <v>912</v>
      </c>
      <c r="L185" s="10" t="s">
        <v>4359</v>
      </c>
      <c r="M185" s="10" t="s">
        <v>21</v>
      </c>
      <c r="N185" s="10" t="s">
        <v>38539</v>
      </c>
      <c r="O185" s="10" t="s">
        <v>372</v>
      </c>
      <c r="P185" s="1" t="s">
        <v>30089</v>
      </c>
      <c r="Q185" s="64" t="s">
        <v>38540</v>
      </c>
      <c r="R185" s="10" t="s">
        <v>94</v>
      </c>
      <c r="S185" s="63" t="s">
        <v>22</v>
      </c>
      <c r="T185" s="68" t="s">
        <v>26781</v>
      </c>
      <c r="U185" s="68" t="s">
        <v>26572</v>
      </c>
      <c r="V185" s="68" t="s">
        <v>26574</v>
      </c>
      <c r="W185" s="68" t="s">
        <v>94</v>
      </c>
      <c r="X185" s="68">
        <v>5151</v>
      </c>
      <c r="Z185" s="68" t="s">
        <v>42968</v>
      </c>
      <c r="AA185" s="33">
        <v>7485</v>
      </c>
    </row>
    <row r="186" spans="1:27" ht="13" customHeight="1" x14ac:dyDescent="0.15">
      <c r="A186" s="10" t="s">
        <v>37654</v>
      </c>
      <c r="B186" s="99">
        <v>32</v>
      </c>
      <c r="C186" s="10" t="s">
        <v>14</v>
      </c>
      <c r="D186" s="10" t="s">
        <v>79</v>
      </c>
      <c r="E186" s="64" t="s">
        <v>37655</v>
      </c>
      <c r="F186" s="67">
        <v>43772</v>
      </c>
      <c r="G186" s="10" t="s">
        <v>37656</v>
      </c>
      <c r="H186" s="10" t="s">
        <v>584</v>
      </c>
      <c r="I186" s="10" t="s">
        <v>112</v>
      </c>
      <c r="J186" s="65">
        <v>85040</v>
      </c>
      <c r="K186" s="10" t="s">
        <v>585</v>
      </c>
      <c r="L186" s="10" t="s">
        <v>586</v>
      </c>
      <c r="M186" s="10" t="s">
        <v>21</v>
      </c>
      <c r="N186" s="10" t="s">
        <v>37657</v>
      </c>
      <c r="O186" s="10" t="s">
        <v>372</v>
      </c>
      <c r="P186" s="1" t="s">
        <v>30089</v>
      </c>
      <c r="Q186" s="64" t="s">
        <v>37658</v>
      </c>
      <c r="R186" s="10" t="s">
        <v>94</v>
      </c>
      <c r="S186" s="63" t="s">
        <v>22</v>
      </c>
      <c r="T186" s="68" t="s">
        <v>26781</v>
      </c>
      <c r="U186" s="68" t="s">
        <v>26572</v>
      </c>
      <c r="V186" s="68" t="s">
        <v>26573</v>
      </c>
      <c r="W186" s="68" t="s">
        <v>94</v>
      </c>
      <c r="X186" s="68">
        <v>5154</v>
      </c>
      <c r="Z186" s="68" t="s">
        <v>42966</v>
      </c>
      <c r="AA186" s="33">
        <v>7482</v>
      </c>
    </row>
    <row r="187" spans="1:27" ht="13" customHeight="1" x14ac:dyDescent="0.15">
      <c r="A187" s="10" t="s">
        <v>41405</v>
      </c>
      <c r="B187" s="99">
        <v>56</v>
      </c>
      <c r="C187" s="10" t="s">
        <v>14</v>
      </c>
      <c r="D187" s="10" t="s">
        <v>31</v>
      </c>
      <c r="E187" s="64" t="s">
        <v>41406</v>
      </c>
      <c r="F187" s="67">
        <v>43772</v>
      </c>
      <c r="G187" s="10" t="s">
        <v>41407</v>
      </c>
      <c r="H187" s="10" t="s">
        <v>41408</v>
      </c>
      <c r="I187" s="10" t="s">
        <v>282</v>
      </c>
      <c r="J187" s="65">
        <v>98444</v>
      </c>
      <c r="K187" s="10" t="s">
        <v>827</v>
      </c>
      <c r="L187" s="10" t="s">
        <v>19834</v>
      </c>
      <c r="M187" s="10" t="s">
        <v>21</v>
      </c>
      <c r="N187" s="10" t="s">
        <v>41409</v>
      </c>
      <c r="O187" s="10" t="s">
        <v>372</v>
      </c>
      <c r="P187" s="1" t="s">
        <v>30089</v>
      </c>
      <c r="Q187" s="64" t="s">
        <v>41410</v>
      </c>
      <c r="R187" s="10" t="s">
        <v>512</v>
      </c>
      <c r="S187" s="63" t="s">
        <v>22</v>
      </c>
      <c r="T187" s="68" t="s">
        <v>26774</v>
      </c>
      <c r="U187" s="68" t="s">
        <v>26570</v>
      </c>
      <c r="V187" s="68" t="s">
        <v>26573</v>
      </c>
      <c r="W187" s="68" t="s">
        <v>512</v>
      </c>
      <c r="X187" s="68">
        <v>5153</v>
      </c>
      <c r="Z187" s="68" t="s">
        <v>42968</v>
      </c>
      <c r="AA187" s="33">
        <v>7483</v>
      </c>
    </row>
    <row r="188" spans="1:27" ht="13" customHeight="1" x14ac:dyDescent="0.15">
      <c r="A188" s="10" t="s">
        <v>40339</v>
      </c>
      <c r="B188" s="99">
        <v>42</v>
      </c>
      <c r="C188" s="10" t="s">
        <v>14</v>
      </c>
      <c r="D188" s="10" t="s">
        <v>31</v>
      </c>
      <c r="E188" s="64" t="s">
        <v>40340</v>
      </c>
      <c r="F188" s="67">
        <v>43771</v>
      </c>
      <c r="G188" s="10" t="s">
        <v>40341</v>
      </c>
      <c r="H188" s="10" t="s">
        <v>40342</v>
      </c>
      <c r="I188" s="10" t="s">
        <v>294</v>
      </c>
      <c r="J188" s="65">
        <v>42020</v>
      </c>
      <c r="K188" s="10" t="s">
        <v>40343</v>
      </c>
      <c r="L188" s="10" t="s">
        <v>40344</v>
      </c>
      <c r="M188" s="10" t="s">
        <v>21</v>
      </c>
      <c r="N188" s="10" t="s">
        <v>40345</v>
      </c>
      <c r="O188" s="10" t="s">
        <v>372</v>
      </c>
      <c r="P188" s="1" t="s">
        <v>30089</v>
      </c>
      <c r="Q188" s="64" t="s">
        <v>40346</v>
      </c>
      <c r="R188" s="10" t="s">
        <v>94</v>
      </c>
      <c r="S188" s="63" t="s">
        <v>29</v>
      </c>
      <c r="T188" s="68" t="s">
        <v>26575</v>
      </c>
      <c r="U188" s="68" t="s">
        <v>26572</v>
      </c>
      <c r="V188" s="68">
        <v>0</v>
      </c>
      <c r="W188" s="68" t="s">
        <v>94</v>
      </c>
      <c r="X188" s="68">
        <v>5157</v>
      </c>
      <c r="Z188" s="68" t="s">
        <v>42967</v>
      </c>
      <c r="AA188" s="33">
        <v>7481</v>
      </c>
    </row>
    <row r="189" spans="1:27" ht="13" customHeight="1" x14ac:dyDescent="0.15">
      <c r="A189" s="63" t="s">
        <v>37234</v>
      </c>
      <c r="B189" s="101">
        <v>38</v>
      </c>
      <c r="C189" s="10" t="s">
        <v>14</v>
      </c>
      <c r="D189" s="68" t="s">
        <v>42</v>
      </c>
      <c r="E189" s="10"/>
      <c r="F189" s="67">
        <v>43770</v>
      </c>
      <c r="G189" s="10" t="s">
        <v>37235</v>
      </c>
      <c r="H189" s="10" t="s">
        <v>936</v>
      </c>
      <c r="I189" s="10" t="s">
        <v>192</v>
      </c>
      <c r="J189" s="65">
        <v>80305</v>
      </c>
      <c r="K189" s="10" t="s">
        <v>936</v>
      </c>
      <c r="L189" s="10" t="s">
        <v>937</v>
      </c>
      <c r="M189" s="10" t="s">
        <v>21</v>
      </c>
      <c r="N189" s="10" t="s">
        <v>37236</v>
      </c>
      <c r="O189" s="10" t="s">
        <v>372</v>
      </c>
      <c r="P189" s="1" t="s">
        <v>30089</v>
      </c>
      <c r="Q189" s="64" t="s">
        <v>37237</v>
      </c>
      <c r="R189" s="10" t="s">
        <v>94</v>
      </c>
      <c r="S189" s="63" t="s">
        <v>22</v>
      </c>
      <c r="T189" s="68" t="s">
        <v>26612</v>
      </c>
      <c r="U189" s="68" t="s">
        <v>26572</v>
      </c>
      <c r="V189" s="68" t="s">
        <v>26573</v>
      </c>
      <c r="W189" s="68" t="s">
        <v>94</v>
      </c>
      <c r="X189" s="68">
        <v>5191</v>
      </c>
      <c r="Z189" s="68" t="s">
        <v>42968</v>
      </c>
      <c r="AA189" s="33">
        <v>7476</v>
      </c>
    </row>
    <row r="190" spans="1:27" ht="13" customHeight="1" x14ac:dyDescent="0.15">
      <c r="A190" s="10" t="s">
        <v>39893</v>
      </c>
      <c r="B190" s="99">
        <v>29</v>
      </c>
      <c r="C190" s="10" t="s">
        <v>14</v>
      </c>
      <c r="D190" s="10" t="s">
        <v>31</v>
      </c>
      <c r="E190" s="64" t="s">
        <v>39894</v>
      </c>
      <c r="F190" s="67">
        <v>43770</v>
      </c>
      <c r="G190" s="10" t="s">
        <v>39895</v>
      </c>
      <c r="H190" s="10" t="s">
        <v>1620</v>
      </c>
      <c r="I190" s="10" t="s">
        <v>56</v>
      </c>
      <c r="J190" s="65">
        <v>32968</v>
      </c>
      <c r="K190" s="10" t="s">
        <v>1621</v>
      </c>
      <c r="L190" s="10" t="s">
        <v>1622</v>
      </c>
      <c r="M190" s="10" t="s">
        <v>21</v>
      </c>
      <c r="N190" s="10" t="s">
        <v>39896</v>
      </c>
      <c r="O190" s="10" t="s">
        <v>372</v>
      </c>
      <c r="P190" s="1" t="s">
        <v>30089</v>
      </c>
      <c r="Q190" s="64" t="s">
        <v>39897</v>
      </c>
      <c r="R190" s="10" t="s">
        <v>904</v>
      </c>
      <c r="S190" s="63" t="s">
        <v>22</v>
      </c>
      <c r="T190" s="68" t="s">
        <v>28239</v>
      </c>
      <c r="U190" s="68" t="s">
        <v>26572</v>
      </c>
      <c r="V190" s="68" t="s">
        <v>26573</v>
      </c>
      <c r="W190" s="68" t="s">
        <v>94</v>
      </c>
      <c r="X190" s="68">
        <v>5155</v>
      </c>
      <c r="Z190" s="68" t="s">
        <v>42968</v>
      </c>
      <c r="AA190" s="33">
        <v>7479</v>
      </c>
    </row>
    <row r="191" spans="1:27" ht="13" customHeight="1" x14ac:dyDescent="0.15">
      <c r="A191" s="10" t="s">
        <v>40405</v>
      </c>
      <c r="B191" s="99">
        <v>41</v>
      </c>
      <c r="C191" s="10" t="s">
        <v>14</v>
      </c>
      <c r="D191" s="10" t="s">
        <v>42</v>
      </c>
      <c r="E191" s="10"/>
      <c r="F191" s="67">
        <v>43770</v>
      </c>
      <c r="G191" s="10" t="s">
        <v>40406</v>
      </c>
      <c r="H191" s="10" t="s">
        <v>40407</v>
      </c>
      <c r="I191" s="10" t="s">
        <v>56</v>
      </c>
      <c r="J191" s="65">
        <v>32825</v>
      </c>
      <c r="K191" s="10" t="s">
        <v>998</v>
      </c>
      <c r="L191" s="10" t="s">
        <v>4077</v>
      </c>
      <c r="M191" s="10" t="s">
        <v>21</v>
      </c>
      <c r="N191" s="10" t="s">
        <v>40408</v>
      </c>
      <c r="O191" s="10" t="s">
        <v>372</v>
      </c>
      <c r="P191" s="1" t="s">
        <v>30089</v>
      </c>
      <c r="Q191" s="64" t="s">
        <v>40409</v>
      </c>
      <c r="R191" s="10" t="s">
        <v>94</v>
      </c>
      <c r="S191" s="63" t="s">
        <v>29</v>
      </c>
      <c r="T191" s="68" t="s">
        <v>26575</v>
      </c>
      <c r="U191" s="68" t="s">
        <v>26572</v>
      </c>
      <c r="V191" s="68" t="s">
        <v>26573</v>
      </c>
      <c r="W191" s="68" t="s">
        <v>94</v>
      </c>
      <c r="X191" s="68">
        <v>5159</v>
      </c>
      <c r="Z191" s="68" t="s">
        <v>42968</v>
      </c>
      <c r="AA191" s="33">
        <v>7480</v>
      </c>
    </row>
    <row r="192" spans="1:27" ht="13" customHeight="1" x14ac:dyDescent="0.15">
      <c r="A192" s="10" t="s">
        <v>39862</v>
      </c>
      <c r="B192" s="99">
        <v>22</v>
      </c>
      <c r="C192" s="10" t="s">
        <v>14</v>
      </c>
      <c r="D192" s="10" t="s">
        <v>42</v>
      </c>
      <c r="E192" s="64" t="s">
        <v>39863</v>
      </c>
      <c r="F192" s="67">
        <v>43770</v>
      </c>
      <c r="G192" s="10" t="s">
        <v>39864</v>
      </c>
      <c r="H192" s="10" t="s">
        <v>22798</v>
      </c>
      <c r="I192" s="10" t="s">
        <v>178</v>
      </c>
      <c r="J192" s="65">
        <v>88310</v>
      </c>
      <c r="K192" s="10" t="s">
        <v>6147</v>
      </c>
      <c r="L192" s="10" t="s">
        <v>2847</v>
      </c>
      <c r="M192" s="10" t="s">
        <v>21</v>
      </c>
      <c r="N192" s="10" t="s">
        <v>39865</v>
      </c>
      <c r="O192" s="10" t="s">
        <v>372</v>
      </c>
      <c r="P192" s="1" t="s">
        <v>30089</v>
      </c>
      <c r="Q192" s="64" t="s">
        <v>39866</v>
      </c>
      <c r="R192" s="10" t="s">
        <v>94</v>
      </c>
      <c r="S192" s="63" t="s">
        <v>22</v>
      </c>
      <c r="T192" s="68" t="s">
        <v>26578</v>
      </c>
      <c r="U192" s="68" t="s">
        <v>26572</v>
      </c>
      <c r="V192" s="68" t="s">
        <v>26571</v>
      </c>
      <c r="W192" s="68" t="s">
        <v>94</v>
      </c>
      <c r="X192" s="68">
        <v>5150</v>
      </c>
      <c r="Z192" s="68" t="s">
        <v>42968</v>
      </c>
      <c r="AA192" s="33">
        <v>7478</v>
      </c>
    </row>
    <row r="193" spans="1:27" ht="13" customHeight="1" x14ac:dyDescent="0.15">
      <c r="A193" s="63" t="s">
        <v>38785</v>
      </c>
      <c r="B193" s="101">
        <v>38</v>
      </c>
      <c r="C193" s="10" t="s">
        <v>14</v>
      </c>
      <c r="D193" s="10" t="s">
        <v>42</v>
      </c>
      <c r="E193" s="10"/>
      <c r="F193" s="67">
        <v>43770</v>
      </c>
      <c r="G193" s="10" t="s">
        <v>38786</v>
      </c>
      <c r="H193" s="10" t="s">
        <v>739</v>
      </c>
      <c r="I193" s="10" t="s">
        <v>67</v>
      </c>
      <c r="J193" s="65">
        <v>79761</v>
      </c>
      <c r="K193" s="10" t="s">
        <v>740</v>
      </c>
      <c r="L193" s="10" t="s">
        <v>17035</v>
      </c>
      <c r="M193" s="10" t="s">
        <v>21</v>
      </c>
      <c r="N193" s="10" t="s">
        <v>38787</v>
      </c>
      <c r="O193" s="10" t="s">
        <v>372</v>
      </c>
      <c r="P193" s="1" t="s">
        <v>30089</v>
      </c>
      <c r="Q193" s="64" t="s">
        <v>38788</v>
      </c>
      <c r="R193" s="10" t="s">
        <v>94</v>
      </c>
      <c r="S193" s="63" t="s">
        <v>22</v>
      </c>
      <c r="T193" s="68" t="s">
        <v>26781</v>
      </c>
      <c r="U193" s="68" t="s">
        <v>26572</v>
      </c>
      <c r="V193" s="68" t="s">
        <v>26571</v>
      </c>
      <c r="W193" s="68" t="s">
        <v>94</v>
      </c>
      <c r="X193" s="68">
        <v>5173</v>
      </c>
      <c r="Z193" s="68" t="s">
        <v>42966</v>
      </c>
      <c r="AA193" s="33">
        <v>7477</v>
      </c>
    </row>
    <row r="194" spans="1:27" ht="13" customHeight="1" x14ac:dyDescent="0.15">
      <c r="A194" s="10" t="s">
        <v>38392</v>
      </c>
      <c r="B194" s="99">
        <v>34</v>
      </c>
      <c r="C194" s="10" t="s">
        <v>14</v>
      </c>
      <c r="D194" s="10" t="s">
        <v>31</v>
      </c>
      <c r="E194" s="64" t="s">
        <v>38393</v>
      </c>
      <c r="F194" s="67">
        <v>43769</v>
      </c>
      <c r="G194" s="10" t="s">
        <v>38394</v>
      </c>
      <c r="H194" s="10" t="s">
        <v>38395</v>
      </c>
      <c r="I194" s="10" t="s">
        <v>56</v>
      </c>
      <c r="J194" s="65">
        <v>32423</v>
      </c>
      <c r="K194" s="10" t="s">
        <v>404</v>
      </c>
      <c r="L194" s="10" t="s">
        <v>8407</v>
      </c>
      <c r="M194" s="10" t="s">
        <v>21</v>
      </c>
      <c r="N194" s="10" t="s">
        <v>38396</v>
      </c>
      <c r="O194" s="10" t="s">
        <v>372</v>
      </c>
      <c r="P194" s="1" t="s">
        <v>30089</v>
      </c>
      <c r="Q194" s="64" t="s">
        <v>38397</v>
      </c>
      <c r="R194" s="10" t="s">
        <v>94</v>
      </c>
      <c r="S194" s="63" t="s">
        <v>22</v>
      </c>
      <c r="T194" s="68" t="s">
        <v>26781</v>
      </c>
      <c r="U194" s="68" t="s">
        <v>26572</v>
      </c>
      <c r="V194" s="68" t="s">
        <v>26571</v>
      </c>
      <c r="W194" s="68" t="s">
        <v>94</v>
      </c>
      <c r="X194" s="68">
        <v>5160</v>
      </c>
      <c r="Z194" s="68" t="s">
        <v>42967</v>
      </c>
      <c r="AA194" s="33">
        <v>7473</v>
      </c>
    </row>
    <row r="195" spans="1:27" ht="13" customHeight="1" x14ac:dyDescent="0.15">
      <c r="A195" s="63" t="s">
        <v>41568</v>
      </c>
      <c r="B195" s="101">
        <v>33</v>
      </c>
      <c r="C195" s="10" t="s">
        <v>14</v>
      </c>
      <c r="D195" s="68" t="s">
        <v>31</v>
      </c>
      <c r="E195" s="10"/>
      <c r="F195" s="67">
        <v>43769</v>
      </c>
      <c r="G195" s="10" t="s">
        <v>41569</v>
      </c>
      <c r="H195" s="10" t="s">
        <v>560</v>
      </c>
      <c r="I195" s="10" t="s">
        <v>39</v>
      </c>
      <c r="J195" s="65">
        <v>95116</v>
      </c>
      <c r="K195" s="10" t="s">
        <v>561</v>
      </c>
      <c r="L195" s="10" t="s">
        <v>678</v>
      </c>
      <c r="M195" s="10" t="s">
        <v>21</v>
      </c>
      <c r="N195" s="10" t="s">
        <v>41570</v>
      </c>
      <c r="O195" s="10" t="s">
        <v>372</v>
      </c>
      <c r="P195" s="1" t="s">
        <v>30089</v>
      </c>
      <c r="Q195" s="64" t="s">
        <v>41571</v>
      </c>
      <c r="R195" s="10" t="s">
        <v>512</v>
      </c>
      <c r="S195" s="63" t="s">
        <v>12</v>
      </c>
      <c r="T195" s="68" t="s">
        <v>39971</v>
      </c>
      <c r="U195" s="68" t="s">
        <v>26572</v>
      </c>
      <c r="V195" s="68" t="s">
        <v>26573</v>
      </c>
      <c r="W195" s="68" t="s">
        <v>512</v>
      </c>
      <c r="X195" s="68">
        <v>5161</v>
      </c>
      <c r="Z195" s="68" t="s">
        <v>42966</v>
      </c>
      <c r="AA195" s="33">
        <v>7475</v>
      </c>
    </row>
    <row r="196" spans="1:27" ht="13" customHeight="1" x14ac:dyDescent="0.15">
      <c r="A196" s="10" t="s">
        <v>42227</v>
      </c>
      <c r="B196" s="99">
        <v>56</v>
      </c>
      <c r="C196" s="10" t="s">
        <v>14</v>
      </c>
      <c r="D196" s="10" t="s">
        <v>24</v>
      </c>
      <c r="E196" s="10"/>
      <c r="F196" s="67">
        <v>43769</v>
      </c>
      <c r="G196" s="10" t="s">
        <v>42228</v>
      </c>
      <c r="H196" s="10" t="s">
        <v>42229</v>
      </c>
      <c r="I196" s="10" t="s">
        <v>160</v>
      </c>
      <c r="J196" s="65">
        <v>31642</v>
      </c>
      <c r="K196" s="10" t="s">
        <v>42230</v>
      </c>
      <c r="L196" s="10" t="s">
        <v>42231</v>
      </c>
      <c r="M196" s="10" t="s">
        <v>21</v>
      </c>
      <c r="N196" s="10" t="s">
        <v>42232</v>
      </c>
      <c r="O196" s="10" t="s">
        <v>372</v>
      </c>
      <c r="P196" s="1" t="s">
        <v>30089</v>
      </c>
      <c r="Q196" s="64" t="s">
        <v>42233</v>
      </c>
      <c r="R196" s="10" t="s">
        <v>94</v>
      </c>
      <c r="S196" s="63" t="s">
        <v>22</v>
      </c>
      <c r="T196" s="34" t="s">
        <v>26781</v>
      </c>
      <c r="U196" s="34" t="s">
        <v>26572</v>
      </c>
      <c r="V196" s="68"/>
      <c r="W196" s="68"/>
      <c r="X196" s="68"/>
      <c r="Z196" s="68" t="s">
        <v>42967</v>
      </c>
      <c r="AA196" s="33">
        <v>7474</v>
      </c>
    </row>
    <row r="197" spans="1:27" ht="13" customHeight="1" x14ac:dyDescent="0.15">
      <c r="A197" s="63" t="s">
        <v>37200</v>
      </c>
      <c r="B197" s="101">
        <v>62</v>
      </c>
      <c r="C197" s="10" t="s">
        <v>14</v>
      </c>
      <c r="D197" s="10" t="s">
        <v>31</v>
      </c>
      <c r="E197" s="10"/>
      <c r="F197" s="67">
        <v>43768</v>
      </c>
      <c r="G197" s="10" t="s">
        <v>37201</v>
      </c>
      <c r="H197" s="10" t="s">
        <v>1397</v>
      </c>
      <c r="I197" s="10" t="s">
        <v>39</v>
      </c>
      <c r="J197" s="65">
        <v>93535</v>
      </c>
      <c r="K197" s="10" t="s">
        <v>92</v>
      </c>
      <c r="L197" s="10" t="s">
        <v>386</v>
      </c>
      <c r="M197" s="10" t="s">
        <v>21</v>
      </c>
      <c r="N197" s="10" t="s">
        <v>37202</v>
      </c>
      <c r="O197" s="10" t="s">
        <v>372</v>
      </c>
      <c r="P197" s="1" t="s">
        <v>30089</v>
      </c>
      <c r="Q197" s="64" t="s">
        <v>37203</v>
      </c>
      <c r="R197" s="10" t="s">
        <v>94</v>
      </c>
      <c r="S197" s="63" t="s">
        <v>22</v>
      </c>
      <c r="T197" s="68" t="s">
        <v>27020</v>
      </c>
      <c r="U197" s="68" t="s">
        <v>26570</v>
      </c>
      <c r="V197" s="68" t="s">
        <v>26573</v>
      </c>
      <c r="W197" s="68" t="s">
        <v>94</v>
      </c>
      <c r="X197" s="68">
        <v>5163</v>
      </c>
      <c r="Z197" s="68" t="s">
        <v>42968</v>
      </c>
      <c r="AA197" s="33">
        <v>7469</v>
      </c>
    </row>
    <row r="198" spans="1:27" ht="13" customHeight="1" x14ac:dyDescent="0.15">
      <c r="A198" s="10" t="s">
        <v>38386</v>
      </c>
      <c r="B198" s="99">
        <v>26</v>
      </c>
      <c r="C198" s="10" t="s">
        <v>14</v>
      </c>
      <c r="D198" s="10" t="s">
        <v>31</v>
      </c>
      <c r="E198" s="10"/>
      <c r="F198" s="67">
        <v>43768</v>
      </c>
      <c r="G198" s="10" t="s">
        <v>38387</v>
      </c>
      <c r="H198" s="10" t="s">
        <v>38388</v>
      </c>
      <c r="I198" s="10" t="s">
        <v>139</v>
      </c>
      <c r="J198" s="65">
        <v>25545</v>
      </c>
      <c r="K198" s="10" t="s">
        <v>7597</v>
      </c>
      <c r="L198" s="10" t="s">
        <v>38389</v>
      </c>
      <c r="M198" s="10" t="s">
        <v>21</v>
      </c>
      <c r="N198" s="10" t="s">
        <v>38390</v>
      </c>
      <c r="O198" s="10" t="s">
        <v>372</v>
      </c>
      <c r="P198" s="1" t="s">
        <v>30089</v>
      </c>
      <c r="Q198" s="64" t="s">
        <v>38391</v>
      </c>
      <c r="R198" s="10" t="s">
        <v>94</v>
      </c>
      <c r="S198" s="63" t="s">
        <v>22</v>
      </c>
      <c r="T198" s="68" t="s">
        <v>26781</v>
      </c>
      <c r="U198" s="68" t="s">
        <v>26572</v>
      </c>
      <c r="V198" s="68" t="s">
        <v>26573</v>
      </c>
      <c r="W198" s="68" t="s">
        <v>94</v>
      </c>
      <c r="X198" s="68">
        <v>5147</v>
      </c>
      <c r="Z198" s="68" t="s">
        <v>42967</v>
      </c>
      <c r="AA198" s="33">
        <v>7472</v>
      </c>
    </row>
    <row r="199" spans="1:27" ht="13" customHeight="1" x14ac:dyDescent="0.15">
      <c r="A199" s="10" t="s">
        <v>37830</v>
      </c>
      <c r="B199" s="99">
        <v>24</v>
      </c>
      <c r="C199" s="10" t="s">
        <v>14</v>
      </c>
      <c r="D199" s="10" t="s">
        <v>15</v>
      </c>
      <c r="E199" s="64" t="s">
        <v>37831</v>
      </c>
      <c r="F199" s="67">
        <v>43768</v>
      </c>
      <c r="G199" s="10" t="s">
        <v>37832</v>
      </c>
      <c r="H199" s="10" t="s">
        <v>183</v>
      </c>
      <c r="I199" s="10" t="s">
        <v>39</v>
      </c>
      <c r="J199" s="65">
        <v>93725</v>
      </c>
      <c r="K199" s="10" t="s">
        <v>183</v>
      </c>
      <c r="L199" s="10" t="s">
        <v>897</v>
      </c>
      <c r="M199" s="10" t="s">
        <v>21</v>
      </c>
      <c r="N199" s="10" t="s">
        <v>37833</v>
      </c>
      <c r="O199" s="10" t="s">
        <v>372</v>
      </c>
      <c r="P199" s="1" t="s">
        <v>30089</v>
      </c>
      <c r="Q199" s="64" t="s">
        <v>37834</v>
      </c>
      <c r="R199" s="10" t="s">
        <v>23</v>
      </c>
      <c r="S199" s="63" t="s">
        <v>22</v>
      </c>
      <c r="T199" s="68" t="s">
        <v>26781</v>
      </c>
      <c r="U199" s="68" t="s">
        <v>26570</v>
      </c>
      <c r="V199" s="68" t="s">
        <v>26573</v>
      </c>
      <c r="W199" s="68" t="s">
        <v>94</v>
      </c>
      <c r="X199" s="68">
        <v>5162</v>
      </c>
      <c r="Z199" s="68" t="s">
        <v>42968</v>
      </c>
      <c r="AA199" s="33">
        <v>7471</v>
      </c>
    </row>
    <row r="200" spans="1:27" ht="13" customHeight="1" x14ac:dyDescent="0.15">
      <c r="A200" s="10" t="s">
        <v>37649</v>
      </c>
      <c r="B200" s="99">
        <v>24</v>
      </c>
      <c r="C200" s="10" t="s">
        <v>14</v>
      </c>
      <c r="D200" s="10" t="s">
        <v>79</v>
      </c>
      <c r="E200" s="64" t="s">
        <v>37650</v>
      </c>
      <c r="F200" s="67">
        <v>43768</v>
      </c>
      <c r="G200" s="10" t="s">
        <v>37651</v>
      </c>
      <c r="H200" s="10" t="s">
        <v>1487</v>
      </c>
      <c r="I200" s="10" t="s">
        <v>46</v>
      </c>
      <c r="J200" s="65">
        <v>21212</v>
      </c>
      <c r="K200" s="10" t="s">
        <v>1487</v>
      </c>
      <c r="L200" s="10" t="s">
        <v>2556</v>
      </c>
      <c r="M200" s="10" t="s">
        <v>21</v>
      </c>
      <c r="N200" s="10" t="s">
        <v>37652</v>
      </c>
      <c r="O200" s="10" t="s">
        <v>372</v>
      </c>
      <c r="P200" s="1" t="s">
        <v>30089</v>
      </c>
      <c r="Q200" s="64" t="s">
        <v>37653</v>
      </c>
      <c r="R200" s="10" t="s">
        <v>94</v>
      </c>
      <c r="S200" s="63" t="s">
        <v>22</v>
      </c>
      <c r="T200" s="68" t="s">
        <v>26781</v>
      </c>
      <c r="U200" s="68" t="s">
        <v>26572</v>
      </c>
      <c r="V200" s="68" t="s">
        <v>26573</v>
      </c>
      <c r="W200" s="68" t="s">
        <v>512</v>
      </c>
      <c r="X200" s="68">
        <v>5146</v>
      </c>
      <c r="Z200" s="68" t="s">
        <v>42966</v>
      </c>
      <c r="AA200" s="33">
        <v>7470</v>
      </c>
    </row>
    <row r="201" spans="1:27" ht="13" customHeight="1" x14ac:dyDescent="0.15">
      <c r="A201" s="10" t="s">
        <v>40210</v>
      </c>
      <c r="B201" s="99">
        <v>45</v>
      </c>
      <c r="C201" s="10" t="s">
        <v>14</v>
      </c>
      <c r="D201" s="10" t="s">
        <v>31</v>
      </c>
      <c r="E201" s="64" t="s">
        <v>40211</v>
      </c>
      <c r="F201" s="67">
        <v>43766</v>
      </c>
      <c r="G201" s="10" t="s">
        <v>40212</v>
      </c>
      <c r="H201" s="10" t="s">
        <v>20447</v>
      </c>
      <c r="I201" s="10" t="s">
        <v>198</v>
      </c>
      <c r="J201" s="65">
        <v>47715</v>
      </c>
      <c r="K201" s="10" t="s">
        <v>20448</v>
      </c>
      <c r="L201" s="10" t="s">
        <v>20449</v>
      </c>
      <c r="M201" s="10" t="s">
        <v>21</v>
      </c>
      <c r="N201" s="10" t="s">
        <v>40213</v>
      </c>
      <c r="O201" s="10" t="s">
        <v>372</v>
      </c>
      <c r="P201" s="1" t="s">
        <v>30089</v>
      </c>
      <c r="Q201" s="64" t="s">
        <v>40214</v>
      </c>
      <c r="R201" s="10" t="s">
        <v>23</v>
      </c>
      <c r="S201" s="63" t="s">
        <v>29</v>
      </c>
      <c r="T201" s="68" t="s">
        <v>26594</v>
      </c>
      <c r="U201" s="68" t="s">
        <v>26572</v>
      </c>
      <c r="V201" s="68" t="s">
        <v>26573</v>
      </c>
      <c r="W201" s="68" t="s">
        <v>512</v>
      </c>
      <c r="X201" s="68">
        <v>5143</v>
      </c>
      <c r="Z201" s="68" t="s">
        <v>42966</v>
      </c>
      <c r="AA201" s="33">
        <v>7468</v>
      </c>
    </row>
    <row r="202" spans="1:27" ht="13" customHeight="1" x14ac:dyDescent="0.15">
      <c r="A202" s="10" t="s">
        <v>40848</v>
      </c>
      <c r="B202" s="99">
        <v>42</v>
      </c>
      <c r="C202" s="10" t="s">
        <v>14</v>
      </c>
      <c r="D202" s="10" t="s">
        <v>42</v>
      </c>
      <c r="E202" s="64" t="s">
        <v>40849</v>
      </c>
      <c r="F202" s="67">
        <v>43765</v>
      </c>
      <c r="G202" s="10" t="s">
        <v>40850</v>
      </c>
      <c r="H202" s="10" t="s">
        <v>18940</v>
      </c>
      <c r="I202" s="10" t="s">
        <v>39</v>
      </c>
      <c r="J202" s="65">
        <v>93257</v>
      </c>
      <c r="K202" s="10" t="s">
        <v>1088</v>
      </c>
      <c r="L202" s="10" t="s">
        <v>18266</v>
      </c>
      <c r="M202" s="10" t="s">
        <v>21</v>
      </c>
      <c r="N202" s="10" t="s">
        <v>40851</v>
      </c>
      <c r="O202" s="10" t="s">
        <v>372</v>
      </c>
      <c r="P202" s="1" t="s">
        <v>30089</v>
      </c>
      <c r="Q202" s="64" t="s">
        <v>40852</v>
      </c>
      <c r="R202" s="10" t="s">
        <v>512</v>
      </c>
      <c r="S202" s="63" t="s">
        <v>22</v>
      </c>
      <c r="T202" s="68" t="s">
        <v>26589</v>
      </c>
      <c r="U202" s="68" t="s">
        <v>26572</v>
      </c>
      <c r="V202" s="68" t="s">
        <v>26573</v>
      </c>
      <c r="W202" s="68" t="s">
        <v>94</v>
      </c>
      <c r="X202" s="68">
        <v>5144</v>
      </c>
      <c r="Z202" s="68" t="s">
        <v>42968</v>
      </c>
      <c r="AA202" s="33">
        <v>7463</v>
      </c>
    </row>
    <row r="203" spans="1:27" ht="13" customHeight="1" x14ac:dyDescent="0.15">
      <c r="A203" s="10" t="s">
        <v>38776</v>
      </c>
      <c r="B203" s="99">
        <v>50</v>
      </c>
      <c r="C203" s="10" t="s">
        <v>14</v>
      </c>
      <c r="D203" s="10" t="s">
        <v>42</v>
      </c>
      <c r="E203" s="63"/>
      <c r="F203" s="67">
        <v>43765</v>
      </c>
      <c r="G203" s="10" t="s">
        <v>38777</v>
      </c>
      <c r="H203" s="10" t="s">
        <v>2307</v>
      </c>
      <c r="I203" s="10" t="s">
        <v>367</v>
      </c>
      <c r="J203" s="65">
        <v>74110</v>
      </c>
      <c r="K203" s="10" t="s">
        <v>2307</v>
      </c>
      <c r="L203" s="10" t="s">
        <v>3108</v>
      </c>
      <c r="M203" s="10" t="s">
        <v>21</v>
      </c>
      <c r="N203" s="10" t="s">
        <v>38778</v>
      </c>
      <c r="O203" s="10" t="s">
        <v>372</v>
      </c>
      <c r="P203" s="1" t="s">
        <v>30089</v>
      </c>
      <c r="Q203" s="64" t="s">
        <v>38779</v>
      </c>
      <c r="R203" s="10" t="s">
        <v>94</v>
      </c>
      <c r="S203" s="63" t="s">
        <v>22</v>
      </c>
      <c r="T203" s="68" t="s">
        <v>26781</v>
      </c>
      <c r="U203" s="68" t="s">
        <v>26572</v>
      </c>
      <c r="V203" s="68" t="s">
        <v>26573</v>
      </c>
      <c r="W203" s="68" t="s">
        <v>512</v>
      </c>
      <c r="X203" s="68">
        <v>5129</v>
      </c>
      <c r="Z203" s="68" t="s">
        <v>42966</v>
      </c>
      <c r="AA203" s="33">
        <v>7467</v>
      </c>
    </row>
    <row r="204" spans="1:27" ht="13" customHeight="1" x14ac:dyDescent="0.15">
      <c r="A204" s="10" t="s">
        <v>37637</v>
      </c>
      <c r="B204" s="99">
        <v>39</v>
      </c>
      <c r="C204" s="10" t="s">
        <v>14</v>
      </c>
      <c r="D204" s="10" t="s">
        <v>79</v>
      </c>
      <c r="E204" s="63"/>
      <c r="F204" s="67">
        <v>43765</v>
      </c>
      <c r="G204" s="10" t="s">
        <v>37638</v>
      </c>
      <c r="H204" s="10" t="s">
        <v>2014</v>
      </c>
      <c r="I204" s="10" t="s">
        <v>88</v>
      </c>
      <c r="J204" s="65">
        <v>35758</v>
      </c>
      <c r="K204" s="10" t="s">
        <v>2014</v>
      </c>
      <c r="L204" s="10" t="s">
        <v>3519</v>
      </c>
      <c r="M204" s="10" t="s">
        <v>21</v>
      </c>
      <c r="N204" s="10" t="s">
        <v>37639</v>
      </c>
      <c r="O204" s="10" t="s">
        <v>372</v>
      </c>
      <c r="P204" s="1" t="s">
        <v>30089</v>
      </c>
      <c r="Q204" s="64" t="s">
        <v>37640</v>
      </c>
      <c r="R204" s="10" t="s">
        <v>94</v>
      </c>
      <c r="S204" s="63" t="s">
        <v>22</v>
      </c>
      <c r="T204" s="68" t="s">
        <v>26781</v>
      </c>
      <c r="U204" s="68" t="s">
        <v>26572</v>
      </c>
      <c r="V204" s="68" t="s">
        <v>26573</v>
      </c>
      <c r="W204" s="68" t="s">
        <v>94</v>
      </c>
      <c r="X204" s="68">
        <v>5127</v>
      </c>
      <c r="Z204" s="68" t="s">
        <v>42968</v>
      </c>
      <c r="AA204" s="33">
        <v>7464</v>
      </c>
    </row>
    <row r="205" spans="1:27" ht="13" customHeight="1" x14ac:dyDescent="0.15">
      <c r="A205" s="63" t="s">
        <v>37641</v>
      </c>
      <c r="B205" s="101">
        <v>25</v>
      </c>
      <c r="C205" s="10" t="s">
        <v>14</v>
      </c>
      <c r="D205" s="10" t="s">
        <v>79</v>
      </c>
      <c r="E205" s="63"/>
      <c r="F205" s="67">
        <v>43765</v>
      </c>
      <c r="G205" s="10" t="s">
        <v>37642</v>
      </c>
      <c r="H205" s="10" t="s">
        <v>16981</v>
      </c>
      <c r="I205" s="10" t="s">
        <v>39</v>
      </c>
      <c r="J205" s="65">
        <v>95608</v>
      </c>
      <c r="K205" s="10" t="s">
        <v>1537</v>
      </c>
      <c r="L205" s="10" t="s">
        <v>22038</v>
      </c>
      <c r="M205" s="10" t="s">
        <v>21</v>
      </c>
      <c r="N205" s="10" t="s">
        <v>37643</v>
      </c>
      <c r="O205" s="10" t="s">
        <v>372</v>
      </c>
      <c r="P205" s="1" t="s">
        <v>30089</v>
      </c>
      <c r="Q205" s="64" t="s">
        <v>37644</v>
      </c>
      <c r="R205" s="10" t="s">
        <v>94</v>
      </c>
      <c r="S205" s="63" t="s">
        <v>22</v>
      </c>
      <c r="T205" s="68" t="s">
        <v>26781</v>
      </c>
      <c r="U205" s="68" t="s">
        <v>26572</v>
      </c>
      <c r="V205" s="68" t="s">
        <v>26573</v>
      </c>
      <c r="W205" s="68" t="s">
        <v>94</v>
      </c>
      <c r="X205" s="68">
        <v>5130</v>
      </c>
      <c r="Z205" s="68" t="s">
        <v>42968</v>
      </c>
      <c r="AA205" s="33">
        <v>7465</v>
      </c>
    </row>
    <row r="206" spans="1:27" ht="13" customHeight="1" x14ac:dyDescent="0.15">
      <c r="A206" s="10" t="s">
        <v>38376</v>
      </c>
      <c r="B206" s="99">
        <v>63</v>
      </c>
      <c r="C206" s="10" t="s">
        <v>14</v>
      </c>
      <c r="D206" s="10" t="s">
        <v>31</v>
      </c>
      <c r="E206" s="63"/>
      <c r="F206" s="67">
        <v>43765</v>
      </c>
      <c r="G206" s="10" t="s">
        <v>38377</v>
      </c>
      <c r="H206" s="10" t="s">
        <v>2014</v>
      </c>
      <c r="I206" s="10" t="s">
        <v>409</v>
      </c>
      <c r="J206" s="65">
        <v>53711</v>
      </c>
      <c r="K206" s="10" t="s">
        <v>8880</v>
      </c>
      <c r="L206" s="10" t="s">
        <v>3519</v>
      </c>
      <c r="M206" s="10" t="s">
        <v>21</v>
      </c>
      <c r="N206" s="10" t="s">
        <v>38378</v>
      </c>
      <c r="O206" s="10" t="s">
        <v>372</v>
      </c>
      <c r="P206" s="1" t="s">
        <v>30089</v>
      </c>
      <c r="Q206" s="64" t="s">
        <v>38379</v>
      </c>
      <c r="R206" s="10" t="s">
        <v>94</v>
      </c>
      <c r="S206" s="63" t="s">
        <v>22</v>
      </c>
      <c r="T206" s="68" t="s">
        <v>26781</v>
      </c>
      <c r="U206" s="68" t="s">
        <v>26572</v>
      </c>
      <c r="V206" s="68" t="s">
        <v>26573</v>
      </c>
      <c r="W206" s="68" t="s">
        <v>94</v>
      </c>
      <c r="X206" s="68">
        <v>5126</v>
      </c>
      <c r="Z206" s="68" t="s">
        <v>42968</v>
      </c>
      <c r="AA206" s="33">
        <v>7466</v>
      </c>
    </row>
    <row r="207" spans="1:27" ht="13" customHeight="1" x14ac:dyDescent="0.15">
      <c r="A207" s="10" t="s">
        <v>3002</v>
      </c>
      <c r="B207" s="69"/>
      <c r="C207" s="10" t="s">
        <v>14</v>
      </c>
      <c r="D207" s="10" t="s">
        <v>24</v>
      </c>
      <c r="E207" s="63"/>
      <c r="F207" s="67">
        <v>43764</v>
      </c>
      <c r="G207" s="10" t="s">
        <v>37219</v>
      </c>
      <c r="H207" s="10" t="s">
        <v>24686</v>
      </c>
      <c r="I207" s="10" t="s">
        <v>39</v>
      </c>
      <c r="J207" s="65">
        <v>92227</v>
      </c>
      <c r="K207" s="10" t="s">
        <v>8996</v>
      </c>
      <c r="L207" s="10" t="s">
        <v>36830</v>
      </c>
      <c r="M207" s="10" t="s">
        <v>21</v>
      </c>
      <c r="N207" s="10" t="s">
        <v>37220</v>
      </c>
      <c r="O207" s="10" t="s">
        <v>372</v>
      </c>
      <c r="P207" s="1" t="s">
        <v>30089</v>
      </c>
      <c r="Q207" s="64" t="s">
        <v>37221</v>
      </c>
      <c r="R207" s="10" t="s">
        <v>94</v>
      </c>
      <c r="S207" s="63" t="s">
        <v>22</v>
      </c>
      <c r="T207" s="68" t="s">
        <v>26580</v>
      </c>
      <c r="U207" s="68" t="s">
        <v>26570</v>
      </c>
      <c r="V207" s="68" t="s">
        <v>26574</v>
      </c>
      <c r="W207" s="68" t="s">
        <v>94</v>
      </c>
      <c r="X207" s="68">
        <v>5133</v>
      </c>
      <c r="Z207" s="68" t="s">
        <v>42968</v>
      </c>
      <c r="AA207" s="33">
        <v>7460</v>
      </c>
    </row>
    <row r="208" spans="1:27" ht="13" customHeight="1" x14ac:dyDescent="0.15">
      <c r="A208" s="10" t="s">
        <v>41212</v>
      </c>
      <c r="B208" s="99">
        <v>27</v>
      </c>
      <c r="C208" s="10" t="s">
        <v>14</v>
      </c>
      <c r="D208" s="10" t="s">
        <v>24</v>
      </c>
      <c r="E208" s="63"/>
      <c r="F208" s="67">
        <v>43764</v>
      </c>
      <c r="G208" s="10" t="s">
        <v>41213</v>
      </c>
      <c r="H208" s="10" t="s">
        <v>41214</v>
      </c>
      <c r="I208" s="10" t="s">
        <v>51</v>
      </c>
      <c r="J208" s="65">
        <v>49713</v>
      </c>
      <c r="K208" s="10" t="s">
        <v>41215</v>
      </c>
      <c r="L208" s="10" t="s">
        <v>41216</v>
      </c>
      <c r="M208" s="10" t="s">
        <v>21</v>
      </c>
      <c r="N208" s="10" t="s">
        <v>41217</v>
      </c>
      <c r="O208" s="10" t="s">
        <v>372</v>
      </c>
      <c r="P208" s="1" t="s">
        <v>30089</v>
      </c>
      <c r="Q208" s="64" t="s">
        <v>41218</v>
      </c>
      <c r="R208" s="10" t="s">
        <v>512</v>
      </c>
      <c r="S208" s="63" t="s">
        <v>22</v>
      </c>
      <c r="T208" s="68" t="s">
        <v>26781</v>
      </c>
      <c r="U208" s="68" t="s">
        <v>26572</v>
      </c>
      <c r="V208" s="68" t="s">
        <v>26573</v>
      </c>
      <c r="W208" s="68" t="s">
        <v>94</v>
      </c>
      <c r="X208" s="68">
        <v>5134</v>
      </c>
      <c r="Z208" s="68" t="s">
        <v>42967</v>
      </c>
      <c r="AA208" s="33">
        <v>7462</v>
      </c>
    </row>
    <row r="209" spans="1:27" ht="13" customHeight="1" x14ac:dyDescent="0.15">
      <c r="A209" s="10" t="s">
        <v>37824</v>
      </c>
      <c r="B209" s="99">
        <v>45</v>
      </c>
      <c r="C209" s="10" t="s">
        <v>14</v>
      </c>
      <c r="D209" s="1" t="s">
        <v>15</v>
      </c>
      <c r="E209" s="63"/>
      <c r="F209" s="67">
        <v>43764</v>
      </c>
      <c r="G209" s="10" t="s">
        <v>37825</v>
      </c>
      <c r="H209" s="10" t="s">
        <v>6316</v>
      </c>
      <c r="I209" s="10" t="s">
        <v>160</v>
      </c>
      <c r="J209" s="65">
        <v>30605</v>
      </c>
      <c r="K209" s="10" t="s">
        <v>37826</v>
      </c>
      <c r="L209" s="10" t="s">
        <v>37827</v>
      </c>
      <c r="M209" s="10" t="s">
        <v>21</v>
      </c>
      <c r="N209" s="10" t="s">
        <v>37828</v>
      </c>
      <c r="O209" s="10" t="s">
        <v>372</v>
      </c>
      <c r="P209" s="1" t="s">
        <v>30089</v>
      </c>
      <c r="Q209" s="64" t="s">
        <v>37829</v>
      </c>
      <c r="R209" s="10" t="s">
        <v>94</v>
      </c>
      <c r="S209" s="63" t="s">
        <v>22</v>
      </c>
      <c r="T209" s="68" t="s">
        <v>26781</v>
      </c>
      <c r="U209" s="68" t="s">
        <v>26572</v>
      </c>
      <c r="V209" s="68" t="s">
        <v>26574</v>
      </c>
      <c r="W209" s="68" t="s">
        <v>512</v>
      </c>
      <c r="X209" s="68">
        <v>5131</v>
      </c>
      <c r="Z209" s="68" t="s">
        <v>42968</v>
      </c>
      <c r="AA209" s="33">
        <v>7461</v>
      </c>
    </row>
    <row r="210" spans="1:27" ht="13" customHeight="1" x14ac:dyDescent="0.15">
      <c r="A210" s="10" t="s">
        <v>40032</v>
      </c>
      <c r="B210" s="99">
        <v>31</v>
      </c>
      <c r="C210" s="10" t="s">
        <v>14</v>
      </c>
      <c r="D210" s="10" t="s">
        <v>24</v>
      </c>
      <c r="E210" s="63"/>
      <c r="F210" s="67">
        <v>43763</v>
      </c>
      <c r="G210" s="10" t="s">
        <v>40033</v>
      </c>
      <c r="H210" s="10" t="s">
        <v>8495</v>
      </c>
      <c r="I210" s="10" t="s">
        <v>160</v>
      </c>
      <c r="J210" s="65">
        <v>30041</v>
      </c>
      <c r="K210" s="10" t="s">
        <v>8497</v>
      </c>
      <c r="L210" s="10" t="s">
        <v>10025</v>
      </c>
      <c r="M210" s="10" t="s">
        <v>21</v>
      </c>
      <c r="N210" s="10" t="s">
        <v>40034</v>
      </c>
      <c r="O210" s="10" t="s">
        <v>372</v>
      </c>
      <c r="P210" s="1" t="s">
        <v>30089</v>
      </c>
      <c r="Q210" s="64" t="s">
        <v>40035</v>
      </c>
      <c r="R210" s="10" t="s">
        <v>94</v>
      </c>
      <c r="S210" s="63" t="s">
        <v>12</v>
      </c>
      <c r="T210" s="68" t="s">
        <v>39971</v>
      </c>
      <c r="U210" s="68" t="s">
        <v>26572</v>
      </c>
      <c r="V210" s="68" t="s">
        <v>26571</v>
      </c>
      <c r="W210" s="68" t="s">
        <v>94</v>
      </c>
      <c r="X210" s="68">
        <v>5121</v>
      </c>
      <c r="Z210" s="68" t="s">
        <v>42968</v>
      </c>
      <c r="AA210" s="33">
        <v>7457</v>
      </c>
    </row>
    <row r="211" spans="1:27" ht="13" customHeight="1" x14ac:dyDescent="0.15">
      <c r="A211" s="10" t="s">
        <v>38380</v>
      </c>
      <c r="B211" s="99">
        <v>40</v>
      </c>
      <c r="C211" s="10" t="s">
        <v>14</v>
      </c>
      <c r="D211" s="10" t="s">
        <v>31</v>
      </c>
      <c r="E211" s="63"/>
      <c r="F211" s="67">
        <v>43763</v>
      </c>
      <c r="G211" s="10" t="s">
        <v>38381</v>
      </c>
      <c r="H211" s="10" t="s">
        <v>38382</v>
      </c>
      <c r="I211" s="10" t="s">
        <v>367</v>
      </c>
      <c r="J211" s="65">
        <v>74344</v>
      </c>
      <c r="K211" s="10" t="s">
        <v>850</v>
      </c>
      <c r="L211" s="10" t="s">
        <v>38383</v>
      </c>
      <c r="M211" s="10" t="s">
        <v>21</v>
      </c>
      <c r="N211" s="10" t="s">
        <v>38384</v>
      </c>
      <c r="O211" s="10" t="s">
        <v>372</v>
      </c>
      <c r="P211" s="1" t="s">
        <v>30089</v>
      </c>
      <c r="Q211" s="64" t="s">
        <v>38385</v>
      </c>
      <c r="R211" s="10" t="s">
        <v>94</v>
      </c>
      <c r="S211" s="63" t="s">
        <v>22</v>
      </c>
      <c r="T211" s="68" t="s">
        <v>26781</v>
      </c>
      <c r="U211" s="68" t="s">
        <v>26572</v>
      </c>
      <c r="V211" s="68" t="s">
        <v>26573</v>
      </c>
      <c r="W211" s="68" t="s">
        <v>94</v>
      </c>
      <c r="X211" s="68">
        <v>5128</v>
      </c>
      <c r="Z211" s="68" t="s">
        <v>42967</v>
      </c>
      <c r="AA211" s="33">
        <v>7454</v>
      </c>
    </row>
    <row r="212" spans="1:27" ht="13" customHeight="1" x14ac:dyDescent="0.15">
      <c r="A212" s="10" t="s">
        <v>38532</v>
      </c>
      <c r="B212" s="101">
        <v>27</v>
      </c>
      <c r="C212" s="10" t="s">
        <v>14</v>
      </c>
      <c r="D212" s="10" t="s">
        <v>42</v>
      </c>
      <c r="E212" s="75" t="s">
        <v>38533</v>
      </c>
      <c r="F212" s="67">
        <v>43763</v>
      </c>
      <c r="G212" s="10" t="s">
        <v>38534</v>
      </c>
      <c r="H212" s="10" t="s">
        <v>866</v>
      </c>
      <c r="I212" s="10" t="s">
        <v>178</v>
      </c>
      <c r="J212" s="65">
        <v>87110</v>
      </c>
      <c r="K212" s="10" t="s">
        <v>433</v>
      </c>
      <c r="L212" s="10" t="s">
        <v>4562</v>
      </c>
      <c r="M212" s="10" t="s">
        <v>21</v>
      </c>
      <c r="N212" s="10" t="s">
        <v>38535</v>
      </c>
      <c r="O212" s="10" t="s">
        <v>372</v>
      </c>
      <c r="P212" s="1" t="s">
        <v>30089</v>
      </c>
      <c r="Q212" s="64" t="s">
        <v>38536</v>
      </c>
      <c r="R212" s="10" t="s">
        <v>94</v>
      </c>
      <c r="S212" s="63" t="s">
        <v>22</v>
      </c>
      <c r="T212" s="68" t="s">
        <v>26781</v>
      </c>
      <c r="U212" s="68" t="s">
        <v>26570</v>
      </c>
      <c r="V212" s="68" t="s">
        <v>26571</v>
      </c>
      <c r="W212" s="68" t="s">
        <v>94</v>
      </c>
      <c r="X212" s="68">
        <v>5136</v>
      </c>
      <c r="Z212" s="68" t="s">
        <v>42966</v>
      </c>
      <c r="AA212" s="33">
        <v>7455</v>
      </c>
    </row>
    <row r="213" spans="1:27" ht="13" customHeight="1" x14ac:dyDescent="0.15">
      <c r="A213" s="10" t="s">
        <v>40190</v>
      </c>
      <c r="B213" s="99">
        <v>36</v>
      </c>
      <c r="C213" s="10" t="s">
        <v>14</v>
      </c>
      <c r="D213" s="10" t="s">
        <v>79</v>
      </c>
      <c r="E213" s="64" t="s">
        <v>40191</v>
      </c>
      <c r="F213" s="67">
        <v>43763</v>
      </c>
      <c r="G213" s="10" t="s">
        <v>40192</v>
      </c>
      <c r="H213" s="10" t="s">
        <v>1599</v>
      </c>
      <c r="I213" s="10" t="s">
        <v>395</v>
      </c>
      <c r="J213" s="65">
        <v>11212</v>
      </c>
      <c r="K213" s="10" t="s">
        <v>1599</v>
      </c>
      <c r="L213" s="10" t="s">
        <v>539</v>
      </c>
      <c r="M213" s="10" t="s">
        <v>21</v>
      </c>
      <c r="N213" s="10" t="s">
        <v>40193</v>
      </c>
      <c r="O213" s="10" t="s">
        <v>372</v>
      </c>
      <c r="P213" s="1" t="s">
        <v>30089</v>
      </c>
      <c r="Q213" s="64" t="s">
        <v>40194</v>
      </c>
      <c r="R213" s="10" t="s">
        <v>94</v>
      </c>
      <c r="S213" s="63" t="s">
        <v>29</v>
      </c>
      <c r="T213" s="68" t="s">
        <v>29185</v>
      </c>
      <c r="U213" s="68" t="s">
        <v>26572</v>
      </c>
      <c r="V213" s="68" t="s">
        <v>26573</v>
      </c>
      <c r="W213" s="68" t="s">
        <v>94</v>
      </c>
      <c r="X213" s="68">
        <v>5132</v>
      </c>
      <c r="Z213" s="68" t="s">
        <v>42966</v>
      </c>
      <c r="AA213" s="33">
        <v>7453</v>
      </c>
    </row>
    <row r="214" spans="1:27" ht="13" customHeight="1" x14ac:dyDescent="0.15">
      <c r="A214" s="10" t="s">
        <v>39835</v>
      </c>
      <c r="B214" s="99">
        <v>45</v>
      </c>
      <c r="C214" s="10" t="s">
        <v>103</v>
      </c>
      <c r="D214" s="10" t="s">
        <v>31</v>
      </c>
      <c r="E214" s="64" t="s">
        <v>39836</v>
      </c>
      <c r="F214" s="67">
        <v>43763</v>
      </c>
      <c r="G214" s="10" t="s">
        <v>39837</v>
      </c>
      <c r="H214" s="10" t="s">
        <v>1998</v>
      </c>
      <c r="I214" s="10" t="s">
        <v>19</v>
      </c>
      <c r="J214" s="65">
        <v>71111</v>
      </c>
      <c r="K214" s="10" t="s">
        <v>2000</v>
      </c>
      <c r="L214" s="10" t="s">
        <v>8363</v>
      </c>
      <c r="M214" s="10" t="s">
        <v>21</v>
      </c>
      <c r="N214" s="10" t="s">
        <v>39838</v>
      </c>
      <c r="O214" s="10" t="s">
        <v>372</v>
      </c>
      <c r="P214" s="1" t="s">
        <v>30089</v>
      </c>
      <c r="Q214" s="64" t="s">
        <v>39839</v>
      </c>
      <c r="R214" s="10" t="s">
        <v>94</v>
      </c>
      <c r="S214" s="63" t="s">
        <v>22</v>
      </c>
      <c r="T214" s="68" t="s">
        <v>29867</v>
      </c>
      <c r="U214" s="68" t="s">
        <v>26570</v>
      </c>
      <c r="V214" s="68" t="s">
        <v>26573</v>
      </c>
      <c r="W214" s="68" t="s">
        <v>94</v>
      </c>
      <c r="X214" s="68">
        <v>5123</v>
      </c>
      <c r="Z214" s="68" t="s">
        <v>42966</v>
      </c>
      <c r="AA214" s="33">
        <v>7456</v>
      </c>
    </row>
    <row r="215" spans="1:27" ht="13" customHeight="1" x14ac:dyDescent="0.15">
      <c r="A215" s="10" t="s">
        <v>40715</v>
      </c>
      <c r="B215" s="99">
        <v>19</v>
      </c>
      <c r="C215" s="10" t="s">
        <v>14</v>
      </c>
      <c r="D215" s="10" t="s">
        <v>31</v>
      </c>
      <c r="E215" s="64" t="s">
        <v>40716</v>
      </c>
      <c r="F215" s="67">
        <v>43763</v>
      </c>
      <c r="G215" s="10" t="s">
        <v>40717</v>
      </c>
      <c r="H215" s="10" t="s">
        <v>1391</v>
      </c>
      <c r="I215" s="10" t="s">
        <v>298</v>
      </c>
      <c r="J215" s="65">
        <v>37813</v>
      </c>
      <c r="K215" s="10" t="s">
        <v>1392</v>
      </c>
      <c r="L215" s="10" t="s">
        <v>40718</v>
      </c>
      <c r="M215" s="10" t="s">
        <v>21</v>
      </c>
      <c r="N215" s="10" t="s">
        <v>40719</v>
      </c>
      <c r="O215" s="10" t="s">
        <v>372</v>
      </c>
      <c r="P215" s="1" t="s">
        <v>30089</v>
      </c>
      <c r="Q215" s="64" t="s">
        <v>40720</v>
      </c>
      <c r="R215" s="10" t="s">
        <v>94</v>
      </c>
      <c r="S215" s="63" t="s">
        <v>351</v>
      </c>
      <c r="T215" s="68" t="s">
        <v>26867</v>
      </c>
      <c r="U215" s="68" t="s">
        <v>26572</v>
      </c>
      <c r="V215" s="68" t="s">
        <v>26573</v>
      </c>
      <c r="W215" s="68" t="s">
        <v>94</v>
      </c>
      <c r="X215" s="68">
        <v>5124</v>
      </c>
      <c r="Z215" s="68" t="s">
        <v>42968</v>
      </c>
      <c r="AA215" s="33">
        <v>7459</v>
      </c>
    </row>
    <row r="216" spans="1:27" ht="13" customHeight="1" x14ac:dyDescent="0.15">
      <c r="A216" s="63" t="s">
        <v>40542</v>
      </c>
      <c r="B216" s="69"/>
      <c r="C216" s="10" t="s">
        <v>14</v>
      </c>
      <c r="D216" s="10" t="s">
        <v>24</v>
      </c>
      <c r="E216" s="63"/>
      <c r="F216" s="67">
        <v>43763</v>
      </c>
      <c r="G216" s="10" t="s">
        <v>40543</v>
      </c>
      <c r="H216" s="10" t="s">
        <v>17413</v>
      </c>
      <c r="I216" s="10" t="s">
        <v>160</v>
      </c>
      <c r="J216" s="65">
        <v>30721</v>
      </c>
      <c r="K216" s="10" t="s">
        <v>20799</v>
      </c>
      <c r="L216" s="10" t="s">
        <v>17414</v>
      </c>
      <c r="M216" s="10" t="s">
        <v>21</v>
      </c>
      <c r="N216" s="10" t="s">
        <v>40544</v>
      </c>
      <c r="O216" s="10" t="s">
        <v>372</v>
      </c>
      <c r="P216" s="1" t="s">
        <v>30089</v>
      </c>
      <c r="Q216" s="64" t="s">
        <v>40545</v>
      </c>
      <c r="R216" s="10" t="s">
        <v>23</v>
      </c>
      <c r="S216" s="63" t="s">
        <v>29</v>
      </c>
      <c r="T216" s="68" t="s">
        <v>26576</v>
      </c>
      <c r="U216" s="68" t="s">
        <v>26570</v>
      </c>
      <c r="V216" s="68" t="s">
        <v>26573</v>
      </c>
      <c r="W216" s="68" t="s">
        <v>94</v>
      </c>
      <c r="X216" s="68">
        <v>5137</v>
      </c>
      <c r="Z216" s="68" t="s">
        <v>42968</v>
      </c>
      <c r="AA216" s="33">
        <v>7458</v>
      </c>
    </row>
    <row r="217" spans="1:27" ht="13" customHeight="1" x14ac:dyDescent="0.15">
      <c r="A217" s="10" t="s">
        <v>38366</v>
      </c>
      <c r="B217" s="99">
        <v>53</v>
      </c>
      <c r="C217" s="10" t="s">
        <v>14</v>
      </c>
      <c r="D217" s="10" t="s">
        <v>31</v>
      </c>
      <c r="E217" s="64" t="s">
        <v>38367</v>
      </c>
      <c r="F217" s="67">
        <v>43762</v>
      </c>
      <c r="G217" s="10" t="s">
        <v>38368</v>
      </c>
      <c r="H217" s="10" t="s">
        <v>27</v>
      </c>
      <c r="I217" s="10" t="s">
        <v>338</v>
      </c>
      <c r="J217" s="65">
        <v>27858</v>
      </c>
      <c r="K217" s="10" t="s">
        <v>770</v>
      </c>
      <c r="L217" s="10" t="s">
        <v>771</v>
      </c>
      <c r="M217" s="10" t="s">
        <v>21</v>
      </c>
      <c r="N217" s="10" t="s">
        <v>38369</v>
      </c>
      <c r="O217" s="10" t="s">
        <v>372</v>
      </c>
      <c r="P217" s="1" t="s">
        <v>30089</v>
      </c>
      <c r="Q217" s="64" t="s">
        <v>38370</v>
      </c>
      <c r="R217" s="10" t="s">
        <v>904</v>
      </c>
      <c r="S217" s="63" t="s">
        <v>22</v>
      </c>
      <c r="T217" s="68" t="s">
        <v>26781</v>
      </c>
      <c r="U217" s="68" t="s">
        <v>26570</v>
      </c>
      <c r="V217" s="68" t="s">
        <v>26573</v>
      </c>
      <c r="W217" s="68" t="s">
        <v>94</v>
      </c>
      <c r="X217" s="68">
        <v>5119</v>
      </c>
      <c r="Z217" s="68" t="s">
        <v>42968</v>
      </c>
      <c r="AA217" s="33">
        <v>7452</v>
      </c>
    </row>
    <row r="218" spans="1:27" ht="13" customHeight="1" x14ac:dyDescent="0.15">
      <c r="A218" s="10" t="s">
        <v>42024</v>
      </c>
      <c r="B218" s="99">
        <v>45</v>
      </c>
      <c r="C218" s="10" t="s">
        <v>14</v>
      </c>
      <c r="D218" s="10" t="s">
        <v>31</v>
      </c>
      <c r="E218" s="64" t="s">
        <v>42025</v>
      </c>
      <c r="F218" s="67">
        <v>43761</v>
      </c>
      <c r="G218" s="10" t="s">
        <v>42026</v>
      </c>
      <c r="H218" s="10" t="s">
        <v>2870</v>
      </c>
      <c r="I218" s="10" t="s">
        <v>106</v>
      </c>
      <c r="J218" s="65">
        <v>97321</v>
      </c>
      <c r="K218" s="10" t="s">
        <v>18277</v>
      </c>
      <c r="L218" s="10" t="s">
        <v>22726</v>
      </c>
      <c r="M218" s="10" t="s">
        <v>363</v>
      </c>
      <c r="N218" s="10" t="s">
        <v>42027</v>
      </c>
      <c r="O218" s="10" t="s">
        <v>372</v>
      </c>
      <c r="P218" s="1" t="s">
        <v>30089</v>
      </c>
      <c r="Q218" s="64" t="s">
        <v>42028</v>
      </c>
      <c r="R218" s="10" t="s">
        <v>94</v>
      </c>
      <c r="S218" s="63" t="s">
        <v>12</v>
      </c>
      <c r="T218" s="34" t="s">
        <v>29705</v>
      </c>
      <c r="U218" s="34" t="s">
        <v>26572</v>
      </c>
      <c r="V218" s="68"/>
      <c r="W218" s="68"/>
      <c r="X218" s="68"/>
      <c r="Z218" s="68" t="s">
        <v>42968</v>
      </c>
      <c r="AA218" s="33">
        <v>7449</v>
      </c>
    </row>
    <row r="219" spans="1:27" ht="13" customHeight="1" x14ac:dyDescent="0.15">
      <c r="A219" s="10" t="s">
        <v>8310</v>
      </c>
      <c r="B219" s="99">
        <v>29</v>
      </c>
      <c r="C219" s="10" t="s">
        <v>14</v>
      </c>
      <c r="D219" s="10" t="s">
        <v>42</v>
      </c>
      <c r="E219" s="64" t="s">
        <v>38541</v>
      </c>
      <c r="F219" s="67">
        <v>43761</v>
      </c>
      <c r="G219" s="10" t="s">
        <v>38542</v>
      </c>
      <c r="H219" s="10" t="s">
        <v>700</v>
      </c>
      <c r="I219" s="10" t="s">
        <v>395</v>
      </c>
      <c r="J219" s="65">
        <v>10039</v>
      </c>
      <c r="K219" s="10" t="s">
        <v>38543</v>
      </c>
      <c r="L219" s="10" t="s">
        <v>539</v>
      </c>
      <c r="M219" s="10" t="s">
        <v>21</v>
      </c>
      <c r="N219" s="10" t="s">
        <v>38544</v>
      </c>
      <c r="O219" s="10" t="s">
        <v>372</v>
      </c>
      <c r="P219" s="1" t="s">
        <v>30089</v>
      </c>
      <c r="Q219" s="64" t="s">
        <v>38545</v>
      </c>
      <c r="R219" s="10" t="s">
        <v>23</v>
      </c>
      <c r="S219" s="63" t="s">
        <v>22</v>
      </c>
      <c r="T219" s="68" t="s">
        <v>26781</v>
      </c>
      <c r="U219" s="68" t="s">
        <v>26572</v>
      </c>
      <c r="V219" s="68" t="s">
        <v>26573</v>
      </c>
      <c r="W219" s="68" t="s">
        <v>94</v>
      </c>
      <c r="X219" s="68">
        <v>5139</v>
      </c>
      <c r="Z219" s="68" t="s">
        <v>42966</v>
      </c>
      <c r="AA219" s="33">
        <v>7446</v>
      </c>
    </row>
    <row r="220" spans="1:27" ht="13" customHeight="1" x14ac:dyDescent="0.15">
      <c r="A220" s="10" t="s">
        <v>40333</v>
      </c>
      <c r="B220" s="99">
        <v>34</v>
      </c>
      <c r="C220" s="10" t="s">
        <v>14</v>
      </c>
      <c r="D220" s="10" t="s">
        <v>31</v>
      </c>
      <c r="E220" s="64" t="s">
        <v>40334</v>
      </c>
      <c r="F220" s="67">
        <v>43761</v>
      </c>
      <c r="G220" s="10" t="s">
        <v>40335</v>
      </c>
      <c r="H220" s="10" t="s">
        <v>8098</v>
      </c>
      <c r="I220" s="10" t="s">
        <v>67</v>
      </c>
      <c r="J220" s="65">
        <v>79556</v>
      </c>
      <c r="K220" s="10" t="s">
        <v>8100</v>
      </c>
      <c r="L220" s="10" t="s">
        <v>40336</v>
      </c>
      <c r="M220" s="10" t="s">
        <v>21</v>
      </c>
      <c r="N220" s="10" t="s">
        <v>40337</v>
      </c>
      <c r="O220" s="10" t="s">
        <v>372</v>
      </c>
      <c r="P220" s="1" t="s">
        <v>30089</v>
      </c>
      <c r="Q220" s="64" t="s">
        <v>40338</v>
      </c>
      <c r="R220" s="10" t="s">
        <v>94</v>
      </c>
      <c r="S220" s="63" t="s">
        <v>29</v>
      </c>
      <c r="T220" s="68" t="s">
        <v>26575</v>
      </c>
      <c r="U220" s="68" t="s">
        <v>26575</v>
      </c>
      <c r="V220" s="68" t="s">
        <v>26573</v>
      </c>
      <c r="W220" s="68" t="s">
        <v>94</v>
      </c>
      <c r="X220" s="68">
        <v>5122</v>
      </c>
      <c r="Z220" s="68" t="s">
        <v>42967</v>
      </c>
      <c r="AA220" s="33">
        <v>7450</v>
      </c>
    </row>
    <row r="221" spans="1:27" ht="13" customHeight="1" x14ac:dyDescent="0.15">
      <c r="A221" s="63" t="s">
        <v>40721</v>
      </c>
      <c r="B221" s="101">
        <v>41</v>
      </c>
      <c r="C221" s="10" t="s">
        <v>14</v>
      </c>
      <c r="D221" s="10" t="s">
        <v>31</v>
      </c>
      <c r="E221" s="63"/>
      <c r="F221" s="67">
        <v>43761</v>
      </c>
      <c r="G221" s="10" t="s">
        <v>40722</v>
      </c>
      <c r="H221" s="10" t="s">
        <v>801</v>
      </c>
      <c r="I221" s="10" t="s">
        <v>67</v>
      </c>
      <c r="J221" s="65">
        <v>79938</v>
      </c>
      <c r="K221" s="10" t="s">
        <v>801</v>
      </c>
      <c r="L221" s="10" t="s">
        <v>802</v>
      </c>
      <c r="M221" s="10" t="s">
        <v>21</v>
      </c>
      <c r="N221" s="10" t="s">
        <v>40723</v>
      </c>
      <c r="O221" s="10" t="s">
        <v>372</v>
      </c>
      <c r="P221" s="1" t="s">
        <v>30089</v>
      </c>
      <c r="Q221" s="64" t="s">
        <v>40724</v>
      </c>
      <c r="R221" s="10" t="s">
        <v>94</v>
      </c>
      <c r="S221" s="63" t="s">
        <v>351</v>
      </c>
      <c r="T221" s="68" t="s">
        <v>26867</v>
      </c>
      <c r="U221" s="68" t="s">
        <v>26572</v>
      </c>
      <c r="V221" s="68" t="s">
        <v>26571</v>
      </c>
      <c r="W221" s="68" t="s">
        <v>94</v>
      </c>
      <c r="X221" s="68">
        <v>5125</v>
      </c>
      <c r="Z221" s="68" t="s">
        <v>42968</v>
      </c>
      <c r="AA221" s="33">
        <v>7451</v>
      </c>
    </row>
    <row r="222" spans="1:27" ht="13" customHeight="1" x14ac:dyDescent="0.15">
      <c r="A222" s="10" t="s">
        <v>37645</v>
      </c>
      <c r="B222" s="99">
        <v>48</v>
      </c>
      <c r="C222" s="10" t="s">
        <v>14</v>
      </c>
      <c r="D222" s="10" t="s">
        <v>79</v>
      </c>
      <c r="E222" s="63"/>
      <c r="F222" s="67">
        <v>43761</v>
      </c>
      <c r="G222" s="10" t="s">
        <v>37646</v>
      </c>
      <c r="H222" s="10" t="s">
        <v>451</v>
      </c>
      <c r="I222" s="10" t="s">
        <v>39</v>
      </c>
      <c r="J222" s="65">
        <v>90805</v>
      </c>
      <c r="K222" s="10" t="s">
        <v>92</v>
      </c>
      <c r="L222" s="10" t="s">
        <v>452</v>
      </c>
      <c r="M222" s="10" t="s">
        <v>21</v>
      </c>
      <c r="N222" s="10" t="s">
        <v>37647</v>
      </c>
      <c r="O222" s="10" t="s">
        <v>372</v>
      </c>
      <c r="P222" s="1" t="s">
        <v>30089</v>
      </c>
      <c r="Q222" s="64" t="s">
        <v>37648</v>
      </c>
      <c r="R222" s="10" t="s">
        <v>94</v>
      </c>
      <c r="S222" s="63" t="s">
        <v>22</v>
      </c>
      <c r="T222" s="68" t="s">
        <v>26781</v>
      </c>
      <c r="U222" s="68" t="s">
        <v>26572</v>
      </c>
      <c r="V222" s="68" t="s">
        <v>26573</v>
      </c>
      <c r="W222" s="68" t="s">
        <v>512</v>
      </c>
      <c r="X222" s="68">
        <v>5141</v>
      </c>
      <c r="Z222" s="68" t="s">
        <v>42966</v>
      </c>
      <c r="AA222" s="33">
        <v>7445</v>
      </c>
    </row>
    <row r="223" spans="1:27" ht="13" customHeight="1" x14ac:dyDescent="0.15">
      <c r="A223" s="10" t="s">
        <v>41219</v>
      </c>
      <c r="B223" s="99">
        <v>61</v>
      </c>
      <c r="C223" s="10" t="s">
        <v>14</v>
      </c>
      <c r="D223" s="10" t="s">
        <v>24</v>
      </c>
      <c r="E223" s="63"/>
      <c r="F223" s="67">
        <v>43761</v>
      </c>
      <c r="G223" s="10" t="s">
        <v>41220</v>
      </c>
      <c r="H223" s="10" t="s">
        <v>782</v>
      </c>
      <c r="I223" s="10" t="s">
        <v>282</v>
      </c>
      <c r="J223" s="65">
        <v>99217</v>
      </c>
      <c r="K223" s="10" t="s">
        <v>782</v>
      </c>
      <c r="L223" s="10" t="s">
        <v>783</v>
      </c>
      <c r="M223" s="10" t="s">
        <v>21</v>
      </c>
      <c r="N223" s="10" t="s">
        <v>41221</v>
      </c>
      <c r="O223" s="10" t="s">
        <v>37043</v>
      </c>
      <c r="P223" s="1" t="s">
        <v>30089</v>
      </c>
      <c r="Q223" s="64" t="s">
        <v>41222</v>
      </c>
      <c r="R223" s="10" t="s">
        <v>512</v>
      </c>
      <c r="S223" s="63" t="s">
        <v>22</v>
      </c>
      <c r="T223" s="68" t="s">
        <v>26781</v>
      </c>
      <c r="U223" s="68" t="s">
        <v>26572</v>
      </c>
      <c r="V223" s="68" t="s">
        <v>26573</v>
      </c>
      <c r="W223" s="68" t="s">
        <v>94</v>
      </c>
      <c r="X223" s="68">
        <v>5138</v>
      </c>
      <c r="Z223" s="68" t="s">
        <v>42968</v>
      </c>
      <c r="AA223" s="33">
        <v>7448</v>
      </c>
    </row>
    <row r="224" spans="1:27" ht="13" customHeight="1" x14ac:dyDescent="0.15">
      <c r="A224" s="10" t="s">
        <v>41076</v>
      </c>
      <c r="B224" s="99">
        <v>29</v>
      </c>
      <c r="C224" s="10" t="s">
        <v>14</v>
      </c>
      <c r="D224" s="10" t="s">
        <v>31</v>
      </c>
      <c r="E224" s="64" t="s">
        <v>41077</v>
      </c>
      <c r="F224" s="67">
        <v>43761</v>
      </c>
      <c r="G224" s="10" t="s">
        <v>41078</v>
      </c>
      <c r="H224" s="10" t="s">
        <v>7595</v>
      </c>
      <c r="I224" s="10" t="s">
        <v>198</v>
      </c>
      <c r="J224" s="65">
        <v>46750</v>
      </c>
      <c r="K224" s="10" t="s">
        <v>7595</v>
      </c>
      <c r="L224" s="10" t="s">
        <v>41079</v>
      </c>
      <c r="M224" s="10" t="s">
        <v>21</v>
      </c>
      <c r="N224" s="10" t="s">
        <v>41080</v>
      </c>
      <c r="O224" s="10" t="s">
        <v>372</v>
      </c>
      <c r="P224" s="1" t="s">
        <v>30089</v>
      </c>
      <c r="Q224" s="64" t="s">
        <v>41081</v>
      </c>
      <c r="R224" s="10" t="s">
        <v>512</v>
      </c>
      <c r="S224" s="63" t="s">
        <v>22</v>
      </c>
      <c r="T224" s="68" t="s">
        <v>26781</v>
      </c>
      <c r="U224" s="68" t="s">
        <v>26572</v>
      </c>
      <c r="V224" s="68" t="s">
        <v>26574</v>
      </c>
      <c r="W224" s="68" t="s">
        <v>94</v>
      </c>
      <c r="X224" s="68">
        <v>5140</v>
      </c>
      <c r="Z224" s="68" t="s">
        <v>42967</v>
      </c>
      <c r="AA224" s="33">
        <v>7447</v>
      </c>
    </row>
    <row r="225" spans="1:27" ht="13" customHeight="1" x14ac:dyDescent="0.15">
      <c r="A225" s="10" t="s">
        <v>39872</v>
      </c>
      <c r="B225" s="99">
        <v>55</v>
      </c>
      <c r="C225" s="10" t="s">
        <v>14</v>
      </c>
      <c r="D225" s="10" t="s">
        <v>24</v>
      </c>
      <c r="E225" s="63"/>
      <c r="F225" s="67">
        <v>43760</v>
      </c>
      <c r="G225" s="10" t="s">
        <v>39873</v>
      </c>
      <c r="H225" s="10" t="s">
        <v>5239</v>
      </c>
      <c r="I225" s="10" t="s">
        <v>39</v>
      </c>
      <c r="J225" s="65">
        <v>90745</v>
      </c>
      <c r="K225" s="10" t="s">
        <v>92</v>
      </c>
      <c r="L225" s="10" t="s">
        <v>39874</v>
      </c>
      <c r="M225" s="10" t="s">
        <v>21</v>
      </c>
      <c r="N225" s="10" t="s">
        <v>39875</v>
      </c>
      <c r="O225" s="10" t="s">
        <v>372</v>
      </c>
      <c r="P225" s="1" t="s">
        <v>30089</v>
      </c>
      <c r="Q225" s="64" t="s">
        <v>39876</v>
      </c>
      <c r="R225" s="10" t="s">
        <v>94</v>
      </c>
      <c r="S225" s="63" t="s">
        <v>22</v>
      </c>
      <c r="T225" s="68" t="s">
        <v>26578</v>
      </c>
      <c r="U225" s="68" t="s">
        <v>26570</v>
      </c>
      <c r="V225" s="68" t="s">
        <v>26573</v>
      </c>
      <c r="W225" s="68" t="s">
        <v>94</v>
      </c>
      <c r="X225" s="68">
        <v>5215</v>
      </c>
      <c r="Z225" s="68" t="s">
        <v>42968</v>
      </c>
      <c r="AA225" s="33">
        <v>7444</v>
      </c>
    </row>
    <row r="226" spans="1:27" ht="13" customHeight="1" x14ac:dyDescent="0.15">
      <c r="A226" s="63" t="s">
        <v>38361</v>
      </c>
      <c r="B226" s="101">
        <v>21</v>
      </c>
      <c r="C226" s="63" t="s">
        <v>14</v>
      </c>
      <c r="D226" s="63" t="s">
        <v>31</v>
      </c>
      <c r="E226" s="75" t="s">
        <v>38362</v>
      </c>
      <c r="F226" s="67">
        <v>43759</v>
      </c>
      <c r="G226" s="10" t="s">
        <v>38363</v>
      </c>
      <c r="H226" s="10" t="s">
        <v>994</v>
      </c>
      <c r="I226" s="10" t="s">
        <v>63</v>
      </c>
      <c r="J226" s="65">
        <v>45426</v>
      </c>
      <c r="K226" s="10" t="s">
        <v>995</v>
      </c>
      <c r="L226" s="10" t="s">
        <v>17337</v>
      </c>
      <c r="M226" s="10" t="s">
        <v>21</v>
      </c>
      <c r="N226" s="10" t="s">
        <v>38364</v>
      </c>
      <c r="O226" s="10" t="s">
        <v>372</v>
      </c>
      <c r="P226" s="1" t="s">
        <v>30089</v>
      </c>
      <c r="Q226" s="62" t="s">
        <v>38365</v>
      </c>
      <c r="R226" s="10" t="s">
        <v>94</v>
      </c>
      <c r="S226" s="63" t="s">
        <v>22</v>
      </c>
      <c r="T226" s="68" t="s">
        <v>26781</v>
      </c>
      <c r="U226" s="68" t="s">
        <v>26572</v>
      </c>
      <c r="V226" s="68" t="s">
        <v>26571</v>
      </c>
      <c r="W226" s="68" t="s">
        <v>94</v>
      </c>
      <c r="X226" s="68">
        <v>5114</v>
      </c>
      <c r="Z226" s="68" t="s">
        <v>42968</v>
      </c>
      <c r="AA226" s="33">
        <v>7438</v>
      </c>
    </row>
    <row r="227" spans="1:27" ht="13" customHeight="1" x14ac:dyDescent="0.15">
      <c r="A227" s="63" t="s">
        <v>39203</v>
      </c>
      <c r="B227" s="101">
        <v>37</v>
      </c>
      <c r="C227" s="63" t="s">
        <v>103</v>
      </c>
      <c r="D227" s="68" t="s">
        <v>42</v>
      </c>
      <c r="E227" s="68"/>
      <c r="F227" s="67">
        <v>43759</v>
      </c>
      <c r="G227" s="10" t="s">
        <v>39204</v>
      </c>
      <c r="H227" s="10" t="s">
        <v>1194</v>
      </c>
      <c r="I227" s="10" t="s">
        <v>250</v>
      </c>
      <c r="J227" s="65">
        <v>89052</v>
      </c>
      <c r="K227" s="10" t="s">
        <v>527</v>
      </c>
      <c r="L227" s="10" t="s">
        <v>1387</v>
      </c>
      <c r="M227" s="10" t="s">
        <v>21</v>
      </c>
      <c r="N227" s="10" t="s">
        <v>39205</v>
      </c>
      <c r="O227" s="10" t="s">
        <v>372</v>
      </c>
      <c r="P227" s="1" t="s">
        <v>30089</v>
      </c>
      <c r="Q227" s="62" t="s">
        <v>39206</v>
      </c>
      <c r="R227" s="10" t="s">
        <v>94</v>
      </c>
      <c r="S227" s="63" t="s">
        <v>22</v>
      </c>
      <c r="T227" s="68" t="s">
        <v>26781</v>
      </c>
      <c r="U227" s="68" t="s">
        <v>26572</v>
      </c>
      <c r="V227" s="68" t="s">
        <v>26573</v>
      </c>
      <c r="W227" s="68" t="s">
        <v>512</v>
      </c>
      <c r="X227" s="68">
        <v>5216</v>
      </c>
      <c r="Z227" s="68" t="s">
        <v>42968</v>
      </c>
      <c r="AA227" s="33">
        <v>7441</v>
      </c>
    </row>
    <row r="228" spans="1:27" ht="13" customHeight="1" x14ac:dyDescent="0.15">
      <c r="A228" s="10" t="s">
        <v>38371</v>
      </c>
      <c r="B228" s="99">
        <v>39</v>
      </c>
      <c r="C228" s="10" t="s">
        <v>14</v>
      </c>
      <c r="D228" s="10" t="s">
        <v>31</v>
      </c>
      <c r="E228" s="64" t="s">
        <v>38372</v>
      </c>
      <c r="F228" s="67">
        <v>43759</v>
      </c>
      <c r="G228" s="10" t="s">
        <v>38373</v>
      </c>
      <c r="H228" s="10" t="s">
        <v>12216</v>
      </c>
      <c r="I228" s="10" t="s">
        <v>106</v>
      </c>
      <c r="J228" s="65">
        <v>97123</v>
      </c>
      <c r="K228" s="10" t="s">
        <v>107</v>
      </c>
      <c r="L228" s="10" t="s">
        <v>12218</v>
      </c>
      <c r="M228" s="10" t="s">
        <v>21</v>
      </c>
      <c r="N228" s="10" t="s">
        <v>38374</v>
      </c>
      <c r="O228" s="10" t="s">
        <v>372</v>
      </c>
      <c r="P228" s="1" t="s">
        <v>30089</v>
      </c>
      <c r="Q228" s="64" t="s">
        <v>38375</v>
      </c>
      <c r="R228" s="10" t="s">
        <v>94</v>
      </c>
      <c r="S228" s="63" t="s">
        <v>22</v>
      </c>
      <c r="T228" s="68" t="s">
        <v>26781</v>
      </c>
      <c r="U228" s="68" t="s">
        <v>26572</v>
      </c>
      <c r="V228" s="68" t="s">
        <v>26573</v>
      </c>
      <c r="W228" s="68" t="s">
        <v>94</v>
      </c>
      <c r="X228" s="68">
        <v>5120</v>
      </c>
      <c r="Z228" s="68" t="s">
        <v>42968</v>
      </c>
      <c r="AA228" s="33">
        <v>7439</v>
      </c>
    </row>
    <row r="229" spans="1:27" ht="13" customHeight="1" x14ac:dyDescent="0.15">
      <c r="A229" s="63" t="s">
        <v>3002</v>
      </c>
      <c r="B229" s="69"/>
      <c r="C229" s="63" t="s">
        <v>14</v>
      </c>
      <c r="D229" s="63" t="s">
        <v>24</v>
      </c>
      <c r="E229" s="68"/>
      <c r="F229" s="67">
        <v>43759</v>
      </c>
      <c r="G229" s="10" t="s">
        <v>38373</v>
      </c>
      <c r="H229" s="10" t="s">
        <v>12216</v>
      </c>
      <c r="I229" s="10" t="s">
        <v>106</v>
      </c>
      <c r="J229" s="65">
        <v>97123</v>
      </c>
      <c r="K229" s="10" t="s">
        <v>107</v>
      </c>
      <c r="L229" s="10" t="s">
        <v>12218</v>
      </c>
      <c r="M229" s="10" t="s">
        <v>21</v>
      </c>
      <c r="N229" s="10" t="s">
        <v>42234</v>
      </c>
      <c r="O229" s="10" t="s">
        <v>372</v>
      </c>
      <c r="P229" s="1" t="s">
        <v>30089</v>
      </c>
      <c r="Q229" s="62" t="s">
        <v>42235</v>
      </c>
      <c r="R229" s="10" t="s">
        <v>94</v>
      </c>
      <c r="S229" s="63" t="s">
        <v>22</v>
      </c>
      <c r="T229" s="34" t="s">
        <v>26781</v>
      </c>
      <c r="U229" s="34" t="s">
        <v>26572</v>
      </c>
      <c r="V229" s="68"/>
      <c r="W229" s="68"/>
      <c r="X229" s="68"/>
      <c r="Z229" s="68" t="s">
        <v>42968</v>
      </c>
      <c r="AA229" s="33">
        <v>7442</v>
      </c>
    </row>
    <row r="230" spans="1:27" ht="13" customHeight="1" x14ac:dyDescent="0.15">
      <c r="A230" s="10" t="s">
        <v>39105</v>
      </c>
      <c r="B230" s="99">
        <v>36</v>
      </c>
      <c r="C230" s="10" t="s">
        <v>14</v>
      </c>
      <c r="D230" s="10" t="s">
        <v>24</v>
      </c>
      <c r="E230" s="63"/>
      <c r="F230" s="67">
        <v>43759</v>
      </c>
      <c r="G230" s="10" t="s">
        <v>39106</v>
      </c>
      <c r="H230" s="10" t="s">
        <v>1212</v>
      </c>
      <c r="I230" s="10" t="s">
        <v>192</v>
      </c>
      <c r="J230" s="65">
        <v>80204</v>
      </c>
      <c r="K230" s="10" t="s">
        <v>1212</v>
      </c>
      <c r="L230" s="10" t="s">
        <v>1213</v>
      </c>
      <c r="M230" s="10" t="s">
        <v>21</v>
      </c>
      <c r="N230" s="10" t="s">
        <v>39107</v>
      </c>
      <c r="O230" s="10" t="s">
        <v>372</v>
      </c>
      <c r="P230" s="1" t="s">
        <v>30089</v>
      </c>
      <c r="Q230" s="64" t="s">
        <v>39108</v>
      </c>
      <c r="R230" s="10" t="s">
        <v>94</v>
      </c>
      <c r="S230" s="63" t="s">
        <v>22</v>
      </c>
      <c r="T230" s="68" t="s">
        <v>26781</v>
      </c>
      <c r="U230" s="68" t="s">
        <v>26572</v>
      </c>
      <c r="V230" s="68" t="s">
        <v>26571</v>
      </c>
      <c r="W230" s="68" t="s">
        <v>94</v>
      </c>
      <c r="X230" s="68">
        <v>5214</v>
      </c>
      <c r="Z230" s="68" t="s">
        <v>42966</v>
      </c>
      <c r="AA230" s="33">
        <v>7440</v>
      </c>
    </row>
    <row r="231" spans="1:27" ht="13" customHeight="1" x14ac:dyDescent="0.15">
      <c r="A231" s="10" t="s">
        <v>41792</v>
      </c>
      <c r="B231" s="100">
        <v>36</v>
      </c>
      <c r="C231" s="10" t="s">
        <v>14</v>
      </c>
      <c r="D231" s="10" t="s">
        <v>79</v>
      </c>
      <c r="E231" s="10" t="s">
        <v>41793</v>
      </c>
      <c r="F231" s="67">
        <v>43759</v>
      </c>
      <c r="G231" s="10" t="s">
        <v>41794</v>
      </c>
      <c r="H231" s="10" t="s">
        <v>41795</v>
      </c>
      <c r="I231" s="10" t="s">
        <v>88</v>
      </c>
      <c r="J231" s="65">
        <v>36582</v>
      </c>
      <c r="K231" s="10" t="s">
        <v>12671</v>
      </c>
      <c r="L231" s="10" t="s">
        <v>41796</v>
      </c>
      <c r="M231" s="10" t="s">
        <v>363</v>
      </c>
      <c r="N231" s="10" t="s">
        <v>41797</v>
      </c>
      <c r="O231" s="10" t="s">
        <v>372</v>
      </c>
      <c r="P231" s="1" t="s">
        <v>30089</v>
      </c>
      <c r="Q231" s="64" t="s">
        <v>41798</v>
      </c>
      <c r="R231" s="10" t="s">
        <v>94</v>
      </c>
      <c r="S231" s="63" t="s">
        <v>12</v>
      </c>
      <c r="T231" s="34" t="s">
        <v>29705</v>
      </c>
      <c r="U231" s="34" t="s">
        <v>26570</v>
      </c>
      <c r="V231" s="68"/>
      <c r="W231" s="68"/>
      <c r="X231" s="68"/>
      <c r="Z231" s="68" t="s">
        <v>42968</v>
      </c>
      <c r="AA231" s="33">
        <v>7443</v>
      </c>
    </row>
    <row r="232" spans="1:27" ht="13" customHeight="1" x14ac:dyDescent="0.15">
      <c r="A232" s="63" t="s">
        <v>37632</v>
      </c>
      <c r="B232" s="101">
        <v>30</v>
      </c>
      <c r="C232" s="63" t="s">
        <v>14</v>
      </c>
      <c r="D232" s="68" t="s">
        <v>79</v>
      </c>
      <c r="E232" s="75" t="s">
        <v>37633</v>
      </c>
      <c r="F232" s="67">
        <v>43758</v>
      </c>
      <c r="G232" s="10" t="s">
        <v>37634</v>
      </c>
      <c r="H232" s="10" t="s">
        <v>661</v>
      </c>
      <c r="I232" s="10" t="s">
        <v>402</v>
      </c>
      <c r="J232" s="65">
        <v>63121</v>
      </c>
      <c r="K232" s="10" t="s">
        <v>661</v>
      </c>
      <c r="L232" s="10" t="s">
        <v>4162</v>
      </c>
      <c r="M232" s="10" t="s">
        <v>21</v>
      </c>
      <c r="N232" s="10" t="s">
        <v>37635</v>
      </c>
      <c r="O232" s="10" t="s">
        <v>372</v>
      </c>
      <c r="P232" s="1" t="s">
        <v>30089</v>
      </c>
      <c r="Q232" s="62" t="s">
        <v>37636</v>
      </c>
      <c r="R232" s="10" t="s">
        <v>94</v>
      </c>
      <c r="S232" s="63" t="s">
        <v>22</v>
      </c>
      <c r="T232" s="68" t="s">
        <v>26781</v>
      </c>
      <c r="U232" s="68" t="s">
        <v>26572</v>
      </c>
      <c r="V232" s="68" t="s">
        <v>26571</v>
      </c>
      <c r="W232" s="68" t="s">
        <v>94</v>
      </c>
      <c r="X232" s="68">
        <v>5116</v>
      </c>
      <c r="Z232" s="68" t="s">
        <v>42968</v>
      </c>
      <c r="AA232" s="33">
        <v>7436</v>
      </c>
    </row>
    <row r="233" spans="1:27" ht="13" customHeight="1" x14ac:dyDescent="0.15">
      <c r="A233" s="63" t="s">
        <v>41528</v>
      </c>
      <c r="B233" s="101">
        <v>33</v>
      </c>
      <c r="C233" s="63" t="s">
        <v>103</v>
      </c>
      <c r="D233" s="63" t="s">
        <v>31</v>
      </c>
      <c r="E233" s="68"/>
      <c r="F233" s="67">
        <v>43758</v>
      </c>
      <c r="G233" s="10" t="s">
        <v>41084</v>
      </c>
      <c r="H233" s="10" t="s">
        <v>3901</v>
      </c>
      <c r="I233" s="10" t="s">
        <v>735</v>
      </c>
      <c r="J233" s="65">
        <v>83703</v>
      </c>
      <c r="K233" s="10" t="s">
        <v>3903</v>
      </c>
      <c r="L233" s="10" t="s">
        <v>3904</v>
      </c>
      <c r="M233" s="10" t="s">
        <v>21</v>
      </c>
      <c r="N233" s="10" t="s">
        <v>41529</v>
      </c>
      <c r="O233" s="10" t="s">
        <v>372</v>
      </c>
      <c r="P233" s="1" t="s">
        <v>30089</v>
      </c>
      <c r="Q233" s="62" t="s">
        <v>41530</v>
      </c>
      <c r="R233" s="10" t="s">
        <v>512</v>
      </c>
      <c r="S233" s="63" t="s">
        <v>12</v>
      </c>
      <c r="T233" s="68" t="s">
        <v>29425</v>
      </c>
      <c r="U233" s="68" t="s">
        <v>26572</v>
      </c>
      <c r="V233" s="68" t="s">
        <v>26573</v>
      </c>
      <c r="W233" s="68" t="s">
        <v>512</v>
      </c>
      <c r="X233" s="68">
        <v>5117</v>
      </c>
      <c r="Z233" s="68" t="s">
        <v>42968</v>
      </c>
      <c r="AA233" s="33">
        <v>7437</v>
      </c>
    </row>
    <row r="234" spans="1:27" ht="13" customHeight="1" x14ac:dyDescent="0.15">
      <c r="A234" s="63" t="s">
        <v>40842</v>
      </c>
      <c r="B234" s="101">
        <v>51</v>
      </c>
      <c r="C234" s="63" t="s">
        <v>14</v>
      </c>
      <c r="D234" s="68" t="s">
        <v>31</v>
      </c>
      <c r="E234" s="75" t="s">
        <v>40843</v>
      </c>
      <c r="F234" s="67">
        <v>43758</v>
      </c>
      <c r="G234" s="10" t="s">
        <v>40844</v>
      </c>
      <c r="H234" s="10" t="s">
        <v>11065</v>
      </c>
      <c r="I234" s="10" t="s">
        <v>56</v>
      </c>
      <c r="J234" s="65">
        <v>34748</v>
      </c>
      <c r="K234" s="10" t="s">
        <v>1179</v>
      </c>
      <c r="L234" s="10" t="s">
        <v>1180</v>
      </c>
      <c r="M234" s="10" t="s">
        <v>21</v>
      </c>
      <c r="N234" s="10" t="s">
        <v>40845</v>
      </c>
      <c r="O234" s="10" t="s">
        <v>372</v>
      </c>
      <c r="P234" s="1" t="s">
        <v>30089</v>
      </c>
      <c r="Q234" s="62" t="s">
        <v>40846</v>
      </c>
      <c r="R234" s="10" t="s">
        <v>512</v>
      </c>
      <c r="S234" s="63" t="s">
        <v>22</v>
      </c>
      <c r="T234" s="68" t="s">
        <v>40847</v>
      </c>
      <c r="U234" s="68" t="s">
        <v>26570</v>
      </c>
      <c r="V234" s="68" t="s">
        <v>26573</v>
      </c>
      <c r="W234" s="68" t="s">
        <v>94</v>
      </c>
      <c r="X234" s="68">
        <v>5217</v>
      </c>
      <c r="Z234" s="68" t="s">
        <v>42968</v>
      </c>
      <c r="AA234" s="33">
        <v>7435</v>
      </c>
    </row>
    <row r="235" spans="1:27" ht="13" customHeight="1" x14ac:dyDescent="0.15">
      <c r="A235" s="63" t="s">
        <v>40446</v>
      </c>
      <c r="B235" s="101">
        <v>61</v>
      </c>
      <c r="C235" s="63" t="s">
        <v>14</v>
      </c>
      <c r="D235" s="68" t="s">
        <v>24</v>
      </c>
      <c r="E235" s="68"/>
      <c r="F235" s="67">
        <v>43757</v>
      </c>
      <c r="G235" s="10" t="s">
        <v>40447</v>
      </c>
      <c r="H235" s="10" t="s">
        <v>40448</v>
      </c>
      <c r="I235" s="10" t="s">
        <v>26</v>
      </c>
      <c r="J235" s="65">
        <v>29640</v>
      </c>
      <c r="K235" s="10" t="s">
        <v>4698</v>
      </c>
      <c r="L235" s="10" t="s">
        <v>4699</v>
      </c>
      <c r="M235" s="10" t="s">
        <v>21</v>
      </c>
      <c r="N235" s="10" t="s">
        <v>40449</v>
      </c>
      <c r="O235" s="10" t="s">
        <v>372</v>
      </c>
      <c r="P235" s="1" t="s">
        <v>30089</v>
      </c>
      <c r="Q235" s="62" t="s">
        <v>40450</v>
      </c>
      <c r="R235" s="10" t="s">
        <v>94</v>
      </c>
      <c r="S235" s="63" t="s">
        <v>29</v>
      </c>
      <c r="T235" s="68" t="s">
        <v>26575</v>
      </c>
      <c r="U235" s="68" t="s">
        <v>26575</v>
      </c>
      <c r="V235" s="68">
        <v>0</v>
      </c>
      <c r="W235" s="68" t="s">
        <v>94</v>
      </c>
      <c r="X235" s="68">
        <v>5218</v>
      </c>
      <c r="Z235" s="68" t="s">
        <v>42968</v>
      </c>
      <c r="AA235" s="33">
        <v>7434</v>
      </c>
    </row>
    <row r="236" spans="1:27" ht="13" customHeight="1" x14ac:dyDescent="0.15">
      <c r="A236" s="63" t="s">
        <v>39338</v>
      </c>
      <c r="B236" s="101">
        <v>34</v>
      </c>
      <c r="C236" s="63" t="s">
        <v>14</v>
      </c>
      <c r="D236" s="68" t="s">
        <v>31</v>
      </c>
      <c r="E236" s="75" t="s">
        <v>39339</v>
      </c>
      <c r="F236" s="67">
        <v>43757</v>
      </c>
      <c r="G236" s="10" t="s">
        <v>39340</v>
      </c>
      <c r="H236" s="10" t="s">
        <v>1868</v>
      </c>
      <c r="I236" s="10" t="s">
        <v>67</v>
      </c>
      <c r="J236" s="65">
        <v>75803</v>
      </c>
      <c r="K236" s="10" t="s">
        <v>233</v>
      </c>
      <c r="L236" s="10" t="s">
        <v>262</v>
      </c>
      <c r="M236" s="10" t="s">
        <v>21</v>
      </c>
      <c r="N236" s="10" t="s">
        <v>39341</v>
      </c>
      <c r="O236" s="10" t="s">
        <v>372</v>
      </c>
      <c r="P236" s="1" t="s">
        <v>30089</v>
      </c>
      <c r="Q236" s="62" t="s">
        <v>39342</v>
      </c>
      <c r="R236" s="10" t="s">
        <v>23</v>
      </c>
      <c r="S236" s="63" t="s">
        <v>22</v>
      </c>
      <c r="T236" s="68" t="s">
        <v>34228</v>
      </c>
      <c r="U236" s="68" t="s">
        <v>26572</v>
      </c>
      <c r="V236" s="68" t="s">
        <v>19228</v>
      </c>
      <c r="W236" s="68" t="s">
        <v>94</v>
      </c>
      <c r="X236" s="68">
        <v>5219</v>
      </c>
      <c r="Z236" s="68" t="s">
        <v>42967</v>
      </c>
      <c r="AA236" s="33">
        <v>7432</v>
      </c>
    </row>
    <row r="237" spans="1:27" ht="13" customHeight="1" x14ac:dyDescent="0.15">
      <c r="A237" s="10" t="s">
        <v>42118</v>
      </c>
      <c r="B237" s="99">
        <v>41</v>
      </c>
      <c r="C237" s="10" t="s">
        <v>14</v>
      </c>
      <c r="D237" s="10" t="s">
        <v>42</v>
      </c>
      <c r="E237" s="64" t="s">
        <v>42119</v>
      </c>
      <c r="F237" s="67">
        <v>43757</v>
      </c>
      <c r="G237" s="10" t="s">
        <v>42120</v>
      </c>
      <c r="H237" s="10" t="s">
        <v>7206</v>
      </c>
      <c r="I237" s="10" t="s">
        <v>39</v>
      </c>
      <c r="J237" s="65">
        <v>92395</v>
      </c>
      <c r="K237" s="10" t="s">
        <v>288</v>
      </c>
      <c r="L237" s="10" t="s">
        <v>32215</v>
      </c>
      <c r="M237" s="10" t="s">
        <v>2909</v>
      </c>
      <c r="N237" s="10" t="s">
        <v>42121</v>
      </c>
      <c r="O237" s="10" t="s">
        <v>372</v>
      </c>
      <c r="P237" s="1" t="s">
        <v>30089</v>
      </c>
      <c r="Q237" s="64" t="s">
        <v>42122</v>
      </c>
      <c r="R237" s="10" t="s">
        <v>904</v>
      </c>
      <c r="S237" s="63" t="s">
        <v>12</v>
      </c>
      <c r="T237" s="34" t="s">
        <v>29705</v>
      </c>
      <c r="U237" s="34"/>
      <c r="V237" s="68"/>
      <c r="W237" s="68"/>
      <c r="X237" s="68"/>
      <c r="Z237" s="68" t="s">
        <v>42968</v>
      </c>
      <c r="AA237" s="33">
        <v>7433</v>
      </c>
    </row>
    <row r="238" spans="1:27" ht="13" customHeight="1" x14ac:dyDescent="0.15">
      <c r="A238" s="63" t="s">
        <v>39569</v>
      </c>
      <c r="B238" s="101">
        <v>38</v>
      </c>
      <c r="C238" s="63" t="s">
        <v>14</v>
      </c>
      <c r="D238" s="68" t="s">
        <v>31</v>
      </c>
      <c r="E238" s="75" t="s">
        <v>39570</v>
      </c>
      <c r="F238" s="67">
        <v>43756</v>
      </c>
      <c r="G238" s="10" t="s">
        <v>39571</v>
      </c>
      <c r="H238" s="10" t="s">
        <v>39572</v>
      </c>
      <c r="I238" s="10" t="s">
        <v>75</v>
      </c>
      <c r="J238" s="65">
        <v>7727</v>
      </c>
      <c r="K238" s="10" t="s">
        <v>1627</v>
      </c>
      <c r="L238" s="10" t="s">
        <v>39573</v>
      </c>
      <c r="M238" s="10" t="s">
        <v>21</v>
      </c>
      <c r="N238" s="10" t="s">
        <v>39574</v>
      </c>
      <c r="O238" s="10" t="s">
        <v>372</v>
      </c>
      <c r="P238" s="1" t="s">
        <v>30089</v>
      </c>
      <c r="Q238" s="62" t="s">
        <v>39575</v>
      </c>
      <c r="R238" s="10" t="s">
        <v>94</v>
      </c>
      <c r="S238" s="63" t="s">
        <v>22</v>
      </c>
      <c r="T238" s="68" t="s">
        <v>26774</v>
      </c>
      <c r="U238" s="68" t="s">
        <v>26572</v>
      </c>
      <c r="V238" s="68" t="s">
        <v>26573</v>
      </c>
      <c r="W238" s="68" t="s">
        <v>94</v>
      </c>
      <c r="X238" s="68">
        <v>5118</v>
      </c>
      <c r="Z238" s="68" t="s">
        <v>42968</v>
      </c>
      <c r="AA238" s="33">
        <v>7430</v>
      </c>
    </row>
    <row r="239" spans="1:27" ht="13" customHeight="1" x14ac:dyDescent="0.15">
      <c r="A239" s="63" t="s">
        <v>41072</v>
      </c>
      <c r="B239" s="101">
        <v>29</v>
      </c>
      <c r="C239" s="63" t="s">
        <v>14</v>
      </c>
      <c r="D239" s="63" t="s">
        <v>31</v>
      </c>
      <c r="E239" s="68"/>
      <c r="F239" s="67">
        <v>43756</v>
      </c>
      <c r="G239" s="10" t="s">
        <v>41073</v>
      </c>
      <c r="H239" s="10" t="s">
        <v>20981</v>
      </c>
      <c r="I239" s="10" t="s">
        <v>735</v>
      </c>
      <c r="J239" s="65">
        <v>83404</v>
      </c>
      <c r="K239" s="10" t="s">
        <v>31789</v>
      </c>
      <c r="L239" s="10" t="s">
        <v>32196</v>
      </c>
      <c r="M239" s="10" t="s">
        <v>21</v>
      </c>
      <c r="N239" s="10" t="s">
        <v>41074</v>
      </c>
      <c r="O239" s="10" t="s">
        <v>372</v>
      </c>
      <c r="P239" s="1" t="s">
        <v>30089</v>
      </c>
      <c r="Q239" s="62" t="s">
        <v>41075</v>
      </c>
      <c r="R239" s="10" t="s">
        <v>512</v>
      </c>
      <c r="S239" s="63" t="s">
        <v>22</v>
      </c>
      <c r="T239" s="68" t="s">
        <v>26781</v>
      </c>
      <c r="U239" s="68" t="s">
        <v>26572</v>
      </c>
      <c r="V239" s="68" t="s">
        <v>26573</v>
      </c>
      <c r="W239" s="68" t="s">
        <v>94</v>
      </c>
      <c r="X239" s="68">
        <v>5115</v>
      </c>
      <c r="Z239" s="68" t="s">
        <v>42966</v>
      </c>
      <c r="AA239" s="33">
        <v>7429</v>
      </c>
    </row>
    <row r="240" spans="1:27" ht="13" customHeight="1" x14ac:dyDescent="0.15">
      <c r="A240" s="63" t="s">
        <v>40807</v>
      </c>
      <c r="B240" s="101">
        <v>46</v>
      </c>
      <c r="C240" s="63" t="s">
        <v>14</v>
      </c>
      <c r="D240" s="68" t="s">
        <v>24</v>
      </c>
      <c r="E240" s="68"/>
      <c r="F240" s="67">
        <v>43756</v>
      </c>
      <c r="G240" s="10" t="s">
        <v>40808</v>
      </c>
      <c r="H240" s="10" t="s">
        <v>40809</v>
      </c>
      <c r="I240" s="10" t="s">
        <v>51</v>
      </c>
      <c r="J240" s="65">
        <v>49099</v>
      </c>
      <c r="K240" s="10" t="s">
        <v>10132</v>
      </c>
      <c r="L240" s="10" t="s">
        <v>40810</v>
      </c>
      <c r="M240" s="10" t="s">
        <v>21</v>
      </c>
      <c r="N240" s="10" t="s">
        <v>40811</v>
      </c>
      <c r="O240" s="10" t="s">
        <v>372</v>
      </c>
      <c r="P240" s="1" t="s">
        <v>30089</v>
      </c>
      <c r="Q240" s="62" t="s">
        <v>40812</v>
      </c>
      <c r="R240" s="10" t="s">
        <v>94</v>
      </c>
      <c r="S240" s="63" t="s">
        <v>351</v>
      </c>
      <c r="T240" s="68" t="s">
        <v>26867</v>
      </c>
      <c r="U240" s="68" t="s">
        <v>26572</v>
      </c>
      <c r="V240" s="68" t="s">
        <v>26573</v>
      </c>
      <c r="W240" s="68" t="s">
        <v>94</v>
      </c>
      <c r="X240" s="68">
        <v>5112</v>
      </c>
      <c r="Z240" s="68" t="s">
        <v>42967</v>
      </c>
      <c r="AA240" s="33">
        <v>7431</v>
      </c>
    </row>
    <row r="241" spans="1:27" ht="13" customHeight="1" x14ac:dyDescent="0.15">
      <c r="A241" s="63" t="s">
        <v>39071</v>
      </c>
      <c r="B241" s="101">
        <v>34</v>
      </c>
      <c r="C241" s="63" t="s">
        <v>14</v>
      </c>
      <c r="D241" s="68" t="s">
        <v>24</v>
      </c>
      <c r="E241" s="68"/>
      <c r="F241" s="67">
        <v>43755</v>
      </c>
      <c r="G241" s="10" t="s">
        <v>39072</v>
      </c>
      <c r="H241" s="10" t="s">
        <v>5481</v>
      </c>
      <c r="I241" s="10" t="s">
        <v>918</v>
      </c>
      <c r="J241" s="65">
        <v>71671</v>
      </c>
      <c r="K241" s="10" t="s">
        <v>925</v>
      </c>
      <c r="L241" s="10" t="s">
        <v>5937</v>
      </c>
      <c r="M241" s="10" t="s">
        <v>21</v>
      </c>
      <c r="N241" s="10" t="s">
        <v>39073</v>
      </c>
      <c r="O241" s="10" t="s">
        <v>372</v>
      </c>
      <c r="P241" s="1" t="s">
        <v>30089</v>
      </c>
      <c r="Q241" s="62" t="s">
        <v>39074</v>
      </c>
      <c r="R241" s="10" t="s">
        <v>94</v>
      </c>
      <c r="S241" s="63" t="s">
        <v>22</v>
      </c>
      <c r="T241" s="68" t="s">
        <v>26781</v>
      </c>
      <c r="U241" s="68" t="s">
        <v>26572</v>
      </c>
      <c r="V241" s="68" t="s">
        <v>26571</v>
      </c>
      <c r="W241" s="68" t="s">
        <v>94</v>
      </c>
      <c r="X241" s="68">
        <v>5113</v>
      </c>
      <c r="Z241" s="68" t="s">
        <v>42967</v>
      </c>
      <c r="AA241" s="33">
        <v>7425</v>
      </c>
    </row>
    <row r="242" spans="1:27" ht="13" customHeight="1" x14ac:dyDescent="0.15">
      <c r="A242" s="63" t="s">
        <v>39877</v>
      </c>
      <c r="B242" s="101">
        <v>27</v>
      </c>
      <c r="C242" s="63" t="s">
        <v>14</v>
      </c>
      <c r="D242" s="68" t="s">
        <v>31</v>
      </c>
      <c r="E242" s="68"/>
      <c r="F242" s="67">
        <v>43755</v>
      </c>
      <c r="G242" s="10" t="s">
        <v>39878</v>
      </c>
      <c r="H242" s="10" t="s">
        <v>39879</v>
      </c>
      <c r="I242" s="10" t="s">
        <v>106</v>
      </c>
      <c r="J242" s="65">
        <v>97463</v>
      </c>
      <c r="K242" s="10" t="s">
        <v>2946</v>
      </c>
      <c r="L242" s="10" t="s">
        <v>39880</v>
      </c>
      <c r="M242" s="10" t="s">
        <v>21</v>
      </c>
      <c r="N242" s="10" t="s">
        <v>39881</v>
      </c>
      <c r="O242" s="10" t="s">
        <v>372</v>
      </c>
      <c r="P242" s="1" t="s">
        <v>30089</v>
      </c>
      <c r="Q242" s="62" t="s">
        <v>39882</v>
      </c>
      <c r="R242" s="10" t="s">
        <v>94</v>
      </c>
      <c r="S242" s="63" t="s">
        <v>22</v>
      </c>
      <c r="T242" s="68" t="s">
        <v>26610</v>
      </c>
      <c r="U242" s="68" t="s">
        <v>26570</v>
      </c>
      <c r="V242" s="68" t="s">
        <v>26573</v>
      </c>
      <c r="W242" s="68" t="s">
        <v>94</v>
      </c>
      <c r="X242" s="68">
        <v>5111</v>
      </c>
      <c r="Z242" s="68" t="s">
        <v>42967</v>
      </c>
      <c r="AA242" s="33">
        <v>7426</v>
      </c>
    </row>
    <row r="243" spans="1:27" ht="13" customHeight="1" x14ac:dyDescent="0.15">
      <c r="A243" s="63" t="s">
        <v>40621</v>
      </c>
      <c r="B243" s="101">
        <v>31</v>
      </c>
      <c r="C243" s="63" t="s">
        <v>14</v>
      </c>
      <c r="D243" s="68" t="s">
        <v>79</v>
      </c>
      <c r="E243" s="75" t="s">
        <v>40622</v>
      </c>
      <c r="F243" s="67">
        <v>43755</v>
      </c>
      <c r="G243" s="10" t="s">
        <v>40623</v>
      </c>
      <c r="H243" s="10" t="s">
        <v>1716</v>
      </c>
      <c r="I243" s="10" t="s">
        <v>395</v>
      </c>
      <c r="J243" s="65">
        <v>10467</v>
      </c>
      <c r="K243" s="10" t="s">
        <v>1716</v>
      </c>
      <c r="L243" s="10" t="s">
        <v>539</v>
      </c>
      <c r="M243" s="10" t="s">
        <v>21</v>
      </c>
      <c r="N243" s="10" t="s">
        <v>40624</v>
      </c>
      <c r="O243" s="10" t="s">
        <v>372</v>
      </c>
      <c r="P243" s="1" t="s">
        <v>30089</v>
      </c>
      <c r="Q243" s="62" t="s">
        <v>40625</v>
      </c>
      <c r="R243" s="10" t="s">
        <v>94</v>
      </c>
      <c r="S243" s="63" t="s">
        <v>351</v>
      </c>
      <c r="T243" s="68" t="s">
        <v>26867</v>
      </c>
      <c r="U243" s="68" t="s">
        <v>26572</v>
      </c>
      <c r="V243" s="68" t="s">
        <v>26573</v>
      </c>
      <c r="W243" s="68" t="s">
        <v>94</v>
      </c>
      <c r="X243" s="68">
        <v>5109</v>
      </c>
      <c r="Z243" s="68" t="s">
        <v>42966</v>
      </c>
      <c r="AA243" s="33">
        <v>7427</v>
      </c>
    </row>
    <row r="244" spans="1:27" ht="13" customHeight="1" x14ac:dyDescent="0.15">
      <c r="A244" s="10" t="s">
        <v>41704</v>
      </c>
      <c r="B244" s="99">
        <v>21</v>
      </c>
      <c r="C244" s="10" t="s">
        <v>14</v>
      </c>
      <c r="D244" s="10" t="s">
        <v>79</v>
      </c>
      <c r="E244" s="64" t="s">
        <v>41705</v>
      </c>
      <c r="F244" s="67">
        <v>43755</v>
      </c>
      <c r="G244" s="10" t="s">
        <v>41706</v>
      </c>
      <c r="H244" s="10" t="s">
        <v>1415</v>
      </c>
      <c r="I244" s="10" t="s">
        <v>621</v>
      </c>
      <c r="J244" s="65">
        <v>39069</v>
      </c>
      <c r="K244" s="10" t="s">
        <v>1659</v>
      </c>
      <c r="L244" s="10" t="s">
        <v>1579</v>
      </c>
      <c r="M244" s="10" t="s">
        <v>21</v>
      </c>
      <c r="N244" s="10" t="s">
        <v>41707</v>
      </c>
      <c r="O244" s="10" t="s">
        <v>372</v>
      </c>
      <c r="P244" s="1" t="s">
        <v>30089</v>
      </c>
      <c r="Q244" s="64" t="s">
        <v>41708</v>
      </c>
      <c r="R244" s="10" t="s">
        <v>23</v>
      </c>
      <c r="S244" s="63" t="s">
        <v>22</v>
      </c>
      <c r="T244" s="34" t="s">
        <v>35257</v>
      </c>
      <c r="U244" s="34" t="s">
        <v>26572</v>
      </c>
      <c r="V244" s="68"/>
      <c r="W244" s="68"/>
      <c r="X244" s="68"/>
      <c r="Z244" s="68" t="s">
        <v>42967</v>
      </c>
      <c r="AA244" s="33">
        <v>7428</v>
      </c>
    </row>
    <row r="245" spans="1:27" ht="13" customHeight="1" x14ac:dyDescent="0.15">
      <c r="A245" s="63" t="s">
        <v>37627</v>
      </c>
      <c r="B245" s="101">
        <v>21</v>
      </c>
      <c r="C245" s="63" t="s">
        <v>14</v>
      </c>
      <c r="D245" s="68" t="s">
        <v>79</v>
      </c>
      <c r="E245" s="68"/>
      <c r="F245" s="67">
        <v>43754</v>
      </c>
      <c r="G245" s="10" t="s">
        <v>37628</v>
      </c>
      <c r="H245" s="10" t="s">
        <v>37629</v>
      </c>
      <c r="I245" s="10" t="s">
        <v>39</v>
      </c>
      <c r="J245" s="65">
        <v>91411</v>
      </c>
      <c r="K245" s="10" t="s">
        <v>92</v>
      </c>
      <c r="L245" s="10" t="s">
        <v>93</v>
      </c>
      <c r="M245" s="10" t="s">
        <v>21</v>
      </c>
      <c r="N245" s="10" t="s">
        <v>37630</v>
      </c>
      <c r="O245" s="10" t="s">
        <v>372</v>
      </c>
      <c r="P245" s="1" t="s">
        <v>30089</v>
      </c>
      <c r="Q245" s="62" t="s">
        <v>37631</v>
      </c>
      <c r="R245" s="10" t="s">
        <v>94</v>
      </c>
      <c r="S245" s="63" t="s">
        <v>22</v>
      </c>
      <c r="T245" s="68" t="s">
        <v>26781</v>
      </c>
      <c r="U245" s="68" t="s">
        <v>26570</v>
      </c>
      <c r="V245" s="68" t="s">
        <v>26573</v>
      </c>
      <c r="W245" s="68" t="s">
        <v>94</v>
      </c>
      <c r="X245" s="68">
        <v>5108</v>
      </c>
      <c r="Z245" s="68" t="s">
        <v>42966</v>
      </c>
      <c r="AA245" s="33">
        <v>7423</v>
      </c>
    </row>
    <row r="246" spans="1:27" ht="13" customHeight="1" x14ac:dyDescent="0.15">
      <c r="A246" s="63" t="s">
        <v>38350</v>
      </c>
      <c r="B246" s="101">
        <v>28</v>
      </c>
      <c r="C246" s="63" t="s">
        <v>14</v>
      </c>
      <c r="D246" s="68" t="s">
        <v>31</v>
      </c>
      <c r="E246" s="75" t="s">
        <v>38351</v>
      </c>
      <c r="F246" s="67">
        <v>43754</v>
      </c>
      <c r="G246" s="10" t="s">
        <v>38352</v>
      </c>
      <c r="H246" s="10" t="s">
        <v>19532</v>
      </c>
      <c r="I246" s="10" t="s">
        <v>225</v>
      </c>
      <c r="J246" s="65">
        <v>24012</v>
      </c>
      <c r="K246" s="10" t="s">
        <v>19532</v>
      </c>
      <c r="L246" s="10" t="s">
        <v>26240</v>
      </c>
      <c r="M246" s="10" t="s">
        <v>21</v>
      </c>
      <c r="N246" s="10" t="s">
        <v>38353</v>
      </c>
      <c r="O246" s="10" t="s">
        <v>372</v>
      </c>
      <c r="P246" s="1" t="s">
        <v>30089</v>
      </c>
      <c r="Q246" s="62" t="s">
        <v>38354</v>
      </c>
      <c r="R246" s="10" t="s">
        <v>94</v>
      </c>
      <c r="S246" s="63" t="s">
        <v>22</v>
      </c>
      <c r="T246" s="68" t="s">
        <v>26781</v>
      </c>
      <c r="U246" s="68" t="s">
        <v>26572</v>
      </c>
      <c r="V246" s="68" t="s">
        <v>19228</v>
      </c>
      <c r="W246" s="68" t="s">
        <v>94</v>
      </c>
      <c r="X246" s="68">
        <v>5107</v>
      </c>
      <c r="Z246" s="68" t="s">
        <v>42968</v>
      </c>
      <c r="AA246" s="33">
        <v>7424</v>
      </c>
    </row>
    <row r="247" spans="1:27" ht="13" customHeight="1" x14ac:dyDescent="0.15">
      <c r="A247" s="63" t="s">
        <v>41067</v>
      </c>
      <c r="B247" s="101">
        <v>28</v>
      </c>
      <c r="C247" s="63" t="s">
        <v>14</v>
      </c>
      <c r="D247" s="68" t="s">
        <v>31</v>
      </c>
      <c r="E247" s="75" t="s">
        <v>41068</v>
      </c>
      <c r="F247" s="67">
        <v>43753</v>
      </c>
      <c r="G247" s="10" t="s">
        <v>41069</v>
      </c>
      <c r="H247" s="10" t="s">
        <v>16244</v>
      </c>
      <c r="I247" s="10" t="s">
        <v>338</v>
      </c>
      <c r="J247" s="65">
        <v>27282</v>
      </c>
      <c r="K247" s="10" t="s">
        <v>599</v>
      </c>
      <c r="L247" s="10" t="s">
        <v>5635</v>
      </c>
      <c r="M247" s="10" t="s">
        <v>21</v>
      </c>
      <c r="N247" s="10" t="s">
        <v>41070</v>
      </c>
      <c r="O247" s="10" t="s">
        <v>372</v>
      </c>
      <c r="P247" s="1" t="s">
        <v>30089</v>
      </c>
      <c r="Q247" s="62" t="s">
        <v>41071</v>
      </c>
      <c r="R247" s="10" t="s">
        <v>512</v>
      </c>
      <c r="S247" s="63" t="s">
        <v>22</v>
      </c>
      <c r="T247" s="68" t="s">
        <v>26781</v>
      </c>
      <c r="U247" s="68" t="s">
        <v>26572</v>
      </c>
      <c r="V247" s="68" t="s">
        <v>26573</v>
      </c>
      <c r="W247" s="68" t="s">
        <v>94</v>
      </c>
      <c r="X247" s="68">
        <v>5102</v>
      </c>
      <c r="Z247" s="68" t="s">
        <v>42968</v>
      </c>
      <c r="AA247" s="33">
        <v>7421</v>
      </c>
    </row>
    <row r="248" spans="1:27" ht="13" customHeight="1" x14ac:dyDescent="0.15">
      <c r="A248" s="63" t="s">
        <v>37622</v>
      </c>
      <c r="B248" s="101">
        <v>30</v>
      </c>
      <c r="C248" s="63" t="s">
        <v>14</v>
      </c>
      <c r="D248" s="68" t="s">
        <v>79</v>
      </c>
      <c r="E248" s="75" t="s">
        <v>37623</v>
      </c>
      <c r="F248" s="67">
        <v>43753</v>
      </c>
      <c r="G248" s="10" t="s">
        <v>37624</v>
      </c>
      <c r="H248" s="10" t="s">
        <v>1599</v>
      </c>
      <c r="I248" s="10" t="s">
        <v>395</v>
      </c>
      <c r="J248" s="65">
        <v>11201</v>
      </c>
      <c r="K248" s="10" t="s">
        <v>1601</v>
      </c>
      <c r="L248" s="10" t="s">
        <v>539</v>
      </c>
      <c r="M248" s="10" t="s">
        <v>21</v>
      </c>
      <c r="N248" s="10" t="s">
        <v>37625</v>
      </c>
      <c r="O248" s="10" t="s">
        <v>372</v>
      </c>
      <c r="P248" s="1" t="s">
        <v>30089</v>
      </c>
      <c r="Q248" s="62" t="s">
        <v>37626</v>
      </c>
      <c r="R248" s="10" t="s">
        <v>94</v>
      </c>
      <c r="S248" s="63" t="s">
        <v>22</v>
      </c>
      <c r="T248" s="68" t="s">
        <v>26781</v>
      </c>
      <c r="U248" s="68" t="s">
        <v>26572</v>
      </c>
      <c r="V248" s="68" t="s">
        <v>26573</v>
      </c>
      <c r="W248" s="68" t="s">
        <v>94</v>
      </c>
      <c r="X248" s="68">
        <v>5106</v>
      </c>
      <c r="Z248" s="68" t="s">
        <v>42966</v>
      </c>
      <c r="AA248" s="33">
        <v>7418</v>
      </c>
    </row>
    <row r="249" spans="1:27" ht="13" customHeight="1" x14ac:dyDescent="0.15">
      <c r="A249" s="63" t="s">
        <v>38355</v>
      </c>
      <c r="B249" s="101">
        <v>28</v>
      </c>
      <c r="C249" s="63" t="s">
        <v>14</v>
      </c>
      <c r="D249" s="68" t="s">
        <v>31</v>
      </c>
      <c r="E249" s="75" t="s">
        <v>38356</v>
      </c>
      <c r="F249" s="67">
        <v>43753</v>
      </c>
      <c r="G249" s="10" t="s">
        <v>2288</v>
      </c>
      <c r="H249" s="10" t="s">
        <v>38357</v>
      </c>
      <c r="I249" s="10" t="s">
        <v>735</v>
      </c>
      <c r="J249" s="65">
        <v>83355</v>
      </c>
      <c r="K249" s="10" t="s">
        <v>31905</v>
      </c>
      <c r="L249" s="10" t="s">
        <v>38358</v>
      </c>
      <c r="M249" s="10" t="s">
        <v>21</v>
      </c>
      <c r="N249" s="10" t="s">
        <v>38359</v>
      </c>
      <c r="O249" s="10" t="s">
        <v>372</v>
      </c>
      <c r="P249" s="1" t="s">
        <v>30089</v>
      </c>
      <c r="Q249" s="62" t="s">
        <v>38360</v>
      </c>
      <c r="R249" s="10" t="s">
        <v>94</v>
      </c>
      <c r="S249" s="63" t="s">
        <v>22</v>
      </c>
      <c r="T249" s="68" t="s">
        <v>26781</v>
      </c>
      <c r="U249" s="68" t="s">
        <v>26570</v>
      </c>
      <c r="V249" s="68" t="s">
        <v>26571</v>
      </c>
      <c r="W249" s="68" t="s">
        <v>94</v>
      </c>
      <c r="X249" s="68">
        <v>5110</v>
      </c>
      <c r="Z249" s="68" t="s">
        <v>42967</v>
      </c>
      <c r="AA249" s="33">
        <v>7420</v>
      </c>
    </row>
    <row r="250" spans="1:27" ht="13" customHeight="1" x14ac:dyDescent="0.15">
      <c r="A250" s="63" t="s">
        <v>37687</v>
      </c>
      <c r="B250" s="101">
        <v>26</v>
      </c>
      <c r="C250" s="63" t="s">
        <v>14</v>
      </c>
      <c r="D250" s="68" t="s">
        <v>79</v>
      </c>
      <c r="E250" s="75" t="s">
        <v>37688</v>
      </c>
      <c r="F250" s="67">
        <v>43753</v>
      </c>
      <c r="G250" s="10" t="s">
        <v>37689</v>
      </c>
      <c r="H250" s="10" t="s">
        <v>1217</v>
      </c>
      <c r="I250" s="10" t="s">
        <v>160</v>
      </c>
      <c r="J250" s="65">
        <v>30083</v>
      </c>
      <c r="K250" s="10" t="s">
        <v>805</v>
      </c>
      <c r="L250" s="10" t="s">
        <v>806</v>
      </c>
      <c r="M250" s="10" t="s">
        <v>21</v>
      </c>
      <c r="N250" s="10" t="s">
        <v>37690</v>
      </c>
      <c r="O250" s="10" t="s">
        <v>372</v>
      </c>
      <c r="P250" s="1" t="s">
        <v>30089</v>
      </c>
      <c r="Q250" s="62" t="s">
        <v>37691</v>
      </c>
      <c r="R250" s="10" t="s">
        <v>94</v>
      </c>
      <c r="S250" s="63" t="s">
        <v>22</v>
      </c>
      <c r="T250" s="68" t="s">
        <v>26781</v>
      </c>
      <c r="U250" s="68" t="s">
        <v>26572</v>
      </c>
      <c r="V250" s="68" t="s">
        <v>26573</v>
      </c>
      <c r="W250" s="68" t="s">
        <v>94</v>
      </c>
      <c r="X250" s="68">
        <v>5220</v>
      </c>
      <c r="Z250" s="68" t="s">
        <v>42968</v>
      </c>
      <c r="AA250" s="33">
        <v>7419</v>
      </c>
    </row>
    <row r="251" spans="1:27" ht="13" customHeight="1" x14ac:dyDescent="0.15">
      <c r="A251" s="63" t="s">
        <v>40329</v>
      </c>
      <c r="B251" s="101">
        <v>30</v>
      </c>
      <c r="C251" s="63" t="s">
        <v>14</v>
      </c>
      <c r="D251" s="68" t="s">
        <v>31</v>
      </c>
      <c r="E251" s="68"/>
      <c r="F251" s="67">
        <v>43753</v>
      </c>
      <c r="G251" s="10" t="s">
        <v>40330</v>
      </c>
      <c r="H251" s="10" t="s">
        <v>25211</v>
      </c>
      <c r="I251" s="10" t="s">
        <v>39</v>
      </c>
      <c r="J251" s="65">
        <v>93110</v>
      </c>
      <c r="K251" s="10" t="s">
        <v>1819</v>
      </c>
      <c r="L251" s="10" t="s">
        <v>23242</v>
      </c>
      <c r="M251" s="10" t="s">
        <v>21</v>
      </c>
      <c r="N251" s="10" t="s">
        <v>40331</v>
      </c>
      <c r="O251" s="10" t="s">
        <v>372</v>
      </c>
      <c r="P251" s="1" t="s">
        <v>30089</v>
      </c>
      <c r="Q251" s="62" t="s">
        <v>40332</v>
      </c>
      <c r="R251" s="10" t="s">
        <v>94</v>
      </c>
      <c r="S251" s="63" t="s">
        <v>29</v>
      </c>
      <c r="T251" s="68" t="s">
        <v>26575</v>
      </c>
      <c r="U251" s="68" t="s">
        <v>26570</v>
      </c>
      <c r="V251" s="68">
        <v>0</v>
      </c>
      <c r="W251" s="68" t="s">
        <v>94</v>
      </c>
      <c r="X251" s="68">
        <v>5105</v>
      </c>
      <c r="Z251" s="68" t="s">
        <v>42968</v>
      </c>
      <c r="AA251" s="33">
        <v>7422</v>
      </c>
    </row>
    <row r="252" spans="1:27" ht="13" customHeight="1" x14ac:dyDescent="0.15">
      <c r="A252" s="63" t="s">
        <v>37616</v>
      </c>
      <c r="B252" s="101">
        <v>61</v>
      </c>
      <c r="C252" s="63" t="s">
        <v>14</v>
      </c>
      <c r="D252" s="68" t="s">
        <v>79</v>
      </c>
      <c r="E252" s="75" t="s">
        <v>37617</v>
      </c>
      <c r="F252" s="67">
        <v>43752</v>
      </c>
      <c r="G252" s="10" t="s">
        <v>37618</v>
      </c>
      <c r="H252" s="10" t="s">
        <v>37619</v>
      </c>
      <c r="I252" s="10" t="s">
        <v>338</v>
      </c>
      <c r="J252" s="65">
        <v>27265</v>
      </c>
      <c r="K252" s="10" t="s">
        <v>599</v>
      </c>
      <c r="L252" s="10" t="s">
        <v>5635</v>
      </c>
      <c r="M252" s="10" t="s">
        <v>21</v>
      </c>
      <c r="N252" s="10" t="s">
        <v>37620</v>
      </c>
      <c r="O252" s="10" t="s">
        <v>372</v>
      </c>
      <c r="P252" s="1" t="s">
        <v>30089</v>
      </c>
      <c r="Q252" s="62" t="s">
        <v>37621</v>
      </c>
      <c r="R252" s="10" t="s">
        <v>94</v>
      </c>
      <c r="S252" s="63" t="s">
        <v>22</v>
      </c>
      <c r="T252" s="68" t="s">
        <v>26781</v>
      </c>
      <c r="U252" s="68" t="s">
        <v>26572</v>
      </c>
      <c r="V252" s="68" t="s">
        <v>26573</v>
      </c>
      <c r="W252" s="68" t="s">
        <v>94</v>
      </c>
      <c r="X252" s="68">
        <v>5101</v>
      </c>
      <c r="Z252" s="68" t="s">
        <v>42968</v>
      </c>
      <c r="AA252" s="33">
        <v>7414</v>
      </c>
    </row>
    <row r="253" spans="1:27" ht="13" customHeight="1" x14ac:dyDescent="0.15">
      <c r="A253" s="63" t="s">
        <v>39564</v>
      </c>
      <c r="B253" s="101">
        <v>54</v>
      </c>
      <c r="C253" s="63" t="s">
        <v>103</v>
      </c>
      <c r="D253" s="63" t="s">
        <v>31</v>
      </c>
      <c r="E253" s="68"/>
      <c r="F253" s="67">
        <v>43752</v>
      </c>
      <c r="G253" s="10" t="s">
        <v>39565</v>
      </c>
      <c r="H253" s="10" t="s">
        <v>6316</v>
      </c>
      <c r="I253" s="10" t="s">
        <v>160</v>
      </c>
      <c r="J253" s="65">
        <v>30606</v>
      </c>
      <c r="K253" s="10" t="s">
        <v>37826</v>
      </c>
      <c r="L253" s="10" t="s">
        <v>39566</v>
      </c>
      <c r="M253" s="10" t="s">
        <v>21</v>
      </c>
      <c r="N253" s="10" t="s">
        <v>39567</v>
      </c>
      <c r="O253" s="10" t="s">
        <v>372</v>
      </c>
      <c r="P253" s="1" t="s">
        <v>30089</v>
      </c>
      <c r="Q253" s="62" t="s">
        <v>39568</v>
      </c>
      <c r="R253" s="10" t="s">
        <v>94</v>
      </c>
      <c r="S253" s="63" t="s">
        <v>22</v>
      </c>
      <c r="T253" s="68" t="s">
        <v>26774</v>
      </c>
      <c r="U253" s="68" t="s">
        <v>26572</v>
      </c>
      <c r="V253" s="68" t="s">
        <v>26573</v>
      </c>
      <c r="W253" s="68" t="s">
        <v>512</v>
      </c>
      <c r="X253" s="68">
        <v>5103</v>
      </c>
      <c r="Z253" s="68" t="s">
        <v>42966</v>
      </c>
      <c r="AA253" s="33">
        <v>7416</v>
      </c>
    </row>
    <row r="254" spans="1:27" ht="13" customHeight="1" x14ac:dyDescent="0.15">
      <c r="A254" s="10" t="s">
        <v>41613</v>
      </c>
      <c r="B254" s="99">
        <v>31</v>
      </c>
      <c r="C254" s="10" t="s">
        <v>14</v>
      </c>
      <c r="D254" s="10" t="s">
        <v>79</v>
      </c>
      <c r="E254" s="64" t="s">
        <v>41614</v>
      </c>
      <c r="F254" s="67">
        <v>43752</v>
      </c>
      <c r="G254" s="10" t="s">
        <v>41615</v>
      </c>
      <c r="H254" s="10" t="s">
        <v>41616</v>
      </c>
      <c r="I254" s="70" t="s">
        <v>19</v>
      </c>
      <c r="J254" s="65">
        <v>70730</v>
      </c>
      <c r="K254" s="10" t="s">
        <v>37382</v>
      </c>
      <c r="L254" s="10" t="s">
        <v>41617</v>
      </c>
      <c r="M254" s="10" t="s">
        <v>21</v>
      </c>
      <c r="N254" s="10" t="s">
        <v>41618</v>
      </c>
      <c r="O254" s="10" t="s">
        <v>372</v>
      </c>
      <c r="P254" s="1" t="s">
        <v>30089</v>
      </c>
      <c r="Q254" s="64" t="s">
        <v>41619</v>
      </c>
      <c r="R254" s="10" t="s">
        <v>512</v>
      </c>
      <c r="S254" s="63" t="s">
        <v>12</v>
      </c>
      <c r="T254" s="54" t="s">
        <v>29705</v>
      </c>
      <c r="U254" s="68" t="s">
        <v>26575</v>
      </c>
      <c r="V254" s="68" t="s">
        <v>26574</v>
      </c>
      <c r="W254" s="68" t="s">
        <v>94</v>
      </c>
      <c r="X254" s="68">
        <v>5099</v>
      </c>
      <c r="Z254" s="68" t="s">
        <v>42967</v>
      </c>
      <c r="AA254" s="33">
        <v>7417</v>
      </c>
    </row>
    <row r="255" spans="1:27" ht="13" customHeight="1" x14ac:dyDescent="0.15">
      <c r="A255" s="10" t="s">
        <v>38527</v>
      </c>
      <c r="B255" s="100">
        <v>29</v>
      </c>
      <c r="C255" s="10" t="s">
        <v>14</v>
      </c>
      <c r="D255" s="10" t="s">
        <v>42</v>
      </c>
      <c r="E255" s="62" t="s">
        <v>38528</v>
      </c>
      <c r="F255" s="67">
        <v>43752</v>
      </c>
      <c r="G255" s="10" t="s">
        <v>38529</v>
      </c>
      <c r="H255" s="10" t="s">
        <v>866</v>
      </c>
      <c r="I255" s="70" t="s">
        <v>178</v>
      </c>
      <c r="J255" s="65">
        <v>87108</v>
      </c>
      <c r="K255" s="10" t="s">
        <v>433</v>
      </c>
      <c r="L255" s="10" t="s">
        <v>4562</v>
      </c>
      <c r="M255" s="10" t="s">
        <v>21</v>
      </c>
      <c r="N255" s="10" t="s">
        <v>38530</v>
      </c>
      <c r="O255" s="10" t="s">
        <v>372</v>
      </c>
      <c r="P255" s="1" t="s">
        <v>30089</v>
      </c>
      <c r="Q255" s="64" t="s">
        <v>38531</v>
      </c>
      <c r="R255" s="10" t="s">
        <v>94</v>
      </c>
      <c r="S255" s="63" t="s">
        <v>22</v>
      </c>
      <c r="T255" s="68" t="s">
        <v>26781</v>
      </c>
      <c r="U255" s="68" t="s">
        <v>26572</v>
      </c>
      <c r="V255" s="68" t="s">
        <v>26573</v>
      </c>
      <c r="W255" s="68" t="s">
        <v>94</v>
      </c>
      <c r="X255" s="68">
        <v>5092</v>
      </c>
      <c r="Z255" s="68" t="s">
        <v>42966</v>
      </c>
      <c r="AA255" s="33">
        <v>7415</v>
      </c>
    </row>
    <row r="256" spans="1:27" ht="13" customHeight="1" x14ac:dyDescent="0.15">
      <c r="A256" s="10" t="s">
        <v>38771</v>
      </c>
      <c r="B256" s="99">
        <v>19</v>
      </c>
      <c r="C256" s="10" t="s">
        <v>14</v>
      </c>
      <c r="D256" s="10" t="s">
        <v>42</v>
      </c>
      <c r="E256" s="64" t="s">
        <v>38772</v>
      </c>
      <c r="F256" s="67">
        <v>43751</v>
      </c>
      <c r="G256" s="10" t="s">
        <v>38773</v>
      </c>
      <c r="H256" s="10" t="s">
        <v>3067</v>
      </c>
      <c r="I256" s="70" t="s">
        <v>112</v>
      </c>
      <c r="J256" s="65">
        <v>85303</v>
      </c>
      <c r="K256" s="10" t="s">
        <v>585</v>
      </c>
      <c r="L256" s="10" t="s">
        <v>3069</v>
      </c>
      <c r="M256" s="10" t="s">
        <v>21</v>
      </c>
      <c r="N256" s="10" t="s">
        <v>38774</v>
      </c>
      <c r="O256" s="10" t="s">
        <v>372</v>
      </c>
      <c r="P256" s="1" t="s">
        <v>30089</v>
      </c>
      <c r="Q256" s="64" t="s">
        <v>38775</v>
      </c>
      <c r="R256" s="10" t="s">
        <v>23</v>
      </c>
      <c r="S256" s="63" t="s">
        <v>22</v>
      </c>
      <c r="T256" s="68" t="s">
        <v>26781</v>
      </c>
      <c r="U256" s="68" t="s">
        <v>26572</v>
      </c>
      <c r="V256" s="68" t="s">
        <v>26573</v>
      </c>
      <c r="W256" s="68" t="s">
        <v>94</v>
      </c>
      <c r="X256" s="68">
        <v>5089</v>
      </c>
      <c r="Z256" s="68" t="s">
        <v>42968</v>
      </c>
      <c r="AA256" s="33">
        <v>7412</v>
      </c>
    </row>
    <row r="257" spans="1:27" ht="13" customHeight="1" x14ac:dyDescent="0.15">
      <c r="A257" s="10" t="s">
        <v>38793</v>
      </c>
      <c r="B257" s="99">
        <v>26</v>
      </c>
      <c r="C257" s="10" t="s">
        <v>14</v>
      </c>
      <c r="D257" s="10" t="s">
        <v>42</v>
      </c>
      <c r="E257" s="10"/>
      <c r="F257" s="67">
        <v>43751</v>
      </c>
      <c r="G257" s="10" t="s">
        <v>38794</v>
      </c>
      <c r="H257" s="10" t="s">
        <v>16627</v>
      </c>
      <c r="I257" s="70" t="s">
        <v>112</v>
      </c>
      <c r="J257" s="65">
        <v>85326</v>
      </c>
      <c r="K257" s="10" t="s">
        <v>585</v>
      </c>
      <c r="L257" s="10" t="s">
        <v>16628</v>
      </c>
      <c r="M257" s="10" t="s">
        <v>21</v>
      </c>
      <c r="N257" s="10" t="s">
        <v>38795</v>
      </c>
      <c r="O257" s="10" t="s">
        <v>372</v>
      </c>
      <c r="P257" s="1" t="s">
        <v>30089</v>
      </c>
      <c r="Q257" s="64" t="s">
        <v>38796</v>
      </c>
      <c r="R257" s="10" t="s">
        <v>94</v>
      </c>
      <c r="S257" s="63" t="s">
        <v>22</v>
      </c>
      <c r="T257" s="68" t="s">
        <v>26781</v>
      </c>
      <c r="U257" s="68" t="s">
        <v>26572</v>
      </c>
      <c r="V257" s="68">
        <v>0</v>
      </c>
      <c r="W257" s="68" t="s">
        <v>94</v>
      </c>
      <c r="X257" s="68">
        <v>5221</v>
      </c>
      <c r="Z257" s="68" t="s">
        <v>42968</v>
      </c>
      <c r="AA257" s="33">
        <v>7413</v>
      </c>
    </row>
    <row r="258" spans="1:27" ht="13" customHeight="1" x14ac:dyDescent="0.15">
      <c r="A258" s="10" t="s">
        <v>37222</v>
      </c>
      <c r="B258" s="99">
        <v>22</v>
      </c>
      <c r="C258" s="10" t="s">
        <v>14</v>
      </c>
      <c r="D258" s="68" t="s">
        <v>42</v>
      </c>
      <c r="E258" s="10"/>
      <c r="F258" s="67">
        <v>43751</v>
      </c>
      <c r="G258" s="10" t="s">
        <v>37223</v>
      </c>
      <c r="H258" s="10" t="s">
        <v>11314</v>
      </c>
      <c r="I258" s="70" t="s">
        <v>67</v>
      </c>
      <c r="J258" s="65">
        <v>78415</v>
      </c>
      <c r="K258" s="10" t="s">
        <v>11316</v>
      </c>
      <c r="L258" s="10" t="s">
        <v>11317</v>
      </c>
      <c r="M258" s="10" t="s">
        <v>21</v>
      </c>
      <c r="N258" s="10" t="s">
        <v>37224</v>
      </c>
      <c r="O258" s="10" t="s">
        <v>372</v>
      </c>
      <c r="P258" s="1" t="s">
        <v>30089</v>
      </c>
      <c r="Q258" s="64" t="s">
        <v>37225</v>
      </c>
      <c r="R258" s="10" t="s">
        <v>94</v>
      </c>
      <c r="S258" s="63" t="s">
        <v>22</v>
      </c>
      <c r="T258" s="68" t="s">
        <v>26580</v>
      </c>
      <c r="U258" s="68" t="s">
        <v>26570</v>
      </c>
      <c r="V258" s="68" t="s">
        <v>26573</v>
      </c>
      <c r="W258" s="68" t="s">
        <v>512</v>
      </c>
      <c r="X258" s="68">
        <v>5093</v>
      </c>
      <c r="Z258" s="68" t="s">
        <v>42968</v>
      </c>
      <c r="AA258" s="33">
        <v>7411</v>
      </c>
    </row>
    <row r="259" spans="1:27" ht="13" customHeight="1" x14ac:dyDescent="0.15">
      <c r="A259" s="10" t="s">
        <v>1197</v>
      </c>
      <c r="B259" s="99">
        <v>32</v>
      </c>
      <c r="C259" s="10" t="s">
        <v>14</v>
      </c>
      <c r="D259" s="10" t="s">
        <v>24</v>
      </c>
      <c r="E259" s="10"/>
      <c r="F259" s="67">
        <v>43750</v>
      </c>
      <c r="G259" s="10" t="s">
        <v>39060</v>
      </c>
      <c r="H259" s="10" t="s">
        <v>1014</v>
      </c>
      <c r="I259" s="70" t="s">
        <v>26</v>
      </c>
      <c r="J259" s="65">
        <v>29572</v>
      </c>
      <c r="K259" s="10" t="s">
        <v>1015</v>
      </c>
      <c r="L259" s="10" t="s">
        <v>19895</v>
      </c>
      <c r="M259" s="10" t="s">
        <v>21</v>
      </c>
      <c r="N259" s="10" t="s">
        <v>39061</v>
      </c>
      <c r="O259" s="10" t="s">
        <v>372</v>
      </c>
      <c r="P259" s="1" t="s">
        <v>30089</v>
      </c>
      <c r="Q259" s="64" t="s">
        <v>39062</v>
      </c>
      <c r="R259" s="10" t="s">
        <v>94</v>
      </c>
      <c r="S259" s="63" t="s">
        <v>22</v>
      </c>
      <c r="T259" s="68" t="s">
        <v>26781</v>
      </c>
      <c r="U259" s="68" t="s">
        <v>26572</v>
      </c>
      <c r="V259" s="68" t="s">
        <v>26573</v>
      </c>
      <c r="W259" s="68" t="s">
        <v>94</v>
      </c>
      <c r="X259" s="68">
        <v>5091</v>
      </c>
      <c r="Z259" s="68" t="s">
        <v>42966</v>
      </c>
      <c r="AA259" s="33">
        <v>7409</v>
      </c>
    </row>
    <row r="260" spans="1:27" ht="13" customHeight="1" x14ac:dyDescent="0.15">
      <c r="A260" s="1" t="s">
        <v>37089</v>
      </c>
      <c r="B260" s="1">
        <v>28</v>
      </c>
      <c r="C260" s="1" t="s">
        <v>103</v>
      </c>
      <c r="D260" s="1" t="s">
        <v>79</v>
      </c>
      <c r="E260" s="1" t="s">
        <v>37090</v>
      </c>
      <c r="F260" s="67">
        <v>43750</v>
      </c>
      <c r="G260" s="1" t="s">
        <v>37091</v>
      </c>
      <c r="H260" s="1" t="s">
        <v>870</v>
      </c>
      <c r="I260" s="1" t="s">
        <v>67</v>
      </c>
      <c r="J260" s="1">
        <v>76104</v>
      </c>
      <c r="K260" s="1" t="s">
        <v>68</v>
      </c>
      <c r="L260" s="1" t="s">
        <v>871</v>
      </c>
      <c r="M260" s="1" t="s">
        <v>21</v>
      </c>
      <c r="N260" s="1" t="s">
        <v>37092</v>
      </c>
      <c r="O260" s="1" t="s">
        <v>32706</v>
      </c>
      <c r="P260" s="1" t="s">
        <v>1084</v>
      </c>
      <c r="Q260" s="1" t="s">
        <v>37093</v>
      </c>
      <c r="R260" s="1" t="s">
        <v>94</v>
      </c>
      <c r="S260" s="63" t="s">
        <v>12</v>
      </c>
      <c r="T260" s="68" t="s">
        <v>29705</v>
      </c>
      <c r="U260" s="68" t="s">
        <v>26570</v>
      </c>
      <c r="V260" s="68" t="s">
        <v>26573</v>
      </c>
      <c r="W260" s="68" t="s">
        <v>512</v>
      </c>
      <c r="X260" s="68">
        <v>5090</v>
      </c>
      <c r="Z260" s="1" t="s">
        <v>42966</v>
      </c>
      <c r="AA260" s="33">
        <v>7410</v>
      </c>
    </row>
    <row r="261" spans="1:27" ht="13" customHeight="1" x14ac:dyDescent="0.15">
      <c r="A261" s="63" t="s">
        <v>37612</v>
      </c>
      <c r="B261" s="101">
        <v>21</v>
      </c>
      <c r="C261" s="10" t="s">
        <v>14</v>
      </c>
      <c r="D261" s="10" t="s">
        <v>79</v>
      </c>
      <c r="E261" s="10"/>
      <c r="F261" s="67">
        <v>43750</v>
      </c>
      <c r="G261" s="10" t="s">
        <v>37613</v>
      </c>
      <c r="H261" s="10" t="s">
        <v>335</v>
      </c>
      <c r="I261" s="70" t="s">
        <v>39</v>
      </c>
      <c r="J261" s="65">
        <v>91731</v>
      </c>
      <c r="K261" s="10" t="s">
        <v>92</v>
      </c>
      <c r="L261" s="10" t="s">
        <v>336</v>
      </c>
      <c r="M261" s="10" t="s">
        <v>21</v>
      </c>
      <c r="N261" s="10" t="s">
        <v>37614</v>
      </c>
      <c r="O261" s="10" t="s">
        <v>372</v>
      </c>
      <c r="P261" s="1" t="s">
        <v>30089</v>
      </c>
      <c r="Q261" s="64" t="s">
        <v>37615</v>
      </c>
      <c r="R261" s="10" t="s">
        <v>94</v>
      </c>
      <c r="S261" s="63" t="s">
        <v>22</v>
      </c>
      <c r="T261" s="68" t="s">
        <v>26781</v>
      </c>
      <c r="U261" s="68" t="s">
        <v>26572</v>
      </c>
      <c r="V261" s="68" t="s">
        <v>26574</v>
      </c>
      <c r="W261" s="68" t="s">
        <v>94</v>
      </c>
      <c r="X261" s="68">
        <v>5094</v>
      </c>
      <c r="Z261" s="68" t="s">
        <v>42968</v>
      </c>
      <c r="AA261" s="33">
        <v>7408</v>
      </c>
    </row>
    <row r="262" spans="1:27" ht="13" customHeight="1" x14ac:dyDescent="0.15">
      <c r="A262" s="10" t="s">
        <v>39063</v>
      </c>
      <c r="B262" s="99">
        <v>40</v>
      </c>
      <c r="C262" s="10" t="s">
        <v>14</v>
      </c>
      <c r="D262" s="10" t="s">
        <v>24</v>
      </c>
      <c r="E262" s="10"/>
      <c r="F262" s="67">
        <v>43749</v>
      </c>
      <c r="G262" s="10" t="s">
        <v>39064</v>
      </c>
      <c r="H262" s="10" t="s">
        <v>12907</v>
      </c>
      <c r="I262" s="70" t="s">
        <v>918</v>
      </c>
      <c r="J262" s="65">
        <v>71601</v>
      </c>
      <c r="K262" s="10" t="s">
        <v>1659</v>
      </c>
      <c r="L262" s="10" t="s">
        <v>21185</v>
      </c>
      <c r="M262" s="10" t="s">
        <v>21</v>
      </c>
      <c r="N262" s="10" t="s">
        <v>39065</v>
      </c>
      <c r="O262" s="10" t="s">
        <v>372</v>
      </c>
      <c r="P262" s="1" t="s">
        <v>30089</v>
      </c>
      <c r="Q262" s="64" t="s">
        <v>39066</v>
      </c>
      <c r="R262" s="10" t="s">
        <v>94</v>
      </c>
      <c r="S262" s="63" t="s">
        <v>22</v>
      </c>
      <c r="T262" s="68" t="s">
        <v>26781</v>
      </c>
      <c r="U262" s="68" t="s">
        <v>26572</v>
      </c>
      <c r="V262" s="68" t="s">
        <v>26574</v>
      </c>
      <c r="W262" s="68" t="s">
        <v>94</v>
      </c>
      <c r="X262" s="68">
        <v>5097</v>
      </c>
      <c r="Z262" s="68" t="s">
        <v>42968</v>
      </c>
      <c r="AA262" s="33">
        <v>7405</v>
      </c>
    </row>
    <row r="263" spans="1:27" ht="13" customHeight="1" x14ac:dyDescent="0.15">
      <c r="A263" s="10" t="s">
        <v>41208</v>
      </c>
      <c r="B263" s="99">
        <v>56</v>
      </c>
      <c r="C263" s="10" t="s">
        <v>14</v>
      </c>
      <c r="D263" s="10" t="s">
        <v>24</v>
      </c>
      <c r="E263" s="10"/>
      <c r="F263" s="67">
        <v>43749</v>
      </c>
      <c r="G263" s="10" t="s">
        <v>41209</v>
      </c>
      <c r="H263" s="10" t="s">
        <v>518</v>
      </c>
      <c r="I263" s="70" t="s">
        <v>112</v>
      </c>
      <c r="J263" s="65">
        <v>85711</v>
      </c>
      <c r="K263" s="10" t="s">
        <v>519</v>
      </c>
      <c r="L263" s="10" t="s">
        <v>520</v>
      </c>
      <c r="M263" s="10" t="s">
        <v>21</v>
      </c>
      <c r="N263" s="10" t="s">
        <v>41210</v>
      </c>
      <c r="O263" s="10" t="s">
        <v>372</v>
      </c>
      <c r="P263" s="1" t="s">
        <v>30089</v>
      </c>
      <c r="Q263" s="64" t="s">
        <v>41211</v>
      </c>
      <c r="R263" s="10" t="s">
        <v>512</v>
      </c>
      <c r="S263" s="63" t="s">
        <v>22</v>
      </c>
      <c r="T263" s="68" t="s">
        <v>26781</v>
      </c>
      <c r="U263" s="68" t="s">
        <v>26572</v>
      </c>
      <c r="V263" s="68" t="s">
        <v>26573</v>
      </c>
      <c r="W263" s="68" t="s">
        <v>94</v>
      </c>
      <c r="X263" s="68">
        <v>5096</v>
      </c>
      <c r="Z263" s="68" t="s">
        <v>42966</v>
      </c>
      <c r="AA263" s="33">
        <v>7406</v>
      </c>
    </row>
    <row r="264" spans="1:27" ht="13" customHeight="1" x14ac:dyDescent="0.15">
      <c r="A264" s="10" t="s">
        <v>38344</v>
      </c>
      <c r="B264" s="99">
        <v>19</v>
      </c>
      <c r="C264" s="10" t="s">
        <v>14</v>
      </c>
      <c r="D264" s="10" t="s">
        <v>31</v>
      </c>
      <c r="E264" s="64" t="s">
        <v>38345</v>
      </c>
      <c r="F264" s="67">
        <v>43749</v>
      </c>
      <c r="G264" s="10" t="s">
        <v>38346</v>
      </c>
      <c r="H264" s="10" t="s">
        <v>25542</v>
      </c>
      <c r="I264" s="70" t="s">
        <v>367</v>
      </c>
      <c r="J264" s="65">
        <v>74553</v>
      </c>
      <c r="K264" s="10" t="s">
        <v>12903</v>
      </c>
      <c r="L264" s="10" t="s">
        <v>38347</v>
      </c>
      <c r="M264" s="10" t="s">
        <v>21</v>
      </c>
      <c r="N264" s="10" t="s">
        <v>38348</v>
      </c>
      <c r="O264" s="10" t="s">
        <v>372</v>
      </c>
      <c r="P264" s="1" t="s">
        <v>30089</v>
      </c>
      <c r="Q264" s="64" t="s">
        <v>38349</v>
      </c>
      <c r="R264" s="10" t="s">
        <v>94</v>
      </c>
      <c r="S264" s="63" t="s">
        <v>22</v>
      </c>
      <c r="T264" s="68" t="s">
        <v>26781</v>
      </c>
      <c r="U264" s="68" t="s">
        <v>26572</v>
      </c>
      <c r="V264" s="68" t="s">
        <v>19228</v>
      </c>
      <c r="W264" s="68" t="s">
        <v>94</v>
      </c>
      <c r="X264" s="68">
        <v>5100</v>
      </c>
      <c r="Z264" s="68" t="s">
        <v>42967</v>
      </c>
      <c r="AA264" s="33">
        <v>7404</v>
      </c>
    </row>
    <row r="265" spans="1:27" ht="13" customHeight="1" x14ac:dyDescent="0.15">
      <c r="A265" s="10" t="s">
        <v>39821</v>
      </c>
      <c r="B265" s="99">
        <v>57</v>
      </c>
      <c r="C265" s="10" t="s">
        <v>14</v>
      </c>
      <c r="D265" s="10" t="s">
        <v>42</v>
      </c>
      <c r="E265" s="10"/>
      <c r="F265" s="67">
        <v>43749</v>
      </c>
      <c r="G265" s="10" t="s">
        <v>39822</v>
      </c>
      <c r="H265" s="10" t="s">
        <v>1772</v>
      </c>
      <c r="I265" s="70" t="s">
        <v>56</v>
      </c>
      <c r="J265" s="65">
        <v>34287</v>
      </c>
      <c r="K265" s="10" t="s">
        <v>1774</v>
      </c>
      <c r="L265" s="10" t="s">
        <v>39823</v>
      </c>
      <c r="M265" s="10" t="s">
        <v>21</v>
      </c>
      <c r="N265" s="10" t="s">
        <v>39824</v>
      </c>
      <c r="O265" s="10" t="s">
        <v>372</v>
      </c>
      <c r="P265" s="1" t="s">
        <v>30089</v>
      </c>
      <c r="Q265" s="64" t="s">
        <v>39825</v>
      </c>
      <c r="R265" s="10" t="s">
        <v>94</v>
      </c>
      <c r="S265" s="63" t="s">
        <v>22</v>
      </c>
      <c r="T265" s="68" t="s">
        <v>26593</v>
      </c>
      <c r="U265" s="68" t="s">
        <v>26572</v>
      </c>
      <c r="V265" s="68" t="s">
        <v>26573</v>
      </c>
      <c r="W265" s="68" t="s">
        <v>94</v>
      </c>
      <c r="X265" s="68">
        <v>5095</v>
      </c>
      <c r="Z265" s="68" t="s">
        <v>42968</v>
      </c>
      <c r="AA265" s="33">
        <v>7407</v>
      </c>
    </row>
    <row r="266" spans="1:27" ht="13" customHeight="1" x14ac:dyDescent="0.15">
      <c r="A266" s="10" t="s">
        <v>37604</v>
      </c>
      <c r="B266" s="99">
        <v>24</v>
      </c>
      <c r="C266" s="10" t="s">
        <v>14</v>
      </c>
      <c r="D266" s="10" t="s">
        <v>79</v>
      </c>
      <c r="E266" s="10"/>
      <c r="F266" s="67">
        <v>43748</v>
      </c>
      <c r="G266" s="10" t="s">
        <v>37605</v>
      </c>
      <c r="H266" s="10" t="s">
        <v>1027</v>
      </c>
      <c r="I266" s="70" t="s">
        <v>367</v>
      </c>
      <c r="J266" s="65">
        <v>73114</v>
      </c>
      <c r="K266" s="10" t="s">
        <v>1028</v>
      </c>
      <c r="L266" s="10" t="s">
        <v>1029</v>
      </c>
      <c r="M266" s="10" t="s">
        <v>21</v>
      </c>
      <c r="N266" s="10" t="s">
        <v>37606</v>
      </c>
      <c r="O266" s="10" t="s">
        <v>372</v>
      </c>
      <c r="P266" s="1" t="s">
        <v>30089</v>
      </c>
      <c r="Q266" s="64" t="s">
        <v>37607</v>
      </c>
      <c r="R266" s="10" t="s">
        <v>94</v>
      </c>
      <c r="S266" s="63" t="s">
        <v>22</v>
      </c>
      <c r="T266" s="68" t="s">
        <v>26781</v>
      </c>
      <c r="U266" s="68" t="s">
        <v>26572</v>
      </c>
      <c r="V266" s="68" t="s">
        <v>26573</v>
      </c>
      <c r="W266" s="68" t="s">
        <v>512</v>
      </c>
      <c r="X266" s="68">
        <v>5082</v>
      </c>
      <c r="Z266" s="68" t="s">
        <v>42968</v>
      </c>
      <c r="AA266" s="33">
        <v>7401</v>
      </c>
    </row>
    <row r="267" spans="1:27" ht="13" customHeight="1" x14ac:dyDescent="0.15">
      <c r="A267" s="10" t="s">
        <v>40325</v>
      </c>
      <c r="B267" s="99">
        <v>48</v>
      </c>
      <c r="C267" s="10" t="s">
        <v>14</v>
      </c>
      <c r="D267" s="10" t="s">
        <v>31</v>
      </c>
      <c r="E267" s="63"/>
      <c r="F267" s="67">
        <v>43748</v>
      </c>
      <c r="G267" s="10" t="s">
        <v>40326</v>
      </c>
      <c r="H267" s="10" t="s">
        <v>1397</v>
      </c>
      <c r="I267" s="10" t="s">
        <v>39</v>
      </c>
      <c r="J267" s="65">
        <v>93534</v>
      </c>
      <c r="K267" s="10" t="s">
        <v>92</v>
      </c>
      <c r="L267" s="10" t="s">
        <v>5161</v>
      </c>
      <c r="M267" s="10" t="s">
        <v>21</v>
      </c>
      <c r="N267" s="10" t="s">
        <v>40327</v>
      </c>
      <c r="O267" s="10" t="s">
        <v>372</v>
      </c>
      <c r="P267" s="1" t="s">
        <v>30089</v>
      </c>
      <c r="Q267" s="64" t="s">
        <v>40328</v>
      </c>
      <c r="R267" s="10" t="s">
        <v>94</v>
      </c>
      <c r="S267" s="63" t="s">
        <v>29</v>
      </c>
      <c r="T267" s="68" t="s">
        <v>26575</v>
      </c>
      <c r="U267" s="68" t="s">
        <v>26575</v>
      </c>
      <c r="V267" s="68" t="s">
        <v>26571</v>
      </c>
      <c r="W267" s="68" t="s">
        <v>94</v>
      </c>
      <c r="X267" s="68">
        <v>5084</v>
      </c>
      <c r="Z267" s="68" t="s">
        <v>42968</v>
      </c>
      <c r="AA267" s="33">
        <v>7403</v>
      </c>
    </row>
    <row r="268" spans="1:27" ht="13" customHeight="1" x14ac:dyDescent="0.15">
      <c r="A268" s="10" t="s">
        <v>39067</v>
      </c>
      <c r="B268" s="99">
        <v>58</v>
      </c>
      <c r="C268" s="10" t="s">
        <v>14</v>
      </c>
      <c r="D268" s="10" t="s">
        <v>24</v>
      </c>
      <c r="E268" s="10"/>
      <c r="F268" s="67">
        <v>43748</v>
      </c>
      <c r="G268" s="10" t="s">
        <v>39068</v>
      </c>
      <c r="H268" s="10" t="s">
        <v>11426</v>
      </c>
      <c r="I268" s="70" t="s">
        <v>178</v>
      </c>
      <c r="J268" s="65">
        <v>87401</v>
      </c>
      <c r="K268" s="10" t="s">
        <v>5263</v>
      </c>
      <c r="L268" s="10" t="s">
        <v>11428</v>
      </c>
      <c r="M268" s="10" t="s">
        <v>21</v>
      </c>
      <c r="N268" s="10" t="s">
        <v>39069</v>
      </c>
      <c r="O268" s="10" t="s">
        <v>372</v>
      </c>
      <c r="P268" s="1" t="s">
        <v>30089</v>
      </c>
      <c r="Q268" s="64" t="s">
        <v>39070</v>
      </c>
      <c r="R268" s="10" t="s">
        <v>94</v>
      </c>
      <c r="S268" s="63" t="s">
        <v>22</v>
      </c>
      <c r="T268" s="68" t="s">
        <v>26781</v>
      </c>
      <c r="U268" s="68" t="s">
        <v>26572</v>
      </c>
      <c r="V268" s="68" t="s">
        <v>26573</v>
      </c>
      <c r="W268" s="68" t="s">
        <v>94</v>
      </c>
      <c r="X268" s="68">
        <v>5098</v>
      </c>
      <c r="Z268" s="68" t="s">
        <v>42966</v>
      </c>
      <c r="AA268" s="33">
        <v>7402</v>
      </c>
    </row>
    <row r="269" spans="1:27" ht="13" customHeight="1" x14ac:dyDescent="0.15">
      <c r="A269" s="1" t="s">
        <v>42400</v>
      </c>
      <c r="B269" s="1">
        <v>32</v>
      </c>
      <c r="C269" s="1" t="s">
        <v>14</v>
      </c>
      <c r="D269" s="1" t="s">
        <v>31</v>
      </c>
      <c r="E269" s="1" t="s">
        <v>42401</v>
      </c>
      <c r="F269" s="67">
        <v>43747</v>
      </c>
      <c r="G269" s="1" t="s">
        <v>42402</v>
      </c>
      <c r="H269" s="1" t="s">
        <v>42403</v>
      </c>
      <c r="I269" s="1" t="s">
        <v>106</v>
      </c>
      <c r="J269" s="1">
        <v>97054</v>
      </c>
      <c r="K269" s="1" t="s">
        <v>45</v>
      </c>
      <c r="L269" s="1" t="s">
        <v>42404</v>
      </c>
      <c r="M269" s="1" t="s">
        <v>351</v>
      </c>
      <c r="N269" s="1" t="s">
        <v>42405</v>
      </c>
      <c r="O269" s="1" t="s">
        <v>372</v>
      </c>
      <c r="P269" s="1" t="s">
        <v>30089</v>
      </c>
      <c r="Q269" s="1" t="s">
        <v>42406</v>
      </c>
      <c r="R269" s="1" t="s">
        <v>94</v>
      </c>
      <c r="S269" s="1" t="s">
        <v>351</v>
      </c>
      <c r="T269" s="33" t="s">
        <v>26867</v>
      </c>
      <c r="U269" s="68"/>
      <c r="V269" s="68"/>
      <c r="W269" s="68"/>
      <c r="X269" s="68"/>
      <c r="Z269" s="1" t="s">
        <v>42967</v>
      </c>
      <c r="AA269" s="33">
        <v>7400</v>
      </c>
    </row>
    <row r="270" spans="1:27" ht="13" customHeight="1" x14ac:dyDescent="0.15">
      <c r="A270" s="10" t="s">
        <v>37608</v>
      </c>
      <c r="B270" s="100">
        <v>31</v>
      </c>
      <c r="C270" s="10" t="s">
        <v>14</v>
      </c>
      <c r="D270" s="10" t="s">
        <v>79</v>
      </c>
      <c r="E270" s="10"/>
      <c r="F270" s="67">
        <v>43747</v>
      </c>
      <c r="G270" s="10" t="s">
        <v>37609</v>
      </c>
      <c r="H270" s="10" t="s">
        <v>1027</v>
      </c>
      <c r="I270" s="10" t="s">
        <v>367</v>
      </c>
      <c r="J270" s="65">
        <v>73112</v>
      </c>
      <c r="K270" s="10" t="s">
        <v>1028</v>
      </c>
      <c r="L270" s="10" t="s">
        <v>1029</v>
      </c>
      <c r="M270" s="10" t="s">
        <v>21</v>
      </c>
      <c r="N270" s="10" t="s">
        <v>37610</v>
      </c>
      <c r="O270" s="10" t="s">
        <v>372</v>
      </c>
      <c r="P270" s="1" t="s">
        <v>30089</v>
      </c>
      <c r="Q270" s="64" t="s">
        <v>37611</v>
      </c>
      <c r="R270" s="10" t="s">
        <v>904</v>
      </c>
      <c r="S270" s="63" t="s">
        <v>22</v>
      </c>
      <c r="T270" s="68" t="s">
        <v>26781</v>
      </c>
      <c r="U270" s="68" t="s">
        <v>26572</v>
      </c>
      <c r="V270" s="68">
        <v>0</v>
      </c>
      <c r="W270" s="68" t="s">
        <v>512</v>
      </c>
      <c r="X270" s="68">
        <v>5083</v>
      </c>
      <c r="Z270" s="68" t="s">
        <v>42966</v>
      </c>
      <c r="AA270" s="33">
        <v>7399</v>
      </c>
    </row>
    <row r="271" spans="1:27" ht="13" customHeight="1" x14ac:dyDescent="0.15">
      <c r="A271" s="10" t="s">
        <v>40709</v>
      </c>
      <c r="B271" s="99">
        <v>48</v>
      </c>
      <c r="C271" s="10" t="s">
        <v>14</v>
      </c>
      <c r="D271" s="10" t="s">
        <v>31</v>
      </c>
      <c r="E271" s="64" t="s">
        <v>40710</v>
      </c>
      <c r="F271" s="67">
        <v>43746</v>
      </c>
      <c r="G271" s="10" t="s">
        <v>40711</v>
      </c>
      <c r="H271" s="10" t="s">
        <v>2159</v>
      </c>
      <c r="I271" s="10" t="s">
        <v>432</v>
      </c>
      <c r="J271" s="65">
        <v>68516</v>
      </c>
      <c r="K271" s="10" t="s">
        <v>1397</v>
      </c>
      <c r="L271" s="10" t="s">
        <v>40712</v>
      </c>
      <c r="M271" s="10" t="s">
        <v>21</v>
      </c>
      <c r="N271" s="10" t="s">
        <v>40713</v>
      </c>
      <c r="O271" s="10" t="s">
        <v>372</v>
      </c>
      <c r="P271" s="1" t="s">
        <v>30089</v>
      </c>
      <c r="Q271" s="64" t="s">
        <v>40714</v>
      </c>
      <c r="R271" s="10" t="s">
        <v>94</v>
      </c>
      <c r="S271" s="63" t="s">
        <v>351</v>
      </c>
      <c r="T271" s="68" t="s">
        <v>26867</v>
      </c>
      <c r="U271" s="68" t="s">
        <v>26572</v>
      </c>
      <c r="V271" s="68" t="s">
        <v>26573</v>
      </c>
      <c r="W271" s="68" t="s">
        <v>94</v>
      </c>
      <c r="X271" s="68">
        <v>5087</v>
      </c>
      <c r="Z271" s="68" t="s">
        <v>42968</v>
      </c>
      <c r="AA271" s="33">
        <v>7397</v>
      </c>
    </row>
    <row r="272" spans="1:27" ht="13" customHeight="1" x14ac:dyDescent="0.15">
      <c r="A272" s="10" t="s">
        <v>37226</v>
      </c>
      <c r="B272" s="99">
        <v>37</v>
      </c>
      <c r="C272" s="10" t="s">
        <v>14</v>
      </c>
      <c r="D272" s="10" t="s">
        <v>24</v>
      </c>
      <c r="E272" s="10"/>
      <c r="F272" s="67">
        <v>43746</v>
      </c>
      <c r="G272" s="10" t="s">
        <v>37227</v>
      </c>
      <c r="H272" s="10" t="s">
        <v>8137</v>
      </c>
      <c r="I272" s="10" t="s">
        <v>67</v>
      </c>
      <c r="J272" s="65">
        <v>77703</v>
      </c>
      <c r="K272" s="10" t="s">
        <v>1659</v>
      </c>
      <c r="L272" s="10" t="s">
        <v>8139</v>
      </c>
      <c r="M272" s="10" t="s">
        <v>21</v>
      </c>
      <c r="N272" s="10" t="s">
        <v>37228</v>
      </c>
      <c r="O272" s="10" t="s">
        <v>372</v>
      </c>
      <c r="P272" s="1" t="s">
        <v>30089</v>
      </c>
      <c r="Q272" s="64" t="s">
        <v>37229</v>
      </c>
      <c r="R272" s="10" t="s">
        <v>94</v>
      </c>
      <c r="S272" s="63" t="s">
        <v>22</v>
      </c>
      <c r="T272" s="68" t="s">
        <v>26592</v>
      </c>
      <c r="U272" s="68" t="s">
        <v>26572</v>
      </c>
      <c r="V272" s="68" t="s">
        <v>26573</v>
      </c>
      <c r="W272" s="68" t="s">
        <v>94</v>
      </c>
      <c r="X272" s="68">
        <v>5086</v>
      </c>
      <c r="Z272" s="68" t="s">
        <v>42966</v>
      </c>
      <c r="AA272" s="33">
        <v>7395</v>
      </c>
    </row>
    <row r="273" spans="1:27" ht="13" customHeight="1" x14ac:dyDescent="0.15">
      <c r="A273" s="10" t="s">
        <v>40730</v>
      </c>
      <c r="B273" s="99">
        <v>28</v>
      </c>
      <c r="C273" s="10" t="s">
        <v>14</v>
      </c>
      <c r="D273" s="10" t="s">
        <v>31</v>
      </c>
      <c r="E273" s="64" t="s">
        <v>40731</v>
      </c>
      <c r="F273" s="67">
        <v>43746</v>
      </c>
      <c r="G273" s="10" t="s">
        <v>40732</v>
      </c>
      <c r="H273" s="10" t="s">
        <v>40733</v>
      </c>
      <c r="I273" s="10" t="s">
        <v>221</v>
      </c>
      <c r="J273" s="65">
        <v>84041</v>
      </c>
      <c r="K273" s="10" t="s">
        <v>4602</v>
      </c>
      <c r="L273" s="10" t="s">
        <v>40734</v>
      </c>
      <c r="M273" s="10" t="s">
        <v>21</v>
      </c>
      <c r="N273" s="10" t="s">
        <v>40735</v>
      </c>
      <c r="O273" s="10" t="s">
        <v>372</v>
      </c>
      <c r="P273" s="1" t="s">
        <v>30089</v>
      </c>
      <c r="Q273" s="64" t="s">
        <v>40736</v>
      </c>
      <c r="R273" s="10" t="s">
        <v>94</v>
      </c>
      <c r="S273" s="63" t="s">
        <v>351</v>
      </c>
      <c r="T273" s="68" t="s">
        <v>26867</v>
      </c>
      <c r="U273" s="68" t="s">
        <v>26572</v>
      </c>
      <c r="V273" s="68" t="s">
        <v>26571</v>
      </c>
      <c r="W273" s="68" t="s">
        <v>94</v>
      </c>
      <c r="X273" s="68">
        <v>5222</v>
      </c>
      <c r="Z273" s="68" t="s">
        <v>42968</v>
      </c>
      <c r="AA273" s="33">
        <v>7398</v>
      </c>
    </row>
    <row r="274" spans="1:27" ht="13" customHeight="1" x14ac:dyDescent="0.15">
      <c r="A274" s="10" t="s">
        <v>38339</v>
      </c>
      <c r="B274" s="99">
        <v>33</v>
      </c>
      <c r="C274" s="10" t="s">
        <v>14</v>
      </c>
      <c r="D274" s="10" t="s">
        <v>31</v>
      </c>
      <c r="E274" s="10"/>
      <c r="F274" s="67">
        <v>43746</v>
      </c>
      <c r="G274" s="10" t="s">
        <v>38340</v>
      </c>
      <c r="H274" s="10" t="s">
        <v>29019</v>
      </c>
      <c r="I274" s="10" t="s">
        <v>9710</v>
      </c>
      <c r="J274" s="65">
        <v>5701</v>
      </c>
      <c r="K274" s="10" t="s">
        <v>29019</v>
      </c>
      <c r="L274" s="10" t="s">
        <v>38341</v>
      </c>
      <c r="M274" s="10" t="s">
        <v>21</v>
      </c>
      <c r="N274" s="10" t="s">
        <v>38342</v>
      </c>
      <c r="O274" s="10" t="s">
        <v>372</v>
      </c>
      <c r="P274" s="1" t="s">
        <v>30089</v>
      </c>
      <c r="Q274" s="64" t="s">
        <v>38343</v>
      </c>
      <c r="R274" s="10" t="s">
        <v>23</v>
      </c>
      <c r="S274" s="63" t="s">
        <v>22</v>
      </c>
      <c r="T274" s="68" t="s">
        <v>26781</v>
      </c>
      <c r="U274" s="68" t="s">
        <v>26572</v>
      </c>
      <c r="V274" s="68" t="s">
        <v>26571</v>
      </c>
      <c r="W274" s="68" t="s">
        <v>94</v>
      </c>
      <c r="X274" s="68">
        <v>5081</v>
      </c>
      <c r="Z274" s="68" t="s">
        <v>42968</v>
      </c>
      <c r="AA274" s="33">
        <v>7396</v>
      </c>
    </row>
    <row r="275" spans="1:27" ht="13" customHeight="1" x14ac:dyDescent="0.15">
      <c r="A275" s="10" t="s">
        <v>39557</v>
      </c>
      <c r="B275" s="99">
        <v>31</v>
      </c>
      <c r="C275" s="10" t="s">
        <v>14</v>
      </c>
      <c r="D275" s="10" t="s">
        <v>31</v>
      </c>
      <c r="E275" s="64" t="s">
        <v>39558</v>
      </c>
      <c r="F275" s="67">
        <v>43745</v>
      </c>
      <c r="G275" s="10" t="s">
        <v>39559</v>
      </c>
      <c r="H275" s="10" t="s">
        <v>39560</v>
      </c>
      <c r="I275" s="70" t="s">
        <v>67</v>
      </c>
      <c r="J275" s="65">
        <v>77625</v>
      </c>
      <c r="K275" s="10" t="s">
        <v>1316</v>
      </c>
      <c r="L275" s="10" t="s">
        <v>39561</v>
      </c>
      <c r="M275" s="10" t="s">
        <v>21</v>
      </c>
      <c r="N275" s="10" t="s">
        <v>39562</v>
      </c>
      <c r="O275" s="10" t="s">
        <v>372</v>
      </c>
      <c r="P275" s="1" t="s">
        <v>30089</v>
      </c>
      <c r="Q275" s="64" t="s">
        <v>39563</v>
      </c>
      <c r="R275" s="10" t="s">
        <v>94</v>
      </c>
      <c r="S275" s="63" t="s">
        <v>22</v>
      </c>
      <c r="T275" s="68" t="s">
        <v>26774</v>
      </c>
      <c r="U275" s="68" t="s">
        <v>26570</v>
      </c>
      <c r="V275" s="68" t="s">
        <v>26573</v>
      </c>
      <c r="W275" s="68" t="s">
        <v>94</v>
      </c>
      <c r="X275" s="68">
        <v>5085</v>
      </c>
      <c r="Z275" s="68" t="s">
        <v>42967</v>
      </c>
      <c r="AA275" s="33">
        <v>7394</v>
      </c>
    </row>
    <row r="276" spans="1:27" ht="13" customHeight="1" x14ac:dyDescent="0.15">
      <c r="A276" s="10" t="s">
        <v>42177</v>
      </c>
      <c r="B276" s="99">
        <v>54</v>
      </c>
      <c r="C276" s="10" t="s">
        <v>14</v>
      </c>
      <c r="D276" s="10" t="s">
        <v>128</v>
      </c>
      <c r="E276" s="64" t="s">
        <v>42178</v>
      </c>
      <c r="F276" s="67">
        <v>43745</v>
      </c>
      <c r="G276" s="10" t="s">
        <v>42179</v>
      </c>
      <c r="H276" s="10" t="s">
        <v>1468</v>
      </c>
      <c r="I276" s="70" t="s">
        <v>367</v>
      </c>
      <c r="J276" s="65">
        <v>74464</v>
      </c>
      <c r="K276" s="10" t="s">
        <v>1470</v>
      </c>
      <c r="L276" s="10" t="s">
        <v>1471</v>
      </c>
      <c r="M276" s="10" t="s">
        <v>21</v>
      </c>
      <c r="N276" s="10" t="s">
        <v>42180</v>
      </c>
      <c r="O276" s="10" t="s">
        <v>372</v>
      </c>
      <c r="P276" s="1" t="s">
        <v>30089</v>
      </c>
      <c r="Q276" s="64" t="s">
        <v>42181</v>
      </c>
      <c r="R276" s="10" t="s">
        <v>94</v>
      </c>
      <c r="S276" s="63" t="s">
        <v>22</v>
      </c>
      <c r="T276" s="34" t="s">
        <v>26781</v>
      </c>
      <c r="U276" s="34" t="s">
        <v>26572</v>
      </c>
      <c r="V276" s="68"/>
      <c r="W276" s="68"/>
      <c r="X276" s="68"/>
      <c r="Z276" s="68" t="s">
        <v>42967</v>
      </c>
      <c r="AA276" s="33">
        <v>7393</v>
      </c>
    </row>
    <row r="277" spans="1:27" ht="13" customHeight="1" x14ac:dyDescent="0.15">
      <c r="A277" s="10" t="s">
        <v>41429</v>
      </c>
      <c r="B277" s="99">
        <v>37</v>
      </c>
      <c r="C277" s="10" t="s">
        <v>14</v>
      </c>
      <c r="D277" s="10" t="s">
        <v>42</v>
      </c>
      <c r="E277" s="64" t="s">
        <v>41430</v>
      </c>
      <c r="F277" s="67">
        <v>43744</v>
      </c>
      <c r="G277" s="10" t="s">
        <v>41431</v>
      </c>
      <c r="H277" s="10" t="s">
        <v>907</v>
      </c>
      <c r="I277" s="70" t="s">
        <v>39</v>
      </c>
      <c r="J277" s="65">
        <v>90606</v>
      </c>
      <c r="K277" s="10" t="s">
        <v>92</v>
      </c>
      <c r="L277" s="10" t="s">
        <v>386</v>
      </c>
      <c r="M277" s="10" t="s">
        <v>21</v>
      </c>
      <c r="N277" s="10" t="s">
        <v>41432</v>
      </c>
      <c r="O277" s="10" t="s">
        <v>372</v>
      </c>
      <c r="P277" s="1" t="s">
        <v>30089</v>
      </c>
      <c r="Q277" s="64" t="s">
        <v>41433</v>
      </c>
      <c r="R277" s="10" t="s">
        <v>512</v>
      </c>
      <c r="S277" s="63" t="s">
        <v>22</v>
      </c>
      <c r="T277" s="68" t="s">
        <v>26774</v>
      </c>
      <c r="U277" s="68" t="s">
        <v>26570</v>
      </c>
      <c r="V277" s="68" t="s">
        <v>26573</v>
      </c>
      <c r="W277" s="68" t="s">
        <v>94</v>
      </c>
      <c r="X277" s="68">
        <v>5078</v>
      </c>
      <c r="Z277" s="68" t="s">
        <v>42966</v>
      </c>
      <c r="AA277" s="33">
        <v>7392</v>
      </c>
    </row>
    <row r="278" spans="1:27" ht="13" customHeight="1" x14ac:dyDescent="0.15">
      <c r="A278" s="10" t="s">
        <v>39054</v>
      </c>
      <c r="B278" s="99">
        <v>42</v>
      </c>
      <c r="C278" s="10" t="s">
        <v>14</v>
      </c>
      <c r="D278" s="10" t="s">
        <v>24</v>
      </c>
      <c r="E278" s="10"/>
      <c r="F278" s="67">
        <v>43744</v>
      </c>
      <c r="G278" s="10" t="s">
        <v>39055</v>
      </c>
      <c r="H278" s="10" t="s">
        <v>39056</v>
      </c>
      <c r="I278" s="70" t="s">
        <v>402</v>
      </c>
      <c r="J278" s="65">
        <v>63043</v>
      </c>
      <c r="K278" s="10" t="s">
        <v>661</v>
      </c>
      <c r="L278" s="10" t="s">
        <v>39057</v>
      </c>
      <c r="M278" s="10" t="s">
        <v>21</v>
      </c>
      <c r="N278" s="10" t="s">
        <v>39058</v>
      </c>
      <c r="O278" s="10" t="s">
        <v>372</v>
      </c>
      <c r="P278" s="1" t="s">
        <v>30089</v>
      </c>
      <c r="Q278" s="64" t="s">
        <v>39059</v>
      </c>
      <c r="R278" s="10" t="s">
        <v>94</v>
      </c>
      <c r="S278" s="63" t="s">
        <v>22</v>
      </c>
      <c r="T278" s="68" t="s">
        <v>26781</v>
      </c>
      <c r="U278" s="68" t="s">
        <v>26572</v>
      </c>
      <c r="V278" s="68" t="s">
        <v>26573</v>
      </c>
      <c r="W278" s="68" t="s">
        <v>94</v>
      </c>
      <c r="X278" s="68">
        <v>5077</v>
      </c>
      <c r="Z278" s="68" t="s">
        <v>42968</v>
      </c>
      <c r="AA278" s="33">
        <v>7391</v>
      </c>
    </row>
    <row r="279" spans="1:27" ht="13" customHeight="1" x14ac:dyDescent="0.15">
      <c r="A279" s="63" t="s">
        <v>39941</v>
      </c>
      <c r="B279" s="99">
        <v>55</v>
      </c>
      <c r="C279" s="10" t="s">
        <v>14</v>
      </c>
      <c r="D279" s="10" t="s">
        <v>79</v>
      </c>
      <c r="E279" s="10"/>
      <c r="F279" s="67">
        <v>43744</v>
      </c>
      <c r="G279" s="10" t="s">
        <v>39942</v>
      </c>
      <c r="H279" s="10" t="s">
        <v>39943</v>
      </c>
      <c r="I279" s="70" t="s">
        <v>39</v>
      </c>
      <c r="J279" s="65">
        <v>95638</v>
      </c>
      <c r="K279" s="10" t="s">
        <v>1537</v>
      </c>
      <c r="L279" s="10" t="s">
        <v>22038</v>
      </c>
      <c r="M279" s="10" t="s">
        <v>21</v>
      </c>
      <c r="N279" s="10" t="s">
        <v>39944</v>
      </c>
      <c r="O279" s="10" t="s">
        <v>372</v>
      </c>
      <c r="P279" s="1" t="s">
        <v>30089</v>
      </c>
      <c r="Q279" s="64" t="s">
        <v>39945</v>
      </c>
      <c r="R279" s="10" t="s">
        <v>904</v>
      </c>
      <c r="S279" s="68" t="s">
        <v>12</v>
      </c>
      <c r="T279" s="68" t="s">
        <v>39946</v>
      </c>
      <c r="U279" s="68" t="s">
        <v>26570</v>
      </c>
      <c r="V279" s="68" t="s">
        <v>26573</v>
      </c>
      <c r="W279" s="68" t="s">
        <v>94</v>
      </c>
      <c r="X279" s="68">
        <v>5076</v>
      </c>
      <c r="Z279" s="68" t="s">
        <v>42967</v>
      </c>
      <c r="AA279" s="33">
        <v>7390</v>
      </c>
    </row>
    <row r="280" spans="1:27" ht="13" customHeight="1" x14ac:dyDescent="0.15">
      <c r="A280" s="10" t="s">
        <v>42029</v>
      </c>
      <c r="B280" s="99">
        <v>25</v>
      </c>
      <c r="C280" s="10" t="s">
        <v>14</v>
      </c>
      <c r="D280" s="10" t="s">
        <v>31</v>
      </c>
      <c r="E280" s="10"/>
      <c r="F280" s="67">
        <v>43743</v>
      </c>
      <c r="G280" s="10" t="s">
        <v>42030</v>
      </c>
      <c r="H280" s="10" t="s">
        <v>42031</v>
      </c>
      <c r="I280" s="10" t="s">
        <v>282</v>
      </c>
      <c r="J280" s="65">
        <v>99025</v>
      </c>
      <c r="K280" s="10" t="s">
        <v>782</v>
      </c>
      <c r="L280" s="10" t="s">
        <v>34360</v>
      </c>
      <c r="M280" s="10" t="s">
        <v>363</v>
      </c>
      <c r="N280" s="10" t="s">
        <v>42032</v>
      </c>
      <c r="O280" s="10" t="s">
        <v>372</v>
      </c>
      <c r="P280" s="1" t="s">
        <v>30089</v>
      </c>
      <c r="Q280" s="64" t="s">
        <v>42033</v>
      </c>
      <c r="R280" s="10" t="s">
        <v>904</v>
      </c>
      <c r="S280" s="63" t="s">
        <v>12</v>
      </c>
      <c r="T280" s="34" t="s">
        <v>29705</v>
      </c>
      <c r="U280" s="34" t="s">
        <v>26572</v>
      </c>
      <c r="V280" s="68"/>
      <c r="W280" s="68"/>
      <c r="X280" s="68"/>
      <c r="Z280" s="68" t="s">
        <v>42967</v>
      </c>
      <c r="AA280" s="33">
        <v>7389</v>
      </c>
    </row>
    <row r="281" spans="1:27" ht="13" customHeight="1" x14ac:dyDescent="0.15">
      <c r="A281" s="10" t="s">
        <v>39936</v>
      </c>
      <c r="B281" s="99">
        <v>33</v>
      </c>
      <c r="C281" s="10" t="s">
        <v>14</v>
      </c>
      <c r="D281" s="10" t="s">
        <v>31</v>
      </c>
      <c r="E281" s="64" t="s">
        <v>39937</v>
      </c>
      <c r="F281" s="67">
        <v>43743</v>
      </c>
      <c r="G281" s="10" t="s">
        <v>39938</v>
      </c>
      <c r="H281" s="10" t="s">
        <v>1935</v>
      </c>
      <c r="I281" s="70" t="s">
        <v>67</v>
      </c>
      <c r="J281" s="65">
        <v>75007</v>
      </c>
      <c r="K281" s="10" t="s">
        <v>153</v>
      </c>
      <c r="L281" s="10" t="s">
        <v>24178</v>
      </c>
      <c r="M281" s="10" t="s">
        <v>21</v>
      </c>
      <c r="N281" s="10" t="s">
        <v>39939</v>
      </c>
      <c r="O281" s="10" t="s">
        <v>372</v>
      </c>
      <c r="P281" s="1" t="s">
        <v>30089</v>
      </c>
      <c r="Q281" s="64" t="s">
        <v>39940</v>
      </c>
      <c r="R281" s="10" t="s">
        <v>23</v>
      </c>
      <c r="S281" s="68" t="s">
        <v>12</v>
      </c>
      <c r="T281" s="68" t="s">
        <v>30822</v>
      </c>
      <c r="U281" s="68" t="s">
        <v>26572</v>
      </c>
      <c r="V281" s="68" t="s">
        <v>26573</v>
      </c>
      <c r="W281" s="68" t="s">
        <v>94</v>
      </c>
      <c r="X281" s="68">
        <v>5080</v>
      </c>
      <c r="Z281" s="68" t="s">
        <v>42968</v>
      </c>
      <c r="AA281" s="33">
        <v>7388</v>
      </c>
    </row>
    <row r="282" spans="1:27" ht="13" customHeight="1" x14ac:dyDescent="0.15">
      <c r="A282" s="10" t="s">
        <v>41659</v>
      </c>
      <c r="B282" s="99">
        <v>37</v>
      </c>
      <c r="C282" s="10" t="s">
        <v>14</v>
      </c>
      <c r="D282" s="10" t="s">
        <v>31</v>
      </c>
      <c r="E282" s="10"/>
      <c r="F282" s="67">
        <v>43742</v>
      </c>
      <c r="G282" s="10" t="s">
        <v>41660</v>
      </c>
      <c r="H282" s="10" t="s">
        <v>603</v>
      </c>
      <c r="I282" s="70" t="s">
        <v>56</v>
      </c>
      <c r="J282" s="65">
        <v>32218</v>
      </c>
      <c r="K282" s="10" t="s">
        <v>604</v>
      </c>
      <c r="L282" s="10" t="s">
        <v>605</v>
      </c>
      <c r="M282" s="10" t="s">
        <v>21</v>
      </c>
      <c r="N282" s="10" t="s">
        <v>41661</v>
      </c>
      <c r="O282" s="10" t="s">
        <v>372</v>
      </c>
      <c r="P282" s="1" t="s">
        <v>30089</v>
      </c>
      <c r="Q282" s="64" t="s">
        <v>41662</v>
      </c>
      <c r="R282" s="10" t="s">
        <v>512</v>
      </c>
      <c r="S282" s="68" t="s">
        <v>29</v>
      </c>
      <c r="T282" s="68" t="s">
        <v>41663</v>
      </c>
      <c r="U282" s="68" t="s">
        <v>26572</v>
      </c>
      <c r="V282" s="68" t="s">
        <v>26573</v>
      </c>
      <c r="W282" s="68" t="s">
        <v>94</v>
      </c>
      <c r="X282" s="68">
        <v>5079</v>
      </c>
      <c r="Z282" s="68" t="s">
        <v>42968</v>
      </c>
      <c r="AA282" s="33">
        <v>7387</v>
      </c>
    </row>
    <row r="283" spans="1:27" ht="13" customHeight="1" x14ac:dyDescent="0.15">
      <c r="A283" s="10" t="s">
        <v>41204</v>
      </c>
      <c r="B283" s="99">
        <v>61</v>
      </c>
      <c r="C283" s="10" t="s">
        <v>14</v>
      </c>
      <c r="D283" s="10" t="s">
        <v>24</v>
      </c>
      <c r="E283" s="10"/>
      <c r="F283" s="67">
        <v>43741</v>
      </c>
      <c r="G283" s="10" t="s">
        <v>41205</v>
      </c>
      <c r="H283" s="10" t="s">
        <v>13153</v>
      </c>
      <c r="I283" s="70" t="s">
        <v>160</v>
      </c>
      <c r="J283" s="65">
        <v>30813</v>
      </c>
      <c r="K283" s="10" t="s">
        <v>45</v>
      </c>
      <c r="L283" s="10" t="s">
        <v>6995</v>
      </c>
      <c r="M283" s="10" t="s">
        <v>21</v>
      </c>
      <c r="N283" s="10" t="s">
        <v>41206</v>
      </c>
      <c r="O283" s="10" t="s">
        <v>31972</v>
      </c>
      <c r="P283" s="1" t="s">
        <v>30089</v>
      </c>
      <c r="Q283" s="64" t="s">
        <v>41207</v>
      </c>
      <c r="R283" s="10" t="s">
        <v>512</v>
      </c>
      <c r="S283" s="63" t="s">
        <v>22</v>
      </c>
      <c r="T283" s="68" t="s">
        <v>26781</v>
      </c>
      <c r="U283" s="68" t="s">
        <v>26572</v>
      </c>
      <c r="V283" s="68" t="s">
        <v>26573</v>
      </c>
      <c r="W283" s="68" t="s">
        <v>94</v>
      </c>
      <c r="X283" s="68">
        <v>5075</v>
      </c>
      <c r="Z283" s="68" t="s">
        <v>42968</v>
      </c>
      <c r="AA283" s="33">
        <v>7386</v>
      </c>
    </row>
    <row r="284" spans="1:27" ht="13" customHeight="1" x14ac:dyDescent="0.15">
      <c r="A284" s="10" t="s">
        <v>39954</v>
      </c>
      <c r="B284" s="99">
        <v>32</v>
      </c>
      <c r="C284" s="10" t="s">
        <v>14</v>
      </c>
      <c r="D284" s="10" t="s">
        <v>31</v>
      </c>
      <c r="E284" s="64" t="s">
        <v>39955</v>
      </c>
      <c r="F284" s="67">
        <v>43739</v>
      </c>
      <c r="G284" s="10" t="s">
        <v>39956</v>
      </c>
      <c r="H284" s="10" t="s">
        <v>39957</v>
      </c>
      <c r="I284" s="70" t="s">
        <v>38</v>
      </c>
      <c r="J284" s="65">
        <v>60465</v>
      </c>
      <c r="K284" s="10" t="s">
        <v>82</v>
      </c>
      <c r="L284" s="10" t="s">
        <v>39958</v>
      </c>
      <c r="M284" s="10" t="s">
        <v>21</v>
      </c>
      <c r="N284" s="10" t="s">
        <v>39959</v>
      </c>
      <c r="O284" s="10" t="s">
        <v>372</v>
      </c>
      <c r="P284" s="1" t="s">
        <v>30089</v>
      </c>
      <c r="Q284" s="64" t="s">
        <v>39960</v>
      </c>
      <c r="R284" s="10" t="s">
        <v>94</v>
      </c>
      <c r="S284" s="68" t="s">
        <v>12</v>
      </c>
      <c r="T284" s="68" t="s">
        <v>39961</v>
      </c>
      <c r="U284" s="68" t="s">
        <v>26572</v>
      </c>
      <c r="V284" s="68" t="s">
        <v>26574</v>
      </c>
      <c r="W284" s="68" t="s">
        <v>94</v>
      </c>
      <c r="X284" s="68">
        <v>5074</v>
      </c>
      <c r="Z284" s="68" t="s">
        <v>42968</v>
      </c>
      <c r="AA284" s="33">
        <v>7383</v>
      </c>
    </row>
    <row r="285" spans="1:27" ht="13" customHeight="1" x14ac:dyDescent="0.15">
      <c r="A285" s="10" t="s">
        <v>37880</v>
      </c>
      <c r="B285" s="99">
        <v>50</v>
      </c>
      <c r="C285" s="10" t="s">
        <v>14</v>
      </c>
      <c r="D285" s="10" t="s">
        <v>31</v>
      </c>
      <c r="E285" s="64" t="s">
        <v>37881</v>
      </c>
      <c r="F285" s="67">
        <v>43739</v>
      </c>
      <c r="G285" s="10" t="s">
        <v>37882</v>
      </c>
      <c r="H285" s="10" t="s">
        <v>37883</v>
      </c>
      <c r="I285" s="70" t="s">
        <v>139</v>
      </c>
      <c r="J285" s="65">
        <v>26651</v>
      </c>
      <c r="K285" s="10" t="s">
        <v>14054</v>
      </c>
      <c r="L285" s="10" t="s">
        <v>141</v>
      </c>
      <c r="M285" s="10" t="s">
        <v>21</v>
      </c>
      <c r="N285" s="10" t="s">
        <v>37884</v>
      </c>
      <c r="O285" s="10" t="s">
        <v>372</v>
      </c>
      <c r="P285" s="1" t="s">
        <v>30089</v>
      </c>
      <c r="Q285" s="64" t="s">
        <v>37885</v>
      </c>
      <c r="R285" s="10" t="s">
        <v>94</v>
      </c>
      <c r="S285" s="63" t="s">
        <v>22</v>
      </c>
      <c r="T285" s="68" t="s">
        <v>26781</v>
      </c>
      <c r="U285" s="68" t="s">
        <v>26572</v>
      </c>
      <c r="V285" s="68" t="s">
        <v>26573</v>
      </c>
      <c r="W285" s="68" t="s">
        <v>94</v>
      </c>
      <c r="X285" s="68">
        <v>5072</v>
      </c>
      <c r="Z285" s="68" t="s">
        <v>42967</v>
      </c>
      <c r="AA285" s="33">
        <v>7384</v>
      </c>
    </row>
    <row r="286" spans="1:27" ht="13" customHeight="1" x14ac:dyDescent="0.15">
      <c r="A286" s="10" t="s">
        <v>38333</v>
      </c>
      <c r="B286" s="99">
        <v>75</v>
      </c>
      <c r="C286" s="10" t="s">
        <v>14</v>
      </c>
      <c r="D286" s="10" t="s">
        <v>31</v>
      </c>
      <c r="E286" s="64" t="s">
        <v>38334</v>
      </c>
      <c r="F286" s="67">
        <v>43739</v>
      </c>
      <c r="G286" s="10" t="s">
        <v>38335</v>
      </c>
      <c r="H286" s="10" t="s">
        <v>3371</v>
      </c>
      <c r="I286" s="70" t="s">
        <v>294</v>
      </c>
      <c r="J286" s="65">
        <v>42220</v>
      </c>
      <c r="K286" s="10" t="s">
        <v>19824</v>
      </c>
      <c r="L286" s="10" t="s">
        <v>38336</v>
      </c>
      <c r="M286" s="10" t="s">
        <v>21</v>
      </c>
      <c r="N286" s="10" t="s">
        <v>38337</v>
      </c>
      <c r="O286" s="10" t="s">
        <v>372</v>
      </c>
      <c r="P286" s="1" t="s">
        <v>30089</v>
      </c>
      <c r="Q286" s="64" t="s">
        <v>38338</v>
      </c>
      <c r="R286" s="10" t="s">
        <v>94</v>
      </c>
      <c r="S286" s="63" t="s">
        <v>22</v>
      </c>
      <c r="T286" s="68" t="s">
        <v>26781</v>
      </c>
      <c r="U286" s="68" t="s">
        <v>26572</v>
      </c>
      <c r="V286" s="68" t="s">
        <v>26573</v>
      </c>
      <c r="W286" s="68" t="s">
        <v>94</v>
      </c>
      <c r="X286" s="68">
        <v>5073</v>
      </c>
      <c r="Z286" s="68" t="s">
        <v>42967</v>
      </c>
      <c r="AA286" s="33">
        <v>7385</v>
      </c>
    </row>
    <row r="287" spans="1:27" ht="13" customHeight="1" x14ac:dyDescent="0.15">
      <c r="A287" s="10" t="s">
        <v>40703</v>
      </c>
      <c r="B287" s="99">
        <v>38</v>
      </c>
      <c r="C287" s="10" t="s">
        <v>103</v>
      </c>
      <c r="D287" s="10" t="s">
        <v>31</v>
      </c>
      <c r="E287" s="64" t="s">
        <v>40704</v>
      </c>
      <c r="F287" s="67">
        <v>43738</v>
      </c>
      <c r="G287" s="10" t="s">
        <v>40705</v>
      </c>
      <c r="H287" s="10" t="s">
        <v>35436</v>
      </c>
      <c r="I287" s="70" t="s">
        <v>402</v>
      </c>
      <c r="J287" s="65">
        <v>65548</v>
      </c>
      <c r="K287" s="10" t="s">
        <v>40706</v>
      </c>
      <c r="L287" s="10" t="s">
        <v>18620</v>
      </c>
      <c r="M287" s="10" t="s">
        <v>21</v>
      </c>
      <c r="N287" s="10" t="s">
        <v>40707</v>
      </c>
      <c r="O287" s="10" t="s">
        <v>372</v>
      </c>
      <c r="P287" s="1" t="s">
        <v>30089</v>
      </c>
      <c r="Q287" s="64" t="s">
        <v>40708</v>
      </c>
      <c r="R287" s="10" t="s">
        <v>94</v>
      </c>
      <c r="S287" s="63" t="s">
        <v>351</v>
      </c>
      <c r="T287" s="68" t="s">
        <v>26867</v>
      </c>
      <c r="U287" s="68" t="s">
        <v>26572</v>
      </c>
      <c r="V287" s="68" t="s">
        <v>26571</v>
      </c>
      <c r="W287" s="68" t="s">
        <v>94</v>
      </c>
      <c r="X287" s="68">
        <v>5070</v>
      </c>
      <c r="Z287" s="68" t="s">
        <v>42967</v>
      </c>
      <c r="AA287" s="33">
        <v>7382</v>
      </c>
    </row>
    <row r="288" spans="1:27" ht="13" customHeight="1" x14ac:dyDescent="0.15">
      <c r="A288" s="10" t="s">
        <v>42077</v>
      </c>
      <c r="B288" s="99">
        <v>35</v>
      </c>
      <c r="C288" s="10" t="s">
        <v>14</v>
      </c>
      <c r="D288" s="10" t="s">
        <v>42</v>
      </c>
      <c r="E288" s="64" t="s">
        <v>42078</v>
      </c>
      <c r="F288" s="67">
        <v>43738</v>
      </c>
      <c r="G288" s="10" t="s">
        <v>42079</v>
      </c>
      <c r="H288" s="10" t="s">
        <v>10316</v>
      </c>
      <c r="I288" s="10" t="s">
        <v>160</v>
      </c>
      <c r="J288" s="65">
        <v>30501</v>
      </c>
      <c r="K288" s="10" t="s">
        <v>18981</v>
      </c>
      <c r="L288" s="10" t="s">
        <v>10318</v>
      </c>
      <c r="M288" s="10" t="s">
        <v>21</v>
      </c>
      <c r="N288" s="10" t="s">
        <v>42080</v>
      </c>
      <c r="O288" s="10" t="s">
        <v>372</v>
      </c>
      <c r="P288" s="1" t="s">
        <v>30089</v>
      </c>
      <c r="Q288" s="64" t="s">
        <v>42081</v>
      </c>
      <c r="R288" s="10" t="s">
        <v>904</v>
      </c>
      <c r="S288" s="63" t="s">
        <v>22</v>
      </c>
      <c r="T288" s="34" t="s">
        <v>26774</v>
      </c>
      <c r="U288" s="34" t="s">
        <v>26572</v>
      </c>
      <c r="V288" s="68"/>
      <c r="W288" s="68"/>
      <c r="X288" s="68"/>
      <c r="Z288" s="68" t="s">
        <v>42968</v>
      </c>
      <c r="AA288" s="33">
        <v>7381</v>
      </c>
    </row>
    <row r="289" spans="1:27" ht="13" customHeight="1" x14ac:dyDescent="0.2">
      <c r="A289" s="10" t="s">
        <v>39360</v>
      </c>
      <c r="B289" s="99">
        <v>31</v>
      </c>
      <c r="C289" s="10" t="s">
        <v>14</v>
      </c>
      <c r="D289" s="10" t="s">
        <v>79</v>
      </c>
      <c r="E289" s="64" t="s">
        <v>39361</v>
      </c>
      <c r="F289" s="67">
        <v>43737</v>
      </c>
      <c r="G289" s="73" t="s">
        <v>39362</v>
      </c>
      <c r="H289" s="73" t="s">
        <v>13788</v>
      </c>
      <c r="I289" s="73" t="s">
        <v>46</v>
      </c>
      <c r="J289" s="65">
        <v>21030</v>
      </c>
      <c r="K289" s="10" t="s">
        <v>1487</v>
      </c>
      <c r="L289" s="10" t="s">
        <v>212</v>
      </c>
      <c r="M289" s="10" t="s">
        <v>21</v>
      </c>
      <c r="N289" s="10" t="s">
        <v>39363</v>
      </c>
      <c r="O289" s="10" t="s">
        <v>372</v>
      </c>
      <c r="P289" s="1" t="s">
        <v>30089</v>
      </c>
      <c r="Q289" s="64" t="s">
        <v>39364</v>
      </c>
      <c r="R289" s="10" t="s">
        <v>23</v>
      </c>
      <c r="S289" s="63" t="s">
        <v>22</v>
      </c>
      <c r="T289" s="68" t="s">
        <v>26774</v>
      </c>
      <c r="U289" s="68" t="s">
        <v>26572</v>
      </c>
      <c r="V289" s="68" t="s">
        <v>26574</v>
      </c>
      <c r="W289" s="68" t="s">
        <v>94</v>
      </c>
      <c r="X289" s="68">
        <v>5063</v>
      </c>
      <c r="Z289" s="68" t="s">
        <v>42968</v>
      </c>
      <c r="AA289" s="33">
        <v>7378</v>
      </c>
    </row>
    <row r="290" spans="1:27" ht="13" customHeight="1" x14ac:dyDescent="0.2">
      <c r="A290" s="63" t="s">
        <v>39050</v>
      </c>
      <c r="B290" s="101">
        <v>37</v>
      </c>
      <c r="C290" s="10" t="s">
        <v>14</v>
      </c>
      <c r="D290" s="10" t="s">
        <v>24</v>
      </c>
      <c r="E290" s="63"/>
      <c r="F290" s="67">
        <v>43737</v>
      </c>
      <c r="G290" s="73" t="s">
        <v>39051</v>
      </c>
      <c r="H290" s="73" t="s">
        <v>1586</v>
      </c>
      <c r="I290" s="73" t="s">
        <v>40</v>
      </c>
      <c r="J290" s="65">
        <v>2130</v>
      </c>
      <c r="K290" s="10" t="s">
        <v>1588</v>
      </c>
      <c r="L290" s="10" t="s">
        <v>2980</v>
      </c>
      <c r="M290" s="10" t="s">
        <v>21</v>
      </c>
      <c r="N290" s="10" t="s">
        <v>39052</v>
      </c>
      <c r="O290" s="10" t="s">
        <v>372</v>
      </c>
      <c r="P290" s="1" t="s">
        <v>30089</v>
      </c>
      <c r="Q290" s="64" t="s">
        <v>39053</v>
      </c>
      <c r="R290" s="10" t="s">
        <v>94</v>
      </c>
      <c r="S290" s="63" t="s">
        <v>22</v>
      </c>
      <c r="T290" s="68" t="s">
        <v>26781</v>
      </c>
      <c r="U290" s="68" t="s">
        <v>26572</v>
      </c>
      <c r="V290" s="68" t="s">
        <v>26574</v>
      </c>
      <c r="W290" s="68" t="s">
        <v>94</v>
      </c>
      <c r="X290" s="68">
        <v>5065</v>
      </c>
      <c r="Z290" s="68" t="s">
        <v>42966</v>
      </c>
      <c r="AA290" s="33">
        <v>7375</v>
      </c>
    </row>
    <row r="291" spans="1:27" ht="13" customHeight="1" x14ac:dyDescent="0.2">
      <c r="A291" s="10" t="s">
        <v>39320</v>
      </c>
      <c r="B291" s="101">
        <v>36</v>
      </c>
      <c r="C291" s="10" t="s">
        <v>14</v>
      </c>
      <c r="D291" s="10" t="s">
        <v>31</v>
      </c>
      <c r="E291" s="63"/>
      <c r="F291" s="67">
        <v>43737</v>
      </c>
      <c r="G291" s="73" t="s">
        <v>39321</v>
      </c>
      <c r="H291" s="73" t="s">
        <v>38719</v>
      </c>
      <c r="I291" s="73" t="s">
        <v>39</v>
      </c>
      <c r="J291" s="65">
        <v>92284</v>
      </c>
      <c r="K291" s="10" t="s">
        <v>288</v>
      </c>
      <c r="L291" s="10" t="s">
        <v>32215</v>
      </c>
      <c r="M291" s="10" t="s">
        <v>21</v>
      </c>
      <c r="N291" s="10" t="s">
        <v>39322</v>
      </c>
      <c r="O291" s="10" t="s">
        <v>372</v>
      </c>
      <c r="P291" s="1" t="s">
        <v>30089</v>
      </c>
      <c r="Q291" s="64" t="s">
        <v>39323</v>
      </c>
      <c r="R291" s="10" t="s">
        <v>94</v>
      </c>
      <c r="S291" s="63" t="s">
        <v>22</v>
      </c>
      <c r="T291" s="68" t="s">
        <v>29833</v>
      </c>
      <c r="U291" s="68" t="s">
        <v>26572</v>
      </c>
      <c r="V291" s="68" t="s">
        <v>26571</v>
      </c>
      <c r="W291" s="68" t="s">
        <v>94</v>
      </c>
      <c r="X291" s="68">
        <v>5071</v>
      </c>
      <c r="Z291" s="68" t="s">
        <v>42968</v>
      </c>
      <c r="AA291" s="33">
        <v>7377</v>
      </c>
    </row>
    <row r="292" spans="1:27" ht="13" customHeight="1" x14ac:dyDescent="0.2">
      <c r="A292" s="10" t="s">
        <v>39046</v>
      </c>
      <c r="B292" s="99">
        <v>38</v>
      </c>
      <c r="C292" s="10" t="s">
        <v>14</v>
      </c>
      <c r="D292" s="10" t="s">
        <v>24</v>
      </c>
      <c r="E292" s="63"/>
      <c r="F292" s="67">
        <v>43737</v>
      </c>
      <c r="G292" s="10" t="s">
        <v>39047</v>
      </c>
      <c r="H292" s="73" t="s">
        <v>196</v>
      </c>
      <c r="I292" s="73" t="s">
        <v>56</v>
      </c>
      <c r="J292" s="65">
        <v>33186</v>
      </c>
      <c r="K292" s="10" t="s">
        <v>148</v>
      </c>
      <c r="L292" s="10" t="s">
        <v>149</v>
      </c>
      <c r="M292" s="10" t="s">
        <v>21</v>
      </c>
      <c r="N292" s="10" t="s">
        <v>39048</v>
      </c>
      <c r="O292" s="10" t="s">
        <v>372</v>
      </c>
      <c r="P292" s="1" t="s">
        <v>30089</v>
      </c>
      <c r="Q292" s="64" t="s">
        <v>39049</v>
      </c>
      <c r="R292" s="10" t="s">
        <v>94</v>
      </c>
      <c r="S292" s="63" t="s">
        <v>22</v>
      </c>
      <c r="T292" s="68" t="s">
        <v>26781</v>
      </c>
      <c r="U292" s="68" t="s">
        <v>26572</v>
      </c>
      <c r="V292" s="68">
        <v>0</v>
      </c>
      <c r="W292" s="68" t="s">
        <v>94</v>
      </c>
      <c r="X292" s="68">
        <v>5062</v>
      </c>
      <c r="Z292" s="68" t="s">
        <v>42968</v>
      </c>
      <c r="AA292" s="33">
        <v>7374</v>
      </c>
    </row>
    <row r="293" spans="1:27" ht="13" customHeight="1" x14ac:dyDescent="0.2">
      <c r="A293" s="10" t="s">
        <v>40128</v>
      </c>
      <c r="B293" s="99">
        <v>37</v>
      </c>
      <c r="C293" s="10" t="s">
        <v>14</v>
      </c>
      <c r="D293" s="10" t="s">
        <v>31</v>
      </c>
      <c r="E293" s="64" t="s">
        <v>40129</v>
      </c>
      <c r="F293" s="67">
        <v>43737</v>
      </c>
      <c r="G293" s="73" t="s">
        <v>40130</v>
      </c>
      <c r="H293" s="73" t="s">
        <v>550</v>
      </c>
      <c r="I293" s="73" t="s">
        <v>67</v>
      </c>
      <c r="J293" s="65">
        <v>75603</v>
      </c>
      <c r="K293" s="10" t="s">
        <v>551</v>
      </c>
      <c r="L293" s="10" t="s">
        <v>40131</v>
      </c>
      <c r="M293" s="10" t="s">
        <v>21</v>
      </c>
      <c r="N293" s="10" t="s">
        <v>40132</v>
      </c>
      <c r="O293" s="10" t="s">
        <v>372</v>
      </c>
      <c r="P293" s="1" t="s">
        <v>30089</v>
      </c>
      <c r="Q293" s="64" t="s">
        <v>40133</v>
      </c>
      <c r="R293" s="10" t="s">
        <v>94</v>
      </c>
      <c r="S293" s="63" t="s">
        <v>12</v>
      </c>
      <c r="T293" s="68" t="s">
        <v>29705</v>
      </c>
      <c r="U293" s="68" t="s">
        <v>26572</v>
      </c>
      <c r="V293" s="68" t="s">
        <v>26574</v>
      </c>
      <c r="W293" s="68" t="s">
        <v>94</v>
      </c>
      <c r="X293" s="68">
        <v>5060</v>
      </c>
      <c r="Z293" s="68" t="s">
        <v>42967</v>
      </c>
      <c r="AA293" s="33">
        <v>7380</v>
      </c>
    </row>
    <row r="294" spans="1:27" ht="13" customHeight="1" x14ac:dyDescent="0.2">
      <c r="A294" s="10" t="s">
        <v>37599</v>
      </c>
      <c r="B294" s="99">
        <v>27</v>
      </c>
      <c r="C294" s="10" t="s">
        <v>14</v>
      </c>
      <c r="D294" s="10" t="s">
        <v>79</v>
      </c>
      <c r="E294" s="64" t="s">
        <v>37600</v>
      </c>
      <c r="F294" s="67">
        <v>43737</v>
      </c>
      <c r="G294" s="73" t="s">
        <v>37601</v>
      </c>
      <c r="H294" s="10" t="s">
        <v>1716</v>
      </c>
      <c r="I294" s="10" t="s">
        <v>395</v>
      </c>
      <c r="J294" s="65">
        <v>10466</v>
      </c>
      <c r="K294" s="10" t="s">
        <v>1716</v>
      </c>
      <c r="L294" s="10" t="s">
        <v>539</v>
      </c>
      <c r="M294" s="10" t="s">
        <v>21</v>
      </c>
      <c r="N294" s="10" t="s">
        <v>37602</v>
      </c>
      <c r="O294" s="10" t="s">
        <v>372</v>
      </c>
      <c r="P294" s="1" t="s">
        <v>30089</v>
      </c>
      <c r="Q294" s="64" t="s">
        <v>37603</v>
      </c>
      <c r="R294" s="10" t="s">
        <v>94</v>
      </c>
      <c r="S294" s="63" t="s">
        <v>22</v>
      </c>
      <c r="T294" s="68" t="s">
        <v>26781</v>
      </c>
      <c r="U294" s="68" t="s">
        <v>26572</v>
      </c>
      <c r="V294" s="68" t="s">
        <v>26573</v>
      </c>
      <c r="W294" s="68" t="s">
        <v>512</v>
      </c>
      <c r="X294" s="68">
        <v>5064</v>
      </c>
      <c r="Z294" s="68" t="s">
        <v>42966</v>
      </c>
      <c r="AA294" s="33">
        <v>7373</v>
      </c>
    </row>
    <row r="295" spans="1:27" ht="13" customHeight="1" x14ac:dyDescent="0.2">
      <c r="A295" s="10" t="s">
        <v>41885</v>
      </c>
      <c r="B295" s="99">
        <v>33</v>
      </c>
      <c r="C295" s="10" t="s">
        <v>14</v>
      </c>
      <c r="D295" s="10" t="s">
        <v>31</v>
      </c>
      <c r="E295" s="64" t="s">
        <v>41886</v>
      </c>
      <c r="F295" s="67">
        <v>43737</v>
      </c>
      <c r="G295" s="73" t="s">
        <v>37601</v>
      </c>
      <c r="H295" s="10" t="s">
        <v>1716</v>
      </c>
      <c r="I295" s="10" t="s">
        <v>395</v>
      </c>
      <c r="J295" s="65">
        <v>10466</v>
      </c>
      <c r="K295" s="10" t="s">
        <v>1716</v>
      </c>
      <c r="L295" s="10" t="s">
        <v>539</v>
      </c>
      <c r="M295" s="10" t="s">
        <v>21</v>
      </c>
      <c r="N295" s="10" t="s">
        <v>37602</v>
      </c>
      <c r="O295" s="10" t="s">
        <v>372</v>
      </c>
      <c r="P295" s="1" t="s">
        <v>30089</v>
      </c>
      <c r="Q295" s="64" t="s">
        <v>37603</v>
      </c>
      <c r="R295" s="10" t="s">
        <v>94</v>
      </c>
      <c r="S295" s="63" t="s">
        <v>22</v>
      </c>
      <c r="T295" s="34" t="s">
        <v>26781</v>
      </c>
      <c r="U295" s="34" t="s">
        <v>26570</v>
      </c>
      <c r="V295" s="68"/>
      <c r="W295" s="68"/>
      <c r="X295" s="68"/>
      <c r="Z295" s="68" t="s">
        <v>42966</v>
      </c>
      <c r="AA295" s="33">
        <v>7376</v>
      </c>
    </row>
    <row r="296" spans="1:27" ht="13" customHeight="1" x14ac:dyDescent="0.2">
      <c r="A296" s="10" t="s">
        <v>41546</v>
      </c>
      <c r="B296" s="99">
        <v>20</v>
      </c>
      <c r="C296" s="10" t="s">
        <v>14</v>
      </c>
      <c r="D296" s="10" t="s">
        <v>31</v>
      </c>
      <c r="E296" s="64" t="s">
        <v>41547</v>
      </c>
      <c r="F296" s="67">
        <v>43737</v>
      </c>
      <c r="G296" s="73" t="s">
        <v>41548</v>
      </c>
      <c r="H296" s="73" t="s">
        <v>41549</v>
      </c>
      <c r="I296" s="73" t="s">
        <v>192</v>
      </c>
      <c r="J296" s="65">
        <v>80132</v>
      </c>
      <c r="K296" s="10" t="s">
        <v>801</v>
      </c>
      <c r="L296" s="10" t="s">
        <v>32187</v>
      </c>
      <c r="M296" s="10" t="s">
        <v>21</v>
      </c>
      <c r="N296" s="10" t="s">
        <v>41550</v>
      </c>
      <c r="O296" s="10" t="s">
        <v>31972</v>
      </c>
      <c r="P296" s="1" t="s">
        <v>30089</v>
      </c>
      <c r="Q296" s="64" t="s">
        <v>41551</v>
      </c>
      <c r="R296" s="10" t="s">
        <v>512</v>
      </c>
      <c r="S296" s="63" t="s">
        <v>12</v>
      </c>
      <c r="T296" s="68" t="s">
        <v>39971</v>
      </c>
      <c r="U296" s="68" t="s">
        <v>26572</v>
      </c>
      <c r="V296" s="68" t="s">
        <v>26573</v>
      </c>
      <c r="W296" s="68" t="s">
        <v>94</v>
      </c>
      <c r="X296" s="68">
        <v>5061</v>
      </c>
      <c r="Z296" s="68" t="s">
        <v>42968</v>
      </c>
      <c r="AA296" s="33">
        <v>7379</v>
      </c>
    </row>
    <row r="297" spans="1:27" ht="13" customHeight="1" x14ac:dyDescent="0.2">
      <c r="A297" s="10" t="s">
        <v>38320</v>
      </c>
      <c r="B297" s="99">
        <v>28</v>
      </c>
      <c r="C297" s="10" t="s">
        <v>14</v>
      </c>
      <c r="D297" s="10" t="s">
        <v>31</v>
      </c>
      <c r="E297" s="64" t="s">
        <v>38321</v>
      </c>
      <c r="F297" s="67">
        <v>43735</v>
      </c>
      <c r="G297" s="73" t="s">
        <v>38322</v>
      </c>
      <c r="H297" s="73" t="s">
        <v>38323</v>
      </c>
      <c r="I297" s="73" t="s">
        <v>26</v>
      </c>
      <c r="J297" s="65">
        <v>29070</v>
      </c>
      <c r="K297" s="10" t="s">
        <v>947</v>
      </c>
      <c r="L297" s="10" t="s">
        <v>948</v>
      </c>
      <c r="M297" s="10" t="s">
        <v>21</v>
      </c>
      <c r="N297" s="10" t="s">
        <v>38324</v>
      </c>
      <c r="O297" s="10" t="s">
        <v>372</v>
      </c>
      <c r="P297" s="1" t="s">
        <v>30089</v>
      </c>
      <c r="Q297" s="64" t="s">
        <v>38325</v>
      </c>
      <c r="R297" s="10" t="s">
        <v>904</v>
      </c>
      <c r="S297" s="63" t="s">
        <v>22</v>
      </c>
      <c r="T297" s="68" t="s">
        <v>26781</v>
      </c>
      <c r="U297" s="68" t="s">
        <v>26572</v>
      </c>
      <c r="V297" s="68" t="s">
        <v>19228</v>
      </c>
      <c r="W297" s="68" t="s">
        <v>94</v>
      </c>
      <c r="X297" s="68">
        <v>5054</v>
      </c>
      <c r="Z297" s="68" t="s">
        <v>42967</v>
      </c>
      <c r="AA297" s="33">
        <v>7372</v>
      </c>
    </row>
    <row r="298" spans="1:27" ht="13" customHeight="1" x14ac:dyDescent="0.2">
      <c r="A298" s="10" t="s">
        <v>3002</v>
      </c>
      <c r="B298" s="69"/>
      <c r="C298" s="10" t="s">
        <v>14</v>
      </c>
      <c r="D298" s="10" t="s">
        <v>24</v>
      </c>
      <c r="E298" s="63"/>
      <c r="F298" s="67">
        <v>43734</v>
      </c>
      <c r="G298" s="73" t="s">
        <v>40802</v>
      </c>
      <c r="H298" s="73" t="s">
        <v>40803</v>
      </c>
      <c r="I298" s="73" t="s">
        <v>39</v>
      </c>
      <c r="J298" s="65">
        <v>90631</v>
      </c>
      <c r="K298" s="10" t="s">
        <v>998</v>
      </c>
      <c r="L298" s="10" t="s">
        <v>40804</v>
      </c>
      <c r="M298" s="10" t="s">
        <v>21</v>
      </c>
      <c r="N298" s="10" t="s">
        <v>40805</v>
      </c>
      <c r="O298" s="10" t="s">
        <v>372</v>
      </c>
      <c r="P298" s="1" t="s">
        <v>30089</v>
      </c>
      <c r="Q298" s="64" t="s">
        <v>40806</v>
      </c>
      <c r="R298" s="10" t="s">
        <v>94</v>
      </c>
      <c r="S298" s="63" t="s">
        <v>351</v>
      </c>
      <c r="T298" s="68" t="s">
        <v>26867</v>
      </c>
      <c r="U298" s="68" t="s">
        <v>26572</v>
      </c>
      <c r="V298" s="68" t="s">
        <v>26571</v>
      </c>
      <c r="W298" s="68" t="s">
        <v>94</v>
      </c>
      <c r="X298" s="68">
        <v>5055</v>
      </c>
      <c r="Z298" s="68" t="s">
        <v>42968</v>
      </c>
      <c r="AA298" s="33">
        <v>7371</v>
      </c>
    </row>
    <row r="299" spans="1:27" ht="13" customHeight="1" x14ac:dyDescent="0.2">
      <c r="A299" s="63" t="s">
        <v>37258</v>
      </c>
      <c r="B299" s="101">
        <v>25</v>
      </c>
      <c r="C299" s="10" t="s">
        <v>14</v>
      </c>
      <c r="D299" s="10" t="s">
        <v>79</v>
      </c>
      <c r="E299" s="63"/>
      <c r="F299" s="67">
        <v>43734</v>
      </c>
      <c r="G299" s="63" t="s">
        <v>37259</v>
      </c>
      <c r="H299" s="73" t="s">
        <v>266</v>
      </c>
      <c r="I299" s="73" t="s">
        <v>67</v>
      </c>
      <c r="J299" s="65">
        <v>75215</v>
      </c>
      <c r="K299" s="10" t="s">
        <v>266</v>
      </c>
      <c r="L299" s="10" t="s">
        <v>267</v>
      </c>
      <c r="M299" s="10" t="s">
        <v>21</v>
      </c>
      <c r="N299" s="10" t="s">
        <v>37260</v>
      </c>
      <c r="O299" s="10" t="s">
        <v>372</v>
      </c>
      <c r="P299" s="1" t="s">
        <v>30089</v>
      </c>
      <c r="Q299" s="64" t="s">
        <v>37261</v>
      </c>
      <c r="R299" s="10" t="s">
        <v>94</v>
      </c>
      <c r="S299" s="63" t="s">
        <v>22</v>
      </c>
      <c r="T299" s="68" t="s">
        <v>26781</v>
      </c>
      <c r="U299" s="68" t="s">
        <v>26572</v>
      </c>
      <c r="V299" s="68" t="s">
        <v>26573</v>
      </c>
      <c r="W299" s="68" t="s">
        <v>94</v>
      </c>
      <c r="X299" s="68">
        <v>5057</v>
      </c>
      <c r="Z299" s="68" t="s">
        <v>42966</v>
      </c>
      <c r="AA299" s="33">
        <v>7369</v>
      </c>
    </row>
    <row r="300" spans="1:27" ht="13" customHeight="1" x14ac:dyDescent="0.2">
      <c r="A300" s="10" t="s">
        <v>39434</v>
      </c>
      <c r="B300" s="99">
        <v>49</v>
      </c>
      <c r="C300" s="10" t="s">
        <v>14</v>
      </c>
      <c r="D300" s="10" t="s">
        <v>79</v>
      </c>
      <c r="E300" s="64" t="s">
        <v>39435</v>
      </c>
      <c r="F300" s="67">
        <v>43734</v>
      </c>
      <c r="G300" s="73" t="s">
        <v>39436</v>
      </c>
      <c r="H300" s="73" t="s">
        <v>34470</v>
      </c>
      <c r="I300" s="73" t="s">
        <v>46</v>
      </c>
      <c r="J300" s="65">
        <v>20782</v>
      </c>
      <c r="K300" s="10" t="s">
        <v>2210</v>
      </c>
      <c r="L300" s="10" t="s">
        <v>39437</v>
      </c>
      <c r="M300" s="10" t="s">
        <v>21</v>
      </c>
      <c r="N300" s="10" t="s">
        <v>39438</v>
      </c>
      <c r="O300" s="10" t="s">
        <v>372</v>
      </c>
      <c r="P300" s="1" t="s">
        <v>30089</v>
      </c>
      <c r="Q300" s="64" t="s">
        <v>39439</v>
      </c>
      <c r="R300" s="10" t="s">
        <v>94</v>
      </c>
      <c r="S300" s="63" t="s">
        <v>22</v>
      </c>
      <c r="T300" s="68" t="s">
        <v>26774</v>
      </c>
      <c r="U300" s="68" t="s">
        <v>26572</v>
      </c>
      <c r="V300" s="68" t="s">
        <v>26573</v>
      </c>
      <c r="W300" s="68" t="s">
        <v>94</v>
      </c>
      <c r="X300" s="68">
        <v>5052</v>
      </c>
      <c r="Z300" s="68" t="s">
        <v>42966</v>
      </c>
      <c r="AA300" s="33">
        <v>7370</v>
      </c>
    </row>
    <row r="301" spans="1:27" ht="13" customHeight="1" x14ac:dyDescent="0.2">
      <c r="A301" s="10" t="s">
        <v>38315</v>
      </c>
      <c r="B301" s="99">
        <v>64</v>
      </c>
      <c r="C301" s="10" t="s">
        <v>14</v>
      </c>
      <c r="D301" s="10" t="s">
        <v>31</v>
      </c>
      <c r="E301" s="64" t="s">
        <v>38316</v>
      </c>
      <c r="F301" s="67">
        <v>43733</v>
      </c>
      <c r="G301" s="73" t="s">
        <v>38317</v>
      </c>
      <c r="H301" s="73" t="s">
        <v>9745</v>
      </c>
      <c r="I301" s="73" t="s">
        <v>26</v>
      </c>
      <c r="J301" s="65">
        <v>29550</v>
      </c>
      <c r="K301" s="10" t="s">
        <v>9746</v>
      </c>
      <c r="L301" s="10" t="s">
        <v>9747</v>
      </c>
      <c r="M301" s="10" t="s">
        <v>21</v>
      </c>
      <c r="N301" s="10" t="s">
        <v>38318</v>
      </c>
      <c r="O301" s="10" t="s">
        <v>372</v>
      </c>
      <c r="P301" s="1" t="s">
        <v>30089</v>
      </c>
      <c r="Q301" s="64" t="s">
        <v>38319</v>
      </c>
      <c r="R301" s="10" t="s">
        <v>94</v>
      </c>
      <c r="S301" s="63" t="s">
        <v>22</v>
      </c>
      <c r="T301" s="68" t="s">
        <v>26781</v>
      </c>
      <c r="U301" s="68" t="s">
        <v>26572</v>
      </c>
      <c r="V301" s="68" t="s">
        <v>26573</v>
      </c>
      <c r="W301" s="68" t="s">
        <v>94</v>
      </c>
      <c r="X301" s="68">
        <v>5053</v>
      </c>
      <c r="Z301" s="68" t="s">
        <v>42967</v>
      </c>
      <c r="AA301" s="33">
        <v>7366</v>
      </c>
    </row>
    <row r="302" spans="1:27" ht="13" customHeight="1" x14ac:dyDescent="0.2">
      <c r="A302" s="10" t="s">
        <v>41062</v>
      </c>
      <c r="B302" s="101">
        <v>32</v>
      </c>
      <c r="C302" s="10" t="s">
        <v>14</v>
      </c>
      <c r="D302" s="10" t="s">
        <v>31</v>
      </c>
      <c r="E302" s="63"/>
      <c r="F302" s="67">
        <v>43733</v>
      </c>
      <c r="G302" s="73" t="s">
        <v>41063</v>
      </c>
      <c r="H302" s="73" t="s">
        <v>41064</v>
      </c>
      <c r="I302" s="73" t="s">
        <v>19</v>
      </c>
      <c r="J302" s="65">
        <v>70445</v>
      </c>
      <c r="K302" s="78" t="s">
        <v>15980</v>
      </c>
      <c r="L302" s="10" t="s">
        <v>15981</v>
      </c>
      <c r="M302" s="10" t="s">
        <v>21</v>
      </c>
      <c r="N302" s="10" t="s">
        <v>41065</v>
      </c>
      <c r="O302" s="10" t="s">
        <v>372</v>
      </c>
      <c r="P302" s="1" t="s">
        <v>30089</v>
      </c>
      <c r="Q302" s="64" t="s">
        <v>41066</v>
      </c>
      <c r="R302" s="10" t="s">
        <v>512</v>
      </c>
      <c r="S302" s="63" t="s">
        <v>22</v>
      </c>
      <c r="T302" s="68" t="s">
        <v>26781</v>
      </c>
      <c r="U302" s="68" t="s">
        <v>26572</v>
      </c>
      <c r="V302" s="68" t="s">
        <v>26573</v>
      </c>
      <c r="W302" s="68" t="s">
        <v>94</v>
      </c>
      <c r="X302" s="68">
        <v>5067</v>
      </c>
      <c r="Z302" s="68" t="s">
        <v>42967</v>
      </c>
      <c r="AA302" s="33">
        <v>7368</v>
      </c>
    </row>
    <row r="303" spans="1:27" ht="13" customHeight="1" x14ac:dyDescent="0.2">
      <c r="A303" s="10" t="s">
        <v>38326</v>
      </c>
      <c r="B303" s="99">
        <v>67</v>
      </c>
      <c r="C303" s="10" t="s">
        <v>14</v>
      </c>
      <c r="D303" s="10" t="s">
        <v>31</v>
      </c>
      <c r="E303" s="63"/>
      <c r="F303" s="67">
        <v>43733</v>
      </c>
      <c r="G303" s="73" t="s">
        <v>38327</v>
      </c>
      <c r="H303" s="73" t="s">
        <v>38328</v>
      </c>
      <c r="I303" s="73" t="s">
        <v>338</v>
      </c>
      <c r="J303" s="65">
        <v>28574</v>
      </c>
      <c r="K303" s="78" t="s">
        <v>38329</v>
      </c>
      <c r="L303" s="10" t="s">
        <v>38330</v>
      </c>
      <c r="M303" s="10" t="s">
        <v>21</v>
      </c>
      <c r="N303" s="10" t="s">
        <v>38331</v>
      </c>
      <c r="O303" s="10" t="s">
        <v>372</v>
      </c>
      <c r="P303" s="1" t="s">
        <v>30089</v>
      </c>
      <c r="Q303" s="64" t="s">
        <v>38332</v>
      </c>
      <c r="R303" s="10" t="s">
        <v>94</v>
      </c>
      <c r="S303" s="63" t="s">
        <v>22</v>
      </c>
      <c r="T303" s="68" t="s">
        <v>26781</v>
      </c>
      <c r="U303" s="68" t="s">
        <v>26572</v>
      </c>
      <c r="V303" s="68" t="s">
        <v>26571</v>
      </c>
      <c r="W303" s="68" t="s">
        <v>94</v>
      </c>
      <c r="X303" s="68">
        <v>5068</v>
      </c>
      <c r="Z303" s="68" t="s">
        <v>42967</v>
      </c>
      <c r="AA303" s="33">
        <v>7367</v>
      </c>
    </row>
    <row r="304" spans="1:27" ht="13" customHeight="1" x14ac:dyDescent="0.2">
      <c r="A304" s="10" t="s">
        <v>39769</v>
      </c>
      <c r="B304" s="99">
        <v>63</v>
      </c>
      <c r="C304" s="10" t="s">
        <v>14</v>
      </c>
      <c r="D304" s="10" t="s">
        <v>24</v>
      </c>
      <c r="E304" s="63"/>
      <c r="F304" s="67">
        <v>43732</v>
      </c>
      <c r="G304" s="73" t="s">
        <v>39770</v>
      </c>
      <c r="H304" s="73" t="s">
        <v>5084</v>
      </c>
      <c r="I304" s="73" t="s">
        <v>338</v>
      </c>
      <c r="J304" s="65">
        <v>27330</v>
      </c>
      <c r="K304" s="10" t="s">
        <v>5086</v>
      </c>
      <c r="L304" s="10" t="s">
        <v>8338</v>
      </c>
      <c r="M304" s="10" t="s">
        <v>21</v>
      </c>
      <c r="N304" s="10" t="s">
        <v>39771</v>
      </c>
      <c r="O304" s="10" t="s">
        <v>372</v>
      </c>
      <c r="P304" s="1" t="s">
        <v>30089</v>
      </c>
      <c r="Q304" s="64" t="s">
        <v>39772</v>
      </c>
      <c r="R304" s="10" t="s">
        <v>94</v>
      </c>
      <c r="S304" s="63" t="s">
        <v>22</v>
      </c>
      <c r="T304" s="68" t="s">
        <v>26774</v>
      </c>
      <c r="U304" s="68" t="s">
        <v>26570</v>
      </c>
      <c r="V304" s="68">
        <v>0</v>
      </c>
      <c r="W304" s="68" t="s">
        <v>94</v>
      </c>
      <c r="X304" s="68">
        <v>5069</v>
      </c>
      <c r="Z304" s="68" t="s">
        <v>42968</v>
      </c>
      <c r="AA304" s="33">
        <v>7365</v>
      </c>
    </row>
    <row r="305" spans="1:27" ht="13" customHeight="1" x14ac:dyDescent="0.2">
      <c r="A305" s="10" t="s">
        <v>39038</v>
      </c>
      <c r="B305" s="99">
        <v>41</v>
      </c>
      <c r="C305" s="10" t="s">
        <v>14</v>
      </c>
      <c r="D305" s="10" t="s">
        <v>24</v>
      </c>
      <c r="E305" s="63"/>
      <c r="F305" s="67">
        <v>43732</v>
      </c>
      <c r="G305" s="73" t="s">
        <v>39039</v>
      </c>
      <c r="H305" s="73" t="s">
        <v>7595</v>
      </c>
      <c r="I305" s="73" t="s">
        <v>139</v>
      </c>
      <c r="J305" s="65">
        <v>25701</v>
      </c>
      <c r="K305" s="10" t="s">
        <v>7597</v>
      </c>
      <c r="L305" s="10" t="s">
        <v>7598</v>
      </c>
      <c r="M305" s="10" t="s">
        <v>21</v>
      </c>
      <c r="N305" s="10" t="s">
        <v>39040</v>
      </c>
      <c r="O305" s="10" t="s">
        <v>372</v>
      </c>
      <c r="P305" s="1" t="s">
        <v>30089</v>
      </c>
      <c r="Q305" s="64" t="s">
        <v>39041</v>
      </c>
      <c r="R305" s="10" t="s">
        <v>94</v>
      </c>
      <c r="S305" s="63" t="s">
        <v>22</v>
      </c>
      <c r="T305" s="68" t="s">
        <v>26781</v>
      </c>
      <c r="U305" s="68" t="s">
        <v>26572</v>
      </c>
      <c r="V305" s="68" t="s">
        <v>26573</v>
      </c>
      <c r="W305" s="68" t="s">
        <v>94</v>
      </c>
      <c r="X305" s="68">
        <v>5051</v>
      </c>
      <c r="Z305" s="68" t="s">
        <v>42966</v>
      </c>
      <c r="AA305" s="33">
        <v>7364</v>
      </c>
    </row>
    <row r="306" spans="1:27" ht="13" customHeight="1" x14ac:dyDescent="0.15">
      <c r="A306" s="10" t="s">
        <v>40537</v>
      </c>
      <c r="B306" s="99">
        <v>31</v>
      </c>
      <c r="C306" s="10" t="s">
        <v>14</v>
      </c>
      <c r="D306" s="10" t="s">
        <v>24</v>
      </c>
      <c r="E306" s="63"/>
      <c r="F306" s="67">
        <v>43731</v>
      </c>
      <c r="G306" s="10" t="s">
        <v>40538</v>
      </c>
      <c r="H306" s="10" t="s">
        <v>19667</v>
      </c>
      <c r="I306" s="10" t="s">
        <v>918</v>
      </c>
      <c r="J306" s="65">
        <v>72745</v>
      </c>
      <c r="K306" s="10" t="s">
        <v>2325</v>
      </c>
      <c r="L306" s="10" t="s">
        <v>40539</v>
      </c>
      <c r="M306" s="10" t="s">
        <v>21</v>
      </c>
      <c r="N306" s="10" t="s">
        <v>40540</v>
      </c>
      <c r="O306" s="10" t="s">
        <v>372</v>
      </c>
      <c r="P306" s="1" t="s">
        <v>30089</v>
      </c>
      <c r="Q306" s="64" t="s">
        <v>40541</v>
      </c>
      <c r="R306" s="10" t="s">
        <v>94</v>
      </c>
      <c r="S306" s="63" t="s">
        <v>29</v>
      </c>
      <c r="T306" s="68" t="s">
        <v>26576</v>
      </c>
      <c r="U306" s="68" t="s">
        <v>26570</v>
      </c>
      <c r="V306" s="68" t="s">
        <v>26573</v>
      </c>
      <c r="W306" s="68" t="s">
        <v>94</v>
      </c>
      <c r="X306" s="68">
        <v>5048</v>
      </c>
      <c r="Z306" s="68" t="s">
        <v>42968</v>
      </c>
      <c r="AA306" s="33">
        <v>7363</v>
      </c>
    </row>
    <row r="307" spans="1:27" ht="13" customHeight="1" x14ac:dyDescent="0.2">
      <c r="A307" s="63" t="s">
        <v>38767</v>
      </c>
      <c r="B307" s="101">
        <v>63</v>
      </c>
      <c r="C307" s="10" t="s">
        <v>14</v>
      </c>
      <c r="D307" s="10" t="s">
        <v>42</v>
      </c>
      <c r="E307" s="63"/>
      <c r="F307" s="67">
        <v>43731</v>
      </c>
      <c r="G307" s="73" t="s">
        <v>38768</v>
      </c>
      <c r="H307" s="73" t="s">
        <v>205</v>
      </c>
      <c r="I307" s="73" t="s">
        <v>39</v>
      </c>
      <c r="J307" s="77">
        <v>90744</v>
      </c>
      <c r="K307" s="78" t="s">
        <v>92</v>
      </c>
      <c r="L307" s="10" t="s">
        <v>93</v>
      </c>
      <c r="M307" s="10" t="s">
        <v>21</v>
      </c>
      <c r="N307" s="10" t="s">
        <v>38769</v>
      </c>
      <c r="O307" s="10" t="s">
        <v>372</v>
      </c>
      <c r="P307" s="1" t="s">
        <v>30089</v>
      </c>
      <c r="Q307" s="64" t="s">
        <v>38770</v>
      </c>
      <c r="R307" s="10" t="s">
        <v>94</v>
      </c>
      <c r="S307" s="63" t="s">
        <v>22</v>
      </c>
      <c r="T307" s="68" t="s">
        <v>26781</v>
      </c>
      <c r="U307" s="68" t="s">
        <v>26570</v>
      </c>
      <c r="V307" s="68">
        <v>0</v>
      </c>
      <c r="W307" s="68" t="s">
        <v>94</v>
      </c>
      <c r="X307" s="68">
        <v>5046</v>
      </c>
      <c r="Z307" s="68" t="s">
        <v>42966</v>
      </c>
      <c r="AA307" s="33">
        <v>7362</v>
      </c>
    </row>
    <row r="308" spans="1:27" ht="13" customHeight="1" x14ac:dyDescent="0.15">
      <c r="A308" s="10" t="s">
        <v>38311</v>
      </c>
      <c r="B308" s="99">
        <v>74</v>
      </c>
      <c r="C308" s="10" t="s">
        <v>14</v>
      </c>
      <c r="D308" s="10" t="s">
        <v>31</v>
      </c>
      <c r="E308" s="63"/>
      <c r="F308" s="67">
        <v>43730</v>
      </c>
      <c r="G308" s="10" t="s">
        <v>38312</v>
      </c>
      <c r="H308" s="10" t="s">
        <v>1227</v>
      </c>
      <c r="I308" s="10" t="s">
        <v>67</v>
      </c>
      <c r="J308" s="65">
        <v>78752</v>
      </c>
      <c r="K308" s="10" t="s">
        <v>1228</v>
      </c>
      <c r="L308" s="10" t="s">
        <v>1229</v>
      </c>
      <c r="M308" s="10" t="s">
        <v>21</v>
      </c>
      <c r="N308" s="10" t="s">
        <v>38313</v>
      </c>
      <c r="O308" s="10" t="s">
        <v>372</v>
      </c>
      <c r="P308" s="1" t="s">
        <v>30089</v>
      </c>
      <c r="Q308" s="64" t="s">
        <v>38314</v>
      </c>
      <c r="R308" s="10" t="s">
        <v>94</v>
      </c>
      <c r="S308" s="63" t="s">
        <v>22</v>
      </c>
      <c r="T308" s="68" t="s">
        <v>26781</v>
      </c>
      <c r="U308" s="68" t="s">
        <v>26572</v>
      </c>
      <c r="V308" s="68" t="s">
        <v>26573</v>
      </c>
      <c r="W308" s="68" t="s">
        <v>94</v>
      </c>
      <c r="X308" s="68">
        <v>5050</v>
      </c>
      <c r="Z308" s="68" t="s">
        <v>42968</v>
      </c>
      <c r="AA308" s="33">
        <v>7361</v>
      </c>
    </row>
    <row r="309" spans="1:27" ht="13" customHeight="1" x14ac:dyDescent="0.15">
      <c r="A309" s="10" t="s">
        <v>38306</v>
      </c>
      <c r="B309" s="99">
        <v>28</v>
      </c>
      <c r="C309" s="10" t="s">
        <v>14</v>
      </c>
      <c r="D309" s="10" t="s">
        <v>31</v>
      </c>
      <c r="E309" s="64" t="s">
        <v>38307</v>
      </c>
      <c r="F309" s="67">
        <v>43730</v>
      </c>
      <c r="G309" s="10" t="s">
        <v>38308</v>
      </c>
      <c r="H309" s="10" t="s">
        <v>3237</v>
      </c>
      <c r="I309" s="10" t="s">
        <v>160</v>
      </c>
      <c r="J309" s="65">
        <v>30161</v>
      </c>
      <c r="K309" s="10" t="s">
        <v>3239</v>
      </c>
      <c r="L309" s="10" t="s">
        <v>3240</v>
      </c>
      <c r="M309" s="10" t="s">
        <v>21</v>
      </c>
      <c r="N309" s="10" t="s">
        <v>38309</v>
      </c>
      <c r="O309" s="10" t="s">
        <v>372</v>
      </c>
      <c r="P309" s="1" t="s">
        <v>30089</v>
      </c>
      <c r="Q309" s="64" t="s">
        <v>38310</v>
      </c>
      <c r="R309" s="10" t="s">
        <v>94</v>
      </c>
      <c r="S309" s="63" t="s">
        <v>22</v>
      </c>
      <c r="T309" s="68" t="s">
        <v>26781</v>
      </c>
      <c r="U309" s="68" t="s">
        <v>26572</v>
      </c>
      <c r="V309" s="68" t="s">
        <v>26574</v>
      </c>
      <c r="W309" s="68" t="s">
        <v>94</v>
      </c>
      <c r="X309" s="68">
        <v>5047</v>
      </c>
      <c r="Z309" s="68" t="s">
        <v>42968</v>
      </c>
      <c r="AA309" s="33">
        <v>7360</v>
      </c>
    </row>
    <row r="310" spans="1:27" ht="13" customHeight="1" x14ac:dyDescent="0.15">
      <c r="A310" s="10" t="s">
        <v>42182</v>
      </c>
      <c r="B310" s="99">
        <v>50</v>
      </c>
      <c r="C310" s="10" t="s">
        <v>14</v>
      </c>
      <c r="D310" s="10" t="s">
        <v>128</v>
      </c>
      <c r="E310" s="63"/>
      <c r="F310" s="67">
        <v>43729</v>
      </c>
      <c r="G310" s="10" t="s">
        <v>42183</v>
      </c>
      <c r="H310" s="10" t="s">
        <v>35284</v>
      </c>
      <c r="I310" s="10" t="s">
        <v>1020</v>
      </c>
      <c r="J310" s="65">
        <v>82501</v>
      </c>
      <c r="K310" s="10" t="s">
        <v>1066</v>
      </c>
      <c r="L310" s="10" t="s">
        <v>42184</v>
      </c>
      <c r="M310" s="10" t="s">
        <v>21</v>
      </c>
      <c r="N310" s="10" t="s">
        <v>42185</v>
      </c>
      <c r="O310" s="10" t="s">
        <v>372</v>
      </c>
      <c r="P310" s="1" t="s">
        <v>30089</v>
      </c>
      <c r="Q310" s="64" t="s">
        <v>42186</v>
      </c>
      <c r="R310" s="10" t="s">
        <v>94</v>
      </c>
      <c r="S310" s="63" t="s">
        <v>22</v>
      </c>
      <c r="T310" s="34" t="s">
        <v>26774</v>
      </c>
      <c r="U310" s="34" t="s">
        <v>26572</v>
      </c>
      <c r="V310" s="68"/>
      <c r="W310" s="68"/>
      <c r="X310" s="68"/>
      <c r="Z310" s="68" t="s">
        <v>42967</v>
      </c>
      <c r="AA310" s="33">
        <v>7358</v>
      </c>
    </row>
    <row r="311" spans="1:27" ht="13" customHeight="1" x14ac:dyDescent="0.15">
      <c r="A311" s="10" t="s">
        <v>40442</v>
      </c>
      <c r="B311" s="99">
        <v>29</v>
      </c>
      <c r="C311" s="10" t="s">
        <v>14</v>
      </c>
      <c r="D311" s="10" t="s">
        <v>24</v>
      </c>
      <c r="E311" s="63"/>
      <c r="F311" s="67">
        <v>43729</v>
      </c>
      <c r="G311" s="10" t="s">
        <v>40443</v>
      </c>
      <c r="H311" s="10" t="s">
        <v>3903</v>
      </c>
      <c r="I311" s="10" t="s">
        <v>367</v>
      </c>
      <c r="J311" s="65">
        <v>74820</v>
      </c>
      <c r="K311" s="10" t="s">
        <v>21448</v>
      </c>
      <c r="L311" s="10" t="s">
        <v>38457</v>
      </c>
      <c r="M311" s="10" t="s">
        <v>21</v>
      </c>
      <c r="N311" s="10" t="s">
        <v>40444</v>
      </c>
      <c r="O311" s="10" t="s">
        <v>372</v>
      </c>
      <c r="P311" s="1" t="s">
        <v>30089</v>
      </c>
      <c r="Q311" s="64" t="s">
        <v>40445</v>
      </c>
      <c r="R311" s="10" t="s">
        <v>94</v>
      </c>
      <c r="S311" s="63" t="s">
        <v>29</v>
      </c>
      <c r="T311" s="68" t="s">
        <v>26575</v>
      </c>
      <c r="U311" s="68" t="s">
        <v>26572</v>
      </c>
      <c r="V311" s="68" t="s">
        <v>26573</v>
      </c>
      <c r="W311" s="68" t="s">
        <v>94</v>
      </c>
      <c r="X311" s="68">
        <v>5049</v>
      </c>
      <c r="Z311" s="68" t="s">
        <v>42967</v>
      </c>
      <c r="AA311" s="33">
        <v>7359</v>
      </c>
    </row>
    <row r="312" spans="1:27" ht="13" customHeight="1" x14ac:dyDescent="0.15">
      <c r="A312" s="10" t="s">
        <v>39042</v>
      </c>
      <c r="B312" s="99">
        <v>21</v>
      </c>
      <c r="C312" s="10" t="s">
        <v>14</v>
      </c>
      <c r="D312" s="10" t="s">
        <v>24</v>
      </c>
      <c r="E312" s="63"/>
      <c r="F312" s="67">
        <v>43728</v>
      </c>
      <c r="G312" s="10" t="s">
        <v>39043</v>
      </c>
      <c r="H312" s="10" t="s">
        <v>10316</v>
      </c>
      <c r="I312" s="10" t="s">
        <v>160</v>
      </c>
      <c r="J312" s="65">
        <v>30501</v>
      </c>
      <c r="K312" s="10" t="s">
        <v>18981</v>
      </c>
      <c r="L312" s="10" t="s">
        <v>10318</v>
      </c>
      <c r="M312" s="10" t="s">
        <v>21</v>
      </c>
      <c r="N312" s="10" t="s">
        <v>39044</v>
      </c>
      <c r="O312" s="10" t="s">
        <v>372</v>
      </c>
      <c r="P312" s="1" t="s">
        <v>30089</v>
      </c>
      <c r="Q312" s="64" t="s">
        <v>39045</v>
      </c>
      <c r="R312" s="10" t="s">
        <v>94</v>
      </c>
      <c r="S312" s="63" t="s">
        <v>22</v>
      </c>
      <c r="T312" s="68" t="s">
        <v>26781</v>
      </c>
      <c r="U312" s="68" t="s">
        <v>26572</v>
      </c>
      <c r="V312" s="68" t="s">
        <v>26573</v>
      </c>
      <c r="W312" s="68" t="s">
        <v>512</v>
      </c>
      <c r="X312" s="68">
        <v>5058</v>
      </c>
      <c r="Z312" s="68" t="s">
        <v>42968</v>
      </c>
      <c r="AA312" s="33">
        <v>7355</v>
      </c>
    </row>
    <row r="313" spans="1:27" ht="13" customHeight="1" x14ac:dyDescent="0.15">
      <c r="A313" s="10" t="s">
        <v>42236</v>
      </c>
      <c r="B313" s="99">
        <v>57</v>
      </c>
      <c r="C313" s="10" t="s">
        <v>14</v>
      </c>
      <c r="D313" s="10" t="s">
        <v>24</v>
      </c>
      <c r="E313" s="63"/>
      <c r="F313" s="67">
        <v>43728</v>
      </c>
      <c r="G313" s="10" t="s">
        <v>42237</v>
      </c>
      <c r="H313" s="10" t="s">
        <v>1342</v>
      </c>
      <c r="I313" s="10" t="s">
        <v>192</v>
      </c>
      <c r="J313" s="65">
        <v>80226</v>
      </c>
      <c r="K313" s="10" t="s">
        <v>1659</v>
      </c>
      <c r="L313" s="10" t="s">
        <v>2530</v>
      </c>
      <c r="M313" s="10" t="s">
        <v>21</v>
      </c>
      <c r="N313" s="10" t="s">
        <v>42238</v>
      </c>
      <c r="O313" s="10" t="s">
        <v>372</v>
      </c>
      <c r="P313" s="1" t="s">
        <v>30089</v>
      </c>
      <c r="Q313" s="64" t="s">
        <v>42239</v>
      </c>
      <c r="R313" s="10" t="s">
        <v>94</v>
      </c>
      <c r="S313" s="63" t="s">
        <v>22</v>
      </c>
      <c r="T313" s="34" t="s">
        <v>26781</v>
      </c>
      <c r="U313" s="34" t="s">
        <v>26572</v>
      </c>
      <c r="V313" s="68"/>
      <c r="W313" s="68"/>
      <c r="X313" s="68"/>
      <c r="Z313" s="68" t="s">
        <v>42968</v>
      </c>
      <c r="AA313" s="33">
        <v>7356</v>
      </c>
    </row>
    <row r="314" spans="1:27" ht="13" customHeight="1" x14ac:dyDescent="0.15">
      <c r="A314" s="10" t="s">
        <v>42145</v>
      </c>
      <c r="B314" s="99">
        <v>24</v>
      </c>
      <c r="C314" s="10" t="s">
        <v>14</v>
      </c>
      <c r="D314" s="10" t="s">
        <v>42</v>
      </c>
      <c r="E314" s="64" t="s">
        <v>42146</v>
      </c>
      <c r="F314" s="67">
        <v>43728</v>
      </c>
      <c r="G314" s="10" t="s">
        <v>42147</v>
      </c>
      <c r="H314" s="10" t="s">
        <v>7622</v>
      </c>
      <c r="I314" s="10" t="s">
        <v>160</v>
      </c>
      <c r="J314" s="65">
        <v>30228</v>
      </c>
      <c r="K314" s="10" t="s">
        <v>7624</v>
      </c>
      <c r="L314" s="10" t="s">
        <v>39295</v>
      </c>
      <c r="M314" s="10" t="s">
        <v>363</v>
      </c>
      <c r="N314" s="10" t="s">
        <v>42148</v>
      </c>
      <c r="O314" s="10" t="s">
        <v>372</v>
      </c>
      <c r="P314" s="1" t="s">
        <v>30089</v>
      </c>
      <c r="Q314" s="64" t="s">
        <v>42149</v>
      </c>
      <c r="R314" s="10" t="s">
        <v>94</v>
      </c>
      <c r="S314" s="63" t="s">
        <v>12</v>
      </c>
      <c r="T314" s="34" t="s">
        <v>29705</v>
      </c>
      <c r="U314" s="34" t="s">
        <v>26575</v>
      </c>
      <c r="V314" s="68"/>
      <c r="W314" s="68"/>
      <c r="X314" s="68"/>
      <c r="Z314" s="68" t="s">
        <v>42968</v>
      </c>
      <c r="AA314" s="33">
        <v>7357</v>
      </c>
    </row>
    <row r="315" spans="1:27" ht="13" customHeight="1" x14ac:dyDescent="0.15">
      <c r="A315" s="10" t="s">
        <v>39962</v>
      </c>
      <c r="B315" s="99">
        <v>18</v>
      </c>
      <c r="C315" s="10" t="s">
        <v>14</v>
      </c>
      <c r="D315" s="10" t="s">
        <v>79</v>
      </c>
      <c r="E315" s="63"/>
      <c r="F315" s="67">
        <v>43727</v>
      </c>
      <c r="G315" s="10" t="s">
        <v>39963</v>
      </c>
      <c r="H315" s="10" t="s">
        <v>451</v>
      </c>
      <c r="I315" s="10" t="s">
        <v>39</v>
      </c>
      <c r="J315" s="65">
        <v>90804</v>
      </c>
      <c r="K315" s="10" t="s">
        <v>92</v>
      </c>
      <c r="L315" s="10" t="s">
        <v>452</v>
      </c>
      <c r="M315" s="10" t="s">
        <v>21</v>
      </c>
      <c r="N315" s="10" t="s">
        <v>39964</v>
      </c>
      <c r="O315" s="10" t="s">
        <v>372</v>
      </c>
      <c r="P315" s="1" t="s">
        <v>30089</v>
      </c>
      <c r="Q315" s="64" t="s">
        <v>39965</v>
      </c>
      <c r="R315" s="10" t="s">
        <v>94</v>
      </c>
      <c r="S315" s="63" t="s">
        <v>12</v>
      </c>
      <c r="T315" s="68" t="s">
        <v>29425</v>
      </c>
      <c r="U315" s="68" t="s">
        <v>26572</v>
      </c>
      <c r="V315" s="68" t="s">
        <v>26573</v>
      </c>
      <c r="W315" s="68" t="s">
        <v>94</v>
      </c>
      <c r="X315" s="68">
        <v>5044</v>
      </c>
      <c r="Z315" s="68" t="s">
        <v>42966</v>
      </c>
      <c r="AA315" s="33">
        <v>7353</v>
      </c>
    </row>
    <row r="316" spans="1:27" ht="13" customHeight="1" x14ac:dyDescent="0.15">
      <c r="A316" s="10" t="s">
        <v>41648</v>
      </c>
      <c r="B316" s="99">
        <v>74</v>
      </c>
      <c r="C316" s="10" t="s">
        <v>14</v>
      </c>
      <c r="D316" s="10" t="s">
        <v>24</v>
      </c>
      <c r="E316" s="63"/>
      <c r="F316" s="67">
        <v>43727</v>
      </c>
      <c r="G316" s="10" t="s">
        <v>41649</v>
      </c>
      <c r="H316" s="10" t="s">
        <v>41650</v>
      </c>
      <c r="I316" s="10" t="s">
        <v>298</v>
      </c>
      <c r="J316" s="65">
        <v>37379</v>
      </c>
      <c r="K316" s="10" t="s">
        <v>505</v>
      </c>
      <c r="L316" s="10" t="s">
        <v>41651</v>
      </c>
      <c r="M316" s="10" t="s">
        <v>21</v>
      </c>
      <c r="N316" s="10" t="s">
        <v>41652</v>
      </c>
      <c r="O316" s="10" t="s">
        <v>372</v>
      </c>
      <c r="P316" s="1" t="s">
        <v>30089</v>
      </c>
      <c r="Q316" s="64" t="s">
        <v>41653</v>
      </c>
      <c r="R316" s="10" t="s">
        <v>512</v>
      </c>
      <c r="S316" s="63" t="s">
        <v>29</v>
      </c>
      <c r="T316" s="68" t="s">
        <v>26576</v>
      </c>
      <c r="U316" s="68" t="s">
        <v>26570</v>
      </c>
      <c r="V316" s="68" t="s">
        <v>26573</v>
      </c>
      <c r="W316" s="68" t="s">
        <v>94</v>
      </c>
      <c r="X316" s="68">
        <v>5045</v>
      </c>
      <c r="Z316" s="68" t="s">
        <v>42967</v>
      </c>
      <c r="AA316" s="33">
        <v>7354</v>
      </c>
    </row>
    <row r="317" spans="1:27" ht="13" customHeight="1" x14ac:dyDescent="0.15">
      <c r="A317" s="10" t="s">
        <v>41709</v>
      </c>
      <c r="B317" s="99">
        <v>32</v>
      </c>
      <c r="C317" s="10" t="s">
        <v>14</v>
      </c>
      <c r="D317" s="10" t="s">
        <v>79</v>
      </c>
      <c r="E317" s="64" t="s">
        <v>41710</v>
      </c>
      <c r="F317" s="67">
        <v>43727</v>
      </c>
      <c r="G317" s="10" t="s">
        <v>37112</v>
      </c>
      <c r="H317" s="10" t="s">
        <v>37113</v>
      </c>
      <c r="I317" s="10" t="s">
        <v>621</v>
      </c>
      <c r="J317" s="65">
        <v>38868</v>
      </c>
      <c r="K317" s="10" t="s">
        <v>5086</v>
      </c>
      <c r="L317" s="10" t="s">
        <v>37114</v>
      </c>
      <c r="M317" s="10" t="s">
        <v>21</v>
      </c>
      <c r="N317" s="10" t="s">
        <v>37115</v>
      </c>
      <c r="O317" s="10" t="s">
        <v>372</v>
      </c>
      <c r="P317" s="1" t="s">
        <v>30089</v>
      </c>
      <c r="Q317" s="64" t="s">
        <v>37116</v>
      </c>
      <c r="R317" s="10" t="s">
        <v>94</v>
      </c>
      <c r="S317" s="63" t="s">
        <v>22</v>
      </c>
      <c r="T317" s="34" t="s">
        <v>26781</v>
      </c>
      <c r="U317" s="34" t="s">
        <v>26572</v>
      </c>
      <c r="V317" s="68"/>
      <c r="W317" s="68"/>
      <c r="X317" s="68"/>
      <c r="Z317" s="68" t="s">
        <v>42967</v>
      </c>
      <c r="AA317" s="33">
        <v>7352</v>
      </c>
    </row>
    <row r="318" spans="1:27" ht="13" customHeight="1" x14ac:dyDescent="0.15">
      <c r="A318" s="1" t="s">
        <v>37110</v>
      </c>
      <c r="B318" s="1">
        <v>38</v>
      </c>
      <c r="C318" s="1" t="s">
        <v>103</v>
      </c>
      <c r="D318" s="1" t="s">
        <v>79</v>
      </c>
      <c r="E318" s="1" t="s">
        <v>37111</v>
      </c>
      <c r="F318" s="67">
        <v>43727</v>
      </c>
      <c r="G318" s="1" t="s">
        <v>37112</v>
      </c>
      <c r="H318" s="1" t="s">
        <v>37113</v>
      </c>
      <c r="I318" s="1" t="s">
        <v>621</v>
      </c>
      <c r="J318" s="1">
        <v>38868</v>
      </c>
      <c r="K318" s="1" t="s">
        <v>5086</v>
      </c>
      <c r="L318" s="1" t="s">
        <v>37114</v>
      </c>
      <c r="M318" s="1" t="s">
        <v>21</v>
      </c>
      <c r="N318" s="1" t="s">
        <v>37115</v>
      </c>
      <c r="O318" s="1" t="s">
        <v>32706</v>
      </c>
      <c r="P318" s="1" t="s">
        <v>30089</v>
      </c>
      <c r="Q318" s="1" t="s">
        <v>37116</v>
      </c>
      <c r="R318" s="1" t="s">
        <v>94</v>
      </c>
      <c r="S318" s="1" t="s">
        <v>22</v>
      </c>
      <c r="T318" s="68" t="s">
        <v>26781</v>
      </c>
      <c r="U318" s="68"/>
      <c r="V318" s="68"/>
      <c r="W318" s="68"/>
      <c r="X318" s="68"/>
      <c r="Z318" s="1" t="s">
        <v>42967</v>
      </c>
      <c r="AA318" s="33">
        <v>7351</v>
      </c>
    </row>
    <row r="319" spans="1:27" ht="13" customHeight="1" x14ac:dyDescent="0.15">
      <c r="A319" s="10" t="s">
        <v>38301</v>
      </c>
      <c r="B319" s="99">
        <v>43</v>
      </c>
      <c r="C319" s="10" t="s">
        <v>14</v>
      </c>
      <c r="D319" s="10" t="s">
        <v>31</v>
      </c>
      <c r="E319" s="64" t="s">
        <v>38302</v>
      </c>
      <c r="F319" s="67">
        <v>43726</v>
      </c>
      <c r="G319" s="10" t="s">
        <v>38303</v>
      </c>
      <c r="H319" s="10" t="s">
        <v>2455</v>
      </c>
      <c r="I319" s="10" t="s">
        <v>106</v>
      </c>
      <c r="J319" s="65">
        <v>97304</v>
      </c>
      <c r="K319" s="10" t="s">
        <v>1736</v>
      </c>
      <c r="L319" s="10" t="s">
        <v>2456</v>
      </c>
      <c r="M319" s="10" t="s">
        <v>21</v>
      </c>
      <c r="N319" s="10" t="s">
        <v>38304</v>
      </c>
      <c r="O319" s="10" t="s">
        <v>372</v>
      </c>
      <c r="P319" s="1" t="s">
        <v>30089</v>
      </c>
      <c r="Q319" s="64" t="s">
        <v>38305</v>
      </c>
      <c r="R319" s="10" t="s">
        <v>94</v>
      </c>
      <c r="S319" s="63" t="s">
        <v>22</v>
      </c>
      <c r="T319" s="68" t="s">
        <v>26781</v>
      </c>
      <c r="U319" s="68" t="s">
        <v>26572</v>
      </c>
      <c r="V319" s="68" t="s">
        <v>26573</v>
      </c>
      <c r="W319" s="68" t="s">
        <v>94</v>
      </c>
      <c r="X319" s="68">
        <v>5043</v>
      </c>
      <c r="Z319" s="68" t="s">
        <v>42968</v>
      </c>
      <c r="AA319" s="33">
        <v>7346</v>
      </c>
    </row>
    <row r="320" spans="1:27" ht="13" customHeight="1" x14ac:dyDescent="0.15">
      <c r="A320" s="10" t="s">
        <v>41711</v>
      </c>
      <c r="B320" s="99">
        <v>49</v>
      </c>
      <c r="C320" s="10" t="s">
        <v>14</v>
      </c>
      <c r="D320" s="10" t="s">
        <v>79</v>
      </c>
      <c r="E320" s="64" t="s">
        <v>41712</v>
      </c>
      <c r="F320" s="67">
        <v>43726</v>
      </c>
      <c r="G320" s="10" t="s">
        <v>41713</v>
      </c>
      <c r="H320" s="10" t="s">
        <v>1528</v>
      </c>
      <c r="I320" s="10" t="s">
        <v>376</v>
      </c>
      <c r="J320" s="65">
        <v>15221</v>
      </c>
      <c r="K320" s="10" t="s">
        <v>1530</v>
      </c>
      <c r="L320" s="10" t="s">
        <v>32183</v>
      </c>
      <c r="M320" s="10" t="s">
        <v>21</v>
      </c>
      <c r="N320" s="10" t="s">
        <v>41714</v>
      </c>
      <c r="O320" s="10" t="s">
        <v>372</v>
      </c>
      <c r="P320" s="1" t="s">
        <v>30089</v>
      </c>
      <c r="Q320" s="64" t="s">
        <v>41715</v>
      </c>
      <c r="R320" s="10" t="s">
        <v>94</v>
      </c>
      <c r="S320" s="63" t="s">
        <v>22</v>
      </c>
      <c r="T320" s="34" t="s">
        <v>26774</v>
      </c>
      <c r="U320" s="34" t="s">
        <v>26572</v>
      </c>
      <c r="V320" s="68"/>
      <c r="W320" s="68"/>
      <c r="X320" s="68"/>
      <c r="Z320" s="68" t="s">
        <v>42968</v>
      </c>
      <c r="AA320" s="33">
        <v>7349</v>
      </c>
    </row>
    <row r="321" spans="1:27" ht="13" customHeight="1" x14ac:dyDescent="0.15">
      <c r="A321" s="10" t="s">
        <v>41716</v>
      </c>
      <c r="B321" s="99">
        <v>33</v>
      </c>
      <c r="C321" s="10" t="s">
        <v>14</v>
      </c>
      <c r="D321" s="10" t="s">
        <v>79</v>
      </c>
      <c r="E321" s="64" t="s">
        <v>41717</v>
      </c>
      <c r="F321" s="67">
        <v>43726</v>
      </c>
      <c r="G321" s="10" t="s">
        <v>41718</v>
      </c>
      <c r="H321" s="10" t="s">
        <v>1116</v>
      </c>
      <c r="I321" s="10" t="s">
        <v>298</v>
      </c>
      <c r="J321" s="65">
        <v>38106</v>
      </c>
      <c r="K321" s="10" t="s">
        <v>1117</v>
      </c>
      <c r="L321" s="10" t="s">
        <v>41719</v>
      </c>
      <c r="M321" s="10" t="s">
        <v>21</v>
      </c>
      <c r="N321" s="10" t="s">
        <v>41720</v>
      </c>
      <c r="O321" s="10" t="s">
        <v>372</v>
      </c>
      <c r="P321" s="1" t="s">
        <v>30089</v>
      </c>
      <c r="Q321" s="64" t="s">
        <v>41721</v>
      </c>
      <c r="R321" s="10" t="s">
        <v>94</v>
      </c>
      <c r="S321" s="63" t="s">
        <v>22</v>
      </c>
      <c r="T321" s="34" t="s">
        <v>26781</v>
      </c>
      <c r="U321" s="34"/>
      <c r="V321" s="68"/>
      <c r="W321" s="68"/>
      <c r="X321" s="68"/>
      <c r="Z321" s="68" t="s">
        <v>42966</v>
      </c>
      <c r="AA321" s="33">
        <v>7348</v>
      </c>
    </row>
    <row r="322" spans="1:27" ht="13" customHeight="1" x14ac:dyDescent="0.15">
      <c r="A322" s="10" t="s">
        <v>42034</v>
      </c>
      <c r="B322" s="99">
        <v>34</v>
      </c>
      <c r="C322" s="10" t="s">
        <v>14</v>
      </c>
      <c r="D322" s="10" t="s">
        <v>31</v>
      </c>
      <c r="E322" s="64" t="s">
        <v>42035</v>
      </c>
      <c r="F322" s="67">
        <v>43726</v>
      </c>
      <c r="G322" s="10" t="s">
        <v>42036</v>
      </c>
      <c r="H322" s="10" t="s">
        <v>947</v>
      </c>
      <c r="I322" s="10" t="s">
        <v>26</v>
      </c>
      <c r="J322" s="65">
        <v>29073</v>
      </c>
      <c r="K322" s="10" t="s">
        <v>947</v>
      </c>
      <c r="L322" s="10" t="s">
        <v>948</v>
      </c>
      <c r="M322" s="10" t="s">
        <v>363</v>
      </c>
      <c r="N322" s="10" t="s">
        <v>42037</v>
      </c>
      <c r="O322" s="10" t="s">
        <v>372</v>
      </c>
      <c r="P322" s="1" t="s">
        <v>30089</v>
      </c>
      <c r="Q322" s="64" t="s">
        <v>42038</v>
      </c>
      <c r="R322" s="10" t="s">
        <v>23</v>
      </c>
      <c r="S322" s="63" t="s">
        <v>12</v>
      </c>
      <c r="T322" s="34" t="s">
        <v>29705</v>
      </c>
      <c r="U322" s="34" t="s">
        <v>26570</v>
      </c>
      <c r="V322" s="68"/>
      <c r="W322" s="68"/>
      <c r="X322" s="68"/>
      <c r="Z322" s="68" t="s">
        <v>42968</v>
      </c>
      <c r="AA322" s="33">
        <v>7350</v>
      </c>
    </row>
    <row r="323" spans="1:27" ht="13" customHeight="1" x14ac:dyDescent="0.15">
      <c r="A323" s="10" t="s">
        <v>41674</v>
      </c>
      <c r="B323" s="99">
        <v>44</v>
      </c>
      <c r="C323" s="10" t="s">
        <v>14</v>
      </c>
      <c r="D323" s="10" t="s">
        <v>31</v>
      </c>
      <c r="E323" s="64" t="s">
        <v>41675</v>
      </c>
      <c r="F323" s="67">
        <v>43726</v>
      </c>
      <c r="G323" s="10" t="s">
        <v>41676</v>
      </c>
      <c r="H323" s="10" t="s">
        <v>3212</v>
      </c>
      <c r="I323" s="10" t="s">
        <v>56</v>
      </c>
      <c r="J323" s="65">
        <v>32310</v>
      </c>
      <c r="K323" s="10" t="s">
        <v>3214</v>
      </c>
      <c r="L323" s="10" t="s">
        <v>33882</v>
      </c>
      <c r="M323" s="10" t="s">
        <v>21</v>
      </c>
      <c r="N323" s="10" t="s">
        <v>41677</v>
      </c>
      <c r="O323" s="10" t="s">
        <v>372</v>
      </c>
      <c r="P323" s="1" t="s">
        <v>30089</v>
      </c>
      <c r="Q323" s="64" t="s">
        <v>41678</v>
      </c>
      <c r="R323" s="10" t="s">
        <v>94</v>
      </c>
      <c r="S323" s="63" t="s">
        <v>22</v>
      </c>
      <c r="T323" s="68" t="s">
        <v>26781</v>
      </c>
      <c r="U323" s="68" t="s">
        <v>26572</v>
      </c>
      <c r="V323" s="68" t="s">
        <v>26573</v>
      </c>
      <c r="W323" s="68"/>
      <c r="X323" s="68"/>
      <c r="Z323" s="68" t="s">
        <v>42968</v>
      </c>
      <c r="AA323" s="33">
        <v>7347</v>
      </c>
    </row>
    <row r="324" spans="1:27" ht="13" customHeight="1" x14ac:dyDescent="0.15">
      <c r="A324" s="10" t="s">
        <v>41295</v>
      </c>
      <c r="B324" s="99">
        <v>57</v>
      </c>
      <c r="C324" s="10" t="s">
        <v>103</v>
      </c>
      <c r="D324" s="10" t="s">
        <v>31</v>
      </c>
      <c r="E324" s="64" t="s">
        <v>41296</v>
      </c>
      <c r="F324" s="67">
        <v>43725</v>
      </c>
      <c r="G324" s="10" t="s">
        <v>41297</v>
      </c>
      <c r="H324" s="10" t="s">
        <v>818</v>
      </c>
      <c r="I324" s="10" t="s">
        <v>225</v>
      </c>
      <c r="J324" s="65">
        <v>23233</v>
      </c>
      <c r="K324" s="10" t="s">
        <v>27272</v>
      </c>
      <c r="L324" s="10" t="s">
        <v>41298</v>
      </c>
      <c r="M324" s="10" t="s">
        <v>21</v>
      </c>
      <c r="N324" s="10" t="s">
        <v>41299</v>
      </c>
      <c r="O324" s="10" t="s">
        <v>372</v>
      </c>
      <c r="P324" s="1" t="s">
        <v>30089</v>
      </c>
      <c r="Q324" s="64" t="s">
        <v>41300</v>
      </c>
      <c r="R324" s="10" t="s">
        <v>512</v>
      </c>
      <c r="S324" s="63" t="s">
        <v>22</v>
      </c>
      <c r="T324" s="68" t="s">
        <v>26585</v>
      </c>
      <c r="U324" s="68" t="s">
        <v>26572</v>
      </c>
      <c r="V324" s="68" t="s">
        <v>26573</v>
      </c>
      <c r="W324" s="68" t="s">
        <v>512</v>
      </c>
      <c r="X324" s="68">
        <v>5032</v>
      </c>
      <c r="Z324" s="68" t="s">
        <v>42968</v>
      </c>
      <c r="AA324" s="33">
        <v>7343</v>
      </c>
    </row>
    <row r="325" spans="1:27" ht="13" customHeight="1" x14ac:dyDescent="0.15">
      <c r="A325" s="10" t="s">
        <v>37712</v>
      </c>
      <c r="B325" s="99">
        <v>39</v>
      </c>
      <c r="C325" s="10" t="s">
        <v>14</v>
      </c>
      <c r="D325" s="10" t="s">
        <v>79</v>
      </c>
      <c r="E325" s="64" t="s">
        <v>37713</v>
      </c>
      <c r="F325" s="67">
        <v>43725</v>
      </c>
      <c r="G325" s="10" t="s">
        <v>37714</v>
      </c>
      <c r="H325" s="10" t="s">
        <v>35989</v>
      </c>
      <c r="I325" s="10" t="s">
        <v>395</v>
      </c>
      <c r="J325" s="65">
        <v>10304</v>
      </c>
      <c r="K325" s="10" t="s">
        <v>818</v>
      </c>
      <c r="L325" s="10" t="s">
        <v>539</v>
      </c>
      <c r="M325" s="10" t="s">
        <v>21</v>
      </c>
      <c r="N325" s="10" t="s">
        <v>37715</v>
      </c>
      <c r="O325" s="10" t="s">
        <v>372</v>
      </c>
      <c r="P325" s="1" t="s">
        <v>30089</v>
      </c>
      <c r="Q325" s="64" t="s">
        <v>37716</v>
      </c>
      <c r="R325" s="10" t="s">
        <v>94</v>
      </c>
      <c r="S325" s="63" t="s">
        <v>22</v>
      </c>
      <c r="T325" s="68" t="s">
        <v>26781</v>
      </c>
      <c r="U325" s="68" t="s">
        <v>26572</v>
      </c>
      <c r="V325" s="68" t="s">
        <v>26574</v>
      </c>
      <c r="W325" s="68" t="s">
        <v>512</v>
      </c>
      <c r="X325" s="68">
        <v>5248</v>
      </c>
      <c r="Z325" s="68" t="s">
        <v>42966</v>
      </c>
      <c r="AA325" s="33">
        <v>7342</v>
      </c>
    </row>
    <row r="326" spans="1:27" ht="13" customHeight="1" x14ac:dyDescent="0.15">
      <c r="A326" s="10" t="s">
        <v>41824</v>
      </c>
      <c r="B326" s="99">
        <v>36</v>
      </c>
      <c r="C326" s="10" t="s">
        <v>14</v>
      </c>
      <c r="D326" s="10" t="s">
        <v>31</v>
      </c>
      <c r="E326" s="64" t="s">
        <v>41825</v>
      </c>
      <c r="F326" s="67">
        <v>43725</v>
      </c>
      <c r="G326" s="10" t="s">
        <v>41826</v>
      </c>
      <c r="H326" s="10" t="s">
        <v>837</v>
      </c>
      <c r="I326" s="10" t="s">
        <v>395</v>
      </c>
      <c r="J326" s="65">
        <v>11572</v>
      </c>
      <c r="K326" s="10" t="s">
        <v>5127</v>
      </c>
      <c r="L326" s="10" t="s">
        <v>29339</v>
      </c>
      <c r="M326" s="10" t="s">
        <v>21</v>
      </c>
      <c r="N326" s="10" t="s">
        <v>41827</v>
      </c>
      <c r="O326" s="10" t="s">
        <v>31972</v>
      </c>
      <c r="P326" s="1" t="s">
        <v>30089</v>
      </c>
      <c r="Q326" s="64" t="s">
        <v>41828</v>
      </c>
      <c r="R326" s="10" t="s">
        <v>512</v>
      </c>
      <c r="S326" s="63" t="s">
        <v>22</v>
      </c>
      <c r="T326" s="34" t="s">
        <v>26774</v>
      </c>
      <c r="U326" s="34" t="s">
        <v>26572</v>
      </c>
      <c r="V326" s="68"/>
      <c r="W326" s="68"/>
      <c r="X326" s="68"/>
      <c r="Z326" s="68" t="s">
        <v>42966</v>
      </c>
      <c r="AA326" s="33">
        <v>7344</v>
      </c>
    </row>
    <row r="327" spans="1:27" ht="13" customHeight="1" x14ac:dyDescent="0.15">
      <c r="A327" s="10" t="s">
        <v>40746</v>
      </c>
      <c r="B327" s="99">
        <v>34</v>
      </c>
      <c r="C327" s="10" t="s">
        <v>14</v>
      </c>
      <c r="D327" s="10" t="s">
        <v>42</v>
      </c>
      <c r="E327" s="64" t="s">
        <v>40747</v>
      </c>
      <c r="F327" s="67">
        <v>43725</v>
      </c>
      <c r="G327" s="10" t="s">
        <v>40748</v>
      </c>
      <c r="H327" s="10" t="s">
        <v>20275</v>
      </c>
      <c r="I327" s="10" t="s">
        <v>56</v>
      </c>
      <c r="J327" s="65">
        <v>32583</v>
      </c>
      <c r="K327" s="10" t="s">
        <v>2742</v>
      </c>
      <c r="L327" s="10" t="s">
        <v>40749</v>
      </c>
      <c r="M327" s="10" t="s">
        <v>21</v>
      </c>
      <c r="N327" s="10" t="s">
        <v>40750</v>
      </c>
      <c r="O327" s="10" t="s">
        <v>372</v>
      </c>
      <c r="P327" s="1" t="s">
        <v>30089</v>
      </c>
      <c r="Q327" s="64" t="s">
        <v>40751</v>
      </c>
      <c r="R327" s="10" t="s">
        <v>94</v>
      </c>
      <c r="S327" s="63" t="s">
        <v>351</v>
      </c>
      <c r="T327" s="68" t="s">
        <v>26867</v>
      </c>
      <c r="U327" s="68" t="s">
        <v>26572</v>
      </c>
      <c r="V327" s="68" t="s">
        <v>26571</v>
      </c>
      <c r="W327" s="68" t="s">
        <v>94</v>
      </c>
      <c r="X327" s="68">
        <v>5034</v>
      </c>
      <c r="Z327" s="68" t="s">
        <v>42967</v>
      </c>
      <c r="AA327" s="33">
        <v>7345</v>
      </c>
    </row>
    <row r="328" spans="1:27" ht="13" customHeight="1" x14ac:dyDescent="0.15">
      <c r="A328" s="63" t="s">
        <v>37262</v>
      </c>
      <c r="B328" s="101">
        <v>27</v>
      </c>
      <c r="C328" s="10" t="s">
        <v>14</v>
      </c>
      <c r="D328" s="10" t="s">
        <v>79</v>
      </c>
      <c r="E328" s="63"/>
      <c r="F328" s="67">
        <v>43724</v>
      </c>
      <c r="G328" s="10" t="s">
        <v>37263</v>
      </c>
      <c r="H328" s="10" t="s">
        <v>674</v>
      </c>
      <c r="I328" s="10" t="s">
        <v>67</v>
      </c>
      <c r="J328" s="65">
        <v>77071</v>
      </c>
      <c r="K328" s="10" t="s">
        <v>515</v>
      </c>
      <c r="L328" s="10" t="s">
        <v>675</v>
      </c>
      <c r="M328" s="10" t="s">
        <v>21</v>
      </c>
      <c r="N328" s="10" t="s">
        <v>37264</v>
      </c>
      <c r="O328" s="10" t="s">
        <v>372</v>
      </c>
      <c r="P328" s="1" t="s">
        <v>30089</v>
      </c>
      <c r="Q328" s="64" t="s">
        <v>37265</v>
      </c>
      <c r="R328" s="10" t="s">
        <v>94</v>
      </c>
      <c r="S328" s="63" t="s">
        <v>22</v>
      </c>
      <c r="T328" s="68" t="s">
        <v>26781</v>
      </c>
      <c r="U328" s="68" t="s">
        <v>26572</v>
      </c>
      <c r="V328" s="68" t="s">
        <v>26574</v>
      </c>
      <c r="W328" s="68" t="s">
        <v>94</v>
      </c>
      <c r="X328" s="68">
        <v>5066</v>
      </c>
      <c r="Z328" s="68" t="s">
        <v>42968</v>
      </c>
      <c r="AA328" s="33">
        <v>7335</v>
      </c>
    </row>
    <row r="329" spans="1:27" ht="13" customHeight="1" x14ac:dyDescent="0.15">
      <c r="A329" s="10" t="s">
        <v>37597</v>
      </c>
      <c r="B329" s="99">
        <v>53</v>
      </c>
      <c r="C329" s="10" t="s">
        <v>14</v>
      </c>
      <c r="D329" s="10" t="s">
        <v>79</v>
      </c>
      <c r="E329" s="64" t="s">
        <v>37598</v>
      </c>
      <c r="F329" s="67">
        <v>43724</v>
      </c>
      <c r="G329" s="10" t="s">
        <v>37594</v>
      </c>
      <c r="H329" s="10" t="s">
        <v>107</v>
      </c>
      <c r="I329" s="10" t="s">
        <v>3357</v>
      </c>
      <c r="J329" s="65">
        <v>20020</v>
      </c>
      <c r="K329" s="10" t="s">
        <v>3359</v>
      </c>
      <c r="L329" s="10" t="s">
        <v>17581</v>
      </c>
      <c r="M329" s="10" t="s">
        <v>21</v>
      </c>
      <c r="N329" s="10" t="s">
        <v>37595</v>
      </c>
      <c r="O329" s="10" t="s">
        <v>372</v>
      </c>
      <c r="P329" s="1" t="s">
        <v>30089</v>
      </c>
      <c r="Q329" s="64" t="s">
        <v>37596</v>
      </c>
      <c r="R329" s="10" t="s">
        <v>94</v>
      </c>
      <c r="S329" s="63" t="s">
        <v>22</v>
      </c>
      <c r="T329" s="68" t="s">
        <v>26781</v>
      </c>
      <c r="U329" s="68" t="s">
        <v>26572</v>
      </c>
      <c r="V329" s="68" t="s">
        <v>26573</v>
      </c>
      <c r="W329" s="68" t="s">
        <v>94</v>
      </c>
      <c r="X329" s="68">
        <v>5035</v>
      </c>
      <c r="Z329" s="68" t="s">
        <v>42966</v>
      </c>
      <c r="AA329" s="33">
        <v>7337</v>
      </c>
    </row>
    <row r="330" spans="1:27" ht="13" customHeight="1" x14ac:dyDescent="0.15">
      <c r="A330" s="10" t="s">
        <v>38296</v>
      </c>
      <c r="B330" s="99">
        <v>33</v>
      </c>
      <c r="C330" s="10" t="s">
        <v>14</v>
      </c>
      <c r="D330" s="10" t="s">
        <v>31</v>
      </c>
      <c r="E330" s="64" t="s">
        <v>38297</v>
      </c>
      <c r="F330" s="67">
        <v>43724</v>
      </c>
      <c r="G330" s="10" t="s">
        <v>38298</v>
      </c>
      <c r="H330" s="10" t="s">
        <v>20354</v>
      </c>
      <c r="I330" s="10" t="s">
        <v>298</v>
      </c>
      <c r="J330" s="65">
        <v>37643</v>
      </c>
      <c r="K330" s="10" t="s">
        <v>761</v>
      </c>
      <c r="L330" s="10" t="s">
        <v>20356</v>
      </c>
      <c r="M330" s="10" t="s">
        <v>21</v>
      </c>
      <c r="N330" s="10" t="s">
        <v>38299</v>
      </c>
      <c r="O330" s="10" t="s">
        <v>372</v>
      </c>
      <c r="P330" s="1" t="s">
        <v>30089</v>
      </c>
      <c r="Q330" s="64" t="s">
        <v>38300</v>
      </c>
      <c r="R330" s="10" t="s">
        <v>94</v>
      </c>
      <c r="S330" s="63" t="s">
        <v>22</v>
      </c>
      <c r="T330" s="68" t="s">
        <v>26781</v>
      </c>
      <c r="U330" s="68" t="s">
        <v>26572</v>
      </c>
      <c r="V330" s="68" t="s">
        <v>26574</v>
      </c>
      <c r="W330" s="68" t="s">
        <v>94</v>
      </c>
      <c r="X330" s="68">
        <v>5038</v>
      </c>
      <c r="Z330" s="68" t="s">
        <v>42968</v>
      </c>
      <c r="AA330" s="33">
        <v>7338</v>
      </c>
    </row>
    <row r="331" spans="1:27" ht="13" customHeight="1" x14ac:dyDescent="0.15">
      <c r="A331" s="10" t="s">
        <v>41887</v>
      </c>
      <c r="B331" s="99">
        <v>50</v>
      </c>
      <c r="C331" s="10" t="s">
        <v>14</v>
      </c>
      <c r="D331" s="10" t="s">
        <v>31</v>
      </c>
      <c r="E331" s="64" t="s">
        <v>41888</v>
      </c>
      <c r="F331" s="67">
        <v>43724</v>
      </c>
      <c r="G331" s="10" t="s">
        <v>41889</v>
      </c>
      <c r="H331" s="10" t="s">
        <v>2659</v>
      </c>
      <c r="I331" s="10" t="s">
        <v>160</v>
      </c>
      <c r="J331" s="65">
        <v>30236</v>
      </c>
      <c r="K331" s="10" t="s">
        <v>1669</v>
      </c>
      <c r="L331" s="10" t="s">
        <v>2661</v>
      </c>
      <c r="M331" s="10" t="s">
        <v>21</v>
      </c>
      <c r="N331" s="10" t="s">
        <v>41890</v>
      </c>
      <c r="O331" s="10" t="s">
        <v>372</v>
      </c>
      <c r="P331" s="1" t="s">
        <v>30089</v>
      </c>
      <c r="Q331" s="64" t="s">
        <v>41891</v>
      </c>
      <c r="R331" s="10" t="s">
        <v>94</v>
      </c>
      <c r="S331" s="63" t="s">
        <v>22</v>
      </c>
      <c r="T331" s="34" t="s">
        <v>26781</v>
      </c>
      <c r="U331" s="34" t="s">
        <v>26572</v>
      </c>
      <c r="V331" s="68"/>
      <c r="W331" s="68"/>
      <c r="X331" s="68"/>
      <c r="Z331" s="68" t="s">
        <v>42968</v>
      </c>
      <c r="AA331" s="33">
        <v>7340</v>
      </c>
    </row>
    <row r="332" spans="1:27" ht="13" customHeight="1" x14ac:dyDescent="0.15">
      <c r="A332" s="10" t="s">
        <v>42374</v>
      </c>
      <c r="B332" s="99">
        <v>41</v>
      </c>
      <c r="C332" s="10" t="s">
        <v>14</v>
      </c>
      <c r="D332" s="10" t="s">
        <v>24</v>
      </c>
      <c r="E332" s="10"/>
      <c r="F332" s="67">
        <v>43724</v>
      </c>
      <c r="G332" s="10" t="s">
        <v>42375</v>
      </c>
      <c r="H332" s="10" t="s">
        <v>42376</v>
      </c>
      <c r="I332" s="10" t="s">
        <v>38</v>
      </c>
      <c r="J332" s="65">
        <v>62088</v>
      </c>
      <c r="K332" s="10" t="s">
        <v>2014</v>
      </c>
      <c r="L332" s="10" t="s">
        <v>6382</v>
      </c>
      <c r="M332" s="10" t="s">
        <v>363</v>
      </c>
      <c r="N332" s="10" t="s">
        <v>42377</v>
      </c>
      <c r="O332" s="10" t="s">
        <v>372</v>
      </c>
      <c r="P332" s="1" t="s">
        <v>30089</v>
      </c>
      <c r="Q332" s="64" t="s">
        <v>42378</v>
      </c>
      <c r="R332" s="10" t="s">
        <v>23</v>
      </c>
      <c r="S332" s="63" t="s">
        <v>12</v>
      </c>
      <c r="T332" s="34" t="s">
        <v>29705</v>
      </c>
      <c r="U332" s="34" t="s">
        <v>26575</v>
      </c>
      <c r="V332" s="68"/>
      <c r="W332" s="68"/>
      <c r="X332" s="68"/>
      <c r="Z332" s="68" t="s">
        <v>42967</v>
      </c>
      <c r="AA332" s="33">
        <v>7341</v>
      </c>
    </row>
    <row r="333" spans="1:27" ht="13" customHeight="1" x14ac:dyDescent="0.15">
      <c r="A333" s="10" t="s">
        <v>39033</v>
      </c>
      <c r="B333" s="99">
        <v>37</v>
      </c>
      <c r="C333" s="10" t="s">
        <v>14</v>
      </c>
      <c r="D333" s="10" t="s">
        <v>24</v>
      </c>
      <c r="E333" s="63"/>
      <c r="F333" s="67">
        <v>43724</v>
      </c>
      <c r="G333" s="10" t="s">
        <v>39034</v>
      </c>
      <c r="H333" s="10" t="s">
        <v>39035</v>
      </c>
      <c r="I333" s="10" t="s">
        <v>67</v>
      </c>
      <c r="J333" s="65">
        <v>76266</v>
      </c>
      <c r="K333" s="10" t="s">
        <v>153</v>
      </c>
      <c r="L333" s="10" t="s">
        <v>38158</v>
      </c>
      <c r="M333" s="10" t="s">
        <v>21</v>
      </c>
      <c r="N333" s="10" t="s">
        <v>39036</v>
      </c>
      <c r="O333" s="10" t="s">
        <v>372</v>
      </c>
      <c r="P333" s="1" t="s">
        <v>30089</v>
      </c>
      <c r="Q333" s="64" t="s">
        <v>39037</v>
      </c>
      <c r="R333" s="10" t="s">
        <v>94</v>
      </c>
      <c r="S333" s="63" t="s">
        <v>22</v>
      </c>
      <c r="T333" s="68" t="s">
        <v>26781</v>
      </c>
      <c r="U333" s="68" t="s">
        <v>26572</v>
      </c>
      <c r="V333" s="68" t="s">
        <v>26574</v>
      </c>
      <c r="W333" s="68" t="s">
        <v>94</v>
      </c>
      <c r="X333" s="68">
        <v>5041</v>
      </c>
      <c r="Z333" s="68" t="s">
        <v>42967</v>
      </c>
      <c r="AA333" s="33">
        <v>7339</v>
      </c>
    </row>
    <row r="334" spans="1:27" ht="13" customHeight="1" x14ac:dyDescent="0.15">
      <c r="A334" s="10" t="s">
        <v>39429</v>
      </c>
      <c r="B334" s="99">
        <v>31</v>
      </c>
      <c r="C334" s="10" t="s">
        <v>14</v>
      </c>
      <c r="D334" s="10" t="s">
        <v>79</v>
      </c>
      <c r="E334" s="64" t="s">
        <v>39430</v>
      </c>
      <c r="F334" s="67">
        <v>43723</v>
      </c>
      <c r="G334" s="10" t="s">
        <v>39431</v>
      </c>
      <c r="H334" s="10" t="s">
        <v>3289</v>
      </c>
      <c r="I334" s="10" t="s">
        <v>122</v>
      </c>
      <c r="J334" s="65">
        <v>55104</v>
      </c>
      <c r="K334" s="10" t="s">
        <v>3291</v>
      </c>
      <c r="L334" s="10" t="s">
        <v>4522</v>
      </c>
      <c r="M334" s="10" t="s">
        <v>21</v>
      </c>
      <c r="N334" s="10" t="s">
        <v>39432</v>
      </c>
      <c r="O334" s="10" t="s">
        <v>372</v>
      </c>
      <c r="P334" s="1" t="s">
        <v>30089</v>
      </c>
      <c r="Q334" s="64" t="s">
        <v>39433</v>
      </c>
      <c r="R334" s="10" t="s">
        <v>94</v>
      </c>
      <c r="S334" s="63" t="s">
        <v>22</v>
      </c>
      <c r="T334" s="68" t="s">
        <v>26774</v>
      </c>
      <c r="U334" s="68" t="s">
        <v>26572</v>
      </c>
      <c r="V334" s="68" t="s">
        <v>26573</v>
      </c>
      <c r="W334" s="68" t="s">
        <v>512</v>
      </c>
      <c r="X334" s="68">
        <v>5037</v>
      </c>
      <c r="Z334" s="68" t="s">
        <v>42966</v>
      </c>
      <c r="AA334" s="33">
        <v>7333</v>
      </c>
    </row>
    <row r="335" spans="1:27" ht="13" customHeight="1" x14ac:dyDescent="0.15">
      <c r="A335" s="10" t="s">
        <v>38523</v>
      </c>
      <c r="B335" s="99">
        <v>41</v>
      </c>
      <c r="C335" s="10" t="s">
        <v>14</v>
      </c>
      <c r="D335" s="10" t="s">
        <v>42</v>
      </c>
      <c r="E335" s="63"/>
      <c r="F335" s="67">
        <v>43723</v>
      </c>
      <c r="G335" s="10" t="s">
        <v>38524</v>
      </c>
      <c r="H335" s="10" t="s">
        <v>4205</v>
      </c>
      <c r="I335" s="10" t="s">
        <v>67</v>
      </c>
      <c r="J335" s="65">
        <v>77493</v>
      </c>
      <c r="K335" s="10" t="s">
        <v>515</v>
      </c>
      <c r="L335" s="10" t="s">
        <v>516</v>
      </c>
      <c r="M335" s="10" t="s">
        <v>21</v>
      </c>
      <c r="N335" s="10" t="s">
        <v>38525</v>
      </c>
      <c r="O335" s="10" t="s">
        <v>372</v>
      </c>
      <c r="P335" s="1" t="s">
        <v>30089</v>
      </c>
      <c r="Q335" s="64" t="s">
        <v>38526</v>
      </c>
      <c r="R335" s="10" t="s">
        <v>94</v>
      </c>
      <c r="S335" s="63" t="s">
        <v>22</v>
      </c>
      <c r="T335" s="68" t="s">
        <v>26781</v>
      </c>
      <c r="U335" s="68" t="s">
        <v>26572</v>
      </c>
      <c r="V335" s="68" t="s">
        <v>26574</v>
      </c>
      <c r="W335" s="68" t="s">
        <v>94</v>
      </c>
      <c r="X335" s="68">
        <v>5040</v>
      </c>
      <c r="Z335" s="68" t="s">
        <v>42968</v>
      </c>
      <c r="AA335" s="33">
        <v>7332</v>
      </c>
    </row>
    <row r="336" spans="1:27" ht="13" customHeight="1" x14ac:dyDescent="0.15">
      <c r="A336" s="10" t="s">
        <v>41400</v>
      </c>
      <c r="B336" s="99">
        <v>28</v>
      </c>
      <c r="C336" s="10" t="s">
        <v>14</v>
      </c>
      <c r="D336" s="10" t="s">
        <v>31</v>
      </c>
      <c r="E336" s="64" t="s">
        <v>41401</v>
      </c>
      <c r="F336" s="67">
        <v>43723</v>
      </c>
      <c r="G336" s="10" t="s">
        <v>41402</v>
      </c>
      <c r="H336" s="10" t="s">
        <v>1027</v>
      </c>
      <c r="I336" s="10" t="s">
        <v>367</v>
      </c>
      <c r="J336" s="65">
        <v>73103</v>
      </c>
      <c r="K336" s="10" t="s">
        <v>1028</v>
      </c>
      <c r="L336" s="10" t="s">
        <v>1029</v>
      </c>
      <c r="M336" s="10" t="s">
        <v>21</v>
      </c>
      <c r="N336" s="10" t="s">
        <v>41403</v>
      </c>
      <c r="O336" s="10" t="s">
        <v>372</v>
      </c>
      <c r="P336" s="1" t="s">
        <v>30089</v>
      </c>
      <c r="Q336" s="64" t="s">
        <v>41404</v>
      </c>
      <c r="R336" s="10" t="s">
        <v>512</v>
      </c>
      <c r="S336" s="63" t="s">
        <v>22</v>
      </c>
      <c r="T336" s="68" t="s">
        <v>26774</v>
      </c>
      <c r="U336" s="68" t="s">
        <v>26572</v>
      </c>
      <c r="V336" s="68" t="s">
        <v>26573</v>
      </c>
      <c r="W336" s="68" t="s">
        <v>512</v>
      </c>
      <c r="X336" s="68">
        <v>5036</v>
      </c>
      <c r="Z336" s="68" t="s">
        <v>42966</v>
      </c>
      <c r="AA336" s="33">
        <v>7334</v>
      </c>
    </row>
    <row r="337" spans="1:27" ht="13" customHeight="1" x14ac:dyDescent="0.15">
      <c r="A337" s="10" t="s">
        <v>42082</v>
      </c>
      <c r="B337" s="99">
        <v>33</v>
      </c>
      <c r="C337" s="10" t="s">
        <v>14</v>
      </c>
      <c r="D337" s="10" t="s">
        <v>42</v>
      </c>
      <c r="E337" s="64" t="s">
        <v>42083</v>
      </c>
      <c r="F337" s="67">
        <v>43722</v>
      </c>
      <c r="G337" s="10" t="s">
        <v>42084</v>
      </c>
      <c r="H337" s="10" t="s">
        <v>42085</v>
      </c>
      <c r="I337" s="10" t="s">
        <v>67</v>
      </c>
      <c r="J337" s="65">
        <v>79072</v>
      </c>
      <c r="K337" s="10" t="s">
        <v>42086</v>
      </c>
      <c r="L337" s="10" t="s">
        <v>42087</v>
      </c>
      <c r="M337" s="10" t="s">
        <v>21</v>
      </c>
      <c r="N337" s="10" t="s">
        <v>42088</v>
      </c>
      <c r="O337" s="10" t="s">
        <v>372</v>
      </c>
      <c r="P337" s="1" t="s">
        <v>30089</v>
      </c>
      <c r="Q337" s="64" t="s">
        <v>42089</v>
      </c>
      <c r="R337" s="10" t="s">
        <v>512</v>
      </c>
      <c r="S337" s="63" t="s">
        <v>22</v>
      </c>
      <c r="T337" s="34" t="s">
        <v>26781</v>
      </c>
      <c r="U337" s="34" t="s">
        <v>26572</v>
      </c>
      <c r="V337" s="68"/>
      <c r="W337" s="68"/>
      <c r="X337" s="68"/>
      <c r="Z337" s="68" t="s">
        <v>42968</v>
      </c>
      <c r="AA337" s="33">
        <v>7328</v>
      </c>
    </row>
    <row r="338" spans="1:27" ht="13" customHeight="1" x14ac:dyDescent="0.15">
      <c r="A338" s="10" t="s">
        <v>41531</v>
      </c>
      <c r="B338" s="99">
        <v>31</v>
      </c>
      <c r="C338" s="10" t="s">
        <v>14</v>
      </c>
      <c r="D338" s="10" t="s">
        <v>79</v>
      </c>
      <c r="E338" s="64" t="s">
        <v>41532</v>
      </c>
      <c r="F338" s="67">
        <v>43722</v>
      </c>
      <c r="G338" s="10" t="s">
        <v>41533</v>
      </c>
      <c r="H338" s="10" t="s">
        <v>787</v>
      </c>
      <c r="I338" s="10" t="s">
        <v>67</v>
      </c>
      <c r="J338" s="65">
        <v>76014</v>
      </c>
      <c r="K338" s="10" t="s">
        <v>68</v>
      </c>
      <c r="L338" s="10" t="s">
        <v>788</v>
      </c>
      <c r="M338" s="10" t="s">
        <v>21</v>
      </c>
      <c r="N338" s="10" t="s">
        <v>41534</v>
      </c>
      <c r="O338" s="10" t="s">
        <v>372</v>
      </c>
      <c r="P338" s="1" t="s">
        <v>30089</v>
      </c>
      <c r="Q338" s="64" t="s">
        <v>41535</v>
      </c>
      <c r="R338" s="10" t="s">
        <v>512</v>
      </c>
      <c r="S338" s="63" t="s">
        <v>12</v>
      </c>
      <c r="T338" s="68" t="s">
        <v>39971</v>
      </c>
      <c r="U338" s="68" t="s">
        <v>26572</v>
      </c>
      <c r="V338" s="68" t="s">
        <v>26573</v>
      </c>
      <c r="W338" s="68" t="s">
        <v>512</v>
      </c>
      <c r="X338" s="68">
        <v>5039</v>
      </c>
      <c r="Z338" s="68" t="s">
        <v>42968</v>
      </c>
      <c r="AA338" s="33">
        <v>7329</v>
      </c>
    </row>
    <row r="339" spans="1:27" ht="13" customHeight="1" x14ac:dyDescent="0.15">
      <c r="A339" s="10" t="s">
        <v>40165</v>
      </c>
      <c r="B339" s="99">
        <v>54</v>
      </c>
      <c r="C339" s="10" t="s">
        <v>14</v>
      </c>
      <c r="D339" s="10" t="s">
        <v>24</v>
      </c>
      <c r="E339" s="63"/>
      <c r="F339" s="67">
        <v>43722</v>
      </c>
      <c r="G339" s="10" t="s">
        <v>40166</v>
      </c>
      <c r="H339" s="10" t="s">
        <v>172</v>
      </c>
      <c r="I339" s="10" t="s">
        <v>19</v>
      </c>
      <c r="J339" s="65">
        <v>70817</v>
      </c>
      <c r="K339" s="10" t="s">
        <v>3435</v>
      </c>
      <c r="L339" s="10" t="s">
        <v>173</v>
      </c>
      <c r="M339" s="10" t="s">
        <v>21</v>
      </c>
      <c r="N339" s="10" t="s">
        <v>40167</v>
      </c>
      <c r="O339" s="10" t="s">
        <v>372</v>
      </c>
      <c r="P339" s="1" t="s">
        <v>30089</v>
      </c>
      <c r="Q339" s="64" t="s">
        <v>40168</v>
      </c>
      <c r="R339" s="10" t="s">
        <v>94</v>
      </c>
      <c r="S339" s="63" t="s">
        <v>12</v>
      </c>
      <c r="T339" s="68" t="s">
        <v>29705</v>
      </c>
      <c r="U339" s="68" t="s">
        <v>26575</v>
      </c>
      <c r="V339" s="68" t="s">
        <v>26573</v>
      </c>
      <c r="W339" s="68" t="s">
        <v>94</v>
      </c>
      <c r="X339" s="68">
        <v>5042</v>
      </c>
      <c r="Z339" s="68" t="s">
        <v>42968</v>
      </c>
      <c r="AA339" s="33">
        <v>7330</v>
      </c>
    </row>
    <row r="340" spans="1:27" ht="13" customHeight="1" x14ac:dyDescent="0.15">
      <c r="A340" s="10" t="s">
        <v>42240</v>
      </c>
      <c r="B340" s="99">
        <v>76</v>
      </c>
      <c r="C340" s="10" t="s">
        <v>14</v>
      </c>
      <c r="D340" s="10" t="s">
        <v>24</v>
      </c>
      <c r="E340" s="63"/>
      <c r="F340" s="67">
        <v>43722</v>
      </c>
      <c r="G340" s="10" t="s">
        <v>42241</v>
      </c>
      <c r="H340" s="10" t="s">
        <v>42242</v>
      </c>
      <c r="I340" s="10" t="s">
        <v>298</v>
      </c>
      <c r="J340" s="65">
        <v>37363</v>
      </c>
      <c r="K340" s="10" t="s">
        <v>505</v>
      </c>
      <c r="L340" s="10" t="s">
        <v>568</v>
      </c>
      <c r="M340" s="10" t="s">
        <v>21</v>
      </c>
      <c r="N340" s="10" t="s">
        <v>42243</v>
      </c>
      <c r="O340" s="10" t="s">
        <v>372</v>
      </c>
      <c r="P340" s="1" t="s">
        <v>30089</v>
      </c>
      <c r="Q340" s="64" t="s">
        <v>42244</v>
      </c>
      <c r="R340" s="10" t="s">
        <v>512</v>
      </c>
      <c r="S340" s="63" t="s">
        <v>29</v>
      </c>
      <c r="T340" s="34" t="s">
        <v>41840</v>
      </c>
      <c r="U340" s="34" t="s">
        <v>26572</v>
      </c>
      <c r="V340" s="68"/>
      <c r="W340" s="68"/>
      <c r="X340" s="68"/>
      <c r="Z340" s="68" t="s">
        <v>42968</v>
      </c>
      <c r="AA340" s="33">
        <v>7331</v>
      </c>
    </row>
    <row r="341" spans="1:27" ht="13" customHeight="1" x14ac:dyDescent="0.15">
      <c r="A341" s="10" t="s">
        <v>3002</v>
      </c>
      <c r="B341" s="99">
        <v>25</v>
      </c>
      <c r="C341" s="10" t="s">
        <v>14</v>
      </c>
      <c r="D341" s="10" t="s">
        <v>24</v>
      </c>
      <c r="E341" s="63"/>
      <c r="F341" s="67">
        <v>43721</v>
      </c>
      <c r="G341" s="10" t="s">
        <v>42245</v>
      </c>
      <c r="H341" s="10" t="s">
        <v>37071</v>
      </c>
      <c r="I341" s="10" t="s">
        <v>67</v>
      </c>
      <c r="J341" s="65">
        <v>78832</v>
      </c>
      <c r="K341" s="10" t="s">
        <v>37072</v>
      </c>
      <c r="L341" s="10" t="s">
        <v>27366</v>
      </c>
      <c r="M341" s="10" t="s">
        <v>21</v>
      </c>
      <c r="N341" s="10" t="s">
        <v>42246</v>
      </c>
      <c r="O341" s="10" t="s">
        <v>372</v>
      </c>
      <c r="P341" s="1" t="s">
        <v>30089</v>
      </c>
      <c r="Q341" s="64" t="s">
        <v>42247</v>
      </c>
      <c r="R341" s="10" t="s">
        <v>94</v>
      </c>
      <c r="S341" s="63" t="s">
        <v>22</v>
      </c>
      <c r="T341" s="34" t="s">
        <v>26781</v>
      </c>
      <c r="U341" s="34" t="s">
        <v>26572</v>
      </c>
      <c r="V341" s="68"/>
      <c r="W341" s="68"/>
      <c r="X341" s="68"/>
      <c r="Z341" s="68" t="s">
        <v>42967</v>
      </c>
      <c r="AA341" s="33">
        <v>7327</v>
      </c>
    </row>
    <row r="342" spans="1:27" ht="13" customHeight="1" x14ac:dyDescent="0.15">
      <c r="A342" s="10" t="s">
        <v>38290</v>
      </c>
      <c r="B342" s="99">
        <v>77</v>
      </c>
      <c r="C342" s="10" t="s">
        <v>14</v>
      </c>
      <c r="D342" s="10" t="s">
        <v>31</v>
      </c>
      <c r="E342" s="64" t="s">
        <v>38291</v>
      </c>
      <c r="F342" s="67">
        <v>43721</v>
      </c>
      <c r="G342" s="10" t="s">
        <v>38292</v>
      </c>
      <c r="H342" s="10" t="s">
        <v>38293</v>
      </c>
      <c r="I342" s="10" t="s">
        <v>409</v>
      </c>
      <c r="J342" s="65">
        <v>54446</v>
      </c>
      <c r="K342" s="10" t="s">
        <v>527</v>
      </c>
      <c r="L342" s="10" t="s">
        <v>26188</v>
      </c>
      <c r="M342" s="10" t="s">
        <v>21</v>
      </c>
      <c r="N342" s="10" t="s">
        <v>38294</v>
      </c>
      <c r="O342" s="10" t="s">
        <v>372</v>
      </c>
      <c r="P342" s="1" t="s">
        <v>30089</v>
      </c>
      <c r="Q342" s="64" t="s">
        <v>38295</v>
      </c>
      <c r="R342" s="10" t="s">
        <v>94</v>
      </c>
      <c r="S342" s="63" t="s">
        <v>22</v>
      </c>
      <c r="T342" s="68" t="s">
        <v>26781</v>
      </c>
      <c r="U342" s="68" t="s">
        <v>26572</v>
      </c>
      <c r="V342" s="68" t="s">
        <v>26573</v>
      </c>
      <c r="W342" s="68" t="s">
        <v>94</v>
      </c>
      <c r="X342" s="68">
        <v>5033</v>
      </c>
      <c r="Z342" s="68" t="s">
        <v>42967</v>
      </c>
      <c r="AA342" s="33">
        <v>7326</v>
      </c>
    </row>
    <row r="343" spans="1:27" ht="13" customHeight="1" x14ac:dyDescent="0.15">
      <c r="A343" s="10" t="s">
        <v>37590</v>
      </c>
      <c r="B343" s="99">
        <v>17</v>
      </c>
      <c r="C343" s="10" t="s">
        <v>14</v>
      </c>
      <c r="D343" s="10" t="s">
        <v>79</v>
      </c>
      <c r="E343" s="63"/>
      <c r="F343" s="67">
        <v>43720</v>
      </c>
      <c r="G343" s="10" t="s">
        <v>37591</v>
      </c>
      <c r="H343" s="10" t="s">
        <v>674</v>
      </c>
      <c r="I343" s="10" t="s">
        <v>67</v>
      </c>
      <c r="J343" s="65">
        <v>77021</v>
      </c>
      <c r="K343" s="10" t="s">
        <v>515</v>
      </c>
      <c r="L343" s="10" t="s">
        <v>675</v>
      </c>
      <c r="M343" s="10" t="s">
        <v>21</v>
      </c>
      <c r="N343" s="10" t="s">
        <v>37592</v>
      </c>
      <c r="O343" s="10" t="s">
        <v>372</v>
      </c>
      <c r="P343" s="1" t="s">
        <v>30089</v>
      </c>
      <c r="Q343" s="64" t="s">
        <v>37593</v>
      </c>
      <c r="R343" s="10" t="s">
        <v>94</v>
      </c>
      <c r="S343" s="63" t="s">
        <v>22</v>
      </c>
      <c r="T343" s="68" t="s">
        <v>26781</v>
      </c>
      <c r="U343" s="68" t="s">
        <v>26572</v>
      </c>
      <c r="V343" s="68" t="s">
        <v>26574</v>
      </c>
      <c r="W343" s="68" t="s">
        <v>94</v>
      </c>
      <c r="X343" s="68">
        <v>5028</v>
      </c>
      <c r="Z343" s="68" t="s">
        <v>42966</v>
      </c>
      <c r="AA343" s="33">
        <v>7322</v>
      </c>
    </row>
    <row r="344" spans="1:27" ht="13" customHeight="1" x14ac:dyDescent="0.15">
      <c r="A344" s="10" t="s">
        <v>40438</v>
      </c>
      <c r="B344" s="99">
        <v>29</v>
      </c>
      <c r="C344" s="10" t="s">
        <v>14</v>
      </c>
      <c r="D344" s="10" t="s">
        <v>24</v>
      </c>
      <c r="E344" s="63"/>
      <c r="F344" s="67">
        <v>43720</v>
      </c>
      <c r="G344" s="10" t="s">
        <v>40439</v>
      </c>
      <c r="H344" s="10" t="s">
        <v>4913</v>
      </c>
      <c r="I344" s="10" t="s">
        <v>402</v>
      </c>
      <c r="J344" s="65">
        <v>64052</v>
      </c>
      <c r="K344" s="10" t="s">
        <v>404</v>
      </c>
      <c r="L344" s="10" t="s">
        <v>8407</v>
      </c>
      <c r="M344" s="10" t="s">
        <v>21</v>
      </c>
      <c r="N344" s="10" t="s">
        <v>40440</v>
      </c>
      <c r="O344" s="10" t="s">
        <v>372</v>
      </c>
      <c r="P344" s="1" t="s">
        <v>30089</v>
      </c>
      <c r="Q344" s="64" t="s">
        <v>40441</v>
      </c>
      <c r="R344" s="10" t="s">
        <v>94</v>
      </c>
      <c r="S344" s="63" t="s">
        <v>29</v>
      </c>
      <c r="T344" s="68" t="s">
        <v>26575</v>
      </c>
      <c r="U344" s="68" t="s">
        <v>26572</v>
      </c>
      <c r="V344" s="68">
        <v>0</v>
      </c>
      <c r="W344" s="68" t="s">
        <v>94</v>
      </c>
      <c r="X344" s="68">
        <v>5029</v>
      </c>
      <c r="Z344" s="68" t="s">
        <v>42968</v>
      </c>
      <c r="AA344" s="33">
        <v>7324</v>
      </c>
    </row>
    <row r="345" spans="1:27" ht="13" customHeight="1" x14ac:dyDescent="0.15">
      <c r="A345" s="10" t="s">
        <v>40228</v>
      </c>
      <c r="B345" s="99">
        <v>35</v>
      </c>
      <c r="C345" s="10" t="s">
        <v>14</v>
      </c>
      <c r="D345" s="10" t="s">
        <v>42</v>
      </c>
      <c r="E345" s="63"/>
      <c r="F345" s="67">
        <v>43720</v>
      </c>
      <c r="G345" s="10" t="s">
        <v>40229</v>
      </c>
      <c r="H345" s="10" t="s">
        <v>10743</v>
      </c>
      <c r="I345" s="10" t="s">
        <v>39</v>
      </c>
      <c r="J345" s="65">
        <v>91355</v>
      </c>
      <c r="K345" s="10" t="s">
        <v>92</v>
      </c>
      <c r="L345" s="10" t="s">
        <v>386</v>
      </c>
      <c r="M345" s="10" t="s">
        <v>21</v>
      </c>
      <c r="N345" s="10" t="s">
        <v>40230</v>
      </c>
      <c r="O345" s="10" t="s">
        <v>372</v>
      </c>
      <c r="P345" s="1" t="s">
        <v>30089</v>
      </c>
      <c r="Q345" s="64" t="s">
        <v>40231</v>
      </c>
      <c r="R345" s="10" t="s">
        <v>23</v>
      </c>
      <c r="S345" s="63" t="s">
        <v>29</v>
      </c>
      <c r="T345" s="68" t="s">
        <v>26582</v>
      </c>
      <c r="U345" s="68" t="s">
        <v>26572</v>
      </c>
      <c r="V345" s="68" t="s">
        <v>26573</v>
      </c>
      <c r="W345" s="68" t="s">
        <v>94</v>
      </c>
      <c r="X345" s="68">
        <v>5030</v>
      </c>
      <c r="Z345" s="68" t="s">
        <v>42968</v>
      </c>
      <c r="AA345" s="33">
        <v>7323</v>
      </c>
    </row>
    <row r="346" spans="1:27" ht="13" customHeight="1" x14ac:dyDescent="0.15">
      <c r="A346" s="1" t="s">
        <v>42395</v>
      </c>
      <c r="B346" s="1">
        <v>43</v>
      </c>
      <c r="C346" s="1" t="s">
        <v>14</v>
      </c>
      <c r="D346" s="1" t="s">
        <v>79</v>
      </c>
      <c r="E346" s="1" t="s">
        <v>42396</v>
      </c>
      <c r="F346" s="67">
        <v>43720</v>
      </c>
      <c r="G346" s="1" t="s">
        <v>42397</v>
      </c>
      <c r="H346" s="1" t="s">
        <v>9350</v>
      </c>
      <c r="I346" s="1" t="s">
        <v>67</v>
      </c>
      <c r="J346" s="1">
        <v>75964</v>
      </c>
      <c r="K346" s="1" t="s">
        <v>9350</v>
      </c>
      <c r="L346" s="1" t="s">
        <v>42398</v>
      </c>
      <c r="M346" s="1" t="s">
        <v>351</v>
      </c>
      <c r="N346" s="33" t="s">
        <v>42500</v>
      </c>
      <c r="O346" s="1" t="s">
        <v>950</v>
      </c>
      <c r="P346" s="1" t="s">
        <v>30089</v>
      </c>
      <c r="Q346" s="1" t="s">
        <v>42399</v>
      </c>
      <c r="R346" s="1" t="s">
        <v>94</v>
      </c>
      <c r="S346" s="1" t="s">
        <v>351</v>
      </c>
      <c r="T346" s="33" t="s">
        <v>26867</v>
      </c>
      <c r="U346" s="68"/>
      <c r="V346" s="68"/>
      <c r="W346" s="68"/>
      <c r="X346" s="68"/>
      <c r="Z346" s="1" t="s">
        <v>42967</v>
      </c>
      <c r="AA346" s="33">
        <v>7325</v>
      </c>
    </row>
    <row r="347" spans="1:27" ht="13" customHeight="1" x14ac:dyDescent="0.15">
      <c r="A347" s="10" t="s">
        <v>38279</v>
      </c>
      <c r="B347" s="99">
        <v>20</v>
      </c>
      <c r="C347" s="10" t="s">
        <v>14</v>
      </c>
      <c r="D347" s="10" t="s">
        <v>31</v>
      </c>
      <c r="E347" s="64" t="s">
        <v>38280</v>
      </c>
      <c r="F347" s="67">
        <v>43719</v>
      </c>
      <c r="G347" s="10" t="s">
        <v>38281</v>
      </c>
      <c r="H347" s="10" t="s">
        <v>4692</v>
      </c>
      <c r="I347" s="10" t="s">
        <v>342</v>
      </c>
      <c r="J347" s="65">
        <v>52601</v>
      </c>
      <c r="K347" s="10" t="s">
        <v>1734</v>
      </c>
      <c r="L347" s="10" t="s">
        <v>4694</v>
      </c>
      <c r="M347" s="10" t="s">
        <v>21</v>
      </c>
      <c r="N347" s="10" t="s">
        <v>38282</v>
      </c>
      <c r="O347" s="10" t="s">
        <v>372</v>
      </c>
      <c r="P347" s="1" t="s">
        <v>30089</v>
      </c>
      <c r="Q347" s="64" t="s">
        <v>38283</v>
      </c>
      <c r="R347" s="10" t="s">
        <v>94</v>
      </c>
      <c r="S347" s="63" t="s">
        <v>22</v>
      </c>
      <c r="T347" s="68" t="s">
        <v>26781</v>
      </c>
      <c r="U347" s="68" t="s">
        <v>26572</v>
      </c>
      <c r="V347" s="68" t="s">
        <v>26574</v>
      </c>
      <c r="W347" s="68" t="s">
        <v>94</v>
      </c>
      <c r="X347" s="68">
        <v>5021</v>
      </c>
      <c r="Z347" s="68" t="s">
        <v>42968</v>
      </c>
      <c r="AA347" s="33">
        <v>7320</v>
      </c>
    </row>
    <row r="348" spans="1:27" ht="13" customHeight="1" x14ac:dyDescent="0.15">
      <c r="A348" s="10" t="s">
        <v>40252</v>
      </c>
      <c r="B348" s="99">
        <v>18</v>
      </c>
      <c r="C348" s="10" t="s">
        <v>14</v>
      </c>
      <c r="D348" s="10" t="s">
        <v>79</v>
      </c>
      <c r="E348" s="64" t="s">
        <v>40253</v>
      </c>
      <c r="F348" s="67">
        <v>43719</v>
      </c>
      <c r="G348" s="10" t="s">
        <v>40254</v>
      </c>
      <c r="H348" s="10" t="s">
        <v>1202</v>
      </c>
      <c r="I348" s="10" t="s">
        <v>63</v>
      </c>
      <c r="J348" s="65">
        <v>43232</v>
      </c>
      <c r="K348" s="10" t="s">
        <v>1203</v>
      </c>
      <c r="L348" s="10" t="s">
        <v>11441</v>
      </c>
      <c r="M348" s="10" t="s">
        <v>21</v>
      </c>
      <c r="N348" s="10" t="s">
        <v>40255</v>
      </c>
      <c r="O348" s="10" t="s">
        <v>372</v>
      </c>
      <c r="P348" s="1" t="s">
        <v>30089</v>
      </c>
      <c r="Q348" s="64" t="s">
        <v>40256</v>
      </c>
      <c r="R348" s="10" t="s">
        <v>94</v>
      </c>
      <c r="S348" s="63" t="s">
        <v>22</v>
      </c>
      <c r="T348" s="54" t="s">
        <v>26781</v>
      </c>
      <c r="U348" s="68" t="s">
        <v>26575</v>
      </c>
      <c r="V348" s="68">
        <v>0</v>
      </c>
      <c r="W348" s="68" t="s">
        <v>94</v>
      </c>
      <c r="X348" s="68">
        <v>5026</v>
      </c>
      <c r="Z348" s="68" t="s">
        <v>42968</v>
      </c>
      <c r="AA348" s="33">
        <v>7321</v>
      </c>
    </row>
    <row r="349" spans="1:27" ht="13" customHeight="1" x14ac:dyDescent="0.15">
      <c r="A349" s="10" t="s">
        <v>41607</v>
      </c>
      <c r="B349" s="99">
        <v>26</v>
      </c>
      <c r="C349" s="10" t="s">
        <v>14</v>
      </c>
      <c r="D349" s="10" t="s">
        <v>79</v>
      </c>
      <c r="E349" s="64" t="s">
        <v>41608</v>
      </c>
      <c r="F349" s="67">
        <v>43718</v>
      </c>
      <c r="G349" s="10" t="s">
        <v>41609</v>
      </c>
      <c r="H349" s="10" t="s">
        <v>22477</v>
      </c>
      <c r="I349" s="10" t="s">
        <v>221</v>
      </c>
      <c r="J349" s="65">
        <v>84542</v>
      </c>
      <c r="K349" s="10" t="s">
        <v>8992</v>
      </c>
      <c r="L349" s="10" t="s">
        <v>41610</v>
      </c>
      <c r="M349" s="10" t="s">
        <v>21</v>
      </c>
      <c r="N349" s="10" t="s">
        <v>41611</v>
      </c>
      <c r="O349" s="10" t="s">
        <v>372</v>
      </c>
      <c r="P349" s="1" t="s">
        <v>30089</v>
      </c>
      <c r="Q349" s="64" t="s">
        <v>41612</v>
      </c>
      <c r="R349" s="10" t="s">
        <v>512</v>
      </c>
      <c r="S349" s="63" t="s">
        <v>22</v>
      </c>
      <c r="T349" s="54" t="s">
        <v>26774</v>
      </c>
      <c r="U349" s="68" t="s">
        <v>26575</v>
      </c>
      <c r="V349" s="68" t="s">
        <v>26573</v>
      </c>
      <c r="W349" s="68" t="s">
        <v>512</v>
      </c>
      <c r="X349" s="68">
        <v>5022</v>
      </c>
      <c r="Z349" s="68" t="s">
        <v>42967</v>
      </c>
      <c r="AA349" s="33">
        <v>7319</v>
      </c>
    </row>
    <row r="350" spans="1:27" ht="13" customHeight="1" x14ac:dyDescent="0.15">
      <c r="A350" s="10" t="s">
        <v>37585</v>
      </c>
      <c r="B350" s="99">
        <v>33</v>
      </c>
      <c r="C350" s="10" t="s">
        <v>14</v>
      </c>
      <c r="D350" s="10" t="s">
        <v>79</v>
      </c>
      <c r="E350" s="64" t="s">
        <v>37586</v>
      </c>
      <c r="F350" s="67">
        <v>43717</v>
      </c>
      <c r="G350" s="10" t="s">
        <v>37587</v>
      </c>
      <c r="H350" s="10" t="s">
        <v>1027</v>
      </c>
      <c r="I350" s="10" t="s">
        <v>367</v>
      </c>
      <c r="J350" s="65">
        <v>73142</v>
      </c>
      <c r="K350" s="10" t="s">
        <v>1028</v>
      </c>
      <c r="L350" s="10" t="s">
        <v>1029</v>
      </c>
      <c r="M350" s="10" t="s">
        <v>21</v>
      </c>
      <c r="N350" s="10" t="s">
        <v>37588</v>
      </c>
      <c r="O350" s="10" t="s">
        <v>372</v>
      </c>
      <c r="P350" s="1" t="s">
        <v>30089</v>
      </c>
      <c r="Q350" s="64" t="s">
        <v>37589</v>
      </c>
      <c r="R350" s="10" t="s">
        <v>94</v>
      </c>
      <c r="S350" s="63" t="s">
        <v>22</v>
      </c>
      <c r="T350" s="68" t="s">
        <v>26781</v>
      </c>
      <c r="U350" s="68" t="s">
        <v>26572</v>
      </c>
      <c r="V350" s="68" t="s">
        <v>19228</v>
      </c>
      <c r="W350" s="68" t="s">
        <v>94</v>
      </c>
      <c r="X350" s="68">
        <v>5024</v>
      </c>
      <c r="Z350" s="68" t="s">
        <v>42966</v>
      </c>
      <c r="AA350" s="33">
        <v>7316</v>
      </c>
    </row>
    <row r="351" spans="1:27" ht="13" customHeight="1" x14ac:dyDescent="0.15">
      <c r="A351" s="10" t="s">
        <v>39329</v>
      </c>
      <c r="B351" s="99">
        <v>47</v>
      </c>
      <c r="C351" s="10" t="s">
        <v>14</v>
      </c>
      <c r="D351" s="10" t="s">
        <v>24</v>
      </c>
      <c r="E351" s="63"/>
      <c r="F351" s="67">
        <v>43717</v>
      </c>
      <c r="G351" s="10" t="s">
        <v>39330</v>
      </c>
      <c r="H351" s="10" t="s">
        <v>584</v>
      </c>
      <c r="I351" s="10" t="s">
        <v>112</v>
      </c>
      <c r="J351" s="65">
        <v>85306</v>
      </c>
      <c r="K351" s="10" t="s">
        <v>585</v>
      </c>
      <c r="L351" s="10" t="s">
        <v>586</v>
      </c>
      <c r="M351" s="10" t="s">
        <v>21</v>
      </c>
      <c r="N351" s="10" t="s">
        <v>39331</v>
      </c>
      <c r="O351" s="10" t="s">
        <v>372</v>
      </c>
      <c r="P351" s="1" t="s">
        <v>30089</v>
      </c>
      <c r="Q351" s="64" t="s">
        <v>39332</v>
      </c>
      <c r="R351" s="10" t="s">
        <v>94</v>
      </c>
      <c r="S351" s="63" t="s">
        <v>22</v>
      </c>
      <c r="T351" s="68" t="s">
        <v>29419</v>
      </c>
      <c r="U351" s="68" t="s">
        <v>26572</v>
      </c>
      <c r="V351" s="68" t="s">
        <v>26573</v>
      </c>
      <c r="W351" s="68" t="s">
        <v>94</v>
      </c>
      <c r="X351" s="68">
        <v>5027</v>
      </c>
      <c r="Z351" s="68" t="s">
        <v>42968</v>
      </c>
      <c r="AA351" s="33">
        <v>7318</v>
      </c>
    </row>
    <row r="352" spans="1:27" ht="13" customHeight="1" x14ac:dyDescent="0.15">
      <c r="A352" s="10" t="s">
        <v>38284</v>
      </c>
      <c r="B352" s="99">
        <v>41</v>
      </c>
      <c r="C352" s="10" t="s">
        <v>14</v>
      </c>
      <c r="D352" s="10" t="s">
        <v>31</v>
      </c>
      <c r="E352" s="64" t="s">
        <v>38285</v>
      </c>
      <c r="F352" s="67">
        <v>43717</v>
      </c>
      <c r="G352" s="10" t="s">
        <v>38286</v>
      </c>
      <c r="H352" s="10" t="s">
        <v>9932</v>
      </c>
      <c r="I352" s="10" t="s">
        <v>282</v>
      </c>
      <c r="J352" s="65">
        <v>98520</v>
      </c>
      <c r="K352" s="10" t="s">
        <v>25050</v>
      </c>
      <c r="L352" s="10" t="s">
        <v>38287</v>
      </c>
      <c r="M352" s="10" t="s">
        <v>21</v>
      </c>
      <c r="N352" s="10" t="s">
        <v>38288</v>
      </c>
      <c r="O352" s="10" t="s">
        <v>372</v>
      </c>
      <c r="P352" s="1" t="s">
        <v>30089</v>
      </c>
      <c r="Q352" s="64" t="s">
        <v>38289</v>
      </c>
      <c r="R352" s="10" t="s">
        <v>94</v>
      </c>
      <c r="S352" s="63" t="s">
        <v>22</v>
      </c>
      <c r="T352" s="68" t="s">
        <v>26781</v>
      </c>
      <c r="U352" s="68" t="s">
        <v>26572</v>
      </c>
      <c r="V352" s="68" t="s">
        <v>26574</v>
      </c>
      <c r="W352" s="68" t="s">
        <v>94</v>
      </c>
      <c r="X352" s="68">
        <v>5025</v>
      </c>
      <c r="Z352" s="68" t="s">
        <v>42967</v>
      </c>
      <c r="AA352" s="33">
        <v>7317</v>
      </c>
    </row>
    <row r="353" spans="1:27" ht="13" customHeight="1" x14ac:dyDescent="0.15">
      <c r="A353" s="10" t="s">
        <v>41199</v>
      </c>
      <c r="B353" s="99">
        <v>51</v>
      </c>
      <c r="C353" s="10" t="s">
        <v>14</v>
      </c>
      <c r="D353" s="10" t="s">
        <v>24</v>
      </c>
      <c r="E353" s="63"/>
      <c r="F353" s="67">
        <v>43716</v>
      </c>
      <c r="G353" s="10" t="s">
        <v>41200</v>
      </c>
      <c r="H353" s="10" t="s">
        <v>550</v>
      </c>
      <c r="I353" s="10" t="s">
        <v>282</v>
      </c>
      <c r="J353" s="65">
        <v>98632</v>
      </c>
      <c r="K353" s="10" t="s">
        <v>1780</v>
      </c>
      <c r="L353" s="10" t="s">
        <v>41201</v>
      </c>
      <c r="M353" s="10" t="s">
        <v>21</v>
      </c>
      <c r="N353" s="10" t="s">
        <v>41202</v>
      </c>
      <c r="O353" s="10" t="s">
        <v>372</v>
      </c>
      <c r="P353" s="1" t="s">
        <v>30089</v>
      </c>
      <c r="Q353" s="64" t="s">
        <v>41203</v>
      </c>
      <c r="R353" s="10" t="s">
        <v>512</v>
      </c>
      <c r="S353" s="63" t="s">
        <v>22</v>
      </c>
      <c r="T353" s="68" t="s">
        <v>26781</v>
      </c>
      <c r="U353" s="68" t="s">
        <v>26572</v>
      </c>
      <c r="V353" s="68" t="s">
        <v>26573</v>
      </c>
      <c r="W353" s="68" t="s">
        <v>94</v>
      </c>
      <c r="X353" s="68">
        <v>5015</v>
      </c>
      <c r="Z353" s="68" t="s">
        <v>42968</v>
      </c>
      <c r="AA353" s="33">
        <v>7314</v>
      </c>
    </row>
    <row r="354" spans="1:27" ht="13" customHeight="1" x14ac:dyDescent="0.15">
      <c r="A354" s="10" t="s">
        <v>39977</v>
      </c>
      <c r="B354" s="99">
        <v>24</v>
      </c>
      <c r="C354" s="10" t="s">
        <v>14</v>
      </c>
      <c r="D354" s="10" t="s">
        <v>79</v>
      </c>
      <c r="E354" s="63"/>
      <c r="F354" s="67">
        <v>43716</v>
      </c>
      <c r="G354" s="10" t="s">
        <v>39978</v>
      </c>
      <c r="H354" s="10" t="s">
        <v>826</v>
      </c>
      <c r="I354" s="10" t="s">
        <v>282</v>
      </c>
      <c r="J354" s="65">
        <v>98404</v>
      </c>
      <c r="K354" s="10" t="s">
        <v>827</v>
      </c>
      <c r="L354" s="10" t="s">
        <v>828</v>
      </c>
      <c r="M354" s="10" t="s">
        <v>21</v>
      </c>
      <c r="N354" s="10" t="s">
        <v>39979</v>
      </c>
      <c r="O354" s="10" t="s">
        <v>372</v>
      </c>
      <c r="P354" s="1" t="s">
        <v>30089</v>
      </c>
      <c r="Q354" s="64" t="s">
        <v>39980</v>
      </c>
      <c r="R354" s="10" t="s">
        <v>94</v>
      </c>
      <c r="S354" s="63" t="s">
        <v>12</v>
      </c>
      <c r="T354" s="68" t="s">
        <v>39971</v>
      </c>
      <c r="U354" s="68" t="s">
        <v>26575</v>
      </c>
      <c r="V354" s="68" t="s">
        <v>26574</v>
      </c>
      <c r="W354" s="68" t="s">
        <v>94</v>
      </c>
      <c r="X354" s="68">
        <v>5016</v>
      </c>
      <c r="Z354" s="68" t="s">
        <v>42968</v>
      </c>
      <c r="AA354" s="33">
        <v>7315</v>
      </c>
    </row>
    <row r="355" spans="1:27" ht="13" customHeight="1" x14ac:dyDescent="0.15">
      <c r="A355" s="10" t="s">
        <v>39463</v>
      </c>
      <c r="B355" s="99">
        <v>40</v>
      </c>
      <c r="C355" s="10" t="s">
        <v>14</v>
      </c>
      <c r="D355" s="10" t="s">
        <v>31</v>
      </c>
      <c r="E355" s="63"/>
      <c r="F355" s="67">
        <v>43715</v>
      </c>
      <c r="G355" s="10" t="s">
        <v>39464</v>
      </c>
      <c r="H355" s="10" t="s">
        <v>39465</v>
      </c>
      <c r="I355" s="10" t="s">
        <v>67</v>
      </c>
      <c r="J355" s="65">
        <v>75944</v>
      </c>
      <c r="K355" s="10" t="s">
        <v>9350</v>
      </c>
      <c r="L355" s="10" t="s">
        <v>9351</v>
      </c>
      <c r="M355" s="10" t="s">
        <v>21</v>
      </c>
      <c r="N355" s="10" t="s">
        <v>39466</v>
      </c>
      <c r="O355" s="10" t="s">
        <v>372</v>
      </c>
      <c r="P355" s="1" t="s">
        <v>30089</v>
      </c>
      <c r="Q355" s="64" t="s">
        <v>39467</v>
      </c>
      <c r="R355" s="10" t="s">
        <v>94</v>
      </c>
      <c r="S355" s="63" t="s">
        <v>22</v>
      </c>
      <c r="T355" s="68" t="s">
        <v>26774</v>
      </c>
      <c r="U355" s="68" t="s">
        <v>26570</v>
      </c>
      <c r="V355" s="68" t="s">
        <v>26573</v>
      </c>
      <c r="W355" s="68" t="s">
        <v>94</v>
      </c>
      <c r="X355" s="68">
        <v>5017</v>
      </c>
      <c r="Z355" s="68" t="s">
        <v>42967</v>
      </c>
      <c r="AA355" s="33">
        <v>7312</v>
      </c>
    </row>
    <row r="356" spans="1:27" ht="13" customHeight="1" x14ac:dyDescent="0.15">
      <c r="A356" s="10" t="s">
        <v>39680</v>
      </c>
      <c r="B356" s="99">
        <v>30</v>
      </c>
      <c r="C356" s="10" t="s">
        <v>14</v>
      </c>
      <c r="D356" s="10" t="s">
        <v>42</v>
      </c>
      <c r="E356" s="64" t="s">
        <v>39681</v>
      </c>
      <c r="F356" s="67">
        <v>43715</v>
      </c>
      <c r="G356" s="10" t="s">
        <v>39682</v>
      </c>
      <c r="H356" s="10" t="s">
        <v>39683</v>
      </c>
      <c r="I356" s="10" t="s">
        <v>122</v>
      </c>
      <c r="J356" s="65">
        <v>55423</v>
      </c>
      <c r="K356" s="10" t="s">
        <v>1009</v>
      </c>
      <c r="L356" s="10" t="s">
        <v>39684</v>
      </c>
      <c r="M356" s="10" t="s">
        <v>21</v>
      </c>
      <c r="N356" s="10" t="s">
        <v>39685</v>
      </c>
      <c r="O356" s="10" t="s">
        <v>372</v>
      </c>
      <c r="P356" s="1" t="s">
        <v>30089</v>
      </c>
      <c r="Q356" s="64" t="s">
        <v>39686</v>
      </c>
      <c r="R356" s="10" t="s">
        <v>23</v>
      </c>
      <c r="S356" s="63" t="s">
        <v>22</v>
      </c>
      <c r="T356" s="68" t="s">
        <v>26774</v>
      </c>
      <c r="U356" s="68" t="s">
        <v>26570</v>
      </c>
      <c r="V356" s="68" t="s">
        <v>26571</v>
      </c>
      <c r="W356" s="68" t="s">
        <v>94</v>
      </c>
      <c r="X356" s="68">
        <v>5013</v>
      </c>
      <c r="Z356" s="68" t="s">
        <v>42968</v>
      </c>
      <c r="AA356" s="33">
        <v>7313</v>
      </c>
    </row>
    <row r="357" spans="1:27" ht="13" customHeight="1" x14ac:dyDescent="0.15">
      <c r="A357" s="10" t="s">
        <v>39022</v>
      </c>
      <c r="B357" s="99">
        <v>42</v>
      </c>
      <c r="C357" s="10" t="s">
        <v>14</v>
      </c>
      <c r="D357" s="10" t="s">
        <v>24</v>
      </c>
      <c r="E357" s="63"/>
      <c r="F357" s="67">
        <v>43714</v>
      </c>
      <c r="G357" s="10" t="s">
        <v>39023</v>
      </c>
      <c r="H357" s="10" t="s">
        <v>39024</v>
      </c>
      <c r="I357" s="10" t="s">
        <v>39</v>
      </c>
      <c r="J357" s="65">
        <v>91740</v>
      </c>
      <c r="K357" s="10" t="s">
        <v>92</v>
      </c>
      <c r="L357" s="10" t="s">
        <v>39025</v>
      </c>
      <c r="M357" s="10" t="s">
        <v>21</v>
      </c>
      <c r="N357" s="10" t="s">
        <v>39026</v>
      </c>
      <c r="O357" s="10" t="s">
        <v>372</v>
      </c>
      <c r="P357" s="1" t="s">
        <v>30089</v>
      </c>
      <c r="Q357" s="64" t="s">
        <v>39027</v>
      </c>
      <c r="R357" s="10" t="s">
        <v>94</v>
      </c>
      <c r="S357" s="63" t="s">
        <v>22</v>
      </c>
      <c r="T357" s="68" t="s">
        <v>26781</v>
      </c>
      <c r="U357" s="68" t="s">
        <v>26570</v>
      </c>
      <c r="V357" s="68" t="s">
        <v>26574</v>
      </c>
      <c r="W357" s="68" t="s">
        <v>94</v>
      </c>
      <c r="X357" s="68">
        <v>5018</v>
      </c>
      <c r="Z357" s="68" t="s">
        <v>42968</v>
      </c>
      <c r="AA357" s="33">
        <v>7311</v>
      </c>
    </row>
    <row r="358" spans="1:27" ht="12" customHeight="1" x14ac:dyDescent="0.15">
      <c r="A358" s="10" t="s">
        <v>39018</v>
      </c>
      <c r="B358" s="99">
        <v>65</v>
      </c>
      <c r="C358" s="10" t="s">
        <v>14</v>
      </c>
      <c r="D358" s="10" t="s">
        <v>24</v>
      </c>
      <c r="E358" s="63"/>
      <c r="F358" s="67">
        <v>43713</v>
      </c>
      <c r="G358" s="10" t="s">
        <v>39019</v>
      </c>
      <c r="H358" s="10" t="s">
        <v>7448</v>
      </c>
      <c r="I358" s="10" t="s">
        <v>160</v>
      </c>
      <c r="J358" s="65">
        <v>30240</v>
      </c>
      <c r="K358" s="10" t="s">
        <v>25726</v>
      </c>
      <c r="L358" s="10" t="s">
        <v>36628</v>
      </c>
      <c r="M358" s="10" t="s">
        <v>21</v>
      </c>
      <c r="N358" s="10" t="s">
        <v>39020</v>
      </c>
      <c r="O358" s="10" t="s">
        <v>372</v>
      </c>
      <c r="P358" s="1" t="s">
        <v>30089</v>
      </c>
      <c r="Q358" s="64" t="s">
        <v>39021</v>
      </c>
      <c r="R358" s="10" t="s">
        <v>94</v>
      </c>
      <c r="S358" s="63" t="s">
        <v>22</v>
      </c>
      <c r="T358" s="68" t="s">
        <v>26781</v>
      </c>
      <c r="U358" s="68" t="s">
        <v>26572</v>
      </c>
      <c r="V358" s="68" t="s">
        <v>26573</v>
      </c>
      <c r="W358" s="68" t="s">
        <v>94</v>
      </c>
      <c r="X358" s="68">
        <v>5012</v>
      </c>
      <c r="Z358" s="68" t="s">
        <v>42968</v>
      </c>
      <c r="AA358" s="33">
        <v>7308</v>
      </c>
    </row>
    <row r="359" spans="1:27" ht="12" customHeight="1" x14ac:dyDescent="0.15">
      <c r="A359" s="1" t="s">
        <v>37074</v>
      </c>
      <c r="B359" s="1">
        <v>50</v>
      </c>
      <c r="C359" s="1" t="s">
        <v>14</v>
      </c>
      <c r="D359" s="1" t="s">
        <v>79</v>
      </c>
      <c r="E359" s="1" t="s">
        <v>37075</v>
      </c>
      <c r="F359" s="67">
        <v>43713</v>
      </c>
      <c r="G359" s="1" t="s">
        <v>37076</v>
      </c>
      <c r="H359" s="1" t="s">
        <v>607</v>
      </c>
      <c r="I359" s="1" t="s">
        <v>250</v>
      </c>
      <c r="J359" s="1">
        <v>89106</v>
      </c>
      <c r="K359" s="1" t="s">
        <v>527</v>
      </c>
      <c r="L359" s="1" t="s">
        <v>528</v>
      </c>
      <c r="M359" s="33" t="s">
        <v>11646</v>
      </c>
      <c r="N359" s="1" t="s">
        <v>37077</v>
      </c>
      <c r="O359" s="1" t="s">
        <v>372</v>
      </c>
      <c r="P359" s="1" t="s">
        <v>30089</v>
      </c>
      <c r="Q359" s="1" t="s">
        <v>37078</v>
      </c>
      <c r="R359" s="1" t="s">
        <v>94</v>
      </c>
      <c r="S359" s="1" t="s">
        <v>12</v>
      </c>
      <c r="T359" s="68" t="s">
        <v>29705</v>
      </c>
      <c r="U359" s="68" t="s">
        <v>26570</v>
      </c>
      <c r="V359" s="68"/>
      <c r="W359" s="68"/>
      <c r="X359" s="68"/>
      <c r="Z359" s="1" t="s">
        <v>42966</v>
      </c>
      <c r="AA359" s="33">
        <v>7309</v>
      </c>
    </row>
    <row r="360" spans="1:27" ht="12" customHeight="1" x14ac:dyDescent="0.15">
      <c r="A360" s="10" t="s">
        <v>37580</v>
      </c>
      <c r="B360" s="99">
        <v>28</v>
      </c>
      <c r="C360" s="10" t="s">
        <v>14</v>
      </c>
      <c r="D360" s="10" t="s">
        <v>79</v>
      </c>
      <c r="E360" s="64" t="s">
        <v>37581</v>
      </c>
      <c r="F360" s="67">
        <v>43713</v>
      </c>
      <c r="G360" s="10" t="s">
        <v>37582</v>
      </c>
      <c r="H360" s="10" t="s">
        <v>661</v>
      </c>
      <c r="I360" s="10" t="s">
        <v>402</v>
      </c>
      <c r="J360" s="65">
        <v>63113</v>
      </c>
      <c r="K360" s="10" t="s">
        <v>29523</v>
      </c>
      <c r="L360" s="10" t="s">
        <v>4162</v>
      </c>
      <c r="M360" s="10" t="s">
        <v>21</v>
      </c>
      <c r="N360" s="10" t="s">
        <v>37583</v>
      </c>
      <c r="O360" s="10" t="s">
        <v>372</v>
      </c>
      <c r="P360" s="1" t="s">
        <v>30089</v>
      </c>
      <c r="Q360" s="64" t="s">
        <v>37584</v>
      </c>
      <c r="R360" s="10" t="s">
        <v>94</v>
      </c>
      <c r="S360" s="63" t="s">
        <v>22</v>
      </c>
      <c r="T360" s="68" t="s">
        <v>26781</v>
      </c>
      <c r="U360" s="68" t="s">
        <v>26572</v>
      </c>
      <c r="V360" s="68" t="s">
        <v>26573</v>
      </c>
      <c r="W360" s="68" t="s">
        <v>94</v>
      </c>
      <c r="X360" s="68">
        <v>5008</v>
      </c>
      <c r="Z360" s="68" t="s">
        <v>42966</v>
      </c>
      <c r="AA360" s="33">
        <v>7307</v>
      </c>
    </row>
    <row r="361" spans="1:27" ht="12" customHeight="1" x14ac:dyDescent="0.15">
      <c r="A361" s="10" t="s">
        <v>40320</v>
      </c>
      <c r="B361" s="99">
        <v>43</v>
      </c>
      <c r="C361" s="10" t="s">
        <v>14</v>
      </c>
      <c r="D361" s="10" t="s">
        <v>31</v>
      </c>
      <c r="E361" s="64" t="s">
        <v>40321</v>
      </c>
      <c r="F361" s="67">
        <v>43713</v>
      </c>
      <c r="G361" s="10" t="s">
        <v>40322</v>
      </c>
      <c r="H361" s="10" t="s">
        <v>9514</v>
      </c>
      <c r="I361" s="10" t="s">
        <v>35</v>
      </c>
      <c r="J361" s="65">
        <v>6118</v>
      </c>
      <c r="K361" s="10" t="s">
        <v>793</v>
      </c>
      <c r="L361" s="10" t="s">
        <v>9516</v>
      </c>
      <c r="M361" s="10" t="s">
        <v>21</v>
      </c>
      <c r="N361" s="10" t="s">
        <v>40323</v>
      </c>
      <c r="O361" s="10" t="s">
        <v>372</v>
      </c>
      <c r="P361" s="1" t="s">
        <v>30089</v>
      </c>
      <c r="Q361" s="64" t="s">
        <v>40324</v>
      </c>
      <c r="R361" s="10" t="s">
        <v>94</v>
      </c>
      <c r="S361" s="63" t="s">
        <v>29</v>
      </c>
      <c r="T361" s="68" t="s">
        <v>26575</v>
      </c>
      <c r="U361" s="68" t="s">
        <v>26572</v>
      </c>
      <c r="V361" s="68" t="s">
        <v>26573</v>
      </c>
      <c r="W361" s="68" t="s">
        <v>94</v>
      </c>
      <c r="X361" s="68">
        <v>5020</v>
      </c>
      <c r="Z361" s="68" t="s">
        <v>42968</v>
      </c>
      <c r="AA361" s="33">
        <v>7310</v>
      </c>
    </row>
    <row r="362" spans="1:27" ht="12" customHeight="1" x14ac:dyDescent="0.15">
      <c r="A362" s="10" t="s">
        <v>39028</v>
      </c>
      <c r="B362" s="99">
        <v>53</v>
      </c>
      <c r="C362" s="10" t="s">
        <v>14</v>
      </c>
      <c r="D362" s="10" t="s">
        <v>24</v>
      </c>
      <c r="E362" s="63"/>
      <c r="F362" s="67">
        <v>43712</v>
      </c>
      <c r="G362" s="10" t="s">
        <v>39029</v>
      </c>
      <c r="H362" s="10" t="s">
        <v>2786</v>
      </c>
      <c r="I362" s="10" t="s">
        <v>735</v>
      </c>
      <c r="J362" s="65">
        <v>83442</v>
      </c>
      <c r="K362" s="10" t="s">
        <v>1659</v>
      </c>
      <c r="L362" s="10" t="s">
        <v>39030</v>
      </c>
      <c r="M362" s="10" t="s">
        <v>21</v>
      </c>
      <c r="N362" s="10" t="s">
        <v>39031</v>
      </c>
      <c r="O362" s="10" t="s">
        <v>372</v>
      </c>
      <c r="P362" s="1" t="s">
        <v>30089</v>
      </c>
      <c r="Q362" s="64" t="s">
        <v>39032</v>
      </c>
      <c r="R362" s="10" t="s">
        <v>94</v>
      </c>
      <c r="S362" s="63" t="s">
        <v>22</v>
      </c>
      <c r="T362" s="68" t="s">
        <v>26781</v>
      </c>
      <c r="U362" s="68" t="s">
        <v>26572</v>
      </c>
      <c r="V362" s="68" t="s">
        <v>26573</v>
      </c>
      <c r="W362" s="68" t="s">
        <v>94</v>
      </c>
      <c r="X362" s="68">
        <v>5019</v>
      </c>
      <c r="Z362" s="68" t="s">
        <v>42967</v>
      </c>
      <c r="AA362" s="33">
        <v>7304</v>
      </c>
    </row>
    <row r="363" spans="1:27" ht="12" customHeight="1" x14ac:dyDescent="0.15">
      <c r="A363" s="10" t="s">
        <v>39552</v>
      </c>
      <c r="B363" s="99">
        <v>29</v>
      </c>
      <c r="C363" s="10" t="s">
        <v>14</v>
      </c>
      <c r="D363" s="10" t="s">
        <v>31</v>
      </c>
      <c r="E363" s="64" t="s">
        <v>39553</v>
      </c>
      <c r="F363" s="67">
        <v>43712</v>
      </c>
      <c r="G363" s="10" t="s">
        <v>39554</v>
      </c>
      <c r="H363" s="10" t="s">
        <v>8504</v>
      </c>
      <c r="I363" s="10" t="s">
        <v>735</v>
      </c>
      <c r="J363" s="65">
        <v>83815</v>
      </c>
      <c r="K363" s="10" t="s">
        <v>8506</v>
      </c>
      <c r="L363" s="10" t="s">
        <v>8507</v>
      </c>
      <c r="M363" s="10" t="s">
        <v>21</v>
      </c>
      <c r="N363" s="10" t="s">
        <v>39555</v>
      </c>
      <c r="O363" s="10" t="s">
        <v>372</v>
      </c>
      <c r="P363" s="1" t="s">
        <v>30089</v>
      </c>
      <c r="Q363" s="64" t="s">
        <v>39556</v>
      </c>
      <c r="R363" s="10" t="s">
        <v>23</v>
      </c>
      <c r="S363" s="63" t="s">
        <v>22</v>
      </c>
      <c r="T363" s="68" t="s">
        <v>26774</v>
      </c>
      <c r="U363" s="68" t="s">
        <v>26572</v>
      </c>
      <c r="V363" s="68" t="s">
        <v>26573</v>
      </c>
      <c r="W363" s="68" t="s">
        <v>94</v>
      </c>
      <c r="X363" s="68">
        <v>5009</v>
      </c>
      <c r="Z363" s="68" t="s">
        <v>42966</v>
      </c>
      <c r="AA363" s="33">
        <v>7305</v>
      </c>
    </row>
    <row r="364" spans="1:27" ht="12" customHeight="1" x14ac:dyDescent="0.15">
      <c r="A364" s="10" t="s">
        <v>41452</v>
      </c>
      <c r="B364" s="99">
        <v>62</v>
      </c>
      <c r="C364" s="10" t="s">
        <v>14</v>
      </c>
      <c r="D364" s="10" t="s">
        <v>24</v>
      </c>
      <c r="E364" s="63"/>
      <c r="F364" s="67">
        <v>43712</v>
      </c>
      <c r="G364" s="10" t="s">
        <v>41453</v>
      </c>
      <c r="H364" s="10" t="s">
        <v>7206</v>
      </c>
      <c r="I364" s="10" t="s">
        <v>39</v>
      </c>
      <c r="J364" s="65">
        <v>92394</v>
      </c>
      <c r="K364" s="10" t="s">
        <v>288</v>
      </c>
      <c r="L364" s="10" t="s">
        <v>32215</v>
      </c>
      <c r="M364" s="10" t="s">
        <v>21</v>
      </c>
      <c r="N364" s="10" t="s">
        <v>41454</v>
      </c>
      <c r="O364" s="10" t="s">
        <v>372</v>
      </c>
      <c r="P364" s="1" t="s">
        <v>30089</v>
      </c>
      <c r="Q364" s="64" t="s">
        <v>41455</v>
      </c>
      <c r="R364" s="10" t="s">
        <v>512</v>
      </c>
      <c r="S364" s="63" t="s">
        <v>22</v>
      </c>
      <c r="T364" s="68" t="s">
        <v>26774</v>
      </c>
      <c r="U364" s="68" t="s">
        <v>26570</v>
      </c>
      <c r="V364" s="68" t="s">
        <v>26573</v>
      </c>
      <c r="W364" s="68" t="s">
        <v>94</v>
      </c>
      <c r="X364" s="68">
        <v>5010</v>
      </c>
      <c r="Z364" s="68" t="s">
        <v>42968</v>
      </c>
      <c r="AA364" s="33">
        <v>7306</v>
      </c>
    </row>
    <row r="365" spans="1:27" ht="12" customHeight="1" x14ac:dyDescent="0.15">
      <c r="A365" s="10" t="s">
        <v>40821</v>
      </c>
      <c r="B365" s="99">
        <v>34</v>
      </c>
      <c r="C365" s="10" t="s">
        <v>14</v>
      </c>
      <c r="D365" s="68" t="s">
        <v>42</v>
      </c>
      <c r="E365" s="63"/>
      <c r="F365" s="67">
        <v>43711</v>
      </c>
      <c r="G365" s="10" t="s">
        <v>40822</v>
      </c>
      <c r="H365" s="10" t="s">
        <v>40823</v>
      </c>
      <c r="I365" s="10" t="s">
        <v>409</v>
      </c>
      <c r="J365" s="65">
        <v>54130</v>
      </c>
      <c r="K365" s="10" t="s">
        <v>27449</v>
      </c>
      <c r="L365" s="10" t="s">
        <v>40824</v>
      </c>
      <c r="M365" s="10" t="s">
        <v>21</v>
      </c>
      <c r="N365" s="10" t="s">
        <v>40825</v>
      </c>
      <c r="O365" s="10" t="s">
        <v>372</v>
      </c>
      <c r="P365" s="1" t="s">
        <v>30089</v>
      </c>
      <c r="Q365" s="64" t="s">
        <v>40826</v>
      </c>
      <c r="R365" s="10" t="s">
        <v>23</v>
      </c>
      <c r="S365" s="63" t="s">
        <v>351</v>
      </c>
      <c r="T365" s="68" t="s">
        <v>26867</v>
      </c>
      <c r="U365" s="68" t="s">
        <v>26570</v>
      </c>
      <c r="V365" s="68" t="s">
        <v>26571</v>
      </c>
      <c r="W365" s="68" t="s">
        <v>94</v>
      </c>
      <c r="X365" s="68">
        <v>5104</v>
      </c>
      <c r="Z365" s="68" t="s">
        <v>42968</v>
      </c>
      <c r="AA365" s="33">
        <v>7303</v>
      </c>
    </row>
    <row r="366" spans="1:27" ht="12" customHeight="1" x14ac:dyDescent="0.15">
      <c r="A366" s="10" t="s">
        <v>38273</v>
      </c>
      <c r="B366" s="99">
        <v>30</v>
      </c>
      <c r="C366" s="10" t="s">
        <v>14</v>
      </c>
      <c r="D366" s="10" t="s">
        <v>31</v>
      </c>
      <c r="E366" s="64" t="s">
        <v>38274</v>
      </c>
      <c r="F366" s="67">
        <v>43711</v>
      </c>
      <c r="G366" s="10" t="s">
        <v>38275</v>
      </c>
      <c r="H366" s="10" t="s">
        <v>13316</v>
      </c>
      <c r="I366" s="10" t="s">
        <v>298</v>
      </c>
      <c r="J366" s="65">
        <v>37618</v>
      </c>
      <c r="K366" s="10" t="s">
        <v>2679</v>
      </c>
      <c r="L366" s="10" t="s">
        <v>38276</v>
      </c>
      <c r="M366" s="10" t="s">
        <v>21</v>
      </c>
      <c r="N366" s="10" t="s">
        <v>38277</v>
      </c>
      <c r="O366" s="10" t="s">
        <v>372</v>
      </c>
      <c r="P366" s="1" t="s">
        <v>30089</v>
      </c>
      <c r="Q366" s="64" t="s">
        <v>38278</v>
      </c>
      <c r="R366" s="10" t="s">
        <v>94</v>
      </c>
      <c r="S366" s="63" t="s">
        <v>22</v>
      </c>
      <c r="T366" s="68" t="s">
        <v>26781</v>
      </c>
      <c r="U366" s="68" t="s">
        <v>26572</v>
      </c>
      <c r="V366" s="68" t="s">
        <v>26571</v>
      </c>
      <c r="W366" s="68" t="s">
        <v>94</v>
      </c>
      <c r="X366" s="68">
        <v>5004</v>
      </c>
      <c r="Z366" s="68" t="s">
        <v>42967</v>
      </c>
      <c r="AA366" s="33">
        <v>7301</v>
      </c>
    </row>
    <row r="367" spans="1:27" ht="12" customHeight="1" x14ac:dyDescent="0.15">
      <c r="A367" s="10" t="s">
        <v>41892</v>
      </c>
      <c r="B367" s="99">
        <v>46</v>
      </c>
      <c r="C367" s="10" t="s">
        <v>14</v>
      </c>
      <c r="D367" s="10" t="s">
        <v>31</v>
      </c>
      <c r="E367" s="64" t="s">
        <v>41893</v>
      </c>
      <c r="F367" s="67">
        <v>43711</v>
      </c>
      <c r="G367" s="10" t="s">
        <v>41894</v>
      </c>
      <c r="H367" s="10" t="s">
        <v>41895</v>
      </c>
      <c r="I367" s="10" t="s">
        <v>63</v>
      </c>
      <c r="J367" s="65">
        <v>45832</v>
      </c>
      <c r="K367" s="10" t="s">
        <v>41896</v>
      </c>
      <c r="L367" s="10" t="s">
        <v>32213</v>
      </c>
      <c r="M367" s="10" t="s">
        <v>21</v>
      </c>
      <c r="N367" s="10" t="s">
        <v>41897</v>
      </c>
      <c r="O367" s="10" t="s">
        <v>372</v>
      </c>
      <c r="P367" s="1" t="s">
        <v>30089</v>
      </c>
      <c r="Q367" s="64" t="s">
        <v>41898</v>
      </c>
      <c r="R367" s="10" t="s">
        <v>94</v>
      </c>
      <c r="S367" s="63" t="s">
        <v>29</v>
      </c>
      <c r="T367" s="33" t="s">
        <v>41840</v>
      </c>
      <c r="U367" s="34"/>
      <c r="V367" s="68"/>
      <c r="W367" s="68"/>
      <c r="X367" s="68"/>
      <c r="Z367" s="68" t="s">
        <v>42967</v>
      </c>
      <c r="AA367" s="33">
        <v>7302</v>
      </c>
    </row>
    <row r="368" spans="1:27" ht="12" customHeight="1" x14ac:dyDescent="0.15">
      <c r="A368" s="10" t="s">
        <v>39010</v>
      </c>
      <c r="B368" s="99">
        <v>29</v>
      </c>
      <c r="C368" s="10" t="s">
        <v>14</v>
      </c>
      <c r="D368" s="10" t="s">
        <v>24</v>
      </c>
      <c r="E368" s="10"/>
      <c r="F368" s="67">
        <v>43710</v>
      </c>
      <c r="G368" s="10" t="s">
        <v>39011</v>
      </c>
      <c r="H368" s="10" t="s">
        <v>1599</v>
      </c>
      <c r="I368" s="10" t="s">
        <v>395</v>
      </c>
      <c r="J368" s="65">
        <v>11212</v>
      </c>
      <c r="K368" s="10" t="s">
        <v>1601</v>
      </c>
      <c r="L368" s="10" t="s">
        <v>539</v>
      </c>
      <c r="M368" s="10" t="s">
        <v>21</v>
      </c>
      <c r="N368" s="10" t="s">
        <v>39012</v>
      </c>
      <c r="O368" s="10" t="s">
        <v>372</v>
      </c>
      <c r="P368" s="1" t="s">
        <v>30089</v>
      </c>
      <c r="Q368" s="64" t="s">
        <v>39013</v>
      </c>
      <c r="R368" s="10" t="s">
        <v>94</v>
      </c>
      <c r="S368" s="63" t="s">
        <v>22</v>
      </c>
      <c r="T368" s="68" t="s">
        <v>26781</v>
      </c>
      <c r="U368" s="68" t="s">
        <v>26572</v>
      </c>
      <c r="V368" s="68" t="s">
        <v>26574</v>
      </c>
      <c r="W368" s="68" t="s">
        <v>94</v>
      </c>
      <c r="X368" s="68">
        <v>5000</v>
      </c>
      <c r="Z368" s="68" t="s">
        <v>42966</v>
      </c>
      <c r="AA368" s="33">
        <v>7298</v>
      </c>
    </row>
    <row r="369" spans="1:27" ht="12" customHeight="1" x14ac:dyDescent="0.15">
      <c r="A369" s="63" t="s">
        <v>42248</v>
      </c>
      <c r="B369" s="101">
        <v>43</v>
      </c>
      <c r="C369" s="10" t="s">
        <v>14</v>
      </c>
      <c r="D369" s="10" t="s">
        <v>24</v>
      </c>
      <c r="E369" s="63"/>
      <c r="F369" s="67">
        <v>43710</v>
      </c>
      <c r="G369" s="10" t="s">
        <v>42249</v>
      </c>
      <c r="H369" s="10" t="s">
        <v>19964</v>
      </c>
      <c r="I369" s="10" t="s">
        <v>250</v>
      </c>
      <c r="J369" s="65">
        <v>89429</v>
      </c>
      <c r="K369" s="10" t="s">
        <v>16439</v>
      </c>
      <c r="L369" s="10" t="s">
        <v>19966</v>
      </c>
      <c r="M369" s="10" t="s">
        <v>21</v>
      </c>
      <c r="N369" s="10" t="s">
        <v>42250</v>
      </c>
      <c r="O369" s="10" t="s">
        <v>372</v>
      </c>
      <c r="P369" s="1" t="s">
        <v>30089</v>
      </c>
      <c r="Q369" s="64" t="s">
        <v>42251</v>
      </c>
      <c r="R369" s="10" t="s">
        <v>94</v>
      </c>
      <c r="S369" s="63" t="s">
        <v>29</v>
      </c>
      <c r="T369" s="34" t="s">
        <v>41840</v>
      </c>
      <c r="U369" s="34" t="s">
        <v>26572</v>
      </c>
      <c r="V369" s="68"/>
      <c r="W369" s="68"/>
      <c r="X369" s="68"/>
      <c r="Z369" s="68" t="s">
        <v>42967</v>
      </c>
      <c r="AA369" s="33">
        <v>7299</v>
      </c>
    </row>
    <row r="370" spans="1:27" ht="12" customHeight="1" x14ac:dyDescent="0.15">
      <c r="A370" s="10" t="s">
        <v>40434</v>
      </c>
      <c r="B370" s="99">
        <v>35</v>
      </c>
      <c r="C370" s="10" t="s">
        <v>14</v>
      </c>
      <c r="D370" s="10" t="s">
        <v>24</v>
      </c>
      <c r="E370" s="63"/>
      <c r="F370" s="67">
        <v>43710</v>
      </c>
      <c r="G370" s="10" t="s">
        <v>40435</v>
      </c>
      <c r="H370" s="10" t="s">
        <v>4771</v>
      </c>
      <c r="I370" s="10" t="s">
        <v>798</v>
      </c>
      <c r="J370" s="65">
        <v>59802</v>
      </c>
      <c r="K370" s="10" t="s">
        <v>4771</v>
      </c>
      <c r="L370" s="10" t="s">
        <v>34999</v>
      </c>
      <c r="M370" s="10" t="s">
        <v>21</v>
      </c>
      <c r="N370" s="10" t="s">
        <v>40436</v>
      </c>
      <c r="O370" s="10" t="s">
        <v>372</v>
      </c>
      <c r="P370" s="1" t="s">
        <v>30089</v>
      </c>
      <c r="Q370" s="64" t="s">
        <v>40437</v>
      </c>
      <c r="R370" s="10" t="s">
        <v>94</v>
      </c>
      <c r="S370" s="63" t="s">
        <v>29</v>
      </c>
      <c r="T370" s="68" t="s">
        <v>26575</v>
      </c>
      <c r="U370" s="68" t="s">
        <v>26575</v>
      </c>
      <c r="V370" s="68">
        <v>0</v>
      </c>
      <c r="W370" s="68" t="s">
        <v>94</v>
      </c>
      <c r="X370" s="68">
        <v>5005</v>
      </c>
      <c r="Z370" s="68" t="s">
        <v>42968</v>
      </c>
      <c r="AA370" s="33">
        <v>7300</v>
      </c>
    </row>
    <row r="371" spans="1:27" ht="12" customHeight="1" x14ac:dyDescent="0.15">
      <c r="A371" s="10" t="s">
        <v>39765</v>
      </c>
      <c r="B371" s="99">
        <v>17</v>
      </c>
      <c r="C371" s="10" t="s">
        <v>14</v>
      </c>
      <c r="D371" s="10" t="s">
        <v>24</v>
      </c>
      <c r="E371" s="10"/>
      <c r="F371" s="67">
        <v>43709</v>
      </c>
      <c r="G371" s="10" t="s">
        <v>39766</v>
      </c>
      <c r="H371" s="10" t="s">
        <v>682</v>
      </c>
      <c r="I371" s="10" t="s">
        <v>67</v>
      </c>
      <c r="J371" s="65">
        <v>78028</v>
      </c>
      <c r="K371" s="10" t="s">
        <v>683</v>
      </c>
      <c r="L371" s="10" t="s">
        <v>684</v>
      </c>
      <c r="M371" s="10" t="s">
        <v>21</v>
      </c>
      <c r="N371" s="10" t="s">
        <v>39767</v>
      </c>
      <c r="O371" s="10" t="s">
        <v>372</v>
      </c>
      <c r="P371" s="1" t="s">
        <v>30089</v>
      </c>
      <c r="Q371" s="64" t="s">
        <v>39768</v>
      </c>
      <c r="R371" s="10" t="s">
        <v>94</v>
      </c>
      <c r="S371" s="63" t="s">
        <v>22</v>
      </c>
      <c r="T371" s="68" t="s">
        <v>26774</v>
      </c>
      <c r="U371" s="68" t="s">
        <v>26570</v>
      </c>
      <c r="V371" s="68" t="s">
        <v>26573</v>
      </c>
      <c r="W371" s="68" t="s">
        <v>94</v>
      </c>
      <c r="X371" s="68">
        <v>5023</v>
      </c>
      <c r="Z371" s="68" t="s">
        <v>42968</v>
      </c>
      <c r="AA371" s="33">
        <v>7296</v>
      </c>
    </row>
    <row r="372" spans="1:27" ht="12" customHeight="1" x14ac:dyDescent="0.15">
      <c r="A372" s="10" t="s">
        <v>40697</v>
      </c>
      <c r="B372" s="99">
        <v>49</v>
      </c>
      <c r="C372" s="10" t="s">
        <v>14</v>
      </c>
      <c r="D372" s="10" t="s">
        <v>31</v>
      </c>
      <c r="E372" s="64" t="s">
        <v>40698</v>
      </c>
      <c r="F372" s="67">
        <v>43709</v>
      </c>
      <c r="G372" s="10" t="s">
        <v>40699</v>
      </c>
      <c r="H372" s="10" t="s">
        <v>40700</v>
      </c>
      <c r="I372" s="10" t="s">
        <v>367</v>
      </c>
      <c r="J372" s="65">
        <v>74066</v>
      </c>
      <c r="K372" s="10" t="s">
        <v>1903</v>
      </c>
      <c r="L372" s="10" t="s">
        <v>2715</v>
      </c>
      <c r="M372" s="10" t="s">
        <v>21</v>
      </c>
      <c r="N372" s="10" t="s">
        <v>40701</v>
      </c>
      <c r="O372" s="10" t="s">
        <v>372</v>
      </c>
      <c r="P372" s="1" t="s">
        <v>30089</v>
      </c>
      <c r="Q372" s="64" t="s">
        <v>40702</v>
      </c>
      <c r="R372" s="10" t="s">
        <v>94</v>
      </c>
      <c r="S372" s="63" t="s">
        <v>351</v>
      </c>
      <c r="T372" s="68" t="s">
        <v>26867</v>
      </c>
      <c r="U372" s="68" t="s">
        <v>26572</v>
      </c>
      <c r="V372" s="68" t="s">
        <v>26571</v>
      </c>
      <c r="W372" s="68" t="s">
        <v>512</v>
      </c>
      <c r="X372" s="68">
        <v>4995</v>
      </c>
      <c r="Z372" s="68" t="s">
        <v>42968</v>
      </c>
      <c r="AA372" s="33">
        <v>7297</v>
      </c>
    </row>
    <row r="373" spans="1:27" ht="12" customHeight="1" x14ac:dyDescent="0.15">
      <c r="A373" s="10" t="s">
        <v>38268</v>
      </c>
      <c r="B373" s="99">
        <v>49</v>
      </c>
      <c r="C373" s="10" t="s">
        <v>14</v>
      </c>
      <c r="D373" s="10" t="s">
        <v>31</v>
      </c>
      <c r="E373" s="10"/>
      <c r="F373" s="67">
        <v>43709</v>
      </c>
      <c r="G373" s="10" t="s">
        <v>38269</v>
      </c>
      <c r="H373" s="10" t="s">
        <v>7861</v>
      </c>
      <c r="I373" s="10" t="s">
        <v>735</v>
      </c>
      <c r="J373" s="65">
        <v>83607</v>
      </c>
      <c r="K373" s="10" t="s">
        <v>3223</v>
      </c>
      <c r="L373" s="10" t="s">
        <v>38270</v>
      </c>
      <c r="M373" s="10" t="s">
        <v>21</v>
      </c>
      <c r="N373" s="10" t="s">
        <v>38271</v>
      </c>
      <c r="O373" s="10" t="s">
        <v>372</v>
      </c>
      <c r="P373" s="1" t="s">
        <v>30089</v>
      </c>
      <c r="Q373" s="64" t="s">
        <v>38272</v>
      </c>
      <c r="R373" s="10" t="s">
        <v>94</v>
      </c>
      <c r="S373" s="63" t="s">
        <v>22</v>
      </c>
      <c r="T373" s="68" t="s">
        <v>26781</v>
      </c>
      <c r="U373" s="68" t="s">
        <v>26572</v>
      </c>
      <c r="V373" s="68" t="s">
        <v>26573</v>
      </c>
      <c r="W373" s="68" t="s">
        <v>94</v>
      </c>
      <c r="X373" s="68">
        <v>4996</v>
      </c>
      <c r="Z373" s="68" t="s">
        <v>42967</v>
      </c>
      <c r="AA373" s="33">
        <v>7295</v>
      </c>
    </row>
    <row r="374" spans="1:27" ht="12" customHeight="1" x14ac:dyDescent="0.15">
      <c r="A374" s="10" t="s">
        <v>40202</v>
      </c>
      <c r="B374" s="99">
        <v>21</v>
      </c>
      <c r="C374" s="10" t="s">
        <v>14</v>
      </c>
      <c r="D374" s="10" t="s">
        <v>79</v>
      </c>
      <c r="E374" s="10"/>
      <c r="F374" s="67">
        <v>43708</v>
      </c>
      <c r="G374" s="10" t="s">
        <v>40203</v>
      </c>
      <c r="H374" s="10" t="s">
        <v>4448</v>
      </c>
      <c r="I374" s="10" t="s">
        <v>122</v>
      </c>
      <c r="J374" s="65">
        <v>55429</v>
      </c>
      <c r="K374" s="10" t="s">
        <v>1009</v>
      </c>
      <c r="L374" s="10" t="s">
        <v>13180</v>
      </c>
      <c r="M374" s="10" t="s">
        <v>21</v>
      </c>
      <c r="N374" s="10" t="s">
        <v>40204</v>
      </c>
      <c r="O374" s="10" t="s">
        <v>372</v>
      </c>
      <c r="P374" s="1" t="s">
        <v>30089</v>
      </c>
      <c r="Q374" s="64" t="s">
        <v>40205</v>
      </c>
      <c r="R374" s="10" t="s">
        <v>94</v>
      </c>
      <c r="S374" s="63" t="s">
        <v>22</v>
      </c>
      <c r="T374" s="68" t="s">
        <v>26594</v>
      </c>
      <c r="U374" s="68" t="s">
        <v>26570</v>
      </c>
      <c r="V374" s="68" t="s">
        <v>26573</v>
      </c>
      <c r="W374" s="68" t="s">
        <v>512</v>
      </c>
      <c r="X374" s="68">
        <v>4998</v>
      </c>
      <c r="Z374" s="68" t="s">
        <v>42968</v>
      </c>
      <c r="AA374" s="33">
        <v>7293</v>
      </c>
    </row>
    <row r="375" spans="1:27" ht="12" customHeight="1" x14ac:dyDescent="0.15">
      <c r="A375" s="10" t="s">
        <v>3002</v>
      </c>
      <c r="B375" s="70"/>
      <c r="C375" s="10" t="s">
        <v>14</v>
      </c>
      <c r="D375" s="10" t="s">
        <v>24</v>
      </c>
      <c r="E375" s="10"/>
      <c r="F375" s="67">
        <v>43708</v>
      </c>
      <c r="G375" s="10" t="s">
        <v>39007</v>
      </c>
      <c r="H375" s="10" t="s">
        <v>140</v>
      </c>
      <c r="I375" s="10" t="s">
        <v>338</v>
      </c>
      <c r="J375" s="65">
        <v>27603</v>
      </c>
      <c r="K375" s="10" t="s">
        <v>642</v>
      </c>
      <c r="L375" s="10" t="s">
        <v>15057</v>
      </c>
      <c r="M375" s="10" t="s">
        <v>21</v>
      </c>
      <c r="N375" s="10" t="s">
        <v>39008</v>
      </c>
      <c r="O375" s="10" t="s">
        <v>372</v>
      </c>
      <c r="P375" s="1" t="s">
        <v>30089</v>
      </c>
      <c r="Q375" s="64" t="s">
        <v>39009</v>
      </c>
      <c r="R375" s="10" t="s">
        <v>94</v>
      </c>
      <c r="S375" s="63" t="s">
        <v>22</v>
      </c>
      <c r="T375" s="68" t="s">
        <v>26781</v>
      </c>
      <c r="U375" s="68" t="s">
        <v>26572</v>
      </c>
      <c r="V375" s="68" t="s">
        <v>26574</v>
      </c>
      <c r="W375" s="68" t="s">
        <v>94</v>
      </c>
      <c r="X375" s="68">
        <v>4997</v>
      </c>
      <c r="Z375" s="68" t="s">
        <v>42968</v>
      </c>
      <c r="AA375" s="33">
        <v>7291</v>
      </c>
    </row>
    <row r="376" spans="1:27" ht="12" customHeight="1" x14ac:dyDescent="0.15">
      <c r="A376" s="10" t="s">
        <v>41056</v>
      </c>
      <c r="B376" s="99">
        <v>36</v>
      </c>
      <c r="C376" s="10" t="s">
        <v>14</v>
      </c>
      <c r="D376" s="10" t="s">
        <v>31</v>
      </c>
      <c r="E376" s="64" t="s">
        <v>41057</v>
      </c>
      <c r="F376" s="67">
        <v>43708</v>
      </c>
      <c r="G376" s="10" t="s">
        <v>41058</v>
      </c>
      <c r="H376" s="10" t="s">
        <v>739</v>
      </c>
      <c r="I376" s="10" t="s">
        <v>67</v>
      </c>
      <c r="J376" s="65">
        <v>79765</v>
      </c>
      <c r="K376" s="10" t="s">
        <v>740</v>
      </c>
      <c r="L376" s="10" t="s">
        <v>41059</v>
      </c>
      <c r="M376" s="10" t="s">
        <v>21</v>
      </c>
      <c r="N376" s="10" t="s">
        <v>41060</v>
      </c>
      <c r="O376" s="10" t="s">
        <v>372</v>
      </c>
      <c r="P376" s="1" t="s">
        <v>30089</v>
      </c>
      <c r="Q376" s="64" t="s">
        <v>41061</v>
      </c>
      <c r="R376" s="10" t="s">
        <v>512</v>
      </c>
      <c r="S376" s="63" t="s">
        <v>22</v>
      </c>
      <c r="T376" s="68" t="s">
        <v>26781</v>
      </c>
      <c r="U376" s="68" t="s">
        <v>26572</v>
      </c>
      <c r="V376" s="68" t="s">
        <v>26571</v>
      </c>
      <c r="W376" s="68" t="s">
        <v>94</v>
      </c>
      <c r="X376" s="68">
        <v>5006</v>
      </c>
      <c r="Z376" s="68" t="s">
        <v>42968</v>
      </c>
      <c r="AA376" s="33">
        <v>7292</v>
      </c>
    </row>
    <row r="377" spans="1:27" ht="12" customHeight="1" x14ac:dyDescent="0.15">
      <c r="A377" s="10" t="s">
        <v>37570</v>
      </c>
      <c r="B377" s="99">
        <v>23</v>
      </c>
      <c r="C377" s="10" t="s">
        <v>14</v>
      </c>
      <c r="D377" s="10" t="s">
        <v>79</v>
      </c>
      <c r="E377" s="64" t="s">
        <v>37571</v>
      </c>
      <c r="F377" s="67">
        <v>43708</v>
      </c>
      <c r="G377" s="10" t="s">
        <v>37572</v>
      </c>
      <c r="H377" s="10" t="s">
        <v>1669</v>
      </c>
      <c r="I377" s="10" t="s">
        <v>402</v>
      </c>
      <c r="J377" s="65">
        <v>63117</v>
      </c>
      <c r="K377" s="10" t="s">
        <v>661</v>
      </c>
      <c r="L377" s="10" t="s">
        <v>18523</v>
      </c>
      <c r="M377" s="10" t="s">
        <v>21</v>
      </c>
      <c r="N377" s="10" t="s">
        <v>37573</v>
      </c>
      <c r="O377" s="10" t="s">
        <v>372</v>
      </c>
      <c r="P377" s="1" t="s">
        <v>30089</v>
      </c>
      <c r="Q377" s="64" t="s">
        <v>37574</v>
      </c>
      <c r="R377" s="10" t="s">
        <v>94</v>
      </c>
      <c r="S377" s="63" t="s">
        <v>22</v>
      </c>
      <c r="T377" s="68" t="s">
        <v>26781</v>
      </c>
      <c r="U377" s="68" t="s">
        <v>26570</v>
      </c>
      <c r="V377" s="68" t="s">
        <v>26574</v>
      </c>
      <c r="W377" s="68" t="s">
        <v>94</v>
      </c>
      <c r="X377" s="68">
        <v>4994</v>
      </c>
      <c r="Z377" s="68" t="s">
        <v>42968</v>
      </c>
      <c r="AA377" s="33">
        <v>7289</v>
      </c>
    </row>
    <row r="378" spans="1:27" ht="12" customHeight="1" x14ac:dyDescent="0.15">
      <c r="A378" s="10" t="s">
        <v>38763</v>
      </c>
      <c r="B378" s="99">
        <v>37</v>
      </c>
      <c r="C378" s="10" t="s">
        <v>14</v>
      </c>
      <c r="D378" s="10" t="s">
        <v>42</v>
      </c>
      <c r="E378" s="63"/>
      <c r="F378" s="67">
        <v>43708</v>
      </c>
      <c r="G378" s="10" t="s">
        <v>38764</v>
      </c>
      <c r="H378" s="10" t="s">
        <v>1212</v>
      </c>
      <c r="I378" s="10" t="s">
        <v>192</v>
      </c>
      <c r="J378" s="65">
        <v>80211</v>
      </c>
      <c r="K378" s="10" t="s">
        <v>1212</v>
      </c>
      <c r="L378" s="10" t="s">
        <v>1213</v>
      </c>
      <c r="M378" s="10" t="s">
        <v>21</v>
      </c>
      <c r="N378" s="10" t="s">
        <v>38765</v>
      </c>
      <c r="O378" s="10" t="s">
        <v>372</v>
      </c>
      <c r="P378" s="1" t="s">
        <v>30089</v>
      </c>
      <c r="Q378" s="64" t="s">
        <v>38766</v>
      </c>
      <c r="R378" s="10" t="s">
        <v>94</v>
      </c>
      <c r="S378" s="63" t="s">
        <v>22</v>
      </c>
      <c r="T378" s="68" t="s">
        <v>26781</v>
      </c>
      <c r="U378" s="68" t="s">
        <v>26572</v>
      </c>
      <c r="V378" s="68" t="s">
        <v>26573</v>
      </c>
      <c r="W378" s="68" t="s">
        <v>94</v>
      </c>
      <c r="X378" s="68">
        <v>5031</v>
      </c>
      <c r="Z378" s="68" t="s">
        <v>42966</v>
      </c>
      <c r="AA378" s="33">
        <v>7290</v>
      </c>
    </row>
    <row r="379" spans="1:27" ht="12" customHeight="1" x14ac:dyDescent="0.15">
      <c r="A379" s="10" t="s">
        <v>40797</v>
      </c>
      <c r="B379" s="99">
        <v>47</v>
      </c>
      <c r="C379" s="10" t="s">
        <v>14</v>
      </c>
      <c r="D379" s="10" t="s">
        <v>24</v>
      </c>
      <c r="E379" s="10"/>
      <c r="F379" s="67">
        <v>43708</v>
      </c>
      <c r="G379" s="10" t="s">
        <v>40798</v>
      </c>
      <c r="H379" s="10" t="s">
        <v>3040</v>
      </c>
      <c r="I379" s="10" t="s">
        <v>621</v>
      </c>
      <c r="J379" s="65">
        <v>39073</v>
      </c>
      <c r="K379" s="10" t="s">
        <v>5276</v>
      </c>
      <c r="L379" s="10" t="s">
        <v>40799</v>
      </c>
      <c r="M379" s="10" t="s">
        <v>21</v>
      </c>
      <c r="N379" s="10" t="s">
        <v>40800</v>
      </c>
      <c r="O379" s="10" t="s">
        <v>372</v>
      </c>
      <c r="P379" s="1" t="s">
        <v>30089</v>
      </c>
      <c r="Q379" s="64" t="s">
        <v>40801</v>
      </c>
      <c r="R379" s="10" t="s">
        <v>94</v>
      </c>
      <c r="S379" s="63" t="s">
        <v>351</v>
      </c>
      <c r="T379" s="68" t="s">
        <v>26867</v>
      </c>
      <c r="U379" s="68" t="s">
        <v>26570</v>
      </c>
      <c r="V379" s="68" t="s">
        <v>26571</v>
      </c>
      <c r="W379" s="68" t="s">
        <v>94</v>
      </c>
      <c r="X379" s="68">
        <v>5001</v>
      </c>
      <c r="Z379" s="68" t="s">
        <v>42967</v>
      </c>
      <c r="AA379" s="33">
        <v>7294</v>
      </c>
    </row>
    <row r="380" spans="1:27" ht="12" customHeight="1" x14ac:dyDescent="0.15">
      <c r="A380" s="10" t="s">
        <v>42090</v>
      </c>
      <c r="B380" s="99">
        <v>32</v>
      </c>
      <c r="C380" s="10" t="s">
        <v>14</v>
      </c>
      <c r="D380" s="10" t="s">
        <v>42</v>
      </c>
      <c r="E380" s="64" t="s">
        <v>42091</v>
      </c>
      <c r="F380" s="67">
        <v>43707</v>
      </c>
      <c r="G380" s="10" t="s">
        <v>42092</v>
      </c>
      <c r="H380" s="10" t="s">
        <v>15640</v>
      </c>
      <c r="I380" s="10" t="s">
        <v>39</v>
      </c>
      <c r="J380" s="65">
        <v>96080</v>
      </c>
      <c r="K380" s="10" t="s">
        <v>2722</v>
      </c>
      <c r="L380" s="10" t="s">
        <v>30210</v>
      </c>
      <c r="M380" s="10" t="s">
        <v>21</v>
      </c>
      <c r="N380" s="10" t="s">
        <v>42093</v>
      </c>
      <c r="O380" s="10" t="s">
        <v>372</v>
      </c>
      <c r="P380" s="1" t="s">
        <v>30089</v>
      </c>
      <c r="Q380" s="64" t="s">
        <v>42094</v>
      </c>
      <c r="R380" s="10" t="s">
        <v>94</v>
      </c>
      <c r="S380" s="63" t="s">
        <v>22</v>
      </c>
      <c r="T380" s="34" t="s">
        <v>26781</v>
      </c>
      <c r="U380" s="34" t="s">
        <v>26572</v>
      </c>
      <c r="V380" s="68"/>
      <c r="W380" s="68"/>
      <c r="X380" s="68"/>
      <c r="Z380" s="68" t="s">
        <v>42967</v>
      </c>
      <c r="AA380" s="33">
        <v>7286</v>
      </c>
    </row>
    <row r="381" spans="1:27" ht="12" customHeight="1" x14ac:dyDescent="0.15">
      <c r="A381" s="10" t="s">
        <v>39003</v>
      </c>
      <c r="B381" s="99">
        <v>27</v>
      </c>
      <c r="C381" s="10" t="s">
        <v>14</v>
      </c>
      <c r="D381" s="10" t="s">
        <v>24</v>
      </c>
      <c r="E381" s="10"/>
      <c r="F381" s="67">
        <v>43707</v>
      </c>
      <c r="G381" s="10" t="s">
        <v>39004</v>
      </c>
      <c r="H381" s="10" t="s">
        <v>25821</v>
      </c>
      <c r="I381" s="10" t="s">
        <v>395</v>
      </c>
      <c r="J381" s="65">
        <v>11435</v>
      </c>
      <c r="K381" s="10" t="s">
        <v>2474</v>
      </c>
      <c r="L381" s="10" t="s">
        <v>539</v>
      </c>
      <c r="M381" s="10" t="s">
        <v>21</v>
      </c>
      <c r="N381" s="10" t="s">
        <v>39005</v>
      </c>
      <c r="O381" s="10" t="s">
        <v>372</v>
      </c>
      <c r="P381" s="1" t="s">
        <v>30089</v>
      </c>
      <c r="Q381" s="64" t="s">
        <v>39006</v>
      </c>
      <c r="R381" s="10" t="s">
        <v>94</v>
      </c>
      <c r="S381" s="63" t="s">
        <v>22</v>
      </c>
      <c r="T381" s="68" t="s">
        <v>26781</v>
      </c>
      <c r="U381" s="68" t="s">
        <v>26572</v>
      </c>
      <c r="V381" s="68" t="s">
        <v>26573</v>
      </c>
      <c r="W381" s="68" t="s">
        <v>94</v>
      </c>
      <c r="X381" s="68">
        <v>4992</v>
      </c>
      <c r="Z381" s="68" t="s">
        <v>42966</v>
      </c>
      <c r="AA381" s="33">
        <v>7284</v>
      </c>
    </row>
    <row r="382" spans="1:27" ht="12" customHeight="1" x14ac:dyDescent="0.15">
      <c r="A382" s="10" t="s">
        <v>39324</v>
      </c>
      <c r="B382" s="99">
        <v>51</v>
      </c>
      <c r="C382" s="10" t="s">
        <v>14</v>
      </c>
      <c r="D382" s="10" t="s">
        <v>42</v>
      </c>
      <c r="E382" s="10"/>
      <c r="F382" s="67">
        <v>43707</v>
      </c>
      <c r="G382" s="10" t="s">
        <v>39325</v>
      </c>
      <c r="H382" s="10" t="s">
        <v>39326</v>
      </c>
      <c r="I382" s="10" t="s">
        <v>112</v>
      </c>
      <c r="J382" s="65">
        <v>85353</v>
      </c>
      <c r="K382" s="10" t="s">
        <v>585</v>
      </c>
      <c r="L382" s="10" t="s">
        <v>586</v>
      </c>
      <c r="M382" s="10" t="s">
        <v>21</v>
      </c>
      <c r="N382" s="10" t="s">
        <v>39327</v>
      </c>
      <c r="O382" s="10" t="s">
        <v>372</v>
      </c>
      <c r="P382" s="1" t="s">
        <v>30089</v>
      </c>
      <c r="Q382" s="64" t="s">
        <v>39328</v>
      </c>
      <c r="R382" s="10" t="s">
        <v>94</v>
      </c>
      <c r="S382" s="63" t="s">
        <v>22</v>
      </c>
      <c r="T382" s="68" t="s">
        <v>29833</v>
      </c>
      <c r="U382" s="68" t="s">
        <v>26572</v>
      </c>
      <c r="V382" s="68" t="s">
        <v>19228</v>
      </c>
      <c r="W382" s="68" t="s">
        <v>94</v>
      </c>
      <c r="X382" s="68">
        <v>5002</v>
      </c>
      <c r="Z382" s="68" t="s">
        <v>42968</v>
      </c>
      <c r="AA382" s="33">
        <v>7287</v>
      </c>
    </row>
    <row r="383" spans="1:27" ht="12" customHeight="1" x14ac:dyDescent="0.15">
      <c r="A383" s="10" t="s">
        <v>39014</v>
      </c>
      <c r="B383" s="99">
        <v>35</v>
      </c>
      <c r="C383" s="10" t="s">
        <v>14</v>
      </c>
      <c r="D383" s="10" t="s">
        <v>24</v>
      </c>
      <c r="E383" s="10"/>
      <c r="F383" s="67">
        <v>43707</v>
      </c>
      <c r="G383" s="10" t="s">
        <v>39015</v>
      </c>
      <c r="H383" s="10" t="s">
        <v>205</v>
      </c>
      <c r="I383" s="10" t="s">
        <v>206</v>
      </c>
      <c r="J383" s="65">
        <v>19802</v>
      </c>
      <c r="K383" s="10" t="s">
        <v>3496</v>
      </c>
      <c r="L383" s="10" t="s">
        <v>207</v>
      </c>
      <c r="M383" s="10" t="s">
        <v>21</v>
      </c>
      <c r="N383" s="10" t="s">
        <v>39016</v>
      </c>
      <c r="O383" s="10" t="s">
        <v>372</v>
      </c>
      <c r="P383" s="1" t="s">
        <v>30089</v>
      </c>
      <c r="Q383" s="64" t="s">
        <v>39017</v>
      </c>
      <c r="R383" s="10" t="s">
        <v>94</v>
      </c>
      <c r="S383" s="63" t="s">
        <v>22</v>
      </c>
      <c r="T383" s="68" t="s">
        <v>26781</v>
      </c>
      <c r="U383" s="68" t="s">
        <v>26572</v>
      </c>
      <c r="V383" s="68" t="s">
        <v>26573</v>
      </c>
      <c r="W383" s="68" t="s">
        <v>94</v>
      </c>
      <c r="X383" s="68">
        <v>5003</v>
      </c>
      <c r="Z383" s="68" t="s">
        <v>42966</v>
      </c>
      <c r="AA383" s="33">
        <v>7285</v>
      </c>
    </row>
    <row r="384" spans="1:27" ht="12" customHeight="1" x14ac:dyDescent="0.15">
      <c r="A384" s="10" t="s">
        <v>42135</v>
      </c>
      <c r="B384" s="99">
        <v>39</v>
      </c>
      <c r="C384" s="10" t="s">
        <v>14</v>
      </c>
      <c r="D384" s="10" t="s">
        <v>42</v>
      </c>
      <c r="E384" s="64" t="s">
        <v>42136</v>
      </c>
      <c r="F384" s="67">
        <v>43707</v>
      </c>
      <c r="G384" s="10" t="s">
        <v>42137</v>
      </c>
      <c r="H384" s="10" t="s">
        <v>631</v>
      </c>
      <c r="I384" s="10" t="s">
        <v>39</v>
      </c>
      <c r="J384" s="65">
        <v>93307</v>
      </c>
      <c r="K384" s="10" t="s">
        <v>632</v>
      </c>
      <c r="L384" s="10" t="s">
        <v>633</v>
      </c>
      <c r="M384" s="10" t="s">
        <v>21</v>
      </c>
      <c r="N384" s="10" t="s">
        <v>42138</v>
      </c>
      <c r="O384" s="10" t="s">
        <v>372</v>
      </c>
      <c r="P384" s="1" t="s">
        <v>30089</v>
      </c>
      <c r="Q384" s="64" t="s">
        <v>42139</v>
      </c>
      <c r="R384" s="10" t="s">
        <v>94</v>
      </c>
      <c r="S384" s="63" t="s">
        <v>29</v>
      </c>
      <c r="T384" s="34" t="s">
        <v>41840</v>
      </c>
      <c r="U384" s="34"/>
      <c r="V384" s="68"/>
      <c r="W384" s="68"/>
      <c r="X384" s="68"/>
      <c r="Z384" s="68" t="s">
        <v>42968</v>
      </c>
      <c r="AA384" s="33">
        <v>7288</v>
      </c>
    </row>
    <row r="385" spans="1:27" ht="12" customHeight="1" x14ac:dyDescent="0.15">
      <c r="A385" s="10" t="s">
        <v>42252</v>
      </c>
      <c r="B385" s="99">
        <v>16</v>
      </c>
      <c r="C385" s="10" t="s">
        <v>14</v>
      </c>
      <c r="D385" s="10" t="s">
        <v>24</v>
      </c>
      <c r="E385" s="10"/>
      <c r="F385" s="67">
        <v>43706</v>
      </c>
      <c r="G385" s="10" t="s">
        <v>42253</v>
      </c>
      <c r="H385" s="10" t="s">
        <v>8434</v>
      </c>
      <c r="I385" s="10" t="s">
        <v>178</v>
      </c>
      <c r="J385" s="65">
        <v>88220</v>
      </c>
      <c r="K385" s="10" t="s">
        <v>8436</v>
      </c>
      <c r="L385" s="10" t="s">
        <v>8437</v>
      </c>
      <c r="M385" s="10" t="s">
        <v>21</v>
      </c>
      <c r="N385" s="10" t="s">
        <v>42254</v>
      </c>
      <c r="O385" s="10" t="s">
        <v>372</v>
      </c>
      <c r="P385" s="1" t="s">
        <v>30089</v>
      </c>
      <c r="Q385" s="64" t="s">
        <v>42255</v>
      </c>
      <c r="R385" s="10" t="s">
        <v>94</v>
      </c>
      <c r="S385" s="63" t="s">
        <v>22</v>
      </c>
      <c r="T385" s="34" t="s">
        <v>26781</v>
      </c>
      <c r="U385" s="34" t="s">
        <v>26572</v>
      </c>
      <c r="V385" s="68"/>
      <c r="W385" s="68"/>
      <c r="X385" s="68"/>
      <c r="Z385" s="68" t="s">
        <v>42968</v>
      </c>
      <c r="AA385" s="33">
        <v>7283</v>
      </c>
    </row>
    <row r="386" spans="1:27" ht="12" customHeight="1" x14ac:dyDescent="0.15">
      <c r="A386" s="10" t="s">
        <v>39545</v>
      </c>
      <c r="B386" s="99">
        <v>28</v>
      </c>
      <c r="C386" s="10" t="s">
        <v>14</v>
      </c>
      <c r="D386" s="10" t="s">
        <v>31</v>
      </c>
      <c r="E386" s="64" t="s">
        <v>39546</v>
      </c>
      <c r="F386" s="67">
        <v>43705</v>
      </c>
      <c r="G386" s="10" t="s">
        <v>39547</v>
      </c>
      <c r="H386" s="10" t="s">
        <v>39548</v>
      </c>
      <c r="I386" s="10" t="s">
        <v>337</v>
      </c>
      <c r="J386" s="65">
        <v>67401</v>
      </c>
      <c r="K386" s="10" t="s">
        <v>4686</v>
      </c>
      <c r="L386" s="10" t="s">
        <v>39549</v>
      </c>
      <c r="M386" s="10" t="s">
        <v>21</v>
      </c>
      <c r="N386" s="10" t="s">
        <v>39550</v>
      </c>
      <c r="O386" s="10" t="s">
        <v>372</v>
      </c>
      <c r="P386" s="1" t="s">
        <v>30089</v>
      </c>
      <c r="Q386" s="64" t="s">
        <v>39551</v>
      </c>
      <c r="R386" s="10" t="s">
        <v>94</v>
      </c>
      <c r="S386" s="63" t="s">
        <v>22</v>
      </c>
      <c r="T386" s="68" t="s">
        <v>26774</v>
      </c>
      <c r="U386" s="68" t="s">
        <v>26570</v>
      </c>
      <c r="V386" s="68" t="s">
        <v>26573</v>
      </c>
      <c r="W386" s="68" t="s">
        <v>94</v>
      </c>
      <c r="X386" s="68">
        <v>4991</v>
      </c>
      <c r="Z386" s="68" t="s">
        <v>42968</v>
      </c>
      <c r="AA386" s="33">
        <v>7281</v>
      </c>
    </row>
    <row r="387" spans="1:27" ht="12" customHeight="1" x14ac:dyDescent="0.15">
      <c r="A387" s="10" t="s">
        <v>41324</v>
      </c>
      <c r="B387" s="99">
        <v>62</v>
      </c>
      <c r="C387" s="10" t="s">
        <v>14</v>
      </c>
      <c r="D387" s="10" t="s">
        <v>79</v>
      </c>
      <c r="E387" s="64" t="s">
        <v>41325</v>
      </c>
      <c r="F387" s="67">
        <v>43705</v>
      </c>
      <c r="G387" s="10" t="s">
        <v>41326</v>
      </c>
      <c r="H387" s="10" t="s">
        <v>41327</v>
      </c>
      <c r="I387" s="10" t="s">
        <v>88</v>
      </c>
      <c r="J387" s="65">
        <v>35466</v>
      </c>
      <c r="K387" s="10" t="s">
        <v>4698</v>
      </c>
      <c r="L387" s="10" t="s">
        <v>4699</v>
      </c>
      <c r="M387" s="10" t="s">
        <v>21</v>
      </c>
      <c r="N387" s="10" t="s">
        <v>41328</v>
      </c>
      <c r="O387" s="10" t="s">
        <v>372</v>
      </c>
      <c r="P387" s="1" t="s">
        <v>30089</v>
      </c>
      <c r="Q387" s="64" t="s">
        <v>41329</v>
      </c>
      <c r="R387" s="10" t="s">
        <v>512</v>
      </c>
      <c r="S387" s="63" t="s">
        <v>22</v>
      </c>
      <c r="T387" s="68" t="s">
        <v>26774</v>
      </c>
      <c r="U387" s="68" t="s">
        <v>26570</v>
      </c>
      <c r="V387" s="68">
        <v>0</v>
      </c>
      <c r="W387" s="68" t="s">
        <v>94</v>
      </c>
      <c r="X387" s="68">
        <v>4989</v>
      </c>
      <c r="Z387" s="68" t="s">
        <v>42967</v>
      </c>
      <c r="AA387" s="33">
        <v>7282</v>
      </c>
    </row>
    <row r="388" spans="1:27" ht="12" customHeight="1" x14ac:dyDescent="0.15">
      <c r="A388" s="10" t="s">
        <v>39310</v>
      </c>
      <c r="B388" s="99">
        <v>30</v>
      </c>
      <c r="C388" s="10" t="s">
        <v>14</v>
      </c>
      <c r="D388" s="10" t="s">
        <v>79</v>
      </c>
      <c r="E388" s="64" t="s">
        <v>39311</v>
      </c>
      <c r="F388" s="67">
        <v>43705</v>
      </c>
      <c r="G388" s="10" t="s">
        <v>39312</v>
      </c>
      <c r="H388" s="10" t="s">
        <v>1487</v>
      </c>
      <c r="I388" s="10" t="s">
        <v>46</v>
      </c>
      <c r="J388" s="65">
        <v>21231</v>
      </c>
      <c r="K388" s="10" t="s">
        <v>4324</v>
      </c>
      <c r="L388" s="10" t="s">
        <v>2556</v>
      </c>
      <c r="M388" s="10" t="s">
        <v>21</v>
      </c>
      <c r="N388" s="10" t="s">
        <v>39313</v>
      </c>
      <c r="O388" s="10" t="s">
        <v>372</v>
      </c>
      <c r="P388" s="1" t="s">
        <v>30089</v>
      </c>
      <c r="Q388" s="64" t="s">
        <v>39314</v>
      </c>
      <c r="R388" s="10" t="s">
        <v>512</v>
      </c>
      <c r="S388" s="63" t="s">
        <v>22</v>
      </c>
      <c r="T388" s="68" t="s">
        <v>29833</v>
      </c>
      <c r="U388" s="68" t="s">
        <v>26572</v>
      </c>
      <c r="V388" s="68" t="s">
        <v>26571</v>
      </c>
      <c r="W388" s="68" t="s">
        <v>94</v>
      </c>
      <c r="X388" s="68">
        <v>4990</v>
      </c>
      <c r="Z388" s="68" t="s">
        <v>42966</v>
      </c>
      <c r="AA388" s="33">
        <v>7280</v>
      </c>
    </row>
    <row r="389" spans="1:27" ht="12" customHeight="1" x14ac:dyDescent="0.15">
      <c r="A389" s="10" t="s">
        <v>42435</v>
      </c>
      <c r="B389" s="99">
        <v>33</v>
      </c>
      <c r="C389" s="10" t="s">
        <v>14</v>
      </c>
      <c r="D389" s="10" t="s">
        <v>79</v>
      </c>
      <c r="E389" s="64" t="s">
        <v>42436</v>
      </c>
      <c r="F389" s="67">
        <v>43704</v>
      </c>
      <c r="G389" s="10" t="s">
        <v>42437</v>
      </c>
      <c r="H389" s="10" t="s">
        <v>5918</v>
      </c>
      <c r="I389" s="10" t="s">
        <v>38</v>
      </c>
      <c r="J389" s="65">
        <v>60153</v>
      </c>
      <c r="K389" s="70" t="s">
        <v>82</v>
      </c>
      <c r="L389" s="10" t="s">
        <v>42438</v>
      </c>
      <c r="M389" s="10" t="s">
        <v>21</v>
      </c>
      <c r="N389" s="10" t="s">
        <v>42439</v>
      </c>
      <c r="O389" s="10" t="s">
        <v>372</v>
      </c>
      <c r="P389" s="1" t="s">
        <v>30089</v>
      </c>
      <c r="Q389" s="64" t="s">
        <v>42440</v>
      </c>
      <c r="R389" s="10" t="s">
        <v>94</v>
      </c>
      <c r="S389" s="10" t="s">
        <v>12</v>
      </c>
      <c r="T389" s="54" t="s">
        <v>29705</v>
      </c>
      <c r="U389" s="68"/>
      <c r="V389" s="68"/>
      <c r="W389" s="68"/>
      <c r="X389" s="68"/>
      <c r="Y389" s="33" t="s">
        <v>42476</v>
      </c>
      <c r="Z389" s="1" t="s">
        <v>42966</v>
      </c>
      <c r="AA389" s="33">
        <v>7279</v>
      </c>
    </row>
    <row r="390" spans="1:27" ht="12" customHeight="1" x14ac:dyDescent="0.15">
      <c r="A390" s="10" t="s">
        <v>37565</v>
      </c>
      <c r="B390" s="99">
        <v>37</v>
      </c>
      <c r="C390" s="10" t="s">
        <v>14</v>
      </c>
      <c r="D390" s="10" t="s">
        <v>79</v>
      </c>
      <c r="E390" s="64" t="s">
        <v>37566</v>
      </c>
      <c r="F390" s="67">
        <v>43704</v>
      </c>
      <c r="G390" s="10" t="s">
        <v>37567</v>
      </c>
      <c r="H390" s="10" t="s">
        <v>33052</v>
      </c>
      <c r="I390" s="10" t="s">
        <v>918</v>
      </c>
      <c r="J390" s="65">
        <v>72390</v>
      </c>
      <c r="K390" s="10" t="s">
        <v>23373</v>
      </c>
      <c r="L390" s="10" t="s">
        <v>5937</v>
      </c>
      <c r="M390" s="10" t="s">
        <v>21</v>
      </c>
      <c r="N390" s="10" t="s">
        <v>37568</v>
      </c>
      <c r="O390" s="10" t="s">
        <v>372</v>
      </c>
      <c r="P390" s="1" t="s">
        <v>30089</v>
      </c>
      <c r="Q390" s="64" t="s">
        <v>37569</v>
      </c>
      <c r="R390" s="10" t="s">
        <v>94</v>
      </c>
      <c r="S390" s="63" t="s">
        <v>22</v>
      </c>
      <c r="T390" s="68" t="s">
        <v>26781</v>
      </c>
      <c r="U390" s="68" t="s">
        <v>26572</v>
      </c>
      <c r="V390" s="68">
        <v>0</v>
      </c>
      <c r="W390" s="68" t="s">
        <v>94</v>
      </c>
      <c r="X390" s="68">
        <v>4986</v>
      </c>
      <c r="Z390" s="68" t="s">
        <v>42967</v>
      </c>
      <c r="AA390" s="33">
        <v>7275</v>
      </c>
    </row>
    <row r="391" spans="1:27" ht="12" customHeight="1" x14ac:dyDescent="0.15">
      <c r="A391" s="10" t="s">
        <v>38999</v>
      </c>
      <c r="B391" s="99">
        <v>67</v>
      </c>
      <c r="C391" s="10" t="s">
        <v>14</v>
      </c>
      <c r="D391" s="10" t="s">
        <v>24</v>
      </c>
      <c r="E391" s="10"/>
      <c r="F391" s="67">
        <v>43704</v>
      </c>
      <c r="G391" s="10" t="s">
        <v>39000</v>
      </c>
      <c r="H391" s="10" t="s">
        <v>1645</v>
      </c>
      <c r="I391" s="10" t="s">
        <v>39</v>
      </c>
      <c r="J391" s="65">
        <v>95205</v>
      </c>
      <c r="K391" s="10" t="s">
        <v>1647</v>
      </c>
      <c r="L391" s="10" t="s">
        <v>24673</v>
      </c>
      <c r="M391" s="10" t="s">
        <v>21</v>
      </c>
      <c r="N391" s="10" t="s">
        <v>39001</v>
      </c>
      <c r="O391" s="10" t="s">
        <v>372</v>
      </c>
      <c r="P391" s="1" t="s">
        <v>30089</v>
      </c>
      <c r="Q391" s="64" t="s">
        <v>39002</v>
      </c>
      <c r="R391" s="10" t="s">
        <v>94</v>
      </c>
      <c r="S391" s="63" t="s">
        <v>22</v>
      </c>
      <c r="T391" s="68" t="s">
        <v>26781</v>
      </c>
      <c r="U391" s="68" t="s">
        <v>26572</v>
      </c>
      <c r="V391" s="68" t="s">
        <v>26573</v>
      </c>
      <c r="W391" s="68" t="s">
        <v>94</v>
      </c>
      <c r="X391" s="68">
        <v>4987</v>
      </c>
      <c r="Z391" s="68" t="s">
        <v>42966</v>
      </c>
      <c r="AA391" s="33">
        <v>7276</v>
      </c>
    </row>
    <row r="392" spans="1:27" ht="12" customHeight="1" x14ac:dyDescent="0.15">
      <c r="A392" s="10" t="s">
        <v>42379</v>
      </c>
      <c r="B392" s="99">
        <v>39</v>
      </c>
      <c r="C392" s="10" t="s">
        <v>14</v>
      </c>
      <c r="D392" s="10" t="s">
        <v>24</v>
      </c>
      <c r="E392" s="10"/>
      <c r="F392" s="67">
        <v>43704</v>
      </c>
      <c r="G392" s="10" t="s">
        <v>42380</v>
      </c>
      <c r="H392" s="10" t="s">
        <v>42381</v>
      </c>
      <c r="I392" s="10" t="s">
        <v>402</v>
      </c>
      <c r="J392" s="65">
        <v>63114</v>
      </c>
      <c r="K392" s="10" t="s">
        <v>661</v>
      </c>
      <c r="L392" s="10" t="s">
        <v>42382</v>
      </c>
      <c r="M392" s="10" t="s">
        <v>363</v>
      </c>
      <c r="N392" s="10" t="s">
        <v>42383</v>
      </c>
      <c r="O392" s="10" t="s">
        <v>372</v>
      </c>
      <c r="P392" s="1" t="s">
        <v>30089</v>
      </c>
      <c r="Q392" s="64" t="s">
        <v>42384</v>
      </c>
      <c r="R392" s="10" t="s">
        <v>23</v>
      </c>
      <c r="S392" s="63" t="s">
        <v>12</v>
      </c>
      <c r="T392" s="34" t="s">
        <v>29705</v>
      </c>
      <c r="U392" s="34" t="s">
        <v>26575</v>
      </c>
      <c r="V392" s="68"/>
      <c r="W392" s="68"/>
      <c r="X392" s="68"/>
      <c r="Z392" s="68" t="s">
        <v>42968</v>
      </c>
      <c r="AA392" s="33">
        <v>7278</v>
      </c>
    </row>
    <row r="393" spans="1:27" ht="12" customHeight="1" x14ac:dyDescent="0.15">
      <c r="A393" s="10" t="s">
        <v>41722</v>
      </c>
      <c r="B393" s="99">
        <v>52</v>
      </c>
      <c r="C393" s="10" t="s">
        <v>14</v>
      </c>
      <c r="D393" s="10" t="s">
        <v>79</v>
      </c>
      <c r="E393" s="64" t="s">
        <v>41723</v>
      </c>
      <c r="F393" s="67">
        <v>43704</v>
      </c>
      <c r="G393" s="10" t="s">
        <v>41724</v>
      </c>
      <c r="H393" s="10" t="s">
        <v>172</v>
      </c>
      <c r="I393" s="10" t="s">
        <v>19</v>
      </c>
      <c r="J393" s="65">
        <v>70805</v>
      </c>
      <c r="K393" s="10" t="s">
        <v>3435</v>
      </c>
      <c r="L393" s="10" t="s">
        <v>1573</v>
      </c>
      <c r="M393" s="10" t="s">
        <v>21</v>
      </c>
      <c r="N393" s="10" t="s">
        <v>41725</v>
      </c>
      <c r="O393" s="10" t="s">
        <v>372</v>
      </c>
      <c r="P393" s="1" t="s">
        <v>30089</v>
      </c>
      <c r="Q393" s="64" t="s">
        <v>41726</v>
      </c>
      <c r="R393" s="10" t="s">
        <v>94</v>
      </c>
      <c r="S393" s="63" t="s">
        <v>22</v>
      </c>
      <c r="T393" s="34" t="s">
        <v>26781</v>
      </c>
      <c r="U393" s="34" t="s">
        <v>26572</v>
      </c>
      <c r="V393" s="68"/>
      <c r="W393" s="68"/>
      <c r="X393" s="68"/>
      <c r="Z393" s="68" t="s">
        <v>42966</v>
      </c>
      <c r="AA393" s="33">
        <v>7277</v>
      </c>
    </row>
    <row r="394" spans="1:27" ht="12" customHeight="1" x14ac:dyDescent="0.15">
      <c r="A394" s="10" t="s">
        <v>41195</v>
      </c>
      <c r="B394" s="99">
        <v>38</v>
      </c>
      <c r="C394" s="10" t="s">
        <v>14</v>
      </c>
      <c r="D394" s="10" t="s">
        <v>24</v>
      </c>
      <c r="E394" s="10"/>
      <c r="F394" s="67">
        <v>43703</v>
      </c>
      <c r="G394" s="10" t="s">
        <v>41196</v>
      </c>
      <c r="H394" s="10" t="s">
        <v>4070</v>
      </c>
      <c r="I394" s="10" t="s">
        <v>309</v>
      </c>
      <c r="J394" s="65">
        <v>99502</v>
      </c>
      <c r="K394" s="10" t="s">
        <v>4070</v>
      </c>
      <c r="L394" s="10" t="s">
        <v>4072</v>
      </c>
      <c r="M394" s="10" t="s">
        <v>21</v>
      </c>
      <c r="N394" s="10" t="s">
        <v>41197</v>
      </c>
      <c r="O394" s="10" t="s">
        <v>372</v>
      </c>
      <c r="P394" s="1" t="s">
        <v>30089</v>
      </c>
      <c r="Q394" s="64" t="s">
        <v>41198</v>
      </c>
      <c r="R394" s="10" t="s">
        <v>512</v>
      </c>
      <c r="S394" s="63" t="s">
        <v>22</v>
      </c>
      <c r="T394" s="68" t="s">
        <v>26781</v>
      </c>
      <c r="U394" s="68" t="s">
        <v>26572</v>
      </c>
      <c r="V394" s="68" t="s">
        <v>26573</v>
      </c>
      <c r="W394" s="68" t="s">
        <v>94</v>
      </c>
      <c r="X394" s="68">
        <v>4988</v>
      </c>
      <c r="Z394" s="68" t="s">
        <v>42968</v>
      </c>
      <c r="AA394" s="33">
        <v>7273</v>
      </c>
    </row>
    <row r="395" spans="1:27" ht="12" customHeight="1" x14ac:dyDescent="0.15">
      <c r="A395" s="10" t="s">
        <v>40069</v>
      </c>
      <c r="B395" s="99">
        <v>33</v>
      </c>
      <c r="C395" s="10" t="s">
        <v>14</v>
      </c>
      <c r="D395" s="10" t="s">
        <v>79</v>
      </c>
      <c r="E395" s="64" t="s">
        <v>40070</v>
      </c>
      <c r="F395" s="67">
        <v>43703</v>
      </c>
      <c r="G395" s="10" t="s">
        <v>40071</v>
      </c>
      <c r="H395" s="10" t="s">
        <v>359</v>
      </c>
      <c r="I395" s="10" t="s">
        <v>298</v>
      </c>
      <c r="J395" s="65">
        <v>37912</v>
      </c>
      <c r="K395" s="10" t="s">
        <v>2476</v>
      </c>
      <c r="L395" s="10" t="s">
        <v>7149</v>
      </c>
      <c r="M395" s="10" t="s">
        <v>21</v>
      </c>
      <c r="N395" s="10" t="s">
        <v>40072</v>
      </c>
      <c r="O395" s="10" t="s">
        <v>372</v>
      </c>
      <c r="P395" s="1" t="s">
        <v>30089</v>
      </c>
      <c r="Q395" s="64" t="s">
        <v>40073</v>
      </c>
      <c r="R395" s="10" t="s">
        <v>94</v>
      </c>
      <c r="S395" s="63" t="s">
        <v>12</v>
      </c>
      <c r="T395" s="68" t="s">
        <v>29705</v>
      </c>
      <c r="U395" s="68" t="s">
        <v>26572</v>
      </c>
      <c r="V395" s="68" t="s">
        <v>26573</v>
      </c>
      <c r="W395" s="68" t="s">
        <v>94</v>
      </c>
      <c r="X395" s="68">
        <v>4981</v>
      </c>
      <c r="Z395" s="68" t="s">
        <v>42968</v>
      </c>
      <c r="AA395" s="33">
        <v>7274</v>
      </c>
    </row>
    <row r="396" spans="1:27" ht="12" customHeight="1" x14ac:dyDescent="0.15">
      <c r="A396" s="10" t="s">
        <v>42039</v>
      </c>
      <c r="B396" s="99">
        <v>24</v>
      </c>
      <c r="C396" s="10" t="s">
        <v>14</v>
      </c>
      <c r="D396" s="10" t="s">
        <v>31</v>
      </c>
      <c r="E396" s="64" t="s">
        <v>42040</v>
      </c>
      <c r="F396" s="67">
        <v>43702</v>
      </c>
      <c r="G396" s="10" t="s">
        <v>26022</v>
      </c>
      <c r="H396" s="10" t="s">
        <v>12445</v>
      </c>
      <c r="I396" s="10" t="s">
        <v>198</v>
      </c>
      <c r="J396" s="65">
        <v>47523</v>
      </c>
      <c r="K396" s="10" t="s">
        <v>22735</v>
      </c>
      <c r="L396" s="10" t="s">
        <v>18119</v>
      </c>
      <c r="M396" s="10" t="s">
        <v>363</v>
      </c>
      <c r="N396" s="10" t="s">
        <v>42041</v>
      </c>
      <c r="O396" s="10" t="s">
        <v>372</v>
      </c>
      <c r="P396" s="1" t="s">
        <v>30089</v>
      </c>
      <c r="Q396" s="64" t="s">
        <v>42042</v>
      </c>
      <c r="R396" s="10" t="s">
        <v>94</v>
      </c>
      <c r="S396" s="63" t="s">
        <v>29</v>
      </c>
      <c r="T396" s="34" t="s">
        <v>41840</v>
      </c>
      <c r="U396" s="34" t="s">
        <v>26572</v>
      </c>
      <c r="V396" s="68"/>
      <c r="W396" s="68"/>
      <c r="X396" s="68"/>
      <c r="Z396" s="68" t="s">
        <v>42967</v>
      </c>
      <c r="AA396" s="33">
        <v>7272</v>
      </c>
    </row>
    <row r="397" spans="1:27" ht="12" customHeight="1" x14ac:dyDescent="0.15">
      <c r="A397" s="10" t="s">
        <v>41602</v>
      </c>
      <c r="B397" s="99">
        <v>52</v>
      </c>
      <c r="C397" s="10" t="s">
        <v>14</v>
      </c>
      <c r="D397" s="10" t="s">
        <v>885</v>
      </c>
      <c r="E397" s="64" t="s">
        <v>41603</v>
      </c>
      <c r="F397" s="67">
        <v>43701</v>
      </c>
      <c r="G397" s="10" t="s">
        <v>41604</v>
      </c>
      <c r="H397" s="10" t="s">
        <v>143</v>
      </c>
      <c r="I397" s="10" t="s">
        <v>39</v>
      </c>
      <c r="J397" s="65">
        <v>92115</v>
      </c>
      <c r="K397" s="10" t="s">
        <v>143</v>
      </c>
      <c r="L397" s="10" t="s">
        <v>144</v>
      </c>
      <c r="M397" s="10" t="s">
        <v>21</v>
      </c>
      <c r="N397" s="10" t="s">
        <v>41605</v>
      </c>
      <c r="O397" s="10" t="s">
        <v>372</v>
      </c>
      <c r="P397" s="1" t="s">
        <v>30089</v>
      </c>
      <c r="Q397" s="64" t="s">
        <v>41606</v>
      </c>
      <c r="R397" s="10" t="s">
        <v>512</v>
      </c>
      <c r="S397" s="63" t="s">
        <v>29</v>
      </c>
      <c r="T397" s="68" t="s">
        <v>26604</v>
      </c>
      <c r="U397" s="68" t="s">
        <v>26572</v>
      </c>
      <c r="V397" s="68" t="s">
        <v>26573</v>
      </c>
      <c r="W397" s="68" t="s">
        <v>512</v>
      </c>
      <c r="X397" s="68">
        <v>4977</v>
      </c>
      <c r="Z397" s="68" t="s">
        <v>42966</v>
      </c>
      <c r="AA397" s="33">
        <v>7271</v>
      </c>
    </row>
    <row r="398" spans="1:27" ht="12" customHeight="1" x14ac:dyDescent="0.15">
      <c r="A398" s="10" t="s">
        <v>41899</v>
      </c>
      <c r="B398" s="99">
        <v>34</v>
      </c>
      <c r="C398" s="10" t="s">
        <v>14</v>
      </c>
      <c r="D398" s="10" t="s">
        <v>31</v>
      </c>
      <c r="E398" s="10"/>
      <c r="F398" s="67">
        <v>43701</v>
      </c>
      <c r="G398" s="10" t="s">
        <v>41900</v>
      </c>
      <c r="H398" s="10" t="s">
        <v>33196</v>
      </c>
      <c r="I398" s="10" t="s">
        <v>106</v>
      </c>
      <c r="J398" s="65">
        <v>97424</v>
      </c>
      <c r="K398" s="10" t="s">
        <v>2946</v>
      </c>
      <c r="L398" s="10" t="s">
        <v>17398</v>
      </c>
      <c r="M398" s="10" t="s">
        <v>21</v>
      </c>
      <c r="N398" s="10" t="s">
        <v>41901</v>
      </c>
      <c r="O398" s="10" t="s">
        <v>372</v>
      </c>
      <c r="P398" s="1" t="s">
        <v>30089</v>
      </c>
      <c r="Q398" s="64" t="s">
        <v>41902</v>
      </c>
      <c r="R398" s="10" t="s">
        <v>94</v>
      </c>
      <c r="S398" s="63" t="s">
        <v>22</v>
      </c>
      <c r="T398" s="34" t="s">
        <v>26774</v>
      </c>
      <c r="U398" s="34"/>
      <c r="V398" s="68"/>
      <c r="W398" s="68"/>
      <c r="X398" s="68"/>
      <c r="Z398" s="68" t="s">
        <v>42967</v>
      </c>
      <c r="AA398" s="33">
        <v>7270</v>
      </c>
    </row>
    <row r="399" spans="1:27" ht="12" customHeight="1" x14ac:dyDescent="0.15">
      <c r="A399" s="10" t="s">
        <v>40123</v>
      </c>
      <c r="B399" s="99">
        <v>31</v>
      </c>
      <c r="C399" s="10" t="s">
        <v>14</v>
      </c>
      <c r="D399" s="10" t="s">
        <v>31</v>
      </c>
      <c r="E399" s="64" t="s">
        <v>40124</v>
      </c>
      <c r="F399" s="67">
        <v>43700</v>
      </c>
      <c r="G399" s="10" t="s">
        <v>40125</v>
      </c>
      <c r="H399" s="10" t="s">
        <v>32600</v>
      </c>
      <c r="I399" s="10" t="s">
        <v>221</v>
      </c>
      <c r="J399" s="65">
        <v>84119</v>
      </c>
      <c r="K399" s="10" t="s">
        <v>564</v>
      </c>
      <c r="L399" s="10" t="s">
        <v>4555</v>
      </c>
      <c r="M399" s="10" t="s">
        <v>21</v>
      </c>
      <c r="N399" s="10" t="s">
        <v>40126</v>
      </c>
      <c r="O399" s="10" t="s">
        <v>372</v>
      </c>
      <c r="P399" s="1" t="s">
        <v>30089</v>
      </c>
      <c r="Q399" s="64" t="s">
        <v>40127</v>
      </c>
      <c r="R399" s="10" t="s">
        <v>904</v>
      </c>
      <c r="S399" s="63" t="s">
        <v>12</v>
      </c>
      <c r="T399" s="68" t="s">
        <v>29705</v>
      </c>
      <c r="U399" s="68" t="s">
        <v>26570</v>
      </c>
      <c r="V399" s="68" t="s">
        <v>26573</v>
      </c>
      <c r="W399" s="68" t="s">
        <v>512</v>
      </c>
      <c r="X399" s="68">
        <v>4980</v>
      </c>
      <c r="Z399" s="68" t="s">
        <v>42968</v>
      </c>
      <c r="AA399" s="33">
        <v>7269</v>
      </c>
    </row>
    <row r="400" spans="1:27" ht="12" customHeight="1" x14ac:dyDescent="0.15">
      <c r="A400" s="10" t="s">
        <v>41903</v>
      </c>
      <c r="B400" s="99">
        <v>55</v>
      </c>
      <c r="C400" s="10" t="s">
        <v>14</v>
      </c>
      <c r="D400" s="10" t="s">
        <v>31</v>
      </c>
      <c r="E400" s="64" t="s">
        <v>41904</v>
      </c>
      <c r="F400" s="67">
        <v>43700</v>
      </c>
      <c r="G400" s="10" t="s">
        <v>41905</v>
      </c>
      <c r="H400" s="10" t="s">
        <v>10392</v>
      </c>
      <c r="I400" s="10" t="s">
        <v>38</v>
      </c>
      <c r="J400" s="65">
        <v>61832</v>
      </c>
      <c r="K400" s="10" t="s">
        <v>10394</v>
      </c>
      <c r="L400" s="10" t="s">
        <v>41906</v>
      </c>
      <c r="M400" s="10" t="s">
        <v>21</v>
      </c>
      <c r="N400" s="10" t="s">
        <v>41907</v>
      </c>
      <c r="O400" s="10" t="s">
        <v>372</v>
      </c>
      <c r="P400" s="1" t="s">
        <v>30089</v>
      </c>
      <c r="Q400" s="64" t="s">
        <v>41908</v>
      </c>
      <c r="R400" s="10" t="s">
        <v>94</v>
      </c>
      <c r="S400" s="63" t="s">
        <v>22</v>
      </c>
      <c r="T400" s="34" t="s">
        <v>26774</v>
      </c>
      <c r="U400" s="34" t="s">
        <v>26572</v>
      </c>
      <c r="V400" s="68"/>
      <c r="W400" s="68"/>
      <c r="X400" s="68"/>
      <c r="Z400" s="68" t="s">
        <v>42966</v>
      </c>
      <c r="AA400" s="33">
        <v>7268</v>
      </c>
    </row>
    <row r="401" spans="1:27" ht="12" customHeight="1" x14ac:dyDescent="0.15">
      <c r="A401" s="10" t="s">
        <v>37875</v>
      </c>
      <c r="B401" s="99">
        <v>49</v>
      </c>
      <c r="C401" s="10" t="s">
        <v>14</v>
      </c>
      <c r="D401" s="10" t="s">
        <v>31</v>
      </c>
      <c r="E401" s="64" t="s">
        <v>37876</v>
      </c>
      <c r="F401" s="67">
        <v>43699</v>
      </c>
      <c r="G401" s="10" t="s">
        <v>37877</v>
      </c>
      <c r="H401" s="10" t="s">
        <v>5836</v>
      </c>
      <c r="I401" s="10" t="s">
        <v>918</v>
      </c>
      <c r="J401" s="65">
        <v>72031</v>
      </c>
      <c r="K401" s="10" t="s">
        <v>6106</v>
      </c>
      <c r="L401" s="10" t="s">
        <v>5937</v>
      </c>
      <c r="M401" s="10" t="s">
        <v>21</v>
      </c>
      <c r="N401" s="10" t="s">
        <v>37878</v>
      </c>
      <c r="O401" s="10" t="s">
        <v>372</v>
      </c>
      <c r="P401" s="1" t="s">
        <v>30089</v>
      </c>
      <c r="Q401" s="64" t="s">
        <v>37879</v>
      </c>
      <c r="R401" s="10" t="s">
        <v>94</v>
      </c>
      <c r="S401" s="63" t="s">
        <v>22</v>
      </c>
      <c r="T401" s="68" t="s">
        <v>26781</v>
      </c>
      <c r="U401" s="68" t="s">
        <v>26572</v>
      </c>
      <c r="V401" s="68" t="s">
        <v>26573</v>
      </c>
      <c r="W401" s="68" t="s">
        <v>94</v>
      </c>
      <c r="X401" s="68">
        <v>4985</v>
      </c>
      <c r="Z401" s="68" t="s">
        <v>42967</v>
      </c>
      <c r="AA401" s="33">
        <v>7261</v>
      </c>
    </row>
    <row r="402" spans="1:27" ht="12" customHeight="1" x14ac:dyDescent="0.15">
      <c r="A402" s="10" t="s">
        <v>39921</v>
      </c>
      <c r="B402" s="99">
        <v>29</v>
      </c>
      <c r="C402" s="10" t="s">
        <v>14</v>
      </c>
      <c r="D402" s="10" t="s">
        <v>24</v>
      </c>
      <c r="E402" s="10"/>
      <c r="F402" s="67">
        <v>43699</v>
      </c>
      <c r="G402" s="10" t="s">
        <v>39922</v>
      </c>
      <c r="H402" s="10" t="s">
        <v>994</v>
      </c>
      <c r="I402" s="10" t="s">
        <v>63</v>
      </c>
      <c r="J402" s="65">
        <v>45417</v>
      </c>
      <c r="K402" s="10" t="s">
        <v>995</v>
      </c>
      <c r="L402" s="10" t="s">
        <v>5527</v>
      </c>
      <c r="M402" s="10" t="s">
        <v>21</v>
      </c>
      <c r="N402" s="10" t="s">
        <v>39923</v>
      </c>
      <c r="O402" s="10" t="s">
        <v>372</v>
      </c>
      <c r="P402" s="1" t="s">
        <v>30089</v>
      </c>
      <c r="Q402" s="64" t="s">
        <v>39924</v>
      </c>
      <c r="R402" s="10" t="s">
        <v>94</v>
      </c>
      <c r="S402" s="63" t="s">
        <v>22</v>
      </c>
      <c r="T402" s="68" t="s">
        <v>363</v>
      </c>
      <c r="U402" s="68" t="s">
        <v>26572</v>
      </c>
      <c r="V402" s="68" t="s">
        <v>26574</v>
      </c>
      <c r="W402" s="68" t="s">
        <v>94</v>
      </c>
      <c r="X402" s="68">
        <v>4974</v>
      </c>
      <c r="Z402" s="68" t="s">
        <v>42966</v>
      </c>
      <c r="AA402" s="33">
        <v>7264</v>
      </c>
    </row>
    <row r="403" spans="1:27" ht="12" customHeight="1" x14ac:dyDescent="0.15">
      <c r="A403" s="10" t="s">
        <v>42256</v>
      </c>
      <c r="B403" s="99">
        <v>46</v>
      </c>
      <c r="C403" s="10" t="s">
        <v>14</v>
      </c>
      <c r="D403" s="10" t="s">
        <v>24</v>
      </c>
      <c r="E403" s="10"/>
      <c r="F403" s="67">
        <v>43699</v>
      </c>
      <c r="G403" s="10" t="s">
        <v>42257</v>
      </c>
      <c r="H403" s="10" t="s">
        <v>420</v>
      </c>
      <c r="I403" s="10" t="s">
        <v>178</v>
      </c>
      <c r="J403" s="65">
        <v>88240</v>
      </c>
      <c r="K403" s="10" t="s">
        <v>731</v>
      </c>
      <c r="L403" s="10" t="s">
        <v>421</v>
      </c>
      <c r="M403" s="10" t="s">
        <v>21</v>
      </c>
      <c r="N403" s="10" t="s">
        <v>42258</v>
      </c>
      <c r="O403" s="10" t="s">
        <v>372</v>
      </c>
      <c r="P403" s="1" t="s">
        <v>30089</v>
      </c>
      <c r="Q403" s="64" t="s">
        <v>42259</v>
      </c>
      <c r="R403" s="10" t="s">
        <v>94</v>
      </c>
      <c r="S403" s="63" t="s">
        <v>22</v>
      </c>
      <c r="T403" s="34" t="s">
        <v>26781</v>
      </c>
      <c r="U403" s="34" t="s">
        <v>26572</v>
      </c>
      <c r="V403" s="68"/>
      <c r="W403" s="68"/>
      <c r="X403" s="68"/>
      <c r="Z403" s="68" t="s">
        <v>42968</v>
      </c>
      <c r="AA403" s="33">
        <v>7263</v>
      </c>
    </row>
    <row r="404" spans="1:27" ht="12" customHeight="1" x14ac:dyDescent="0.15">
      <c r="A404" s="10" t="s">
        <v>38995</v>
      </c>
      <c r="B404" s="100">
        <v>57</v>
      </c>
      <c r="C404" s="10" t="s">
        <v>14</v>
      </c>
      <c r="D404" s="10" t="s">
        <v>24</v>
      </c>
      <c r="E404" s="10"/>
      <c r="F404" s="67">
        <v>43699</v>
      </c>
      <c r="G404" s="10" t="s">
        <v>38996</v>
      </c>
      <c r="H404" s="10" t="s">
        <v>866</v>
      </c>
      <c r="I404" s="10" t="s">
        <v>178</v>
      </c>
      <c r="J404" s="65">
        <v>87123</v>
      </c>
      <c r="K404" s="10" t="s">
        <v>433</v>
      </c>
      <c r="L404" s="10" t="s">
        <v>4562</v>
      </c>
      <c r="M404" s="10" t="s">
        <v>21</v>
      </c>
      <c r="N404" s="10" t="s">
        <v>38997</v>
      </c>
      <c r="O404" s="10" t="s">
        <v>372</v>
      </c>
      <c r="P404" s="1" t="s">
        <v>30089</v>
      </c>
      <c r="Q404" s="64" t="s">
        <v>38998</v>
      </c>
      <c r="R404" s="10" t="s">
        <v>94</v>
      </c>
      <c r="S404" s="63" t="s">
        <v>22</v>
      </c>
      <c r="T404" s="68" t="s">
        <v>26781</v>
      </c>
      <c r="U404" s="68" t="s">
        <v>26572</v>
      </c>
      <c r="V404" s="68" t="s">
        <v>26573</v>
      </c>
      <c r="W404" s="68" t="s">
        <v>94</v>
      </c>
      <c r="X404" s="68">
        <v>4972</v>
      </c>
      <c r="Z404" s="68" t="s">
        <v>42968</v>
      </c>
      <c r="AA404" s="33">
        <v>7262</v>
      </c>
    </row>
    <row r="405" spans="1:27" ht="12" customHeight="1" x14ac:dyDescent="0.15">
      <c r="A405" s="10" t="s">
        <v>3002</v>
      </c>
      <c r="B405" s="70"/>
      <c r="C405" s="10" t="s">
        <v>14</v>
      </c>
      <c r="D405" s="10" t="s">
        <v>24</v>
      </c>
      <c r="E405" s="10"/>
      <c r="F405" s="67">
        <v>43699</v>
      </c>
      <c r="G405" s="10" t="s">
        <v>40430</v>
      </c>
      <c r="H405" s="10" t="s">
        <v>21113</v>
      </c>
      <c r="I405" s="10" t="s">
        <v>39</v>
      </c>
      <c r="J405" s="65">
        <v>92683</v>
      </c>
      <c r="K405" s="10" t="s">
        <v>998</v>
      </c>
      <c r="L405" s="10" t="s">
        <v>40431</v>
      </c>
      <c r="M405" s="10" t="s">
        <v>21</v>
      </c>
      <c r="N405" s="10" t="s">
        <v>40432</v>
      </c>
      <c r="O405" s="10" t="s">
        <v>372</v>
      </c>
      <c r="P405" s="1" t="s">
        <v>30089</v>
      </c>
      <c r="Q405" s="64" t="s">
        <v>40433</v>
      </c>
      <c r="R405" s="10" t="s">
        <v>94</v>
      </c>
      <c r="S405" s="63" t="s">
        <v>29</v>
      </c>
      <c r="T405" s="68" t="s">
        <v>26575</v>
      </c>
      <c r="U405" s="68" t="s">
        <v>26570</v>
      </c>
      <c r="V405" s="68" t="s">
        <v>26571</v>
      </c>
      <c r="W405" s="68" t="s">
        <v>94</v>
      </c>
      <c r="X405" s="68">
        <v>4973</v>
      </c>
      <c r="Z405" s="68" t="s">
        <v>42966</v>
      </c>
      <c r="AA405" s="33">
        <v>7267</v>
      </c>
    </row>
    <row r="406" spans="1:27" ht="12" customHeight="1" x14ac:dyDescent="0.15">
      <c r="A406" s="10" t="s">
        <v>42043</v>
      </c>
      <c r="B406" s="99">
        <v>49</v>
      </c>
      <c r="C406" s="10" t="s">
        <v>14</v>
      </c>
      <c r="D406" s="10" t="s">
        <v>31</v>
      </c>
      <c r="E406" s="64" t="s">
        <v>42044</v>
      </c>
      <c r="F406" s="67">
        <v>43699</v>
      </c>
      <c r="G406" s="10" t="s">
        <v>42045</v>
      </c>
      <c r="H406" s="10" t="s">
        <v>30239</v>
      </c>
      <c r="I406" s="10" t="s">
        <v>395</v>
      </c>
      <c r="J406" s="65">
        <v>14904</v>
      </c>
      <c r="K406" s="10" t="s">
        <v>29803</v>
      </c>
      <c r="L406" s="10" t="s">
        <v>30240</v>
      </c>
      <c r="M406" s="10" t="s">
        <v>363</v>
      </c>
      <c r="N406" s="10" t="s">
        <v>42046</v>
      </c>
      <c r="O406" s="10" t="s">
        <v>372</v>
      </c>
      <c r="P406" s="1" t="s">
        <v>30089</v>
      </c>
      <c r="Q406" s="64" t="s">
        <v>42047</v>
      </c>
      <c r="R406" s="10" t="s">
        <v>512</v>
      </c>
      <c r="S406" s="63" t="s">
        <v>12</v>
      </c>
      <c r="T406" s="34" t="s">
        <v>29705</v>
      </c>
      <c r="U406" s="34" t="s">
        <v>26572</v>
      </c>
      <c r="V406" s="68"/>
      <c r="W406" s="68"/>
      <c r="X406" s="68"/>
      <c r="Z406" s="68" t="s">
        <v>42968</v>
      </c>
      <c r="AA406" s="33">
        <v>7266</v>
      </c>
    </row>
    <row r="407" spans="1:27" ht="12" customHeight="1" x14ac:dyDescent="0.15">
      <c r="A407" s="10" t="s">
        <v>40158</v>
      </c>
      <c r="B407" s="99">
        <v>39</v>
      </c>
      <c r="C407" s="10" t="s">
        <v>14</v>
      </c>
      <c r="D407" s="10" t="s">
        <v>24</v>
      </c>
      <c r="E407" s="10"/>
      <c r="F407" s="67">
        <v>43699</v>
      </c>
      <c r="G407" s="10" t="s">
        <v>40159</v>
      </c>
      <c r="H407" s="10" t="s">
        <v>40160</v>
      </c>
      <c r="I407" s="10" t="s">
        <v>160</v>
      </c>
      <c r="J407" s="65">
        <v>30427</v>
      </c>
      <c r="K407" s="10" t="s">
        <v>40161</v>
      </c>
      <c r="L407" s="10" t="s">
        <v>40162</v>
      </c>
      <c r="M407" s="10" t="s">
        <v>21</v>
      </c>
      <c r="N407" s="10" t="s">
        <v>40163</v>
      </c>
      <c r="O407" s="10" t="s">
        <v>372</v>
      </c>
      <c r="P407" s="1" t="s">
        <v>30089</v>
      </c>
      <c r="Q407" s="64" t="s">
        <v>40164</v>
      </c>
      <c r="R407" s="10" t="s">
        <v>94</v>
      </c>
      <c r="S407" s="63" t="s">
        <v>12</v>
      </c>
      <c r="T407" s="68" t="s">
        <v>29705</v>
      </c>
      <c r="U407" s="68" t="s">
        <v>26572</v>
      </c>
      <c r="V407" s="68" t="s">
        <v>26573</v>
      </c>
      <c r="W407" s="68" t="s">
        <v>94</v>
      </c>
      <c r="X407" s="68">
        <v>4975</v>
      </c>
      <c r="Z407" s="68" t="s">
        <v>42967</v>
      </c>
      <c r="AA407" s="33">
        <v>7265</v>
      </c>
    </row>
    <row r="408" spans="1:27" ht="12" customHeight="1" x14ac:dyDescent="0.15">
      <c r="A408" s="10" t="s">
        <v>3002</v>
      </c>
      <c r="B408" s="99">
        <v>50</v>
      </c>
      <c r="C408" s="10" t="s">
        <v>14</v>
      </c>
      <c r="D408" s="10" t="s">
        <v>42</v>
      </c>
      <c r="E408" s="10"/>
      <c r="F408" s="67">
        <v>43698</v>
      </c>
      <c r="G408" s="10" t="s">
        <v>40401</v>
      </c>
      <c r="H408" s="10" t="s">
        <v>40402</v>
      </c>
      <c r="I408" s="10" t="s">
        <v>39</v>
      </c>
      <c r="J408" s="65">
        <v>90680</v>
      </c>
      <c r="K408" s="10" t="s">
        <v>998</v>
      </c>
      <c r="L408" s="10" t="s">
        <v>2204</v>
      </c>
      <c r="M408" s="10" t="s">
        <v>21</v>
      </c>
      <c r="N408" s="10" t="s">
        <v>40403</v>
      </c>
      <c r="O408" s="10" t="s">
        <v>372</v>
      </c>
      <c r="P408" s="1" t="s">
        <v>30089</v>
      </c>
      <c r="Q408" s="64" t="s">
        <v>40404</v>
      </c>
      <c r="R408" s="10" t="s">
        <v>94</v>
      </c>
      <c r="S408" s="63" t="s">
        <v>29</v>
      </c>
      <c r="T408" s="68" t="s">
        <v>26575</v>
      </c>
      <c r="U408" s="68" t="s">
        <v>26575</v>
      </c>
      <c r="V408" s="68">
        <v>0</v>
      </c>
      <c r="W408" s="68" t="s">
        <v>94</v>
      </c>
      <c r="X408" s="68">
        <v>4982</v>
      </c>
      <c r="Z408" s="68" t="s">
        <v>42966</v>
      </c>
      <c r="AA408" s="33">
        <v>7259</v>
      </c>
    </row>
    <row r="409" spans="1:27" ht="12" customHeight="1" x14ac:dyDescent="0.15">
      <c r="A409" s="10" t="s">
        <v>3002</v>
      </c>
      <c r="B409" s="99">
        <v>54</v>
      </c>
      <c r="C409" s="10" t="s">
        <v>14</v>
      </c>
      <c r="D409" s="10" t="s">
        <v>24</v>
      </c>
      <c r="E409" s="10"/>
      <c r="F409" s="67">
        <v>43698</v>
      </c>
      <c r="G409" s="10" t="s">
        <v>42260</v>
      </c>
      <c r="H409" s="10" t="s">
        <v>42261</v>
      </c>
      <c r="I409" s="10" t="s">
        <v>38</v>
      </c>
      <c r="J409" s="65">
        <v>60542</v>
      </c>
      <c r="K409" s="10" t="s">
        <v>7119</v>
      </c>
      <c r="L409" s="10" t="s">
        <v>27239</v>
      </c>
      <c r="M409" s="10" t="s">
        <v>21</v>
      </c>
      <c r="N409" s="10" t="s">
        <v>42262</v>
      </c>
      <c r="O409" s="10" t="s">
        <v>372</v>
      </c>
      <c r="P409" s="1" t="s">
        <v>30089</v>
      </c>
      <c r="Q409" s="64" t="s">
        <v>42263</v>
      </c>
      <c r="R409" s="10" t="s">
        <v>94</v>
      </c>
      <c r="S409" s="63" t="s">
        <v>22</v>
      </c>
      <c r="T409" s="34" t="s">
        <v>26781</v>
      </c>
      <c r="U409" s="34" t="s">
        <v>26572</v>
      </c>
      <c r="V409" s="68"/>
      <c r="W409" s="68"/>
      <c r="X409" s="68"/>
      <c r="Z409" s="68" t="s">
        <v>42968</v>
      </c>
      <c r="AA409" s="33">
        <v>7258</v>
      </c>
    </row>
    <row r="410" spans="1:27" ht="12" customHeight="1" x14ac:dyDescent="0.15">
      <c r="A410" s="10" t="s">
        <v>40517</v>
      </c>
      <c r="B410" s="99">
        <v>27</v>
      </c>
      <c r="C410" s="10" t="s">
        <v>14</v>
      </c>
      <c r="D410" s="10" t="s">
        <v>31</v>
      </c>
      <c r="E410" s="10"/>
      <c r="F410" s="67">
        <v>43698</v>
      </c>
      <c r="G410" s="10" t="s">
        <v>40518</v>
      </c>
      <c r="H410" s="10" t="s">
        <v>40519</v>
      </c>
      <c r="I410" s="10" t="s">
        <v>294</v>
      </c>
      <c r="J410" s="65">
        <v>40356</v>
      </c>
      <c r="K410" s="10" t="s">
        <v>2568</v>
      </c>
      <c r="L410" s="10" t="s">
        <v>18258</v>
      </c>
      <c r="M410" s="10" t="s">
        <v>21</v>
      </c>
      <c r="N410" s="10" t="s">
        <v>40520</v>
      </c>
      <c r="O410" s="10" t="s">
        <v>372</v>
      </c>
      <c r="P410" s="1" t="s">
        <v>30089</v>
      </c>
      <c r="Q410" s="64" t="s">
        <v>40521</v>
      </c>
      <c r="R410" s="10" t="s">
        <v>94</v>
      </c>
      <c r="S410" s="63" t="s">
        <v>29</v>
      </c>
      <c r="T410" s="68" t="s">
        <v>26576</v>
      </c>
      <c r="U410" s="68" t="s">
        <v>26575</v>
      </c>
      <c r="V410" s="68" t="s">
        <v>26573</v>
      </c>
      <c r="W410" s="68" t="s">
        <v>94</v>
      </c>
      <c r="X410" s="68">
        <v>4978</v>
      </c>
      <c r="Z410" s="68" t="s">
        <v>42968</v>
      </c>
      <c r="AA410" s="33">
        <v>7260</v>
      </c>
    </row>
    <row r="411" spans="1:27" ht="12" customHeight="1" x14ac:dyDescent="0.15">
      <c r="A411" s="10" t="s">
        <v>37561</v>
      </c>
      <c r="B411" s="99">
        <v>18</v>
      </c>
      <c r="C411" s="10" t="s">
        <v>14</v>
      </c>
      <c r="D411" s="10" t="s">
        <v>79</v>
      </c>
      <c r="E411" s="10"/>
      <c r="F411" s="67">
        <v>43698</v>
      </c>
      <c r="G411" s="10" t="s">
        <v>37562</v>
      </c>
      <c r="H411" s="10" t="s">
        <v>870</v>
      </c>
      <c r="I411" s="10" t="s">
        <v>67</v>
      </c>
      <c r="J411" s="65">
        <v>76112</v>
      </c>
      <c r="K411" s="10" t="s">
        <v>68</v>
      </c>
      <c r="L411" s="10" t="s">
        <v>871</v>
      </c>
      <c r="M411" s="10" t="s">
        <v>21</v>
      </c>
      <c r="N411" s="10" t="s">
        <v>37563</v>
      </c>
      <c r="O411" s="10" t="s">
        <v>372</v>
      </c>
      <c r="P411" s="1" t="s">
        <v>30089</v>
      </c>
      <c r="Q411" s="64" t="s">
        <v>37564</v>
      </c>
      <c r="R411" s="10" t="s">
        <v>94</v>
      </c>
      <c r="S411" s="63" t="s">
        <v>22</v>
      </c>
      <c r="T411" s="68" t="s">
        <v>26781</v>
      </c>
      <c r="U411" s="68" t="s">
        <v>26572</v>
      </c>
      <c r="V411" s="68" t="s">
        <v>26574</v>
      </c>
      <c r="W411" s="68" t="s">
        <v>512</v>
      </c>
      <c r="X411" s="68">
        <v>4976</v>
      </c>
      <c r="Z411" s="68" t="s">
        <v>42968</v>
      </c>
      <c r="AA411" s="33">
        <v>7257</v>
      </c>
    </row>
    <row r="412" spans="1:27" ht="12" customHeight="1" x14ac:dyDescent="0.15">
      <c r="A412" s="10" t="s">
        <v>3002</v>
      </c>
      <c r="B412" s="70"/>
      <c r="C412" s="10" t="s">
        <v>14</v>
      </c>
      <c r="D412" s="10" t="s">
        <v>24</v>
      </c>
      <c r="E412" s="10"/>
      <c r="F412" s="67">
        <v>43696</v>
      </c>
      <c r="G412" s="10" t="s">
        <v>40793</v>
      </c>
      <c r="H412" s="10" t="s">
        <v>14507</v>
      </c>
      <c r="I412" s="10" t="s">
        <v>39</v>
      </c>
      <c r="J412" s="65">
        <v>92833</v>
      </c>
      <c r="K412" s="10" t="s">
        <v>998</v>
      </c>
      <c r="L412" s="10" t="s">
        <v>40794</v>
      </c>
      <c r="M412" s="10" t="s">
        <v>21</v>
      </c>
      <c r="N412" s="10" t="s">
        <v>40795</v>
      </c>
      <c r="O412" s="10" t="s">
        <v>372</v>
      </c>
      <c r="P412" s="1" t="s">
        <v>30089</v>
      </c>
      <c r="Q412" s="64" t="s">
        <v>40796</v>
      </c>
      <c r="R412" s="10" t="s">
        <v>94</v>
      </c>
      <c r="S412" s="63" t="s">
        <v>351</v>
      </c>
      <c r="T412" s="68" t="s">
        <v>26867</v>
      </c>
      <c r="U412" s="68" t="s">
        <v>26572</v>
      </c>
      <c r="V412" s="68" t="s">
        <v>26571</v>
      </c>
      <c r="W412" s="68" t="s">
        <v>512</v>
      </c>
      <c r="X412" s="68">
        <v>4970</v>
      </c>
      <c r="Z412" s="68" t="s">
        <v>42968</v>
      </c>
      <c r="AA412" s="33">
        <v>7256</v>
      </c>
    </row>
    <row r="413" spans="1:27" ht="12" customHeight="1" x14ac:dyDescent="0.15">
      <c r="A413" s="10" t="s">
        <v>38759</v>
      </c>
      <c r="B413" s="100">
        <v>39</v>
      </c>
      <c r="C413" s="10" t="s">
        <v>14</v>
      </c>
      <c r="D413" s="10" t="s">
        <v>42</v>
      </c>
      <c r="E413" s="10"/>
      <c r="F413" s="67">
        <v>43696</v>
      </c>
      <c r="G413" s="10" t="s">
        <v>38760</v>
      </c>
      <c r="H413" s="10" t="s">
        <v>92</v>
      </c>
      <c r="I413" s="10" t="s">
        <v>39</v>
      </c>
      <c r="J413" s="65">
        <v>91331</v>
      </c>
      <c r="K413" s="10" t="s">
        <v>92</v>
      </c>
      <c r="L413" s="10" t="s">
        <v>93</v>
      </c>
      <c r="M413" s="10" t="s">
        <v>21</v>
      </c>
      <c r="N413" s="10" t="s">
        <v>38761</v>
      </c>
      <c r="O413" s="10" t="s">
        <v>372</v>
      </c>
      <c r="P413" s="1" t="s">
        <v>30089</v>
      </c>
      <c r="Q413" s="64" t="s">
        <v>38762</v>
      </c>
      <c r="R413" s="10" t="s">
        <v>94</v>
      </c>
      <c r="S413" s="63" t="s">
        <v>22</v>
      </c>
      <c r="T413" s="68" t="s">
        <v>26781</v>
      </c>
      <c r="U413" s="68" t="s">
        <v>26572</v>
      </c>
      <c r="V413" s="68" t="s">
        <v>26574</v>
      </c>
      <c r="W413" s="68" t="s">
        <v>94</v>
      </c>
      <c r="X413" s="68">
        <v>4968</v>
      </c>
      <c r="Z413" s="68" t="s">
        <v>42966</v>
      </c>
      <c r="AA413" s="33">
        <v>7255</v>
      </c>
    </row>
    <row r="414" spans="1:27" ht="12" customHeight="1" x14ac:dyDescent="0.15">
      <c r="A414" s="10" t="s">
        <v>38515</v>
      </c>
      <c r="B414" s="100">
        <v>69</v>
      </c>
      <c r="C414" s="10" t="s">
        <v>14</v>
      </c>
      <c r="D414" s="10" t="s">
        <v>42</v>
      </c>
      <c r="E414" s="10"/>
      <c r="F414" s="67">
        <v>43696</v>
      </c>
      <c r="G414" s="10" t="s">
        <v>38516</v>
      </c>
      <c r="H414" s="10" t="s">
        <v>10708</v>
      </c>
      <c r="I414" s="10" t="s">
        <v>250</v>
      </c>
      <c r="J414" s="65">
        <v>89029</v>
      </c>
      <c r="K414" s="10" t="s">
        <v>527</v>
      </c>
      <c r="L414" s="10" t="s">
        <v>528</v>
      </c>
      <c r="M414" s="10" t="s">
        <v>21</v>
      </c>
      <c r="N414" s="10" t="s">
        <v>38517</v>
      </c>
      <c r="O414" s="10" t="s">
        <v>372</v>
      </c>
      <c r="P414" s="1" t="s">
        <v>30089</v>
      </c>
      <c r="Q414" s="64" t="s">
        <v>38518</v>
      </c>
      <c r="R414" s="10" t="s">
        <v>94</v>
      </c>
      <c r="S414" s="63" t="s">
        <v>22</v>
      </c>
      <c r="T414" s="68" t="s">
        <v>26781</v>
      </c>
      <c r="U414" s="68" t="s">
        <v>26572</v>
      </c>
      <c r="V414" s="68" t="s">
        <v>26571</v>
      </c>
      <c r="W414" s="68" t="s">
        <v>94</v>
      </c>
      <c r="X414" s="68">
        <v>4957</v>
      </c>
      <c r="Z414" s="68" t="s">
        <v>42967</v>
      </c>
      <c r="AA414" s="33">
        <v>7254</v>
      </c>
    </row>
    <row r="415" spans="1:27" ht="12" customHeight="1" x14ac:dyDescent="0.15">
      <c r="A415" s="10" t="s">
        <v>38755</v>
      </c>
      <c r="B415" s="100">
        <v>33</v>
      </c>
      <c r="C415" s="10" t="s">
        <v>14</v>
      </c>
      <c r="D415" s="10" t="s">
        <v>42</v>
      </c>
      <c r="E415" s="10"/>
      <c r="F415" s="67">
        <v>43695</v>
      </c>
      <c r="G415" s="10" t="s">
        <v>38756</v>
      </c>
      <c r="H415" s="10" t="s">
        <v>92</v>
      </c>
      <c r="I415" s="10" t="s">
        <v>39</v>
      </c>
      <c r="J415" s="65">
        <v>90032</v>
      </c>
      <c r="K415" s="10" t="s">
        <v>92</v>
      </c>
      <c r="L415" s="10" t="s">
        <v>93</v>
      </c>
      <c r="M415" s="10" t="s">
        <v>21</v>
      </c>
      <c r="N415" s="10" t="s">
        <v>38757</v>
      </c>
      <c r="O415" s="10" t="s">
        <v>372</v>
      </c>
      <c r="P415" s="1" t="s">
        <v>30089</v>
      </c>
      <c r="Q415" s="64" t="s">
        <v>38758</v>
      </c>
      <c r="R415" s="10" t="s">
        <v>94</v>
      </c>
      <c r="S415" s="63" t="s">
        <v>22</v>
      </c>
      <c r="T415" s="68" t="s">
        <v>26781</v>
      </c>
      <c r="U415" s="68" t="s">
        <v>26572</v>
      </c>
      <c r="V415" s="68" t="s">
        <v>26574</v>
      </c>
      <c r="W415" s="68" t="s">
        <v>512</v>
      </c>
      <c r="X415" s="68">
        <v>4960</v>
      </c>
      <c r="Z415" s="68" t="s">
        <v>42966</v>
      </c>
      <c r="AA415" s="33">
        <v>7251</v>
      </c>
    </row>
    <row r="416" spans="1:27" ht="12" customHeight="1" x14ac:dyDescent="0.15">
      <c r="A416" s="10" t="s">
        <v>42140</v>
      </c>
      <c r="B416" s="99">
        <v>31</v>
      </c>
      <c r="C416" s="10" t="s">
        <v>14</v>
      </c>
      <c r="D416" s="10" t="s">
        <v>42</v>
      </c>
      <c r="E416" s="63"/>
      <c r="F416" s="67">
        <v>43695</v>
      </c>
      <c r="G416" s="10" t="s">
        <v>42141</v>
      </c>
      <c r="H416" s="10" t="s">
        <v>8929</v>
      </c>
      <c r="I416" s="10" t="s">
        <v>56</v>
      </c>
      <c r="J416" s="65">
        <v>33763</v>
      </c>
      <c r="K416" s="10" t="s">
        <v>2152</v>
      </c>
      <c r="L416" s="10" t="s">
        <v>8931</v>
      </c>
      <c r="M416" s="10" t="s">
        <v>363</v>
      </c>
      <c r="N416" s="10" t="s">
        <v>42142</v>
      </c>
      <c r="O416" s="10" t="s">
        <v>42143</v>
      </c>
      <c r="P416" s="1" t="s">
        <v>30089</v>
      </c>
      <c r="Q416" s="64" t="s">
        <v>42144</v>
      </c>
      <c r="R416" s="10" t="s">
        <v>94</v>
      </c>
      <c r="S416" s="63" t="s">
        <v>12</v>
      </c>
      <c r="T416" s="34" t="s">
        <v>29705</v>
      </c>
      <c r="U416" s="34" t="s">
        <v>26570</v>
      </c>
      <c r="V416" s="68"/>
      <c r="W416" s="68"/>
      <c r="X416" s="68"/>
      <c r="Z416" s="68" t="s">
        <v>42968</v>
      </c>
      <c r="AA416" s="33">
        <v>7253</v>
      </c>
    </row>
    <row r="417" spans="1:27" ht="12" customHeight="1" x14ac:dyDescent="0.15">
      <c r="A417" s="10" t="s">
        <v>39867</v>
      </c>
      <c r="B417" s="99">
        <v>38</v>
      </c>
      <c r="C417" s="10" t="s">
        <v>14</v>
      </c>
      <c r="D417" s="10" t="s">
        <v>24</v>
      </c>
      <c r="E417" s="10"/>
      <c r="F417" s="67">
        <v>43695</v>
      </c>
      <c r="G417" s="10" t="s">
        <v>39868</v>
      </c>
      <c r="H417" s="10" t="s">
        <v>7938</v>
      </c>
      <c r="I417" s="10" t="s">
        <v>409</v>
      </c>
      <c r="J417" s="65">
        <v>53406</v>
      </c>
      <c r="K417" s="10" t="s">
        <v>7938</v>
      </c>
      <c r="L417" s="10" t="s">
        <v>39869</v>
      </c>
      <c r="M417" s="10" t="s">
        <v>21</v>
      </c>
      <c r="N417" s="10" t="s">
        <v>39870</v>
      </c>
      <c r="O417" s="10" t="s">
        <v>372</v>
      </c>
      <c r="P417" s="1" t="s">
        <v>30089</v>
      </c>
      <c r="Q417" s="64" t="s">
        <v>39871</v>
      </c>
      <c r="R417" s="10" t="s">
        <v>94</v>
      </c>
      <c r="S417" s="63" t="s">
        <v>22</v>
      </c>
      <c r="T417" s="68" t="s">
        <v>26578</v>
      </c>
      <c r="U417" s="68" t="s">
        <v>26572</v>
      </c>
      <c r="V417" s="68" t="s">
        <v>26573</v>
      </c>
      <c r="W417" s="68" t="s">
        <v>94</v>
      </c>
      <c r="X417" s="68">
        <v>4971</v>
      </c>
      <c r="Z417" s="68" t="s">
        <v>42968</v>
      </c>
      <c r="AA417" s="33">
        <v>7252</v>
      </c>
    </row>
    <row r="418" spans="1:27" ht="12" customHeight="1" x14ac:dyDescent="0.15">
      <c r="A418" s="10" t="s">
        <v>37556</v>
      </c>
      <c r="B418" s="99">
        <v>27</v>
      </c>
      <c r="C418" s="10" t="s">
        <v>14</v>
      </c>
      <c r="D418" s="10" t="s">
        <v>79</v>
      </c>
      <c r="E418" s="64" t="s">
        <v>37557</v>
      </c>
      <c r="F418" s="67">
        <v>43694</v>
      </c>
      <c r="G418" s="10" t="s">
        <v>37558</v>
      </c>
      <c r="H418" s="10" t="s">
        <v>266</v>
      </c>
      <c r="I418" s="10" t="s">
        <v>67</v>
      </c>
      <c r="J418" s="65">
        <v>75210</v>
      </c>
      <c r="K418" s="10" t="s">
        <v>266</v>
      </c>
      <c r="L418" s="10" t="s">
        <v>262</v>
      </c>
      <c r="M418" s="10" t="s">
        <v>21</v>
      </c>
      <c r="N418" s="10" t="s">
        <v>37559</v>
      </c>
      <c r="O418" s="10" t="s">
        <v>372</v>
      </c>
      <c r="P418" s="1" t="s">
        <v>30089</v>
      </c>
      <c r="Q418" s="64" t="s">
        <v>37560</v>
      </c>
      <c r="R418" s="10" t="s">
        <v>94</v>
      </c>
      <c r="S418" s="63" t="s">
        <v>22</v>
      </c>
      <c r="T418" s="68" t="s">
        <v>26781</v>
      </c>
      <c r="U418" s="68" t="s">
        <v>26572</v>
      </c>
      <c r="V418" s="68" t="s">
        <v>26571</v>
      </c>
      <c r="W418" s="68" t="s">
        <v>512</v>
      </c>
      <c r="X418" s="68">
        <v>4963</v>
      </c>
      <c r="Z418" s="68" t="s">
        <v>42966</v>
      </c>
      <c r="AA418" s="33">
        <v>7248</v>
      </c>
    </row>
    <row r="419" spans="1:27" ht="12" customHeight="1" x14ac:dyDescent="0.15">
      <c r="A419" s="10" t="s">
        <v>38262</v>
      </c>
      <c r="B419" s="99">
        <v>62</v>
      </c>
      <c r="C419" s="10" t="s">
        <v>14</v>
      </c>
      <c r="D419" s="10" t="s">
        <v>31</v>
      </c>
      <c r="E419" s="64" t="s">
        <v>38263</v>
      </c>
      <c r="F419" s="67">
        <v>43694</v>
      </c>
      <c r="G419" s="10" t="s">
        <v>38264</v>
      </c>
      <c r="H419" s="10" t="s">
        <v>38265</v>
      </c>
      <c r="I419" s="10" t="s">
        <v>198</v>
      </c>
      <c r="J419" s="65">
        <v>47462</v>
      </c>
      <c r="K419" s="10" t="s">
        <v>1924</v>
      </c>
      <c r="L419" s="10" t="s">
        <v>320</v>
      </c>
      <c r="M419" s="10" t="s">
        <v>21</v>
      </c>
      <c r="N419" s="10" t="s">
        <v>38266</v>
      </c>
      <c r="O419" s="10" t="s">
        <v>372</v>
      </c>
      <c r="P419" s="1" t="s">
        <v>30089</v>
      </c>
      <c r="Q419" s="64" t="s">
        <v>38267</v>
      </c>
      <c r="R419" s="10" t="s">
        <v>94</v>
      </c>
      <c r="S419" s="63" t="s">
        <v>22</v>
      </c>
      <c r="T419" s="68" t="s">
        <v>26781</v>
      </c>
      <c r="U419" s="68" t="s">
        <v>26572</v>
      </c>
      <c r="V419" s="68" t="s">
        <v>26573</v>
      </c>
      <c r="W419" s="68" t="s">
        <v>94</v>
      </c>
      <c r="X419" s="68">
        <v>4962</v>
      </c>
      <c r="Z419" s="68" t="s">
        <v>42967</v>
      </c>
      <c r="AA419" s="33">
        <v>7249</v>
      </c>
    </row>
    <row r="420" spans="1:27" ht="12" customHeight="1" x14ac:dyDescent="0.15">
      <c r="A420" s="10" t="s">
        <v>38984</v>
      </c>
      <c r="B420" s="99">
        <v>34</v>
      </c>
      <c r="C420" s="10" t="s">
        <v>14</v>
      </c>
      <c r="D420" s="10" t="s">
        <v>24</v>
      </c>
      <c r="E420" s="10"/>
      <c r="F420" s="67">
        <v>43694</v>
      </c>
      <c r="G420" s="10" t="s">
        <v>38985</v>
      </c>
      <c r="H420" s="10" t="s">
        <v>1497</v>
      </c>
      <c r="I420" s="10" t="s">
        <v>225</v>
      </c>
      <c r="J420" s="65">
        <v>23693</v>
      </c>
      <c r="K420" s="10" t="s">
        <v>1499</v>
      </c>
      <c r="L420" s="10" t="s">
        <v>1384</v>
      </c>
      <c r="M420" s="10" t="s">
        <v>21</v>
      </c>
      <c r="N420" s="10" t="s">
        <v>38986</v>
      </c>
      <c r="O420" s="10" t="s">
        <v>372</v>
      </c>
      <c r="P420" s="1" t="s">
        <v>30089</v>
      </c>
      <c r="Q420" s="64" t="s">
        <v>38987</v>
      </c>
      <c r="R420" s="10" t="s">
        <v>94</v>
      </c>
      <c r="S420" s="63" t="s">
        <v>22</v>
      </c>
      <c r="T420" s="68" t="s">
        <v>26781</v>
      </c>
      <c r="U420" s="68" t="s">
        <v>26572</v>
      </c>
      <c r="V420" s="68" t="s">
        <v>26571</v>
      </c>
      <c r="W420" s="68" t="s">
        <v>94</v>
      </c>
      <c r="X420" s="68">
        <v>4959</v>
      </c>
      <c r="Z420" s="68" t="s">
        <v>42968</v>
      </c>
      <c r="AA420" s="33">
        <v>7250</v>
      </c>
    </row>
    <row r="421" spans="1:27" ht="12" customHeight="1" x14ac:dyDescent="0.15">
      <c r="A421" s="10" t="s">
        <v>37552</v>
      </c>
      <c r="B421" s="99">
        <v>25</v>
      </c>
      <c r="C421" s="10" t="s">
        <v>14</v>
      </c>
      <c r="D421" s="10" t="s">
        <v>79</v>
      </c>
      <c r="E421" s="10"/>
      <c r="F421" s="67">
        <v>43694</v>
      </c>
      <c r="G421" s="10" t="s">
        <v>37553</v>
      </c>
      <c r="H421" s="10" t="s">
        <v>25537</v>
      </c>
      <c r="I421" s="10" t="s">
        <v>198</v>
      </c>
      <c r="J421" s="65">
        <v>46407</v>
      </c>
      <c r="K421" s="10" t="s">
        <v>1179</v>
      </c>
      <c r="L421" s="10" t="s">
        <v>25913</v>
      </c>
      <c r="M421" s="10" t="s">
        <v>21</v>
      </c>
      <c r="N421" s="10" t="s">
        <v>37554</v>
      </c>
      <c r="O421" s="10" t="s">
        <v>372</v>
      </c>
      <c r="P421" s="1" t="s">
        <v>30089</v>
      </c>
      <c r="Q421" s="64" t="s">
        <v>37555</v>
      </c>
      <c r="R421" s="10" t="s">
        <v>94</v>
      </c>
      <c r="S421" s="63" t="s">
        <v>22</v>
      </c>
      <c r="T421" s="68" t="s">
        <v>26781</v>
      </c>
      <c r="U421" s="68" t="s">
        <v>26575</v>
      </c>
      <c r="V421" s="68" t="s">
        <v>26573</v>
      </c>
      <c r="W421" s="68" t="s">
        <v>94</v>
      </c>
      <c r="X421" s="68">
        <v>4956</v>
      </c>
      <c r="Z421" s="68" t="s">
        <v>42966</v>
      </c>
      <c r="AA421" s="33">
        <v>7247</v>
      </c>
    </row>
    <row r="422" spans="1:27" ht="12" customHeight="1" x14ac:dyDescent="0.15">
      <c r="A422" s="10" t="s">
        <v>39675</v>
      </c>
      <c r="B422" s="99">
        <v>26</v>
      </c>
      <c r="C422" s="10" t="s">
        <v>14</v>
      </c>
      <c r="D422" s="10" t="s">
        <v>42</v>
      </c>
      <c r="E422" s="64" t="s">
        <v>39676</v>
      </c>
      <c r="F422" s="67">
        <v>43693</v>
      </c>
      <c r="G422" s="10" t="s">
        <v>39677</v>
      </c>
      <c r="H422" s="10" t="s">
        <v>1355</v>
      </c>
      <c r="I422" s="10" t="s">
        <v>221</v>
      </c>
      <c r="J422" s="65">
        <v>84403</v>
      </c>
      <c r="K422" s="10" t="s">
        <v>1356</v>
      </c>
      <c r="L422" s="10" t="s">
        <v>6688</v>
      </c>
      <c r="M422" s="10" t="s">
        <v>21</v>
      </c>
      <c r="N422" s="10" t="s">
        <v>39678</v>
      </c>
      <c r="O422" s="10" t="s">
        <v>372</v>
      </c>
      <c r="P422" s="1" t="s">
        <v>30089</v>
      </c>
      <c r="Q422" s="64" t="s">
        <v>39679</v>
      </c>
      <c r="R422" s="10" t="s">
        <v>94</v>
      </c>
      <c r="S422" s="63" t="s">
        <v>22</v>
      </c>
      <c r="T422" s="68" t="s">
        <v>26774</v>
      </c>
      <c r="U422" s="68" t="s">
        <v>26572</v>
      </c>
      <c r="V422" s="68" t="s">
        <v>26573</v>
      </c>
      <c r="W422" s="68" t="s">
        <v>512</v>
      </c>
      <c r="X422" s="68">
        <v>4964</v>
      </c>
      <c r="Z422" s="68" t="s">
        <v>42968</v>
      </c>
      <c r="AA422" s="33">
        <v>7246</v>
      </c>
    </row>
    <row r="423" spans="1:27" ht="12" customHeight="1" x14ac:dyDescent="0.15">
      <c r="A423" s="10" t="s">
        <v>38991</v>
      </c>
      <c r="B423" s="99">
        <v>38</v>
      </c>
      <c r="C423" s="10" t="s">
        <v>14</v>
      </c>
      <c r="D423" s="10" t="s">
        <v>24</v>
      </c>
      <c r="E423" s="10"/>
      <c r="F423" s="67">
        <v>43693</v>
      </c>
      <c r="G423" s="10" t="s">
        <v>38992</v>
      </c>
      <c r="H423" s="10" t="s">
        <v>10574</v>
      </c>
      <c r="I423" s="10" t="s">
        <v>282</v>
      </c>
      <c r="J423" s="65">
        <v>99206</v>
      </c>
      <c r="K423" s="10" t="s">
        <v>782</v>
      </c>
      <c r="L423" s="10" t="s">
        <v>34360</v>
      </c>
      <c r="M423" s="10" t="s">
        <v>21</v>
      </c>
      <c r="N423" s="10" t="s">
        <v>38993</v>
      </c>
      <c r="O423" s="10" t="s">
        <v>372</v>
      </c>
      <c r="P423" s="1" t="s">
        <v>30089</v>
      </c>
      <c r="Q423" s="64" t="s">
        <v>38994</v>
      </c>
      <c r="R423" s="10" t="s">
        <v>904</v>
      </c>
      <c r="S423" s="63" t="s">
        <v>22</v>
      </c>
      <c r="T423" s="68" t="s">
        <v>26781</v>
      </c>
      <c r="U423" s="68" t="s">
        <v>26572</v>
      </c>
      <c r="V423" s="68" t="s">
        <v>26571</v>
      </c>
      <c r="W423" s="68" t="s">
        <v>94</v>
      </c>
      <c r="X423" s="68">
        <v>4967</v>
      </c>
      <c r="Z423" s="68" t="s">
        <v>42968</v>
      </c>
      <c r="AA423" s="33">
        <v>7245</v>
      </c>
    </row>
    <row r="424" spans="1:27" ht="12" customHeight="1" x14ac:dyDescent="0.15">
      <c r="A424" s="10" t="s">
        <v>42264</v>
      </c>
      <c r="B424" s="99">
        <v>41</v>
      </c>
      <c r="C424" s="10" t="s">
        <v>14</v>
      </c>
      <c r="D424" s="10" t="s">
        <v>24</v>
      </c>
      <c r="E424" s="10"/>
      <c r="F424" s="67">
        <v>43692</v>
      </c>
      <c r="G424" s="10" t="s">
        <v>42265</v>
      </c>
      <c r="H424" s="10" t="s">
        <v>674</v>
      </c>
      <c r="I424" s="10" t="s">
        <v>67</v>
      </c>
      <c r="J424" s="65">
        <v>77093</v>
      </c>
      <c r="K424" s="10" t="s">
        <v>515</v>
      </c>
      <c r="L424" s="10" t="s">
        <v>675</v>
      </c>
      <c r="M424" s="10" t="s">
        <v>21</v>
      </c>
      <c r="N424" s="10" t="s">
        <v>42266</v>
      </c>
      <c r="O424" s="10" t="s">
        <v>372</v>
      </c>
      <c r="P424" s="1" t="s">
        <v>30089</v>
      </c>
      <c r="Q424" s="64" t="s">
        <v>42267</v>
      </c>
      <c r="R424" s="10" t="s">
        <v>94</v>
      </c>
      <c r="S424" s="63" t="s">
        <v>22</v>
      </c>
      <c r="T424" s="34" t="s">
        <v>26781</v>
      </c>
      <c r="U424" s="34" t="s">
        <v>26572</v>
      </c>
      <c r="V424" s="68"/>
      <c r="W424" s="68"/>
      <c r="X424" s="68"/>
      <c r="Z424" s="68" t="s">
        <v>42966</v>
      </c>
      <c r="AA424" s="33">
        <v>7244</v>
      </c>
    </row>
    <row r="425" spans="1:27" ht="12" customHeight="1" x14ac:dyDescent="0.15">
      <c r="A425" s="10" t="s">
        <v>38988</v>
      </c>
      <c r="B425" s="99">
        <v>31</v>
      </c>
      <c r="C425" s="10" t="s">
        <v>103</v>
      </c>
      <c r="D425" s="10" t="s">
        <v>24</v>
      </c>
      <c r="E425" s="10"/>
      <c r="F425" s="67">
        <v>43692</v>
      </c>
      <c r="G425" s="10" t="s">
        <v>11001</v>
      </c>
      <c r="H425" s="10" t="s">
        <v>1212</v>
      </c>
      <c r="I425" s="10" t="s">
        <v>192</v>
      </c>
      <c r="J425" s="65">
        <v>80204</v>
      </c>
      <c r="K425" s="10" t="s">
        <v>1212</v>
      </c>
      <c r="L425" s="10" t="s">
        <v>1213</v>
      </c>
      <c r="M425" s="10" t="s">
        <v>21</v>
      </c>
      <c r="N425" s="10" t="s">
        <v>38989</v>
      </c>
      <c r="O425" s="10" t="s">
        <v>372</v>
      </c>
      <c r="P425" s="1" t="s">
        <v>30089</v>
      </c>
      <c r="Q425" s="64" t="s">
        <v>38990</v>
      </c>
      <c r="R425" s="10" t="s">
        <v>94</v>
      </c>
      <c r="S425" s="63" t="s">
        <v>22</v>
      </c>
      <c r="T425" s="68" t="s">
        <v>26781</v>
      </c>
      <c r="U425" s="68" t="s">
        <v>26572</v>
      </c>
      <c r="V425" s="68" t="s">
        <v>26574</v>
      </c>
      <c r="W425" s="68" t="s">
        <v>94</v>
      </c>
      <c r="X425" s="68">
        <v>4966</v>
      </c>
      <c r="Z425" s="68" t="s">
        <v>42966</v>
      </c>
      <c r="AA425" s="33">
        <v>7243</v>
      </c>
    </row>
    <row r="426" spans="1:27" ht="12" customHeight="1" x14ac:dyDescent="0.15">
      <c r="A426" s="10" t="s">
        <v>42268</v>
      </c>
      <c r="B426" s="99">
        <v>33</v>
      </c>
      <c r="C426" s="10" t="s">
        <v>14</v>
      </c>
      <c r="D426" s="10" t="s">
        <v>24</v>
      </c>
      <c r="E426" s="10"/>
      <c r="F426" s="67">
        <v>43691</v>
      </c>
      <c r="G426" s="10" t="s">
        <v>42269</v>
      </c>
      <c r="H426" s="10" t="s">
        <v>29294</v>
      </c>
      <c r="I426" s="10" t="s">
        <v>160</v>
      </c>
      <c r="J426" s="65">
        <v>30223</v>
      </c>
      <c r="K426" s="10" t="s">
        <v>29295</v>
      </c>
      <c r="L426" s="10" t="s">
        <v>33298</v>
      </c>
      <c r="M426" s="10" t="s">
        <v>21</v>
      </c>
      <c r="N426" s="10" t="s">
        <v>42270</v>
      </c>
      <c r="O426" s="10" t="s">
        <v>372</v>
      </c>
      <c r="P426" s="1" t="s">
        <v>30089</v>
      </c>
      <c r="Q426" s="64" t="s">
        <v>42271</v>
      </c>
      <c r="R426" s="10" t="s">
        <v>512</v>
      </c>
      <c r="S426" s="63" t="s">
        <v>22</v>
      </c>
      <c r="T426" s="34" t="s">
        <v>26781</v>
      </c>
      <c r="U426" s="34" t="s">
        <v>26572</v>
      </c>
      <c r="V426" s="68"/>
      <c r="W426" s="68"/>
      <c r="X426" s="68"/>
      <c r="Z426" s="68" t="s">
        <v>42968</v>
      </c>
      <c r="AA426" s="33">
        <v>7242</v>
      </c>
    </row>
    <row r="427" spans="1:27" ht="12" customHeight="1" x14ac:dyDescent="0.15">
      <c r="A427" s="10" t="s">
        <v>38972</v>
      </c>
      <c r="B427" s="99">
        <v>37</v>
      </c>
      <c r="C427" s="10" t="s">
        <v>14</v>
      </c>
      <c r="D427" s="10" t="s">
        <v>24</v>
      </c>
      <c r="E427" s="10"/>
      <c r="F427" s="67">
        <v>43691</v>
      </c>
      <c r="G427" s="10" t="s">
        <v>38973</v>
      </c>
      <c r="H427" s="10" t="s">
        <v>38974</v>
      </c>
      <c r="I427" s="10" t="s">
        <v>26</v>
      </c>
      <c r="J427" s="65">
        <v>29654</v>
      </c>
      <c r="K427" s="10" t="s">
        <v>233</v>
      </c>
      <c r="L427" s="10" t="s">
        <v>5227</v>
      </c>
      <c r="M427" s="10" t="s">
        <v>21</v>
      </c>
      <c r="N427" s="10" t="s">
        <v>38975</v>
      </c>
      <c r="O427" s="10" t="s">
        <v>372</v>
      </c>
      <c r="P427" s="1" t="s">
        <v>30089</v>
      </c>
      <c r="Q427" s="64" t="s">
        <v>38976</v>
      </c>
      <c r="R427" s="10" t="s">
        <v>94</v>
      </c>
      <c r="S427" s="63" t="s">
        <v>22</v>
      </c>
      <c r="T427" s="68" t="s">
        <v>26781</v>
      </c>
      <c r="U427" s="68" t="s">
        <v>26570</v>
      </c>
      <c r="V427" s="68" t="s">
        <v>26573</v>
      </c>
      <c r="W427" s="68" t="s">
        <v>94</v>
      </c>
      <c r="X427" s="68">
        <v>4946</v>
      </c>
      <c r="Z427" s="68" t="s">
        <v>42967</v>
      </c>
      <c r="AA427" s="33">
        <v>7241</v>
      </c>
    </row>
    <row r="428" spans="1:27" ht="12" customHeight="1" x14ac:dyDescent="0.15">
      <c r="A428" s="10" t="s">
        <v>37897</v>
      </c>
      <c r="B428" s="99">
        <v>51</v>
      </c>
      <c r="C428" s="10" t="s">
        <v>14</v>
      </c>
      <c r="D428" s="10" t="s">
        <v>31</v>
      </c>
      <c r="E428" s="64" t="s">
        <v>37898</v>
      </c>
      <c r="F428" s="67">
        <v>43690</v>
      </c>
      <c r="G428" s="10" t="s">
        <v>37899</v>
      </c>
      <c r="H428" s="10" t="s">
        <v>401</v>
      </c>
      <c r="I428" s="10" t="s">
        <v>337</v>
      </c>
      <c r="J428" s="65">
        <v>66111</v>
      </c>
      <c r="K428" s="10" t="s">
        <v>554</v>
      </c>
      <c r="L428" s="10" t="s">
        <v>42466</v>
      </c>
      <c r="M428" s="10" t="s">
        <v>21</v>
      </c>
      <c r="N428" s="10" t="s">
        <v>37900</v>
      </c>
      <c r="O428" s="10" t="s">
        <v>372</v>
      </c>
      <c r="P428" s="1" t="s">
        <v>30089</v>
      </c>
      <c r="Q428" s="64" t="s">
        <v>37901</v>
      </c>
      <c r="R428" s="10" t="s">
        <v>94</v>
      </c>
      <c r="S428" s="63" t="s">
        <v>22</v>
      </c>
      <c r="T428" s="68" t="s">
        <v>26781</v>
      </c>
      <c r="U428" s="68" t="s">
        <v>26572</v>
      </c>
      <c r="V428" s="68" t="s">
        <v>26573</v>
      </c>
      <c r="W428" s="68" t="s">
        <v>94</v>
      </c>
      <c r="X428" s="68">
        <v>4943</v>
      </c>
      <c r="Z428" s="68" t="s">
        <v>42968</v>
      </c>
      <c r="AA428" s="33">
        <v>7235</v>
      </c>
    </row>
    <row r="429" spans="1:27" ht="12" customHeight="1" x14ac:dyDescent="0.15">
      <c r="A429" s="10" t="s">
        <v>40691</v>
      </c>
      <c r="B429" s="99">
        <v>20</v>
      </c>
      <c r="C429" s="10" t="s">
        <v>14</v>
      </c>
      <c r="D429" s="10" t="s">
        <v>31</v>
      </c>
      <c r="E429" s="64" t="s">
        <v>40692</v>
      </c>
      <c r="F429" s="67">
        <v>43690</v>
      </c>
      <c r="G429" s="10" t="s">
        <v>40693</v>
      </c>
      <c r="H429" s="10" t="s">
        <v>40694</v>
      </c>
      <c r="I429" s="10" t="s">
        <v>338</v>
      </c>
      <c r="J429" s="65">
        <v>27316</v>
      </c>
      <c r="K429" s="10" t="s">
        <v>14479</v>
      </c>
      <c r="L429" s="10" t="s">
        <v>39791</v>
      </c>
      <c r="M429" s="10" t="s">
        <v>21</v>
      </c>
      <c r="N429" s="10" t="s">
        <v>40695</v>
      </c>
      <c r="O429" s="10" t="s">
        <v>372</v>
      </c>
      <c r="P429" s="1" t="s">
        <v>30089</v>
      </c>
      <c r="Q429" s="64" t="s">
        <v>40696</v>
      </c>
      <c r="R429" s="10" t="s">
        <v>94</v>
      </c>
      <c r="S429" s="63" t="s">
        <v>351</v>
      </c>
      <c r="T429" s="68" t="s">
        <v>26867</v>
      </c>
      <c r="U429" s="68" t="s">
        <v>26572</v>
      </c>
      <c r="V429" s="68" t="s">
        <v>19228</v>
      </c>
      <c r="W429" s="68" t="s">
        <v>94</v>
      </c>
      <c r="X429" s="68">
        <v>4983</v>
      </c>
      <c r="Z429" s="68" t="s">
        <v>42967</v>
      </c>
      <c r="AA429" s="33">
        <v>7240</v>
      </c>
    </row>
    <row r="430" spans="1:27" ht="12" customHeight="1" x14ac:dyDescent="0.15">
      <c r="A430" s="10" t="s">
        <v>40087</v>
      </c>
      <c r="B430" s="99">
        <v>31</v>
      </c>
      <c r="C430" s="10" t="s">
        <v>14</v>
      </c>
      <c r="D430" s="10" t="s">
        <v>31</v>
      </c>
      <c r="E430" s="64" t="s">
        <v>40088</v>
      </c>
      <c r="F430" s="67">
        <v>43690</v>
      </c>
      <c r="G430" s="10" t="s">
        <v>40089</v>
      </c>
      <c r="H430" s="10" t="s">
        <v>15625</v>
      </c>
      <c r="I430" s="10" t="s">
        <v>402</v>
      </c>
      <c r="J430" s="65">
        <v>64801</v>
      </c>
      <c r="K430" s="10" t="s">
        <v>4697</v>
      </c>
      <c r="L430" s="10" t="s">
        <v>40090</v>
      </c>
      <c r="M430" s="10" t="s">
        <v>21</v>
      </c>
      <c r="N430" s="10" t="s">
        <v>40091</v>
      </c>
      <c r="O430" s="10" t="s">
        <v>372</v>
      </c>
      <c r="P430" s="1" t="s">
        <v>30089</v>
      </c>
      <c r="Q430" s="64" t="s">
        <v>40092</v>
      </c>
      <c r="R430" s="10" t="s">
        <v>512</v>
      </c>
      <c r="S430" s="63" t="s">
        <v>12</v>
      </c>
      <c r="T430" s="68" t="s">
        <v>29705</v>
      </c>
      <c r="U430" s="68" t="s">
        <v>26572</v>
      </c>
      <c r="V430" s="68" t="s">
        <v>26573</v>
      </c>
      <c r="W430" s="68" t="s">
        <v>94</v>
      </c>
      <c r="X430" s="68">
        <v>4939</v>
      </c>
      <c r="Z430" s="68" t="s">
        <v>42968</v>
      </c>
      <c r="AA430" s="33">
        <v>7238</v>
      </c>
    </row>
    <row r="431" spans="1:27" ht="12" customHeight="1" x14ac:dyDescent="0.15">
      <c r="A431" s="10" t="s">
        <v>42441</v>
      </c>
      <c r="B431" s="99">
        <v>19</v>
      </c>
      <c r="C431" s="10" t="s">
        <v>14</v>
      </c>
      <c r="D431" s="10" t="s">
        <v>79</v>
      </c>
      <c r="E431" s="64" t="s">
        <v>42442</v>
      </c>
      <c r="F431" s="67">
        <v>43690</v>
      </c>
      <c r="G431" s="10" t="s">
        <v>42443</v>
      </c>
      <c r="H431" s="10" t="s">
        <v>18106</v>
      </c>
      <c r="I431" s="10" t="s">
        <v>88</v>
      </c>
      <c r="J431" s="65">
        <v>35160</v>
      </c>
      <c r="K431" s="10" t="s">
        <v>18106</v>
      </c>
      <c r="L431" s="10" t="s">
        <v>9343</v>
      </c>
      <c r="M431" s="10" t="s">
        <v>21</v>
      </c>
      <c r="N431" s="10" t="s">
        <v>42444</v>
      </c>
      <c r="O431" s="10" t="s">
        <v>372</v>
      </c>
      <c r="P431" s="1" t="s">
        <v>30089</v>
      </c>
      <c r="Q431" s="64" t="s">
        <v>42445</v>
      </c>
      <c r="R431" s="10" t="s">
        <v>94</v>
      </c>
      <c r="S431" s="63" t="s">
        <v>29</v>
      </c>
      <c r="T431" s="54" t="s">
        <v>41840</v>
      </c>
      <c r="U431" s="68"/>
      <c r="V431" s="68"/>
      <c r="W431" s="68"/>
      <c r="X431" s="68"/>
      <c r="Y431" s="33" t="s">
        <v>42476</v>
      </c>
      <c r="Z431" s="1" t="s">
        <v>42967</v>
      </c>
      <c r="AA431" s="33">
        <v>7239</v>
      </c>
    </row>
    <row r="432" spans="1:27" ht="12" customHeight="1" x14ac:dyDescent="0.15">
      <c r="A432" s="10" t="s">
        <v>38240</v>
      </c>
      <c r="B432" s="99">
        <v>49</v>
      </c>
      <c r="C432" s="10" t="s">
        <v>14</v>
      </c>
      <c r="D432" s="10" t="s">
        <v>31</v>
      </c>
      <c r="E432" s="64" t="s">
        <v>38241</v>
      </c>
      <c r="F432" s="67">
        <v>43690</v>
      </c>
      <c r="G432" s="10" t="s">
        <v>38242</v>
      </c>
      <c r="H432" s="10" t="s">
        <v>834</v>
      </c>
      <c r="I432" s="10" t="s">
        <v>294</v>
      </c>
      <c r="J432" s="65">
        <v>40211</v>
      </c>
      <c r="K432" s="10" t="s">
        <v>1659</v>
      </c>
      <c r="L432" s="10" t="s">
        <v>835</v>
      </c>
      <c r="M432" s="10" t="s">
        <v>21</v>
      </c>
      <c r="N432" s="10" t="s">
        <v>38243</v>
      </c>
      <c r="O432" s="10" t="s">
        <v>372</v>
      </c>
      <c r="P432" s="1" t="s">
        <v>30089</v>
      </c>
      <c r="Q432" s="64" t="s">
        <v>38244</v>
      </c>
      <c r="R432" s="10" t="s">
        <v>94</v>
      </c>
      <c r="S432" s="63" t="s">
        <v>22</v>
      </c>
      <c r="T432" s="68" t="s">
        <v>26781</v>
      </c>
      <c r="U432" s="68" t="s">
        <v>26572</v>
      </c>
      <c r="V432" s="68" t="s">
        <v>26573</v>
      </c>
      <c r="W432" s="68" t="s">
        <v>94</v>
      </c>
      <c r="X432" s="68">
        <v>4941</v>
      </c>
      <c r="Z432" s="68" t="s">
        <v>42966</v>
      </c>
      <c r="AA432" s="33">
        <v>7236</v>
      </c>
    </row>
    <row r="433" spans="1:27" ht="12" customHeight="1" x14ac:dyDescent="0.15">
      <c r="A433" s="10" t="s">
        <v>40859</v>
      </c>
      <c r="B433" s="99">
        <v>51</v>
      </c>
      <c r="C433" s="10" t="s">
        <v>14</v>
      </c>
      <c r="D433" s="10" t="s">
        <v>79</v>
      </c>
      <c r="E433" s="64" t="s">
        <v>40860</v>
      </c>
      <c r="F433" s="67">
        <v>43690</v>
      </c>
      <c r="G433" s="10" t="s">
        <v>40861</v>
      </c>
      <c r="H433" s="10" t="s">
        <v>5836</v>
      </c>
      <c r="I433" s="10" t="s">
        <v>298</v>
      </c>
      <c r="J433" s="65">
        <v>37716</v>
      </c>
      <c r="K433" s="10" t="s">
        <v>233</v>
      </c>
      <c r="L433" s="10" t="s">
        <v>40862</v>
      </c>
      <c r="M433" s="10" t="s">
        <v>21</v>
      </c>
      <c r="N433" s="10" t="s">
        <v>40863</v>
      </c>
      <c r="O433" s="10" t="s">
        <v>372</v>
      </c>
      <c r="P433" s="1" t="s">
        <v>30089</v>
      </c>
      <c r="Q433" s="64" t="s">
        <v>40864</v>
      </c>
      <c r="R433" s="10" t="s">
        <v>512</v>
      </c>
      <c r="S433" s="63" t="s">
        <v>22</v>
      </c>
      <c r="T433" s="68" t="s">
        <v>26781</v>
      </c>
      <c r="U433" s="68" t="s">
        <v>26572</v>
      </c>
      <c r="V433" s="68" t="s">
        <v>26573</v>
      </c>
      <c r="W433" s="68" t="s">
        <v>94</v>
      </c>
      <c r="X433" s="68">
        <v>4940</v>
      </c>
      <c r="Z433" s="68" t="s">
        <v>42968</v>
      </c>
      <c r="AA433" s="33">
        <v>7237</v>
      </c>
    </row>
    <row r="434" spans="1:27" ht="12" customHeight="1" x14ac:dyDescent="0.15">
      <c r="A434" s="10" t="s">
        <v>38977</v>
      </c>
      <c r="B434" s="99">
        <v>38</v>
      </c>
      <c r="C434" s="10" t="s">
        <v>14</v>
      </c>
      <c r="D434" s="10" t="s">
        <v>24</v>
      </c>
      <c r="E434" s="10"/>
      <c r="F434" s="67">
        <v>43689</v>
      </c>
      <c r="G434" s="10" t="s">
        <v>38978</v>
      </c>
      <c r="H434" s="10" t="s">
        <v>38979</v>
      </c>
      <c r="I434" s="10" t="s">
        <v>337</v>
      </c>
      <c r="J434" s="65">
        <v>67336</v>
      </c>
      <c r="K434" s="10" t="s">
        <v>38980</v>
      </c>
      <c r="L434" s="10" t="s">
        <v>38981</v>
      </c>
      <c r="M434" s="10" t="s">
        <v>21</v>
      </c>
      <c r="N434" s="10" t="s">
        <v>38982</v>
      </c>
      <c r="O434" s="10" t="s">
        <v>372</v>
      </c>
      <c r="P434" s="1" t="s">
        <v>30089</v>
      </c>
      <c r="Q434" s="64" t="s">
        <v>38983</v>
      </c>
      <c r="R434" s="10" t="s">
        <v>94</v>
      </c>
      <c r="S434" s="63" t="s">
        <v>22</v>
      </c>
      <c r="T434" s="68" t="s">
        <v>26781</v>
      </c>
      <c r="U434" s="68" t="s">
        <v>26572</v>
      </c>
      <c r="V434" s="68" t="s">
        <v>26573</v>
      </c>
      <c r="W434" s="68" t="s">
        <v>94</v>
      </c>
      <c r="X434" s="68">
        <v>4949</v>
      </c>
      <c r="Z434" s="68" t="s">
        <v>42967</v>
      </c>
      <c r="AA434" s="33">
        <v>7234</v>
      </c>
    </row>
    <row r="435" spans="1:27" ht="12" customHeight="1" x14ac:dyDescent="0.15">
      <c r="A435" s="10" t="s">
        <v>38245</v>
      </c>
      <c r="B435" s="99">
        <v>49</v>
      </c>
      <c r="C435" s="10" t="s">
        <v>14</v>
      </c>
      <c r="D435" s="10" t="s">
        <v>31</v>
      </c>
      <c r="E435" s="64" t="s">
        <v>38246</v>
      </c>
      <c r="F435" s="67">
        <v>43689</v>
      </c>
      <c r="G435" s="10" t="s">
        <v>38247</v>
      </c>
      <c r="H435" s="10" t="s">
        <v>728</v>
      </c>
      <c r="I435" s="10" t="s">
        <v>39</v>
      </c>
      <c r="J435" s="65">
        <v>92507</v>
      </c>
      <c r="K435" s="10" t="s">
        <v>728</v>
      </c>
      <c r="L435" s="10" t="s">
        <v>897</v>
      </c>
      <c r="M435" s="10" t="s">
        <v>21</v>
      </c>
      <c r="N435" s="10" t="s">
        <v>38248</v>
      </c>
      <c r="O435" s="10" t="s">
        <v>372</v>
      </c>
      <c r="P435" s="1" t="s">
        <v>30089</v>
      </c>
      <c r="Q435" s="64" t="s">
        <v>38249</v>
      </c>
      <c r="R435" s="10" t="s">
        <v>94</v>
      </c>
      <c r="S435" s="63" t="s">
        <v>22</v>
      </c>
      <c r="T435" s="68" t="s">
        <v>26781</v>
      </c>
      <c r="U435" s="68" t="s">
        <v>26572</v>
      </c>
      <c r="V435" s="68" t="s">
        <v>26573</v>
      </c>
      <c r="W435" s="68" t="s">
        <v>94</v>
      </c>
      <c r="X435" s="68">
        <v>4945</v>
      </c>
      <c r="Z435" s="68" t="s">
        <v>42968</v>
      </c>
      <c r="AA435" s="33">
        <v>7233</v>
      </c>
    </row>
    <row r="436" spans="1:27" ht="12" customHeight="1" x14ac:dyDescent="0.15">
      <c r="A436" s="10" t="s">
        <v>38968</v>
      </c>
      <c r="B436" s="99">
        <v>46</v>
      </c>
      <c r="C436" s="10" t="s">
        <v>14</v>
      </c>
      <c r="D436" s="10" t="s">
        <v>24</v>
      </c>
      <c r="E436" s="10"/>
      <c r="F436" s="67">
        <v>43688</v>
      </c>
      <c r="G436" s="10" t="s">
        <v>38969</v>
      </c>
      <c r="H436" s="10" t="s">
        <v>870</v>
      </c>
      <c r="I436" s="10" t="s">
        <v>67</v>
      </c>
      <c r="J436" s="65">
        <v>76112</v>
      </c>
      <c r="K436" s="10" t="s">
        <v>68</v>
      </c>
      <c r="L436" s="10" t="s">
        <v>871</v>
      </c>
      <c r="M436" s="10" t="s">
        <v>21</v>
      </c>
      <c r="N436" s="10" t="s">
        <v>38970</v>
      </c>
      <c r="O436" s="10" t="s">
        <v>372</v>
      </c>
      <c r="P436" s="1" t="s">
        <v>30089</v>
      </c>
      <c r="Q436" s="64" t="s">
        <v>38971</v>
      </c>
      <c r="R436" s="10" t="s">
        <v>94</v>
      </c>
      <c r="S436" s="63" t="s">
        <v>22</v>
      </c>
      <c r="T436" s="68" t="s">
        <v>26781</v>
      </c>
      <c r="U436" s="68" t="s">
        <v>26572</v>
      </c>
      <c r="V436" s="68" t="s">
        <v>26573</v>
      </c>
      <c r="W436" s="68" t="s">
        <v>94</v>
      </c>
      <c r="X436" s="68">
        <v>4931</v>
      </c>
      <c r="Z436" s="68" t="s">
        <v>42968</v>
      </c>
      <c r="AA436" s="33">
        <v>7231</v>
      </c>
    </row>
    <row r="437" spans="1:27" ht="12" customHeight="1" x14ac:dyDescent="0.15">
      <c r="A437" s="10" t="s">
        <v>41909</v>
      </c>
      <c r="B437" s="99">
        <v>57</v>
      </c>
      <c r="C437" s="10" t="s">
        <v>14</v>
      </c>
      <c r="D437" s="10" t="s">
        <v>31</v>
      </c>
      <c r="E437" s="64" t="s">
        <v>41910</v>
      </c>
      <c r="F437" s="67">
        <v>43688</v>
      </c>
      <c r="G437" s="10" t="s">
        <v>41911</v>
      </c>
      <c r="H437" s="10" t="s">
        <v>41564</v>
      </c>
      <c r="I437" s="10" t="s">
        <v>621</v>
      </c>
      <c r="J437" s="65">
        <v>38663</v>
      </c>
      <c r="K437" s="10" t="s">
        <v>41912</v>
      </c>
      <c r="L437" s="10" t="s">
        <v>41913</v>
      </c>
      <c r="M437" s="10" t="s">
        <v>21</v>
      </c>
      <c r="N437" s="10" t="s">
        <v>41914</v>
      </c>
      <c r="O437" s="10" t="s">
        <v>372</v>
      </c>
      <c r="P437" s="1" t="s">
        <v>30089</v>
      </c>
      <c r="Q437" s="64" t="s">
        <v>41915</v>
      </c>
      <c r="R437" s="10" t="s">
        <v>94</v>
      </c>
      <c r="S437" s="63" t="s">
        <v>22</v>
      </c>
      <c r="T437" s="34" t="s">
        <v>26774</v>
      </c>
      <c r="U437" s="34" t="s">
        <v>26572</v>
      </c>
      <c r="V437" s="68"/>
      <c r="W437" s="68"/>
      <c r="X437" s="68"/>
      <c r="Z437" s="68" t="s">
        <v>42967</v>
      </c>
      <c r="AA437" s="33">
        <v>7232</v>
      </c>
    </row>
    <row r="438" spans="1:27" ht="12" customHeight="1" x14ac:dyDescent="0.15">
      <c r="A438" s="10" t="s">
        <v>38234</v>
      </c>
      <c r="B438" s="99">
        <v>45</v>
      </c>
      <c r="C438" s="10" t="s">
        <v>14</v>
      </c>
      <c r="D438" s="10" t="s">
        <v>31</v>
      </c>
      <c r="E438" s="64" t="s">
        <v>38235</v>
      </c>
      <c r="F438" s="67">
        <v>43687</v>
      </c>
      <c r="G438" s="10" t="s">
        <v>38236</v>
      </c>
      <c r="H438" s="10" t="s">
        <v>38237</v>
      </c>
      <c r="I438" s="10" t="s">
        <v>160</v>
      </c>
      <c r="J438" s="65">
        <v>30805</v>
      </c>
      <c r="K438" s="10" t="s">
        <v>10093</v>
      </c>
      <c r="L438" s="10" t="s">
        <v>28132</v>
      </c>
      <c r="M438" s="10" t="s">
        <v>21</v>
      </c>
      <c r="N438" s="10" t="s">
        <v>38238</v>
      </c>
      <c r="O438" s="10" t="s">
        <v>372</v>
      </c>
      <c r="P438" s="1" t="s">
        <v>30089</v>
      </c>
      <c r="Q438" s="64" t="s">
        <v>38239</v>
      </c>
      <c r="R438" s="10" t="s">
        <v>94</v>
      </c>
      <c r="S438" s="63" t="s">
        <v>22</v>
      </c>
      <c r="T438" s="68" t="s">
        <v>26781</v>
      </c>
      <c r="U438" s="68" t="s">
        <v>26572</v>
      </c>
      <c r="V438" s="68" t="s">
        <v>26571</v>
      </c>
      <c r="W438" s="68" t="s">
        <v>94</v>
      </c>
      <c r="X438" s="68">
        <v>4938</v>
      </c>
      <c r="Z438" s="68" t="s">
        <v>42968</v>
      </c>
      <c r="AA438" s="33">
        <v>7229</v>
      </c>
    </row>
    <row r="439" spans="1:27" ht="12" customHeight="1" x14ac:dyDescent="0.15">
      <c r="A439" s="10" t="s">
        <v>39758</v>
      </c>
      <c r="B439" s="99">
        <v>57</v>
      </c>
      <c r="C439" s="10" t="s">
        <v>14</v>
      </c>
      <c r="D439" s="10" t="s">
        <v>24</v>
      </c>
      <c r="E439" s="10"/>
      <c r="F439" s="67">
        <v>43687</v>
      </c>
      <c r="G439" s="10" t="s">
        <v>39759</v>
      </c>
      <c r="H439" s="10" t="s">
        <v>924</v>
      </c>
      <c r="I439" s="10" t="s">
        <v>298</v>
      </c>
      <c r="J439" s="65">
        <v>37323</v>
      </c>
      <c r="K439" s="10" t="s">
        <v>925</v>
      </c>
      <c r="L439" s="10" t="s">
        <v>30774</v>
      </c>
      <c r="M439" s="10" t="s">
        <v>21</v>
      </c>
      <c r="N439" s="10" t="s">
        <v>39760</v>
      </c>
      <c r="O439" s="10" t="s">
        <v>372</v>
      </c>
      <c r="P439" s="1" t="s">
        <v>30089</v>
      </c>
      <c r="Q439" s="64" t="s">
        <v>39761</v>
      </c>
      <c r="R439" s="10" t="s">
        <v>94</v>
      </c>
      <c r="S439" s="63" t="s">
        <v>22</v>
      </c>
      <c r="T439" s="68" t="s">
        <v>26774</v>
      </c>
      <c r="U439" s="68" t="s">
        <v>26572</v>
      </c>
      <c r="V439" s="68" t="s">
        <v>26573</v>
      </c>
      <c r="W439" s="68" t="s">
        <v>94</v>
      </c>
      <c r="X439" s="68">
        <v>4929</v>
      </c>
      <c r="Z439" s="68" t="s">
        <v>42967</v>
      </c>
      <c r="AA439" s="33">
        <v>7230</v>
      </c>
    </row>
    <row r="440" spans="1:27" ht="12" customHeight="1" x14ac:dyDescent="0.15">
      <c r="A440" s="10" t="s">
        <v>3002</v>
      </c>
      <c r="B440" s="70"/>
      <c r="C440" s="10" t="s">
        <v>14</v>
      </c>
      <c r="D440" s="10" t="s">
        <v>24</v>
      </c>
      <c r="E440" s="10"/>
      <c r="F440" s="67">
        <v>43686</v>
      </c>
      <c r="G440" s="10" t="s">
        <v>39762</v>
      </c>
      <c r="H440" s="10" t="s">
        <v>8137</v>
      </c>
      <c r="I440" s="10" t="s">
        <v>39</v>
      </c>
      <c r="J440" s="65">
        <v>92223</v>
      </c>
      <c r="K440" s="10" t="s">
        <v>728</v>
      </c>
      <c r="L440" s="10" t="s">
        <v>8139</v>
      </c>
      <c r="M440" s="10" t="s">
        <v>21</v>
      </c>
      <c r="N440" s="10" t="s">
        <v>39763</v>
      </c>
      <c r="O440" s="10" t="s">
        <v>372</v>
      </c>
      <c r="P440" s="1" t="s">
        <v>30089</v>
      </c>
      <c r="Q440" s="64" t="s">
        <v>39764</v>
      </c>
      <c r="R440" s="10" t="s">
        <v>94</v>
      </c>
      <c r="S440" s="63" t="s">
        <v>22</v>
      </c>
      <c r="T440" s="68" t="s">
        <v>26774</v>
      </c>
      <c r="U440" s="68" t="s">
        <v>26572</v>
      </c>
      <c r="V440" s="68" t="s">
        <v>26573</v>
      </c>
      <c r="W440" s="68" t="s">
        <v>94</v>
      </c>
      <c r="X440" s="68">
        <v>4932</v>
      </c>
      <c r="Z440" s="68" t="s">
        <v>42968</v>
      </c>
      <c r="AA440" s="33">
        <v>7226</v>
      </c>
    </row>
    <row r="441" spans="1:27" ht="12" customHeight="1" x14ac:dyDescent="0.15">
      <c r="A441" s="10" t="s">
        <v>41556</v>
      </c>
      <c r="B441" s="99">
        <v>62</v>
      </c>
      <c r="C441" s="10" t="s">
        <v>14</v>
      </c>
      <c r="D441" s="10" t="s">
        <v>24</v>
      </c>
      <c r="E441" s="10"/>
      <c r="F441" s="67">
        <v>43686</v>
      </c>
      <c r="G441" s="10" t="s">
        <v>41557</v>
      </c>
      <c r="H441" s="10" t="s">
        <v>22028</v>
      </c>
      <c r="I441" s="10" t="s">
        <v>9710</v>
      </c>
      <c r="J441" s="65">
        <v>5602</v>
      </c>
      <c r="K441" s="10" t="s">
        <v>107</v>
      </c>
      <c r="L441" s="10" t="s">
        <v>41558</v>
      </c>
      <c r="M441" s="10" t="s">
        <v>21</v>
      </c>
      <c r="N441" s="10" t="s">
        <v>41559</v>
      </c>
      <c r="O441" s="10" t="s">
        <v>372</v>
      </c>
      <c r="P441" s="1" t="s">
        <v>30089</v>
      </c>
      <c r="Q441" s="64" t="s">
        <v>41560</v>
      </c>
      <c r="R441" s="10" t="s">
        <v>512</v>
      </c>
      <c r="S441" s="63" t="s">
        <v>12</v>
      </c>
      <c r="T441" s="68" t="s">
        <v>39971</v>
      </c>
      <c r="U441" s="68" t="s">
        <v>26572</v>
      </c>
      <c r="V441" s="68" t="s">
        <v>26573</v>
      </c>
      <c r="W441" s="68" t="s">
        <v>94</v>
      </c>
      <c r="X441" s="68">
        <v>4935</v>
      </c>
      <c r="Z441" s="68" t="s">
        <v>42967</v>
      </c>
      <c r="AA441" s="33">
        <v>7228</v>
      </c>
    </row>
    <row r="442" spans="1:27" ht="12" customHeight="1" x14ac:dyDescent="0.15">
      <c r="A442" s="10" t="s">
        <v>19718</v>
      </c>
      <c r="B442" s="99">
        <v>37</v>
      </c>
      <c r="C442" s="10" t="s">
        <v>14</v>
      </c>
      <c r="D442" s="10" t="s">
        <v>42</v>
      </c>
      <c r="E442" s="10"/>
      <c r="F442" s="67">
        <v>43686</v>
      </c>
      <c r="G442" s="10" t="s">
        <v>39343</v>
      </c>
      <c r="H442" s="10" t="s">
        <v>401</v>
      </c>
      <c r="I442" s="10" t="s">
        <v>337</v>
      </c>
      <c r="J442" s="65">
        <v>66101</v>
      </c>
      <c r="K442" s="10" t="s">
        <v>554</v>
      </c>
      <c r="L442" s="10" t="s">
        <v>42466</v>
      </c>
      <c r="M442" s="10" t="s">
        <v>21</v>
      </c>
      <c r="N442" s="10" t="s">
        <v>39344</v>
      </c>
      <c r="O442" s="10" t="s">
        <v>372</v>
      </c>
      <c r="P442" s="1" t="s">
        <v>30089</v>
      </c>
      <c r="Q442" s="64" t="s">
        <v>39345</v>
      </c>
      <c r="R442" s="10" t="s">
        <v>94</v>
      </c>
      <c r="S442" s="63" t="s">
        <v>22</v>
      </c>
      <c r="T442" s="68" t="s">
        <v>34228</v>
      </c>
      <c r="U442" s="68" t="s">
        <v>26572</v>
      </c>
      <c r="V442" s="68" t="s">
        <v>26574</v>
      </c>
      <c r="W442" s="68" t="s">
        <v>94</v>
      </c>
      <c r="X442" s="68">
        <v>4934</v>
      </c>
      <c r="Z442" s="68" t="s">
        <v>42966</v>
      </c>
      <c r="AA442" s="33">
        <v>7225</v>
      </c>
    </row>
    <row r="443" spans="1:27" ht="12" customHeight="1" x14ac:dyDescent="0.15">
      <c r="A443" s="10" t="s">
        <v>39826</v>
      </c>
      <c r="B443" s="99">
        <v>52</v>
      </c>
      <c r="C443" s="10" t="s">
        <v>14</v>
      </c>
      <c r="D443" s="10" t="s">
        <v>42</v>
      </c>
      <c r="E443" s="64" t="s">
        <v>39827</v>
      </c>
      <c r="F443" s="67">
        <v>43686</v>
      </c>
      <c r="G443" s="10" t="s">
        <v>39828</v>
      </c>
      <c r="H443" s="10" t="s">
        <v>2330</v>
      </c>
      <c r="I443" s="10" t="s">
        <v>67</v>
      </c>
      <c r="J443" s="65">
        <v>75043</v>
      </c>
      <c r="K443" s="10" t="s">
        <v>266</v>
      </c>
      <c r="L443" s="10" t="s">
        <v>2331</v>
      </c>
      <c r="M443" s="10" t="s">
        <v>21</v>
      </c>
      <c r="N443" s="10" t="s">
        <v>39829</v>
      </c>
      <c r="O443" s="10" t="s">
        <v>372</v>
      </c>
      <c r="P443" s="1" t="s">
        <v>30089</v>
      </c>
      <c r="Q443" s="64" t="s">
        <v>39830</v>
      </c>
      <c r="R443" s="10" t="s">
        <v>94</v>
      </c>
      <c r="S443" s="63" t="s">
        <v>22</v>
      </c>
      <c r="T443" s="68" t="s">
        <v>26593</v>
      </c>
      <c r="U443" s="68" t="s">
        <v>26572</v>
      </c>
      <c r="V443" s="68" t="s">
        <v>26573</v>
      </c>
      <c r="W443" s="68" t="s">
        <v>94</v>
      </c>
      <c r="X443" s="68">
        <v>4933</v>
      </c>
      <c r="Z443" s="68" t="s">
        <v>42968</v>
      </c>
      <c r="AA443" s="33">
        <v>7227</v>
      </c>
    </row>
    <row r="444" spans="1:27" ht="12" customHeight="1" x14ac:dyDescent="0.15">
      <c r="A444" s="10" t="s">
        <v>41916</v>
      </c>
      <c r="B444" s="99">
        <v>41</v>
      </c>
      <c r="C444" s="10" t="s">
        <v>14</v>
      </c>
      <c r="D444" s="10" t="s">
        <v>31</v>
      </c>
      <c r="E444" s="64" t="s">
        <v>41917</v>
      </c>
      <c r="F444" s="67">
        <v>43685</v>
      </c>
      <c r="G444" s="10" t="s">
        <v>41918</v>
      </c>
      <c r="H444" s="10" t="s">
        <v>15852</v>
      </c>
      <c r="I444" s="10" t="s">
        <v>402</v>
      </c>
      <c r="J444" s="65">
        <v>65264</v>
      </c>
      <c r="K444" s="10" t="s">
        <v>41919</v>
      </c>
      <c r="L444" s="10" t="s">
        <v>13291</v>
      </c>
      <c r="M444" s="10" t="s">
        <v>21</v>
      </c>
      <c r="N444" s="10" t="s">
        <v>41920</v>
      </c>
      <c r="O444" s="10" t="s">
        <v>372</v>
      </c>
      <c r="P444" s="1" t="s">
        <v>30089</v>
      </c>
      <c r="Q444" s="64" t="s">
        <v>41921</v>
      </c>
      <c r="R444" s="10" t="s">
        <v>94</v>
      </c>
      <c r="S444" s="63" t="s">
        <v>22</v>
      </c>
      <c r="T444" s="34" t="s">
        <v>26781</v>
      </c>
      <c r="U444" s="34" t="s">
        <v>26572</v>
      </c>
      <c r="V444" s="68"/>
      <c r="W444" s="68"/>
      <c r="X444" s="68"/>
      <c r="Z444" s="68" t="s">
        <v>42967</v>
      </c>
      <c r="AA444" s="33">
        <v>7224</v>
      </c>
    </row>
    <row r="445" spans="1:27" ht="12" customHeight="1" x14ac:dyDescent="0.15">
      <c r="A445" s="10" t="s">
        <v>37547</v>
      </c>
      <c r="B445" s="99">
        <v>39</v>
      </c>
      <c r="C445" s="10" t="s">
        <v>14</v>
      </c>
      <c r="D445" s="10" t="s">
        <v>79</v>
      </c>
      <c r="E445" s="64" t="s">
        <v>37548</v>
      </c>
      <c r="F445" s="67">
        <v>43685</v>
      </c>
      <c r="G445" s="10" t="s">
        <v>37549</v>
      </c>
      <c r="H445" s="10" t="s">
        <v>11909</v>
      </c>
      <c r="I445" s="10" t="s">
        <v>75</v>
      </c>
      <c r="J445" s="65">
        <v>7111</v>
      </c>
      <c r="K445" s="10" t="s">
        <v>486</v>
      </c>
      <c r="L445" s="10" t="s">
        <v>11911</v>
      </c>
      <c r="M445" s="10" t="s">
        <v>21</v>
      </c>
      <c r="N445" s="10" t="s">
        <v>37550</v>
      </c>
      <c r="O445" s="10" t="s">
        <v>372</v>
      </c>
      <c r="P445" s="1" t="s">
        <v>30089</v>
      </c>
      <c r="Q445" s="64" t="s">
        <v>37551</v>
      </c>
      <c r="R445" s="10" t="s">
        <v>94</v>
      </c>
      <c r="S445" s="63" t="s">
        <v>22</v>
      </c>
      <c r="T445" s="68" t="s">
        <v>26781</v>
      </c>
      <c r="U445" s="68" t="s">
        <v>26572</v>
      </c>
      <c r="V445" s="68" t="s">
        <v>26573</v>
      </c>
      <c r="W445" s="68" t="s">
        <v>94</v>
      </c>
      <c r="X445" s="68">
        <v>4953</v>
      </c>
      <c r="Z445" s="68" t="s">
        <v>42968</v>
      </c>
      <c r="AA445" s="33">
        <v>7222</v>
      </c>
    </row>
    <row r="446" spans="1:27" ht="12" customHeight="1" x14ac:dyDescent="0.15">
      <c r="A446" s="10" t="s">
        <v>41191</v>
      </c>
      <c r="B446" s="99">
        <v>52</v>
      </c>
      <c r="C446" s="10" t="s">
        <v>14</v>
      </c>
      <c r="D446" s="10" t="s">
        <v>24</v>
      </c>
      <c r="E446" s="10"/>
      <c r="F446" s="67">
        <v>43685</v>
      </c>
      <c r="G446" s="10" t="s">
        <v>41192</v>
      </c>
      <c r="H446" s="10" t="s">
        <v>18514</v>
      </c>
      <c r="I446" s="10" t="s">
        <v>294</v>
      </c>
      <c r="J446" s="65">
        <v>42754</v>
      </c>
      <c r="K446" s="10" t="s">
        <v>18016</v>
      </c>
      <c r="L446" s="10" t="s">
        <v>18258</v>
      </c>
      <c r="M446" s="10" t="s">
        <v>21</v>
      </c>
      <c r="N446" s="10" t="s">
        <v>41193</v>
      </c>
      <c r="O446" s="10" t="s">
        <v>372</v>
      </c>
      <c r="P446" s="1" t="s">
        <v>30089</v>
      </c>
      <c r="Q446" s="64" t="s">
        <v>41194</v>
      </c>
      <c r="R446" s="10" t="s">
        <v>512</v>
      </c>
      <c r="S446" s="63" t="s">
        <v>22</v>
      </c>
      <c r="T446" s="68" t="s">
        <v>26781</v>
      </c>
      <c r="U446" s="68" t="s">
        <v>26572</v>
      </c>
      <c r="V446" s="68" t="s">
        <v>26573</v>
      </c>
      <c r="W446" s="68" t="s">
        <v>94</v>
      </c>
      <c r="X446" s="68">
        <v>4937</v>
      </c>
      <c r="Z446" s="68" t="s">
        <v>42967</v>
      </c>
      <c r="AA446" s="33">
        <v>7223</v>
      </c>
    </row>
    <row r="447" spans="1:27" ht="12" customHeight="1" x14ac:dyDescent="0.15">
      <c r="A447" s="10" t="s">
        <v>37542</v>
      </c>
      <c r="B447" s="99">
        <v>27</v>
      </c>
      <c r="C447" s="10" t="s">
        <v>14</v>
      </c>
      <c r="D447" s="10" t="s">
        <v>79</v>
      </c>
      <c r="E447" s="64" t="s">
        <v>37543</v>
      </c>
      <c r="F447" s="67">
        <v>43685</v>
      </c>
      <c r="G447" s="10" t="s">
        <v>37544</v>
      </c>
      <c r="H447" s="10" t="s">
        <v>8443</v>
      </c>
      <c r="I447" s="10" t="s">
        <v>621</v>
      </c>
      <c r="J447" s="65">
        <v>39563</v>
      </c>
      <c r="K447" s="10" t="s">
        <v>404</v>
      </c>
      <c r="L447" s="10" t="s">
        <v>8445</v>
      </c>
      <c r="M447" s="10" t="s">
        <v>21</v>
      </c>
      <c r="N447" s="10" t="s">
        <v>37545</v>
      </c>
      <c r="O447" s="10" t="s">
        <v>372</v>
      </c>
      <c r="P447" s="1" t="s">
        <v>30089</v>
      </c>
      <c r="Q447" s="64" t="s">
        <v>37546</v>
      </c>
      <c r="R447" s="10" t="s">
        <v>94</v>
      </c>
      <c r="S447" s="63" t="s">
        <v>22</v>
      </c>
      <c r="T447" s="68" t="s">
        <v>26781</v>
      </c>
      <c r="U447" s="68" t="s">
        <v>26572</v>
      </c>
      <c r="V447" s="68" t="s">
        <v>26574</v>
      </c>
      <c r="W447" s="68" t="s">
        <v>512</v>
      </c>
      <c r="X447" s="68">
        <v>4930</v>
      </c>
      <c r="Z447" s="68" t="s">
        <v>42968</v>
      </c>
      <c r="AA447" s="33">
        <v>7221</v>
      </c>
    </row>
    <row r="448" spans="1:27" ht="12" customHeight="1" x14ac:dyDescent="0.15">
      <c r="A448" s="10" t="s">
        <v>38250</v>
      </c>
      <c r="B448" s="99">
        <v>28</v>
      </c>
      <c r="C448" s="10" t="s">
        <v>14</v>
      </c>
      <c r="D448" s="10" t="s">
        <v>31</v>
      </c>
      <c r="E448" s="64" t="s">
        <v>38251</v>
      </c>
      <c r="F448" s="67">
        <v>43684</v>
      </c>
      <c r="G448" s="10" t="s">
        <v>38252</v>
      </c>
      <c r="H448" s="10" t="s">
        <v>38253</v>
      </c>
      <c r="I448" s="10" t="s">
        <v>342</v>
      </c>
      <c r="J448" s="65">
        <v>51503</v>
      </c>
      <c r="K448" s="10" t="s">
        <v>38254</v>
      </c>
      <c r="L448" s="10" t="s">
        <v>38255</v>
      </c>
      <c r="M448" s="10" t="s">
        <v>21</v>
      </c>
      <c r="N448" s="10" t="s">
        <v>38256</v>
      </c>
      <c r="O448" s="10" t="s">
        <v>372</v>
      </c>
      <c r="P448" s="1" t="s">
        <v>30089</v>
      </c>
      <c r="Q448" s="64" t="s">
        <v>38257</v>
      </c>
      <c r="R448" s="10" t="s">
        <v>94</v>
      </c>
      <c r="S448" s="63" t="s">
        <v>22</v>
      </c>
      <c r="T448" s="68" t="s">
        <v>26781</v>
      </c>
      <c r="U448" s="68" t="s">
        <v>26572</v>
      </c>
      <c r="V448" s="68" t="s">
        <v>26571</v>
      </c>
      <c r="W448" s="68" t="s">
        <v>94</v>
      </c>
      <c r="X448" s="68">
        <v>4950</v>
      </c>
      <c r="Z448" s="68" t="s">
        <v>42968</v>
      </c>
      <c r="AA448" s="33">
        <v>7220</v>
      </c>
    </row>
    <row r="449" spans="1:27" ht="12" customHeight="1" x14ac:dyDescent="0.15">
      <c r="A449" s="10" t="s">
        <v>37537</v>
      </c>
      <c r="B449" s="99">
        <v>18</v>
      </c>
      <c r="C449" s="10" t="s">
        <v>14</v>
      </c>
      <c r="D449" s="10" t="s">
        <v>79</v>
      </c>
      <c r="E449" s="64" t="s">
        <v>37538</v>
      </c>
      <c r="F449" s="67">
        <v>43684</v>
      </c>
      <c r="G449" s="10" t="s">
        <v>37539</v>
      </c>
      <c r="H449" s="10" t="s">
        <v>550</v>
      </c>
      <c r="I449" s="10" t="s">
        <v>67</v>
      </c>
      <c r="J449" s="65">
        <v>75604</v>
      </c>
      <c r="K449" s="10" t="s">
        <v>551</v>
      </c>
      <c r="L449" s="10" t="s">
        <v>552</v>
      </c>
      <c r="M449" s="10" t="s">
        <v>21</v>
      </c>
      <c r="N449" s="10" t="s">
        <v>37540</v>
      </c>
      <c r="O449" s="10" t="s">
        <v>372</v>
      </c>
      <c r="P449" s="1" t="s">
        <v>30089</v>
      </c>
      <c r="Q449" s="64" t="s">
        <v>37541</v>
      </c>
      <c r="R449" s="10" t="s">
        <v>94</v>
      </c>
      <c r="S449" s="63" t="s">
        <v>22</v>
      </c>
      <c r="T449" s="68" t="s">
        <v>26781</v>
      </c>
      <c r="U449" s="68" t="s">
        <v>26572</v>
      </c>
      <c r="V449" s="68" t="s">
        <v>26573</v>
      </c>
      <c r="W449" s="68" t="s">
        <v>94</v>
      </c>
      <c r="X449" s="68">
        <v>4928</v>
      </c>
      <c r="Z449" s="68" t="s">
        <v>42966</v>
      </c>
      <c r="AA449" s="33">
        <v>7219</v>
      </c>
    </row>
    <row r="450" spans="1:27" ht="12" customHeight="1" x14ac:dyDescent="0.15">
      <c r="A450" s="10" t="s">
        <v>38227</v>
      </c>
      <c r="B450" s="99">
        <v>49</v>
      </c>
      <c r="C450" s="10" t="s">
        <v>14</v>
      </c>
      <c r="D450" s="10" t="s">
        <v>31</v>
      </c>
      <c r="E450" s="64" t="s">
        <v>38228</v>
      </c>
      <c r="F450" s="67">
        <v>43683</v>
      </c>
      <c r="G450" s="10" t="s">
        <v>38229</v>
      </c>
      <c r="H450" s="10" t="s">
        <v>38230</v>
      </c>
      <c r="I450" s="10" t="s">
        <v>376</v>
      </c>
      <c r="J450" s="65">
        <v>15116</v>
      </c>
      <c r="K450" s="10" t="s">
        <v>1530</v>
      </c>
      <c r="L450" s="10" t="s">
        <v>38231</v>
      </c>
      <c r="M450" s="10" t="s">
        <v>21</v>
      </c>
      <c r="N450" s="10" t="s">
        <v>38232</v>
      </c>
      <c r="O450" s="10" t="s">
        <v>372</v>
      </c>
      <c r="P450" s="1" t="s">
        <v>30089</v>
      </c>
      <c r="Q450" s="64" t="s">
        <v>38233</v>
      </c>
      <c r="R450" s="10" t="s">
        <v>512</v>
      </c>
      <c r="S450" s="63" t="s">
        <v>22</v>
      </c>
      <c r="T450" s="68" t="s">
        <v>26781</v>
      </c>
      <c r="U450" s="68" t="s">
        <v>26572</v>
      </c>
      <c r="V450" s="68" t="s">
        <v>26573</v>
      </c>
      <c r="W450" s="68" t="s">
        <v>94</v>
      </c>
      <c r="X450" s="68">
        <v>4936</v>
      </c>
      <c r="Z450" s="68" t="s">
        <v>42968</v>
      </c>
      <c r="AA450" s="33">
        <v>7217</v>
      </c>
    </row>
    <row r="451" spans="1:27" ht="12" customHeight="1" x14ac:dyDescent="0.15">
      <c r="A451" s="10" t="s">
        <v>41922</v>
      </c>
      <c r="B451" s="99">
        <v>39</v>
      </c>
      <c r="C451" s="10" t="s">
        <v>14</v>
      </c>
      <c r="D451" s="10" t="s">
        <v>31</v>
      </c>
      <c r="E451" s="64" t="s">
        <v>41923</v>
      </c>
      <c r="F451" s="67">
        <v>43683</v>
      </c>
      <c r="G451" s="10" t="s">
        <v>41924</v>
      </c>
      <c r="H451" s="10" t="s">
        <v>1908</v>
      </c>
      <c r="I451" s="10" t="s">
        <v>106</v>
      </c>
      <c r="J451" s="65">
        <v>97526</v>
      </c>
      <c r="K451" s="10" t="s">
        <v>1435</v>
      </c>
      <c r="L451" s="10" t="s">
        <v>1910</v>
      </c>
      <c r="M451" s="10" t="s">
        <v>21</v>
      </c>
      <c r="N451" s="10" t="s">
        <v>41925</v>
      </c>
      <c r="O451" s="10" t="s">
        <v>372</v>
      </c>
      <c r="P451" s="1" t="s">
        <v>30089</v>
      </c>
      <c r="Q451" s="64" t="s">
        <v>41926</v>
      </c>
      <c r="R451" s="10" t="s">
        <v>94</v>
      </c>
      <c r="S451" s="63" t="s">
        <v>29</v>
      </c>
      <c r="T451" s="34" t="s">
        <v>41840</v>
      </c>
      <c r="U451" s="34"/>
      <c r="V451" s="68"/>
      <c r="W451" s="68"/>
      <c r="X451" s="68"/>
      <c r="Z451" s="68" t="s">
        <v>42968</v>
      </c>
      <c r="AA451" s="33">
        <v>7218</v>
      </c>
    </row>
    <row r="452" spans="1:27" ht="12" customHeight="1" x14ac:dyDescent="0.15">
      <c r="A452" s="10" t="s">
        <v>42272</v>
      </c>
      <c r="B452" s="99">
        <v>61</v>
      </c>
      <c r="C452" s="10" t="s">
        <v>14</v>
      </c>
      <c r="D452" s="10" t="s">
        <v>24</v>
      </c>
      <c r="E452" s="10"/>
      <c r="F452" s="67">
        <v>43682</v>
      </c>
      <c r="G452" s="10" t="s">
        <v>42273</v>
      </c>
      <c r="H452" s="10" t="s">
        <v>8468</v>
      </c>
      <c r="I452" s="10" t="s">
        <v>46</v>
      </c>
      <c r="J452" s="65">
        <v>21061</v>
      </c>
      <c r="K452" s="10" t="s">
        <v>2937</v>
      </c>
      <c r="L452" s="10" t="s">
        <v>8469</v>
      </c>
      <c r="M452" s="10" t="s">
        <v>21</v>
      </c>
      <c r="N452" s="10" t="s">
        <v>42274</v>
      </c>
      <c r="O452" s="10" t="s">
        <v>372</v>
      </c>
      <c r="P452" s="1" t="s">
        <v>30089</v>
      </c>
      <c r="Q452" s="64" t="s">
        <v>42275</v>
      </c>
      <c r="R452" s="10" t="s">
        <v>94</v>
      </c>
      <c r="S452" s="63" t="s">
        <v>22</v>
      </c>
      <c r="T452" s="34" t="s">
        <v>26781</v>
      </c>
      <c r="U452" s="34" t="s">
        <v>26572</v>
      </c>
      <c r="V452" s="68"/>
      <c r="W452" s="68"/>
      <c r="X452" s="68"/>
      <c r="Z452" s="68" t="s">
        <v>42968</v>
      </c>
      <c r="AA452" s="33">
        <v>7214</v>
      </c>
    </row>
    <row r="453" spans="1:27" ht="12" customHeight="1" x14ac:dyDescent="0.15">
      <c r="A453" s="10" t="s">
        <v>39425</v>
      </c>
      <c r="B453" s="99">
        <v>49</v>
      </c>
      <c r="C453" s="10" t="s">
        <v>14</v>
      </c>
      <c r="D453" s="10" t="s">
        <v>79</v>
      </c>
      <c r="E453" s="63"/>
      <c r="F453" s="67">
        <v>43682</v>
      </c>
      <c r="G453" s="10" t="s">
        <v>39426</v>
      </c>
      <c r="H453" s="10" t="s">
        <v>1116</v>
      </c>
      <c r="I453" s="10" t="s">
        <v>298</v>
      </c>
      <c r="J453" s="65">
        <v>38105</v>
      </c>
      <c r="K453" s="10" t="s">
        <v>1117</v>
      </c>
      <c r="L453" s="10" t="s">
        <v>22474</v>
      </c>
      <c r="M453" s="10" t="s">
        <v>21</v>
      </c>
      <c r="N453" s="10" t="s">
        <v>39427</v>
      </c>
      <c r="O453" s="10" t="s">
        <v>372</v>
      </c>
      <c r="P453" s="1" t="s">
        <v>30089</v>
      </c>
      <c r="Q453" s="64" t="s">
        <v>39428</v>
      </c>
      <c r="R453" s="10" t="s">
        <v>94</v>
      </c>
      <c r="S453" s="63" t="s">
        <v>22</v>
      </c>
      <c r="T453" s="68" t="s">
        <v>26774</v>
      </c>
      <c r="U453" s="68" t="s">
        <v>26572</v>
      </c>
      <c r="V453" s="68" t="s">
        <v>26574</v>
      </c>
      <c r="W453" s="68" t="s">
        <v>94</v>
      </c>
      <c r="X453" s="68">
        <v>4914</v>
      </c>
      <c r="Z453" s="68" t="s">
        <v>42968</v>
      </c>
      <c r="AA453" s="33">
        <v>7215</v>
      </c>
    </row>
    <row r="454" spans="1:27" ht="12" customHeight="1" x14ac:dyDescent="0.15">
      <c r="A454" s="10" t="s">
        <v>41625</v>
      </c>
      <c r="B454" s="99">
        <v>56</v>
      </c>
      <c r="C454" s="10" t="s">
        <v>14</v>
      </c>
      <c r="D454" s="10" t="s">
        <v>31</v>
      </c>
      <c r="E454" s="64" t="s">
        <v>41626</v>
      </c>
      <c r="F454" s="67">
        <v>43682</v>
      </c>
      <c r="G454" s="10" t="s">
        <v>41627</v>
      </c>
      <c r="H454" s="10" t="s">
        <v>19667</v>
      </c>
      <c r="I454" s="10" t="s">
        <v>918</v>
      </c>
      <c r="J454" s="65">
        <v>72745</v>
      </c>
      <c r="K454" s="10" t="s">
        <v>2325</v>
      </c>
      <c r="L454" s="10" t="s">
        <v>7886</v>
      </c>
      <c r="M454" s="10" t="s">
        <v>21</v>
      </c>
      <c r="N454" s="10" t="s">
        <v>41628</v>
      </c>
      <c r="O454" s="10" t="s">
        <v>372</v>
      </c>
      <c r="P454" s="1" t="s">
        <v>30089</v>
      </c>
      <c r="Q454" s="64" t="s">
        <v>41629</v>
      </c>
      <c r="R454" s="10" t="s">
        <v>512</v>
      </c>
      <c r="S454" s="63" t="s">
        <v>29</v>
      </c>
      <c r="T454" s="68" t="s">
        <v>26575</v>
      </c>
      <c r="U454" s="68" t="s">
        <v>26575</v>
      </c>
      <c r="V454" s="68" t="s">
        <v>26573</v>
      </c>
      <c r="W454" s="68" t="s">
        <v>94</v>
      </c>
      <c r="X454" s="68">
        <v>4947</v>
      </c>
      <c r="Z454" s="68" t="s">
        <v>42968</v>
      </c>
      <c r="AA454" s="33">
        <v>7216</v>
      </c>
    </row>
    <row r="455" spans="1:27" ht="12" customHeight="1" x14ac:dyDescent="0.15">
      <c r="A455" s="10" t="s">
        <v>38741</v>
      </c>
      <c r="B455" s="99">
        <v>21</v>
      </c>
      <c r="C455" s="10" t="s">
        <v>14</v>
      </c>
      <c r="D455" s="10" t="s">
        <v>42</v>
      </c>
      <c r="E455" s="64" t="s">
        <v>38742</v>
      </c>
      <c r="F455" s="67">
        <v>43682</v>
      </c>
      <c r="G455" s="10" t="s">
        <v>38743</v>
      </c>
      <c r="H455" s="10" t="s">
        <v>220</v>
      </c>
      <c r="I455" s="10" t="s">
        <v>221</v>
      </c>
      <c r="J455" s="65">
        <v>84111</v>
      </c>
      <c r="K455" s="10" t="s">
        <v>564</v>
      </c>
      <c r="L455" s="10" t="s">
        <v>222</v>
      </c>
      <c r="M455" s="10" t="s">
        <v>21</v>
      </c>
      <c r="N455" s="10" t="s">
        <v>38744</v>
      </c>
      <c r="O455" s="10" t="s">
        <v>372</v>
      </c>
      <c r="P455" s="1" t="s">
        <v>30089</v>
      </c>
      <c r="Q455" s="64" t="s">
        <v>38745</v>
      </c>
      <c r="R455" s="10" t="s">
        <v>94</v>
      </c>
      <c r="S455" s="63" t="s">
        <v>22</v>
      </c>
      <c r="T455" s="68" t="s">
        <v>26781</v>
      </c>
      <c r="U455" s="68" t="s">
        <v>26572</v>
      </c>
      <c r="V455" s="68" t="s">
        <v>26573</v>
      </c>
      <c r="W455" s="68" t="s">
        <v>512</v>
      </c>
      <c r="X455" s="68">
        <v>4910</v>
      </c>
      <c r="Z455" s="68" t="s">
        <v>42966</v>
      </c>
      <c r="AA455" s="33">
        <v>7212</v>
      </c>
    </row>
    <row r="456" spans="1:27" ht="12" customHeight="1" x14ac:dyDescent="0.15">
      <c r="A456" s="10" t="s">
        <v>41050</v>
      </c>
      <c r="B456" s="99">
        <v>57</v>
      </c>
      <c r="C456" s="10" t="s">
        <v>14</v>
      </c>
      <c r="D456" s="10" t="s">
        <v>31</v>
      </c>
      <c r="E456" s="63"/>
      <c r="F456" s="67">
        <v>43682</v>
      </c>
      <c r="G456" s="10" t="s">
        <v>41051</v>
      </c>
      <c r="H456" s="10" t="s">
        <v>41052</v>
      </c>
      <c r="I456" s="10" t="s">
        <v>192</v>
      </c>
      <c r="J456" s="65">
        <v>81650</v>
      </c>
      <c r="K456" s="10" t="s">
        <v>4026</v>
      </c>
      <c r="L456" s="10" t="s">
        <v>41053</v>
      </c>
      <c r="M456" s="10" t="s">
        <v>21</v>
      </c>
      <c r="N456" s="10" t="s">
        <v>41054</v>
      </c>
      <c r="O456" s="10" t="s">
        <v>372</v>
      </c>
      <c r="P456" s="1" t="s">
        <v>30089</v>
      </c>
      <c r="Q456" s="64" t="s">
        <v>41055</v>
      </c>
      <c r="R456" s="10" t="s">
        <v>512</v>
      </c>
      <c r="S456" s="63" t="s">
        <v>22</v>
      </c>
      <c r="T456" s="68" t="s">
        <v>26781</v>
      </c>
      <c r="U456" s="68" t="s">
        <v>26570</v>
      </c>
      <c r="V456" s="68" t="s">
        <v>26574</v>
      </c>
      <c r="W456" s="68" t="s">
        <v>94</v>
      </c>
      <c r="X456" s="68">
        <v>4955</v>
      </c>
      <c r="Z456" s="68" t="s">
        <v>42967</v>
      </c>
      <c r="AA456" s="33">
        <v>7213</v>
      </c>
    </row>
    <row r="457" spans="1:27" ht="12" customHeight="1" x14ac:dyDescent="0.15">
      <c r="A457" s="10" t="s">
        <v>38258</v>
      </c>
      <c r="B457" s="99">
        <v>43</v>
      </c>
      <c r="C457" s="10" t="s">
        <v>14</v>
      </c>
      <c r="D457" s="10" t="s">
        <v>31</v>
      </c>
      <c r="E457" s="10"/>
      <c r="F457" s="67">
        <v>43682</v>
      </c>
      <c r="G457" s="10"/>
      <c r="H457" s="10" t="s">
        <v>38259</v>
      </c>
      <c r="I457" s="10" t="s">
        <v>139</v>
      </c>
      <c r="J457" s="65">
        <v>24954</v>
      </c>
      <c r="K457" s="10" t="s">
        <v>16336</v>
      </c>
      <c r="L457" s="10" t="s">
        <v>141</v>
      </c>
      <c r="M457" s="10" t="s">
        <v>21</v>
      </c>
      <c r="N457" s="10" t="s">
        <v>38260</v>
      </c>
      <c r="O457" s="10" t="s">
        <v>372</v>
      </c>
      <c r="P457" s="1" t="s">
        <v>30089</v>
      </c>
      <c r="Q457" s="64" t="s">
        <v>38261</v>
      </c>
      <c r="R457" s="10" t="s">
        <v>94</v>
      </c>
      <c r="S457" s="63" t="s">
        <v>22</v>
      </c>
      <c r="T457" s="68" t="s">
        <v>26781</v>
      </c>
      <c r="U457" s="68" t="s">
        <v>26572</v>
      </c>
      <c r="V457" s="68" t="s">
        <v>26571</v>
      </c>
      <c r="W457" s="68" t="s">
        <v>94</v>
      </c>
      <c r="X457" s="68">
        <v>4954</v>
      </c>
      <c r="Z457" s="68" t="s">
        <v>42967</v>
      </c>
      <c r="AA457" s="33">
        <v>7211</v>
      </c>
    </row>
    <row r="458" spans="1:27" ht="12" customHeight="1" x14ac:dyDescent="0.15">
      <c r="A458" s="10" t="s">
        <v>38746</v>
      </c>
      <c r="B458" s="99">
        <v>32</v>
      </c>
      <c r="C458" s="10" t="s">
        <v>14</v>
      </c>
      <c r="D458" s="10" t="s">
        <v>42</v>
      </c>
      <c r="E458" s="63"/>
      <c r="F458" s="67">
        <v>43681</v>
      </c>
      <c r="G458" s="10" t="s">
        <v>38747</v>
      </c>
      <c r="H458" s="10" t="s">
        <v>15131</v>
      </c>
      <c r="I458" s="10" t="s">
        <v>40</v>
      </c>
      <c r="J458" s="65">
        <v>2151</v>
      </c>
      <c r="K458" s="10" t="s">
        <v>1588</v>
      </c>
      <c r="L458" s="10" t="s">
        <v>21094</v>
      </c>
      <c r="M458" s="10" t="s">
        <v>21</v>
      </c>
      <c r="N458" s="10" t="s">
        <v>38748</v>
      </c>
      <c r="O458" s="10" t="s">
        <v>372</v>
      </c>
      <c r="P458" s="1" t="s">
        <v>30089</v>
      </c>
      <c r="Q458" s="64" t="s">
        <v>38749</v>
      </c>
      <c r="R458" s="10" t="s">
        <v>94</v>
      </c>
      <c r="S458" s="63" t="s">
        <v>22</v>
      </c>
      <c r="T458" s="68" t="s">
        <v>26781</v>
      </c>
      <c r="U458" s="68" t="s">
        <v>26572</v>
      </c>
      <c r="V458" s="68" t="s">
        <v>26571</v>
      </c>
      <c r="W458" s="68" t="s">
        <v>94</v>
      </c>
      <c r="X458" s="68">
        <v>4915</v>
      </c>
      <c r="Z458" s="68" t="s">
        <v>42966</v>
      </c>
      <c r="AA458" s="33">
        <v>7207</v>
      </c>
    </row>
    <row r="459" spans="1:27" ht="12" customHeight="1" x14ac:dyDescent="0.15">
      <c r="A459" s="10" t="s">
        <v>41043</v>
      </c>
      <c r="B459" s="99">
        <v>65</v>
      </c>
      <c r="C459" s="10" t="s">
        <v>14</v>
      </c>
      <c r="D459" s="10" t="s">
        <v>31</v>
      </c>
      <c r="E459" s="64" t="s">
        <v>41044</v>
      </c>
      <c r="F459" s="67">
        <v>43681</v>
      </c>
      <c r="G459" s="10" t="s">
        <v>41045</v>
      </c>
      <c r="H459" s="10" t="s">
        <v>41046</v>
      </c>
      <c r="I459" s="10" t="s">
        <v>88</v>
      </c>
      <c r="J459" s="65">
        <v>35077</v>
      </c>
      <c r="K459" s="10" t="s">
        <v>4834</v>
      </c>
      <c r="L459" s="10" t="s">
        <v>41047</v>
      </c>
      <c r="M459" s="10" t="s">
        <v>21</v>
      </c>
      <c r="N459" s="10" t="s">
        <v>41048</v>
      </c>
      <c r="O459" s="10" t="s">
        <v>372</v>
      </c>
      <c r="P459" s="1" t="s">
        <v>30089</v>
      </c>
      <c r="Q459" s="64" t="s">
        <v>41049</v>
      </c>
      <c r="R459" s="10" t="s">
        <v>512</v>
      </c>
      <c r="S459" s="63" t="s">
        <v>22</v>
      </c>
      <c r="T459" s="68" t="s">
        <v>26781</v>
      </c>
      <c r="U459" s="68" t="s">
        <v>26572</v>
      </c>
      <c r="V459" s="68" t="s">
        <v>26573</v>
      </c>
      <c r="W459" s="68" t="s">
        <v>94</v>
      </c>
      <c r="X459" s="68">
        <v>4909</v>
      </c>
      <c r="Z459" s="68" t="s">
        <v>42967</v>
      </c>
      <c r="AA459" s="33">
        <v>7209</v>
      </c>
    </row>
    <row r="460" spans="1:27" ht="12" customHeight="1" x14ac:dyDescent="0.15">
      <c r="A460" s="10" t="s">
        <v>40817</v>
      </c>
      <c r="B460" s="99">
        <v>19</v>
      </c>
      <c r="C460" s="10" t="s">
        <v>14</v>
      </c>
      <c r="D460" s="68" t="s">
        <v>42</v>
      </c>
      <c r="E460" s="63"/>
      <c r="F460" s="67">
        <v>43681</v>
      </c>
      <c r="G460" s="10" t="s">
        <v>40818</v>
      </c>
      <c r="H460" s="10" t="s">
        <v>35899</v>
      </c>
      <c r="I460" s="10" t="s">
        <v>39</v>
      </c>
      <c r="J460" s="65">
        <v>93203</v>
      </c>
      <c r="K460" s="10" t="s">
        <v>632</v>
      </c>
      <c r="L460" s="10" t="s">
        <v>897</v>
      </c>
      <c r="M460" s="10" t="s">
        <v>21</v>
      </c>
      <c r="N460" s="10" t="s">
        <v>40819</v>
      </c>
      <c r="O460" s="10" t="s">
        <v>372</v>
      </c>
      <c r="P460" s="1" t="s">
        <v>30089</v>
      </c>
      <c r="Q460" s="64" t="s">
        <v>40820</v>
      </c>
      <c r="R460" s="10" t="s">
        <v>94</v>
      </c>
      <c r="S460" s="63" t="s">
        <v>351</v>
      </c>
      <c r="T460" s="68" t="s">
        <v>26867</v>
      </c>
      <c r="U460" s="68" t="s">
        <v>26570</v>
      </c>
      <c r="V460" s="68" t="s">
        <v>26571</v>
      </c>
      <c r="W460" s="68" t="s">
        <v>94</v>
      </c>
      <c r="X460" s="68">
        <v>4916</v>
      </c>
      <c r="Z460" s="68" t="s">
        <v>42968</v>
      </c>
      <c r="AA460" s="33">
        <v>7210</v>
      </c>
    </row>
    <row r="461" spans="1:27" ht="12" customHeight="1" x14ac:dyDescent="0.15">
      <c r="A461" s="10" t="s">
        <v>41038</v>
      </c>
      <c r="B461" s="99">
        <v>24</v>
      </c>
      <c r="C461" s="10" t="s">
        <v>14</v>
      </c>
      <c r="D461" s="10" t="s">
        <v>31</v>
      </c>
      <c r="E461" s="64" t="s">
        <v>41039</v>
      </c>
      <c r="F461" s="67">
        <v>43681</v>
      </c>
      <c r="G461" s="10" t="s">
        <v>41040</v>
      </c>
      <c r="H461" s="10" t="s">
        <v>994</v>
      </c>
      <c r="I461" s="10" t="s">
        <v>63</v>
      </c>
      <c r="J461" s="65">
        <v>45402</v>
      </c>
      <c r="K461" s="10" t="s">
        <v>995</v>
      </c>
      <c r="L461" s="10" t="s">
        <v>5527</v>
      </c>
      <c r="M461" s="10" t="s">
        <v>21</v>
      </c>
      <c r="N461" s="10" t="s">
        <v>41041</v>
      </c>
      <c r="O461" s="10" t="s">
        <v>372</v>
      </c>
      <c r="P461" s="1" t="s">
        <v>30089</v>
      </c>
      <c r="Q461" s="64" t="s">
        <v>41042</v>
      </c>
      <c r="R461" s="10" t="s">
        <v>512</v>
      </c>
      <c r="S461" s="63" t="s">
        <v>22</v>
      </c>
      <c r="T461" s="68" t="s">
        <v>26781</v>
      </c>
      <c r="U461" s="68" t="s">
        <v>26572</v>
      </c>
      <c r="V461" s="68" t="s">
        <v>26573</v>
      </c>
      <c r="W461" s="68" t="s">
        <v>94</v>
      </c>
      <c r="X461" s="68">
        <v>4907</v>
      </c>
      <c r="Z461" s="68" t="s">
        <v>42966</v>
      </c>
      <c r="AA461" s="33">
        <v>7208</v>
      </c>
    </row>
    <row r="462" spans="1:27" ht="12" customHeight="1" x14ac:dyDescent="0.15">
      <c r="A462" s="10" t="s">
        <v>38959</v>
      </c>
      <c r="B462" s="99">
        <v>35</v>
      </c>
      <c r="C462" s="10" t="s">
        <v>14</v>
      </c>
      <c r="D462" s="10" t="s">
        <v>24</v>
      </c>
      <c r="E462" s="63"/>
      <c r="F462" s="67">
        <v>43680</v>
      </c>
      <c r="G462" s="10" t="s">
        <v>38960</v>
      </c>
      <c r="H462" s="10" t="s">
        <v>38961</v>
      </c>
      <c r="I462" s="10" t="s">
        <v>56</v>
      </c>
      <c r="J462" s="65">
        <v>34695</v>
      </c>
      <c r="K462" s="10" t="s">
        <v>2152</v>
      </c>
      <c r="L462" s="10" t="s">
        <v>8931</v>
      </c>
      <c r="M462" s="10" t="s">
        <v>21</v>
      </c>
      <c r="N462" s="10" t="s">
        <v>38962</v>
      </c>
      <c r="O462" s="10" t="s">
        <v>372</v>
      </c>
      <c r="P462" s="1" t="s">
        <v>30089</v>
      </c>
      <c r="Q462" s="64" t="s">
        <v>38963</v>
      </c>
      <c r="R462" s="10" t="s">
        <v>94</v>
      </c>
      <c r="S462" s="63" t="s">
        <v>22</v>
      </c>
      <c r="T462" s="68" t="s">
        <v>26781</v>
      </c>
      <c r="U462" s="68" t="s">
        <v>26572</v>
      </c>
      <c r="V462" s="68" t="s">
        <v>26571</v>
      </c>
      <c r="W462" s="68" t="s">
        <v>94</v>
      </c>
      <c r="X462" s="68">
        <v>4918</v>
      </c>
      <c r="Z462" s="68" t="s">
        <v>42968</v>
      </c>
      <c r="AA462" s="33">
        <v>7204</v>
      </c>
    </row>
    <row r="463" spans="1:27" ht="12" customHeight="1" x14ac:dyDescent="0.15">
      <c r="A463" s="10" t="s">
        <v>39753</v>
      </c>
      <c r="B463" s="99">
        <v>25</v>
      </c>
      <c r="C463" s="10" t="s">
        <v>14</v>
      </c>
      <c r="D463" s="10" t="s">
        <v>24</v>
      </c>
      <c r="E463" s="63"/>
      <c r="F463" s="67">
        <v>43680</v>
      </c>
      <c r="G463" s="10" t="s">
        <v>39754</v>
      </c>
      <c r="H463" s="10" t="s">
        <v>24283</v>
      </c>
      <c r="I463" s="10" t="s">
        <v>160</v>
      </c>
      <c r="J463" s="65">
        <v>30052</v>
      </c>
      <c r="K463" s="10" t="s">
        <v>1239</v>
      </c>
      <c r="L463" s="10" t="s">
        <v>39755</v>
      </c>
      <c r="M463" s="10" t="s">
        <v>21</v>
      </c>
      <c r="N463" s="10" t="s">
        <v>39756</v>
      </c>
      <c r="O463" s="10" t="s">
        <v>372</v>
      </c>
      <c r="P463" s="1" t="s">
        <v>30089</v>
      </c>
      <c r="Q463" s="64" t="s">
        <v>39757</v>
      </c>
      <c r="R463" s="10" t="s">
        <v>94</v>
      </c>
      <c r="S463" s="63" t="s">
        <v>22</v>
      </c>
      <c r="T463" s="68" t="s">
        <v>26774</v>
      </c>
      <c r="U463" s="68" t="s">
        <v>26572</v>
      </c>
      <c r="V463" s="68" t="s">
        <v>26574</v>
      </c>
      <c r="W463" s="68" t="s">
        <v>94</v>
      </c>
      <c r="X463" s="68">
        <v>4920</v>
      </c>
      <c r="Z463" s="68" t="s">
        <v>42968</v>
      </c>
      <c r="AA463" s="33">
        <v>7206</v>
      </c>
    </row>
    <row r="464" spans="1:27" ht="12" customHeight="1" x14ac:dyDescent="0.15">
      <c r="A464" s="10" t="s">
        <v>40247</v>
      </c>
      <c r="B464" s="99">
        <v>19</v>
      </c>
      <c r="C464" s="10" t="s">
        <v>14</v>
      </c>
      <c r="D464" s="10" t="s">
        <v>79</v>
      </c>
      <c r="E464" s="64" t="s">
        <v>40248</v>
      </c>
      <c r="F464" s="67">
        <v>43680</v>
      </c>
      <c r="G464" s="10" t="s">
        <v>40249</v>
      </c>
      <c r="H464" s="10" t="s">
        <v>18214</v>
      </c>
      <c r="I464" s="10" t="s">
        <v>192</v>
      </c>
      <c r="J464" s="65">
        <v>80910</v>
      </c>
      <c r="K464" s="10" t="s">
        <v>801</v>
      </c>
      <c r="L464" s="10" t="s">
        <v>18216</v>
      </c>
      <c r="M464" s="10" t="s">
        <v>21</v>
      </c>
      <c r="N464" s="10" t="s">
        <v>40250</v>
      </c>
      <c r="O464" s="10" t="s">
        <v>372</v>
      </c>
      <c r="P464" s="1" t="s">
        <v>30089</v>
      </c>
      <c r="Q464" s="64" t="s">
        <v>40251</v>
      </c>
      <c r="R464" s="10" t="s">
        <v>94</v>
      </c>
      <c r="S464" s="63" t="s">
        <v>22</v>
      </c>
      <c r="T464" s="54" t="s">
        <v>26781</v>
      </c>
      <c r="U464" s="68" t="s">
        <v>26575</v>
      </c>
      <c r="V464" s="68" t="s">
        <v>26573</v>
      </c>
      <c r="W464" s="68" t="s">
        <v>94</v>
      </c>
      <c r="X464" s="68">
        <v>4912</v>
      </c>
      <c r="Z464" s="68" t="s">
        <v>42968</v>
      </c>
      <c r="AA464" s="33">
        <v>7205</v>
      </c>
    </row>
    <row r="465" spans="1:27" ht="12" customHeight="1" x14ac:dyDescent="0.15">
      <c r="A465" s="10" t="s">
        <v>38217</v>
      </c>
      <c r="B465" s="99">
        <v>32</v>
      </c>
      <c r="C465" s="10" t="s">
        <v>14</v>
      </c>
      <c r="D465" s="10" t="s">
        <v>31</v>
      </c>
      <c r="E465" s="64" t="s">
        <v>38218</v>
      </c>
      <c r="F465" s="67">
        <v>43680</v>
      </c>
      <c r="G465" s="10" t="s">
        <v>38219</v>
      </c>
      <c r="H465" s="10" t="s">
        <v>696</v>
      </c>
      <c r="I465" s="10" t="s">
        <v>250</v>
      </c>
      <c r="J465" s="65">
        <v>89701</v>
      </c>
      <c r="K465" s="10" t="s">
        <v>696</v>
      </c>
      <c r="L465" s="10" t="s">
        <v>697</v>
      </c>
      <c r="M465" s="10" t="s">
        <v>21</v>
      </c>
      <c r="N465" s="10" t="s">
        <v>38220</v>
      </c>
      <c r="O465" s="10" t="s">
        <v>372</v>
      </c>
      <c r="P465" s="1" t="s">
        <v>30089</v>
      </c>
      <c r="Q465" s="64" t="s">
        <v>38221</v>
      </c>
      <c r="R465" s="10" t="s">
        <v>94</v>
      </c>
      <c r="S465" s="63" t="s">
        <v>22</v>
      </c>
      <c r="T465" s="68" t="s">
        <v>26781</v>
      </c>
      <c r="U465" s="68" t="s">
        <v>26572</v>
      </c>
      <c r="V465" s="68" t="s">
        <v>26573</v>
      </c>
      <c r="W465" s="68" t="s">
        <v>94</v>
      </c>
      <c r="X465" s="68">
        <v>4919</v>
      </c>
      <c r="Z465" s="68" t="s">
        <v>42966</v>
      </c>
      <c r="AA465" s="33">
        <v>7203</v>
      </c>
    </row>
    <row r="466" spans="1:27" ht="12" customHeight="1" x14ac:dyDescent="0.15">
      <c r="A466" s="10" t="s">
        <v>38955</v>
      </c>
      <c r="B466" s="99">
        <v>34</v>
      </c>
      <c r="C466" s="10" t="s">
        <v>14</v>
      </c>
      <c r="D466" s="10" t="s">
        <v>24</v>
      </c>
      <c r="E466" s="63"/>
      <c r="F466" s="67">
        <v>43679</v>
      </c>
      <c r="G466" s="10" t="s">
        <v>38956</v>
      </c>
      <c r="H466" s="10" t="s">
        <v>6191</v>
      </c>
      <c r="I466" s="10" t="s">
        <v>122</v>
      </c>
      <c r="J466" s="65">
        <v>55411</v>
      </c>
      <c r="K466" s="10" t="s">
        <v>1009</v>
      </c>
      <c r="L466" s="10" t="s">
        <v>15162</v>
      </c>
      <c r="M466" s="10" t="s">
        <v>21</v>
      </c>
      <c r="N466" s="10" t="s">
        <v>38957</v>
      </c>
      <c r="O466" s="10" t="s">
        <v>372</v>
      </c>
      <c r="P466" s="1" t="s">
        <v>30089</v>
      </c>
      <c r="Q466" s="64" t="s">
        <v>38958</v>
      </c>
      <c r="R466" s="10" t="s">
        <v>94</v>
      </c>
      <c r="S466" s="63" t="s">
        <v>22</v>
      </c>
      <c r="T466" s="68" t="s">
        <v>26781</v>
      </c>
      <c r="U466" s="68" t="s">
        <v>26572</v>
      </c>
      <c r="V466" s="68" t="s">
        <v>26573</v>
      </c>
      <c r="W466" s="68" t="s">
        <v>512</v>
      </c>
      <c r="X466" s="68">
        <v>4911</v>
      </c>
      <c r="Z466" s="68" t="s">
        <v>42966</v>
      </c>
      <c r="AA466" s="33">
        <v>7201</v>
      </c>
    </row>
    <row r="467" spans="1:27" ht="12" customHeight="1" x14ac:dyDescent="0.15">
      <c r="A467" s="10" t="s">
        <v>37528</v>
      </c>
      <c r="B467" s="99">
        <v>45</v>
      </c>
      <c r="C467" s="10" t="s">
        <v>14</v>
      </c>
      <c r="D467" s="10" t="s">
        <v>79</v>
      </c>
      <c r="E467" s="64" t="s">
        <v>37529</v>
      </c>
      <c r="F467" s="67">
        <v>43679</v>
      </c>
      <c r="G467" s="10" t="s">
        <v>37530</v>
      </c>
      <c r="H467" s="10" t="s">
        <v>197</v>
      </c>
      <c r="I467" s="10" t="s">
        <v>198</v>
      </c>
      <c r="J467" s="65">
        <v>46226</v>
      </c>
      <c r="K467" s="10" t="s">
        <v>392</v>
      </c>
      <c r="L467" s="10" t="s">
        <v>199</v>
      </c>
      <c r="M467" s="10" t="s">
        <v>21</v>
      </c>
      <c r="N467" s="10" t="s">
        <v>37531</v>
      </c>
      <c r="O467" s="10" t="s">
        <v>372</v>
      </c>
      <c r="P467" s="1" t="s">
        <v>30089</v>
      </c>
      <c r="Q467" s="64" t="s">
        <v>37532</v>
      </c>
      <c r="R467" s="10" t="s">
        <v>94</v>
      </c>
      <c r="S467" s="63" t="s">
        <v>22</v>
      </c>
      <c r="T467" s="68" t="s">
        <v>26781</v>
      </c>
      <c r="U467" s="68" t="s">
        <v>26572</v>
      </c>
      <c r="V467" s="68" t="s">
        <v>26573</v>
      </c>
      <c r="W467" s="68" t="s">
        <v>94</v>
      </c>
      <c r="X467" s="68">
        <v>4913</v>
      </c>
      <c r="Z467" s="68" t="s">
        <v>42966</v>
      </c>
      <c r="AA467" s="33">
        <v>7200</v>
      </c>
    </row>
    <row r="468" spans="1:27" ht="12" customHeight="1" x14ac:dyDescent="0.15">
      <c r="A468" s="10" t="s">
        <v>41187</v>
      </c>
      <c r="B468" s="99">
        <v>55</v>
      </c>
      <c r="C468" s="10" t="s">
        <v>14</v>
      </c>
      <c r="D468" s="10" t="s">
        <v>24</v>
      </c>
      <c r="E468" s="63"/>
      <c r="F468" s="67">
        <v>43679</v>
      </c>
      <c r="G468" s="10" t="s">
        <v>41188</v>
      </c>
      <c r="H468" s="10" t="s">
        <v>3855</v>
      </c>
      <c r="I468" s="10" t="s">
        <v>338</v>
      </c>
      <c r="J468" s="65">
        <v>28269</v>
      </c>
      <c r="K468" s="10" t="s">
        <v>3857</v>
      </c>
      <c r="L468" s="10" t="s">
        <v>3858</v>
      </c>
      <c r="M468" s="10" t="s">
        <v>21</v>
      </c>
      <c r="N468" s="10" t="s">
        <v>41189</v>
      </c>
      <c r="O468" s="10" t="s">
        <v>372</v>
      </c>
      <c r="P468" s="1" t="s">
        <v>30089</v>
      </c>
      <c r="Q468" s="64" t="s">
        <v>41190</v>
      </c>
      <c r="R468" s="10" t="s">
        <v>512</v>
      </c>
      <c r="S468" s="63" t="s">
        <v>22</v>
      </c>
      <c r="T468" s="68" t="s">
        <v>26781</v>
      </c>
      <c r="U468" s="68" t="s">
        <v>26572</v>
      </c>
      <c r="V468" s="68" t="s">
        <v>26573</v>
      </c>
      <c r="W468" s="68" t="s">
        <v>94</v>
      </c>
      <c r="X468" s="68">
        <v>4908</v>
      </c>
      <c r="Z468" s="68" t="s">
        <v>42968</v>
      </c>
      <c r="AA468" s="33">
        <v>7202</v>
      </c>
    </row>
    <row r="469" spans="1:27" ht="12" customHeight="1" x14ac:dyDescent="0.15">
      <c r="A469" s="10" t="s">
        <v>41396</v>
      </c>
      <c r="B469" s="99">
        <v>48</v>
      </c>
      <c r="C469" s="10" t="s">
        <v>14</v>
      </c>
      <c r="D469" s="10" t="s">
        <v>31</v>
      </c>
      <c r="E469" s="63"/>
      <c r="F469" s="67">
        <v>43678</v>
      </c>
      <c r="G469" s="10" t="s">
        <v>41397</v>
      </c>
      <c r="H469" s="10" t="s">
        <v>1463</v>
      </c>
      <c r="I469" s="10" t="s">
        <v>56</v>
      </c>
      <c r="J469" s="65">
        <v>33637</v>
      </c>
      <c r="K469" s="10" t="s">
        <v>590</v>
      </c>
      <c r="L469" s="10" t="s">
        <v>591</v>
      </c>
      <c r="M469" s="10" t="s">
        <v>21</v>
      </c>
      <c r="N469" s="10" t="s">
        <v>41398</v>
      </c>
      <c r="O469" s="10" t="s">
        <v>372</v>
      </c>
      <c r="P469" s="1" t="s">
        <v>30089</v>
      </c>
      <c r="Q469" s="64" t="s">
        <v>41399</v>
      </c>
      <c r="R469" s="10" t="s">
        <v>512</v>
      </c>
      <c r="S469" s="63" t="s">
        <v>22</v>
      </c>
      <c r="T469" s="68" t="s">
        <v>26774</v>
      </c>
      <c r="U469" s="68" t="s">
        <v>26570</v>
      </c>
      <c r="V469" s="68" t="s">
        <v>26573</v>
      </c>
      <c r="W469" s="68" t="s">
        <v>94</v>
      </c>
      <c r="X469" s="68">
        <v>4926</v>
      </c>
      <c r="Z469" s="68" t="s">
        <v>42968</v>
      </c>
      <c r="AA469" s="33">
        <v>7197</v>
      </c>
    </row>
    <row r="470" spans="1:27" ht="12" customHeight="1" x14ac:dyDescent="0.15">
      <c r="A470" s="10" t="s">
        <v>37533</v>
      </c>
      <c r="B470" s="99">
        <v>21</v>
      </c>
      <c r="C470" s="10" t="s">
        <v>14</v>
      </c>
      <c r="D470" s="10" t="s">
        <v>79</v>
      </c>
      <c r="E470" s="63"/>
      <c r="F470" s="67">
        <v>43678</v>
      </c>
      <c r="G470" s="10" t="s">
        <v>37534</v>
      </c>
      <c r="H470" s="10" t="s">
        <v>92</v>
      </c>
      <c r="I470" s="10" t="s">
        <v>39</v>
      </c>
      <c r="J470" s="65">
        <v>90043</v>
      </c>
      <c r="K470" s="10" t="s">
        <v>92</v>
      </c>
      <c r="L470" s="10" t="s">
        <v>386</v>
      </c>
      <c r="M470" s="10" t="s">
        <v>21</v>
      </c>
      <c r="N470" s="10" t="s">
        <v>37535</v>
      </c>
      <c r="O470" s="10" t="s">
        <v>372</v>
      </c>
      <c r="P470" s="1" t="s">
        <v>30089</v>
      </c>
      <c r="Q470" s="64" t="s">
        <v>37536</v>
      </c>
      <c r="R470" s="10" t="s">
        <v>94</v>
      </c>
      <c r="S470" s="63" t="s">
        <v>22</v>
      </c>
      <c r="T470" s="68" t="s">
        <v>26781</v>
      </c>
      <c r="U470" s="68" t="s">
        <v>26572</v>
      </c>
      <c r="V470" s="68" t="s">
        <v>26574</v>
      </c>
      <c r="W470" s="68" t="s">
        <v>94</v>
      </c>
      <c r="X470" s="68">
        <v>4917</v>
      </c>
      <c r="Z470" s="68" t="s">
        <v>42966</v>
      </c>
      <c r="AA470" s="33">
        <v>7194</v>
      </c>
    </row>
    <row r="471" spans="1:27" ht="12" customHeight="1" x14ac:dyDescent="0.15">
      <c r="A471" s="10" t="s">
        <v>38222</v>
      </c>
      <c r="B471" s="99">
        <v>36</v>
      </c>
      <c r="C471" s="10" t="s">
        <v>14</v>
      </c>
      <c r="D471" s="10" t="s">
        <v>31</v>
      </c>
      <c r="E471" s="64" t="s">
        <v>38223</v>
      </c>
      <c r="F471" s="67">
        <v>43678</v>
      </c>
      <c r="G471" s="10" t="s">
        <v>38224</v>
      </c>
      <c r="H471" s="10" t="s">
        <v>2064</v>
      </c>
      <c r="I471" s="10" t="s">
        <v>139</v>
      </c>
      <c r="J471" s="65">
        <v>25312</v>
      </c>
      <c r="K471" s="10" t="s">
        <v>859</v>
      </c>
      <c r="L471" s="10" t="s">
        <v>141</v>
      </c>
      <c r="M471" s="10" t="s">
        <v>21</v>
      </c>
      <c r="N471" s="10" t="s">
        <v>38225</v>
      </c>
      <c r="O471" s="10" t="s">
        <v>372</v>
      </c>
      <c r="P471" s="1" t="s">
        <v>30089</v>
      </c>
      <c r="Q471" s="64" t="s">
        <v>38226</v>
      </c>
      <c r="R471" s="10" t="s">
        <v>94</v>
      </c>
      <c r="S471" s="63" t="s">
        <v>22</v>
      </c>
      <c r="T471" s="68" t="s">
        <v>26781</v>
      </c>
      <c r="U471" s="68" t="s">
        <v>26572</v>
      </c>
      <c r="V471" s="68" t="s">
        <v>19228</v>
      </c>
      <c r="W471" s="68" t="s">
        <v>94</v>
      </c>
      <c r="X471" s="68">
        <v>4924</v>
      </c>
      <c r="Z471" s="68" t="s">
        <v>42967</v>
      </c>
      <c r="AA471" s="33">
        <v>7195</v>
      </c>
    </row>
    <row r="472" spans="1:27" ht="12" customHeight="1" x14ac:dyDescent="0.15">
      <c r="A472" s="10" t="s">
        <v>38964</v>
      </c>
      <c r="B472" s="99">
        <v>27</v>
      </c>
      <c r="C472" s="10" t="s">
        <v>14</v>
      </c>
      <c r="D472" s="10" t="s">
        <v>24</v>
      </c>
      <c r="E472" s="63"/>
      <c r="F472" s="67">
        <v>43678</v>
      </c>
      <c r="G472" s="10" t="s">
        <v>38965</v>
      </c>
      <c r="H472" s="10" t="s">
        <v>3751</v>
      </c>
      <c r="I472" s="10" t="s">
        <v>376</v>
      </c>
      <c r="J472" s="65">
        <v>18102</v>
      </c>
      <c r="K472" s="10" t="s">
        <v>3753</v>
      </c>
      <c r="L472" s="10" t="s">
        <v>16176</v>
      </c>
      <c r="M472" s="10" t="s">
        <v>21</v>
      </c>
      <c r="N472" s="10" t="s">
        <v>38966</v>
      </c>
      <c r="O472" s="10" t="s">
        <v>372</v>
      </c>
      <c r="P472" s="1" t="s">
        <v>30089</v>
      </c>
      <c r="Q472" s="64" t="s">
        <v>38967</v>
      </c>
      <c r="R472" s="10" t="s">
        <v>94</v>
      </c>
      <c r="S472" s="63" t="s">
        <v>22</v>
      </c>
      <c r="T472" s="68" t="s">
        <v>26781</v>
      </c>
      <c r="U472" s="68" t="s">
        <v>26572</v>
      </c>
      <c r="V472" s="68" t="s">
        <v>26573</v>
      </c>
      <c r="W472" s="68" t="s">
        <v>94</v>
      </c>
      <c r="X472" s="68">
        <v>4921</v>
      </c>
      <c r="Z472" s="68" t="s">
        <v>42966</v>
      </c>
      <c r="AA472" s="33">
        <v>7196</v>
      </c>
    </row>
    <row r="473" spans="1:27" ht="12" customHeight="1" x14ac:dyDescent="0.15">
      <c r="A473" s="10" t="s">
        <v>40118</v>
      </c>
      <c r="B473" s="99">
        <v>30</v>
      </c>
      <c r="C473" s="10" t="s">
        <v>103</v>
      </c>
      <c r="D473" s="10" t="s">
        <v>31</v>
      </c>
      <c r="E473" s="64" t="s">
        <v>40119</v>
      </c>
      <c r="F473" s="67">
        <v>43678</v>
      </c>
      <c r="G473" s="10" t="s">
        <v>40120</v>
      </c>
      <c r="H473" s="10" t="s">
        <v>787</v>
      </c>
      <c r="I473" s="10" t="s">
        <v>67</v>
      </c>
      <c r="J473" s="65">
        <v>76011</v>
      </c>
      <c r="K473" s="10" t="s">
        <v>68</v>
      </c>
      <c r="L473" s="10" t="s">
        <v>788</v>
      </c>
      <c r="M473" s="10" t="s">
        <v>21</v>
      </c>
      <c r="N473" s="10" t="s">
        <v>40121</v>
      </c>
      <c r="O473" s="10" t="s">
        <v>372</v>
      </c>
      <c r="P473" s="1" t="s">
        <v>30089</v>
      </c>
      <c r="Q473" s="64" t="s">
        <v>40122</v>
      </c>
      <c r="R473" s="10" t="s">
        <v>23</v>
      </c>
      <c r="S473" s="63" t="s">
        <v>12</v>
      </c>
      <c r="T473" s="68" t="s">
        <v>29705</v>
      </c>
      <c r="U473" s="68" t="s">
        <v>26570</v>
      </c>
      <c r="V473" s="68" t="s">
        <v>26573</v>
      </c>
      <c r="W473" s="68" t="s">
        <v>94</v>
      </c>
      <c r="X473" s="68">
        <v>4922</v>
      </c>
      <c r="Z473" s="68" t="s">
        <v>42966</v>
      </c>
      <c r="AA473" s="33">
        <v>7198</v>
      </c>
    </row>
    <row r="474" spans="1:27" ht="12" customHeight="1" x14ac:dyDescent="0.15">
      <c r="A474" s="10" t="s">
        <v>31217</v>
      </c>
      <c r="B474" s="99">
        <v>54</v>
      </c>
      <c r="C474" s="10" t="s">
        <v>14</v>
      </c>
      <c r="D474" s="10" t="s">
        <v>24</v>
      </c>
      <c r="E474" s="63"/>
      <c r="F474" s="67">
        <v>43678</v>
      </c>
      <c r="G474" s="10" t="s">
        <v>40789</v>
      </c>
      <c r="H474" s="10" t="s">
        <v>40790</v>
      </c>
      <c r="I474" s="10" t="s">
        <v>294</v>
      </c>
      <c r="J474" s="65">
        <v>40447</v>
      </c>
      <c r="K474" s="10" t="s">
        <v>404</v>
      </c>
      <c r="L474" s="10" t="s">
        <v>18258</v>
      </c>
      <c r="M474" s="10" t="s">
        <v>21</v>
      </c>
      <c r="N474" s="10" t="s">
        <v>40791</v>
      </c>
      <c r="O474" s="10" t="s">
        <v>372</v>
      </c>
      <c r="P474" s="1" t="s">
        <v>30089</v>
      </c>
      <c r="Q474" s="64" t="s">
        <v>40792</v>
      </c>
      <c r="R474" s="10" t="s">
        <v>94</v>
      </c>
      <c r="S474" s="63" t="s">
        <v>351</v>
      </c>
      <c r="T474" s="68" t="s">
        <v>26867</v>
      </c>
      <c r="U474" s="68" t="s">
        <v>26572</v>
      </c>
      <c r="V474" s="68" t="s">
        <v>26571</v>
      </c>
      <c r="W474" s="68" t="s">
        <v>94</v>
      </c>
      <c r="X474" s="68">
        <v>4925</v>
      </c>
      <c r="Z474" s="68" t="s">
        <v>42967</v>
      </c>
      <c r="AA474" s="33">
        <v>7199</v>
      </c>
    </row>
    <row r="475" spans="1:27" ht="12" customHeight="1" x14ac:dyDescent="0.15">
      <c r="A475" s="10" t="s">
        <v>41448</v>
      </c>
      <c r="B475" s="99">
        <v>43</v>
      </c>
      <c r="C475" s="10" t="s">
        <v>14</v>
      </c>
      <c r="D475" s="10" t="s">
        <v>24</v>
      </c>
      <c r="E475" s="63"/>
      <c r="F475" s="67">
        <v>43677</v>
      </c>
      <c r="G475" s="10" t="s">
        <v>41449</v>
      </c>
      <c r="H475" s="10" t="s">
        <v>1227</v>
      </c>
      <c r="I475" s="10" t="s">
        <v>67</v>
      </c>
      <c r="J475" s="65">
        <v>78703</v>
      </c>
      <c r="K475" s="10" t="s">
        <v>1228</v>
      </c>
      <c r="L475" s="10" t="s">
        <v>1229</v>
      </c>
      <c r="M475" s="10" t="s">
        <v>21</v>
      </c>
      <c r="N475" s="10" t="s">
        <v>41450</v>
      </c>
      <c r="O475" s="10" t="s">
        <v>372</v>
      </c>
      <c r="P475" s="1" t="s">
        <v>30089</v>
      </c>
      <c r="Q475" s="64" t="s">
        <v>41451</v>
      </c>
      <c r="R475" s="10" t="s">
        <v>512</v>
      </c>
      <c r="S475" s="63" t="s">
        <v>22</v>
      </c>
      <c r="T475" s="68" t="s">
        <v>26774</v>
      </c>
      <c r="U475" s="68" t="s">
        <v>26570</v>
      </c>
      <c r="V475" s="68" t="s">
        <v>26573</v>
      </c>
      <c r="W475" s="68" t="s">
        <v>94</v>
      </c>
      <c r="X475" s="68">
        <v>4923</v>
      </c>
      <c r="Z475" s="68" t="s">
        <v>42968</v>
      </c>
      <c r="AA475" s="33">
        <v>7192</v>
      </c>
    </row>
    <row r="476" spans="1:27" ht="12" customHeight="1" x14ac:dyDescent="0.15">
      <c r="A476" s="10" t="s">
        <v>37869</v>
      </c>
      <c r="B476" s="99">
        <v>46</v>
      </c>
      <c r="C476" s="10" t="s">
        <v>14</v>
      </c>
      <c r="D476" s="10" t="s">
        <v>31</v>
      </c>
      <c r="E476" s="10"/>
      <c r="F476" s="67">
        <v>43677</v>
      </c>
      <c r="G476" s="10" t="s">
        <v>37870</v>
      </c>
      <c r="H476" s="10" t="s">
        <v>37871</v>
      </c>
      <c r="I476" s="10" t="s">
        <v>63</v>
      </c>
      <c r="J476" s="65">
        <v>45211</v>
      </c>
      <c r="K476" s="10" t="s">
        <v>505</v>
      </c>
      <c r="L476" s="10" t="s">
        <v>37872</v>
      </c>
      <c r="M476" s="10" t="s">
        <v>21</v>
      </c>
      <c r="N476" s="10" t="s">
        <v>37873</v>
      </c>
      <c r="O476" s="10" t="s">
        <v>37043</v>
      </c>
      <c r="P476" s="1" t="s">
        <v>30089</v>
      </c>
      <c r="Q476" s="64" t="s">
        <v>37874</v>
      </c>
      <c r="R476" s="10" t="s">
        <v>94</v>
      </c>
      <c r="S476" s="63" t="s">
        <v>22</v>
      </c>
      <c r="T476" s="68" t="s">
        <v>26781</v>
      </c>
      <c r="U476" s="68" t="s">
        <v>26572</v>
      </c>
      <c r="V476" s="68" t="s">
        <v>26573</v>
      </c>
      <c r="W476" s="68" t="s">
        <v>94</v>
      </c>
      <c r="X476" s="68">
        <v>4952</v>
      </c>
      <c r="Z476" s="68" t="s">
        <v>42968</v>
      </c>
      <c r="AA476" s="33">
        <v>7189</v>
      </c>
    </row>
    <row r="477" spans="1:27" ht="12" customHeight="1" x14ac:dyDescent="0.15">
      <c r="A477" s="10" t="s">
        <v>40511</v>
      </c>
      <c r="B477" s="99">
        <v>37</v>
      </c>
      <c r="C477" s="10" t="s">
        <v>14</v>
      </c>
      <c r="D477" s="10" t="s">
        <v>31</v>
      </c>
      <c r="E477" s="64" t="s">
        <v>40512</v>
      </c>
      <c r="F477" s="67">
        <v>43677</v>
      </c>
      <c r="G477" s="10" t="s">
        <v>40513</v>
      </c>
      <c r="H477" s="10" t="s">
        <v>6032</v>
      </c>
      <c r="I477" s="10" t="s">
        <v>221</v>
      </c>
      <c r="J477" s="65">
        <v>84067</v>
      </c>
      <c r="K477" s="10" t="s">
        <v>40514</v>
      </c>
      <c r="L477" s="10" t="s">
        <v>6688</v>
      </c>
      <c r="M477" s="10" t="s">
        <v>21</v>
      </c>
      <c r="N477" s="10" t="s">
        <v>40515</v>
      </c>
      <c r="O477" s="10" t="s">
        <v>372</v>
      </c>
      <c r="P477" s="1" t="s">
        <v>30089</v>
      </c>
      <c r="Q477" s="64" t="s">
        <v>40516</v>
      </c>
      <c r="R477" s="10" t="s">
        <v>94</v>
      </c>
      <c r="S477" s="63" t="s">
        <v>29</v>
      </c>
      <c r="T477" s="68" t="s">
        <v>26576</v>
      </c>
      <c r="U477" s="68" t="s">
        <v>26570</v>
      </c>
      <c r="V477" s="68">
        <v>0</v>
      </c>
      <c r="W477" s="68" t="s">
        <v>94</v>
      </c>
      <c r="X477" s="68">
        <v>4903</v>
      </c>
      <c r="Z477" s="68" t="s">
        <v>42968</v>
      </c>
      <c r="AA477" s="33">
        <v>7193</v>
      </c>
    </row>
    <row r="478" spans="1:27" ht="12" customHeight="1" x14ac:dyDescent="0.15">
      <c r="A478" s="10" t="s">
        <v>38750</v>
      </c>
      <c r="B478" s="99">
        <v>58</v>
      </c>
      <c r="C478" s="10" t="s">
        <v>14</v>
      </c>
      <c r="D478" s="10" t="s">
        <v>42</v>
      </c>
      <c r="E478" s="64" t="s">
        <v>38751</v>
      </c>
      <c r="F478" s="67">
        <v>43677</v>
      </c>
      <c r="G478" s="10" t="s">
        <v>38752</v>
      </c>
      <c r="H478" s="10" t="s">
        <v>532</v>
      </c>
      <c r="I478" s="10" t="s">
        <v>67</v>
      </c>
      <c r="J478" s="65">
        <v>78207</v>
      </c>
      <c r="K478" s="10" t="s">
        <v>533</v>
      </c>
      <c r="L478" s="10" t="s">
        <v>534</v>
      </c>
      <c r="M478" s="10" t="s">
        <v>21</v>
      </c>
      <c r="N478" s="10" t="s">
        <v>38753</v>
      </c>
      <c r="O478" s="10" t="s">
        <v>372</v>
      </c>
      <c r="P478" s="1" t="s">
        <v>30089</v>
      </c>
      <c r="Q478" s="64" t="s">
        <v>38754</v>
      </c>
      <c r="R478" s="10" t="s">
        <v>94</v>
      </c>
      <c r="S478" s="63" t="s">
        <v>22</v>
      </c>
      <c r="T478" s="68" t="s">
        <v>26781</v>
      </c>
      <c r="U478" s="68" t="s">
        <v>26572</v>
      </c>
      <c r="V478" s="68" t="s">
        <v>26573</v>
      </c>
      <c r="W478" s="68" t="s">
        <v>94</v>
      </c>
      <c r="X478" s="68">
        <v>4927</v>
      </c>
      <c r="Z478" s="68" t="s">
        <v>42966</v>
      </c>
      <c r="AA478" s="33">
        <v>7190</v>
      </c>
    </row>
    <row r="479" spans="1:27" ht="12" customHeight="1" x14ac:dyDescent="0.15">
      <c r="A479" s="10" t="s">
        <v>42276</v>
      </c>
      <c r="B479" s="99">
        <v>42</v>
      </c>
      <c r="C479" s="10" t="s">
        <v>14</v>
      </c>
      <c r="D479" s="10" t="s">
        <v>24</v>
      </c>
      <c r="E479" s="63"/>
      <c r="F479" s="67">
        <v>43677</v>
      </c>
      <c r="G479" s="10" t="s">
        <v>42277</v>
      </c>
      <c r="H479" s="10" t="s">
        <v>1138</v>
      </c>
      <c r="I479" s="10" t="s">
        <v>298</v>
      </c>
      <c r="J479" s="65">
        <v>37419</v>
      </c>
      <c r="K479" s="10" t="s">
        <v>505</v>
      </c>
      <c r="L479" s="10" t="s">
        <v>1139</v>
      </c>
      <c r="M479" s="10" t="s">
        <v>21</v>
      </c>
      <c r="N479" s="10" t="s">
        <v>42278</v>
      </c>
      <c r="O479" s="10" t="s">
        <v>372</v>
      </c>
      <c r="P479" s="1" t="s">
        <v>30089</v>
      </c>
      <c r="Q479" s="64" t="s">
        <v>42279</v>
      </c>
      <c r="R479" s="10" t="s">
        <v>512</v>
      </c>
      <c r="S479" s="63" t="s">
        <v>22</v>
      </c>
      <c r="T479" s="34" t="s">
        <v>26781</v>
      </c>
      <c r="U479" s="34" t="s">
        <v>26572</v>
      </c>
      <c r="V479" s="68"/>
      <c r="W479" s="68"/>
      <c r="X479" s="68"/>
      <c r="Z479" s="68" t="s">
        <v>42968</v>
      </c>
      <c r="AA479" s="33">
        <v>7191</v>
      </c>
    </row>
    <row r="480" spans="1:27" ht="12" customHeight="1" x14ac:dyDescent="0.15">
      <c r="A480" s="10" t="s">
        <v>37195</v>
      </c>
      <c r="B480" s="99">
        <v>31</v>
      </c>
      <c r="C480" s="10" t="s">
        <v>14</v>
      </c>
      <c r="D480" s="10" t="s">
        <v>31</v>
      </c>
      <c r="E480" s="64" t="s">
        <v>37196</v>
      </c>
      <c r="F480" s="67">
        <v>43676</v>
      </c>
      <c r="G480" s="10" t="s">
        <v>37197</v>
      </c>
      <c r="H480" s="10" t="s">
        <v>1459</v>
      </c>
      <c r="I480" s="10" t="s">
        <v>106</v>
      </c>
      <c r="J480" s="65">
        <v>97216</v>
      </c>
      <c r="K480" s="10" t="s">
        <v>1461</v>
      </c>
      <c r="L480" s="10" t="s">
        <v>16039</v>
      </c>
      <c r="M480" s="10" t="s">
        <v>21</v>
      </c>
      <c r="N480" s="10" t="s">
        <v>37198</v>
      </c>
      <c r="O480" s="10" t="s">
        <v>372</v>
      </c>
      <c r="P480" s="1" t="s">
        <v>30089</v>
      </c>
      <c r="Q480" s="64" t="s">
        <v>37199</v>
      </c>
      <c r="R480" s="10" t="s">
        <v>94</v>
      </c>
      <c r="S480" s="63" t="s">
        <v>22</v>
      </c>
      <c r="T480" s="68" t="s">
        <v>27020</v>
      </c>
      <c r="U480" s="68" t="s">
        <v>26572</v>
      </c>
      <c r="V480" s="68">
        <v>0</v>
      </c>
      <c r="W480" s="68" t="s">
        <v>94</v>
      </c>
      <c r="X480" s="68">
        <v>4902</v>
      </c>
      <c r="Z480" s="68" t="s">
        <v>42966</v>
      </c>
      <c r="AA480" s="33">
        <v>7188</v>
      </c>
    </row>
    <row r="481" spans="1:27" ht="12" customHeight="1" x14ac:dyDescent="0.15">
      <c r="A481" s="63" t="s">
        <v>37254</v>
      </c>
      <c r="B481" s="101">
        <v>16</v>
      </c>
      <c r="C481" s="10" t="s">
        <v>14</v>
      </c>
      <c r="D481" s="10" t="s">
        <v>79</v>
      </c>
      <c r="E481" s="10"/>
      <c r="F481" s="67">
        <v>43675</v>
      </c>
      <c r="G481" s="10" t="s">
        <v>37255</v>
      </c>
      <c r="H481" s="10" t="s">
        <v>6676</v>
      </c>
      <c r="I481" s="10" t="s">
        <v>67</v>
      </c>
      <c r="J481" s="65">
        <v>77530</v>
      </c>
      <c r="K481" s="10" t="s">
        <v>515</v>
      </c>
      <c r="L481" s="10" t="s">
        <v>516</v>
      </c>
      <c r="M481" s="10" t="s">
        <v>21</v>
      </c>
      <c r="N481" s="10" t="s">
        <v>37256</v>
      </c>
      <c r="O481" s="10" t="s">
        <v>372</v>
      </c>
      <c r="P481" s="1" t="s">
        <v>30089</v>
      </c>
      <c r="Q481" s="64" t="s">
        <v>37257</v>
      </c>
      <c r="R481" s="10" t="s">
        <v>94</v>
      </c>
      <c r="S481" s="63" t="s">
        <v>22</v>
      </c>
      <c r="T481" s="68" t="s">
        <v>26781</v>
      </c>
      <c r="U481" s="68" t="s">
        <v>26570</v>
      </c>
      <c r="V481" s="68" t="s">
        <v>26571</v>
      </c>
      <c r="W481" s="68" t="s">
        <v>94</v>
      </c>
      <c r="X481" s="68">
        <v>4900</v>
      </c>
      <c r="Z481" s="68" t="s">
        <v>42968</v>
      </c>
      <c r="AA481" s="33">
        <v>7187</v>
      </c>
    </row>
    <row r="482" spans="1:27" ht="12" customHeight="1" x14ac:dyDescent="0.15">
      <c r="A482" s="1" t="s">
        <v>42446</v>
      </c>
      <c r="B482" s="1">
        <v>52</v>
      </c>
      <c r="C482" s="1" t="s">
        <v>103</v>
      </c>
      <c r="D482" s="1" t="s">
        <v>79</v>
      </c>
      <c r="E482" s="1"/>
      <c r="F482" s="67">
        <v>43674</v>
      </c>
      <c r="G482" s="1" t="s">
        <v>42447</v>
      </c>
      <c r="H482" s="1" t="s">
        <v>674</v>
      </c>
      <c r="I482" s="1" t="s">
        <v>67</v>
      </c>
      <c r="J482" s="1">
        <v>77033</v>
      </c>
      <c r="K482" s="1" t="s">
        <v>515</v>
      </c>
      <c r="L482" s="1" t="s">
        <v>516</v>
      </c>
      <c r="M482" s="1" t="s">
        <v>21</v>
      </c>
      <c r="N482" s="1" t="s">
        <v>42448</v>
      </c>
      <c r="O482" s="1" t="s">
        <v>32706</v>
      </c>
      <c r="P482" s="1" t="s">
        <v>1084</v>
      </c>
      <c r="Q482" s="1" t="s">
        <v>42449</v>
      </c>
      <c r="R482" s="1" t="s">
        <v>94</v>
      </c>
      <c r="S482" s="63" t="s">
        <v>12</v>
      </c>
      <c r="T482" s="54" t="s">
        <v>29705</v>
      </c>
      <c r="U482" s="68"/>
      <c r="V482" s="68"/>
      <c r="W482" s="68"/>
      <c r="X482" s="68"/>
      <c r="Y482" s="33" t="s">
        <v>42476</v>
      </c>
      <c r="Z482" s="1" t="s">
        <v>42966</v>
      </c>
      <c r="AA482" s="33">
        <v>7186</v>
      </c>
    </row>
    <row r="483" spans="1:27" ht="12" customHeight="1" x14ac:dyDescent="0.15">
      <c r="A483" s="10" t="s">
        <v>38736</v>
      </c>
      <c r="B483" s="99">
        <v>62</v>
      </c>
      <c r="C483" s="10" t="s">
        <v>14</v>
      </c>
      <c r="D483" s="10" t="s">
        <v>42</v>
      </c>
      <c r="E483" s="64" t="s">
        <v>38737</v>
      </c>
      <c r="F483" s="67">
        <v>43674</v>
      </c>
      <c r="G483" s="10" t="s">
        <v>38738</v>
      </c>
      <c r="H483" s="10" t="s">
        <v>11818</v>
      </c>
      <c r="I483" s="10" t="s">
        <v>56</v>
      </c>
      <c r="J483" s="65">
        <v>33426</v>
      </c>
      <c r="K483" s="10" t="s">
        <v>4878</v>
      </c>
      <c r="L483" s="10" t="s">
        <v>38641</v>
      </c>
      <c r="M483" s="10" t="s">
        <v>21</v>
      </c>
      <c r="N483" s="10" t="s">
        <v>38739</v>
      </c>
      <c r="O483" s="10" t="s">
        <v>372</v>
      </c>
      <c r="P483" s="1" t="s">
        <v>30089</v>
      </c>
      <c r="Q483" s="64" t="s">
        <v>38740</v>
      </c>
      <c r="R483" s="10" t="s">
        <v>94</v>
      </c>
      <c r="S483" s="63" t="s">
        <v>22</v>
      </c>
      <c r="T483" s="68" t="s">
        <v>26781</v>
      </c>
      <c r="U483" s="68" t="s">
        <v>26572</v>
      </c>
      <c r="V483" s="68" t="s">
        <v>26573</v>
      </c>
      <c r="W483" s="68" t="s">
        <v>94</v>
      </c>
      <c r="X483" s="68">
        <v>4895</v>
      </c>
      <c r="Z483" s="68" t="s">
        <v>42968</v>
      </c>
      <c r="AA483" s="33">
        <v>7185</v>
      </c>
    </row>
    <row r="484" spans="1:27" ht="12" customHeight="1" x14ac:dyDescent="0.15">
      <c r="A484" s="10" t="s">
        <v>37250</v>
      </c>
      <c r="B484" s="100">
        <v>42</v>
      </c>
      <c r="C484" s="10" t="s">
        <v>14</v>
      </c>
      <c r="D484" s="10" t="s">
        <v>79</v>
      </c>
      <c r="E484" s="10"/>
      <c r="F484" s="67">
        <v>43673</v>
      </c>
      <c r="G484" s="10" t="s">
        <v>37251</v>
      </c>
      <c r="H484" s="10" t="s">
        <v>266</v>
      </c>
      <c r="I484" s="10" t="s">
        <v>67</v>
      </c>
      <c r="J484" s="65">
        <v>75241</v>
      </c>
      <c r="K484" s="10" t="s">
        <v>266</v>
      </c>
      <c r="L484" s="10" t="s">
        <v>267</v>
      </c>
      <c r="M484" s="10" t="s">
        <v>21</v>
      </c>
      <c r="N484" s="10" t="s">
        <v>37252</v>
      </c>
      <c r="O484" s="10" t="s">
        <v>372</v>
      </c>
      <c r="P484" s="1" t="s">
        <v>30089</v>
      </c>
      <c r="Q484" s="64" t="s">
        <v>37253</v>
      </c>
      <c r="R484" s="10" t="s">
        <v>94</v>
      </c>
      <c r="S484" s="63" t="s">
        <v>22</v>
      </c>
      <c r="T484" s="68" t="s">
        <v>26781</v>
      </c>
      <c r="U484" s="68" t="s">
        <v>26572</v>
      </c>
      <c r="V484" s="68" t="s">
        <v>26573</v>
      </c>
      <c r="W484" s="68" t="s">
        <v>94</v>
      </c>
      <c r="X484" s="68">
        <v>4898</v>
      </c>
      <c r="Z484" s="68" t="s">
        <v>42968</v>
      </c>
      <c r="AA484" s="33">
        <v>7184</v>
      </c>
    </row>
    <row r="485" spans="1:27" ht="12" customHeight="1" x14ac:dyDescent="0.15">
      <c r="A485" s="10" t="s">
        <v>38209</v>
      </c>
      <c r="B485" s="99">
        <v>49</v>
      </c>
      <c r="C485" s="10" t="s">
        <v>14</v>
      </c>
      <c r="D485" s="10" t="s">
        <v>31</v>
      </c>
      <c r="E485" s="64" t="s">
        <v>38210</v>
      </c>
      <c r="F485" s="67">
        <v>43672</v>
      </c>
      <c r="G485" s="10" t="s">
        <v>38211</v>
      </c>
      <c r="H485" s="10" t="s">
        <v>38212</v>
      </c>
      <c r="I485" s="10" t="s">
        <v>376</v>
      </c>
      <c r="J485" s="65">
        <v>16673</v>
      </c>
      <c r="K485" s="10" t="s">
        <v>38213</v>
      </c>
      <c r="L485" s="10" t="s">
        <v>38214</v>
      </c>
      <c r="M485" s="10" t="s">
        <v>21</v>
      </c>
      <c r="N485" s="10" t="s">
        <v>38215</v>
      </c>
      <c r="O485" s="10" t="s">
        <v>372</v>
      </c>
      <c r="P485" s="1" t="s">
        <v>30089</v>
      </c>
      <c r="Q485" s="64" t="s">
        <v>38216</v>
      </c>
      <c r="R485" s="10" t="s">
        <v>512</v>
      </c>
      <c r="S485" s="63" t="s">
        <v>22</v>
      </c>
      <c r="T485" s="68" t="s">
        <v>26781</v>
      </c>
      <c r="U485" s="68" t="s">
        <v>26572</v>
      </c>
      <c r="V485" s="68" t="s">
        <v>26573</v>
      </c>
      <c r="W485" s="68" t="s">
        <v>94</v>
      </c>
      <c r="X485" s="68">
        <v>4897</v>
      </c>
      <c r="Z485" s="68" t="s">
        <v>42967</v>
      </c>
      <c r="AA485" s="33">
        <v>7182</v>
      </c>
    </row>
    <row r="486" spans="1:27" ht="12" customHeight="1" x14ac:dyDescent="0.15">
      <c r="A486" s="10" t="s">
        <v>37795</v>
      </c>
      <c r="B486" s="99">
        <v>41</v>
      </c>
      <c r="C486" s="10" t="s">
        <v>14</v>
      </c>
      <c r="D486" s="10" t="s">
        <v>79</v>
      </c>
      <c r="E486" s="64" t="s">
        <v>37796</v>
      </c>
      <c r="F486" s="67">
        <v>43672</v>
      </c>
      <c r="G486" s="10" t="s">
        <v>37797</v>
      </c>
      <c r="H486" s="10" t="s">
        <v>793</v>
      </c>
      <c r="I486" s="10" t="s">
        <v>35</v>
      </c>
      <c r="J486" s="65">
        <v>6103</v>
      </c>
      <c r="K486" s="10" t="s">
        <v>793</v>
      </c>
      <c r="L486" s="10" t="s">
        <v>794</v>
      </c>
      <c r="M486" s="10" t="s">
        <v>21</v>
      </c>
      <c r="N486" s="10" t="s">
        <v>37798</v>
      </c>
      <c r="O486" s="10" t="s">
        <v>37799</v>
      </c>
      <c r="P486" s="1" t="s">
        <v>30089</v>
      </c>
      <c r="Q486" s="64" t="s">
        <v>37800</v>
      </c>
      <c r="R486" s="10" t="s">
        <v>94</v>
      </c>
      <c r="S486" s="63" t="s">
        <v>22</v>
      </c>
      <c r="T486" s="68" t="s">
        <v>26781</v>
      </c>
      <c r="U486" s="68" t="s">
        <v>26572</v>
      </c>
      <c r="V486" s="68" t="s">
        <v>26571</v>
      </c>
      <c r="W486" s="68" t="s">
        <v>512</v>
      </c>
      <c r="X486" s="68">
        <v>4896</v>
      </c>
      <c r="Z486" s="68" t="s">
        <v>42966</v>
      </c>
      <c r="AA486" s="33">
        <v>7181</v>
      </c>
    </row>
    <row r="487" spans="1:27" ht="12" customHeight="1" x14ac:dyDescent="0.15">
      <c r="A487" s="10" t="s">
        <v>41282</v>
      </c>
      <c r="B487" s="99">
        <v>56</v>
      </c>
      <c r="C487" s="10" t="s">
        <v>14</v>
      </c>
      <c r="D487" s="68" t="s">
        <v>31</v>
      </c>
      <c r="E487" s="10"/>
      <c r="F487" s="67">
        <v>43672</v>
      </c>
      <c r="G487" s="10" t="s">
        <v>41283</v>
      </c>
      <c r="H487" s="10" t="s">
        <v>41284</v>
      </c>
      <c r="I487" s="10" t="s">
        <v>26</v>
      </c>
      <c r="J487" s="65">
        <v>29909</v>
      </c>
      <c r="K487" s="10" t="s">
        <v>12027</v>
      </c>
      <c r="L487" s="10" t="s">
        <v>36493</v>
      </c>
      <c r="M487" s="10" t="s">
        <v>21</v>
      </c>
      <c r="N487" s="10" t="s">
        <v>41285</v>
      </c>
      <c r="O487" s="10" t="s">
        <v>372</v>
      </c>
      <c r="P487" s="1" t="s">
        <v>30089</v>
      </c>
      <c r="Q487" s="64" t="s">
        <v>41286</v>
      </c>
      <c r="R487" s="10" t="s">
        <v>512</v>
      </c>
      <c r="S487" s="63" t="s">
        <v>22</v>
      </c>
      <c r="T487" s="68" t="s">
        <v>26781</v>
      </c>
      <c r="U487" s="68" t="s">
        <v>26570</v>
      </c>
      <c r="V487" s="68" t="s">
        <v>26573</v>
      </c>
      <c r="W487" s="68" t="s">
        <v>94</v>
      </c>
      <c r="X487" s="68">
        <v>4901</v>
      </c>
      <c r="Z487" s="68" t="s">
        <v>42968</v>
      </c>
      <c r="AA487" s="33">
        <v>7183</v>
      </c>
    </row>
    <row r="488" spans="1:27" ht="12" customHeight="1" x14ac:dyDescent="0.15">
      <c r="A488" s="10" t="s">
        <v>41927</v>
      </c>
      <c r="B488" s="99">
        <v>44</v>
      </c>
      <c r="C488" s="10" t="s">
        <v>14</v>
      </c>
      <c r="D488" s="10" t="s">
        <v>31</v>
      </c>
      <c r="E488" s="64" t="s">
        <v>41928</v>
      </c>
      <c r="F488" s="67">
        <v>43671</v>
      </c>
      <c r="G488" s="10" t="s">
        <v>41929</v>
      </c>
      <c r="H488" s="10" t="s">
        <v>41930</v>
      </c>
      <c r="I488" s="10" t="s">
        <v>67</v>
      </c>
      <c r="J488" s="65">
        <v>76706</v>
      </c>
      <c r="K488" s="10" t="s">
        <v>744</v>
      </c>
      <c r="L488" s="10" t="s">
        <v>32193</v>
      </c>
      <c r="M488" s="10" t="s">
        <v>21</v>
      </c>
      <c r="N488" s="10" t="s">
        <v>41931</v>
      </c>
      <c r="O488" s="10" t="s">
        <v>372</v>
      </c>
      <c r="P488" s="1" t="s">
        <v>30089</v>
      </c>
      <c r="Q488" s="64" t="s">
        <v>41932</v>
      </c>
      <c r="R488" s="10" t="s">
        <v>94</v>
      </c>
      <c r="S488" s="63" t="s">
        <v>29</v>
      </c>
      <c r="T488" s="34" t="s">
        <v>41840</v>
      </c>
      <c r="U488" s="34"/>
      <c r="V488" s="68"/>
      <c r="W488" s="68"/>
      <c r="X488" s="68"/>
      <c r="Z488" s="68" t="s">
        <v>42968</v>
      </c>
      <c r="AA488" s="33">
        <v>7179</v>
      </c>
    </row>
    <row r="489" spans="1:27" ht="12" customHeight="1" x14ac:dyDescent="0.15">
      <c r="A489" s="10" t="s">
        <v>40242</v>
      </c>
      <c r="B489" s="99">
        <v>38</v>
      </c>
      <c r="C489" s="10" t="s">
        <v>14</v>
      </c>
      <c r="D489" s="10" t="s">
        <v>79</v>
      </c>
      <c r="E489" s="64" t="s">
        <v>40243</v>
      </c>
      <c r="F489" s="67">
        <v>43671</v>
      </c>
      <c r="G489" s="10" t="s">
        <v>40244</v>
      </c>
      <c r="H489" s="10" t="s">
        <v>11656</v>
      </c>
      <c r="I489" s="10" t="s">
        <v>19</v>
      </c>
      <c r="J489" s="65">
        <v>70767</v>
      </c>
      <c r="K489" s="10" t="s">
        <v>16520</v>
      </c>
      <c r="L489" s="10" t="s">
        <v>11658</v>
      </c>
      <c r="M489" s="10" t="s">
        <v>21</v>
      </c>
      <c r="N489" s="10" t="s">
        <v>40245</v>
      </c>
      <c r="O489" s="10" t="s">
        <v>372</v>
      </c>
      <c r="P489" s="1" t="s">
        <v>30089</v>
      </c>
      <c r="Q489" s="64" t="s">
        <v>40246</v>
      </c>
      <c r="R489" s="10" t="s">
        <v>94</v>
      </c>
      <c r="S489" s="63" t="s">
        <v>29</v>
      </c>
      <c r="T489" s="68" t="s">
        <v>26575</v>
      </c>
      <c r="U489" s="68" t="s">
        <v>26575</v>
      </c>
      <c r="V489" s="68">
        <v>0</v>
      </c>
      <c r="W489" s="68" t="s">
        <v>94</v>
      </c>
      <c r="X489" s="68">
        <v>4894</v>
      </c>
      <c r="Z489" s="68" t="s">
        <v>42967</v>
      </c>
      <c r="AA489" s="33">
        <v>7180</v>
      </c>
    </row>
    <row r="490" spans="1:27" ht="12" customHeight="1" x14ac:dyDescent="0.15">
      <c r="A490" s="10" t="s">
        <v>37516</v>
      </c>
      <c r="B490" s="99">
        <v>31</v>
      </c>
      <c r="C490" s="10" t="s">
        <v>14</v>
      </c>
      <c r="D490" s="10" t="s">
        <v>79</v>
      </c>
      <c r="E490" s="63"/>
      <c r="F490" s="67">
        <v>43669</v>
      </c>
      <c r="G490" s="10" t="s">
        <v>37517</v>
      </c>
      <c r="H490" s="10" t="s">
        <v>1528</v>
      </c>
      <c r="I490" s="10" t="s">
        <v>376</v>
      </c>
      <c r="J490" s="65">
        <v>15237</v>
      </c>
      <c r="K490" s="10" t="s">
        <v>1530</v>
      </c>
      <c r="L490" s="10" t="s">
        <v>37518</v>
      </c>
      <c r="M490" s="10" t="s">
        <v>21</v>
      </c>
      <c r="N490" s="10" t="s">
        <v>37519</v>
      </c>
      <c r="O490" s="10" t="s">
        <v>372</v>
      </c>
      <c r="P490" s="1" t="s">
        <v>30089</v>
      </c>
      <c r="Q490" s="64" t="s">
        <v>37520</v>
      </c>
      <c r="R490" s="10" t="s">
        <v>94</v>
      </c>
      <c r="S490" s="63" t="s">
        <v>22</v>
      </c>
      <c r="T490" s="68" t="s">
        <v>26781</v>
      </c>
      <c r="U490" s="68" t="s">
        <v>26572</v>
      </c>
      <c r="V490" s="68" t="s">
        <v>26573</v>
      </c>
      <c r="W490" s="68" t="s">
        <v>94</v>
      </c>
      <c r="X490" s="68">
        <v>4887</v>
      </c>
      <c r="Z490" s="68" t="s">
        <v>42968</v>
      </c>
      <c r="AA490" s="33">
        <v>7175</v>
      </c>
    </row>
    <row r="491" spans="1:27" ht="12" customHeight="1" x14ac:dyDescent="0.15">
      <c r="A491" s="10" t="s">
        <v>42048</v>
      </c>
      <c r="B491" s="99">
        <v>42</v>
      </c>
      <c r="C491" s="10" t="s">
        <v>14</v>
      </c>
      <c r="D491" s="10" t="s">
        <v>31</v>
      </c>
      <c r="E491" s="64" t="s">
        <v>42049</v>
      </c>
      <c r="F491" s="67">
        <v>43669</v>
      </c>
      <c r="G491" s="10" t="s">
        <v>42050</v>
      </c>
      <c r="H491" s="10" t="s">
        <v>10851</v>
      </c>
      <c r="I491" s="10" t="s">
        <v>26</v>
      </c>
      <c r="J491" s="65">
        <v>29340</v>
      </c>
      <c r="K491" s="10" t="s">
        <v>1470</v>
      </c>
      <c r="L491" s="10" t="s">
        <v>18974</v>
      </c>
      <c r="M491" s="10" t="s">
        <v>363</v>
      </c>
      <c r="N491" s="10" t="s">
        <v>42051</v>
      </c>
      <c r="O491" s="10" t="s">
        <v>372</v>
      </c>
      <c r="P491" s="1" t="s">
        <v>30089</v>
      </c>
      <c r="Q491" s="64" t="s">
        <v>42052</v>
      </c>
      <c r="R491" s="10" t="s">
        <v>94</v>
      </c>
      <c r="S491" s="63" t="s">
        <v>12</v>
      </c>
      <c r="T491" s="34" t="s">
        <v>29705</v>
      </c>
      <c r="U491" s="34" t="s">
        <v>26572</v>
      </c>
      <c r="V491" s="68"/>
      <c r="W491" s="68"/>
      <c r="X491" s="68"/>
      <c r="Z491" s="68" t="s">
        <v>42967</v>
      </c>
      <c r="AA491" s="33">
        <v>7178</v>
      </c>
    </row>
    <row r="492" spans="1:27" ht="12" customHeight="1" x14ac:dyDescent="0.15">
      <c r="A492" s="10" t="s">
        <v>37902</v>
      </c>
      <c r="B492" s="99">
        <v>38</v>
      </c>
      <c r="C492" s="10" t="s">
        <v>14</v>
      </c>
      <c r="D492" s="10" t="s">
        <v>31</v>
      </c>
      <c r="E492" s="64" t="s">
        <v>37903</v>
      </c>
      <c r="F492" s="67">
        <v>43669</v>
      </c>
      <c r="G492" s="10" t="s">
        <v>37904</v>
      </c>
      <c r="H492" s="10" t="s">
        <v>18214</v>
      </c>
      <c r="I492" s="10" t="s">
        <v>192</v>
      </c>
      <c r="J492" s="65">
        <v>80910</v>
      </c>
      <c r="K492" s="10" t="s">
        <v>801</v>
      </c>
      <c r="L492" s="10" t="s">
        <v>18216</v>
      </c>
      <c r="M492" s="10" t="s">
        <v>21</v>
      </c>
      <c r="N492" s="10" t="s">
        <v>37905</v>
      </c>
      <c r="O492" s="10" t="s">
        <v>372</v>
      </c>
      <c r="P492" s="1" t="s">
        <v>30089</v>
      </c>
      <c r="Q492" s="64" t="s">
        <v>37906</v>
      </c>
      <c r="R492" s="10" t="s">
        <v>94</v>
      </c>
      <c r="S492" s="63" t="s">
        <v>22</v>
      </c>
      <c r="T492" s="68" t="s">
        <v>26781</v>
      </c>
      <c r="U492" s="68" t="s">
        <v>26570</v>
      </c>
      <c r="V492" s="68" t="s">
        <v>26571</v>
      </c>
      <c r="W492" s="68" t="s">
        <v>94</v>
      </c>
      <c r="X492" s="68">
        <v>4890</v>
      </c>
      <c r="Z492" s="68" t="s">
        <v>42968</v>
      </c>
      <c r="AA492" s="33">
        <v>7176</v>
      </c>
    </row>
    <row r="493" spans="1:27" ht="12" customHeight="1" x14ac:dyDescent="0.15">
      <c r="A493" s="10" t="s">
        <v>41493</v>
      </c>
      <c r="B493" s="99">
        <v>27</v>
      </c>
      <c r="C493" s="10" t="s">
        <v>14</v>
      </c>
      <c r="D493" s="10" t="s">
        <v>31</v>
      </c>
      <c r="E493" s="64" t="s">
        <v>41494</v>
      </c>
      <c r="F493" s="67">
        <v>43669</v>
      </c>
      <c r="G493" s="10" t="s">
        <v>41495</v>
      </c>
      <c r="H493" s="10" t="s">
        <v>1625</v>
      </c>
      <c r="I493" s="10" t="s">
        <v>75</v>
      </c>
      <c r="J493" s="65">
        <v>7712</v>
      </c>
      <c r="K493" s="10" t="s">
        <v>1627</v>
      </c>
      <c r="L493" s="10" t="s">
        <v>41496</v>
      </c>
      <c r="M493" s="10" t="s">
        <v>21</v>
      </c>
      <c r="N493" s="10" t="s">
        <v>41497</v>
      </c>
      <c r="O493" s="10" t="s">
        <v>372</v>
      </c>
      <c r="P493" s="1" t="s">
        <v>30089</v>
      </c>
      <c r="Q493" s="64" t="s">
        <v>41498</v>
      </c>
      <c r="R493" s="10" t="s">
        <v>512</v>
      </c>
      <c r="S493" s="63" t="s">
        <v>22</v>
      </c>
      <c r="T493" s="68" t="s">
        <v>29867</v>
      </c>
      <c r="U493" s="68" t="s">
        <v>26570</v>
      </c>
      <c r="V493" s="68" t="s">
        <v>26573</v>
      </c>
      <c r="W493" s="68" t="s">
        <v>94</v>
      </c>
      <c r="X493" s="68">
        <v>4886</v>
      </c>
      <c r="Z493" s="68" t="s">
        <v>42968</v>
      </c>
      <c r="AA493" s="33">
        <v>7177</v>
      </c>
    </row>
    <row r="494" spans="1:27" ht="12" customHeight="1" x14ac:dyDescent="0.15">
      <c r="A494" s="10" t="s">
        <v>41030</v>
      </c>
      <c r="B494" s="99">
        <v>53</v>
      </c>
      <c r="C494" s="10" t="s">
        <v>14</v>
      </c>
      <c r="D494" s="10" t="s">
        <v>31</v>
      </c>
      <c r="E494" s="64" t="s">
        <v>41031</v>
      </c>
      <c r="F494" s="67">
        <v>43668</v>
      </c>
      <c r="G494" s="10" t="s">
        <v>41032</v>
      </c>
      <c r="H494" s="10" t="s">
        <v>41033</v>
      </c>
      <c r="I494" s="10" t="s">
        <v>88</v>
      </c>
      <c r="J494" s="65">
        <v>36273</v>
      </c>
      <c r="K494" s="70" t="s">
        <v>41034</v>
      </c>
      <c r="L494" s="10" t="s">
        <v>41035</v>
      </c>
      <c r="M494" s="10" t="s">
        <v>21</v>
      </c>
      <c r="N494" s="10" t="s">
        <v>41036</v>
      </c>
      <c r="O494" s="10" t="s">
        <v>372</v>
      </c>
      <c r="P494" s="1" t="s">
        <v>30089</v>
      </c>
      <c r="Q494" s="64" t="s">
        <v>41037</v>
      </c>
      <c r="R494" s="10" t="s">
        <v>512</v>
      </c>
      <c r="S494" s="63" t="s">
        <v>22</v>
      </c>
      <c r="T494" s="68" t="s">
        <v>26781</v>
      </c>
      <c r="U494" s="68" t="s">
        <v>26572</v>
      </c>
      <c r="V494" s="68" t="s">
        <v>26573</v>
      </c>
      <c r="W494" s="68" t="s">
        <v>94</v>
      </c>
      <c r="X494" s="68">
        <v>4893</v>
      </c>
      <c r="Z494" s="68" t="s">
        <v>42967</v>
      </c>
      <c r="AA494" s="33">
        <v>7174</v>
      </c>
    </row>
    <row r="495" spans="1:27" ht="12" customHeight="1" x14ac:dyDescent="0.15">
      <c r="A495" s="10" t="s">
        <v>37521</v>
      </c>
      <c r="B495" s="99">
        <v>17</v>
      </c>
      <c r="C495" s="10" t="s">
        <v>14</v>
      </c>
      <c r="D495" s="10" t="s">
        <v>79</v>
      </c>
      <c r="E495" s="64" t="s">
        <v>37522</v>
      </c>
      <c r="F495" s="67">
        <v>43668</v>
      </c>
      <c r="G495" s="10" t="s">
        <v>37523</v>
      </c>
      <c r="H495" s="10" t="s">
        <v>37524</v>
      </c>
      <c r="I495" s="10" t="s">
        <v>621</v>
      </c>
      <c r="J495" s="65">
        <v>39191</v>
      </c>
      <c r="K495" s="69"/>
      <c r="L495" s="10" t="s">
        <v>37525</v>
      </c>
      <c r="M495" s="10" t="s">
        <v>21</v>
      </c>
      <c r="N495" s="10" t="s">
        <v>37526</v>
      </c>
      <c r="O495" s="10" t="s">
        <v>372</v>
      </c>
      <c r="P495" s="1" t="s">
        <v>30089</v>
      </c>
      <c r="Q495" s="64" t="s">
        <v>37527</v>
      </c>
      <c r="R495" s="10" t="s">
        <v>94</v>
      </c>
      <c r="S495" s="63" t="s">
        <v>22</v>
      </c>
      <c r="T495" s="68" t="s">
        <v>26781</v>
      </c>
      <c r="U495" s="68" t="s">
        <v>26572</v>
      </c>
      <c r="V495" s="68">
        <v>0</v>
      </c>
      <c r="W495" s="68" t="s">
        <v>94</v>
      </c>
      <c r="X495" s="68">
        <v>4888</v>
      </c>
      <c r="Z495" s="68" t="s">
        <v>42967</v>
      </c>
      <c r="AA495" s="33">
        <v>7173</v>
      </c>
    </row>
    <row r="496" spans="1:27" ht="12" customHeight="1" x14ac:dyDescent="0.15">
      <c r="A496" s="10" t="s">
        <v>41344</v>
      </c>
      <c r="B496" s="99">
        <v>28</v>
      </c>
      <c r="C496" s="10" t="s">
        <v>103</v>
      </c>
      <c r="D496" s="10" t="s">
        <v>31</v>
      </c>
      <c r="E496" s="64" t="s">
        <v>41345</v>
      </c>
      <c r="F496" s="67">
        <v>43667</v>
      </c>
      <c r="G496" s="10" t="s">
        <v>41346</v>
      </c>
      <c r="H496" s="10" t="s">
        <v>866</v>
      </c>
      <c r="I496" s="10" t="s">
        <v>178</v>
      </c>
      <c r="J496" s="65">
        <v>87105</v>
      </c>
      <c r="K496" s="10" t="s">
        <v>433</v>
      </c>
      <c r="L496" s="10" t="s">
        <v>7415</v>
      </c>
      <c r="M496" s="10" t="s">
        <v>21</v>
      </c>
      <c r="N496" s="10" t="s">
        <v>41347</v>
      </c>
      <c r="O496" s="10" t="s">
        <v>372</v>
      </c>
      <c r="P496" s="1" t="s">
        <v>30089</v>
      </c>
      <c r="Q496" s="64" t="s">
        <v>41348</v>
      </c>
      <c r="R496" s="10" t="s">
        <v>512</v>
      </c>
      <c r="S496" s="63" t="s">
        <v>22</v>
      </c>
      <c r="T496" s="68" t="s">
        <v>26774</v>
      </c>
      <c r="U496" s="68" t="s">
        <v>26570</v>
      </c>
      <c r="V496" s="68" t="s">
        <v>26573</v>
      </c>
      <c r="W496" s="68" t="s">
        <v>94</v>
      </c>
      <c r="X496" s="68">
        <v>4889</v>
      </c>
      <c r="Z496" s="68" t="s">
        <v>42968</v>
      </c>
      <c r="AA496" s="33">
        <v>7172</v>
      </c>
    </row>
    <row r="497" spans="1:27" ht="12" customHeight="1" x14ac:dyDescent="0.15">
      <c r="A497" s="10" t="s">
        <v>41727</v>
      </c>
      <c r="B497" s="99">
        <v>28</v>
      </c>
      <c r="C497" s="10" t="s">
        <v>14</v>
      </c>
      <c r="D497" s="10" t="s">
        <v>79</v>
      </c>
      <c r="E497" s="63"/>
      <c r="F497" s="67">
        <v>43667</v>
      </c>
      <c r="G497" s="10" t="s">
        <v>41728</v>
      </c>
      <c r="H497" s="10" t="s">
        <v>826</v>
      </c>
      <c r="I497" s="10" t="s">
        <v>282</v>
      </c>
      <c r="J497" s="65">
        <v>98418</v>
      </c>
      <c r="K497" s="10" t="s">
        <v>827</v>
      </c>
      <c r="L497" s="10" t="s">
        <v>828</v>
      </c>
      <c r="M497" s="10" t="s">
        <v>21</v>
      </c>
      <c r="N497" s="10" t="s">
        <v>41729</v>
      </c>
      <c r="O497" s="10" t="s">
        <v>372</v>
      </c>
      <c r="P497" s="1" t="s">
        <v>30089</v>
      </c>
      <c r="Q497" s="64" t="s">
        <v>41730</v>
      </c>
      <c r="R497" s="10" t="s">
        <v>94</v>
      </c>
      <c r="S497" s="63" t="s">
        <v>22</v>
      </c>
      <c r="T497" s="34" t="s">
        <v>26781</v>
      </c>
      <c r="U497" s="34" t="s">
        <v>26572</v>
      </c>
      <c r="V497" s="68"/>
      <c r="W497" s="68"/>
      <c r="X497" s="68"/>
      <c r="Z497" s="68" t="s">
        <v>42966</v>
      </c>
      <c r="AA497" s="33">
        <v>7171</v>
      </c>
    </row>
    <row r="498" spans="1:27" ht="12" customHeight="1" x14ac:dyDescent="0.15">
      <c r="A498" s="10" t="s">
        <v>40195</v>
      </c>
      <c r="B498" s="99">
        <v>41</v>
      </c>
      <c r="C498" s="10" t="s">
        <v>14</v>
      </c>
      <c r="D498" s="10" t="s">
        <v>42</v>
      </c>
      <c r="E498" s="64" t="s">
        <v>40196</v>
      </c>
      <c r="F498" s="67">
        <v>43666</v>
      </c>
      <c r="G498" s="10" t="s">
        <v>40197</v>
      </c>
      <c r="H498" s="10" t="s">
        <v>40198</v>
      </c>
      <c r="I498" s="10" t="s">
        <v>75</v>
      </c>
      <c r="J498" s="65">
        <v>8068</v>
      </c>
      <c r="K498" s="10" t="s">
        <v>4692</v>
      </c>
      <c r="L498" s="10" t="s">
        <v>40199</v>
      </c>
      <c r="M498" s="10" t="s">
        <v>21</v>
      </c>
      <c r="N498" s="10" t="s">
        <v>40200</v>
      </c>
      <c r="O498" s="10" t="s">
        <v>372</v>
      </c>
      <c r="P498" s="1" t="s">
        <v>30089</v>
      </c>
      <c r="Q498" s="64" t="s">
        <v>40201</v>
      </c>
      <c r="R498" s="10" t="s">
        <v>94</v>
      </c>
      <c r="S498" s="63" t="s">
        <v>29</v>
      </c>
      <c r="T498" s="68" t="s">
        <v>26608</v>
      </c>
      <c r="U498" s="68" t="s">
        <v>26570</v>
      </c>
      <c r="V498" s="68">
        <v>0</v>
      </c>
      <c r="W498" s="68" t="s">
        <v>94</v>
      </c>
      <c r="X498" s="68">
        <v>4867</v>
      </c>
      <c r="Z498" s="68" t="s">
        <v>42968</v>
      </c>
      <c r="AA498" s="33">
        <v>7170</v>
      </c>
    </row>
    <row r="499" spans="1:27" ht="12" customHeight="1" x14ac:dyDescent="0.15">
      <c r="A499" s="10" t="s">
        <v>42280</v>
      </c>
      <c r="B499" s="99">
        <v>39</v>
      </c>
      <c r="C499" s="10" t="s">
        <v>14</v>
      </c>
      <c r="D499" s="10" t="s">
        <v>24</v>
      </c>
      <c r="E499" s="63"/>
      <c r="F499" s="67">
        <v>43665</v>
      </c>
      <c r="G499" s="10" t="s">
        <v>42281</v>
      </c>
      <c r="H499" s="10" t="s">
        <v>31779</v>
      </c>
      <c r="I499" s="10" t="s">
        <v>67</v>
      </c>
      <c r="J499" s="65">
        <v>77539</v>
      </c>
      <c r="K499" s="10" t="s">
        <v>4843</v>
      </c>
      <c r="L499" s="10" t="s">
        <v>32195</v>
      </c>
      <c r="M499" s="10" t="s">
        <v>21</v>
      </c>
      <c r="N499" s="10" t="s">
        <v>42282</v>
      </c>
      <c r="O499" s="10" t="s">
        <v>372</v>
      </c>
      <c r="P499" s="1" t="s">
        <v>30089</v>
      </c>
      <c r="Q499" s="64" t="s">
        <v>42283</v>
      </c>
      <c r="R499" s="10" t="s">
        <v>94</v>
      </c>
      <c r="S499" s="63" t="s">
        <v>22</v>
      </c>
      <c r="T499" s="34" t="s">
        <v>26781</v>
      </c>
      <c r="U499" s="34" t="s">
        <v>26572</v>
      </c>
      <c r="V499" s="68"/>
      <c r="W499" s="68"/>
      <c r="X499" s="68"/>
      <c r="Z499" s="68" t="s">
        <v>42968</v>
      </c>
      <c r="AA499" s="33">
        <v>7169</v>
      </c>
    </row>
    <row r="500" spans="1:27" ht="12" customHeight="1" x14ac:dyDescent="0.15">
      <c r="A500" s="10" t="s">
        <v>38951</v>
      </c>
      <c r="B500" s="99">
        <v>39</v>
      </c>
      <c r="C500" s="10" t="s">
        <v>14</v>
      </c>
      <c r="D500" s="10" t="s">
        <v>24</v>
      </c>
      <c r="E500" s="63"/>
      <c r="F500" s="67">
        <v>43664</v>
      </c>
      <c r="G500" s="10" t="s">
        <v>38952</v>
      </c>
      <c r="H500" s="10" t="s">
        <v>6096</v>
      </c>
      <c r="I500" s="10" t="s">
        <v>918</v>
      </c>
      <c r="J500" s="65">
        <v>72645</v>
      </c>
      <c r="K500" s="10" t="s">
        <v>9492</v>
      </c>
      <c r="L500" s="10" t="s">
        <v>9493</v>
      </c>
      <c r="M500" s="10" t="s">
        <v>21</v>
      </c>
      <c r="N500" s="10" t="s">
        <v>38953</v>
      </c>
      <c r="O500" s="10" t="s">
        <v>372</v>
      </c>
      <c r="P500" s="1" t="s">
        <v>30089</v>
      </c>
      <c r="Q500" s="64" t="s">
        <v>38954</v>
      </c>
      <c r="R500" s="10" t="s">
        <v>94</v>
      </c>
      <c r="S500" s="63" t="s">
        <v>22</v>
      </c>
      <c r="T500" s="68" t="s">
        <v>26781</v>
      </c>
      <c r="U500" s="68" t="s">
        <v>26572</v>
      </c>
      <c r="V500" s="68">
        <v>0</v>
      </c>
      <c r="W500" s="68" t="s">
        <v>94</v>
      </c>
      <c r="X500" s="68">
        <v>4873</v>
      </c>
      <c r="Z500" s="68" t="s">
        <v>42967</v>
      </c>
      <c r="AA500" s="33">
        <v>7165</v>
      </c>
    </row>
    <row r="501" spans="1:27" ht="12" customHeight="1" x14ac:dyDescent="0.15">
      <c r="A501" s="10" t="s">
        <v>41731</v>
      </c>
      <c r="B501" s="99">
        <v>19</v>
      </c>
      <c r="C501" s="10" t="s">
        <v>14</v>
      </c>
      <c r="D501" s="10" t="s">
        <v>79</v>
      </c>
      <c r="E501" s="64" t="s">
        <v>41732</v>
      </c>
      <c r="F501" s="67">
        <v>43664</v>
      </c>
      <c r="G501" s="10" t="s">
        <v>41733</v>
      </c>
      <c r="H501" s="10" t="s">
        <v>870</v>
      </c>
      <c r="I501" s="10" t="s">
        <v>67</v>
      </c>
      <c r="J501" s="65">
        <v>76116</v>
      </c>
      <c r="K501" s="10" t="s">
        <v>68</v>
      </c>
      <c r="L501" s="10" t="s">
        <v>871</v>
      </c>
      <c r="M501" s="10" t="s">
        <v>21</v>
      </c>
      <c r="N501" s="10" t="s">
        <v>41734</v>
      </c>
      <c r="O501" s="10" t="s">
        <v>372</v>
      </c>
      <c r="P501" s="1" t="s">
        <v>30089</v>
      </c>
      <c r="Q501" s="64" t="s">
        <v>41735</v>
      </c>
      <c r="R501" s="10" t="s">
        <v>94</v>
      </c>
      <c r="S501" s="63" t="s">
        <v>22</v>
      </c>
      <c r="T501" s="34" t="s">
        <v>26781</v>
      </c>
      <c r="U501" s="34" t="s">
        <v>26572</v>
      </c>
      <c r="V501" s="68"/>
      <c r="W501" s="68"/>
      <c r="X501" s="68"/>
      <c r="Z501" s="68" t="s">
        <v>42968</v>
      </c>
      <c r="AA501" s="33">
        <v>7167</v>
      </c>
    </row>
    <row r="502" spans="1:27" ht="12" customHeight="1" x14ac:dyDescent="0.15">
      <c r="A502" s="10" t="s">
        <v>41172</v>
      </c>
      <c r="B502" s="99">
        <v>73</v>
      </c>
      <c r="C502" s="10" t="s">
        <v>14</v>
      </c>
      <c r="D502" s="10" t="s">
        <v>24</v>
      </c>
      <c r="E502" s="63"/>
      <c r="F502" s="67">
        <v>43664</v>
      </c>
      <c r="G502" s="10" t="s">
        <v>41173</v>
      </c>
      <c r="H502" s="10" t="s">
        <v>1880</v>
      </c>
      <c r="I502" s="10" t="s">
        <v>106</v>
      </c>
      <c r="J502" s="65">
        <v>97525</v>
      </c>
      <c r="K502" s="10" t="s">
        <v>404</v>
      </c>
      <c r="L502" s="10" t="s">
        <v>41174</v>
      </c>
      <c r="M502" s="10" t="s">
        <v>21</v>
      </c>
      <c r="N502" s="10" t="s">
        <v>41175</v>
      </c>
      <c r="O502" s="10" t="s">
        <v>372</v>
      </c>
      <c r="P502" s="1" t="s">
        <v>30089</v>
      </c>
      <c r="Q502" s="64" t="s">
        <v>41176</v>
      </c>
      <c r="R502" s="10" t="s">
        <v>512</v>
      </c>
      <c r="S502" s="63" t="s">
        <v>22</v>
      </c>
      <c r="T502" s="68" t="s">
        <v>26781</v>
      </c>
      <c r="U502" s="68" t="s">
        <v>26572</v>
      </c>
      <c r="V502" s="68" t="s">
        <v>26573</v>
      </c>
      <c r="W502" s="68" t="s">
        <v>94</v>
      </c>
      <c r="X502" s="68">
        <v>4868</v>
      </c>
      <c r="Z502" s="68" t="s">
        <v>42967</v>
      </c>
      <c r="AA502" s="33">
        <v>7166</v>
      </c>
    </row>
    <row r="503" spans="1:27" ht="12" customHeight="1" x14ac:dyDescent="0.15">
      <c r="A503" s="10" t="s">
        <v>39794</v>
      </c>
      <c r="B503" s="99">
        <v>53</v>
      </c>
      <c r="C503" s="10" t="s">
        <v>14</v>
      </c>
      <c r="D503" s="68" t="s">
        <v>42</v>
      </c>
      <c r="E503" s="63"/>
      <c r="F503" s="67">
        <v>43664</v>
      </c>
      <c r="G503" s="10" t="s">
        <v>39795</v>
      </c>
      <c r="H503" s="10" t="s">
        <v>4307</v>
      </c>
      <c r="I503" s="10" t="s">
        <v>192</v>
      </c>
      <c r="J503" s="65">
        <v>81001</v>
      </c>
      <c r="K503" s="10" t="s">
        <v>4307</v>
      </c>
      <c r="L503" s="10" t="s">
        <v>4309</v>
      </c>
      <c r="M503" s="10" t="s">
        <v>21</v>
      </c>
      <c r="N503" s="10" t="s">
        <v>39796</v>
      </c>
      <c r="O503" s="10" t="s">
        <v>372</v>
      </c>
      <c r="P503" s="1" t="s">
        <v>30089</v>
      </c>
      <c r="Q503" s="64" t="s">
        <v>39797</v>
      </c>
      <c r="R503" s="10" t="s">
        <v>94</v>
      </c>
      <c r="S503" s="63" t="s">
        <v>22</v>
      </c>
      <c r="T503" s="68" t="s">
        <v>26774</v>
      </c>
      <c r="U503" s="68" t="s">
        <v>26572</v>
      </c>
      <c r="V503" s="68" t="s">
        <v>26573</v>
      </c>
      <c r="W503" s="68" t="s">
        <v>94</v>
      </c>
      <c r="X503" s="68">
        <v>4874</v>
      </c>
      <c r="Z503" s="68" t="s">
        <v>42968</v>
      </c>
      <c r="AA503" s="33">
        <v>7168</v>
      </c>
    </row>
    <row r="504" spans="1:27" ht="12" customHeight="1" x14ac:dyDescent="0.15">
      <c r="A504" s="10" t="s">
        <v>37511</v>
      </c>
      <c r="B504" s="99">
        <v>35</v>
      </c>
      <c r="C504" s="10" t="s">
        <v>14</v>
      </c>
      <c r="D504" s="10" t="s">
        <v>79</v>
      </c>
      <c r="E504" s="64" t="s">
        <v>37512</v>
      </c>
      <c r="F504" s="67">
        <v>43663</v>
      </c>
      <c r="G504" s="10" t="s">
        <v>37513</v>
      </c>
      <c r="H504" s="10" t="s">
        <v>3809</v>
      </c>
      <c r="I504" s="10" t="s">
        <v>88</v>
      </c>
      <c r="J504" s="65">
        <v>35203</v>
      </c>
      <c r="K504" s="10" t="s">
        <v>1659</v>
      </c>
      <c r="L504" s="10" t="s">
        <v>3834</v>
      </c>
      <c r="M504" s="10" t="s">
        <v>21</v>
      </c>
      <c r="N504" s="10" t="s">
        <v>37514</v>
      </c>
      <c r="O504" s="10" t="s">
        <v>372</v>
      </c>
      <c r="P504" s="1" t="s">
        <v>30089</v>
      </c>
      <c r="Q504" s="64" t="s">
        <v>37515</v>
      </c>
      <c r="R504" s="10" t="s">
        <v>94</v>
      </c>
      <c r="S504" s="63" t="s">
        <v>22</v>
      </c>
      <c r="T504" s="68" t="s">
        <v>26781</v>
      </c>
      <c r="U504" s="68" t="s">
        <v>26572</v>
      </c>
      <c r="V504" s="68" t="s">
        <v>26574</v>
      </c>
      <c r="W504" s="68" t="s">
        <v>94</v>
      </c>
      <c r="X504" s="68">
        <v>4883</v>
      </c>
      <c r="Z504" s="68" t="s">
        <v>42966</v>
      </c>
      <c r="AA504" s="33">
        <v>7160</v>
      </c>
    </row>
    <row r="505" spans="1:27" ht="12" customHeight="1" x14ac:dyDescent="0.15">
      <c r="A505" s="10" t="s">
        <v>42150</v>
      </c>
      <c r="B505" s="99">
        <v>36</v>
      </c>
      <c r="C505" s="10" t="s">
        <v>14</v>
      </c>
      <c r="D505" s="10" t="s">
        <v>42</v>
      </c>
      <c r="E505" s="64" t="s">
        <v>42151</v>
      </c>
      <c r="F505" s="67">
        <v>43663</v>
      </c>
      <c r="G505" s="10" t="s">
        <v>42152</v>
      </c>
      <c r="H505" s="10" t="s">
        <v>9302</v>
      </c>
      <c r="I505" s="10" t="s">
        <v>39</v>
      </c>
      <c r="J505" s="65">
        <v>95358</v>
      </c>
      <c r="K505" s="10" t="s">
        <v>2954</v>
      </c>
      <c r="L505" s="10" t="s">
        <v>33799</v>
      </c>
      <c r="M505" s="10" t="s">
        <v>363</v>
      </c>
      <c r="N505" s="10" t="s">
        <v>42153</v>
      </c>
      <c r="O505" s="10" t="s">
        <v>372</v>
      </c>
      <c r="P505" s="1" t="s">
        <v>30089</v>
      </c>
      <c r="Q505" s="64" t="s">
        <v>42154</v>
      </c>
      <c r="R505" s="10" t="s">
        <v>904</v>
      </c>
      <c r="S505" s="63" t="s">
        <v>12</v>
      </c>
      <c r="T505" s="34" t="s">
        <v>29705</v>
      </c>
      <c r="U505" s="34" t="s">
        <v>26575</v>
      </c>
      <c r="V505" s="68"/>
      <c r="W505" s="68"/>
      <c r="X505" s="68"/>
      <c r="Z505" s="68" t="s">
        <v>42968</v>
      </c>
      <c r="AA505" s="33">
        <v>7164</v>
      </c>
    </row>
    <row r="506" spans="1:27" ht="12" customHeight="1" x14ac:dyDescent="0.15">
      <c r="A506" s="10" t="s">
        <v>38198</v>
      </c>
      <c r="B506" s="99">
        <v>35</v>
      </c>
      <c r="C506" s="10" t="s">
        <v>14</v>
      </c>
      <c r="D506" s="10" t="s">
        <v>31</v>
      </c>
      <c r="E506" s="64" t="s">
        <v>38199</v>
      </c>
      <c r="F506" s="67">
        <v>43663</v>
      </c>
      <c r="G506" s="10" t="s">
        <v>38200</v>
      </c>
      <c r="H506" s="10" t="s">
        <v>38201</v>
      </c>
      <c r="I506" s="10" t="s">
        <v>367</v>
      </c>
      <c r="J506" s="65">
        <v>74501</v>
      </c>
      <c r="K506" s="10" t="s">
        <v>12903</v>
      </c>
      <c r="L506" s="10" t="s">
        <v>1904</v>
      </c>
      <c r="M506" s="10" t="s">
        <v>21</v>
      </c>
      <c r="N506" s="10" t="s">
        <v>38202</v>
      </c>
      <c r="O506" s="10" t="s">
        <v>372</v>
      </c>
      <c r="P506" s="1" t="s">
        <v>30089</v>
      </c>
      <c r="Q506" s="64" t="s">
        <v>38203</v>
      </c>
      <c r="R506" s="10" t="s">
        <v>94</v>
      </c>
      <c r="S506" s="63" t="s">
        <v>22</v>
      </c>
      <c r="T506" s="68" t="s">
        <v>26781</v>
      </c>
      <c r="U506" s="68" t="s">
        <v>26572</v>
      </c>
      <c r="V506" s="68" t="s">
        <v>26571</v>
      </c>
      <c r="W506" s="68" t="s">
        <v>94</v>
      </c>
      <c r="X506" s="68">
        <v>4882</v>
      </c>
      <c r="Z506" s="68" t="s">
        <v>42968</v>
      </c>
      <c r="AA506" s="33">
        <v>7161</v>
      </c>
    </row>
    <row r="507" spans="1:27" ht="12" customHeight="1" x14ac:dyDescent="0.15">
      <c r="A507" s="10" t="s">
        <v>39972</v>
      </c>
      <c r="B507" s="99">
        <v>52</v>
      </c>
      <c r="C507" s="10" t="s">
        <v>14</v>
      </c>
      <c r="D507" s="10" t="s">
        <v>79</v>
      </c>
      <c r="E507" s="64" t="s">
        <v>39973</v>
      </c>
      <c r="F507" s="67">
        <v>43663</v>
      </c>
      <c r="G507" s="10" t="s">
        <v>39974</v>
      </c>
      <c r="H507" s="10" t="s">
        <v>9302</v>
      </c>
      <c r="I507" s="10" t="s">
        <v>39</v>
      </c>
      <c r="J507" s="65">
        <v>95351</v>
      </c>
      <c r="K507" s="10" t="s">
        <v>2954</v>
      </c>
      <c r="L507" s="10" t="s">
        <v>33799</v>
      </c>
      <c r="M507" s="10" t="s">
        <v>21</v>
      </c>
      <c r="N507" s="10" t="s">
        <v>39975</v>
      </c>
      <c r="O507" s="10" t="s">
        <v>372</v>
      </c>
      <c r="P507" s="1" t="s">
        <v>30089</v>
      </c>
      <c r="Q507" s="64" t="s">
        <v>39976</v>
      </c>
      <c r="R507" s="10" t="s">
        <v>94</v>
      </c>
      <c r="S507" s="63" t="s">
        <v>12</v>
      </c>
      <c r="T507" s="68" t="s">
        <v>39971</v>
      </c>
      <c r="U507" s="68" t="s">
        <v>26572</v>
      </c>
      <c r="V507" s="68" t="s">
        <v>26573</v>
      </c>
      <c r="W507" s="68" t="s">
        <v>512</v>
      </c>
      <c r="X507" s="68">
        <v>4875</v>
      </c>
      <c r="Z507" s="68" t="s">
        <v>42968</v>
      </c>
      <c r="AA507" s="33">
        <v>7163</v>
      </c>
    </row>
    <row r="508" spans="1:27" ht="12" customHeight="1" x14ac:dyDescent="0.15">
      <c r="A508" s="10" t="s">
        <v>37506</v>
      </c>
      <c r="B508" s="99">
        <v>23</v>
      </c>
      <c r="C508" s="10" t="s">
        <v>14</v>
      </c>
      <c r="D508" s="10" t="s">
        <v>79</v>
      </c>
      <c r="E508" s="64" t="s">
        <v>37507</v>
      </c>
      <c r="F508" s="67">
        <v>43663</v>
      </c>
      <c r="G508" s="10" t="s">
        <v>37508</v>
      </c>
      <c r="H508" s="10" t="s">
        <v>8915</v>
      </c>
      <c r="I508" s="10" t="s">
        <v>19</v>
      </c>
      <c r="J508" s="65">
        <v>70001</v>
      </c>
      <c r="K508" s="70" t="s">
        <v>1659</v>
      </c>
      <c r="L508" s="10" t="s">
        <v>2258</v>
      </c>
      <c r="M508" s="10" t="s">
        <v>21</v>
      </c>
      <c r="N508" s="10" t="s">
        <v>37509</v>
      </c>
      <c r="O508" s="10" t="s">
        <v>372</v>
      </c>
      <c r="P508" s="1" t="s">
        <v>30089</v>
      </c>
      <c r="Q508" s="64" t="s">
        <v>37510</v>
      </c>
      <c r="R508" s="10" t="s">
        <v>94</v>
      </c>
      <c r="S508" s="63" t="s">
        <v>22</v>
      </c>
      <c r="T508" s="68" t="s">
        <v>26781</v>
      </c>
      <c r="U508" s="68" t="s">
        <v>26570</v>
      </c>
      <c r="V508" s="68" t="s">
        <v>26573</v>
      </c>
      <c r="W508" s="68" t="s">
        <v>94</v>
      </c>
      <c r="X508" s="68">
        <v>4880</v>
      </c>
      <c r="Z508" s="68" t="s">
        <v>42966</v>
      </c>
      <c r="AA508" s="33">
        <v>7159</v>
      </c>
    </row>
    <row r="509" spans="1:27" ht="12" customHeight="1" x14ac:dyDescent="0.15">
      <c r="A509" s="10" t="s">
        <v>41799</v>
      </c>
      <c r="B509" s="99">
        <v>28</v>
      </c>
      <c r="C509" s="10" t="s">
        <v>14</v>
      </c>
      <c r="D509" s="10" t="s">
        <v>79</v>
      </c>
      <c r="E509" s="64" t="s">
        <v>41800</v>
      </c>
      <c r="F509" s="67">
        <v>43663</v>
      </c>
      <c r="G509" s="10" t="s">
        <v>41801</v>
      </c>
      <c r="H509" s="10" t="s">
        <v>55</v>
      </c>
      <c r="I509" s="10" t="s">
        <v>56</v>
      </c>
      <c r="J509" s="65">
        <v>33407</v>
      </c>
      <c r="K509" s="10" t="s">
        <v>4878</v>
      </c>
      <c r="L509" s="10" t="s">
        <v>7009</v>
      </c>
      <c r="M509" s="10" t="s">
        <v>363</v>
      </c>
      <c r="N509" s="10" t="s">
        <v>41802</v>
      </c>
      <c r="O509" s="10" t="s">
        <v>372</v>
      </c>
      <c r="P509" s="1" t="s">
        <v>30089</v>
      </c>
      <c r="Q509" s="64" t="s">
        <v>41803</v>
      </c>
      <c r="R509" s="10" t="s">
        <v>94</v>
      </c>
      <c r="S509" s="63" t="s">
        <v>22</v>
      </c>
      <c r="T509" s="34" t="s">
        <v>26774</v>
      </c>
      <c r="U509" s="34" t="s">
        <v>26572</v>
      </c>
      <c r="V509" s="68"/>
      <c r="W509" s="68"/>
      <c r="X509" s="68"/>
      <c r="Z509" s="68" t="s">
        <v>42968</v>
      </c>
      <c r="AA509" s="33">
        <v>7162</v>
      </c>
    </row>
    <row r="510" spans="1:27" ht="12" customHeight="1" x14ac:dyDescent="0.15">
      <c r="A510" s="10" t="s">
        <v>42284</v>
      </c>
      <c r="B510" s="99">
        <v>36</v>
      </c>
      <c r="C510" s="10" t="s">
        <v>14</v>
      </c>
      <c r="D510" s="10" t="s">
        <v>24</v>
      </c>
      <c r="E510" s="63"/>
      <c r="F510" s="67">
        <v>43662</v>
      </c>
      <c r="G510" s="10" t="s">
        <v>42285</v>
      </c>
      <c r="H510" s="10" t="s">
        <v>42286</v>
      </c>
      <c r="I510" s="10" t="s">
        <v>67</v>
      </c>
      <c r="J510" s="65">
        <v>77515</v>
      </c>
      <c r="K510" s="10" t="s">
        <v>4537</v>
      </c>
      <c r="L510" s="10" t="s">
        <v>42287</v>
      </c>
      <c r="M510" s="10" t="s">
        <v>21</v>
      </c>
      <c r="N510" s="10" t="s">
        <v>42288</v>
      </c>
      <c r="O510" s="10" t="s">
        <v>372</v>
      </c>
      <c r="P510" s="1" t="s">
        <v>30089</v>
      </c>
      <c r="Q510" s="64" t="s">
        <v>42289</v>
      </c>
      <c r="R510" s="10" t="s">
        <v>94</v>
      </c>
      <c r="S510" s="63" t="s">
        <v>22</v>
      </c>
      <c r="T510" s="34" t="s">
        <v>26781</v>
      </c>
      <c r="U510" s="34" t="s">
        <v>26572</v>
      </c>
      <c r="V510" s="68"/>
      <c r="W510" s="68"/>
      <c r="X510" s="68"/>
      <c r="Z510" s="68" t="s">
        <v>42968</v>
      </c>
      <c r="AA510" s="33">
        <v>7156</v>
      </c>
    </row>
    <row r="511" spans="1:27" ht="12" customHeight="1" x14ac:dyDescent="0.15">
      <c r="A511" s="10" t="s">
        <v>42290</v>
      </c>
      <c r="B511" s="99">
        <v>40</v>
      </c>
      <c r="C511" s="10" t="s">
        <v>103</v>
      </c>
      <c r="D511" s="10" t="s">
        <v>24</v>
      </c>
      <c r="E511" s="63"/>
      <c r="F511" s="67">
        <v>43662</v>
      </c>
      <c r="G511" s="10" t="s">
        <v>42285</v>
      </c>
      <c r="H511" s="10" t="s">
        <v>42286</v>
      </c>
      <c r="I511" s="10" t="s">
        <v>67</v>
      </c>
      <c r="J511" s="65">
        <v>77515</v>
      </c>
      <c r="K511" s="10" t="s">
        <v>4537</v>
      </c>
      <c r="L511" s="10" t="s">
        <v>42287</v>
      </c>
      <c r="M511" s="10" t="s">
        <v>21</v>
      </c>
      <c r="N511" s="10" t="s">
        <v>42288</v>
      </c>
      <c r="O511" s="10" t="s">
        <v>372</v>
      </c>
      <c r="P511" s="1" t="s">
        <v>30089</v>
      </c>
      <c r="Q511" s="64" t="s">
        <v>42289</v>
      </c>
      <c r="R511" s="10" t="s">
        <v>94</v>
      </c>
      <c r="S511" s="63" t="s">
        <v>22</v>
      </c>
      <c r="T511" s="34" t="s">
        <v>26781</v>
      </c>
      <c r="U511" s="34" t="s">
        <v>26572</v>
      </c>
      <c r="V511" s="68"/>
      <c r="W511" s="68"/>
      <c r="X511" s="68"/>
      <c r="Z511" s="68" t="s">
        <v>42968</v>
      </c>
      <c r="AA511" s="33">
        <v>7157</v>
      </c>
    </row>
    <row r="512" spans="1:27" ht="12" customHeight="1" x14ac:dyDescent="0.15">
      <c r="A512" s="10" t="s">
        <v>41182</v>
      </c>
      <c r="B512" s="99">
        <v>62</v>
      </c>
      <c r="C512" s="10" t="s">
        <v>14</v>
      </c>
      <c r="D512" s="10" t="s">
        <v>24</v>
      </c>
      <c r="E512" s="63"/>
      <c r="F512" s="67">
        <v>43662</v>
      </c>
      <c r="G512" s="10" t="s">
        <v>41183</v>
      </c>
      <c r="H512" s="10" t="s">
        <v>1116</v>
      </c>
      <c r="I512" s="10" t="s">
        <v>198</v>
      </c>
      <c r="J512" s="65">
        <v>47143</v>
      </c>
      <c r="K512" s="10" t="s">
        <v>527</v>
      </c>
      <c r="L512" s="10" t="s">
        <v>41184</v>
      </c>
      <c r="M512" s="10" t="s">
        <v>21</v>
      </c>
      <c r="N512" s="10" t="s">
        <v>41185</v>
      </c>
      <c r="O512" s="10" t="s">
        <v>372</v>
      </c>
      <c r="P512" s="1" t="s">
        <v>30089</v>
      </c>
      <c r="Q512" s="64" t="s">
        <v>41186</v>
      </c>
      <c r="R512" s="10" t="s">
        <v>512</v>
      </c>
      <c r="S512" s="63" t="s">
        <v>22</v>
      </c>
      <c r="T512" s="68" t="s">
        <v>26781</v>
      </c>
      <c r="U512" s="68" t="s">
        <v>26572</v>
      </c>
      <c r="V512" s="68" t="s">
        <v>26573</v>
      </c>
      <c r="W512" s="68" t="s">
        <v>94</v>
      </c>
      <c r="X512" s="68">
        <v>4906</v>
      </c>
      <c r="Z512" s="68" t="s">
        <v>42967</v>
      </c>
      <c r="AA512" s="33">
        <v>7155</v>
      </c>
    </row>
    <row r="513" spans="1:27" ht="12" customHeight="1" x14ac:dyDescent="0.15">
      <c r="A513" s="10" t="s">
        <v>39670</v>
      </c>
      <c r="B513" s="99">
        <v>52</v>
      </c>
      <c r="C513" s="10" t="s">
        <v>14</v>
      </c>
      <c r="D513" s="10" t="s">
        <v>42</v>
      </c>
      <c r="E513" s="64" t="s">
        <v>39671</v>
      </c>
      <c r="F513" s="67">
        <v>43662</v>
      </c>
      <c r="G513" s="10" t="s">
        <v>39672</v>
      </c>
      <c r="H513" s="10" t="s">
        <v>9813</v>
      </c>
      <c r="I513" s="10" t="s">
        <v>39</v>
      </c>
      <c r="J513" s="65">
        <v>91709</v>
      </c>
      <c r="K513" s="10" t="s">
        <v>288</v>
      </c>
      <c r="L513" s="10" t="s">
        <v>32215</v>
      </c>
      <c r="M513" s="10" t="s">
        <v>21</v>
      </c>
      <c r="N513" s="10" t="s">
        <v>39673</v>
      </c>
      <c r="O513" s="10" t="s">
        <v>372</v>
      </c>
      <c r="P513" s="1" t="s">
        <v>30089</v>
      </c>
      <c r="Q513" s="64" t="s">
        <v>39674</v>
      </c>
      <c r="R513" s="10" t="s">
        <v>94</v>
      </c>
      <c r="S513" s="63" t="s">
        <v>22</v>
      </c>
      <c r="T513" s="68" t="s">
        <v>26774</v>
      </c>
      <c r="U513" s="68" t="s">
        <v>26572</v>
      </c>
      <c r="V513" s="68" t="s">
        <v>26573</v>
      </c>
      <c r="W513" s="68" t="s">
        <v>94</v>
      </c>
      <c r="X513" s="68">
        <v>4884</v>
      </c>
      <c r="Z513" s="68" t="s">
        <v>42968</v>
      </c>
      <c r="AA513" s="33">
        <v>7158</v>
      </c>
    </row>
    <row r="514" spans="1:27" ht="12" customHeight="1" x14ac:dyDescent="0.15">
      <c r="A514" s="1" t="s">
        <v>42410</v>
      </c>
      <c r="B514" s="1">
        <v>36</v>
      </c>
      <c r="C514" s="1" t="s">
        <v>14</v>
      </c>
      <c r="D514" s="1" t="s">
        <v>24</v>
      </c>
      <c r="E514" s="1"/>
      <c r="F514" s="67">
        <v>43661</v>
      </c>
      <c r="G514" s="1" t="s">
        <v>42411</v>
      </c>
      <c r="H514" s="1" t="s">
        <v>17077</v>
      </c>
      <c r="I514" s="1" t="s">
        <v>402</v>
      </c>
      <c r="J514" s="1">
        <v>64089</v>
      </c>
      <c r="K514" s="1" t="s">
        <v>3117</v>
      </c>
      <c r="L514" s="1" t="s">
        <v>3118</v>
      </c>
      <c r="M514" s="1" t="s">
        <v>351</v>
      </c>
      <c r="N514" s="1" t="s">
        <v>42412</v>
      </c>
      <c r="O514" s="1" t="s">
        <v>950</v>
      </c>
      <c r="P514" s="1" t="s">
        <v>30089</v>
      </c>
      <c r="Q514" s="1" t="s">
        <v>42413</v>
      </c>
      <c r="R514" s="1" t="s">
        <v>94</v>
      </c>
      <c r="S514" s="1" t="s">
        <v>351</v>
      </c>
      <c r="T514" s="33" t="s">
        <v>26867</v>
      </c>
      <c r="U514" s="68"/>
      <c r="V514" s="68"/>
      <c r="W514" s="68"/>
      <c r="X514" s="68"/>
      <c r="Z514" s="1" t="s">
        <v>42967</v>
      </c>
      <c r="AA514" s="33">
        <v>7153</v>
      </c>
    </row>
    <row r="515" spans="1:27" ht="12" customHeight="1" x14ac:dyDescent="0.15">
      <c r="A515" s="1" t="s">
        <v>42414</v>
      </c>
      <c r="B515" s="1">
        <v>59</v>
      </c>
      <c r="C515" s="1" t="s">
        <v>103</v>
      </c>
      <c r="D515" s="1" t="s">
        <v>24</v>
      </c>
      <c r="E515" s="1"/>
      <c r="F515" s="67">
        <v>43661</v>
      </c>
      <c r="G515" s="1" t="s">
        <v>42411</v>
      </c>
      <c r="H515" s="1" t="s">
        <v>17077</v>
      </c>
      <c r="I515" s="1" t="s">
        <v>402</v>
      </c>
      <c r="J515" s="1">
        <v>64089</v>
      </c>
      <c r="K515" s="1" t="s">
        <v>3117</v>
      </c>
      <c r="L515" s="1" t="s">
        <v>3118</v>
      </c>
      <c r="M515" s="1" t="s">
        <v>351</v>
      </c>
      <c r="N515" s="1" t="s">
        <v>42412</v>
      </c>
      <c r="O515" s="1" t="s">
        <v>950</v>
      </c>
      <c r="P515" s="1" t="s">
        <v>30089</v>
      </c>
      <c r="Q515" s="1" t="s">
        <v>42413</v>
      </c>
      <c r="R515" s="1" t="s">
        <v>94</v>
      </c>
      <c r="S515" s="1" t="s">
        <v>351</v>
      </c>
      <c r="T515" s="33" t="s">
        <v>26867</v>
      </c>
      <c r="U515" s="68"/>
      <c r="V515" s="68"/>
      <c r="W515" s="68"/>
      <c r="X515" s="68"/>
      <c r="Z515" s="1" t="s">
        <v>42967</v>
      </c>
      <c r="AA515" s="33">
        <v>7154</v>
      </c>
    </row>
    <row r="516" spans="1:27" ht="12" customHeight="1" x14ac:dyDescent="0.15">
      <c r="A516" s="10" t="s">
        <v>41679</v>
      </c>
      <c r="B516" s="99">
        <v>56</v>
      </c>
      <c r="C516" s="10" t="s">
        <v>14</v>
      </c>
      <c r="D516" s="10" t="s">
        <v>24</v>
      </c>
      <c r="E516" s="63"/>
      <c r="F516" s="67">
        <v>43661</v>
      </c>
      <c r="G516" s="10" t="s">
        <v>41680</v>
      </c>
      <c r="H516" s="10" t="s">
        <v>41681</v>
      </c>
      <c r="I516" s="10" t="s">
        <v>160</v>
      </c>
      <c r="J516" s="65">
        <v>30014</v>
      </c>
      <c r="K516" s="10" t="s">
        <v>1249</v>
      </c>
      <c r="L516" s="10" t="s">
        <v>41682</v>
      </c>
      <c r="M516" s="10" t="s">
        <v>21</v>
      </c>
      <c r="N516" s="10" t="s">
        <v>41683</v>
      </c>
      <c r="O516" s="10" t="s">
        <v>372</v>
      </c>
      <c r="P516" s="1" t="s">
        <v>30089</v>
      </c>
      <c r="Q516" s="64" t="s">
        <v>41684</v>
      </c>
      <c r="R516" s="10" t="s">
        <v>94</v>
      </c>
      <c r="S516" s="10" t="s">
        <v>22</v>
      </c>
      <c r="T516" s="68" t="s">
        <v>26781</v>
      </c>
      <c r="U516" s="68" t="s">
        <v>26572</v>
      </c>
      <c r="V516" s="68" t="s">
        <v>26573</v>
      </c>
      <c r="W516" s="68"/>
      <c r="X516" s="68"/>
      <c r="Z516" s="68" t="s">
        <v>42968</v>
      </c>
      <c r="AA516" s="33">
        <v>7151</v>
      </c>
    </row>
    <row r="517" spans="1:27" ht="12" customHeight="1" x14ac:dyDescent="0.15">
      <c r="A517" s="10" t="s">
        <v>41541</v>
      </c>
      <c r="B517" s="99">
        <v>43</v>
      </c>
      <c r="C517" s="10" t="s">
        <v>14</v>
      </c>
      <c r="D517" s="10" t="s">
        <v>31</v>
      </c>
      <c r="E517" s="64" t="s">
        <v>41542</v>
      </c>
      <c r="F517" s="67">
        <v>43661</v>
      </c>
      <c r="G517" s="10" t="s">
        <v>41543</v>
      </c>
      <c r="H517" s="10" t="s">
        <v>220</v>
      </c>
      <c r="I517" s="10" t="s">
        <v>221</v>
      </c>
      <c r="J517" s="65">
        <v>84101</v>
      </c>
      <c r="K517" s="10" t="s">
        <v>564</v>
      </c>
      <c r="L517" s="10" t="s">
        <v>222</v>
      </c>
      <c r="M517" s="10" t="s">
        <v>21</v>
      </c>
      <c r="N517" s="10" t="s">
        <v>41544</v>
      </c>
      <c r="O517" s="10" t="s">
        <v>372</v>
      </c>
      <c r="P517" s="1" t="s">
        <v>30089</v>
      </c>
      <c r="Q517" s="64" t="s">
        <v>41545</v>
      </c>
      <c r="R517" s="10" t="s">
        <v>512</v>
      </c>
      <c r="S517" s="63" t="s">
        <v>12</v>
      </c>
      <c r="T517" s="68" t="s">
        <v>39971</v>
      </c>
      <c r="U517" s="68" t="s">
        <v>26570</v>
      </c>
      <c r="V517" s="68" t="s">
        <v>26573</v>
      </c>
      <c r="W517" s="68" t="s">
        <v>512</v>
      </c>
      <c r="X517" s="68">
        <v>4876</v>
      </c>
      <c r="Z517" s="68" t="s">
        <v>42966</v>
      </c>
      <c r="AA517" s="33">
        <v>7152</v>
      </c>
    </row>
    <row r="518" spans="1:27" ht="12" customHeight="1" x14ac:dyDescent="0.15">
      <c r="A518" s="10" t="s">
        <v>37491</v>
      </c>
      <c r="B518" s="99">
        <v>49</v>
      </c>
      <c r="C518" s="10" t="s">
        <v>14</v>
      </c>
      <c r="D518" s="10" t="s">
        <v>79</v>
      </c>
      <c r="E518" s="64" t="s">
        <v>37492</v>
      </c>
      <c r="F518" s="67">
        <v>43661</v>
      </c>
      <c r="G518" s="10" t="s">
        <v>37493</v>
      </c>
      <c r="H518" s="10" t="s">
        <v>1487</v>
      </c>
      <c r="I518" s="10" t="s">
        <v>46</v>
      </c>
      <c r="J518" s="65">
        <v>21218</v>
      </c>
      <c r="K518" s="10" t="s">
        <v>4324</v>
      </c>
      <c r="L518" s="10" t="s">
        <v>2556</v>
      </c>
      <c r="M518" s="10" t="s">
        <v>21</v>
      </c>
      <c r="N518" s="10" t="s">
        <v>37494</v>
      </c>
      <c r="O518" s="10" t="s">
        <v>372</v>
      </c>
      <c r="P518" s="1" t="s">
        <v>30089</v>
      </c>
      <c r="Q518" s="64" t="s">
        <v>37495</v>
      </c>
      <c r="R518" s="10" t="s">
        <v>94</v>
      </c>
      <c r="S518" s="63" t="s">
        <v>22</v>
      </c>
      <c r="T518" s="68" t="s">
        <v>26781</v>
      </c>
      <c r="U518" s="68" t="s">
        <v>26572</v>
      </c>
      <c r="V518" s="68" t="s">
        <v>26573</v>
      </c>
      <c r="W518" s="68" t="s">
        <v>512</v>
      </c>
      <c r="X518" s="68">
        <v>4869</v>
      </c>
      <c r="Z518" s="68" t="s">
        <v>42966</v>
      </c>
      <c r="AA518" s="33">
        <v>7150</v>
      </c>
    </row>
    <row r="519" spans="1:27" ht="12" customHeight="1" x14ac:dyDescent="0.15">
      <c r="A519" s="10" t="s">
        <v>37501</v>
      </c>
      <c r="B519" s="99">
        <v>20</v>
      </c>
      <c r="C519" s="10" t="s">
        <v>14</v>
      </c>
      <c r="D519" s="10" t="s">
        <v>79</v>
      </c>
      <c r="E519" s="64" t="s">
        <v>37502</v>
      </c>
      <c r="F519" s="67">
        <v>43660</v>
      </c>
      <c r="G519" s="10" t="s">
        <v>37503</v>
      </c>
      <c r="H519" s="10" t="s">
        <v>10802</v>
      </c>
      <c r="I519" s="10" t="s">
        <v>376</v>
      </c>
      <c r="J519" s="65">
        <v>15235</v>
      </c>
      <c r="K519" s="10" t="s">
        <v>1530</v>
      </c>
      <c r="L519" s="10" t="s">
        <v>10804</v>
      </c>
      <c r="M519" s="10" t="s">
        <v>21</v>
      </c>
      <c r="N519" s="10" t="s">
        <v>37504</v>
      </c>
      <c r="O519" s="10" t="s">
        <v>372</v>
      </c>
      <c r="P519" s="1" t="s">
        <v>30089</v>
      </c>
      <c r="Q519" s="64" t="s">
        <v>37505</v>
      </c>
      <c r="R519" s="10" t="s">
        <v>94</v>
      </c>
      <c r="S519" s="63" t="s">
        <v>22</v>
      </c>
      <c r="T519" s="68" t="s">
        <v>26781</v>
      </c>
      <c r="U519" s="68" t="s">
        <v>26572</v>
      </c>
      <c r="V519" s="68" t="s">
        <v>26574</v>
      </c>
      <c r="W519" s="68" t="s">
        <v>94</v>
      </c>
      <c r="X519" s="68">
        <v>4877</v>
      </c>
      <c r="Z519" s="68" t="s">
        <v>42968</v>
      </c>
      <c r="AA519" s="33">
        <v>7148</v>
      </c>
    </row>
    <row r="520" spans="1:27" ht="12" customHeight="1" x14ac:dyDescent="0.15">
      <c r="A520" s="10" t="s">
        <v>37496</v>
      </c>
      <c r="B520" s="99">
        <v>22</v>
      </c>
      <c r="C520" s="10" t="s">
        <v>14</v>
      </c>
      <c r="D520" s="10" t="s">
        <v>79</v>
      </c>
      <c r="E520" s="64" t="s">
        <v>37497</v>
      </c>
      <c r="F520" s="67">
        <v>43660</v>
      </c>
      <c r="G520" s="10" t="s">
        <v>37498</v>
      </c>
      <c r="H520" s="10" t="s">
        <v>5887</v>
      </c>
      <c r="I520" s="10" t="s">
        <v>56</v>
      </c>
      <c r="J520" s="65">
        <v>33024</v>
      </c>
      <c r="K520" s="10" t="s">
        <v>1052</v>
      </c>
      <c r="L520" s="10" t="s">
        <v>5889</v>
      </c>
      <c r="M520" s="10" t="s">
        <v>21</v>
      </c>
      <c r="N520" s="10" t="s">
        <v>37499</v>
      </c>
      <c r="O520" s="10" t="s">
        <v>372</v>
      </c>
      <c r="P520" s="1" t="s">
        <v>30089</v>
      </c>
      <c r="Q520" s="64" t="s">
        <v>37500</v>
      </c>
      <c r="R520" s="10" t="s">
        <v>94</v>
      </c>
      <c r="S520" s="63" t="s">
        <v>22</v>
      </c>
      <c r="T520" s="68" t="s">
        <v>26781</v>
      </c>
      <c r="U520" s="68" t="s">
        <v>26572</v>
      </c>
      <c r="V520" s="68" t="s">
        <v>26571</v>
      </c>
      <c r="W520" s="68" t="s">
        <v>94</v>
      </c>
      <c r="X520" s="68">
        <v>4870</v>
      </c>
      <c r="Z520" s="68" t="s">
        <v>42968</v>
      </c>
      <c r="AA520" s="33">
        <v>7147</v>
      </c>
    </row>
    <row r="521" spans="1:27" ht="12" customHeight="1" x14ac:dyDescent="0.15">
      <c r="A521" s="1" t="s">
        <v>42420</v>
      </c>
      <c r="B521" s="1">
        <v>37</v>
      </c>
      <c r="C521" s="1" t="s">
        <v>103</v>
      </c>
      <c r="D521" s="1" t="s">
        <v>31</v>
      </c>
      <c r="E521" s="1" t="s">
        <v>42421</v>
      </c>
      <c r="F521" s="67">
        <v>43660</v>
      </c>
      <c r="G521" s="1" t="s">
        <v>42422</v>
      </c>
      <c r="H521" s="1" t="s">
        <v>35501</v>
      </c>
      <c r="I521" s="1" t="s">
        <v>75</v>
      </c>
      <c r="J521" s="1">
        <v>7438</v>
      </c>
      <c r="K521" s="1" t="s">
        <v>34133</v>
      </c>
      <c r="L521" s="1" t="s">
        <v>487</v>
      </c>
      <c r="M521" s="1" t="s">
        <v>21</v>
      </c>
      <c r="N521" s="1" t="s">
        <v>42423</v>
      </c>
      <c r="O521" s="1" t="s">
        <v>32706</v>
      </c>
      <c r="P521" s="1" t="s">
        <v>1084</v>
      </c>
      <c r="Q521" s="1" t="s">
        <v>42424</v>
      </c>
      <c r="R521" s="1" t="s">
        <v>94</v>
      </c>
      <c r="S521" s="1" t="s">
        <v>12</v>
      </c>
      <c r="T521" s="54" t="s">
        <v>29705</v>
      </c>
      <c r="U521" s="68"/>
      <c r="V521" s="68"/>
      <c r="W521" s="68"/>
      <c r="X521" s="68"/>
      <c r="Y521" s="33" t="s">
        <v>42476</v>
      </c>
      <c r="Z521" s="1" t="s">
        <v>42968</v>
      </c>
      <c r="AA521" s="33">
        <v>7149</v>
      </c>
    </row>
    <row r="522" spans="1:27" ht="12" customHeight="1" x14ac:dyDescent="0.15">
      <c r="A522" s="10" t="s">
        <v>42291</v>
      </c>
      <c r="B522" s="99">
        <v>30</v>
      </c>
      <c r="C522" s="10" t="s">
        <v>14</v>
      </c>
      <c r="D522" s="10" t="s">
        <v>24</v>
      </c>
      <c r="E522" s="63"/>
      <c r="F522" s="67">
        <v>43659</v>
      </c>
      <c r="G522" s="10" t="s">
        <v>42292</v>
      </c>
      <c r="H522" s="10" t="s">
        <v>266</v>
      </c>
      <c r="I522" s="10" t="s">
        <v>67</v>
      </c>
      <c r="J522" s="65">
        <v>75241</v>
      </c>
      <c r="K522" s="70" t="s">
        <v>266</v>
      </c>
      <c r="L522" s="10" t="s">
        <v>267</v>
      </c>
      <c r="M522" s="10" t="s">
        <v>21</v>
      </c>
      <c r="N522" s="10" t="s">
        <v>42293</v>
      </c>
      <c r="O522" s="10" t="s">
        <v>372</v>
      </c>
      <c r="P522" s="1" t="s">
        <v>30089</v>
      </c>
      <c r="Q522" s="64" t="s">
        <v>42294</v>
      </c>
      <c r="R522" s="10" t="s">
        <v>94</v>
      </c>
      <c r="S522" s="63" t="s">
        <v>22</v>
      </c>
      <c r="T522" s="34" t="s">
        <v>26781</v>
      </c>
      <c r="U522" s="34" t="s">
        <v>26572</v>
      </c>
      <c r="V522" s="68"/>
      <c r="W522" s="68"/>
      <c r="X522" s="68"/>
      <c r="Z522" s="68" t="s">
        <v>42968</v>
      </c>
      <c r="AA522" s="33">
        <v>7144</v>
      </c>
    </row>
    <row r="523" spans="1:27" ht="12" customHeight="1" x14ac:dyDescent="0.15">
      <c r="A523" s="10" t="s">
        <v>40175</v>
      </c>
      <c r="B523" s="99">
        <v>35</v>
      </c>
      <c r="C523" s="10" t="s">
        <v>14</v>
      </c>
      <c r="D523" s="68" t="s">
        <v>42</v>
      </c>
      <c r="E523" s="63"/>
      <c r="F523" s="67">
        <v>43659</v>
      </c>
      <c r="G523" s="10" t="s">
        <v>40176</v>
      </c>
      <c r="H523" s="10" t="s">
        <v>17114</v>
      </c>
      <c r="I523" s="10" t="s">
        <v>282</v>
      </c>
      <c r="J523" s="65">
        <v>98034</v>
      </c>
      <c r="K523" s="70" t="s">
        <v>1133</v>
      </c>
      <c r="L523" s="10" t="s">
        <v>17115</v>
      </c>
      <c r="M523" s="10" t="s">
        <v>21</v>
      </c>
      <c r="N523" s="10" t="s">
        <v>40177</v>
      </c>
      <c r="O523" s="10" t="s">
        <v>372</v>
      </c>
      <c r="P523" s="1" t="s">
        <v>30089</v>
      </c>
      <c r="Q523" s="64" t="s">
        <v>40178</v>
      </c>
      <c r="R523" s="10" t="s">
        <v>94</v>
      </c>
      <c r="S523" s="63" t="s">
        <v>12</v>
      </c>
      <c r="T523" s="68" t="s">
        <v>29705</v>
      </c>
      <c r="U523" s="68" t="s">
        <v>26572</v>
      </c>
      <c r="V523" s="68" t="s">
        <v>26573</v>
      </c>
      <c r="W523" s="68" t="s">
        <v>94</v>
      </c>
      <c r="X523" s="68">
        <v>4879</v>
      </c>
      <c r="Z523" s="68" t="s">
        <v>42968</v>
      </c>
      <c r="AA523" s="33">
        <v>7146</v>
      </c>
    </row>
    <row r="524" spans="1:27" ht="12" customHeight="1" x14ac:dyDescent="0.15">
      <c r="A524" s="10" t="s">
        <v>38193</v>
      </c>
      <c r="B524" s="99">
        <v>69</v>
      </c>
      <c r="C524" s="10" t="s">
        <v>14</v>
      </c>
      <c r="D524" s="10" t="s">
        <v>31</v>
      </c>
      <c r="E524" s="64" t="s">
        <v>38194</v>
      </c>
      <c r="F524" s="67">
        <v>43659</v>
      </c>
      <c r="G524" s="10" t="s">
        <v>38195</v>
      </c>
      <c r="H524" s="10" t="s">
        <v>826</v>
      </c>
      <c r="I524" s="10" t="s">
        <v>282</v>
      </c>
      <c r="J524" s="65">
        <v>98421</v>
      </c>
      <c r="K524" s="10" t="s">
        <v>827</v>
      </c>
      <c r="L524" s="10" t="s">
        <v>828</v>
      </c>
      <c r="M524" s="10" t="s">
        <v>21</v>
      </c>
      <c r="N524" s="10" t="s">
        <v>38196</v>
      </c>
      <c r="O524" s="10" t="s">
        <v>372</v>
      </c>
      <c r="P524" s="1" t="s">
        <v>30089</v>
      </c>
      <c r="Q524" s="64" t="s">
        <v>38197</v>
      </c>
      <c r="R524" s="10" t="s">
        <v>94</v>
      </c>
      <c r="S524" s="63" t="s">
        <v>22</v>
      </c>
      <c r="T524" s="68" t="s">
        <v>26781</v>
      </c>
      <c r="U524" s="68" t="s">
        <v>26570</v>
      </c>
      <c r="V524" s="68" t="s">
        <v>26573</v>
      </c>
      <c r="W524" s="68" t="s">
        <v>94</v>
      </c>
      <c r="X524" s="68">
        <v>4872</v>
      </c>
      <c r="Z524" s="68" t="e">
        <v>#N/A</v>
      </c>
      <c r="AA524" s="33">
        <v>7142</v>
      </c>
    </row>
    <row r="525" spans="1:27" ht="12" customHeight="1" x14ac:dyDescent="0.15">
      <c r="A525" s="10" t="s">
        <v>38204</v>
      </c>
      <c r="B525" s="99">
        <v>46</v>
      </c>
      <c r="C525" s="10" t="s">
        <v>14</v>
      </c>
      <c r="D525" s="10" t="s">
        <v>31</v>
      </c>
      <c r="E525" s="64" t="s">
        <v>38205</v>
      </c>
      <c r="F525" s="67">
        <v>43659</v>
      </c>
      <c r="G525" s="10" t="s">
        <v>38206</v>
      </c>
      <c r="H525" s="10" t="s">
        <v>36068</v>
      </c>
      <c r="I525" s="10" t="s">
        <v>56</v>
      </c>
      <c r="J525" s="65">
        <v>34785</v>
      </c>
      <c r="K525" s="10" t="s">
        <v>24786</v>
      </c>
      <c r="L525" s="10" t="s">
        <v>34849</v>
      </c>
      <c r="M525" s="10" t="s">
        <v>21</v>
      </c>
      <c r="N525" s="10" t="s">
        <v>38207</v>
      </c>
      <c r="O525" s="10" t="s">
        <v>372</v>
      </c>
      <c r="P525" s="1" t="s">
        <v>30089</v>
      </c>
      <c r="Q525" s="64" t="s">
        <v>38208</v>
      </c>
      <c r="R525" s="10" t="s">
        <v>94</v>
      </c>
      <c r="S525" s="63" t="s">
        <v>22</v>
      </c>
      <c r="T525" s="68" t="s">
        <v>26781</v>
      </c>
      <c r="U525" s="68" t="s">
        <v>26572</v>
      </c>
      <c r="V525" s="68" t="s">
        <v>26573</v>
      </c>
      <c r="W525" s="68" t="s">
        <v>94</v>
      </c>
      <c r="X525" s="68">
        <v>4885</v>
      </c>
      <c r="Z525" s="68" t="s">
        <v>42967</v>
      </c>
      <c r="AA525" s="33">
        <v>7143</v>
      </c>
    </row>
    <row r="526" spans="1:27" ht="12" customHeight="1" x14ac:dyDescent="0.15">
      <c r="A526" s="10" t="s">
        <v>41736</v>
      </c>
      <c r="B526" s="99">
        <v>46</v>
      </c>
      <c r="C526" s="10" t="s">
        <v>14</v>
      </c>
      <c r="D526" s="10" t="s">
        <v>79</v>
      </c>
      <c r="E526" s="63"/>
      <c r="F526" s="67">
        <v>43659</v>
      </c>
      <c r="G526" s="10" t="s">
        <v>41737</v>
      </c>
      <c r="H526" s="10" t="s">
        <v>41738</v>
      </c>
      <c r="I526" s="10" t="s">
        <v>75</v>
      </c>
      <c r="J526" s="65">
        <v>7050</v>
      </c>
      <c r="K526" s="10" t="s">
        <v>486</v>
      </c>
      <c r="L526" s="10" t="s">
        <v>14504</v>
      </c>
      <c r="M526" s="10" t="s">
        <v>21</v>
      </c>
      <c r="N526" s="10" t="s">
        <v>41739</v>
      </c>
      <c r="O526" s="10" t="s">
        <v>372</v>
      </c>
      <c r="P526" s="1" t="s">
        <v>30089</v>
      </c>
      <c r="Q526" s="64" t="s">
        <v>41740</v>
      </c>
      <c r="R526" s="10" t="s">
        <v>94</v>
      </c>
      <c r="S526" s="63" t="s">
        <v>22</v>
      </c>
      <c r="T526" s="34" t="s">
        <v>26774</v>
      </c>
      <c r="U526" s="34" t="s">
        <v>26572</v>
      </c>
      <c r="V526" s="68"/>
      <c r="W526" s="68"/>
      <c r="X526" s="68"/>
      <c r="Z526" s="68" t="s">
        <v>42968</v>
      </c>
      <c r="AA526" s="33">
        <v>7145</v>
      </c>
    </row>
    <row r="527" spans="1:27" ht="12" customHeight="1" x14ac:dyDescent="0.15">
      <c r="A527" s="10" t="s">
        <v>39419</v>
      </c>
      <c r="B527" s="99">
        <v>32</v>
      </c>
      <c r="C527" s="10" t="s">
        <v>14</v>
      </c>
      <c r="D527" s="10" t="s">
        <v>79</v>
      </c>
      <c r="E527" s="64" t="s">
        <v>39420</v>
      </c>
      <c r="F527" s="67">
        <v>43656</v>
      </c>
      <c r="G527" s="10" t="s">
        <v>39421</v>
      </c>
      <c r="H527" s="10" t="s">
        <v>39422</v>
      </c>
      <c r="I527" s="10" t="s">
        <v>39</v>
      </c>
      <c r="J527" s="65">
        <v>92301</v>
      </c>
      <c r="K527" s="10" t="s">
        <v>288</v>
      </c>
      <c r="L527" s="10" t="s">
        <v>32215</v>
      </c>
      <c r="M527" s="10" t="s">
        <v>21</v>
      </c>
      <c r="N527" s="10" t="s">
        <v>39423</v>
      </c>
      <c r="O527" s="10" t="s">
        <v>372</v>
      </c>
      <c r="P527" s="1" t="s">
        <v>30089</v>
      </c>
      <c r="Q527" s="64" t="s">
        <v>39424</v>
      </c>
      <c r="R527" s="10" t="s">
        <v>94</v>
      </c>
      <c r="S527" s="63" t="s">
        <v>22</v>
      </c>
      <c r="T527" s="68" t="s">
        <v>26774</v>
      </c>
      <c r="U527" s="68" t="s">
        <v>26572</v>
      </c>
      <c r="V527" s="68" t="s">
        <v>26574</v>
      </c>
      <c r="W527" s="68" t="s">
        <v>94</v>
      </c>
      <c r="X527" s="68">
        <v>4861</v>
      </c>
      <c r="Z527" s="68" t="s">
        <v>42968</v>
      </c>
      <c r="AA527" s="33">
        <v>7140</v>
      </c>
    </row>
    <row r="528" spans="1:27" ht="12" customHeight="1" x14ac:dyDescent="0.15">
      <c r="A528" s="10" t="s">
        <v>41933</v>
      </c>
      <c r="B528" s="99">
        <v>37</v>
      </c>
      <c r="C528" s="10" t="s">
        <v>14</v>
      </c>
      <c r="D528" s="10" t="s">
        <v>31</v>
      </c>
      <c r="E528" s="63"/>
      <c r="F528" s="67">
        <v>43656</v>
      </c>
      <c r="G528" s="10" t="s">
        <v>41934</v>
      </c>
      <c r="H528" s="10" t="s">
        <v>622</v>
      </c>
      <c r="I528" s="10" t="s">
        <v>621</v>
      </c>
      <c r="J528" s="65">
        <v>39365</v>
      </c>
      <c r="K528" s="10" t="s">
        <v>7221</v>
      </c>
      <c r="L528" s="10" t="s">
        <v>36515</v>
      </c>
      <c r="M528" s="10" t="s">
        <v>21</v>
      </c>
      <c r="N528" s="10" t="s">
        <v>41935</v>
      </c>
      <c r="O528" s="10" t="s">
        <v>372</v>
      </c>
      <c r="P528" s="1" t="s">
        <v>30089</v>
      </c>
      <c r="Q528" s="64" t="s">
        <v>41936</v>
      </c>
      <c r="R528" s="10" t="s">
        <v>94</v>
      </c>
      <c r="S528" s="63" t="s">
        <v>22</v>
      </c>
      <c r="T528" s="34" t="s">
        <v>26781</v>
      </c>
      <c r="U528" s="34" t="s">
        <v>26572</v>
      </c>
      <c r="V528" s="68"/>
      <c r="W528" s="68"/>
      <c r="X528" s="68"/>
      <c r="Z528" s="68" t="s">
        <v>42967</v>
      </c>
      <c r="AA528" s="33">
        <v>7139</v>
      </c>
    </row>
    <row r="529" spans="1:27" ht="12" customHeight="1" x14ac:dyDescent="0.15">
      <c r="A529" s="10" t="s">
        <v>39468</v>
      </c>
      <c r="B529" s="99">
        <v>33</v>
      </c>
      <c r="C529" s="10" t="s">
        <v>14</v>
      </c>
      <c r="D529" s="10" t="s">
        <v>31</v>
      </c>
      <c r="E529" s="64" t="s">
        <v>39469</v>
      </c>
      <c r="F529" s="67">
        <v>43656</v>
      </c>
      <c r="G529" s="10" t="s">
        <v>39470</v>
      </c>
      <c r="H529" s="10" t="s">
        <v>603</v>
      </c>
      <c r="I529" s="10" t="s">
        <v>56</v>
      </c>
      <c r="J529" s="65">
        <v>32202</v>
      </c>
      <c r="K529" s="10" t="s">
        <v>604</v>
      </c>
      <c r="L529" s="10" t="s">
        <v>605</v>
      </c>
      <c r="M529" s="10" t="s">
        <v>21</v>
      </c>
      <c r="N529" s="10" t="s">
        <v>39471</v>
      </c>
      <c r="O529" s="10" t="s">
        <v>372</v>
      </c>
      <c r="P529" s="1" t="s">
        <v>30089</v>
      </c>
      <c r="Q529" s="64" t="s">
        <v>39472</v>
      </c>
      <c r="R529" s="10" t="s">
        <v>94</v>
      </c>
      <c r="S529" s="63" t="s">
        <v>22</v>
      </c>
      <c r="T529" s="68" t="s">
        <v>26774</v>
      </c>
      <c r="U529" s="68" t="s">
        <v>26572</v>
      </c>
      <c r="V529" s="68" t="s">
        <v>26573</v>
      </c>
      <c r="W529" s="68" t="s">
        <v>94</v>
      </c>
      <c r="X529" s="68">
        <v>4864</v>
      </c>
      <c r="Z529" s="68" t="s">
        <v>42966</v>
      </c>
      <c r="AA529" s="33">
        <v>7141</v>
      </c>
    </row>
    <row r="530" spans="1:27" ht="12" customHeight="1" x14ac:dyDescent="0.15">
      <c r="A530" s="10" t="s">
        <v>39309</v>
      </c>
      <c r="B530" s="1"/>
      <c r="C530" s="1"/>
      <c r="D530" s="68" t="s">
        <v>31</v>
      </c>
      <c r="E530" s="1"/>
      <c r="F530" s="67">
        <v>43656</v>
      </c>
      <c r="G530" s="1"/>
      <c r="H530" s="1" t="s">
        <v>401</v>
      </c>
      <c r="I530" s="1" t="s">
        <v>337</v>
      </c>
      <c r="J530" s="1"/>
      <c r="K530" s="1"/>
      <c r="L530" s="1"/>
      <c r="M530" s="10" t="s">
        <v>21</v>
      </c>
      <c r="N530" s="1"/>
      <c r="O530" s="10" t="s">
        <v>372</v>
      </c>
      <c r="P530" s="1" t="s">
        <v>30089</v>
      </c>
      <c r="Q530" s="1"/>
      <c r="R530" s="1"/>
      <c r="S530" s="63" t="s">
        <v>22</v>
      </c>
      <c r="T530" s="68" t="s">
        <v>26781</v>
      </c>
      <c r="U530" s="68" t="s">
        <v>26572</v>
      </c>
      <c r="V530" s="68" t="s">
        <v>26573</v>
      </c>
      <c r="W530" s="68" t="s">
        <v>94</v>
      </c>
      <c r="X530" s="68">
        <v>4865</v>
      </c>
      <c r="Z530" s="1" t="e">
        <v>#N/A</v>
      </c>
      <c r="AA530" s="33">
        <v>7138</v>
      </c>
    </row>
    <row r="531" spans="1:27" ht="12" customHeight="1" x14ac:dyDescent="0.15">
      <c r="A531" s="10" t="s">
        <v>40397</v>
      </c>
      <c r="B531" s="99">
        <v>36</v>
      </c>
      <c r="C531" s="10" t="s">
        <v>14</v>
      </c>
      <c r="D531" s="10" t="s">
        <v>42</v>
      </c>
      <c r="E531" s="63"/>
      <c r="F531" s="67">
        <v>43655</v>
      </c>
      <c r="G531" s="10" t="s">
        <v>40398</v>
      </c>
      <c r="H531" s="10" t="s">
        <v>631</v>
      </c>
      <c r="I531" s="10" t="s">
        <v>39</v>
      </c>
      <c r="J531" s="65">
        <v>93305</v>
      </c>
      <c r="K531" s="10" t="s">
        <v>632</v>
      </c>
      <c r="L531" s="10" t="s">
        <v>633</v>
      </c>
      <c r="M531" s="10" t="s">
        <v>21</v>
      </c>
      <c r="N531" s="10" t="s">
        <v>40399</v>
      </c>
      <c r="O531" s="10" t="s">
        <v>372</v>
      </c>
      <c r="P531" s="1" t="s">
        <v>30089</v>
      </c>
      <c r="Q531" s="64" t="s">
        <v>40400</v>
      </c>
      <c r="R531" s="10" t="s">
        <v>94</v>
      </c>
      <c r="S531" s="63" t="s">
        <v>29</v>
      </c>
      <c r="T531" s="68" t="s">
        <v>26575</v>
      </c>
      <c r="U531" s="68" t="s">
        <v>26575</v>
      </c>
      <c r="V531" s="68" t="s">
        <v>26573</v>
      </c>
      <c r="W531" s="68" t="s">
        <v>94</v>
      </c>
      <c r="X531" s="68">
        <v>4858</v>
      </c>
      <c r="Z531" s="68" t="s">
        <v>42966</v>
      </c>
      <c r="AA531" s="33">
        <v>7137</v>
      </c>
    </row>
    <row r="532" spans="1:27" ht="12" customHeight="1" x14ac:dyDescent="0.15">
      <c r="A532" s="10" t="s">
        <v>41025</v>
      </c>
      <c r="B532" s="99">
        <v>23</v>
      </c>
      <c r="C532" s="10" t="s">
        <v>14</v>
      </c>
      <c r="D532" s="10" t="s">
        <v>31</v>
      </c>
      <c r="E532" s="63"/>
      <c r="F532" s="67">
        <v>43655</v>
      </c>
      <c r="G532" s="10" t="s">
        <v>41026</v>
      </c>
      <c r="H532" s="10" t="s">
        <v>924</v>
      </c>
      <c r="I532" s="10" t="s">
        <v>63</v>
      </c>
      <c r="J532" s="65">
        <v>44144</v>
      </c>
      <c r="K532" s="10" t="s">
        <v>95</v>
      </c>
      <c r="L532" s="10" t="s">
        <v>41027</v>
      </c>
      <c r="M532" s="10" t="s">
        <v>21</v>
      </c>
      <c r="N532" s="10" t="s">
        <v>41028</v>
      </c>
      <c r="O532" s="10" t="s">
        <v>372</v>
      </c>
      <c r="P532" s="1" t="s">
        <v>30089</v>
      </c>
      <c r="Q532" s="64" t="s">
        <v>41029</v>
      </c>
      <c r="R532" s="10" t="s">
        <v>512</v>
      </c>
      <c r="S532" s="63" t="s">
        <v>22</v>
      </c>
      <c r="T532" s="68" t="s">
        <v>26781</v>
      </c>
      <c r="U532" s="68" t="s">
        <v>26572</v>
      </c>
      <c r="V532" s="68" t="s">
        <v>26573</v>
      </c>
      <c r="W532" s="68" t="s">
        <v>94</v>
      </c>
      <c r="X532" s="68">
        <v>4866</v>
      </c>
      <c r="Z532" s="68" t="s">
        <v>42968</v>
      </c>
      <c r="AA532" s="33">
        <v>7134</v>
      </c>
    </row>
    <row r="533" spans="1:27" ht="12" customHeight="1" x14ac:dyDescent="0.15">
      <c r="A533" s="10" t="s">
        <v>39748</v>
      </c>
      <c r="B533" s="99">
        <v>36</v>
      </c>
      <c r="C533" s="10" t="s">
        <v>14</v>
      </c>
      <c r="D533" s="10" t="s">
        <v>24</v>
      </c>
      <c r="E533" s="63"/>
      <c r="F533" s="67">
        <v>43655</v>
      </c>
      <c r="G533" s="10" t="s">
        <v>39749</v>
      </c>
      <c r="H533" s="10" t="s">
        <v>39750</v>
      </c>
      <c r="I533" s="10" t="s">
        <v>39</v>
      </c>
      <c r="J533" s="65">
        <v>92270</v>
      </c>
      <c r="K533" s="10" t="s">
        <v>728</v>
      </c>
      <c r="L533" s="10" t="s">
        <v>729</v>
      </c>
      <c r="M533" s="10" t="s">
        <v>21</v>
      </c>
      <c r="N533" s="10" t="s">
        <v>39751</v>
      </c>
      <c r="O533" s="10" t="s">
        <v>372</v>
      </c>
      <c r="P533" s="1" t="s">
        <v>30089</v>
      </c>
      <c r="Q533" s="64" t="s">
        <v>39752</v>
      </c>
      <c r="R533" s="10" t="s">
        <v>94</v>
      </c>
      <c r="S533" s="63" t="s">
        <v>22</v>
      </c>
      <c r="T533" s="68" t="s">
        <v>26774</v>
      </c>
      <c r="U533" s="68" t="s">
        <v>26572</v>
      </c>
      <c r="V533" s="68" t="s">
        <v>26573</v>
      </c>
      <c r="W533" s="68" t="s">
        <v>512</v>
      </c>
      <c r="X533" s="68">
        <v>4859</v>
      </c>
      <c r="Z533" s="68" t="s">
        <v>42968</v>
      </c>
      <c r="AA533" s="33">
        <v>7135</v>
      </c>
    </row>
    <row r="534" spans="1:27" ht="12" customHeight="1" x14ac:dyDescent="0.15">
      <c r="A534" s="10" t="s">
        <v>38188</v>
      </c>
      <c r="B534" s="99">
        <v>26</v>
      </c>
      <c r="C534" s="10" t="s">
        <v>14</v>
      </c>
      <c r="D534" s="10" t="s">
        <v>31</v>
      </c>
      <c r="E534" s="64" t="s">
        <v>38189</v>
      </c>
      <c r="F534" s="67">
        <v>43655</v>
      </c>
      <c r="G534" s="10" t="s">
        <v>38190</v>
      </c>
      <c r="H534" s="10" t="s">
        <v>1535</v>
      </c>
      <c r="I534" s="10" t="s">
        <v>39</v>
      </c>
      <c r="J534" s="65">
        <v>95610</v>
      </c>
      <c r="K534" s="10" t="s">
        <v>1537</v>
      </c>
      <c r="L534" s="10" t="s">
        <v>1538</v>
      </c>
      <c r="M534" s="10" t="s">
        <v>21</v>
      </c>
      <c r="N534" s="10" t="s">
        <v>38191</v>
      </c>
      <c r="O534" s="10" t="s">
        <v>372</v>
      </c>
      <c r="P534" s="1" t="s">
        <v>30089</v>
      </c>
      <c r="Q534" s="64" t="s">
        <v>38192</v>
      </c>
      <c r="R534" s="10" t="s">
        <v>94</v>
      </c>
      <c r="S534" s="63" t="s">
        <v>22</v>
      </c>
      <c r="T534" s="68" t="s">
        <v>26781</v>
      </c>
      <c r="U534" s="68" t="s">
        <v>26572</v>
      </c>
      <c r="V534" s="68">
        <v>0</v>
      </c>
      <c r="W534" s="68" t="s">
        <v>94</v>
      </c>
      <c r="X534" s="68">
        <v>4862</v>
      </c>
      <c r="Z534" s="68" t="s">
        <v>42968</v>
      </c>
      <c r="AA534" s="33">
        <v>7133</v>
      </c>
    </row>
    <row r="535" spans="1:27" ht="12" customHeight="1" x14ac:dyDescent="0.15">
      <c r="A535" s="10" t="s">
        <v>3002</v>
      </c>
      <c r="B535" s="69"/>
      <c r="C535" s="10" t="s">
        <v>14</v>
      </c>
      <c r="D535" s="10" t="s">
        <v>24</v>
      </c>
      <c r="E535" s="63"/>
      <c r="F535" s="67">
        <v>43655</v>
      </c>
      <c r="G535" s="10" t="s">
        <v>37150</v>
      </c>
      <c r="H535" s="10" t="s">
        <v>37151</v>
      </c>
      <c r="I535" s="10" t="s">
        <v>294</v>
      </c>
      <c r="J535" s="65">
        <v>40312</v>
      </c>
      <c r="K535" s="10" t="s">
        <v>4920</v>
      </c>
      <c r="L535" s="10" t="s">
        <v>37152</v>
      </c>
      <c r="M535" s="10" t="s">
        <v>21</v>
      </c>
      <c r="N535" s="10" t="s">
        <v>37153</v>
      </c>
      <c r="O535" s="10" t="s">
        <v>372</v>
      </c>
      <c r="P535" s="1" t="s">
        <v>30089</v>
      </c>
      <c r="Q535" s="64" t="s">
        <v>37154</v>
      </c>
      <c r="R535" s="10" t="s">
        <v>94</v>
      </c>
      <c r="S535" s="63" t="s">
        <v>12</v>
      </c>
      <c r="T535" s="54" t="s">
        <v>29705</v>
      </c>
      <c r="U535" s="68"/>
      <c r="V535" s="68"/>
      <c r="W535" s="68"/>
      <c r="X535" s="68"/>
      <c r="Y535" s="33" t="s">
        <v>42476</v>
      </c>
      <c r="Z535" s="68" t="s">
        <v>42967</v>
      </c>
      <c r="AA535" s="33">
        <v>7136</v>
      </c>
    </row>
    <row r="536" spans="1:27" ht="12" customHeight="1" x14ac:dyDescent="0.15">
      <c r="A536" s="10" t="s">
        <v>37486</v>
      </c>
      <c r="B536" s="99">
        <v>23</v>
      </c>
      <c r="C536" s="10" t="s">
        <v>14</v>
      </c>
      <c r="D536" s="10" t="s">
        <v>79</v>
      </c>
      <c r="E536" s="64" t="s">
        <v>37487</v>
      </c>
      <c r="F536" s="67">
        <v>43655</v>
      </c>
      <c r="G536" s="10" t="s">
        <v>37488</v>
      </c>
      <c r="H536" s="10" t="s">
        <v>27</v>
      </c>
      <c r="I536" s="10" t="s">
        <v>338</v>
      </c>
      <c r="J536" s="65">
        <v>27834</v>
      </c>
      <c r="K536" s="10" t="s">
        <v>770</v>
      </c>
      <c r="L536" s="10" t="s">
        <v>771</v>
      </c>
      <c r="M536" s="10" t="s">
        <v>21</v>
      </c>
      <c r="N536" s="10" t="s">
        <v>37489</v>
      </c>
      <c r="O536" s="10" t="s">
        <v>372</v>
      </c>
      <c r="P536" s="1" t="s">
        <v>30089</v>
      </c>
      <c r="Q536" s="64" t="s">
        <v>37490</v>
      </c>
      <c r="R536" s="10" t="s">
        <v>94</v>
      </c>
      <c r="S536" s="63" t="s">
        <v>22</v>
      </c>
      <c r="T536" s="68" t="s">
        <v>26781</v>
      </c>
      <c r="U536" s="68" t="s">
        <v>26572</v>
      </c>
      <c r="V536" s="68" t="s">
        <v>26573</v>
      </c>
      <c r="W536" s="68" t="s">
        <v>94</v>
      </c>
      <c r="X536" s="68">
        <v>4860</v>
      </c>
      <c r="Z536" s="68" t="s">
        <v>42968</v>
      </c>
      <c r="AA536" s="33">
        <v>7132</v>
      </c>
    </row>
    <row r="537" spans="1:27" ht="12" customHeight="1" x14ac:dyDescent="0.15">
      <c r="A537" s="10" t="s">
        <v>37155</v>
      </c>
      <c r="B537" s="99">
        <v>42</v>
      </c>
      <c r="C537" s="10" t="s">
        <v>14</v>
      </c>
      <c r="D537" s="10" t="s">
        <v>24</v>
      </c>
      <c r="E537" s="63"/>
      <c r="F537" s="67">
        <v>43654</v>
      </c>
      <c r="G537" s="10" t="s">
        <v>37156</v>
      </c>
      <c r="H537" s="10" t="s">
        <v>81</v>
      </c>
      <c r="I537" s="10" t="s">
        <v>38</v>
      </c>
      <c r="J537" s="65">
        <v>60639</v>
      </c>
      <c r="K537" s="10" t="s">
        <v>82</v>
      </c>
      <c r="L537" s="10" t="s">
        <v>83</v>
      </c>
      <c r="M537" s="10" t="s">
        <v>21</v>
      </c>
      <c r="N537" s="10" t="s">
        <v>37157</v>
      </c>
      <c r="O537" s="10" t="s">
        <v>372</v>
      </c>
      <c r="P537" s="1" t="s">
        <v>30089</v>
      </c>
      <c r="Q537" s="64" t="s">
        <v>37158</v>
      </c>
      <c r="R537" s="10" t="s">
        <v>94</v>
      </c>
      <c r="S537" s="63" t="s">
        <v>29</v>
      </c>
      <c r="T537" s="33" t="s">
        <v>41840</v>
      </c>
      <c r="U537" s="68"/>
      <c r="V537" s="68"/>
      <c r="W537" s="68"/>
      <c r="X537" s="68"/>
      <c r="Y537" s="33" t="s">
        <v>42476</v>
      </c>
      <c r="Z537" s="68" t="s">
        <v>42966</v>
      </c>
      <c r="AA537" s="33">
        <v>7131</v>
      </c>
    </row>
    <row r="538" spans="1:27" ht="12" customHeight="1" x14ac:dyDescent="0.15">
      <c r="A538" s="10" t="s">
        <v>42299</v>
      </c>
      <c r="B538" s="99">
        <v>58</v>
      </c>
      <c r="C538" s="10" t="s">
        <v>14</v>
      </c>
      <c r="D538" s="10" t="s">
        <v>24</v>
      </c>
      <c r="E538" s="63"/>
      <c r="F538" s="67">
        <v>43653</v>
      </c>
      <c r="G538" s="10" t="s">
        <v>42300</v>
      </c>
      <c r="H538" s="10" t="s">
        <v>1716</v>
      </c>
      <c r="I538" s="10" t="s">
        <v>395</v>
      </c>
      <c r="J538" s="65">
        <v>10452</v>
      </c>
      <c r="K538" s="10" t="s">
        <v>1716</v>
      </c>
      <c r="L538" s="10" t="s">
        <v>539</v>
      </c>
      <c r="M538" s="10" t="s">
        <v>21</v>
      </c>
      <c r="N538" s="10" t="s">
        <v>42301</v>
      </c>
      <c r="O538" s="10" t="s">
        <v>372</v>
      </c>
      <c r="P538" s="1" t="s">
        <v>30089</v>
      </c>
      <c r="Q538" s="64" t="s">
        <v>42302</v>
      </c>
      <c r="R538" s="10" t="s">
        <v>94</v>
      </c>
      <c r="S538" s="63" t="s">
        <v>22</v>
      </c>
      <c r="T538" s="34" t="s">
        <v>26781</v>
      </c>
      <c r="U538" s="34" t="s">
        <v>26572</v>
      </c>
      <c r="V538" s="68"/>
      <c r="W538" s="68"/>
      <c r="X538" s="68"/>
      <c r="Z538" s="68" t="s">
        <v>42966</v>
      </c>
      <c r="AA538" s="33">
        <v>7128</v>
      </c>
    </row>
    <row r="539" spans="1:27" ht="12" customHeight="1" x14ac:dyDescent="0.15">
      <c r="A539" s="10" t="s">
        <v>42295</v>
      </c>
      <c r="B539" s="99">
        <v>43</v>
      </c>
      <c r="C539" s="10" t="s">
        <v>14</v>
      </c>
      <c r="D539" s="10" t="s">
        <v>24</v>
      </c>
      <c r="E539" s="63"/>
      <c r="F539" s="67">
        <v>43653</v>
      </c>
      <c r="G539" s="10" t="s">
        <v>42296</v>
      </c>
      <c r="H539" s="10" t="s">
        <v>15335</v>
      </c>
      <c r="I539" s="10" t="s">
        <v>178</v>
      </c>
      <c r="J539" s="65">
        <v>88352</v>
      </c>
      <c r="K539" s="10" t="s">
        <v>6147</v>
      </c>
      <c r="L539" s="10" t="s">
        <v>15337</v>
      </c>
      <c r="M539" s="10" t="s">
        <v>21</v>
      </c>
      <c r="N539" s="10" t="s">
        <v>42297</v>
      </c>
      <c r="O539" s="10" t="s">
        <v>372</v>
      </c>
      <c r="P539" s="1" t="s">
        <v>30089</v>
      </c>
      <c r="Q539" s="64" t="s">
        <v>42298</v>
      </c>
      <c r="R539" s="10" t="s">
        <v>94</v>
      </c>
      <c r="S539" s="63" t="s">
        <v>22</v>
      </c>
      <c r="T539" s="34" t="s">
        <v>26781</v>
      </c>
      <c r="U539" s="34" t="s">
        <v>26572</v>
      </c>
      <c r="V539" s="68"/>
      <c r="W539" s="68"/>
      <c r="X539" s="68"/>
      <c r="Z539" s="68" t="s">
        <v>42967</v>
      </c>
      <c r="AA539" s="33">
        <v>7127</v>
      </c>
    </row>
    <row r="540" spans="1:27" ht="12" customHeight="1" x14ac:dyDescent="0.15">
      <c r="A540" s="10" t="s">
        <v>41385</v>
      </c>
      <c r="B540" s="99">
        <v>61</v>
      </c>
      <c r="C540" s="10" t="s">
        <v>14</v>
      </c>
      <c r="D540" s="10" t="s">
        <v>31</v>
      </c>
      <c r="E540" s="63"/>
      <c r="F540" s="67">
        <v>43653</v>
      </c>
      <c r="G540" s="10" t="s">
        <v>41386</v>
      </c>
      <c r="H540" s="10" t="s">
        <v>603</v>
      </c>
      <c r="I540" s="10" t="s">
        <v>918</v>
      </c>
      <c r="J540" s="65">
        <v>72076</v>
      </c>
      <c r="K540" s="10" t="s">
        <v>2312</v>
      </c>
      <c r="L540" s="10" t="s">
        <v>2186</v>
      </c>
      <c r="M540" s="10" t="s">
        <v>21</v>
      </c>
      <c r="N540" s="10" t="s">
        <v>41387</v>
      </c>
      <c r="O540" s="10" t="s">
        <v>372</v>
      </c>
      <c r="P540" s="1" t="s">
        <v>30089</v>
      </c>
      <c r="Q540" s="64" t="s">
        <v>41388</v>
      </c>
      <c r="R540" s="10" t="s">
        <v>512</v>
      </c>
      <c r="S540" s="63" t="s">
        <v>22</v>
      </c>
      <c r="T540" s="68" t="s">
        <v>26774</v>
      </c>
      <c r="U540" s="68" t="s">
        <v>26572</v>
      </c>
      <c r="V540" s="68" t="s">
        <v>26573</v>
      </c>
      <c r="W540" s="68" t="s">
        <v>94</v>
      </c>
      <c r="X540" s="68">
        <v>4842</v>
      </c>
      <c r="Z540" s="68" t="s">
        <v>42968</v>
      </c>
      <c r="AA540" s="33">
        <v>7129</v>
      </c>
    </row>
    <row r="541" spans="1:27" ht="12" customHeight="1" x14ac:dyDescent="0.15">
      <c r="A541" s="10" t="s">
        <v>40478</v>
      </c>
      <c r="B541" s="99">
        <v>41</v>
      </c>
      <c r="C541" s="10" t="s">
        <v>14</v>
      </c>
      <c r="D541" s="68" t="s">
        <v>31</v>
      </c>
      <c r="E541" s="63"/>
      <c r="F541" s="67">
        <v>43653</v>
      </c>
      <c r="G541" s="10" t="s">
        <v>40479</v>
      </c>
      <c r="H541" s="10" t="s">
        <v>39889</v>
      </c>
      <c r="I541" s="10" t="s">
        <v>225</v>
      </c>
      <c r="J541" s="65">
        <v>22853</v>
      </c>
      <c r="K541" s="10" t="s">
        <v>4386</v>
      </c>
      <c r="L541" s="10" t="s">
        <v>40480</v>
      </c>
      <c r="M541" s="10" t="s">
        <v>21</v>
      </c>
      <c r="N541" s="10" t="s">
        <v>40481</v>
      </c>
      <c r="O541" s="10" t="s">
        <v>372</v>
      </c>
      <c r="P541" s="1" t="s">
        <v>30089</v>
      </c>
      <c r="Q541" s="64" t="s">
        <v>40482</v>
      </c>
      <c r="R541" s="10" t="s">
        <v>94</v>
      </c>
      <c r="S541" s="63" t="s">
        <v>29</v>
      </c>
      <c r="T541" s="68" t="s">
        <v>26575</v>
      </c>
      <c r="U541" s="68" t="s">
        <v>26570</v>
      </c>
      <c r="V541" s="68" t="s">
        <v>26573</v>
      </c>
      <c r="W541" s="68" t="s">
        <v>94</v>
      </c>
      <c r="X541" s="68">
        <v>4851</v>
      </c>
      <c r="Z541" s="68" t="s">
        <v>42967</v>
      </c>
      <c r="AA541" s="33">
        <v>7130</v>
      </c>
    </row>
    <row r="542" spans="1:27" ht="12" customHeight="1" x14ac:dyDescent="0.15">
      <c r="A542" s="10" t="s">
        <v>39148</v>
      </c>
      <c r="B542" s="99">
        <v>43</v>
      </c>
      <c r="C542" s="10" t="s">
        <v>14</v>
      </c>
      <c r="D542" s="68" t="s">
        <v>79</v>
      </c>
      <c r="E542" s="63"/>
      <c r="F542" s="67">
        <v>43652</v>
      </c>
      <c r="G542" s="10" t="s">
        <v>39149</v>
      </c>
      <c r="H542" s="10" t="s">
        <v>39150</v>
      </c>
      <c r="I542" s="10" t="s">
        <v>46</v>
      </c>
      <c r="J542" s="65">
        <v>21237</v>
      </c>
      <c r="K542" s="10" t="s">
        <v>1487</v>
      </c>
      <c r="L542" s="10" t="s">
        <v>212</v>
      </c>
      <c r="M542" s="10" t="s">
        <v>21</v>
      </c>
      <c r="N542" s="10" t="s">
        <v>39151</v>
      </c>
      <c r="O542" s="10" t="s">
        <v>372</v>
      </c>
      <c r="P542" s="1" t="s">
        <v>30089</v>
      </c>
      <c r="Q542" s="64" t="s">
        <v>39152</v>
      </c>
      <c r="R542" s="10" t="s">
        <v>94</v>
      </c>
      <c r="S542" s="63" t="s">
        <v>22</v>
      </c>
      <c r="T542" s="68" t="s">
        <v>26781</v>
      </c>
      <c r="U542" s="68" t="s">
        <v>26572</v>
      </c>
      <c r="V542" s="68" t="s">
        <v>19228</v>
      </c>
      <c r="W542" s="68" t="s">
        <v>94</v>
      </c>
      <c r="X542" s="68">
        <v>4846</v>
      </c>
      <c r="Z542" s="68" t="s">
        <v>42968</v>
      </c>
      <c r="AA542" s="33">
        <v>7126</v>
      </c>
    </row>
    <row r="543" spans="1:27" ht="12" customHeight="1" x14ac:dyDescent="0.15">
      <c r="A543" s="10" t="s">
        <v>40391</v>
      </c>
      <c r="B543" s="99">
        <v>34</v>
      </c>
      <c r="C543" s="10" t="s">
        <v>14</v>
      </c>
      <c r="D543" s="10" t="s">
        <v>42</v>
      </c>
      <c r="E543" s="64" t="s">
        <v>40392</v>
      </c>
      <c r="F543" s="67">
        <v>43651</v>
      </c>
      <c r="G543" s="10" t="s">
        <v>40393</v>
      </c>
      <c r="H543" s="10" t="s">
        <v>563</v>
      </c>
      <c r="I543" s="10" t="s">
        <v>221</v>
      </c>
      <c r="J543" s="65">
        <v>84084</v>
      </c>
      <c r="K543" s="10" t="s">
        <v>564</v>
      </c>
      <c r="L543" s="10" t="s">
        <v>40394</v>
      </c>
      <c r="M543" s="10" t="s">
        <v>21</v>
      </c>
      <c r="N543" s="10" t="s">
        <v>40395</v>
      </c>
      <c r="O543" s="10" t="s">
        <v>372</v>
      </c>
      <c r="P543" s="1" t="s">
        <v>30089</v>
      </c>
      <c r="Q543" s="64" t="s">
        <v>40396</v>
      </c>
      <c r="R543" s="10" t="s">
        <v>94</v>
      </c>
      <c r="S543" s="63" t="s">
        <v>29</v>
      </c>
      <c r="T543" s="68" t="s">
        <v>26575</v>
      </c>
      <c r="U543" s="68" t="s">
        <v>26575</v>
      </c>
      <c r="V543" s="68" t="s">
        <v>26574</v>
      </c>
      <c r="W543" s="68" t="s">
        <v>94</v>
      </c>
      <c r="X543" s="68">
        <v>4845</v>
      </c>
      <c r="Z543" s="68" t="s">
        <v>42968</v>
      </c>
      <c r="AA543" s="33">
        <v>7125</v>
      </c>
    </row>
    <row r="544" spans="1:27" ht="12" customHeight="1" x14ac:dyDescent="0.15">
      <c r="A544" s="10" t="s">
        <v>37481</v>
      </c>
      <c r="B544" s="99">
        <v>28</v>
      </c>
      <c r="C544" s="10" t="s">
        <v>14</v>
      </c>
      <c r="D544" s="10" t="s">
        <v>79</v>
      </c>
      <c r="E544" s="64" t="s">
        <v>37482</v>
      </c>
      <c r="F544" s="67">
        <v>43651</v>
      </c>
      <c r="G544" s="10" t="s">
        <v>37483</v>
      </c>
      <c r="H544" s="10" t="s">
        <v>4990</v>
      </c>
      <c r="I544" s="10" t="s">
        <v>56</v>
      </c>
      <c r="J544" s="65">
        <v>32501</v>
      </c>
      <c r="K544" s="10" t="s">
        <v>4991</v>
      </c>
      <c r="L544" s="10" t="s">
        <v>11323</v>
      </c>
      <c r="M544" s="10" t="s">
        <v>21</v>
      </c>
      <c r="N544" s="10" t="s">
        <v>37484</v>
      </c>
      <c r="O544" s="10" t="s">
        <v>372</v>
      </c>
      <c r="P544" s="1" t="s">
        <v>30089</v>
      </c>
      <c r="Q544" s="64" t="s">
        <v>37485</v>
      </c>
      <c r="R544" s="10" t="s">
        <v>94</v>
      </c>
      <c r="S544" s="63" t="s">
        <v>22</v>
      </c>
      <c r="T544" s="68" t="s">
        <v>26781</v>
      </c>
      <c r="U544" s="68" t="s">
        <v>26572</v>
      </c>
      <c r="V544" s="68" t="s">
        <v>26571</v>
      </c>
      <c r="W544" s="68" t="s">
        <v>94</v>
      </c>
      <c r="X544" s="68">
        <v>4844</v>
      </c>
      <c r="Z544" s="68" t="s">
        <v>42966</v>
      </c>
      <c r="AA544" s="33">
        <v>7120</v>
      </c>
    </row>
    <row r="545" spans="1:27" ht="12" customHeight="1" x14ac:dyDescent="0.15">
      <c r="A545" s="10" t="s">
        <v>39664</v>
      </c>
      <c r="B545" s="99">
        <v>37</v>
      </c>
      <c r="C545" s="10" t="s">
        <v>14</v>
      </c>
      <c r="D545" s="10" t="s">
        <v>42</v>
      </c>
      <c r="E545" s="64" t="s">
        <v>39665</v>
      </c>
      <c r="F545" s="67">
        <v>43651</v>
      </c>
      <c r="G545" s="10" t="s">
        <v>39666</v>
      </c>
      <c r="H545" s="10" t="s">
        <v>39667</v>
      </c>
      <c r="I545" s="10" t="s">
        <v>56</v>
      </c>
      <c r="J545" s="65">
        <v>33570</v>
      </c>
      <c r="K545" s="10" t="s">
        <v>590</v>
      </c>
      <c r="L545" s="10" t="s">
        <v>591</v>
      </c>
      <c r="M545" s="10" t="s">
        <v>21</v>
      </c>
      <c r="N545" s="10" t="s">
        <v>39668</v>
      </c>
      <c r="O545" s="10" t="s">
        <v>372</v>
      </c>
      <c r="P545" s="1" t="s">
        <v>30089</v>
      </c>
      <c r="Q545" s="64" t="s">
        <v>39669</v>
      </c>
      <c r="R545" s="10" t="s">
        <v>94</v>
      </c>
      <c r="S545" s="63" t="s">
        <v>22</v>
      </c>
      <c r="T545" s="68" t="s">
        <v>26774</v>
      </c>
      <c r="U545" s="68" t="s">
        <v>26570</v>
      </c>
      <c r="V545" s="68" t="s">
        <v>26573</v>
      </c>
      <c r="W545" s="68" t="s">
        <v>94</v>
      </c>
      <c r="X545" s="68">
        <v>4852</v>
      </c>
      <c r="Z545" s="68" t="s">
        <v>42968</v>
      </c>
      <c r="AA545" s="33">
        <v>7122</v>
      </c>
    </row>
    <row r="546" spans="1:27" ht="12" customHeight="1" x14ac:dyDescent="0.15">
      <c r="A546" s="10" t="s">
        <v>40114</v>
      </c>
      <c r="B546" s="99">
        <v>21</v>
      </c>
      <c r="C546" s="10" t="s">
        <v>14</v>
      </c>
      <c r="D546" s="10" t="s">
        <v>31</v>
      </c>
      <c r="E546" s="63"/>
      <c r="F546" s="67">
        <v>43651</v>
      </c>
      <c r="G546" s="10" t="s">
        <v>40115</v>
      </c>
      <c r="H546" s="10" t="s">
        <v>13913</v>
      </c>
      <c r="I546" s="10" t="s">
        <v>39</v>
      </c>
      <c r="J546" s="65">
        <v>93022</v>
      </c>
      <c r="K546" s="10" t="s">
        <v>2985</v>
      </c>
      <c r="L546" s="10" t="s">
        <v>897</v>
      </c>
      <c r="M546" s="10" t="s">
        <v>21</v>
      </c>
      <c r="N546" s="10" t="s">
        <v>40116</v>
      </c>
      <c r="O546" s="10" t="s">
        <v>372</v>
      </c>
      <c r="P546" s="1" t="s">
        <v>30089</v>
      </c>
      <c r="Q546" s="64" t="s">
        <v>40117</v>
      </c>
      <c r="R546" s="10" t="s">
        <v>94</v>
      </c>
      <c r="S546" s="63" t="s">
        <v>12</v>
      </c>
      <c r="T546" s="68" t="s">
        <v>29705</v>
      </c>
      <c r="U546" s="68" t="s">
        <v>26572</v>
      </c>
      <c r="V546" s="68" t="s">
        <v>26573</v>
      </c>
      <c r="W546" s="68" t="s">
        <v>94</v>
      </c>
      <c r="X546" s="68">
        <v>4849</v>
      </c>
      <c r="Z546" s="68" t="s">
        <v>42968</v>
      </c>
      <c r="AA546" s="33">
        <v>7124</v>
      </c>
    </row>
    <row r="547" spans="1:27" ht="12" customHeight="1" x14ac:dyDescent="0.15">
      <c r="A547" s="10" t="s">
        <v>38180</v>
      </c>
      <c r="B547" s="99">
        <v>58</v>
      </c>
      <c r="C547" s="10" t="s">
        <v>14</v>
      </c>
      <c r="D547" s="10" t="s">
        <v>31</v>
      </c>
      <c r="E547" s="64" t="s">
        <v>38181</v>
      </c>
      <c r="F547" s="67">
        <v>43651</v>
      </c>
      <c r="G547" s="10" t="s">
        <v>38182</v>
      </c>
      <c r="H547" s="10" t="s">
        <v>38183</v>
      </c>
      <c r="I547" s="10" t="s">
        <v>402</v>
      </c>
      <c r="J547" s="65">
        <v>65717</v>
      </c>
      <c r="K547" s="10" t="s">
        <v>38184</v>
      </c>
      <c r="L547" s="10" t="s">
        <v>38185</v>
      </c>
      <c r="M547" s="10" t="s">
        <v>21</v>
      </c>
      <c r="N547" s="10" t="s">
        <v>38186</v>
      </c>
      <c r="O547" s="10" t="s">
        <v>372</v>
      </c>
      <c r="P547" s="1" t="s">
        <v>30089</v>
      </c>
      <c r="Q547" s="64" t="s">
        <v>38187</v>
      </c>
      <c r="R547" s="10" t="s">
        <v>94</v>
      </c>
      <c r="S547" s="63" t="s">
        <v>22</v>
      </c>
      <c r="T547" s="68" t="s">
        <v>26781</v>
      </c>
      <c r="U547" s="68" t="s">
        <v>26572</v>
      </c>
      <c r="V547" s="68" t="s">
        <v>26573</v>
      </c>
      <c r="W547" s="68" t="s">
        <v>94</v>
      </c>
      <c r="X547" s="68">
        <v>4847</v>
      </c>
      <c r="Z547" s="68" t="s">
        <v>42967</v>
      </c>
      <c r="AA547" s="33">
        <v>7121</v>
      </c>
    </row>
    <row r="548" spans="1:27" ht="12" customHeight="1" x14ac:dyDescent="0.15">
      <c r="A548" s="10" t="s">
        <v>39997</v>
      </c>
      <c r="B548" s="99">
        <v>17</v>
      </c>
      <c r="C548" s="10" t="s">
        <v>103</v>
      </c>
      <c r="D548" s="10" t="s">
        <v>31</v>
      </c>
      <c r="E548" s="64" t="s">
        <v>39998</v>
      </c>
      <c r="F548" s="67">
        <v>43651</v>
      </c>
      <c r="G548" s="10" t="s">
        <v>39999</v>
      </c>
      <c r="H548" s="10" t="s">
        <v>1751</v>
      </c>
      <c r="I548" s="10" t="s">
        <v>39</v>
      </c>
      <c r="J548" s="65">
        <v>92806</v>
      </c>
      <c r="K548" s="10" t="s">
        <v>998</v>
      </c>
      <c r="L548" s="10" t="s">
        <v>14508</v>
      </c>
      <c r="M548" s="10" t="s">
        <v>21</v>
      </c>
      <c r="N548" s="10" t="s">
        <v>40000</v>
      </c>
      <c r="O548" s="10" t="s">
        <v>372</v>
      </c>
      <c r="P548" s="1" t="s">
        <v>30089</v>
      </c>
      <c r="Q548" s="64" t="s">
        <v>40001</v>
      </c>
      <c r="R548" s="10" t="s">
        <v>94</v>
      </c>
      <c r="S548" s="63" t="s">
        <v>12</v>
      </c>
      <c r="T548" s="68" t="s">
        <v>39971</v>
      </c>
      <c r="U548" s="68" t="s">
        <v>26572</v>
      </c>
      <c r="V548" s="68" t="s">
        <v>26573</v>
      </c>
      <c r="W548" s="68" t="s">
        <v>512</v>
      </c>
      <c r="X548" s="68">
        <v>4848</v>
      </c>
      <c r="Z548" s="68" t="s">
        <v>42968</v>
      </c>
      <c r="AA548" s="33">
        <v>7123</v>
      </c>
    </row>
    <row r="549" spans="1:27" ht="12" customHeight="1" x14ac:dyDescent="0.15">
      <c r="A549" s="10" t="s">
        <v>39198</v>
      </c>
      <c r="B549" s="99">
        <v>34</v>
      </c>
      <c r="C549" s="10" t="s">
        <v>14</v>
      </c>
      <c r="D549" s="68" t="s">
        <v>42</v>
      </c>
      <c r="E549" s="63"/>
      <c r="F549" s="67">
        <v>43650</v>
      </c>
      <c r="G549" s="10" t="s">
        <v>39199</v>
      </c>
      <c r="H549" s="10" t="s">
        <v>1342</v>
      </c>
      <c r="I549" s="10" t="s">
        <v>192</v>
      </c>
      <c r="J549" s="65">
        <v>80401</v>
      </c>
      <c r="K549" s="10" t="s">
        <v>1659</v>
      </c>
      <c r="L549" s="10" t="s">
        <v>39200</v>
      </c>
      <c r="M549" s="10" t="s">
        <v>21</v>
      </c>
      <c r="N549" s="10" t="s">
        <v>39201</v>
      </c>
      <c r="O549" s="10" t="s">
        <v>372</v>
      </c>
      <c r="P549" s="1" t="s">
        <v>30089</v>
      </c>
      <c r="Q549" s="64" t="s">
        <v>39202</v>
      </c>
      <c r="R549" s="10" t="s">
        <v>94</v>
      </c>
      <c r="S549" s="63" t="s">
        <v>22</v>
      </c>
      <c r="T549" s="68" t="s">
        <v>26781</v>
      </c>
      <c r="U549" s="68" t="s">
        <v>26572</v>
      </c>
      <c r="V549" s="68" t="s">
        <v>26574</v>
      </c>
      <c r="W549" s="68" t="s">
        <v>94</v>
      </c>
      <c r="X549" s="68">
        <v>4856</v>
      </c>
      <c r="Z549" s="68" t="s">
        <v>42968</v>
      </c>
      <c r="AA549" s="33">
        <v>7118</v>
      </c>
    </row>
    <row r="550" spans="1:27" ht="12" customHeight="1" x14ac:dyDescent="0.15">
      <c r="A550" s="10" t="s">
        <v>40224</v>
      </c>
      <c r="B550" s="99">
        <v>47</v>
      </c>
      <c r="C550" s="10" t="s">
        <v>14</v>
      </c>
      <c r="D550" s="10" t="s">
        <v>42</v>
      </c>
      <c r="E550" s="63"/>
      <c r="F550" s="67">
        <v>43650</v>
      </c>
      <c r="G550" s="10" t="s">
        <v>40225</v>
      </c>
      <c r="H550" s="10" t="s">
        <v>875</v>
      </c>
      <c r="I550" s="10" t="s">
        <v>160</v>
      </c>
      <c r="J550" s="65">
        <v>30075</v>
      </c>
      <c r="K550" s="10" t="s">
        <v>1454</v>
      </c>
      <c r="L550" s="10" t="s">
        <v>877</v>
      </c>
      <c r="M550" s="10" t="s">
        <v>21</v>
      </c>
      <c r="N550" s="10" t="s">
        <v>40226</v>
      </c>
      <c r="O550" s="10" t="s">
        <v>372</v>
      </c>
      <c r="P550" s="1" t="s">
        <v>30089</v>
      </c>
      <c r="Q550" s="64" t="s">
        <v>40227</v>
      </c>
      <c r="R550" s="10" t="s">
        <v>94</v>
      </c>
      <c r="S550" s="63" t="s">
        <v>29</v>
      </c>
      <c r="T550" s="68" t="s">
        <v>26582</v>
      </c>
      <c r="U550" s="68" t="s">
        <v>26572</v>
      </c>
      <c r="V550" s="68" t="s">
        <v>26573</v>
      </c>
      <c r="W550" s="68" t="s">
        <v>94</v>
      </c>
      <c r="X550" s="68">
        <v>4854</v>
      </c>
      <c r="Z550" s="68" t="s">
        <v>42968</v>
      </c>
      <c r="AA550" s="33">
        <v>7119</v>
      </c>
    </row>
    <row r="551" spans="1:27" ht="12" customHeight="1" x14ac:dyDescent="0.15">
      <c r="A551" s="10" t="s">
        <v>40220</v>
      </c>
      <c r="B551" s="99">
        <v>53</v>
      </c>
      <c r="C551" s="10" t="s">
        <v>14</v>
      </c>
      <c r="D551" s="68" t="s">
        <v>31</v>
      </c>
      <c r="E551" s="63"/>
      <c r="F551" s="67">
        <v>43649</v>
      </c>
      <c r="G551" s="10" t="s">
        <v>40221</v>
      </c>
      <c r="H551" s="10" t="s">
        <v>2455</v>
      </c>
      <c r="I551" s="10" t="s">
        <v>198</v>
      </c>
      <c r="J551" s="65">
        <v>47167</v>
      </c>
      <c r="K551" s="10" t="s">
        <v>107</v>
      </c>
      <c r="L551" s="10" t="s">
        <v>2456</v>
      </c>
      <c r="M551" s="10" t="s">
        <v>21</v>
      </c>
      <c r="N551" s="10" t="s">
        <v>40222</v>
      </c>
      <c r="O551" s="10" t="s">
        <v>372</v>
      </c>
      <c r="P551" s="1" t="s">
        <v>30089</v>
      </c>
      <c r="Q551" s="64" t="s">
        <v>40223</v>
      </c>
      <c r="R551" s="10" t="s">
        <v>94</v>
      </c>
      <c r="S551" s="63" t="s">
        <v>29</v>
      </c>
      <c r="T551" s="68" t="s">
        <v>26594</v>
      </c>
      <c r="U551" s="68" t="s">
        <v>26570</v>
      </c>
      <c r="V551" s="68" t="s">
        <v>26573</v>
      </c>
      <c r="W551" s="68" t="s">
        <v>94</v>
      </c>
      <c r="X551" s="68">
        <v>4843</v>
      </c>
      <c r="Z551" s="68" t="s">
        <v>42967</v>
      </c>
      <c r="AA551" s="33">
        <v>7113</v>
      </c>
    </row>
    <row r="552" spans="1:27" ht="12" customHeight="1" x14ac:dyDescent="0.15">
      <c r="A552" s="10" t="s">
        <v>40083</v>
      </c>
      <c r="B552" s="99">
        <v>49</v>
      </c>
      <c r="C552" s="10" t="s">
        <v>14</v>
      </c>
      <c r="D552" s="1" t="s">
        <v>15</v>
      </c>
      <c r="E552" s="63"/>
      <c r="F552" s="67">
        <v>43649</v>
      </c>
      <c r="G552" s="10" t="s">
        <v>40084</v>
      </c>
      <c r="H552" s="10" t="s">
        <v>4137</v>
      </c>
      <c r="I552" s="10" t="s">
        <v>39</v>
      </c>
      <c r="J552" s="65">
        <v>91710</v>
      </c>
      <c r="K552" s="10" t="s">
        <v>288</v>
      </c>
      <c r="L552" s="10" t="s">
        <v>23434</v>
      </c>
      <c r="M552" s="10" t="s">
        <v>21</v>
      </c>
      <c r="N552" s="10" t="s">
        <v>40085</v>
      </c>
      <c r="O552" s="10" t="s">
        <v>372</v>
      </c>
      <c r="P552" s="1" t="s">
        <v>30089</v>
      </c>
      <c r="Q552" s="64" t="s">
        <v>40086</v>
      </c>
      <c r="R552" s="10" t="s">
        <v>94</v>
      </c>
      <c r="S552" s="63" t="s">
        <v>12</v>
      </c>
      <c r="T552" s="68" t="s">
        <v>29705</v>
      </c>
      <c r="U552" s="68" t="s">
        <v>26570</v>
      </c>
      <c r="V552" s="68" t="s">
        <v>26573</v>
      </c>
      <c r="W552" s="68" t="s">
        <v>512</v>
      </c>
      <c r="X552" s="68">
        <v>4979</v>
      </c>
      <c r="Z552" s="68" t="s">
        <v>42968</v>
      </c>
      <c r="AA552" s="33">
        <v>7117</v>
      </c>
    </row>
    <row r="553" spans="1:27" ht="12" customHeight="1" x14ac:dyDescent="0.15">
      <c r="A553" s="10" t="s">
        <v>41389</v>
      </c>
      <c r="B553" s="99">
        <v>26</v>
      </c>
      <c r="C553" s="10" t="s">
        <v>14</v>
      </c>
      <c r="D553" s="10" t="s">
        <v>31</v>
      </c>
      <c r="E553" s="64" t="s">
        <v>41390</v>
      </c>
      <c r="F553" s="67">
        <v>43649</v>
      </c>
      <c r="G553" s="10" t="s">
        <v>41391</v>
      </c>
      <c r="H553" s="10" t="s">
        <v>41392</v>
      </c>
      <c r="I553" s="10" t="s">
        <v>342</v>
      </c>
      <c r="J553" s="65">
        <v>50266</v>
      </c>
      <c r="K553" s="10" t="s">
        <v>1736</v>
      </c>
      <c r="L553" s="10" t="s">
        <v>41393</v>
      </c>
      <c r="M553" s="10" t="s">
        <v>21</v>
      </c>
      <c r="N553" s="10" t="s">
        <v>41394</v>
      </c>
      <c r="O553" s="10" t="s">
        <v>372</v>
      </c>
      <c r="P553" s="1" t="s">
        <v>30089</v>
      </c>
      <c r="Q553" s="64" t="s">
        <v>41395</v>
      </c>
      <c r="R553" s="10" t="s">
        <v>512</v>
      </c>
      <c r="S553" s="63" t="s">
        <v>22</v>
      </c>
      <c r="T553" s="68" t="s">
        <v>26774</v>
      </c>
      <c r="U553" s="68" t="s">
        <v>26570</v>
      </c>
      <c r="V553" s="68" t="s">
        <v>26573</v>
      </c>
      <c r="W553" s="68" t="s">
        <v>94</v>
      </c>
      <c r="X553" s="68">
        <v>4855</v>
      </c>
      <c r="Z553" s="68" t="s">
        <v>42968</v>
      </c>
      <c r="AA553" s="33">
        <v>7114</v>
      </c>
    </row>
    <row r="554" spans="1:27" ht="12" customHeight="1" x14ac:dyDescent="0.15">
      <c r="A554" s="10" t="s">
        <v>41499</v>
      </c>
      <c r="B554" s="99">
        <v>39</v>
      </c>
      <c r="C554" s="10" t="s">
        <v>14</v>
      </c>
      <c r="D554" s="10" t="s">
        <v>128</v>
      </c>
      <c r="E554" s="64" t="s">
        <v>41500</v>
      </c>
      <c r="F554" s="67">
        <v>43649</v>
      </c>
      <c r="G554" s="10" t="s">
        <v>41501</v>
      </c>
      <c r="H554" s="10" t="s">
        <v>41502</v>
      </c>
      <c r="I554" s="10" t="s">
        <v>282</v>
      </c>
      <c r="J554" s="65">
        <v>98370</v>
      </c>
      <c r="K554" s="10" t="s">
        <v>8257</v>
      </c>
      <c r="L554" s="10" t="s">
        <v>41503</v>
      </c>
      <c r="M554" s="10" t="s">
        <v>21</v>
      </c>
      <c r="N554" s="10" t="s">
        <v>41504</v>
      </c>
      <c r="O554" s="10" t="s">
        <v>372</v>
      </c>
      <c r="P554" s="1" t="s">
        <v>30089</v>
      </c>
      <c r="Q554" s="64" t="s">
        <v>41505</v>
      </c>
      <c r="R554" s="10" t="s">
        <v>512</v>
      </c>
      <c r="S554" s="63" t="s">
        <v>22</v>
      </c>
      <c r="T554" s="68" t="s">
        <v>26586</v>
      </c>
      <c r="U554" s="68" t="s">
        <v>26570</v>
      </c>
      <c r="V554" s="68" t="s">
        <v>26573</v>
      </c>
      <c r="W554" s="68" t="s">
        <v>94</v>
      </c>
      <c r="X554" s="68">
        <v>4850</v>
      </c>
      <c r="Z554" s="68" t="s">
        <v>42968</v>
      </c>
      <c r="AA554" s="33">
        <v>7115</v>
      </c>
    </row>
    <row r="555" spans="1:27" ht="12" customHeight="1" x14ac:dyDescent="0.15">
      <c r="A555" s="10" t="s">
        <v>40017</v>
      </c>
      <c r="B555" s="99">
        <v>38</v>
      </c>
      <c r="C555" s="10" t="s">
        <v>103</v>
      </c>
      <c r="D555" s="10" t="s">
        <v>42</v>
      </c>
      <c r="E555" s="64" t="s">
        <v>40018</v>
      </c>
      <c r="F555" s="67">
        <v>43649</v>
      </c>
      <c r="G555" s="10" t="s">
        <v>40019</v>
      </c>
      <c r="H555" s="10" t="s">
        <v>801</v>
      </c>
      <c r="I555" s="10" t="s">
        <v>67</v>
      </c>
      <c r="J555" s="65">
        <v>79905</v>
      </c>
      <c r="K555" s="10" t="s">
        <v>801</v>
      </c>
      <c r="L555" s="10" t="s">
        <v>802</v>
      </c>
      <c r="M555" s="10" t="s">
        <v>21</v>
      </c>
      <c r="N555" s="10" t="s">
        <v>40020</v>
      </c>
      <c r="O555" s="10" t="s">
        <v>372</v>
      </c>
      <c r="P555" s="1" t="s">
        <v>30089</v>
      </c>
      <c r="Q555" s="64" t="s">
        <v>40021</v>
      </c>
      <c r="R555" s="10" t="s">
        <v>23</v>
      </c>
      <c r="S555" s="63" t="s">
        <v>12</v>
      </c>
      <c r="T555" s="68" t="s">
        <v>39971</v>
      </c>
      <c r="U555" s="68" t="s">
        <v>26572</v>
      </c>
      <c r="V555" s="68" t="s">
        <v>26573</v>
      </c>
      <c r="W555" s="68" t="s">
        <v>94</v>
      </c>
      <c r="X555" s="68">
        <v>4857</v>
      </c>
      <c r="Z555" s="68" t="s">
        <v>42966</v>
      </c>
      <c r="AA555" s="33">
        <v>7116</v>
      </c>
    </row>
    <row r="556" spans="1:27" ht="12" customHeight="1" x14ac:dyDescent="0.15">
      <c r="A556" s="10" t="s">
        <v>37473</v>
      </c>
      <c r="B556" s="99">
        <v>39</v>
      </c>
      <c r="C556" s="10" t="s">
        <v>14</v>
      </c>
      <c r="D556" s="10" t="s">
        <v>79</v>
      </c>
      <c r="E556" s="64" t="s">
        <v>37474</v>
      </c>
      <c r="F556" s="67">
        <v>43648</v>
      </c>
      <c r="G556" s="10" t="s">
        <v>37475</v>
      </c>
      <c r="H556" s="10" t="s">
        <v>37476</v>
      </c>
      <c r="I556" s="10" t="s">
        <v>63</v>
      </c>
      <c r="J556" s="65">
        <v>44035</v>
      </c>
      <c r="K556" s="10" t="s">
        <v>37477</v>
      </c>
      <c r="L556" s="10" t="s">
        <v>37478</v>
      </c>
      <c r="M556" s="10" t="s">
        <v>21</v>
      </c>
      <c r="N556" s="10" t="s">
        <v>37479</v>
      </c>
      <c r="O556" s="10" t="s">
        <v>372</v>
      </c>
      <c r="P556" s="1" t="s">
        <v>30089</v>
      </c>
      <c r="Q556" s="64" t="s">
        <v>37480</v>
      </c>
      <c r="R556" s="10" t="s">
        <v>94</v>
      </c>
      <c r="S556" s="63" t="s">
        <v>22</v>
      </c>
      <c r="T556" s="68" t="s">
        <v>26781</v>
      </c>
      <c r="U556" s="68" t="s">
        <v>26572</v>
      </c>
      <c r="V556" s="68" t="s">
        <v>26571</v>
      </c>
      <c r="W556" s="68" t="s">
        <v>94</v>
      </c>
      <c r="X556" s="68">
        <v>4841</v>
      </c>
      <c r="Z556" s="68" t="s">
        <v>42968</v>
      </c>
      <c r="AA556" s="33">
        <v>7110</v>
      </c>
    </row>
    <row r="557" spans="1:27" ht="12" customHeight="1" x14ac:dyDescent="0.15">
      <c r="A557" s="10" t="s">
        <v>40835</v>
      </c>
      <c r="B557" s="99">
        <v>44</v>
      </c>
      <c r="C557" s="10" t="s">
        <v>14</v>
      </c>
      <c r="D557" s="68" t="s">
        <v>31</v>
      </c>
      <c r="E557" s="63"/>
      <c r="F557" s="67">
        <v>43648</v>
      </c>
      <c r="G557" s="10" t="s">
        <v>40836</v>
      </c>
      <c r="H557" s="10" t="s">
        <v>40837</v>
      </c>
      <c r="I557" s="10" t="s">
        <v>51</v>
      </c>
      <c r="J557" s="65">
        <v>49735</v>
      </c>
      <c r="K557" s="10" t="s">
        <v>40838</v>
      </c>
      <c r="L557" s="10" t="s">
        <v>40839</v>
      </c>
      <c r="M557" s="10" t="s">
        <v>21</v>
      </c>
      <c r="N557" s="10" t="s">
        <v>40840</v>
      </c>
      <c r="O557" s="10" t="s">
        <v>372</v>
      </c>
      <c r="P557" s="1" t="s">
        <v>30089</v>
      </c>
      <c r="Q557" s="64" t="s">
        <v>40841</v>
      </c>
      <c r="R557" s="10" t="s">
        <v>512</v>
      </c>
      <c r="S557" s="63" t="s">
        <v>22</v>
      </c>
      <c r="T557" s="68" t="s">
        <v>27020</v>
      </c>
      <c r="U557" s="68" t="s">
        <v>26572</v>
      </c>
      <c r="V557" s="68">
        <v>0</v>
      </c>
      <c r="W557" s="68" t="s">
        <v>94</v>
      </c>
      <c r="X557" s="68">
        <v>4837</v>
      </c>
      <c r="Z557" s="68" t="s">
        <v>42967</v>
      </c>
      <c r="AA557" s="33">
        <v>7109</v>
      </c>
    </row>
    <row r="558" spans="1:27" ht="12" customHeight="1" x14ac:dyDescent="0.15">
      <c r="A558" s="63" t="s">
        <v>38511</v>
      </c>
      <c r="B558" s="101">
        <v>21</v>
      </c>
      <c r="C558" s="10" t="s">
        <v>14</v>
      </c>
      <c r="D558" s="10" t="s">
        <v>42</v>
      </c>
      <c r="E558" s="63"/>
      <c r="F558" s="67">
        <v>43648</v>
      </c>
      <c r="G558" s="10" t="s">
        <v>38512</v>
      </c>
      <c r="H558" s="10" t="s">
        <v>866</v>
      </c>
      <c r="I558" s="10" t="s">
        <v>178</v>
      </c>
      <c r="J558" s="65">
        <v>87123</v>
      </c>
      <c r="K558" s="10" t="s">
        <v>433</v>
      </c>
      <c r="L558" s="10" t="s">
        <v>4562</v>
      </c>
      <c r="M558" s="10" t="s">
        <v>21</v>
      </c>
      <c r="N558" s="10" t="s">
        <v>38513</v>
      </c>
      <c r="O558" s="10" t="s">
        <v>372</v>
      </c>
      <c r="P558" s="1" t="s">
        <v>30089</v>
      </c>
      <c r="Q558" s="64" t="s">
        <v>38514</v>
      </c>
      <c r="R558" s="10" t="s">
        <v>94</v>
      </c>
      <c r="S558" s="63" t="s">
        <v>22</v>
      </c>
      <c r="T558" s="68" t="s">
        <v>26781</v>
      </c>
      <c r="U558" s="68" t="s">
        <v>26572</v>
      </c>
      <c r="V558" s="68" t="s">
        <v>26573</v>
      </c>
      <c r="W558" s="68" t="s">
        <v>94</v>
      </c>
      <c r="X558" s="68">
        <v>4839</v>
      </c>
      <c r="Z558" s="68" t="s">
        <v>42968</v>
      </c>
      <c r="AA558" s="33">
        <v>7112</v>
      </c>
    </row>
    <row r="559" spans="1:27" ht="12" customHeight="1" x14ac:dyDescent="0.15">
      <c r="A559" s="10" t="s">
        <v>37806</v>
      </c>
      <c r="B559" s="99">
        <v>23</v>
      </c>
      <c r="C559" s="10" t="s">
        <v>14</v>
      </c>
      <c r="D559" s="10" t="s">
        <v>79</v>
      </c>
      <c r="E559" s="64" t="s">
        <v>37807</v>
      </c>
      <c r="F559" s="67">
        <v>43648</v>
      </c>
      <c r="G559" s="10" t="s">
        <v>37808</v>
      </c>
      <c r="H559" s="10" t="s">
        <v>22889</v>
      </c>
      <c r="I559" s="10" t="s">
        <v>122</v>
      </c>
      <c r="J559" s="65">
        <v>55122</v>
      </c>
      <c r="K559" s="10" t="s">
        <v>19324</v>
      </c>
      <c r="L559" s="10" t="s">
        <v>22890</v>
      </c>
      <c r="M559" s="10" t="s">
        <v>21</v>
      </c>
      <c r="N559" s="10" t="s">
        <v>37809</v>
      </c>
      <c r="O559" s="10" t="s">
        <v>372</v>
      </c>
      <c r="P559" s="1" t="s">
        <v>30089</v>
      </c>
      <c r="Q559" s="64" t="s">
        <v>37810</v>
      </c>
      <c r="R559" s="10" t="s">
        <v>94</v>
      </c>
      <c r="S559" s="63" t="s">
        <v>22</v>
      </c>
      <c r="T559" s="68" t="s">
        <v>26781</v>
      </c>
      <c r="U559" s="68" t="s">
        <v>26570</v>
      </c>
      <c r="V559" s="68" t="s">
        <v>26574</v>
      </c>
      <c r="W559" s="68" t="s">
        <v>512</v>
      </c>
      <c r="X559" s="68">
        <v>4838</v>
      </c>
      <c r="Z559" s="68" t="s">
        <v>42968</v>
      </c>
      <c r="AA559" s="33">
        <v>7111</v>
      </c>
    </row>
    <row r="560" spans="1:27" ht="12" customHeight="1" x14ac:dyDescent="0.15">
      <c r="A560" s="10" t="s">
        <v>39785</v>
      </c>
      <c r="B560" s="99">
        <v>67</v>
      </c>
      <c r="C560" s="10" t="s">
        <v>14</v>
      </c>
      <c r="D560" s="68" t="s">
        <v>79</v>
      </c>
      <c r="E560" s="63"/>
      <c r="F560" s="67">
        <v>43647</v>
      </c>
      <c r="G560" s="10" t="s">
        <v>39786</v>
      </c>
      <c r="H560" s="10" t="s">
        <v>21514</v>
      </c>
      <c r="I560" s="10" t="s">
        <v>56</v>
      </c>
      <c r="J560" s="65">
        <v>34953</v>
      </c>
      <c r="K560" s="10" t="s">
        <v>2993</v>
      </c>
      <c r="L560" s="10" t="s">
        <v>21515</v>
      </c>
      <c r="M560" s="10" t="s">
        <v>21</v>
      </c>
      <c r="N560" s="10" t="s">
        <v>39787</v>
      </c>
      <c r="O560" s="10" t="s">
        <v>372</v>
      </c>
      <c r="P560" s="1" t="s">
        <v>30089</v>
      </c>
      <c r="Q560" s="64" t="s">
        <v>39788</v>
      </c>
      <c r="R560" s="10" t="s">
        <v>94</v>
      </c>
      <c r="S560" s="63" t="s">
        <v>22</v>
      </c>
      <c r="T560" s="68" t="s">
        <v>26774</v>
      </c>
      <c r="U560" s="68" t="s">
        <v>26570</v>
      </c>
      <c r="V560" s="68" t="s">
        <v>26573</v>
      </c>
      <c r="W560" s="68" t="s">
        <v>94</v>
      </c>
      <c r="X560" s="68">
        <v>4836</v>
      </c>
      <c r="Z560" s="68" t="s">
        <v>42968</v>
      </c>
      <c r="AA560" s="33">
        <v>7106</v>
      </c>
    </row>
    <row r="561" spans="1:27" ht="12" customHeight="1" x14ac:dyDescent="0.15">
      <c r="A561" s="10" t="s">
        <v>42053</v>
      </c>
      <c r="B561" s="99">
        <v>37</v>
      </c>
      <c r="C561" s="10" t="s">
        <v>14</v>
      </c>
      <c r="D561" s="10" t="s">
        <v>31</v>
      </c>
      <c r="E561" s="64" t="s">
        <v>42054</v>
      </c>
      <c r="F561" s="67">
        <v>43647</v>
      </c>
      <c r="G561" s="10" t="s">
        <v>42055</v>
      </c>
      <c r="H561" s="10" t="s">
        <v>21884</v>
      </c>
      <c r="I561" s="10" t="s">
        <v>367</v>
      </c>
      <c r="J561" s="65">
        <v>74467</v>
      </c>
      <c r="K561" s="10" t="s">
        <v>21884</v>
      </c>
      <c r="L561" s="10" t="s">
        <v>32179</v>
      </c>
      <c r="M561" s="10" t="s">
        <v>363</v>
      </c>
      <c r="N561" s="10" t="s">
        <v>42056</v>
      </c>
      <c r="O561" s="10" t="s">
        <v>372</v>
      </c>
      <c r="P561" s="1" t="s">
        <v>30089</v>
      </c>
      <c r="Q561" s="64" t="s">
        <v>42057</v>
      </c>
      <c r="R561" s="10" t="s">
        <v>23</v>
      </c>
      <c r="S561" s="63" t="s">
        <v>12</v>
      </c>
      <c r="T561" s="34" t="s">
        <v>29705</v>
      </c>
      <c r="U561" s="34" t="s">
        <v>26570</v>
      </c>
      <c r="V561" s="68"/>
      <c r="W561" s="68"/>
      <c r="X561" s="68"/>
      <c r="Z561" s="68" t="s">
        <v>42967</v>
      </c>
      <c r="AA561" s="33">
        <v>7108</v>
      </c>
    </row>
    <row r="562" spans="1:27" ht="12" customHeight="1" x14ac:dyDescent="0.15">
      <c r="A562" s="10" t="s">
        <v>41460</v>
      </c>
      <c r="B562" s="99">
        <v>23</v>
      </c>
      <c r="C562" s="10" t="s">
        <v>14</v>
      </c>
      <c r="D562" s="68" t="s">
        <v>15</v>
      </c>
      <c r="E562" s="63"/>
      <c r="F562" s="67">
        <v>43647</v>
      </c>
      <c r="G562" s="10" t="s">
        <v>41461</v>
      </c>
      <c r="H562" s="10" t="s">
        <v>6316</v>
      </c>
      <c r="I562" s="10" t="s">
        <v>160</v>
      </c>
      <c r="J562" s="65">
        <v>30606</v>
      </c>
      <c r="K562" s="10" t="s">
        <v>37826</v>
      </c>
      <c r="L562" s="10" t="s">
        <v>37827</v>
      </c>
      <c r="M562" s="10" t="s">
        <v>21</v>
      </c>
      <c r="N562" s="10" t="s">
        <v>41462</v>
      </c>
      <c r="O562" s="10" t="s">
        <v>372</v>
      </c>
      <c r="P562" s="1" t="s">
        <v>30089</v>
      </c>
      <c r="Q562" s="64" t="s">
        <v>41463</v>
      </c>
      <c r="R562" s="10" t="s">
        <v>512</v>
      </c>
      <c r="S562" s="63" t="s">
        <v>22</v>
      </c>
      <c r="T562" s="68" t="s">
        <v>26774</v>
      </c>
      <c r="U562" s="68" t="s">
        <v>26572</v>
      </c>
      <c r="V562" s="68" t="s">
        <v>26573</v>
      </c>
      <c r="W562" s="68" t="s">
        <v>512</v>
      </c>
      <c r="X562" s="68">
        <v>4835</v>
      </c>
      <c r="Z562" s="68" t="s">
        <v>42966</v>
      </c>
      <c r="AA562" s="33">
        <v>7107</v>
      </c>
    </row>
    <row r="563" spans="1:27" ht="12" customHeight="1" x14ac:dyDescent="0.15">
      <c r="A563" s="10" t="s">
        <v>39194</v>
      </c>
      <c r="B563" s="99">
        <v>22</v>
      </c>
      <c r="C563" s="10" t="s">
        <v>14</v>
      </c>
      <c r="D563" s="68" t="s">
        <v>42</v>
      </c>
      <c r="E563" s="63"/>
      <c r="F563" s="67">
        <v>43647</v>
      </c>
      <c r="G563" s="10" t="s">
        <v>39195</v>
      </c>
      <c r="H563" s="10" t="s">
        <v>1212</v>
      </c>
      <c r="I563" s="10" t="s">
        <v>192</v>
      </c>
      <c r="J563" s="65">
        <v>80203</v>
      </c>
      <c r="K563" s="10" t="s">
        <v>1212</v>
      </c>
      <c r="L563" s="10" t="s">
        <v>1213</v>
      </c>
      <c r="M563" s="10" t="s">
        <v>21</v>
      </c>
      <c r="N563" s="10" t="s">
        <v>39196</v>
      </c>
      <c r="O563" s="10" t="s">
        <v>372</v>
      </c>
      <c r="P563" s="1" t="s">
        <v>30089</v>
      </c>
      <c r="Q563" s="64" t="s">
        <v>39197</v>
      </c>
      <c r="R563" s="10" t="s">
        <v>94</v>
      </c>
      <c r="S563" s="63" t="s">
        <v>22</v>
      </c>
      <c r="T563" s="68" t="s">
        <v>26781</v>
      </c>
      <c r="U563" s="68" t="s">
        <v>26572</v>
      </c>
      <c r="V563" s="68" t="s">
        <v>26573</v>
      </c>
      <c r="W563" s="68" t="s">
        <v>94</v>
      </c>
      <c r="X563" s="68">
        <v>4823</v>
      </c>
      <c r="Z563" s="68" t="s">
        <v>42966</v>
      </c>
      <c r="AA563" s="33">
        <v>7104</v>
      </c>
    </row>
    <row r="564" spans="1:27" ht="12" customHeight="1" x14ac:dyDescent="0.15">
      <c r="A564" s="10" t="s">
        <v>38169</v>
      </c>
      <c r="B564" s="99">
        <v>52</v>
      </c>
      <c r="C564" s="10" t="s">
        <v>14</v>
      </c>
      <c r="D564" s="10" t="s">
        <v>31</v>
      </c>
      <c r="E564" s="64" t="s">
        <v>38170</v>
      </c>
      <c r="F564" s="67">
        <v>43647</v>
      </c>
      <c r="G564" s="10" t="s">
        <v>38171</v>
      </c>
      <c r="H564" s="10" t="s">
        <v>21448</v>
      </c>
      <c r="I564" s="10" t="s">
        <v>621</v>
      </c>
      <c r="J564" s="65">
        <v>38863</v>
      </c>
      <c r="K564" s="10" t="s">
        <v>21448</v>
      </c>
      <c r="L564" s="10" t="s">
        <v>38172</v>
      </c>
      <c r="M564" s="10" t="s">
        <v>21</v>
      </c>
      <c r="N564" s="10" t="s">
        <v>38173</v>
      </c>
      <c r="O564" s="10" t="s">
        <v>372</v>
      </c>
      <c r="P564" s="1" t="s">
        <v>30089</v>
      </c>
      <c r="Q564" s="64" t="s">
        <v>38174</v>
      </c>
      <c r="R564" s="10" t="s">
        <v>94</v>
      </c>
      <c r="S564" s="63" t="s">
        <v>22</v>
      </c>
      <c r="T564" s="68" t="s">
        <v>26781</v>
      </c>
      <c r="U564" s="68" t="s">
        <v>26572</v>
      </c>
      <c r="V564" s="68" t="s">
        <v>26571</v>
      </c>
      <c r="W564" s="68" t="s">
        <v>94</v>
      </c>
      <c r="X564" s="68">
        <v>4834</v>
      </c>
      <c r="Z564" s="68" t="s">
        <v>42967</v>
      </c>
      <c r="AA564" s="33">
        <v>7103</v>
      </c>
    </row>
    <row r="565" spans="1:27" ht="12" customHeight="1" x14ac:dyDescent="0.15">
      <c r="A565" s="10" t="s">
        <v>42303</v>
      </c>
      <c r="B565" s="99">
        <v>26</v>
      </c>
      <c r="C565" s="10" t="s">
        <v>14</v>
      </c>
      <c r="D565" s="10" t="s">
        <v>24</v>
      </c>
      <c r="E565" s="63"/>
      <c r="F565" s="67">
        <v>43647</v>
      </c>
      <c r="G565" s="10" t="s">
        <v>42304</v>
      </c>
      <c r="H565" s="10" t="s">
        <v>1669</v>
      </c>
      <c r="I565" s="10" t="s">
        <v>338</v>
      </c>
      <c r="J565" s="65">
        <v>27520</v>
      </c>
      <c r="K565" s="10" t="s">
        <v>42305</v>
      </c>
      <c r="L565" s="10" t="s">
        <v>14794</v>
      </c>
      <c r="M565" s="10" t="s">
        <v>21</v>
      </c>
      <c r="N565" s="10" t="s">
        <v>42306</v>
      </c>
      <c r="O565" s="10" t="s">
        <v>372</v>
      </c>
      <c r="P565" s="1" t="s">
        <v>30089</v>
      </c>
      <c r="Q565" s="64" t="s">
        <v>42307</v>
      </c>
      <c r="R565" s="10" t="s">
        <v>94</v>
      </c>
      <c r="S565" s="63" t="s">
        <v>22</v>
      </c>
      <c r="T565" s="34" t="s">
        <v>26781</v>
      </c>
      <c r="U565" s="34" t="s">
        <v>26572</v>
      </c>
      <c r="V565" s="68"/>
      <c r="W565" s="68"/>
      <c r="X565" s="68"/>
      <c r="Z565" s="68" t="s">
        <v>42968</v>
      </c>
      <c r="AA565" s="33">
        <v>7105</v>
      </c>
    </row>
    <row r="566" spans="1:27" ht="12" customHeight="1" x14ac:dyDescent="0.15">
      <c r="A566" s="63" t="s">
        <v>38156</v>
      </c>
      <c r="B566" s="101">
        <v>61</v>
      </c>
      <c r="C566" s="10" t="s">
        <v>14</v>
      </c>
      <c r="D566" s="10" t="s">
        <v>31</v>
      </c>
      <c r="E566" s="63"/>
      <c r="F566" s="67">
        <v>43645</v>
      </c>
      <c r="G566" s="10" t="s">
        <v>38157</v>
      </c>
      <c r="H566" s="10" t="s">
        <v>31565</v>
      </c>
      <c r="I566" s="10" t="s">
        <v>67</v>
      </c>
      <c r="J566" s="65">
        <v>76226</v>
      </c>
      <c r="K566" s="70" t="s">
        <v>153</v>
      </c>
      <c r="L566" s="10" t="s">
        <v>38158</v>
      </c>
      <c r="M566" s="10" t="s">
        <v>21</v>
      </c>
      <c r="N566" s="10" t="s">
        <v>38159</v>
      </c>
      <c r="O566" s="10" t="s">
        <v>372</v>
      </c>
      <c r="P566" s="1" t="s">
        <v>30089</v>
      </c>
      <c r="Q566" s="64" t="s">
        <v>38160</v>
      </c>
      <c r="R566" s="10" t="s">
        <v>94</v>
      </c>
      <c r="S566" s="63" t="s">
        <v>22</v>
      </c>
      <c r="T566" s="68" t="s">
        <v>26781</v>
      </c>
      <c r="U566" s="68" t="s">
        <v>26572</v>
      </c>
      <c r="V566" s="68">
        <v>0</v>
      </c>
      <c r="W566" s="68" t="s">
        <v>94</v>
      </c>
      <c r="X566" s="68">
        <v>4826</v>
      </c>
      <c r="Z566" s="68" t="s">
        <v>42968</v>
      </c>
      <c r="AA566" s="33">
        <v>7102</v>
      </c>
    </row>
    <row r="567" spans="1:27" ht="12" customHeight="1" x14ac:dyDescent="0.15">
      <c r="A567" s="10" t="s">
        <v>41741</v>
      </c>
      <c r="B567" s="99">
        <v>34</v>
      </c>
      <c r="C567" s="10" t="s">
        <v>14</v>
      </c>
      <c r="D567" s="10" t="s">
        <v>79</v>
      </c>
      <c r="E567" s="64" t="s">
        <v>41742</v>
      </c>
      <c r="F567" s="67">
        <v>43644</v>
      </c>
      <c r="G567" s="10" t="s">
        <v>41743</v>
      </c>
      <c r="H567" s="10" t="s">
        <v>41744</v>
      </c>
      <c r="I567" s="10" t="s">
        <v>376</v>
      </c>
      <c r="J567" s="65">
        <v>19061</v>
      </c>
      <c r="K567" s="70" t="s">
        <v>850</v>
      </c>
      <c r="L567" s="10" t="s">
        <v>41745</v>
      </c>
      <c r="M567" s="10" t="s">
        <v>21</v>
      </c>
      <c r="N567" s="10" t="s">
        <v>41746</v>
      </c>
      <c r="O567" s="10" t="s">
        <v>372</v>
      </c>
      <c r="P567" s="1" t="s">
        <v>30089</v>
      </c>
      <c r="Q567" s="64" t="s">
        <v>41747</v>
      </c>
      <c r="R567" s="10" t="s">
        <v>94</v>
      </c>
      <c r="S567" s="63" t="s">
        <v>29</v>
      </c>
      <c r="T567" s="33" t="s">
        <v>41840</v>
      </c>
      <c r="U567" s="34" t="s">
        <v>26572</v>
      </c>
      <c r="V567" s="68"/>
      <c r="W567" s="68"/>
      <c r="X567" s="68"/>
      <c r="Z567" s="68" t="s">
        <v>42968</v>
      </c>
      <c r="AA567" s="33">
        <v>7101</v>
      </c>
    </row>
    <row r="568" spans="1:27" ht="12" customHeight="1" x14ac:dyDescent="0.15">
      <c r="A568" s="10" t="s">
        <v>37865</v>
      </c>
      <c r="B568" s="101">
        <v>24</v>
      </c>
      <c r="C568" s="10" t="s">
        <v>14</v>
      </c>
      <c r="D568" s="10" t="s">
        <v>31</v>
      </c>
      <c r="E568" s="63"/>
      <c r="F568" s="67">
        <v>43644</v>
      </c>
      <c r="G568" s="10" t="s">
        <v>37866</v>
      </c>
      <c r="H568" s="10" t="s">
        <v>674</v>
      </c>
      <c r="I568" s="10" t="s">
        <v>67</v>
      </c>
      <c r="J568" s="65">
        <v>77036</v>
      </c>
      <c r="K568" s="10" t="s">
        <v>515</v>
      </c>
      <c r="L568" s="10" t="s">
        <v>675</v>
      </c>
      <c r="M568" s="10" t="s">
        <v>21</v>
      </c>
      <c r="N568" s="10" t="s">
        <v>37867</v>
      </c>
      <c r="O568" s="10" t="s">
        <v>372</v>
      </c>
      <c r="P568" s="1" t="s">
        <v>30089</v>
      </c>
      <c r="Q568" s="64" t="s">
        <v>37868</v>
      </c>
      <c r="R568" s="10" t="s">
        <v>94</v>
      </c>
      <c r="S568" s="63" t="s">
        <v>22</v>
      </c>
      <c r="T568" s="68" t="s">
        <v>26781</v>
      </c>
      <c r="U568" s="68" t="s">
        <v>26572</v>
      </c>
      <c r="V568" s="68" t="s">
        <v>26571</v>
      </c>
      <c r="W568" s="68" t="s">
        <v>94</v>
      </c>
      <c r="X568" s="68">
        <v>4828</v>
      </c>
      <c r="Z568" s="68" t="s">
        <v>42966</v>
      </c>
      <c r="AA568" s="33">
        <v>7096</v>
      </c>
    </row>
    <row r="569" spans="1:27" ht="12" customHeight="1" x14ac:dyDescent="0.15">
      <c r="A569" s="10" t="s">
        <v>41937</v>
      </c>
      <c r="B569" s="99">
        <v>40</v>
      </c>
      <c r="C569" s="10" t="s">
        <v>14</v>
      </c>
      <c r="D569" s="10" t="s">
        <v>31</v>
      </c>
      <c r="E569" s="64" t="s">
        <v>41938</v>
      </c>
      <c r="F569" s="67">
        <v>43644</v>
      </c>
      <c r="G569" s="10" t="s">
        <v>41939</v>
      </c>
      <c r="H569" s="10" t="s">
        <v>41940</v>
      </c>
      <c r="I569" s="10" t="s">
        <v>67</v>
      </c>
      <c r="J569" s="65">
        <v>77518</v>
      </c>
      <c r="K569" s="10" t="s">
        <v>4843</v>
      </c>
      <c r="L569" s="10" t="s">
        <v>36594</v>
      </c>
      <c r="M569" s="10" t="s">
        <v>21</v>
      </c>
      <c r="N569" s="10" t="s">
        <v>41941</v>
      </c>
      <c r="O569" s="10" t="s">
        <v>372</v>
      </c>
      <c r="P569" s="1" t="s">
        <v>30089</v>
      </c>
      <c r="Q569" s="64" t="s">
        <v>41942</v>
      </c>
      <c r="R569" s="10" t="s">
        <v>94</v>
      </c>
      <c r="S569" s="63" t="s">
        <v>22</v>
      </c>
      <c r="T569" s="34" t="s">
        <v>26781</v>
      </c>
      <c r="U569" s="34"/>
      <c r="V569" s="68"/>
      <c r="W569" s="68"/>
      <c r="X569" s="68"/>
      <c r="Z569" s="68" t="s">
        <v>42968</v>
      </c>
      <c r="AA569" s="33">
        <v>7100</v>
      </c>
    </row>
    <row r="570" spans="1:27" ht="12" customHeight="1" x14ac:dyDescent="0.15">
      <c r="A570" s="10" t="s">
        <v>39144</v>
      </c>
      <c r="B570" s="99">
        <v>37</v>
      </c>
      <c r="C570" s="10" t="s">
        <v>14</v>
      </c>
      <c r="D570" s="68" t="s">
        <v>79</v>
      </c>
      <c r="E570" s="63"/>
      <c r="F570" s="67">
        <v>43644</v>
      </c>
      <c r="G570" s="10" t="s">
        <v>39145</v>
      </c>
      <c r="H570" s="10" t="s">
        <v>4307</v>
      </c>
      <c r="I570" s="10" t="s">
        <v>192</v>
      </c>
      <c r="J570" s="65">
        <v>81001</v>
      </c>
      <c r="K570" s="10" t="s">
        <v>4307</v>
      </c>
      <c r="L570" s="10" t="s">
        <v>4309</v>
      </c>
      <c r="M570" s="10" t="s">
        <v>21</v>
      </c>
      <c r="N570" s="10" t="s">
        <v>39146</v>
      </c>
      <c r="O570" s="10" t="s">
        <v>372</v>
      </c>
      <c r="P570" s="1" t="s">
        <v>30089</v>
      </c>
      <c r="Q570" s="64" t="s">
        <v>39147</v>
      </c>
      <c r="R570" s="10" t="s">
        <v>94</v>
      </c>
      <c r="S570" s="63" t="s">
        <v>22</v>
      </c>
      <c r="T570" s="68" t="s">
        <v>26781</v>
      </c>
      <c r="U570" s="68" t="s">
        <v>26570</v>
      </c>
      <c r="V570" s="68" t="s">
        <v>26571</v>
      </c>
      <c r="W570" s="68" t="s">
        <v>94</v>
      </c>
      <c r="X570" s="68">
        <v>4824</v>
      </c>
      <c r="Z570" s="68" t="s">
        <v>42968</v>
      </c>
      <c r="AA570" s="33">
        <v>7098</v>
      </c>
    </row>
    <row r="571" spans="1:27" ht="12" customHeight="1" x14ac:dyDescent="0.15">
      <c r="A571" s="10" t="s">
        <v>41177</v>
      </c>
      <c r="B571" s="99">
        <v>69</v>
      </c>
      <c r="C571" s="10" t="s">
        <v>14</v>
      </c>
      <c r="D571" s="10" t="s">
        <v>24</v>
      </c>
      <c r="E571" s="63"/>
      <c r="F571" s="67">
        <v>43644</v>
      </c>
      <c r="G571" s="10" t="s">
        <v>41178</v>
      </c>
      <c r="H571" s="10" t="s">
        <v>41179</v>
      </c>
      <c r="I571" s="10" t="s">
        <v>376</v>
      </c>
      <c r="J571" s="65">
        <v>18360</v>
      </c>
      <c r="K571" s="10" t="s">
        <v>1037</v>
      </c>
      <c r="L571" s="10" t="s">
        <v>473</v>
      </c>
      <c r="M571" s="10" t="s">
        <v>21</v>
      </c>
      <c r="N571" s="10" t="s">
        <v>41180</v>
      </c>
      <c r="O571" s="10" t="s">
        <v>31972</v>
      </c>
      <c r="P571" s="1" t="s">
        <v>30089</v>
      </c>
      <c r="Q571" s="64" t="s">
        <v>41181</v>
      </c>
      <c r="R571" s="10" t="s">
        <v>512</v>
      </c>
      <c r="S571" s="63" t="s">
        <v>22</v>
      </c>
      <c r="T571" s="68" t="s">
        <v>26781</v>
      </c>
      <c r="U571" s="68" t="s">
        <v>26572</v>
      </c>
      <c r="V571" s="68" t="s">
        <v>26573</v>
      </c>
      <c r="W571" s="68" t="s">
        <v>94</v>
      </c>
      <c r="X571" s="68">
        <v>4905</v>
      </c>
      <c r="Z571" s="68" t="s">
        <v>42968</v>
      </c>
      <c r="AA571" s="33">
        <v>7099</v>
      </c>
    </row>
    <row r="572" spans="1:27" ht="12" customHeight="1" x14ac:dyDescent="0.15">
      <c r="A572" s="10" t="s">
        <v>38175</v>
      </c>
      <c r="B572" s="99">
        <v>19</v>
      </c>
      <c r="C572" s="10" t="s">
        <v>14</v>
      </c>
      <c r="D572" s="10" t="s">
        <v>31</v>
      </c>
      <c r="E572" s="10"/>
      <c r="F572" s="67">
        <v>43644</v>
      </c>
      <c r="G572" s="10" t="s">
        <v>38176</v>
      </c>
      <c r="H572" s="10" t="s">
        <v>38177</v>
      </c>
      <c r="I572" s="10" t="s">
        <v>621</v>
      </c>
      <c r="J572" s="65">
        <v>39208</v>
      </c>
      <c r="K572" s="10" t="s">
        <v>5276</v>
      </c>
      <c r="L572" s="10" t="s">
        <v>5277</v>
      </c>
      <c r="M572" s="10" t="s">
        <v>21</v>
      </c>
      <c r="N572" s="10" t="s">
        <v>38178</v>
      </c>
      <c r="O572" s="10" t="s">
        <v>372</v>
      </c>
      <c r="P572" s="1" t="s">
        <v>30089</v>
      </c>
      <c r="Q572" s="64" t="s">
        <v>38179</v>
      </c>
      <c r="R572" s="10" t="s">
        <v>94</v>
      </c>
      <c r="S572" s="63" t="s">
        <v>22</v>
      </c>
      <c r="T572" s="68" t="s">
        <v>26781</v>
      </c>
      <c r="U572" s="68" t="s">
        <v>26572</v>
      </c>
      <c r="V572" s="68" t="s">
        <v>26573</v>
      </c>
      <c r="W572" s="68" t="s">
        <v>94</v>
      </c>
      <c r="X572" s="68">
        <v>4840</v>
      </c>
      <c r="Z572" s="68" t="s">
        <v>42968</v>
      </c>
      <c r="AA572" s="33">
        <v>7097</v>
      </c>
    </row>
    <row r="573" spans="1:27" ht="12" customHeight="1" x14ac:dyDescent="0.15">
      <c r="A573" s="10" t="s">
        <v>37861</v>
      </c>
      <c r="B573" s="99">
        <v>76</v>
      </c>
      <c r="C573" s="10" t="s">
        <v>14</v>
      </c>
      <c r="D573" s="10" t="s">
        <v>31</v>
      </c>
      <c r="E573" s="63"/>
      <c r="F573" s="67">
        <v>43644</v>
      </c>
      <c r="G573" s="10" t="s">
        <v>37862</v>
      </c>
      <c r="H573" s="10" t="s">
        <v>2348</v>
      </c>
      <c r="I573" s="10" t="s">
        <v>298</v>
      </c>
      <c r="J573" s="65">
        <v>37167</v>
      </c>
      <c r="K573" s="70" t="s">
        <v>6568</v>
      </c>
      <c r="L573" s="10" t="s">
        <v>2351</v>
      </c>
      <c r="M573" s="10" t="s">
        <v>21</v>
      </c>
      <c r="N573" s="10" t="s">
        <v>37863</v>
      </c>
      <c r="O573" s="10" t="s">
        <v>372</v>
      </c>
      <c r="P573" s="1" t="s">
        <v>30089</v>
      </c>
      <c r="Q573" s="64" t="s">
        <v>37864</v>
      </c>
      <c r="R573" s="10" t="s">
        <v>94</v>
      </c>
      <c r="S573" s="63" t="s">
        <v>22</v>
      </c>
      <c r="T573" s="68" t="s">
        <v>26781</v>
      </c>
      <c r="U573" s="68" t="s">
        <v>26572</v>
      </c>
      <c r="V573" s="68" t="s">
        <v>26573</v>
      </c>
      <c r="W573" s="68" t="s">
        <v>94</v>
      </c>
      <c r="X573" s="68">
        <v>4827</v>
      </c>
      <c r="Z573" s="68" t="s">
        <v>42968</v>
      </c>
      <c r="AA573" s="33">
        <v>7095</v>
      </c>
    </row>
    <row r="574" spans="1:27" ht="12" customHeight="1" x14ac:dyDescent="0.15">
      <c r="A574" s="10" t="s">
        <v>40282</v>
      </c>
      <c r="B574" s="99">
        <v>54</v>
      </c>
      <c r="C574" s="10" t="s">
        <v>14</v>
      </c>
      <c r="D574" s="10" t="s">
        <v>31</v>
      </c>
      <c r="E574" s="64" t="s">
        <v>40283</v>
      </c>
      <c r="F574" s="67">
        <v>43643</v>
      </c>
      <c r="G574" s="10" t="s">
        <v>40284</v>
      </c>
      <c r="H574" s="10" t="s">
        <v>40285</v>
      </c>
      <c r="I574" s="10" t="s">
        <v>26</v>
      </c>
      <c r="J574" s="65">
        <v>29047</v>
      </c>
      <c r="K574" s="10" t="s">
        <v>40286</v>
      </c>
      <c r="L574" s="10" t="s">
        <v>40287</v>
      </c>
      <c r="M574" s="10" t="s">
        <v>21</v>
      </c>
      <c r="N574" s="10" t="s">
        <v>40288</v>
      </c>
      <c r="O574" s="10" t="s">
        <v>372</v>
      </c>
      <c r="P574" s="1" t="s">
        <v>30089</v>
      </c>
      <c r="Q574" s="64" t="s">
        <v>40289</v>
      </c>
      <c r="R574" s="10" t="s">
        <v>94</v>
      </c>
      <c r="S574" s="63" t="s">
        <v>29</v>
      </c>
      <c r="T574" s="68" t="s">
        <v>26575</v>
      </c>
      <c r="U574" s="68" t="s">
        <v>26575</v>
      </c>
      <c r="V574" s="68">
        <v>0</v>
      </c>
      <c r="W574" s="68" t="s">
        <v>94</v>
      </c>
      <c r="X574" s="68">
        <v>4817</v>
      </c>
      <c r="Z574" s="68" t="s">
        <v>42967</v>
      </c>
      <c r="AA574" s="33">
        <v>7092</v>
      </c>
    </row>
    <row r="575" spans="1:27" ht="12" customHeight="1" x14ac:dyDescent="0.15">
      <c r="A575" s="10" t="s">
        <v>41278</v>
      </c>
      <c r="B575" s="99">
        <v>33</v>
      </c>
      <c r="C575" s="10" t="s">
        <v>14</v>
      </c>
      <c r="D575" s="68" t="s">
        <v>31</v>
      </c>
      <c r="E575" s="63"/>
      <c r="F575" s="67">
        <v>43643</v>
      </c>
      <c r="G575" s="10" t="s">
        <v>41279</v>
      </c>
      <c r="H575" s="10" t="s">
        <v>8425</v>
      </c>
      <c r="I575" s="10" t="s">
        <v>432</v>
      </c>
      <c r="J575" s="65">
        <v>68147</v>
      </c>
      <c r="K575" s="10" t="s">
        <v>8427</v>
      </c>
      <c r="L575" s="10" t="s">
        <v>8428</v>
      </c>
      <c r="M575" s="10" t="s">
        <v>21</v>
      </c>
      <c r="N575" s="10" t="s">
        <v>41280</v>
      </c>
      <c r="O575" s="10" t="s">
        <v>372</v>
      </c>
      <c r="P575" s="1" t="s">
        <v>30089</v>
      </c>
      <c r="Q575" s="64" t="s">
        <v>41281</v>
      </c>
      <c r="R575" s="10" t="s">
        <v>512</v>
      </c>
      <c r="S575" s="63" t="s">
        <v>22</v>
      </c>
      <c r="T575" s="68" t="s">
        <v>26781</v>
      </c>
      <c r="U575" s="68" t="s">
        <v>26572</v>
      </c>
      <c r="V575" s="68" t="s">
        <v>26573</v>
      </c>
      <c r="W575" s="68" t="s">
        <v>94</v>
      </c>
      <c r="X575" s="68">
        <v>4819</v>
      </c>
      <c r="Z575" s="68" t="s">
        <v>42968</v>
      </c>
      <c r="AA575" s="33">
        <v>7091</v>
      </c>
    </row>
    <row r="576" spans="1:27" ht="12" customHeight="1" x14ac:dyDescent="0.15">
      <c r="A576" s="10" t="s">
        <v>38717</v>
      </c>
      <c r="B576" s="99">
        <v>41</v>
      </c>
      <c r="C576" s="10" t="s">
        <v>14</v>
      </c>
      <c r="D576" s="10" t="s">
        <v>42</v>
      </c>
      <c r="E576" s="63"/>
      <c r="F576" s="67">
        <v>43643</v>
      </c>
      <c r="G576" s="10" t="s">
        <v>38718</v>
      </c>
      <c r="H576" s="10" t="s">
        <v>38719</v>
      </c>
      <c r="I576" s="10" t="s">
        <v>39</v>
      </c>
      <c r="J576" s="65">
        <v>92284</v>
      </c>
      <c r="K576" s="10" t="s">
        <v>288</v>
      </c>
      <c r="L576" s="10" t="s">
        <v>32215</v>
      </c>
      <c r="M576" s="10" t="s">
        <v>21</v>
      </c>
      <c r="N576" s="10" t="s">
        <v>38720</v>
      </c>
      <c r="O576" s="10" t="s">
        <v>372</v>
      </c>
      <c r="P576" s="1" t="s">
        <v>30089</v>
      </c>
      <c r="Q576" s="64" t="s">
        <v>38721</v>
      </c>
      <c r="R576" s="10" t="s">
        <v>94</v>
      </c>
      <c r="S576" s="63" t="s">
        <v>22</v>
      </c>
      <c r="T576" s="68" t="s">
        <v>26781</v>
      </c>
      <c r="U576" s="68" t="s">
        <v>26572</v>
      </c>
      <c r="V576" s="68" t="s">
        <v>26573</v>
      </c>
      <c r="W576" s="68" t="s">
        <v>94</v>
      </c>
      <c r="X576" s="68">
        <v>4822</v>
      </c>
      <c r="Z576" s="68" t="s">
        <v>42968</v>
      </c>
      <c r="AA576" s="33">
        <v>7090</v>
      </c>
    </row>
    <row r="577" spans="1:27" ht="12" customHeight="1" x14ac:dyDescent="0.15">
      <c r="A577" s="10" t="s">
        <v>37462</v>
      </c>
      <c r="B577" s="99">
        <v>50</v>
      </c>
      <c r="C577" s="10" t="s">
        <v>14</v>
      </c>
      <c r="D577" s="10" t="s">
        <v>79</v>
      </c>
      <c r="E577" s="64" t="s">
        <v>37463</v>
      </c>
      <c r="F577" s="67">
        <v>43643</v>
      </c>
      <c r="G577" s="10" t="s">
        <v>37464</v>
      </c>
      <c r="H577" s="10" t="s">
        <v>3846</v>
      </c>
      <c r="I577" s="10" t="s">
        <v>56</v>
      </c>
      <c r="J577" s="65">
        <v>32404</v>
      </c>
      <c r="K577" s="10" t="s">
        <v>2597</v>
      </c>
      <c r="L577" s="10" t="s">
        <v>3849</v>
      </c>
      <c r="M577" s="10" t="s">
        <v>21</v>
      </c>
      <c r="N577" s="10" t="s">
        <v>37465</v>
      </c>
      <c r="O577" s="10" t="s">
        <v>372</v>
      </c>
      <c r="P577" s="1" t="s">
        <v>30089</v>
      </c>
      <c r="Q577" s="64" t="s">
        <v>37466</v>
      </c>
      <c r="R577" s="10" t="s">
        <v>94</v>
      </c>
      <c r="S577" s="63" t="s">
        <v>22</v>
      </c>
      <c r="T577" s="68" t="s">
        <v>26781</v>
      </c>
      <c r="U577" s="68" t="s">
        <v>26572</v>
      </c>
      <c r="V577" s="68" t="s">
        <v>26573</v>
      </c>
      <c r="W577" s="68" t="s">
        <v>94</v>
      </c>
      <c r="X577" s="68">
        <v>4814</v>
      </c>
      <c r="Z577" s="68" t="s">
        <v>42968</v>
      </c>
      <c r="AA577" s="33">
        <v>7088</v>
      </c>
    </row>
    <row r="578" spans="1:27" ht="12" customHeight="1" x14ac:dyDescent="0.15">
      <c r="A578" s="10" t="s">
        <v>40386</v>
      </c>
      <c r="B578" s="99">
        <v>18</v>
      </c>
      <c r="C578" s="10" t="s">
        <v>14</v>
      </c>
      <c r="D578" s="10" t="s">
        <v>42</v>
      </c>
      <c r="E578" s="64" t="s">
        <v>40387</v>
      </c>
      <c r="F578" s="67">
        <v>43643</v>
      </c>
      <c r="G578" s="10" t="s">
        <v>40388</v>
      </c>
      <c r="H578" s="10" t="s">
        <v>5494</v>
      </c>
      <c r="I578" s="10" t="s">
        <v>39</v>
      </c>
      <c r="J578" s="65">
        <v>90022</v>
      </c>
      <c r="K578" s="10" t="s">
        <v>92</v>
      </c>
      <c r="L578" s="10" t="s">
        <v>386</v>
      </c>
      <c r="M578" s="10" t="s">
        <v>21</v>
      </c>
      <c r="N578" s="10" t="s">
        <v>40389</v>
      </c>
      <c r="O578" s="10" t="s">
        <v>372</v>
      </c>
      <c r="P578" s="1" t="s">
        <v>30089</v>
      </c>
      <c r="Q578" s="64" t="s">
        <v>40390</v>
      </c>
      <c r="R578" s="10" t="s">
        <v>94</v>
      </c>
      <c r="S578" s="63" t="s">
        <v>29</v>
      </c>
      <c r="T578" s="68" t="s">
        <v>26575</v>
      </c>
      <c r="U578" s="68" t="s">
        <v>26570</v>
      </c>
      <c r="V578" s="68" t="s">
        <v>26573</v>
      </c>
      <c r="W578" s="68" t="s">
        <v>94</v>
      </c>
      <c r="X578" s="68">
        <v>4820</v>
      </c>
      <c r="Z578" s="68" t="s">
        <v>42966</v>
      </c>
      <c r="AA578" s="33">
        <v>7093</v>
      </c>
    </row>
    <row r="579" spans="1:27" ht="12" customHeight="1" x14ac:dyDescent="0.15">
      <c r="A579" s="10" t="s">
        <v>40686</v>
      </c>
      <c r="B579" s="99">
        <v>50</v>
      </c>
      <c r="C579" s="10" t="s">
        <v>14</v>
      </c>
      <c r="D579" s="10" t="s">
        <v>31</v>
      </c>
      <c r="E579" s="64" t="s">
        <v>40687</v>
      </c>
      <c r="F579" s="67">
        <v>43643</v>
      </c>
      <c r="G579" s="10" t="s">
        <v>40688</v>
      </c>
      <c r="H579" s="10" t="s">
        <v>2307</v>
      </c>
      <c r="I579" s="10" t="s">
        <v>367</v>
      </c>
      <c r="J579" s="65">
        <v>74112</v>
      </c>
      <c r="K579" s="10" t="s">
        <v>2307</v>
      </c>
      <c r="L579" s="10" t="s">
        <v>1904</v>
      </c>
      <c r="M579" s="10" t="s">
        <v>21</v>
      </c>
      <c r="N579" s="10" t="s">
        <v>40689</v>
      </c>
      <c r="O579" s="10" t="s">
        <v>372</v>
      </c>
      <c r="P579" s="1" t="s">
        <v>30089</v>
      </c>
      <c r="Q579" s="64" t="s">
        <v>40690</v>
      </c>
      <c r="R579" s="10" t="s">
        <v>94</v>
      </c>
      <c r="S579" s="63" t="s">
        <v>351</v>
      </c>
      <c r="T579" s="68" t="s">
        <v>26867</v>
      </c>
      <c r="U579" s="68" t="s">
        <v>26572</v>
      </c>
      <c r="V579" s="68" t="s">
        <v>26571</v>
      </c>
      <c r="W579" s="68" t="s">
        <v>94</v>
      </c>
      <c r="X579" s="68">
        <v>4821</v>
      </c>
      <c r="Z579" s="68" t="s">
        <v>42966</v>
      </c>
      <c r="AA579" s="33">
        <v>7094</v>
      </c>
    </row>
    <row r="580" spans="1:27" ht="12" customHeight="1" x14ac:dyDescent="0.15">
      <c r="A580" s="10" t="s">
        <v>38150</v>
      </c>
      <c r="B580" s="99">
        <v>35</v>
      </c>
      <c r="C580" s="10" t="s">
        <v>14</v>
      </c>
      <c r="D580" s="10" t="s">
        <v>31</v>
      </c>
      <c r="E580" s="63"/>
      <c r="F580" s="67">
        <v>43643</v>
      </c>
      <c r="G580" s="10" t="s">
        <v>38151</v>
      </c>
      <c r="H580" s="10" t="s">
        <v>38152</v>
      </c>
      <c r="I580" s="10" t="s">
        <v>294</v>
      </c>
      <c r="J580" s="65">
        <v>41332</v>
      </c>
      <c r="K580" s="10" t="s">
        <v>38153</v>
      </c>
      <c r="L580" s="10" t="s">
        <v>18258</v>
      </c>
      <c r="M580" s="10" t="s">
        <v>21</v>
      </c>
      <c r="N580" s="10" t="s">
        <v>38154</v>
      </c>
      <c r="O580" s="10" t="s">
        <v>372</v>
      </c>
      <c r="P580" s="1" t="s">
        <v>30089</v>
      </c>
      <c r="Q580" s="64" t="s">
        <v>38155</v>
      </c>
      <c r="R580" s="10" t="s">
        <v>94</v>
      </c>
      <c r="S580" s="63" t="s">
        <v>22</v>
      </c>
      <c r="T580" s="68" t="s">
        <v>26781</v>
      </c>
      <c r="U580" s="68" t="s">
        <v>26570</v>
      </c>
      <c r="V580" s="68" t="s">
        <v>26573</v>
      </c>
      <c r="W580" s="68" t="s">
        <v>94</v>
      </c>
      <c r="X580" s="68">
        <v>4818</v>
      </c>
      <c r="Z580" s="68" t="s">
        <v>42967</v>
      </c>
      <c r="AA580" s="33">
        <v>7089</v>
      </c>
    </row>
    <row r="581" spans="1:27" ht="12" customHeight="1" x14ac:dyDescent="0.15">
      <c r="A581" s="10" t="s">
        <v>39845</v>
      </c>
      <c r="B581" s="99">
        <v>32</v>
      </c>
      <c r="C581" s="10" t="s">
        <v>14</v>
      </c>
      <c r="D581" s="10" t="s">
        <v>79</v>
      </c>
      <c r="E581" s="64" t="s">
        <v>39846</v>
      </c>
      <c r="F581" s="67">
        <v>43642</v>
      </c>
      <c r="G581" s="10" t="s">
        <v>39847</v>
      </c>
      <c r="H581" s="10" t="s">
        <v>39848</v>
      </c>
      <c r="I581" s="10" t="s">
        <v>63</v>
      </c>
      <c r="J581" s="65">
        <v>44681</v>
      </c>
      <c r="K581" s="10" t="s">
        <v>39849</v>
      </c>
      <c r="L581" s="10" t="s">
        <v>39850</v>
      </c>
      <c r="M581" s="10" t="s">
        <v>21</v>
      </c>
      <c r="N581" s="10" t="s">
        <v>39851</v>
      </c>
      <c r="O581" s="10" t="s">
        <v>372</v>
      </c>
      <c r="P581" s="1" t="s">
        <v>30089</v>
      </c>
      <c r="Q581" s="64" t="s">
        <v>39852</v>
      </c>
      <c r="R581" s="10" t="s">
        <v>94</v>
      </c>
      <c r="S581" s="63" t="s">
        <v>22</v>
      </c>
      <c r="T581" s="68" t="s">
        <v>26578</v>
      </c>
      <c r="U581" s="68" t="s">
        <v>26572</v>
      </c>
      <c r="V581" s="68" t="s">
        <v>26573</v>
      </c>
      <c r="W581" s="68" t="s">
        <v>512</v>
      </c>
      <c r="X581" s="68">
        <v>4816</v>
      </c>
      <c r="Z581" s="68" t="s">
        <v>42967</v>
      </c>
      <c r="AA581" s="33">
        <v>7086</v>
      </c>
    </row>
    <row r="582" spans="1:27" ht="12" customHeight="1" x14ac:dyDescent="0.15">
      <c r="A582" s="10" t="s">
        <v>39887</v>
      </c>
      <c r="B582" s="99">
        <v>50</v>
      </c>
      <c r="C582" s="10" t="s">
        <v>14</v>
      </c>
      <c r="D582" s="10" t="s">
        <v>31</v>
      </c>
      <c r="E582" s="63"/>
      <c r="F582" s="67">
        <v>43642</v>
      </c>
      <c r="G582" s="10" t="s">
        <v>39888</v>
      </c>
      <c r="H582" s="10" t="s">
        <v>39889</v>
      </c>
      <c r="I582" s="10" t="s">
        <v>225</v>
      </c>
      <c r="J582" s="65">
        <v>22853</v>
      </c>
      <c r="K582" s="70" t="s">
        <v>4386</v>
      </c>
      <c r="L582" s="10" t="s">
        <v>39890</v>
      </c>
      <c r="M582" s="10" t="s">
        <v>21</v>
      </c>
      <c r="N582" s="10" t="s">
        <v>39891</v>
      </c>
      <c r="O582" s="10" t="s">
        <v>37122</v>
      </c>
      <c r="P582" s="1" t="s">
        <v>30089</v>
      </c>
      <c r="Q582" s="64" t="s">
        <v>39892</v>
      </c>
      <c r="R582" s="10" t="s">
        <v>94</v>
      </c>
      <c r="S582" s="63" t="s">
        <v>22</v>
      </c>
      <c r="T582" s="68" t="s">
        <v>28239</v>
      </c>
      <c r="U582" s="68" t="s">
        <v>26572</v>
      </c>
      <c r="V582" s="68" t="s">
        <v>26573</v>
      </c>
      <c r="W582" s="68" t="s">
        <v>94</v>
      </c>
      <c r="X582" s="68">
        <v>4813</v>
      </c>
      <c r="Z582" s="68" t="s">
        <v>42967</v>
      </c>
      <c r="AA582" s="33">
        <v>7087</v>
      </c>
    </row>
    <row r="583" spans="1:27" ht="12" customHeight="1" x14ac:dyDescent="0.15">
      <c r="A583" s="10" t="s">
        <v>3002</v>
      </c>
      <c r="B583" s="69"/>
      <c r="C583" s="10" t="s">
        <v>14</v>
      </c>
      <c r="D583" s="10" t="s">
        <v>24</v>
      </c>
      <c r="E583" s="63"/>
      <c r="F583" s="67">
        <v>43641</v>
      </c>
      <c r="G583" s="10" t="s">
        <v>39745</v>
      </c>
      <c r="H583" s="10" t="s">
        <v>196</v>
      </c>
      <c r="I583" s="10" t="s">
        <v>56</v>
      </c>
      <c r="J583" s="65">
        <v>33135</v>
      </c>
      <c r="K583" s="10" t="s">
        <v>148</v>
      </c>
      <c r="L583" s="10" t="s">
        <v>427</v>
      </c>
      <c r="M583" s="10" t="s">
        <v>21</v>
      </c>
      <c r="N583" s="10" t="s">
        <v>39746</v>
      </c>
      <c r="O583" s="10" t="s">
        <v>372</v>
      </c>
      <c r="P583" s="1" t="s">
        <v>30089</v>
      </c>
      <c r="Q583" s="64" t="s">
        <v>39747</v>
      </c>
      <c r="R583" s="10" t="s">
        <v>94</v>
      </c>
      <c r="S583" s="63" t="s">
        <v>22</v>
      </c>
      <c r="T583" s="68" t="s">
        <v>26774</v>
      </c>
      <c r="U583" s="68" t="s">
        <v>26570</v>
      </c>
      <c r="V583" s="68" t="s">
        <v>26573</v>
      </c>
      <c r="W583" s="68" t="s">
        <v>94</v>
      </c>
      <c r="X583" s="68">
        <v>4810</v>
      </c>
      <c r="Z583" s="68" t="s">
        <v>42966</v>
      </c>
      <c r="AA583" s="33">
        <v>7084</v>
      </c>
    </row>
    <row r="584" spans="1:27" ht="12" customHeight="1" x14ac:dyDescent="0.15">
      <c r="A584" s="10" t="s">
        <v>41468</v>
      </c>
      <c r="B584" s="99">
        <v>35</v>
      </c>
      <c r="C584" s="10" t="s">
        <v>14</v>
      </c>
      <c r="D584" s="68" t="s">
        <v>42</v>
      </c>
      <c r="E584" s="63"/>
      <c r="F584" s="67">
        <v>43641</v>
      </c>
      <c r="G584" s="10" t="s">
        <v>41469</v>
      </c>
      <c r="H584" s="10" t="s">
        <v>532</v>
      </c>
      <c r="I584" s="10" t="s">
        <v>67</v>
      </c>
      <c r="J584" s="65">
        <v>78203</v>
      </c>
      <c r="K584" s="10" t="s">
        <v>533</v>
      </c>
      <c r="L584" s="10" t="s">
        <v>534</v>
      </c>
      <c r="M584" s="10" t="s">
        <v>21</v>
      </c>
      <c r="N584" s="10" t="s">
        <v>41470</v>
      </c>
      <c r="O584" s="10" t="s">
        <v>372</v>
      </c>
      <c r="P584" s="1" t="s">
        <v>30089</v>
      </c>
      <c r="Q584" s="64" t="s">
        <v>41471</v>
      </c>
      <c r="R584" s="10" t="s">
        <v>512</v>
      </c>
      <c r="S584" s="63" t="s">
        <v>22</v>
      </c>
      <c r="T584" s="68" t="s">
        <v>26774</v>
      </c>
      <c r="U584" s="68" t="s">
        <v>26570</v>
      </c>
      <c r="V584" s="68" t="s">
        <v>26573</v>
      </c>
      <c r="W584" s="68" t="s">
        <v>94</v>
      </c>
      <c r="X584" s="68">
        <v>4809</v>
      </c>
      <c r="Z584" s="68" t="s">
        <v>42966</v>
      </c>
      <c r="AA584" s="33">
        <v>7085</v>
      </c>
    </row>
    <row r="585" spans="1:27" ht="12" customHeight="1" x14ac:dyDescent="0.15">
      <c r="A585" s="10" t="s">
        <v>39536</v>
      </c>
      <c r="B585" s="99">
        <v>43</v>
      </c>
      <c r="C585" s="10" t="s">
        <v>14</v>
      </c>
      <c r="D585" s="10" t="s">
        <v>31</v>
      </c>
      <c r="E585" s="10"/>
      <c r="F585" s="67">
        <v>43641</v>
      </c>
      <c r="G585" s="10" t="s">
        <v>39537</v>
      </c>
      <c r="H585" s="10" t="s">
        <v>15566</v>
      </c>
      <c r="I585" s="10" t="s">
        <v>409</v>
      </c>
      <c r="J585" s="65">
        <v>54952</v>
      </c>
      <c r="K585" s="10" t="s">
        <v>2173</v>
      </c>
      <c r="L585" s="10" t="s">
        <v>18465</v>
      </c>
      <c r="M585" s="10" t="s">
        <v>21</v>
      </c>
      <c r="N585" s="10" t="s">
        <v>39538</v>
      </c>
      <c r="O585" s="10" t="s">
        <v>372</v>
      </c>
      <c r="P585" s="1" t="s">
        <v>30089</v>
      </c>
      <c r="Q585" s="64" t="s">
        <v>39539</v>
      </c>
      <c r="R585" s="10" t="s">
        <v>94</v>
      </c>
      <c r="S585" s="63" t="s">
        <v>22</v>
      </c>
      <c r="T585" s="68" t="s">
        <v>26774</v>
      </c>
      <c r="U585" s="68" t="s">
        <v>26570</v>
      </c>
      <c r="V585" s="68" t="s">
        <v>26573</v>
      </c>
      <c r="W585" s="68" t="s">
        <v>94</v>
      </c>
      <c r="X585" s="68">
        <v>4815</v>
      </c>
      <c r="Z585" s="68" t="s">
        <v>42968</v>
      </c>
      <c r="AA585" s="33">
        <v>7083</v>
      </c>
    </row>
    <row r="586" spans="1:27" ht="12" customHeight="1" x14ac:dyDescent="0.15">
      <c r="A586" s="63" t="s">
        <v>41943</v>
      </c>
      <c r="B586" s="102">
        <v>34</v>
      </c>
      <c r="C586" s="63" t="s">
        <v>14</v>
      </c>
      <c r="D586" s="63" t="s">
        <v>31</v>
      </c>
      <c r="E586" s="71" t="s">
        <v>41944</v>
      </c>
      <c r="F586" s="67">
        <v>43640</v>
      </c>
      <c r="G586" s="10" t="s">
        <v>41945</v>
      </c>
      <c r="H586" s="63" t="s">
        <v>8294</v>
      </c>
      <c r="I586" s="63" t="s">
        <v>67</v>
      </c>
      <c r="J586" s="72">
        <v>79360</v>
      </c>
      <c r="K586" s="63" t="s">
        <v>41946</v>
      </c>
      <c r="L586" s="10" t="s">
        <v>41947</v>
      </c>
      <c r="M586" s="63" t="s">
        <v>21</v>
      </c>
      <c r="N586" s="10" t="s">
        <v>41948</v>
      </c>
      <c r="O586" s="63" t="s">
        <v>372</v>
      </c>
      <c r="P586" s="1" t="s">
        <v>30089</v>
      </c>
      <c r="Q586" s="71" t="s">
        <v>41949</v>
      </c>
      <c r="R586" s="63" t="s">
        <v>94</v>
      </c>
      <c r="S586" s="63" t="s">
        <v>22</v>
      </c>
      <c r="T586" s="34" t="s">
        <v>26774</v>
      </c>
      <c r="U586" s="34" t="s">
        <v>26572</v>
      </c>
      <c r="V586" s="68"/>
      <c r="W586" s="68"/>
      <c r="X586" s="68"/>
      <c r="Z586" s="68" t="s">
        <v>42967</v>
      </c>
      <c r="AA586" s="33">
        <v>7082</v>
      </c>
    </row>
    <row r="587" spans="1:27" ht="12" customHeight="1" x14ac:dyDescent="0.15">
      <c r="A587" s="10" t="s">
        <v>37892</v>
      </c>
      <c r="B587" s="99">
        <v>61</v>
      </c>
      <c r="C587" s="10" t="s">
        <v>14</v>
      </c>
      <c r="D587" s="10" t="s">
        <v>31</v>
      </c>
      <c r="E587" s="64" t="s">
        <v>37893</v>
      </c>
      <c r="F587" s="67">
        <v>43640</v>
      </c>
      <c r="G587" s="10" t="s">
        <v>37894</v>
      </c>
      <c r="H587" s="10" t="s">
        <v>25367</v>
      </c>
      <c r="I587" s="10" t="s">
        <v>56</v>
      </c>
      <c r="J587" s="65">
        <v>34224</v>
      </c>
      <c r="K587" s="10" t="s">
        <v>3855</v>
      </c>
      <c r="L587" s="10" t="s">
        <v>36419</v>
      </c>
      <c r="M587" s="10" t="s">
        <v>21</v>
      </c>
      <c r="N587" s="10" t="s">
        <v>37895</v>
      </c>
      <c r="O587" s="10" t="s">
        <v>372</v>
      </c>
      <c r="P587" s="1" t="s">
        <v>30089</v>
      </c>
      <c r="Q587" s="64" t="s">
        <v>37896</v>
      </c>
      <c r="R587" s="10" t="s">
        <v>904</v>
      </c>
      <c r="S587" s="63" t="s">
        <v>22</v>
      </c>
      <c r="T587" s="68" t="s">
        <v>26781</v>
      </c>
      <c r="U587" s="68" t="s">
        <v>26572</v>
      </c>
      <c r="V587" s="68" t="s">
        <v>26573</v>
      </c>
      <c r="W587" s="68" t="s">
        <v>94</v>
      </c>
      <c r="X587" s="68">
        <v>4812</v>
      </c>
      <c r="Z587" s="68" t="s">
        <v>42968</v>
      </c>
      <c r="AA587" s="33">
        <v>7081</v>
      </c>
    </row>
    <row r="588" spans="1:27" ht="12" customHeight="1" x14ac:dyDescent="0.15">
      <c r="A588" s="63" t="s">
        <v>37457</v>
      </c>
      <c r="B588" s="102">
        <v>19</v>
      </c>
      <c r="C588" s="63" t="s">
        <v>14</v>
      </c>
      <c r="D588" s="63" t="s">
        <v>79</v>
      </c>
      <c r="E588" s="71" t="s">
        <v>37458</v>
      </c>
      <c r="F588" s="67">
        <v>43640</v>
      </c>
      <c r="G588" s="10" t="s">
        <v>37459</v>
      </c>
      <c r="H588" s="63" t="s">
        <v>1586</v>
      </c>
      <c r="I588" s="63" t="s">
        <v>40</v>
      </c>
      <c r="J588" s="72">
        <v>2124</v>
      </c>
      <c r="K588" s="63" t="s">
        <v>1588</v>
      </c>
      <c r="L588" s="10" t="s">
        <v>2980</v>
      </c>
      <c r="M588" s="63" t="s">
        <v>21</v>
      </c>
      <c r="N588" s="10" t="s">
        <v>37460</v>
      </c>
      <c r="O588" s="63" t="s">
        <v>372</v>
      </c>
      <c r="P588" s="1" t="s">
        <v>30089</v>
      </c>
      <c r="Q588" s="71" t="s">
        <v>37461</v>
      </c>
      <c r="R588" s="63" t="s">
        <v>94</v>
      </c>
      <c r="S588" s="63" t="s">
        <v>22</v>
      </c>
      <c r="T588" s="68" t="s">
        <v>26781</v>
      </c>
      <c r="U588" s="68" t="s">
        <v>26572</v>
      </c>
      <c r="V588" s="68" t="s">
        <v>26571</v>
      </c>
      <c r="W588" s="68" t="s">
        <v>512</v>
      </c>
      <c r="X588" s="68">
        <v>4808</v>
      </c>
      <c r="Z588" s="68" t="s">
        <v>42966</v>
      </c>
      <c r="AA588" s="33">
        <v>7080</v>
      </c>
    </row>
    <row r="589" spans="1:27" ht="12" customHeight="1" x14ac:dyDescent="0.15">
      <c r="A589" s="10" t="s">
        <v>41381</v>
      </c>
      <c r="B589" s="99">
        <v>29</v>
      </c>
      <c r="C589" s="10" t="s">
        <v>14</v>
      </c>
      <c r="D589" s="10" t="s">
        <v>31</v>
      </c>
      <c r="E589" s="63"/>
      <c r="F589" s="67">
        <v>43639</v>
      </c>
      <c r="G589" s="10" t="s">
        <v>41382</v>
      </c>
      <c r="H589" s="10" t="s">
        <v>3846</v>
      </c>
      <c r="I589" s="10" t="s">
        <v>63</v>
      </c>
      <c r="J589" s="65">
        <v>45502</v>
      </c>
      <c r="K589" s="10" t="s">
        <v>527</v>
      </c>
      <c r="L589" s="10" t="s">
        <v>3087</v>
      </c>
      <c r="M589" s="10" t="s">
        <v>21</v>
      </c>
      <c r="N589" s="10" t="s">
        <v>41383</v>
      </c>
      <c r="O589" s="10" t="s">
        <v>372</v>
      </c>
      <c r="P589" s="1" t="s">
        <v>30089</v>
      </c>
      <c r="Q589" s="64" t="s">
        <v>41384</v>
      </c>
      <c r="R589" s="10" t="s">
        <v>512</v>
      </c>
      <c r="S589" s="63" t="s">
        <v>22</v>
      </c>
      <c r="T589" s="68" t="s">
        <v>26774</v>
      </c>
      <c r="U589" s="68" t="s">
        <v>26572</v>
      </c>
      <c r="V589" s="68" t="s">
        <v>26574</v>
      </c>
      <c r="W589" s="68" t="s">
        <v>94</v>
      </c>
      <c r="X589" s="68">
        <v>4811</v>
      </c>
      <c r="Z589" s="68" t="s">
        <v>42967</v>
      </c>
      <c r="AA589" s="33">
        <v>7079</v>
      </c>
    </row>
    <row r="590" spans="1:27" ht="12" customHeight="1" x14ac:dyDescent="0.15">
      <c r="A590" s="63" t="s">
        <v>39273</v>
      </c>
      <c r="B590" s="102">
        <v>41</v>
      </c>
      <c r="C590" s="63" t="s">
        <v>14</v>
      </c>
      <c r="D590" s="68" t="s">
        <v>31</v>
      </c>
      <c r="E590" s="63"/>
      <c r="F590" s="67">
        <v>43638</v>
      </c>
      <c r="G590" s="10" t="s">
        <v>39274</v>
      </c>
      <c r="H590" s="63" t="s">
        <v>584</v>
      </c>
      <c r="I590" s="63" t="s">
        <v>46</v>
      </c>
      <c r="J590" s="72">
        <v>21131</v>
      </c>
      <c r="K590" s="69" t="s">
        <v>1487</v>
      </c>
      <c r="L590" s="10" t="s">
        <v>212</v>
      </c>
      <c r="M590" s="63" t="s">
        <v>21</v>
      </c>
      <c r="N590" s="10" t="s">
        <v>39275</v>
      </c>
      <c r="O590" s="63" t="s">
        <v>372</v>
      </c>
      <c r="P590" s="1" t="s">
        <v>30089</v>
      </c>
      <c r="Q590" s="71" t="s">
        <v>39276</v>
      </c>
      <c r="R590" s="63" t="s">
        <v>94</v>
      </c>
      <c r="S590" s="63" t="s">
        <v>22</v>
      </c>
      <c r="T590" s="68" t="s">
        <v>26781</v>
      </c>
      <c r="U590" s="68" t="s">
        <v>26570</v>
      </c>
      <c r="V590" s="68">
        <v>0</v>
      </c>
      <c r="W590" s="68" t="s">
        <v>512</v>
      </c>
      <c r="X590" s="68">
        <v>4807</v>
      </c>
      <c r="Z590" s="68" t="s">
        <v>42968</v>
      </c>
      <c r="AA590" s="33">
        <v>7078</v>
      </c>
    </row>
    <row r="591" spans="1:27" ht="12" customHeight="1" x14ac:dyDescent="0.15">
      <c r="A591" s="63" t="s">
        <v>38713</v>
      </c>
      <c r="B591" s="102">
        <v>26</v>
      </c>
      <c r="C591" s="63" t="s">
        <v>14</v>
      </c>
      <c r="D591" s="10" t="s">
        <v>42</v>
      </c>
      <c r="E591" s="63"/>
      <c r="F591" s="67">
        <v>43638</v>
      </c>
      <c r="G591" s="10" t="s">
        <v>38714</v>
      </c>
      <c r="H591" s="63" t="s">
        <v>9971</v>
      </c>
      <c r="I591" s="63" t="s">
        <v>39</v>
      </c>
      <c r="J591" s="72">
        <v>93920</v>
      </c>
      <c r="K591" s="69" t="s">
        <v>59</v>
      </c>
      <c r="L591" s="10" t="s">
        <v>43050</v>
      </c>
      <c r="M591" s="63" t="s">
        <v>21</v>
      </c>
      <c r="N591" s="10" t="s">
        <v>38715</v>
      </c>
      <c r="O591" s="63" t="s">
        <v>372</v>
      </c>
      <c r="P591" s="1" t="s">
        <v>30089</v>
      </c>
      <c r="Q591" s="71" t="s">
        <v>38716</v>
      </c>
      <c r="R591" s="63" t="s">
        <v>23</v>
      </c>
      <c r="S591" s="63" t="s">
        <v>22</v>
      </c>
      <c r="T591" s="68" t="s">
        <v>26781</v>
      </c>
      <c r="U591" s="68" t="s">
        <v>26572</v>
      </c>
      <c r="V591" s="68">
        <v>0</v>
      </c>
      <c r="W591" s="68" t="s">
        <v>94</v>
      </c>
      <c r="X591" s="68">
        <v>4806</v>
      </c>
      <c r="Z591" s="68" t="s">
        <v>42967</v>
      </c>
      <c r="AA591" s="33">
        <v>7077</v>
      </c>
    </row>
    <row r="592" spans="1:27" ht="12" customHeight="1" x14ac:dyDescent="0.15">
      <c r="A592" s="63" t="s">
        <v>42308</v>
      </c>
      <c r="B592" s="102">
        <v>38</v>
      </c>
      <c r="C592" s="63" t="s">
        <v>14</v>
      </c>
      <c r="D592" s="10" t="s">
        <v>24</v>
      </c>
      <c r="E592" s="63"/>
      <c r="F592" s="67">
        <v>43636</v>
      </c>
      <c r="G592" s="10" t="s">
        <v>42309</v>
      </c>
      <c r="H592" s="63" t="s">
        <v>20218</v>
      </c>
      <c r="I592" s="63" t="s">
        <v>63</v>
      </c>
      <c r="J592" s="72">
        <v>43103</v>
      </c>
      <c r="K592" s="69" t="s">
        <v>42310</v>
      </c>
      <c r="L592" s="10" t="s">
        <v>1204</v>
      </c>
      <c r="M592" s="63" t="s">
        <v>21</v>
      </c>
      <c r="N592" s="10" t="s">
        <v>42311</v>
      </c>
      <c r="O592" s="63" t="s">
        <v>372</v>
      </c>
      <c r="P592" s="1" t="s">
        <v>30089</v>
      </c>
      <c r="Q592" s="71" t="s">
        <v>42312</v>
      </c>
      <c r="R592" s="63" t="s">
        <v>94</v>
      </c>
      <c r="S592" s="63" t="s">
        <v>22</v>
      </c>
      <c r="T592" s="34" t="s">
        <v>26781</v>
      </c>
      <c r="U592" s="34" t="s">
        <v>26572</v>
      </c>
      <c r="V592" s="68"/>
      <c r="W592" s="68"/>
      <c r="X592" s="68"/>
      <c r="Z592" s="68" t="s">
        <v>42967</v>
      </c>
      <c r="AA592" s="33">
        <v>7076</v>
      </c>
    </row>
    <row r="593" spans="1:27" ht="12" customHeight="1" x14ac:dyDescent="0.15">
      <c r="A593" s="63" t="s">
        <v>38704</v>
      </c>
      <c r="B593" s="102">
        <v>33</v>
      </c>
      <c r="C593" s="63" t="s">
        <v>14</v>
      </c>
      <c r="D593" s="63" t="s">
        <v>42</v>
      </c>
      <c r="E593" s="71" t="s">
        <v>38705</v>
      </c>
      <c r="F593" s="67">
        <v>43636</v>
      </c>
      <c r="G593" s="10" t="s">
        <v>38706</v>
      </c>
      <c r="H593" s="63" t="s">
        <v>2543</v>
      </c>
      <c r="I593" s="63" t="s">
        <v>67</v>
      </c>
      <c r="J593" s="72">
        <v>78572</v>
      </c>
      <c r="K593" s="63" t="s">
        <v>1304</v>
      </c>
      <c r="L593" s="10" t="s">
        <v>19953</v>
      </c>
      <c r="M593" s="63" t="s">
        <v>21</v>
      </c>
      <c r="N593" s="10" t="s">
        <v>38707</v>
      </c>
      <c r="O593" s="63" t="s">
        <v>372</v>
      </c>
      <c r="P593" s="1" t="s">
        <v>30089</v>
      </c>
      <c r="Q593" s="71" t="s">
        <v>38708</v>
      </c>
      <c r="R593" s="63" t="s">
        <v>94</v>
      </c>
      <c r="S593" s="63" t="s">
        <v>22</v>
      </c>
      <c r="T593" s="68" t="s">
        <v>26781</v>
      </c>
      <c r="U593" s="68" t="s">
        <v>26572</v>
      </c>
      <c r="V593" s="68" t="s">
        <v>26574</v>
      </c>
      <c r="W593" s="68" t="s">
        <v>94</v>
      </c>
      <c r="X593" s="68">
        <v>4800</v>
      </c>
      <c r="Z593" s="68" t="s">
        <v>42968</v>
      </c>
      <c r="AA593" s="33">
        <v>7075</v>
      </c>
    </row>
    <row r="594" spans="1:27" ht="12" customHeight="1" x14ac:dyDescent="0.15">
      <c r="A594" s="63" t="s">
        <v>38946</v>
      </c>
      <c r="B594" s="102">
        <v>34</v>
      </c>
      <c r="C594" s="63" t="s">
        <v>14</v>
      </c>
      <c r="D594" s="10" t="s">
        <v>24</v>
      </c>
      <c r="E594" s="63"/>
      <c r="F594" s="67">
        <v>43634</v>
      </c>
      <c r="G594" s="10" t="s">
        <v>38947</v>
      </c>
      <c r="H594" s="63" t="s">
        <v>38948</v>
      </c>
      <c r="I594" s="63" t="s">
        <v>192</v>
      </c>
      <c r="J594" s="72">
        <v>80465</v>
      </c>
      <c r="K594" s="63" t="s">
        <v>1659</v>
      </c>
      <c r="L594" s="10" t="s">
        <v>1579</v>
      </c>
      <c r="M594" s="63" t="s">
        <v>21</v>
      </c>
      <c r="N594" s="10" t="s">
        <v>38949</v>
      </c>
      <c r="O594" s="63" t="s">
        <v>372</v>
      </c>
      <c r="P594" s="1" t="s">
        <v>30089</v>
      </c>
      <c r="Q594" s="71" t="s">
        <v>38950</v>
      </c>
      <c r="R594" s="63" t="s">
        <v>94</v>
      </c>
      <c r="S594" s="63" t="s">
        <v>22</v>
      </c>
      <c r="T594" s="68" t="s">
        <v>26781</v>
      </c>
      <c r="U594" s="68" t="s">
        <v>26572</v>
      </c>
      <c r="V594" s="68" t="s">
        <v>26573</v>
      </c>
      <c r="W594" s="68" t="s">
        <v>94</v>
      </c>
      <c r="X594" s="68">
        <v>4798</v>
      </c>
      <c r="Z594" s="68" t="s">
        <v>42968</v>
      </c>
      <c r="AA594" s="33">
        <v>7072</v>
      </c>
    </row>
    <row r="595" spans="1:27" ht="12" customHeight="1" x14ac:dyDescent="0.15">
      <c r="A595" s="63" t="s">
        <v>39659</v>
      </c>
      <c r="B595" s="102">
        <v>18</v>
      </c>
      <c r="C595" s="63" t="s">
        <v>14</v>
      </c>
      <c r="D595" s="63" t="s">
        <v>42</v>
      </c>
      <c r="E595" s="71" t="s">
        <v>39660</v>
      </c>
      <c r="F595" s="67">
        <v>43634</v>
      </c>
      <c r="G595" s="10" t="s">
        <v>39661</v>
      </c>
      <c r="H595" s="63" t="s">
        <v>8040</v>
      </c>
      <c r="I595" s="63" t="s">
        <v>282</v>
      </c>
      <c r="J595" s="72">
        <v>98531</v>
      </c>
      <c r="K595" s="63" t="s">
        <v>1441</v>
      </c>
      <c r="L595" s="10" t="s">
        <v>8042</v>
      </c>
      <c r="M595" s="63" t="s">
        <v>21</v>
      </c>
      <c r="N595" s="10" t="s">
        <v>39662</v>
      </c>
      <c r="O595" s="63" t="s">
        <v>372</v>
      </c>
      <c r="P595" s="1" t="s">
        <v>30089</v>
      </c>
      <c r="Q595" s="71" t="s">
        <v>39663</v>
      </c>
      <c r="R595" s="63" t="s">
        <v>94</v>
      </c>
      <c r="S595" s="63" t="s">
        <v>22</v>
      </c>
      <c r="T595" s="68" t="s">
        <v>26774</v>
      </c>
      <c r="U595" s="68" t="s">
        <v>26570</v>
      </c>
      <c r="V595" s="68" t="s">
        <v>26573</v>
      </c>
      <c r="W595" s="68" t="s">
        <v>94</v>
      </c>
      <c r="X595" s="68">
        <v>4797</v>
      </c>
      <c r="Z595" s="68" t="s">
        <v>42967</v>
      </c>
      <c r="AA595" s="33">
        <v>7073</v>
      </c>
    </row>
    <row r="596" spans="1:27" ht="12" customHeight="1" x14ac:dyDescent="0.15">
      <c r="A596" s="63" t="s">
        <v>39966</v>
      </c>
      <c r="B596" s="102">
        <v>74</v>
      </c>
      <c r="C596" s="63" t="s">
        <v>14</v>
      </c>
      <c r="D596" s="63" t="s">
        <v>79</v>
      </c>
      <c r="E596" s="71" t="s">
        <v>39967</v>
      </c>
      <c r="F596" s="67">
        <v>43634</v>
      </c>
      <c r="G596" s="10" t="s">
        <v>39968</v>
      </c>
      <c r="H596" s="63" t="s">
        <v>4600</v>
      </c>
      <c r="I596" s="63" t="s">
        <v>395</v>
      </c>
      <c r="J596" s="72">
        <v>13205</v>
      </c>
      <c r="K596" s="63" t="s">
        <v>12104</v>
      </c>
      <c r="L596" s="10" t="s">
        <v>19425</v>
      </c>
      <c r="M596" s="63" t="s">
        <v>21</v>
      </c>
      <c r="N596" s="10" t="s">
        <v>39969</v>
      </c>
      <c r="O596" s="63" t="s">
        <v>372</v>
      </c>
      <c r="P596" s="1" t="s">
        <v>30089</v>
      </c>
      <c r="Q596" s="71" t="s">
        <v>39970</v>
      </c>
      <c r="R596" s="63" t="s">
        <v>23</v>
      </c>
      <c r="S596" s="63" t="s">
        <v>12</v>
      </c>
      <c r="T596" s="68" t="s">
        <v>39971</v>
      </c>
      <c r="U596" s="68" t="s">
        <v>26572</v>
      </c>
      <c r="V596" s="68" t="s">
        <v>26573</v>
      </c>
      <c r="W596" s="68" t="s">
        <v>94</v>
      </c>
      <c r="X596" s="68">
        <v>4799</v>
      </c>
      <c r="Z596" s="68" t="s">
        <v>42966</v>
      </c>
      <c r="AA596" s="33">
        <v>7074</v>
      </c>
    </row>
    <row r="597" spans="1:27" ht="12" customHeight="1" x14ac:dyDescent="0.15">
      <c r="A597" s="10" t="s">
        <v>41014</v>
      </c>
      <c r="B597" s="99">
        <v>22</v>
      </c>
      <c r="C597" s="10" t="s">
        <v>14</v>
      </c>
      <c r="D597" s="10" t="s">
        <v>31</v>
      </c>
      <c r="E597" s="64" t="s">
        <v>41015</v>
      </c>
      <c r="F597" s="67">
        <v>43633</v>
      </c>
      <c r="G597" s="10" t="s">
        <v>41016</v>
      </c>
      <c r="H597" s="10" t="s">
        <v>266</v>
      </c>
      <c r="I597" s="10" t="s">
        <v>67</v>
      </c>
      <c r="J597" s="65">
        <v>75242</v>
      </c>
      <c r="K597" s="70" t="s">
        <v>266</v>
      </c>
      <c r="L597" s="10" t="s">
        <v>41017</v>
      </c>
      <c r="M597" s="10" t="s">
        <v>21</v>
      </c>
      <c r="N597" s="10" t="s">
        <v>41018</v>
      </c>
      <c r="O597" s="10" t="s">
        <v>372</v>
      </c>
      <c r="P597" s="1" t="s">
        <v>30089</v>
      </c>
      <c r="Q597" s="64" t="s">
        <v>41019</v>
      </c>
      <c r="R597" s="10" t="s">
        <v>512</v>
      </c>
      <c r="S597" s="63" t="s">
        <v>22</v>
      </c>
      <c r="T597" s="68" t="s">
        <v>26781</v>
      </c>
      <c r="U597" s="68" t="s">
        <v>26572</v>
      </c>
      <c r="V597" s="68" t="s">
        <v>26574</v>
      </c>
      <c r="W597" s="68" t="s">
        <v>94</v>
      </c>
      <c r="X597" s="68">
        <v>4802</v>
      </c>
      <c r="Z597" s="68" t="e">
        <v>#N/A</v>
      </c>
      <c r="AA597" s="33">
        <v>7070</v>
      </c>
    </row>
    <row r="598" spans="1:27" ht="12" customHeight="1" x14ac:dyDescent="0.15">
      <c r="A598" s="10" t="s">
        <v>40771</v>
      </c>
      <c r="B598" s="99">
        <v>20</v>
      </c>
      <c r="C598" s="10" t="s">
        <v>14</v>
      </c>
      <c r="D598" s="10" t="s">
        <v>42</v>
      </c>
      <c r="E598" s="64" t="s">
        <v>40772</v>
      </c>
      <c r="F598" s="67">
        <v>43633</v>
      </c>
      <c r="G598" s="10" t="s">
        <v>40773</v>
      </c>
      <c r="H598" s="10" t="s">
        <v>1122</v>
      </c>
      <c r="I598" s="10" t="s">
        <v>67</v>
      </c>
      <c r="J598" s="65">
        <v>78520</v>
      </c>
      <c r="K598" s="70" t="s">
        <v>1123</v>
      </c>
      <c r="L598" s="10" t="s">
        <v>1124</v>
      </c>
      <c r="M598" s="10" t="s">
        <v>21</v>
      </c>
      <c r="N598" s="10" t="s">
        <v>40774</v>
      </c>
      <c r="O598" s="10" t="s">
        <v>372</v>
      </c>
      <c r="P598" s="1" t="s">
        <v>30089</v>
      </c>
      <c r="Q598" s="64" t="s">
        <v>40775</v>
      </c>
      <c r="R598" s="10" t="s">
        <v>94</v>
      </c>
      <c r="S598" s="63" t="s">
        <v>351</v>
      </c>
      <c r="T598" s="68" t="s">
        <v>26867</v>
      </c>
      <c r="U598" s="68" t="s">
        <v>26572</v>
      </c>
      <c r="V598" s="68" t="s">
        <v>26571</v>
      </c>
      <c r="W598" s="68" t="s">
        <v>94</v>
      </c>
      <c r="X598" s="68">
        <v>4788</v>
      </c>
      <c r="Z598" s="68" t="s">
        <v>42966</v>
      </c>
      <c r="AA598" s="33">
        <v>7071</v>
      </c>
    </row>
    <row r="599" spans="1:27" ht="12" customHeight="1" x14ac:dyDescent="0.15">
      <c r="A599" s="10" t="s">
        <v>38694</v>
      </c>
      <c r="B599" s="99">
        <v>35</v>
      </c>
      <c r="C599" s="10" t="s">
        <v>14</v>
      </c>
      <c r="D599" s="10" t="s">
        <v>42</v>
      </c>
      <c r="E599" s="64" t="s">
        <v>38695</v>
      </c>
      <c r="F599" s="67">
        <v>43633</v>
      </c>
      <c r="G599" s="10" t="s">
        <v>38696</v>
      </c>
      <c r="H599" s="10" t="s">
        <v>911</v>
      </c>
      <c r="I599" s="10" t="s">
        <v>178</v>
      </c>
      <c r="J599" s="65">
        <v>88011</v>
      </c>
      <c r="K599" s="10" t="s">
        <v>912</v>
      </c>
      <c r="L599" s="10" t="s">
        <v>4359</v>
      </c>
      <c r="M599" s="10" t="s">
        <v>21</v>
      </c>
      <c r="N599" s="10" t="s">
        <v>38697</v>
      </c>
      <c r="O599" s="10" t="s">
        <v>372</v>
      </c>
      <c r="P599" s="1" t="s">
        <v>30089</v>
      </c>
      <c r="Q599" s="64" t="s">
        <v>38698</v>
      </c>
      <c r="R599" s="10" t="s">
        <v>94</v>
      </c>
      <c r="S599" s="63" t="s">
        <v>22</v>
      </c>
      <c r="T599" s="68" t="s">
        <v>26781</v>
      </c>
      <c r="U599" s="68" t="s">
        <v>26572</v>
      </c>
      <c r="V599" s="68" t="s">
        <v>26571</v>
      </c>
      <c r="W599" s="68" t="s">
        <v>94</v>
      </c>
      <c r="X599" s="68">
        <v>4789</v>
      </c>
      <c r="Z599" s="68" t="s">
        <v>42968</v>
      </c>
      <c r="AA599" s="33">
        <v>7069</v>
      </c>
    </row>
    <row r="600" spans="1:27" ht="12" customHeight="1" x14ac:dyDescent="0.15">
      <c r="A600" s="10" t="s">
        <v>38699</v>
      </c>
      <c r="B600" s="99">
        <v>31</v>
      </c>
      <c r="C600" s="10" t="s">
        <v>14</v>
      </c>
      <c r="D600" s="10" t="s">
        <v>42</v>
      </c>
      <c r="E600" s="64" t="s">
        <v>38700</v>
      </c>
      <c r="F600" s="67">
        <v>43632</v>
      </c>
      <c r="G600" s="10" t="s">
        <v>38701</v>
      </c>
      <c r="H600" s="10" t="s">
        <v>518</v>
      </c>
      <c r="I600" s="10" t="s">
        <v>112</v>
      </c>
      <c r="J600" s="65">
        <v>85706</v>
      </c>
      <c r="K600" s="70" t="s">
        <v>519</v>
      </c>
      <c r="L600" s="10" t="s">
        <v>520</v>
      </c>
      <c r="M600" s="10" t="s">
        <v>21</v>
      </c>
      <c r="N600" s="10" t="s">
        <v>38702</v>
      </c>
      <c r="O600" s="10" t="s">
        <v>372</v>
      </c>
      <c r="P600" s="1" t="s">
        <v>30089</v>
      </c>
      <c r="Q600" s="64" t="s">
        <v>38703</v>
      </c>
      <c r="R600" s="10" t="s">
        <v>94</v>
      </c>
      <c r="S600" s="63" t="s">
        <v>22</v>
      </c>
      <c r="T600" s="68" t="s">
        <v>26781</v>
      </c>
      <c r="U600" s="68" t="s">
        <v>26572</v>
      </c>
      <c r="V600" s="68">
        <v>0</v>
      </c>
      <c r="W600" s="68" t="s">
        <v>94</v>
      </c>
      <c r="X600" s="68">
        <v>4790</v>
      </c>
      <c r="Z600" s="68" t="s">
        <v>42968</v>
      </c>
      <c r="AA600" s="33">
        <v>7067</v>
      </c>
    </row>
    <row r="601" spans="1:27" ht="12" customHeight="1" x14ac:dyDescent="0.15">
      <c r="A601" s="10" t="s">
        <v>39414</v>
      </c>
      <c r="B601" s="99">
        <v>53</v>
      </c>
      <c r="C601" s="10" t="s">
        <v>14</v>
      </c>
      <c r="D601" s="10" t="s">
        <v>79</v>
      </c>
      <c r="E601" s="64" t="s">
        <v>39415</v>
      </c>
      <c r="F601" s="67">
        <v>43632</v>
      </c>
      <c r="G601" s="10" t="s">
        <v>39416</v>
      </c>
      <c r="H601" s="10" t="s">
        <v>14759</v>
      </c>
      <c r="I601" s="10" t="s">
        <v>198</v>
      </c>
      <c r="J601" s="65">
        <v>46601</v>
      </c>
      <c r="K601" s="70" t="s">
        <v>10132</v>
      </c>
      <c r="L601" s="10" t="s">
        <v>14761</v>
      </c>
      <c r="M601" s="10" t="s">
        <v>21</v>
      </c>
      <c r="N601" s="10" t="s">
        <v>39417</v>
      </c>
      <c r="O601" s="10" t="s">
        <v>372</v>
      </c>
      <c r="P601" s="1" t="s">
        <v>30089</v>
      </c>
      <c r="Q601" s="64" t="s">
        <v>39418</v>
      </c>
      <c r="R601" s="10" t="s">
        <v>94</v>
      </c>
      <c r="S601" s="63" t="s">
        <v>22</v>
      </c>
      <c r="T601" s="68" t="s">
        <v>26774</v>
      </c>
      <c r="U601" s="68" t="s">
        <v>26572</v>
      </c>
      <c r="V601" s="68" t="s">
        <v>26573</v>
      </c>
      <c r="W601" s="68" t="s">
        <v>94</v>
      </c>
      <c r="X601" s="68">
        <v>4786</v>
      </c>
      <c r="Z601" s="68" t="s">
        <v>42966</v>
      </c>
      <c r="AA601" s="33">
        <v>7068</v>
      </c>
    </row>
    <row r="602" spans="1:27" ht="12" customHeight="1" x14ac:dyDescent="0.15">
      <c r="A602" s="10" t="s">
        <v>38519</v>
      </c>
      <c r="B602" s="99">
        <v>37</v>
      </c>
      <c r="C602" s="10" t="s">
        <v>14</v>
      </c>
      <c r="D602" s="10" t="s">
        <v>42</v>
      </c>
      <c r="E602" s="10"/>
      <c r="F602" s="67">
        <v>43631</v>
      </c>
      <c r="G602" s="10" t="s">
        <v>38520</v>
      </c>
      <c r="H602" s="10" t="s">
        <v>2307</v>
      </c>
      <c r="I602" s="10" t="s">
        <v>367</v>
      </c>
      <c r="J602" s="65">
        <v>74129</v>
      </c>
      <c r="K602" s="10" t="s">
        <v>2307</v>
      </c>
      <c r="L602" s="10" t="s">
        <v>3108</v>
      </c>
      <c r="M602" s="10" t="s">
        <v>21</v>
      </c>
      <c r="N602" s="10" t="s">
        <v>38521</v>
      </c>
      <c r="O602" s="10" t="s">
        <v>372</v>
      </c>
      <c r="P602" s="1" t="s">
        <v>30089</v>
      </c>
      <c r="Q602" s="64" t="s">
        <v>38522</v>
      </c>
      <c r="R602" s="10" t="s">
        <v>94</v>
      </c>
      <c r="S602" s="63" t="s">
        <v>22</v>
      </c>
      <c r="T602" s="68" t="s">
        <v>26781</v>
      </c>
      <c r="U602" s="68" t="s">
        <v>26572</v>
      </c>
      <c r="V602" s="68" t="s">
        <v>26571</v>
      </c>
      <c r="W602" s="68" t="s">
        <v>512</v>
      </c>
      <c r="X602" s="68">
        <v>4965</v>
      </c>
      <c r="Z602" s="68" t="s">
        <v>42968</v>
      </c>
      <c r="AA602" s="33">
        <v>7059</v>
      </c>
    </row>
    <row r="603" spans="1:27" ht="12" customHeight="1" x14ac:dyDescent="0.15">
      <c r="A603" s="10" t="s">
        <v>41319</v>
      </c>
      <c r="B603" s="99">
        <v>20</v>
      </c>
      <c r="C603" s="10" t="s">
        <v>14</v>
      </c>
      <c r="D603" s="10" t="s">
        <v>79</v>
      </c>
      <c r="E603" s="64" t="s">
        <v>41320</v>
      </c>
      <c r="F603" s="67">
        <v>43631</v>
      </c>
      <c r="G603" s="10" t="s">
        <v>41321</v>
      </c>
      <c r="H603" s="10" t="s">
        <v>40008</v>
      </c>
      <c r="I603" s="10" t="s">
        <v>282</v>
      </c>
      <c r="J603" s="65">
        <v>98057</v>
      </c>
      <c r="K603" s="70" t="s">
        <v>1133</v>
      </c>
      <c r="L603" s="10" t="s">
        <v>40009</v>
      </c>
      <c r="M603" s="10" t="s">
        <v>21</v>
      </c>
      <c r="N603" s="10" t="s">
        <v>41322</v>
      </c>
      <c r="O603" s="10" t="s">
        <v>372</v>
      </c>
      <c r="P603" s="1" t="s">
        <v>30089</v>
      </c>
      <c r="Q603" s="64" t="s">
        <v>41323</v>
      </c>
      <c r="R603" s="10" t="s">
        <v>512</v>
      </c>
      <c r="S603" s="63" t="s">
        <v>22</v>
      </c>
      <c r="T603" s="68" t="s">
        <v>26774</v>
      </c>
      <c r="U603" s="68" t="s">
        <v>26572</v>
      </c>
      <c r="V603" s="68">
        <v>0</v>
      </c>
      <c r="W603" s="68" t="s">
        <v>94</v>
      </c>
      <c r="X603" s="68">
        <v>4792</v>
      </c>
      <c r="Z603" s="68" t="s">
        <v>42966</v>
      </c>
      <c r="AA603" s="33">
        <v>7065</v>
      </c>
    </row>
    <row r="604" spans="1:27" ht="12" customHeight="1" x14ac:dyDescent="0.15">
      <c r="A604" s="10" t="s">
        <v>39139</v>
      </c>
      <c r="B604" s="99">
        <v>28</v>
      </c>
      <c r="C604" s="10" t="s">
        <v>14</v>
      </c>
      <c r="D604" s="68" t="s">
        <v>79</v>
      </c>
      <c r="E604" s="63"/>
      <c r="F604" s="67">
        <v>43631</v>
      </c>
      <c r="G604" s="10" t="s">
        <v>39140</v>
      </c>
      <c r="H604" s="10" t="s">
        <v>39141</v>
      </c>
      <c r="I604" s="10" t="s">
        <v>88</v>
      </c>
      <c r="J604" s="65">
        <v>35023</v>
      </c>
      <c r="K604" s="70" t="s">
        <v>1659</v>
      </c>
      <c r="L604" s="10" t="s">
        <v>3834</v>
      </c>
      <c r="M604" s="10" t="s">
        <v>21</v>
      </c>
      <c r="N604" s="10" t="s">
        <v>39142</v>
      </c>
      <c r="O604" s="10" t="s">
        <v>372</v>
      </c>
      <c r="P604" s="1" t="s">
        <v>30089</v>
      </c>
      <c r="Q604" s="64" t="s">
        <v>39143</v>
      </c>
      <c r="R604" s="10" t="s">
        <v>94</v>
      </c>
      <c r="S604" s="63" t="s">
        <v>22</v>
      </c>
      <c r="T604" s="68" t="s">
        <v>26781</v>
      </c>
      <c r="U604" s="68" t="s">
        <v>26572</v>
      </c>
      <c r="V604" s="68" t="s">
        <v>26571</v>
      </c>
      <c r="W604" s="68" t="s">
        <v>94</v>
      </c>
      <c r="X604" s="68">
        <v>4794</v>
      </c>
      <c r="Z604" s="68" t="s">
        <v>42968</v>
      </c>
      <c r="AA604" s="33">
        <v>7060</v>
      </c>
    </row>
    <row r="605" spans="1:27" ht="12" customHeight="1" x14ac:dyDescent="0.15">
      <c r="A605" s="63" t="s">
        <v>41748</v>
      </c>
      <c r="B605" s="101">
        <v>18</v>
      </c>
      <c r="C605" s="10" t="s">
        <v>14</v>
      </c>
      <c r="D605" s="10" t="s">
        <v>79</v>
      </c>
      <c r="E605" s="10"/>
      <c r="F605" s="67">
        <v>43631</v>
      </c>
      <c r="G605" s="10" t="s">
        <v>41749</v>
      </c>
      <c r="H605" s="10" t="s">
        <v>25098</v>
      </c>
      <c r="I605" s="10" t="s">
        <v>67</v>
      </c>
      <c r="J605" s="65">
        <v>77584</v>
      </c>
      <c r="K605" s="70" t="s">
        <v>4537</v>
      </c>
      <c r="L605" s="10" t="s">
        <v>14292</v>
      </c>
      <c r="M605" s="10" t="s">
        <v>21</v>
      </c>
      <c r="N605" s="10" t="s">
        <v>41750</v>
      </c>
      <c r="O605" s="10" t="s">
        <v>372</v>
      </c>
      <c r="P605" s="1" t="s">
        <v>30089</v>
      </c>
      <c r="Q605" s="64" t="s">
        <v>41751</v>
      </c>
      <c r="R605" s="10" t="s">
        <v>94</v>
      </c>
      <c r="S605" s="63" t="s">
        <v>22</v>
      </c>
      <c r="T605" s="34" t="s">
        <v>26781</v>
      </c>
      <c r="U605" s="34" t="s">
        <v>26572</v>
      </c>
      <c r="V605" s="68"/>
      <c r="W605" s="68"/>
      <c r="X605" s="68"/>
      <c r="Z605" s="68" t="s">
        <v>42968</v>
      </c>
      <c r="AA605" s="33">
        <v>7063</v>
      </c>
    </row>
    <row r="606" spans="1:27" ht="12" customHeight="1" x14ac:dyDescent="0.15">
      <c r="A606" s="10" t="s">
        <v>40489</v>
      </c>
      <c r="B606" s="99">
        <v>18</v>
      </c>
      <c r="C606" s="10" t="s">
        <v>14</v>
      </c>
      <c r="D606" s="10" t="s">
        <v>79</v>
      </c>
      <c r="E606" s="64" t="s">
        <v>40490</v>
      </c>
      <c r="F606" s="67">
        <v>43631</v>
      </c>
      <c r="G606" s="10" t="s">
        <v>40491</v>
      </c>
      <c r="H606" s="10" t="s">
        <v>16896</v>
      </c>
      <c r="I606" s="10" t="s">
        <v>409</v>
      </c>
      <c r="J606" s="65">
        <v>53403</v>
      </c>
      <c r="K606" s="10" t="s">
        <v>7938</v>
      </c>
      <c r="L606" s="10" t="s">
        <v>25203</v>
      </c>
      <c r="M606" s="10" t="s">
        <v>21</v>
      </c>
      <c r="N606" s="10" t="s">
        <v>40492</v>
      </c>
      <c r="O606" s="10" t="s">
        <v>372</v>
      </c>
      <c r="P606" s="1" t="s">
        <v>30089</v>
      </c>
      <c r="Q606" s="64" t="s">
        <v>40493</v>
      </c>
      <c r="R606" s="10" t="s">
        <v>94</v>
      </c>
      <c r="S606" s="63" t="s">
        <v>22</v>
      </c>
      <c r="T606" s="54" t="s">
        <v>26781</v>
      </c>
      <c r="U606" s="68" t="s">
        <v>26570</v>
      </c>
      <c r="V606" s="68" t="s">
        <v>19228</v>
      </c>
      <c r="W606" s="68" t="s">
        <v>94</v>
      </c>
      <c r="X606" s="68">
        <v>4793</v>
      </c>
      <c r="Z606" s="68" t="s">
        <v>42966</v>
      </c>
      <c r="AA606" s="33">
        <v>7062</v>
      </c>
    </row>
    <row r="607" spans="1:27" ht="12" customHeight="1" x14ac:dyDescent="0.15">
      <c r="A607" s="10" t="s">
        <v>39269</v>
      </c>
      <c r="B607" s="99">
        <v>48</v>
      </c>
      <c r="C607" s="10" t="s">
        <v>14</v>
      </c>
      <c r="D607" s="68" t="s">
        <v>31</v>
      </c>
      <c r="E607" s="63"/>
      <c r="F607" s="67">
        <v>43631</v>
      </c>
      <c r="G607" s="10" t="s">
        <v>39270</v>
      </c>
      <c r="H607" s="10" t="s">
        <v>308</v>
      </c>
      <c r="I607" s="10" t="s">
        <v>309</v>
      </c>
      <c r="J607" s="65">
        <v>99712</v>
      </c>
      <c r="K607" s="70" t="s">
        <v>18138</v>
      </c>
      <c r="L607" s="10" t="s">
        <v>10186</v>
      </c>
      <c r="M607" s="10" t="s">
        <v>21</v>
      </c>
      <c r="N607" s="10" t="s">
        <v>39271</v>
      </c>
      <c r="O607" s="10" t="s">
        <v>372</v>
      </c>
      <c r="P607" s="1" t="s">
        <v>30089</v>
      </c>
      <c r="Q607" s="64" t="s">
        <v>39272</v>
      </c>
      <c r="R607" s="10" t="s">
        <v>94</v>
      </c>
      <c r="S607" s="63" t="s">
        <v>22</v>
      </c>
      <c r="T607" s="68" t="s">
        <v>26781</v>
      </c>
      <c r="U607" s="68" t="s">
        <v>26572</v>
      </c>
      <c r="V607" s="68" t="s">
        <v>26573</v>
      </c>
      <c r="W607" s="68" t="s">
        <v>94</v>
      </c>
      <c r="X607" s="68">
        <v>4795</v>
      </c>
      <c r="Z607" s="68" t="s">
        <v>42967</v>
      </c>
      <c r="AA607" s="33">
        <v>7061</v>
      </c>
    </row>
    <row r="608" spans="1:27" ht="12" customHeight="1" x14ac:dyDescent="0.15">
      <c r="A608" s="10" t="s">
        <v>40315</v>
      </c>
      <c r="B608" s="99">
        <v>45</v>
      </c>
      <c r="C608" s="10" t="s">
        <v>14</v>
      </c>
      <c r="D608" s="10" t="s">
        <v>31</v>
      </c>
      <c r="E608" s="63"/>
      <c r="F608" s="67">
        <v>43631</v>
      </c>
      <c r="G608" s="10" t="s">
        <v>40316</v>
      </c>
      <c r="H608" s="10" t="s">
        <v>33148</v>
      </c>
      <c r="I608" s="10" t="s">
        <v>468</v>
      </c>
      <c r="J608" s="65">
        <v>3220</v>
      </c>
      <c r="K608" s="10" t="s">
        <v>40317</v>
      </c>
      <c r="L608" s="10" t="s">
        <v>12635</v>
      </c>
      <c r="M608" s="10" t="s">
        <v>21</v>
      </c>
      <c r="N608" s="10" t="s">
        <v>40318</v>
      </c>
      <c r="O608" s="10" t="s">
        <v>372</v>
      </c>
      <c r="P608" s="1" t="s">
        <v>30089</v>
      </c>
      <c r="Q608" s="64" t="s">
        <v>40319</v>
      </c>
      <c r="R608" s="10" t="s">
        <v>94</v>
      </c>
      <c r="S608" s="63" t="s">
        <v>29</v>
      </c>
      <c r="T608" s="68" t="s">
        <v>26575</v>
      </c>
      <c r="U608" s="68" t="s">
        <v>26575</v>
      </c>
      <c r="V608" s="68">
        <v>0</v>
      </c>
      <c r="W608" s="68" t="s">
        <v>94</v>
      </c>
      <c r="X608" s="68">
        <v>4791</v>
      </c>
      <c r="Z608" s="68" t="s">
        <v>42967</v>
      </c>
      <c r="AA608" s="33">
        <v>7066</v>
      </c>
    </row>
    <row r="609" spans="1:27" ht="12" customHeight="1" x14ac:dyDescent="0.15">
      <c r="A609" s="63" t="s">
        <v>39652</v>
      </c>
      <c r="B609" s="102">
        <v>38</v>
      </c>
      <c r="C609" s="63" t="s">
        <v>14</v>
      </c>
      <c r="D609" s="63" t="s">
        <v>42</v>
      </c>
      <c r="E609" s="71" t="s">
        <v>39653</v>
      </c>
      <c r="F609" s="67">
        <v>43631</v>
      </c>
      <c r="G609" s="10" t="s">
        <v>39654</v>
      </c>
      <c r="H609" s="63" t="s">
        <v>39655</v>
      </c>
      <c r="I609" s="63" t="s">
        <v>282</v>
      </c>
      <c r="J609" s="72">
        <v>98948</v>
      </c>
      <c r="K609" s="69" t="s">
        <v>5737</v>
      </c>
      <c r="L609" s="10" t="s">
        <v>39656</v>
      </c>
      <c r="M609" s="63" t="s">
        <v>21</v>
      </c>
      <c r="N609" s="10" t="s">
        <v>39657</v>
      </c>
      <c r="O609" s="63" t="s">
        <v>372</v>
      </c>
      <c r="P609" s="1" t="s">
        <v>30089</v>
      </c>
      <c r="Q609" s="71" t="s">
        <v>39658</v>
      </c>
      <c r="R609" s="63" t="s">
        <v>94</v>
      </c>
      <c r="S609" s="63" t="s">
        <v>22</v>
      </c>
      <c r="T609" s="68" t="s">
        <v>26774</v>
      </c>
      <c r="U609" s="68" t="s">
        <v>26570</v>
      </c>
      <c r="V609" s="68" t="s">
        <v>26573</v>
      </c>
      <c r="W609" s="68" t="s">
        <v>94</v>
      </c>
      <c r="X609" s="68">
        <v>4796</v>
      </c>
      <c r="Z609" s="68" t="s">
        <v>42967</v>
      </c>
      <c r="AA609" s="33">
        <v>7064</v>
      </c>
    </row>
    <row r="610" spans="1:27" ht="12" customHeight="1" x14ac:dyDescent="0.15">
      <c r="A610" s="63" t="s">
        <v>37159</v>
      </c>
      <c r="B610" s="102">
        <v>32</v>
      </c>
      <c r="C610" s="63" t="s">
        <v>14</v>
      </c>
      <c r="D610" s="63" t="s">
        <v>31</v>
      </c>
      <c r="E610" s="71" t="s">
        <v>37160</v>
      </c>
      <c r="F610" s="67">
        <v>43630</v>
      </c>
      <c r="G610" s="10" t="s">
        <v>37161</v>
      </c>
      <c r="H610" s="63" t="s">
        <v>5546</v>
      </c>
      <c r="I610" s="63" t="s">
        <v>39</v>
      </c>
      <c r="J610" s="72">
        <v>91911</v>
      </c>
      <c r="K610" s="69" t="s">
        <v>143</v>
      </c>
      <c r="L610" s="10" t="s">
        <v>93</v>
      </c>
      <c r="M610" s="63" t="s">
        <v>21</v>
      </c>
      <c r="N610" s="10" t="s">
        <v>37162</v>
      </c>
      <c r="O610" s="63" t="s">
        <v>372</v>
      </c>
      <c r="P610" s="1" t="s">
        <v>30089</v>
      </c>
      <c r="Q610" s="71" t="s">
        <v>37163</v>
      </c>
      <c r="R610" s="63" t="s">
        <v>23</v>
      </c>
      <c r="S610" s="68" t="s">
        <v>12</v>
      </c>
      <c r="T610" s="54" t="s">
        <v>29705</v>
      </c>
      <c r="U610" s="68"/>
      <c r="V610" s="68"/>
      <c r="W610" s="68"/>
      <c r="X610" s="68"/>
      <c r="Y610" s="33" t="s">
        <v>42476</v>
      </c>
      <c r="Z610" s="10" t="s">
        <v>42968</v>
      </c>
      <c r="AA610" s="33">
        <v>7057</v>
      </c>
    </row>
    <row r="611" spans="1:27" ht="12" customHeight="1" x14ac:dyDescent="0.15">
      <c r="A611" s="10" t="s">
        <v>41685</v>
      </c>
      <c r="B611" s="99">
        <v>42</v>
      </c>
      <c r="C611" s="10" t="s">
        <v>14</v>
      </c>
      <c r="D611" s="10" t="s">
        <v>79</v>
      </c>
      <c r="E611" s="64" t="s">
        <v>41686</v>
      </c>
      <c r="F611" s="67">
        <v>43630</v>
      </c>
      <c r="G611" s="10" t="s">
        <v>41687</v>
      </c>
      <c r="H611" s="10" t="s">
        <v>18455</v>
      </c>
      <c r="I611" s="10" t="s">
        <v>402</v>
      </c>
      <c r="J611" s="65">
        <v>63034</v>
      </c>
      <c r="K611" s="10" t="s">
        <v>3649</v>
      </c>
      <c r="L611" s="10" t="s">
        <v>6535</v>
      </c>
      <c r="M611" s="10" t="s">
        <v>21</v>
      </c>
      <c r="N611" s="10" t="s">
        <v>41688</v>
      </c>
      <c r="O611" s="10" t="s">
        <v>372</v>
      </c>
      <c r="P611" s="1" t="s">
        <v>30089</v>
      </c>
      <c r="Q611" s="64" t="s">
        <v>41689</v>
      </c>
      <c r="R611" s="10" t="s">
        <v>94</v>
      </c>
      <c r="S611" s="63" t="s">
        <v>22</v>
      </c>
      <c r="T611" s="34" t="s">
        <v>26781</v>
      </c>
      <c r="U611" s="34"/>
      <c r="V611" s="68"/>
      <c r="W611" s="68"/>
      <c r="X611" s="68"/>
      <c r="Z611" s="68" t="s">
        <v>42968</v>
      </c>
      <c r="AA611" s="33">
        <v>7056</v>
      </c>
    </row>
    <row r="612" spans="1:27" ht="12" customHeight="1" x14ac:dyDescent="0.15">
      <c r="A612" s="10" t="s">
        <v>3002</v>
      </c>
      <c r="B612" s="69"/>
      <c r="C612" s="10" t="s">
        <v>14</v>
      </c>
      <c r="D612" s="10" t="s">
        <v>24</v>
      </c>
      <c r="E612" s="63"/>
      <c r="F612" s="67">
        <v>43630</v>
      </c>
      <c r="G612" s="10" t="s">
        <v>40427</v>
      </c>
      <c r="H612" s="10" t="s">
        <v>1826</v>
      </c>
      <c r="I612" s="10" t="s">
        <v>39</v>
      </c>
      <c r="J612" s="65">
        <v>93215</v>
      </c>
      <c r="K612" s="10" t="s">
        <v>632</v>
      </c>
      <c r="L612" s="10" t="s">
        <v>1828</v>
      </c>
      <c r="M612" s="10" t="s">
        <v>21</v>
      </c>
      <c r="N612" s="10" t="s">
        <v>40428</v>
      </c>
      <c r="O612" s="10" t="s">
        <v>372</v>
      </c>
      <c r="P612" s="1" t="s">
        <v>30089</v>
      </c>
      <c r="Q612" s="64" t="s">
        <v>40429</v>
      </c>
      <c r="R612" s="10" t="s">
        <v>94</v>
      </c>
      <c r="S612" s="63" t="s">
        <v>29</v>
      </c>
      <c r="T612" s="68" t="s">
        <v>26575</v>
      </c>
      <c r="U612" s="68" t="s">
        <v>26575</v>
      </c>
      <c r="V612" s="68" t="s">
        <v>26574</v>
      </c>
      <c r="W612" s="68" t="s">
        <v>94</v>
      </c>
      <c r="X612" s="68">
        <v>4783</v>
      </c>
      <c r="Z612" s="68" t="s">
        <v>42968</v>
      </c>
      <c r="AA612" s="33">
        <v>7058</v>
      </c>
    </row>
    <row r="613" spans="1:27" ht="12" customHeight="1" x14ac:dyDescent="0.15">
      <c r="A613" s="63" t="s">
        <v>40617</v>
      </c>
      <c r="B613" s="101">
        <v>22</v>
      </c>
      <c r="C613" s="10" t="s">
        <v>14</v>
      </c>
      <c r="D613" s="63" t="s">
        <v>79</v>
      </c>
      <c r="E613" s="63"/>
      <c r="F613" s="67">
        <v>43629</v>
      </c>
      <c r="G613" s="10" t="s">
        <v>40618</v>
      </c>
      <c r="H613" s="10" t="s">
        <v>603</v>
      </c>
      <c r="I613" s="10" t="s">
        <v>918</v>
      </c>
      <c r="J613" s="65">
        <v>72076</v>
      </c>
      <c r="K613" s="10" t="s">
        <v>2312</v>
      </c>
      <c r="L613" s="10" t="s">
        <v>2186</v>
      </c>
      <c r="M613" s="10" t="s">
        <v>21</v>
      </c>
      <c r="N613" s="10" t="s">
        <v>40619</v>
      </c>
      <c r="O613" s="10" t="s">
        <v>372</v>
      </c>
      <c r="P613" s="1" t="s">
        <v>30089</v>
      </c>
      <c r="Q613" s="64" t="s">
        <v>40620</v>
      </c>
      <c r="R613" s="10" t="s">
        <v>94</v>
      </c>
      <c r="S613" s="63" t="s">
        <v>351</v>
      </c>
      <c r="T613" s="68" t="s">
        <v>26867</v>
      </c>
      <c r="U613" s="68" t="s">
        <v>26572</v>
      </c>
      <c r="V613" s="68" t="s">
        <v>26571</v>
      </c>
      <c r="W613" s="68" t="s">
        <v>94</v>
      </c>
      <c r="X613" s="68">
        <v>4784</v>
      </c>
      <c r="Z613" s="68" t="s">
        <v>42968</v>
      </c>
      <c r="AA613" s="33">
        <v>7055</v>
      </c>
    </row>
    <row r="614" spans="1:27" ht="12" customHeight="1" x14ac:dyDescent="0.15">
      <c r="A614" s="10" t="s">
        <v>40611</v>
      </c>
      <c r="B614" s="99">
        <v>17</v>
      </c>
      <c r="C614" s="10" t="s">
        <v>14</v>
      </c>
      <c r="D614" s="10" t="s">
        <v>79</v>
      </c>
      <c r="E614" s="10"/>
      <c r="F614" s="67">
        <v>43629</v>
      </c>
      <c r="G614" s="10" t="s">
        <v>40612</v>
      </c>
      <c r="H614" s="10" t="s">
        <v>40613</v>
      </c>
      <c r="I614" s="10" t="s">
        <v>46</v>
      </c>
      <c r="J614" s="65">
        <v>20852</v>
      </c>
      <c r="K614" s="70" t="s">
        <v>995</v>
      </c>
      <c r="L614" s="10" t="s">
        <v>40614</v>
      </c>
      <c r="M614" s="10" t="s">
        <v>21</v>
      </c>
      <c r="N614" s="10" t="s">
        <v>40615</v>
      </c>
      <c r="O614" s="10" t="s">
        <v>372</v>
      </c>
      <c r="P614" s="1" t="s">
        <v>30089</v>
      </c>
      <c r="Q614" s="64" t="s">
        <v>40616</v>
      </c>
      <c r="R614" s="10" t="s">
        <v>94</v>
      </c>
      <c r="S614" s="63" t="s">
        <v>351</v>
      </c>
      <c r="T614" s="68" t="s">
        <v>26867</v>
      </c>
      <c r="U614" s="68" t="s">
        <v>26572</v>
      </c>
      <c r="V614" s="68" t="s">
        <v>26571</v>
      </c>
      <c r="W614" s="68" t="s">
        <v>94</v>
      </c>
      <c r="X614" s="68">
        <v>4782</v>
      </c>
      <c r="Z614" s="68" t="s">
        <v>42966</v>
      </c>
      <c r="AA614" s="33">
        <v>7054</v>
      </c>
    </row>
    <row r="615" spans="1:27" ht="12" customHeight="1" x14ac:dyDescent="0.15">
      <c r="A615" s="10" t="s">
        <v>40606</v>
      </c>
      <c r="B615" s="99">
        <v>20</v>
      </c>
      <c r="C615" s="10" t="s">
        <v>14</v>
      </c>
      <c r="D615" s="10" t="s">
        <v>79</v>
      </c>
      <c r="E615" s="64" t="s">
        <v>40607</v>
      </c>
      <c r="F615" s="67">
        <v>43628</v>
      </c>
      <c r="G615" s="10" t="s">
        <v>40608</v>
      </c>
      <c r="H615" s="10" t="s">
        <v>1116</v>
      </c>
      <c r="I615" s="10" t="s">
        <v>298</v>
      </c>
      <c r="J615" s="65">
        <v>38127</v>
      </c>
      <c r="K615" s="70" t="s">
        <v>1117</v>
      </c>
      <c r="L615" s="10" t="s">
        <v>5161</v>
      </c>
      <c r="M615" s="10" t="s">
        <v>21</v>
      </c>
      <c r="N615" s="10" t="s">
        <v>40609</v>
      </c>
      <c r="O615" s="10" t="s">
        <v>372</v>
      </c>
      <c r="P615" s="1" t="s">
        <v>30089</v>
      </c>
      <c r="Q615" s="64" t="s">
        <v>40610</v>
      </c>
      <c r="R615" s="10" t="s">
        <v>94</v>
      </c>
      <c r="S615" s="63" t="s">
        <v>351</v>
      </c>
      <c r="T615" s="68" t="s">
        <v>26867</v>
      </c>
      <c r="U615" s="68" t="s">
        <v>26572</v>
      </c>
      <c r="V615" s="68" t="s">
        <v>26574</v>
      </c>
      <c r="W615" s="68" t="s">
        <v>94</v>
      </c>
      <c r="X615" s="68">
        <v>4780</v>
      </c>
      <c r="Z615" s="68" t="s">
        <v>42968</v>
      </c>
      <c r="AA615" s="33">
        <v>7053</v>
      </c>
    </row>
    <row r="616" spans="1:27" ht="12" customHeight="1" x14ac:dyDescent="0.15">
      <c r="A616" s="10" t="s">
        <v>42095</v>
      </c>
      <c r="B616" s="99">
        <v>35</v>
      </c>
      <c r="C616" s="10" t="s">
        <v>14</v>
      </c>
      <c r="D616" s="10" t="s">
        <v>42</v>
      </c>
      <c r="E616" s="64" t="s">
        <v>42096</v>
      </c>
      <c r="F616" s="67">
        <v>43628</v>
      </c>
      <c r="G616" s="10" t="s">
        <v>42097</v>
      </c>
      <c r="H616" s="10" t="s">
        <v>266</v>
      </c>
      <c r="I616" s="10" t="s">
        <v>67</v>
      </c>
      <c r="J616" s="65">
        <v>75229</v>
      </c>
      <c r="K616" s="10" t="s">
        <v>266</v>
      </c>
      <c r="L616" s="10" t="s">
        <v>36378</v>
      </c>
      <c r="M616" s="10" t="s">
        <v>21</v>
      </c>
      <c r="N616" s="10" t="s">
        <v>42098</v>
      </c>
      <c r="O616" s="10" t="s">
        <v>372</v>
      </c>
      <c r="P616" s="1" t="s">
        <v>30089</v>
      </c>
      <c r="Q616" s="64" t="s">
        <v>42099</v>
      </c>
      <c r="R616" s="10" t="s">
        <v>94</v>
      </c>
      <c r="S616" s="63" t="s">
        <v>29</v>
      </c>
      <c r="T616" s="34" t="s">
        <v>41840</v>
      </c>
      <c r="U616" s="34" t="s">
        <v>26570</v>
      </c>
      <c r="V616" s="68"/>
      <c r="W616" s="68"/>
      <c r="X616" s="68"/>
      <c r="Z616" s="68" t="s">
        <v>42968</v>
      </c>
      <c r="AA616" s="33">
        <v>7052</v>
      </c>
    </row>
    <row r="617" spans="1:27" ht="12" customHeight="1" x14ac:dyDescent="0.15">
      <c r="A617" s="63" t="s">
        <v>42313</v>
      </c>
      <c r="B617" s="101">
        <v>52</v>
      </c>
      <c r="C617" s="10" t="s">
        <v>14</v>
      </c>
      <c r="D617" s="10" t="s">
        <v>24</v>
      </c>
      <c r="E617" s="10"/>
      <c r="F617" s="67">
        <v>43627</v>
      </c>
      <c r="G617" s="10" t="s">
        <v>42314</v>
      </c>
      <c r="H617" s="10" t="s">
        <v>728</v>
      </c>
      <c r="I617" s="10" t="s">
        <v>39</v>
      </c>
      <c r="J617" s="65">
        <v>92503</v>
      </c>
      <c r="K617" s="70" t="s">
        <v>728</v>
      </c>
      <c r="L617" s="10" t="s">
        <v>729</v>
      </c>
      <c r="M617" s="10" t="s">
        <v>21</v>
      </c>
      <c r="N617" s="10" t="s">
        <v>42315</v>
      </c>
      <c r="O617" s="10" t="s">
        <v>372</v>
      </c>
      <c r="P617" s="1" t="s">
        <v>30089</v>
      </c>
      <c r="Q617" s="64" t="s">
        <v>42316</v>
      </c>
      <c r="R617" s="10" t="s">
        <v>94</v>
      </c>
      <c r="S617" s="63" t="s">
        <v>22</v>
      </c>
      <c r="T617" s="34" t="s">
        <v>26781</v>
      </c>
      <c r="U617" s="34" t="s">
        <v>26572</v>
      </c>
      <c r="V617" s="68"/>
      <c r="W617" s="68"/>
      <c r="X617" s="68"/>
      <c r="Z617" s="68" t="s">
        <v>42968</v>
      </c>
      <c r="AA617" s="33">
        <v>7046</v>
      </c>
    </row>
    <row r="618" spans="1:27" ht="12" customHeight="1" x14ac:dyDescent="0.15">
      <c r="A618" s="10" t="s">
        <v>39407</v>
      </c>
      <c r="B618" s="99">
        <v>27</v>
      </c>
      <c r="C618" s="10" t="s">
        <v>14</v>
      </c>
      <c r="D618" s="10" t="s">
        <v>79</v>
      </c>
      <c r="E618" s="10"/>
      <c r="F618" s="67">
        <v>43627</v>
      </c>
      <c r="G618" s="10" t="s">
        <v>39408</v>
      </c>
      <c r="H618" s="10" t="s">
        <v>39409</v>
      </c>
      <c r="I618" s="10" t="s">
        <v>367</v>
      </c>
      <c r="J618" s="65">
        <v>74953</v>
      </c>
      <c r="K618" s="10" t="s">
        <v>39410</v>
      </c>
      <c r="L618" s="10" t="s">
        <v>39411</v>
      </c>
      <c r="M618" s="10" t="s">
        <v>21</v>
      </c>
      <c r="N618" s="10" t="s">
        <v>39412</v>
      </c>
      <c r="O618" s="10" t="s">
        <v>372</v>
      </c>
      <c r="P618" s="1" t="s">
        <v>30089</v>
      </c>
      <c r="Q618" s="64" t="s">
        <v>39413</v>
      </c>
      <c r="R618" s="10" t="s">
        <v>94</v>
      </c>
      <c r="S618" s="63" t="s">
        <v>22</v>
      </c>
      <c r="T618" s="68" t="s">
        <v>26774</v>
      </c>
      <c r="U618" s="68" t="s">
        <v>26572</v>
      </c>
      <c r="V618" s="68" t="s">
        <v>26573</v>
      </c>
      <c r="W618" s="68" t="s">
        <v>94</v>
      </c>
      <c r="X618" s="68">
        <v>4777</v>
      </c>
      <c r="Z618" s="68" t="s">
        <v>42967</v>
      </c>
      <c r="AA618" s="33">
        <v>7047</v>
      </c>
    </row>
    <row r="619" spans="1:27" ht="12" customHeight="1" x14ac:dyDescent="0.15">
      <c r="A619" s="10" t="s">
        <v>42100</v>
      </c>
      <c r="B619" s="99">
        <v>56</v>
      </c>
      <c r="C619" s="10" t="s">
        <v>14</v>
      </c>
      <c r="D619" s="10" t="s">
        <v>42</v>
      </c>
      <c r="E619" s="63"/>
      <c r="F619" s="67">
        <v>43627</v>
      </c>
      <c r="G619" s="10" t="s">
        <v>42101</v>
      </c>
      <c r="H619" s="10" t="s">
        <v>229</v>
      </c>
      <c r="I619" s="10" t="s">
        <v>39</v>
      </c>
      <c r="J619" s="65">
        <v>94577</v>
      </c>
      <c r="K619" s="10" t="s">
        <v>558</v>
      </c>
      <c r="L619" s="10" t="s">
        <v>5134</v>
      </c>
      <c r="M619" s="10" t="s">
        <v>21</v>
      </c>
      <c r="N619" s="10" t="s">
        <v>42102</v>
      </c>
      <c r="O619" s="10" t="s">
        <v>372</v>
      </c>
      <c r="P619" s="1" t="s">
        <v>30089</v>
      </c>
      <c r="Q619" s="64" t="s">
        <v>42103</v>
      </c>
      <c r="R619" s="10" t="s">
        <v>94</v>
      </c>
      <c r="S619" s="63" t="s">
        <v>12</v>
      </c>
      <c r="T619" s="34" t="s">
        <v>29705</v>
      </c>
      <c r="U619" s="34" t="s">
        <v>26570</v>
      </c>
      <c r="V619" s="68"/>
      <c r="W619" s="68"/>
      <c r="X619" s="68"/>
      <c r="Z619" s="68" t="s">
        <v>42968</v>
      </c>
      <c r="AA619" s="33">
        <v>7050</v>
      </c>
    </row>
    <row r="620" spans="1:27" ht="12" customHeight="1" x14ac:dyDescent="0.15">
      <c r="A620" s="10" t="s">
        <v>40504</v>
      </c>
      <c r="B620" s="99">
        <v>61</v>
      </c>
      <c r="C620" s="10" t="s">
        <v>14</v>
      </c>
      <c r="D620" s="10" t="s">
        <v>31</v>
      </c>
      <c r="E620" s="64" t="s">
        <v>40505</v>
      </c>
      <c r="F620" s="67">
        <v>43627</v>
      </c>
      <c r="G620" s="10" t="s">
        <v>40506</v>
      </c>
      <c r="H620" s="10" t="s">
        <v>40507</v>
      </c>
      <c r="I620" s="10" t="s">
        <v>67</v>
      </c>
      <c r="J620" s="65">
        <v>75431</v>
      </c>
      <c r="K620" s="10" t="s">
        <v>3538</v>
      </c>
      <c r="L620" s="10" t="s">
        <v>40508</v>
      </c>
      <c r="M620" s="10" t="s">
        <v>21</v>
      </c>
      <c r="N620" s="10" t="s">
        <v>40509</v>
      </c>
      <c r="O620" s="10" t="s">
        <v>372</v>
      </c>
      <c r="P620" s="1" t="s">
        <v>30089</v>
      </c>
      <c r="Q620" s="64" t="s">
        <v>40510</v>
      </c>
      <c r="R620" s="10" t="s">
        <v>94</v>
      </c>
      <c r="S620" s="63" t="s">
        <v>29</v>
      </c>
      <c r="T620" s="68" t="s">
        <v>26576</v>
      </c>
      <c r="U620" s="68" t="s">
        <v>26570</v>
      </c>
      <c r="V620" s="68" t="s">
        <v>26573</v>
      </c>
      <c r="W620" s="68" t="s">
        <v>94</v>
      </c>
      <c r="X620" s="68">
        <v>4787</v>
      </c>
      <c r="Z620" s="68" t="s">
        <v>42967</v>
      </c>
      <c r="AA620" s="33">
        <v>7051</v>
      </c>
    </row>
    <row r="621" spans="1:27" ht="12" customHeight="1" x14ac:dyDescent="0.15">
      <c r="A621" s="10" t="s">
        <v>42011</v>
      </c>
      <c r="B621" s="99">
        <v>40</v>
      </c>
      <c r="C621" s="10" t="s">
        <v>14</v>
      </c>
      <c r="D621" s="10" t="s">
        <v>31</v>
      </c>
      <c r="E621" s="64" t="s">
        <v>42012</v>
      </c>
      <c r="F621" s="67">
        <v>43627</v>
      </c>
      <c r="G621" s="10" t="s">
        <v>42013</v>
      </c>
      <c r="H621" s="10" t="s">
        <v>143</v>
      </c>
      <c r="I621" s="10" t="s">
        <v>39</v>
      </c>
      <c r="J621" s="65">
        <v>92106</v>
      </c>
      <c r="K621" s="10" t="s">
        <v>143</v>
      </c>
      <c r="L621" s="10" t="s">
        <v>144</v>
      </c>
      <c r="M621" s="10" t="s">
        <v>2909</v>
      </c>
      <c r="N621" s="10" t="s">
        <v>42014</v>
      </c>
      <c r="O621" s="10" t="s">
        <v>372</v>
      </c>
      <c r="P621" s="1" t="s">
        <v>30089</v>
      </c>
      <c r="Q621" s="64" t="s">
        <v>42015</v>
      </c>
      <c r="R621" s="10" t="s">
        <v>23</v>
      </c>
      <c r="S621" s="63" t="s">
        <v>12</v>
      </c>
      <c r="T621" s="34" t="s">
        <v>29705</v>
      </c>
      <c r="U621" s="34" t="s">
        <v>26575</v>
      </c>
      <c r="V621" s="68"/>
      <c r="W621" s="68"/>
      <c r="X621" s="68"/>
      <c r="Z621" s="68" t="s">
        <v>42968</v>
      </c>
      <c r="AA621" s="33">
        <v>7049</v>
      </c>
    </row>
    <row r="622" spans="1:27" ht="12" customHeight="1" x14ac:dyDescent="0.15">
      <c r="A622" s="10" t="s">
        <v>41596</v>
      </c>
      <c r="B622" s="99">
        <v>40</v>
      </c>
      <c r="C622" s="10" t="s">
        <v>14</v>
      </c>
      <c r="D622" s="10" t="s">
        <v>42</v>
      </c>
      <c r="E622" s="64" t="s">
        <v>41597</v>
      </c>
      <c r="F622" s="67">
        <v>43627</v>
      </c>
      <c r="G622" s="10" t="s">
        <v>41598</v>
      </c>
      <c r="H622" s="10" t="s">
        <v>997</v>
      </c>
      <c r="I622" s="10" t="s">
        <v>56</v>
      </c>
      <c r="J622" s="65">
        <v>32822</v>
      </c>
      <c r="K622" s="10" t="s">
        <v>998</v>
      </c>
      <c r="L622" s="10" t="s">
        <v>4077</v>
      </c>
      <c r="M622" s="10" t="s">
        <v>21</v>
      </c>
      <c r="N622" s="10" t="s">
        <v>41599</v>
      </c>
      <c r="O622" s="10" t="s">
        <v>372</v>
      </c>
      <c r="P622" s="1" t="s">
        <v>30089</v>
      </c>
      <c r="Q622" s="64" t="s">
        <v>41600</v>
      </c>
      <c r="R622" s="10" t="s">
        <v>512</v>
      </c>
      <c r="S622" s="63" t="s">
        <v>29</v>
      </c>
      <c r="T622" s="68" t="s">
        <v>41601</v>
      </c>
      <c r="U622" s="68" t="s">
        <v>26572</v>
      </c>
      <c r="V622" s="68" t="s">
        <v>26573</v>
      </c>
      <c r="W622" s="68" t="s">
        <v>94</v>
      </c>
      <c r="X622" s="68">
        <v>4781</v>
      </c>
      <c r="Z622" s="68" t="s">
        <v>42968</v>
      </c>
      <c r="AA622" s="33">
        <v>7045</v>
      </c>
    </row>
    <row r="623" spans="1:27" ht="12" customHeight="1" x14ac:dyDescent="0.15">
      <c r="A623" s="10" t="s">
        <v>41488</v>
      </c>
      <c r="B623" s="99">
        <v>32</v>
      </c>
      <c r="C623" s="10" t="s">
        <v>14</v>
      </c>
      <c r="D623" s="68" t="s">
        <v>31</v>
      </c>
      <c r="E623" s="63"/>
      <c r="F623" s="67">
        <v>43627</v>
      </c>
      <c r="G623" s="10" t="s">
        <v>41489</v>
      </c>
      <c r="H623" s="10" t="s">
        <v>41490</v>
      </c>
      <c r="I623" s="10" t="s">
        <v>409</v>
      </c>
      <c r="J623" s="65">
        <v>54410</v>
      </c>
      <c r="K623" s="70" t="s">
        <v>10995</v>
      </c>
      <c r="L623" s="10" t="s">
        <v>29909</v>
      </c>
      <c r="M623" s="10" t="s">
        <v>21</v>
      </c>
      <c r="N623" s="10" t="s">
        <v>41491</v>
      </c>
      <c r="O623" s="10" t="s">
        <v>372</v>
      </c>
      <c r="P623" s="1" t="s">
        <v>30089</v>
      </c>
      <c r="Q623" s="64" t="s">
        <v>41492</v>
      </c>
      <c r="R623" s="10" t="s">
        <v>512</v>
      </c>
      <c r="S623" s="63" t="s">
        <v>22</v>
      </c>
      <c r="T623" s="68" t="s">
        <v>26774</v>
      </c>
      <c r="U623" s="68" t="s">
        <v>26572</v>
      </c>
      <c r="V623" s="68" t="s">
        <v>26573</v>
      </c>
      <c r="W623" s="68" t="s">
        <v>94</v>
      </c>
      <c r="X623" s="68">
        <v>4904</v>
      </c>
      <c r="Z623" s="68" t="s">
        <v>42967</v>
      </c>
      <c r="AA623" s="33">
        <v>7048</v>
      </c>
    </row>
    <row r="624" spans="1:27" ht="12" customHeight="1" x14ac:dyDescent="0.15">
      <c r="A624" s="10" t="s">
        <v>40680</v>
      </c>
      <c r="B624" s="99">
        <v>32</v>
      </c>
      <c r="C624" s="10" t="s">
        <v>14</v>
      </c>
      <c r="D624" s="10" t="s">
        <v>31</v>
      </c>
      <c r="E624" s="64" t="s">
        <v>40681</v>
      </c>
      <c r="F624" s="67">
        <v>43626</v>
      </c>
      <c r="G624" s="10" t="s">
        <v>40682</v>
      </c>
      <c r="H624" s="10" t="s">
        <v>40683</v>
      </c>
      <c r="I624" s="10" t="s">
        <v>298</v>
      </c>
      <c r="J624" s="65">
        <v>37660</v>
      </c>
      <c r="K624" s="10" t="s">
        <v>2679</v>
      </c>
      <c r="L624" s="10" t="s">
        <v>13318</v>
      </c>
      <c r="M624" s="10" t="s">
        <v>21</v>
      </c>
      <c r="N624" s="10" t="s">
        <v>40684</v>
      </c>
      <c r="O624" s="10" t="s">
        <v>372</v>
      </c>
      <c r="P624" s="1" t="s">
        <v>30089</v>
      </c>
      <c r="Q624" s="64" t="s">
        <v>40685</v>
      </c>
      <c r="R624" s="10" t="s">
        <v>94</v>
      </c>
      <c r="S624" s="63" t="s">
        <v>351</v>
      </c>
      <c r="T624" s="68" t="s">
        <v>26867</v>
      </c>
      <c r="U624" s="68" t="s">
        <v>26572</v>
      </c>
      <c r="V624" s="68" t="s">
        <v>26573</v>
      </c>
      <c r="W624" s="68" t="s">
        <v>94</v>
      </c>
      <c r="X624" s="68">
        <v>4771</v>
      </c>
      <c r="Z624" s="68" t="s">
        <v>42968</v>
      </c>
      <c r="AA624" s="33">
        <v>7044</v>
      </c>
    </row>
    <row r="625" spans="1:27" ht="12" customHeight="1" x14ac:dyDescent="0.15">
      <c r="A625" s="10" t="s">
        <v>40917</v>
      </c>
      <c r="B625" s="99">
        <v>19</v>
      </c>
      <c r="C625" s="10" t="s">
        <v>14</v>
      </c>
      <c r="D625" s="10" t="s">
        <v>79</v>
      </c>
      <c r="E625" s="64" t="s">
        <v>40918</v>
      </c>
      <c r="F625" s="67">
        <v>43626</v>
      </c>
      <c r="G625" s="10" t="s">
        <v>40919</v>
      </c>
      <c r="H625" s="10" t="s">
        <v>10040</v>
      </c>
      <c r="I625" s="10" t="s">
        <v>367</v>
      </c>
      <c r="J625" s="65">
        <v>73505</v>
      </c>
      <c r="K625" s="70" t="s">
        <v>10042</v>
      </c>
      <c r="L625" s="10" t="s">
        <v>10043</v>
      </c>
      <c r="M625" s="10" t="s">
        <v>21</v>
      </c>
      <c r="N625" s="10" t="s">
        <v>40920</v>
      </c>
      <c r="O625" s="10" t="s">
        <v>372</v>
      </c>
      <c r="P625" s="1" t="s">
        <v>30089</v>
      </c>
      <c r="Q625" s="64" t="s">
        <v>40921</v>
      </c>
      <c r="R625" s="10" t="s">
        <v>512</v>
      </c>
      <c r="S625" s="63" t="s">
        <v>22</v>
      </c>
      <c r="T625" s="68" t="s">
        <v>26781</v>
      </c>
      <c r="U625" s="68" t="s">
        <v>26570</v>
      </c>
      <c r="V625" s="68" t="s">
        <v>26571</v>
      </c>
      <c r="W625" s="68" t="s">
        <v>94</v>
      </c>
      <c r="X625" s="68">
        <v>4779</v>
      </c>
      <c r="Z625" s="68" t="s">
        <v>42968</v>
      </c>
      <c r="AA625" s="33">
        <v>7042</v>
      </c>
    </row>
    <row r="626" spans="1:27" ht="12" customHeight="1" x14ac:dyDescent="0.15">
      <c r="A626" s="10" t="s">
        <v>37452</v>
      </c>
      <c r="B626" s="101">
        <v>24</v>
      </c>
      <c r="C626" s="63" t="s">
        <v>14</v>
      </c>
      <c r="D626" s="68" t="s">
        <v>79</v>
      </c>
      <c r="E626" s="75" t="s">
        <v>37453</v>
      </c>
      <c r="F626" s="67">
        <v>43626</v>
      </c>
      <c r="G626" s="10" t="s">
        <v>37454</v>
      </c>
      <c r="H626" s="10" t="s">
        <v>1027</v>
      </c>
      <c r="I626" s="10" t="s">
        <v>367</v>
      </c>
      <c r="J626" s="65">
        <v>73117</v>
      </c>
      <c r="K626" s="10" t="s">
        <v>1028</v>
      </c>
      <c r="L626" s="10" t="s">
        <v>1029</v>
      </c>
      <c r="M626" s="10" t="s">
        <v>21</v>
      </c>
      <c r="N626" s="10" t="s">
        <v>37455</v>
      </c>
      <c r="O626" s="10" t="s">
        <v>372</v>
      </c>
      <c r="P626" s="1" t="s">
        <v>30089</v>
      </c>
      <c r="Q626" s="64" t="s">
        <v>37456</v>
      </c>
      <c r="R626" s="10" t="s">
        <v>94</v>
      </c>
      <c r="S626" s="63" t="s">
        <v>22</v>
      </c>
      <c r="T626" s="68" t="s">
        <v>26781</v>
      </c>
      <c r="U626" s="68" t="s">
        <v>26570</v>
      </c>
      <c r="V626" s="68" t="s">
        <v>26573</v>
      </c>
      <c r="W626" s="68" t="s">
        <v>512</v>
      </c>
      <c r="X626" s="68">
        <v>4778</v>
      </c>
      <c r="Z626" s="68" t="s">
        <v>42966</v>
      </c>
      <c r="AA626" s="33">
        <v>7041</v>
      </c>
    </row>
    <row r="627" spans="1:27" ht="12" customHeight="1" x14ac:dyDescent="0.15">
      <c r="A627" s="10" t="s">
        <v>41950</v>
      </c>
      <c r="B627" s="101">
        <v>58</v>
      </c>
      <c r="C627" s="10" t="s">
        <v>14</v>
      </c>
      <c r="D627" s="10" t="s">
        <v>31</v>
      </c>
      <c r="E627" s="63"/>
      <c r="F627" s="67">
        <v>43626</v>
      </c>
      <c r="G627" s="10" t="s">
        <v>41951</v>
      </c>
      <c r="H627" s="10" t="s">
        <v>41952</v>
      </c>
      <c r="I627" s="10" t="s">
        <v>294</v>
      </c>
      <c r="J627" s="65">
        <v>41701</v>
      </c>
      <c r="K627" s="10" t="s">
        <v>2319</v>
      </c>
      <c r="L627" s="10" t="s">
        <v>18258</v>
      </c>
      <c r="M627" s="10" t="s">
        <v>21</v>
      </c>
      <c r="N627" s="10" t="s">
        <v>41953</v>
      </c>
      <c r="O627" s="10" t="s">
        <v>372</v>
      </c>
      <c r="P627" s="1" t="s">
        <v>30089</v>
      </c>
      <c r="Q627" s="64" t="s">
        <v>41954</v>
      </c>
      <c r="R627" s="10" t="s">
        <v>94</v>
      </c>
      <c r="S627" s="63" t="s">
        <v>22</v>
      </c>
      <c r="T627" s="34" t="s">
        <v>26781</v>
      </c>
      <c r="U627" s="34" t="s">
        <v>26572</v>
      </c>
      <c r="V627" s="68"/>
      <c r="W627" s="68"/>
      <c r="X627" s="68"/>
      <c r="Z627" s="68" t="s">
        <v>42967</v>
      </c>
      <c r="AA627" s="33">
        <v>7043</v>
      </c>
    </row>
    <row r="628" spans="1:27" ht="12" customHeight="1" x14ac:dyDescent="0.15">
      <c r="A628" s="10" t="s">
        <v>42317</v>
      </c>
      <c r="B628" s="99">
        <v>30</v>
      </c>
      <c r="C628" s="10" t="s">
        <v>14</v>
      </c>
      <c r="D628" s="10" t="s">
        <v>24</v>
      </c>
      <c r="E628" s="10"/>
      <c r="F628" s="67">
        <v>43625</v>
      </c>
      <c r="G628" s="10" t="s">
        <v>42318</v>
      </c>
      <c r="H628" s="10" t="s">
        <v>1107</v>
      </c>
      <c r="I628" s="10" t="s">
        <v>67</v>
      </c>
      <c r="J628" s="65">
        <v>75115</v>
      </c>
      <c r="K628" s="10" t="s">
        <v>266</v>
      </c>
      <c r="L628" s="10" t="s">
        <v>2683</v>
      </c>
      <c r="M628" s="10" t="s">
        <v>21</v>
      </c>
      <c r="N628" s="10" t="s">
        <v>42319</v>
      </c>
      <c r="O628" s="10" t="s">
        <v>372</v>
      </c>
      <c r="P628" s="1" t="s">
        <v>30089</v>
      </c>
      <c r="Q628" s="64" t="s">
        <v>42320</v>
      </c>
      <c r="R628" s="10" t="s">
        <v>94</v>
      </c>
      <c r="S628" s="63" t="s">
        <v>22</v>
      </c>
      <c r="T628" s="34" t="s">
        <v>26781</v>
      </c>
      <c r="U628" s="34" t="s">
        <v>26572</v>
      </c>
      <c r="V628" s="68"/>
      <c r="W628" s="68"/>
      <c r="X628" s="68"/>
      <c r="Z628" s="68" t="s">
        <v>42968</v>
      </c>
      <c r="AA628" s="33">
        <v>7039</v>
      </c>
    </row>
    <row r="629" spans="1:27" ht="12" customHeight="1" x14ac:dyDescent="0.15">
      <c r="A629" s="10" t="s">
        <v>38727</v>
      </c>
      <c r="B629" s="99">
        <v>32</v>
      </c>
      <c r="C629" s="10" t="s">
        <v>14</v>
      </c>
      <c r="D629" s="10" t="s">
        <v>42</v>
      </c>
      <c r="E629" s="63"/>
      <c r="F629" s="67">
        <v>43625</v>
      </c>
      <c r="G629" s="10" t="s">
        <v>38728</v>
      </c>
      <c r="H629" s="10" t="s">
        <v>12874</v>
      </c>
      <c r="I629" s="10" t="s">
        <v>39</v>
      </c>
      <c r="J629" s="65">
        <v>92584</v>
      </c>
      <c r="K629" s="70" t="s">
        <v>728</v>
      </c>
      <c r="L629" s="10" t="s">
        <v>729</v>
      </c>
      <c r="M629" s="10" t="s">
        <v>21</v>
      </c>
      <c r="N629" s="10" t="s">
        <v>38729</v>
      </c>
      <c r="O629" s="10" t="s">
        <v>372</v>
      </c>
      <c r="P629" s="1" t="s">
        <v>30089</v>
      </c>
      <c r="Q629" s="64" t="s">
        <v>38730</v>
      </c>
      <c r="R629" s="10" t="s">
        <v>94</v>
      </c>
      <c r="S629" s="63" t="s">
        <v>22</v>
      </c>
      <c r="T629" s="68" t="s">
        <v>26781</v>
      </c>
      <c r="U629" s="68" t="s">
        <v>26572</v>
      </c>
      <c r="V629" s="68" t="s">
        <v>26571</v>
      </c>
      <c r="W629" s="68" t="s">
        <v>94</v>
      </c>
      <c r="X629" s="68">
        <v>4833</v>
      </c>
      <c r="Z629" s="68" t="s">
        <v>42968</v>
      </c>
      <c r="AA629" s="33">
        <v>7038</v>
      </c>
    </row>
    <row r="630" spans="1:27" ht="12" customHeight="1" x14ac:dyDescent="0.15">
      <c r="A630" s="10" t="s">
        <v>38165</v>
      </c>
      <c r="B630" s="99">
        <v>41</v>
      </c>
      <c r="C630" s="10" t="s">
        <v>14</v>
      </c>
      <c r="D630" s="10" t="s">
        <v>31</v>
      </c>
      <c r="E630" s="63"/>
      <c r="F630" s="67">
        <v>43625</v>
      </c>
      <c r="G630" s="10" t="s">
        <v>38166</v>
      </c>
      <c r="H630" s="10" t="s">
        <v>14189</v>
      </c>
      <c r="I630" s="10" t="s">
        <v>918</v>
      </c>
      <c r="J630" s="65">
        <v>72153</v>
      </c>
      <c r="K630" s="70" t="s">
        <v>6106</v>
      </c>
      <c r="L630" s="10" t="s">
        <v>6107</v>
      </c>
      <c r="M630" s="10" t="s">
        <v>21</v>
      </c>
      <c r="N630" s="10" t="s">
        <v>38167</v>
      </c>
      <c r="O630" s="10" t="s">
        <v>372</v>
      </c>
      <c r="P630" s="1" t="s">
        <v>30089</v>
      </c>
      <c r="Q630" s="64" t="s">
        <v>38168</v>
      </c>
      <c r="R630" s="10" t="s">
        <v>94</v>
      </c>
      <c r="S630" s="63" t="s">
        <v>22</v>
      </c>
      <c r="T630" s="68" t="s">
        <v>26781</v>
      </c>
      <c r="U630" s="68" t="s">
        <v>26572</v>
      </c>
      <c r="V630" s="68" t="s">
        <v>26573</v>
      </c>
      <c r="W630" s="68" t="s">
        <v>94</v>
      </c>
      <c r="X630" s="68">
        <v>4832</v>
      </c>
      <c r="Z630" s="68" t="s">
        <v>42967</v>
      </c>
      <c r="AA630" s="33">
        <v>7037</v>
      </c>
    </row>
    <row r="631" spans="1:27" ht="12" customHeight="1" x14ac:dyDescent="0.15">
      <c r="A631" s="10" t="s">
        <v>39531</v>
      </c>
      <c r="B631" s="99">
        <v>38</v>
      </c>
      <c r="C631" s="10" t="s">
        <v>14</v>
      </c>
      <c r="D631" s="10" t="s">
        <v>31</v>
      </c>
      <c r="E631" s="64" t="s">
        <v>39532</v>
      </c>
      <c r="F631" s="67">
        <v>43625</v>
      </c>
      <c r="G631" s="10" t="s">
        <v>39533</v>
      </c>
      <c r="H631" s="10" t="s">
        <v>1459</v>
      </c>
      <c r="I631" s="10" t="s">
        <v>106</v>
      </c>
      <c r="J631" s="65">
        <v>97209</v>
      </c>
      <c r="K631" s="10" t="s">
        <v>1461</v>
      </c>
      <c r="L631" s="10" t="s">
        <v>16039</v>
      </c>
      <c r="M631" s="10" t="s">
        <v>21</v>
      </c>
      <c r="N631" s="10" t="s">
        <v>39534</v>
      </c>
      <c r="O631" s="10" t="s">
        <v>372</v>
      </c>
      <c r="P631" s="1" t="s">
        <v>30089</v>
      </c>
      <c r="Q631" s="64" t="s">
        <v>39535</v>
      </c>
      <c r="R631" s="10" t="s">
        <v>94</v>
      </c>
      <c r="S631" s="63" t="s">
        <v>22</v>
      </c>
      <c r="T631" s="68" t="s">
        <v>26774</v>
      </c>
      <c r="U631" s="68" t="s">
        <v>26570</v>
      </c>
      <c r="V631" s="68" t="s">
        <v>26573</v>
      </c>
      <c r="W631" s="68" t="s">
        <v>94</v>
      </c>
      <c r="X631" s="68">
        <v>4770</v>
      </c>
      <c r="Z631" s="68" t="s">
        <v>42966</v>
      </c>
      <c r="AA631" s="33">
        <v>7040</v>
      </c>
    </row>
    <row r="632" spans="1:27" ht="12" customHeight="1" x14ac:dyDescent="0.15">
      <c r="A632" s="10" t="s">
        <v>37438</v>
      </c>
      <c r="B632" s="99">
        <v>20</v>
      </c>
      <c r="C632" s="10" t="s">
        <v>14</v>
      </c>
      <c r="D632" s="10" t="s">
        <v>79</v>
      </c>
      <c r="E632" s="64" t="s">
        <v>37439</v>
      </c>
      <c r="F632" s="67">
        <v>43625</v>
      </c>
      <c r="G632" s="10" t="s">
        <v>37440</v>
      </c>
      <c r="H632" s="10" t="s">
        <v>870</v>
      </c>
      <c r="I632" s="10" t="s">
        <v>67</v>
      </c>
      <c r="J632" s="65">
        <v>76119</v>
      </c>
      <c r="K632" s="10" t="s">
        <v>68</v>
      </c>
      <c r="L632" s="10" t="s">
        <v>871</v>
      </c>
      <c r="M632" s="10" t="s">
        <v>21</v>
      </c>
      <c r="N632" s="10" t="s">
        <v>37441</v>
      </c>
      <c r="O632" s="10" t="s">
        <v>372</v>
      </c>
      <c r="P632" s="1" t="s">
        <v>30089</v>
      </c>
      <c r="Q632" s="64" t="s">
        <v>37442</v>
      </c>
      <c r="R632" s="10" t="s">
        <v>94</v>
      </c>
      <c r="S632" s="63" t="s">
        <v>22</v>
      </c>
      <c r="T632" s="68" t="s">
        <v>26781</v>
      </c>
      <c r="U632" s="68" t="s">
        <v>26570</v>
      </c>
      <c r="V632" s="68" t="s">
        <v>26574</v>
      </c>
      <c r="W632" s="68" t="s">
        <v>94</v>
      </c>
      <c r="X632" s="68">
        <v>4768</v>
      </c>
      <c r="Z632" s="68" t="s">
        <v>42968</v>
      </c>
      <c r="AA632" s="33">
        <v>7036</v>
      </c>
    </row>
    <row r="633" spans="1:27" ht="12" customHeight="1" x14ac:dyDescent="0.15">
      <c r="A633" s="10" t="s">
        <v>37443</v>
      </c>
      <c r="B633" s="99">
        <v>40</v>
      </c>
      <c r="C633" s="10" t="s">
        <v>14</v>
      </c>
      <c r="D633" s="10" t="s">
        <v>79</v>
      </c>
      <c r="E633" s="64" t="s">
        <v>37444</v>
      </c>
      <c r="F633" s="67">
        <v>43624</v>
      </c>
      <c r="G633" s="10" t="s">
        <v>37445</v>
      </c>
      <c r="H633" s="10" t="s">
        <v>8929</v>
      </c>
      <c r="I633" s="10" t="s">
        <v>56</v>
      </c>
      <c r="J633" s="65">
        <v>33755</v>
      </c>
      <c r="K633" s="10" t="s">
        <v>2152</v>
      </c>
      <c r="L633" s="10" t="s">
        <v>12189</v>
      </c>
      <c r="M633" s="10" t="s">
        <v>21</v>
      </c>
      <c r="N633" s="10" t="s">
        <v>37446</v>
      </c>
      <c r="O633" s="10" t="s">
        <v>372</v>
      </c>
      <c r="P633" s="1" t="s">
        <v>30089</v>
      </c>
      <c r="Q633" s="64" t="s">
        <v>37447</v>
      </c>
      <c r="R633" s="10" t="s">
        <v>94</v>
      </c>
      <c r="S633" s="63" t="s">
        <v>22</v>
      </c>
      <c r="T633" s="68" t="s">
        <v>26781</v>
      </c>
      <c r="U633" s="68" t="s">
        <v>26570</v>
      </c>
      <c r="V633" s="68" t="s">
        <v>26573</v>
      </c>
      <c r="W633" s="68" t="s">
        <v>94</v>
      </c>
      <c r="X633" s="68">
        <v>4769</v>
      </c>
      <c r="Z633" s="68" t="s">
        <v>42968</v>
      </c>
      <c r="AA633" s="33">
        <v>7035</v>
      </c>
    </row>
    <row r="634" spans="1:27" ht="12" customHeight="1" x14ac:dyDescent="0.15">
      <c r="A634" s="10" t="s">
        <v>40831</v>
      </c>
      <c r="B634" s="99">
        <v>33</v>
      </c>
      <c r="C634" s="10" t="s">
        <v>103</v>
      </c>
      <c r="D634" s="68" t="s">
        <v>42</v>
      </c>
      <c r="E634" s="63"/>
      <c r="F634" s="67">
        <v>43624</v>
      </c>
      <c r="G634" s="10" t="s">
        <v>40832</v>
      </c>
      <c r="H634" s="10" t="s">
        <v>183</v>
      </c>
      <c r="I634" s="10" t="s">
        <v>39</v>
      </c>
      <c r="J634" s="65">
        <v>93706</v>
      </c>
      <c r="K634" s="10" t="s">
        <v>183</v>
      </c>
      <c r="L634" s="10" t="s">
        <v>184</v>
      </c>
      <c r="M634" s="10" t="s">
        <v>21</v>
      </c>
      <c r="N634" s="10" t="s">
        <v>40833</v>
      </c>
      <c r="O634" s="10" t="s">
        <v>372</v>
      </c>
      <c r="P634" s="1" t="s">
        <v>30089</v>
      </c>
      <c r="Q634" s="64" t="s">
        <v>40834</v>
      </c>
      <c r="R634" s="10" t="s">
        <v>512</v>
      </c>
      <c r="S634" s="63" t="s">
        <v>22</v>
      </c>
      <c r="T634" s="68" t="s">
        <v>27020</v>
      </c>
      <c r="U634" s="68" t="s">
        <v>26572</v>
      </c>
      <c r="V634" s="68" t="s">
        <v>26573</v>
      </c>
      <c r="W634" s="68" t="s">
        <v>512</v>
      </c>
      <c r="X634" s="68">
        <v>4772</v>
      </c>
      <c r="Z634" s="68" t="s">
        <v>42968</v>
      </c>
      <c r="AA634" s="33">
        <v>7033</v>
      </c>
    </row>
    <row r="635" spans="1:27" ht="12" customHeight="1" x14ac:dyDescent="0.15">
      <c r="A635" s="10" t="s">
        <v>37164</v>
      </c>
      <c r="B635" s="99">
        <v>43</v>
      </c>
      <c r="C635" s="10" t="s">
        <v>14</v>
      </c>
      <c r="D635" s="10" t="s">
        <v>31</v>
      </c>
      <c r="E635" s="64" t="s">
        <v>37165</v>
      </c>
      <c r="F635" s="67">
        <v>43624</v>
      </c>
      <c r="G635" s="10" t="s">
        <v>37166</v>
      </c>
      <c r="H635" s="10" t="s">
        <v>866</v>
      </c>
      <c r="I635" s="10" t="s">
        <v>178</v>
      </c>
      <c r="J635" s="65">
        <v>87109</v>
      </c>
      <c r="K635" s="70" t="s">
        <v>433</v>
      </c>
      <c r="L635" s="10" t="s">
        <v>32193</v>
      </c>
      <c r="M635" s="10" t="s">
        <v>21</v>
      </c>
      <c r="N635" s="10" t="s">
        <v>37167</v>
      </c>
      <c r="O635" s="10" t="s">
        <v>372</v>
      </c>
      <c r="P635" s="1" t="s">
        <v>30089</v>
      </c>
      <c r="Q635" s="64" t="s">
        <v>37168</v>
      </c>
      <c r="R635" s="10" t="s">
        <v>94</v>
      </c>
      <c r="S635" s="68" t="s">
        <v>22</v>
      </c>
      <c r="T635" s="68" t="s">
        <v>26781</v>
      </c>
      <c r="U635" s="68"/>
      <c r="V635" s="68"/>
      <c r="W635" s="68"/>
      <c r="X635" s="68"/>
      <c r="Y635" s="33" t="s">
        <v>42476</v>
      </c>
      <c r="Z635" s="63" t="s">
        <v>42966</v>
      </c>
      <c r="AA635" s="33">
        <v>7034</v>
      </c>
    </row>
    <row r="636" spans="1:27" ht="12" customHeight="1" x14ac:dyDescent="0.15">
      <c r="A636" s="10" t="s">
        <v>38161</v>
      </c>
      <c r="B636" s="99">
        <v>46</v>
      </c>
      <c r="C636" s="10" t="s">
        <v>14</v>
      </c>
      <c r="D636" s="10" t="s">
        <v>31</v>
      </c>
      <c r="E636" s="63"/>
      <c r="F636" s="67">
        <v>43623</v>
      </c>
      <c r="G636" s="10" t="s">
        <v>38162</v>
      </c>
      <c r="H636" s="10" t="s">
        <v>6020</v>
      </c>
      <c r="I636" s="10" t="s">
        <v>298</v>
      </c>
      <c r="J636" s="65">
        <v>37620</v>
      </c>
      <c r="K636" s="10" t="s">
        <v>2679</v>
      </c>
      <c r="L636" s="10" t="s">
        <v>22395</v>
      </c>
      <c r="M636" s="10" t="s">
        <v>21</v>
      </c>
      <c r="N636" s="10" t="s">
        <v>38163</v>
      </c>
      <c r="O636" s="10" t="s">
        <v>372</v>
      </c>
      <c r="P636" s="1" t="s">
        <v>30089</v>
      </c>
      <c r="Q636" s="64" t="s">
        <v>38164</v>
      </c>
      <c r="R636" s="10" t="s">
        <v>94</v>
      </c>
      <c r="S636" s="63" t="s">
        <v>22</v>
      </c>
      <c r="T636" s="68" t="s">
        <v>26781</v>
      </c>
      <c r="U636" s="68" t="s">
        <v>26570</v>
      </c>
      <c r="V636" s="68" t="s">
        <v>26573</v>
      </c>
      <c r="W636" s="68" t="s">
        <v>94</v>
      </c>
      <c r="X636" s="68">
        <v>4831</v>
      </c>
      <c r="Z636" s="68" t="s">
        <v>42968</v>
      </c>
      <c r="AA636" s="33">
        <v>7032</v>
      </c>
    </row>
    <row r="637" spans="1:27" ht="12" customHeight="1" x14ac:dyDescent="0.15">
      <c r="A637" s="10" t="s">
        <v>40064</v>
      </c>
      <c r="B637" s="99">
        <v>24</v>
      </c>
      <c r="C637" s="10" t="s">
        <v>14</v>
      </c>
      <c r="D637" s="10" t="s">
        <v>79</v>
      </c>
      <c r="E637" s="63"/>
      <c r="F637" s="67">
        <v>43622</v>
      </c>
      <c r="G637" s="10" t="s">
        <v>40065</v>
      </c>
      <c r="H637" s="10" t="s">
        <v>40066</v>
      </c>
      <c r="I637" s="10" t="s">
        <v>39</v>
      </c>
      <c r="J637" s="65">
        <v>90061</v>
      </c>
      <c r="K637" s="70" t="s">
        <v>92</v>
      </c>
      <c r="L637" s="10" t="s">
        <v>386</v>
      </c>
      <c r="M637" s="10" t="s">
        <v>21</v>
      </c>
      <c r="N637" s="10" t="s">
        <v>40067</v>
      </c>
      <c r="O637" s="10" t="s">
        <v>372</v>
      </c>
      <c r="P637" s="1" t="s">
        <v>30089</v>
      </c>
      <c r="Q637" s="64" t="s">
        <v>40068</v>
      </c>
      <c r="R637" s="10" t="s">
        <v>94</v>
      </c>
      <c r="S637" s="63" t="s">
        <v>12</v>
      </c>
      <c r="T637" s="68" t="s">
        <v>29705</v>
      </c>
      <c r="U637" s="68" t="s">
        <v>26570</v>
      </c>
      <c r="V637" s="68" t="s">
        <v>26571</v>
      </c>
      <c r="W637" s="68" t="s">
        <v>94</v>
      </c>
      <c r="X637" s="68">
        <v>4773</v>
      </c>
      <c r="Z637" s="68" t="s">
        <v>42966</v>
      </c>
      <c r="AA637" s="33">
        <v>7031</v>
      </c>
    </row>
    <row r="638" spans="1:27" ht="12" customHeight="1" x14ac:dyDescent="0.15">
      <c r="A638" s="10" t="s">
        <v>38722</v>
      </c>
      <c r="B638" s="99">
        <v>35</v>
      </c>
      <c r="C638" s="10" t="s">
        <v>14</v>
      </c>
      <c r="D638" s="10" t="s">
        <v>42</v>
      </c>
      <c r="E638" s="64" t="s">
        <v>38723</v>
      </c>
      <c r="F638" s="67">
        <v>43622</v>
      </c>
      <c r="G638" s="10" t="s">
        <v>38724</v>
      </c>
      <c r="H638" s="10" t="s">
        <v>22664</v>
      </c>
      <c r="I638" s="10" t="s">
        <v>39</v>
      </c>
      <c r="J638" s="65">
        <v>91776</v>
      </c>
      <c r="K638" s="70" t="s">
        <v>92</v>
      </c>
      <c r="L638" s="10" t="s">
        <v>386</v>
      </c>
      <c r="M638" s="10" t="s">
        <v>21</v>
      </c>
      <c r="N638" s="10" t="s">
        <v>38725</v>
      </c>
      <c r="O638" s="10" t="s">
        <v>372</v>
      </c>
      <c r="P638" s="1" t="s">
        <v>30089</v>
      </c>
      <c r="Q638" s="64" t="s">
        <v>38726</v>
      </c>
      <c r="R638" s="10" t="s">
        <v>94</v>
      </c>
      <c r="S638" s="63" t="s">
        <v>22</v>
      </c>
      <c r="T638" s="68" t="s">
        <v>26781</v>
      </c>
      <c r="U638" s="68" t="s">
        <v>26572</v>
      </c>
      <c r="V638" s="68" t="s">
        <v>26573</v>
      </c>
      <c r="W638" s="68" t="s">
        <v>94</v>
      </c>
      <c r="X638" s="68">
        <v>4829</v>
      </c>
      <c r="Z638" s="68" t="s">
        <v>42966</v>
      </c>
      <c r="AA638" s="33">
        <v>7028</v>
      </c>
    </row>
    <row r="639" spans="1:27" ht="12" customHeight="1" x14ac:dyDescent="0.15">
      <c r="A639" s="10" t="s">
        <v>37467</v>
      </c>
      <c r="B639" s="99">
        <v>26</v>
      </c>
      <c r="C639" s="10" t="s">
        <v>14</v>
      </c>
      <c r="D639" s="10" t="s">
        <v>79</v>
      </c>
      <c r="E639" s="64" t="s">
        <v>37468</v>
      </c>
      <c r="F639" s="67">
        <v>43622</v>
      </c>
      <c r="G639" s="10" t="s">
        <v>37469</v>
      </c>
      <c r="H639" s="10" t="s">
        <v>661</v>
      </c>
      <c r="I639" s="10" t="s">
        <v>402</v>
      </c>
      <c r="J639" s="65">
        <v>63106</v>
      </c>
      <c r="K639" s="70" t="s">
        <v>29523</v>
      </c>
      <c r="L639" s="10" t="s">
        <v>37470</v>
      </c>
      <c r="M639" s="10" t="s">
        <v>21</v>
      </c>
      <c r="N639" s="10" t="s">
        <v>37471</v>
      </c>
      <c r="O639" s="10" t="s">
        <v>372</v>
      </c>
      <c r="P639" s="1" t="s">
        <v>30089</v>
      </c>
      <c r="Q639" s="64" t="s">
        <v>37472</v>
      </c>
      <c r="R639" s="10" t="s">
        <v>94</v>
      </c>
      <c r="S639" s="63" t="s">
        <v>22</v>
      </c>
      <c r="T639" s="68" t="s">
        <v>26781</v>
      </c>
      <c r="U639" s="68" t="s">
        <v>26572</v>
      </c>
      <c r="V639" s="68" t="s">
        <v>26574</v>
      </c>
      <c r="W639" s="68" t="s">
        <v>94</v>
      </c>
      <c r="X639" s="68">
        <v>4830</v>
      </c>
      <c r="Z639" s="68" t="s">
        <v>42966</v>
      </c>
      <c r="AA639" s="33">
        <v>7026</v>
      </c>
    </row>
    <row r="640" spans="1:27" ht="12" customHeight="1" x14ac:dyDescent="0.15">
      <c r="A640" s="10" t="s">
        <v>39858</v>
      </c>
      <c r="B640" s="99">
        <v>59</v>
      </c>
      <c r="C640" s="10" t="s">
        <v>14</v>
      </c>
      <c r="D640" s="10" t="s">
        <v>42</v>
      </c>
      <c r="E640" s="63"/>
      <c r="F640" s="67">
        <v>43622</v>
      </c>
      <c r="G640" s="10" t="s">
        <v>39859</v>
      </c>
      <c r="H640" s="10" t="s">
        <v>92</v>
      </c>
      <c r="I640" s="10" t="s">
        <v>39</v>
      </c>
      <c r="J640" s="65">
        <v>90039</v>
      </c>
      <c r="K640" s="10" t="s">
        <v>92</v>
      </c>
      <c r="L640" s="10" t="s">
        <v>93</v>
      </c>
      <c r="M640" s="10" t="s">
        <v>21</v>
      </c>
      <c r="N640" s="10" t="s">
        <v>39860</v>
      </c>
      <c r="O640" s="10" t="s">
        <v>372</v>
      </c>
      <c r="P640" s="1" t="s">
        <v>30089</v>
      </c>
      <c r="Q640" s="64" t="s">
        <v>39861</v>
      </c>
      <c r="R640" s="10" t="s">
        <v>94</v>
      </c>
      <c r="S640" s="63" t="s">
        <v>22</v>
      </c>
      <c r="T640" s="68" t="s">
        <v>26578</v>
      </c>
      <c r="U640" s="68" t="s">
        <v>26570</v>
      </c>
      <c r="V640" s="68" t="s">
        <v>26573</v>
      </c>
      <c r="W640" s="68" t="s">
        <v>512</v>
      </c>
      <c r="X640" s="68">
        <v>4774</v>
      </c>
      <c r="Z640" s="68" t="s">
        <v>42966</v>
      </c>
      <c r="AA640" s="33">
        <v>7030</v>
      </c>
    </row>
    <row r="641" spans="1:27" ht="12" customHeight="1" x14ac:dyDescent="0.15">
      <c r="A641" s="10" t="s">
        <v>37448</v>
      </c>
      <c r="B641" s="99">
        <v>27</v>
      </c>
      <c r="C641" s="10" t="s">
        <v>14</v>
      </c>
      <c r="D641" s="10" t="s">
        <v>79</v>
      </c>
      <c r="E641" s="63"/>
      <c r="F641" s="67">
        <v>43622</v>
      </c>
      <c r="G641" s="10" t="s">
        <v>37449</v>
      </c>
      <c r="H641" s="10" t="s">
        <v>2893</v>
      </c>
      <c r="I641" s="10" t="s">
        <v>39</v>
      </c>
      <c r="J641" s="65">
        <v>90304</v>
      </c>
      <c r="K641" s="10" t="s">
        <v>92</v>
      </c>
      <c r="L641" s="10" t="s">
        <v>386</v>
      </c>
      <c r="M641" s="10" t="s">
        <v>21</v>
      </c>
      <c r="N641" s="10" t="s">
        <v>37450</v>
      </c>
      <c r="O641" s="10" t="s">
        <v>372</v>
      </c>
      <c r="P641" s="1" t="s">
        <v>30089</v>
      </c>
      <c r="Q641" s="64" t="s">
        <v>37451</v>
      </c>
      <c r="R641" s="10" t="s">
        <v>94</v>
      </c>
      <c r="S641" s="63" t="s">
        <v>22</v>
      </c>
      <c r="T641" s="68" t="s">
        <v>26781</v>
      </c>
      <c r="U641" s="68" t="s">
        <v>26570</v>
      </c>
      <c r="V641" s="68" t="s">
        <v>26573</v>
      </c>
      <c r="W641" s="68" t="s">
        <v>94</v>
      </c>
      <c r="X641" s="68">
        <v>4775</v>
      </c>
      <c r="Z641" s="68" t="s">
        <v>42966</v>
      </c>
      <c r="AA641" s="33">
        <v>7025</v>
      </c>
    </row>
    <row r="642" spans="1:27" ht="12" customHeight="1" x14ac:dyDescent="0.15">
      <c r="A642" s="10" t="s">
        <v>41020</v>
      </c>
      <c r="B642" s="99">
        <v>70</v>
      </c>
      <c r="C642" s="10" t="s">
        <v>14</v>
      </c>
      <c r="D642" s="10" t="s">
        <v>31</v>
      </c>
      <c r="E642" s="64" t="s">
        <v>41021</v>
      </c>
      <c r="F642" s="67">
        <v>43622</v>
      </c>
      <c r="G642" s="10" t="s">
        <v>41022</v>
      </c>
      <c r="H642" s="10" t="s">
        <v>29140</v>
      </c>
      <c r="I642" s="10" t="s">
        <v>621</v>
      </c>
      <c r="J642" s="65">
        <v>39044</v>
      </c>
      <c r="K642" s="10" t="s">
        <v>31959</v>
      </c>
      <c r="L642" s="10" t="s">
        <v>36443</v>
      </c>
      <c r="M642" s="10" t="s">
        <v>21</v>
      </c>
      <c r="N642" s="10" t="s">
        <v>41023</v>
      </c>
      <c r="O642" s="10" t="s">
        <v>372</v>
      </c>
      <c r="P642" s="1" t="s">
        <v>30089</v>
      </c>
      <c r="Q642" s="64" t="s">
        <v>41024</v>
      </c>
      <c r="R642" s="10" t="s">
        <v>512</v>
      </c>
      <c r="S642" s="63" t="s">
        <v>22</v>
      </c>
      <c r="T642" s="68" t="s">
        <v>26781</v>
      </c>
      <c r="U642" s="68" t="s">
        <v>26572</v>
      </c>
      <c r="V642" s="68">
        <v>0</v>
      </c>
      <c r="W642" s="68" t="s">
        <v>94</v>
      </c>
      <c r="X642" s="68">
        <v>4804</v>
      </c>
      <c r="Z642" s="68" t="s">
        <v>42967</v>
      </c>
      <c r="AA642" s="33">
        <v>7029</v>
      </c>
    </row>
    <row r="643" spans="1:27" ht="12" customHeight="1" x14ac:dyDescent="0.15">
      <c r="A643" s="10" t="s">
        <v>38709</v>
      </c>
      <c r="B643" s="99">
        <v>37</v>
      </c>
      <c r="C643" s="10" t="s">
        <v>14</v>
      </c>
      <c r="D643" s="10" t="s">
        <v>42</v>
      </c>
      <c r="E643" s="63"/>
      <c r="F643" s="67">
        <v>43622</v>
      </c>
      <c r="G643" s="10" t="s">
        <v>38710</v>
      </c>
      <c r="H643" s="10" t="s">
        <v>9302</v>
      </c>
      <c r="I643" s="10" t="s">
        <v>39</v>
      </c>
      <c r="J643" s="65">
        <v>95358</v>
      </c>
      <c r="K643" s="70" t="s">
        <v>2954</v>
      </c>
      <c r="L643" s="10" t="s">
        <v>33799</v>
      </c>
      <c r="M643" s="10" t="s">
        <v>21</v>
      </c>
      <c r="N643" s="10" t="s">
        <v>38711</v>
      </c>
      <c r="O643" s="10" t="s">
        <v>372</v>
      </c>
      <c r="P643" s="1" t="s">
        <v>30089</v>
      </c>
      <c r="Q643" s="64" t="s">
        <v>38712</v>
      </c>
      <c r="R643" s="10" t="s">
        <v>94</v>
      </c>
      <c r="S643" s="63" t="s">
        <v>22</v>
      </c>
      <c r="T643" s="68" t="s">
        <v>26781</v>
      </c>
      <c r="U643" s="68" t="s">
        <v>26572</v>
      </c>
      <c r="V643" s="68" t="s">
        <v>26573</v>
      </c>
      <c r="W643" s="68" t="s">
        <v>94</v>
      </c>
      <c r="X643" s="68">
        <v>4805</v>
      </c>
      <c r="Z643" s="68" t="s">
        <v>42968</v>
      </c>
      <c r="AA643" s="33">
        <v>7027</v>
      </c>
    </row>
    <row r="644" spans="1:27" ht="12" customHeight="1" x14ac:dyDescent="0.15">
      <c r="A644" s="10" t="s">
        <v>41484</v>
      </c>
      <c r="B644" s="99">
        <v>54</v>
      </c>
      <c r="C644" s="10" t="s">
        <v>14</v>
      </c>
      <c r="D644" s="68" t="s">
        <v>31</v>
      </c>
      <c r="E644" s="63"/>
      <c r="F644" s="67">
        <v>43621</v>
      </c>
      <c r="G644" s="10" t="s">
        <v>41485</v>
      </c>
      <c r="H644" s="10" t="s">
        <v>14717</v>
      </c>
      <c r="I644" s="10" t="s">
        <v>338</v>
      </c>
      <c r="J644" s="65">
        <v>27370</v>
      </c>
      <c r="K644" s="70" t="s">
        <v>14479</v>
      </c>
      <c r="L644" s="10" t="s">
        <v>39791</v>
      </c>
      <c r="M644" s="10" t="s">
        <v>21</v>
      </c>
      <c r="N644" s="10" t="s">
        <v>41486</v>
      </c>
      <c r="O644" s="10" t="s">
        <v>372</v>
      </c>
      <c r="P644" s="1" t="s">
        <v>30089</v>
      </c>
      <c r="Q644" s="64" t="s">
        <v>41487</v>
      </c>
      <c r="R644" s="10" t="s">
        <v>512</v>
      </c>
      <c r="S644" s="63" t="s">
        <v>22</v>
      </c>
      <c r="T644" s="68" t="s">
        <v>26774</v>
      </c>
      <c r="U644" s="68" t="s">
        <v>26572</v>
      </c>
      <c r="V644" s="68" t="s">
        <v>26573</v>
      </c>
      <c r="W644" s="68" t="s">
        <v>94</v>
      </c>
      <c r="X644" s="68">
        <v>4766</v>
      </c>
      <c r="Z644" s="68" t="s">
        <v>42967</v>
      </c>
      <c r="AA644" s="33">
        <v>7024</v>
      </c>
    </row>
    <row r="645" spans="1:27" ht="12" customHeight="1" x14ac:dyDescent="0.15">
      <c r="A645" s="10" t="s">
        <v>41010</v>
      </c>
      <c r="B645" s="99">
        <v>37</v>
      </c>
      <c r="C645" s="10" t="s">
        <v>14</v>
      </c>
      <c r="D645" s="10" t="s">
        <v>31</v>
      </c>
      <c r="E645" s="63"/>
      <c r="F645" s="67">
        <v>43621</v>
      </c>
      <c r="G645" s="10" t="s">
        <v>41011</v>
      </c>
      <c r="H645" s="10" t="s">
        <v>2659</v>
      </c>
      <c r="I645" s="10" t="s">
        <v>918</v>
      </c>
      <c r="J645" s="65">
        <v>72401</v>
      </c>
      <c r="K645" s="10" t="s">
        <v>2660</v>
      </c>
      <c r="L645" s="10" t="s">
        <v>2661</v>
      </c>
      <c r="M645" s="10" t="s">
        <v>21</v>
      </c>
      <c r="N645" s="10" t="s">
        <v>41012</v>
      </c>
      <c r="O645" s="10" t="s">
        <v>372</v>
      </c>
      <c r="P645" s="1" t="s">
        <v>30089</v>
      </c>
      <c r="Q645" s="64" t="s">
        <v>41013</v>
      </c>
      <c r="R645" s="10" t="s">
        <v>512</v>
      </c>
      <c r="S645" s="63" t="s">
        <v>22</v>
      </c>
      <c r="T645" s="68" t="s">
        <v>26781</v>
      </c>
      <c r="U645" s="68" t="s">
        <v>26570</v>
      </c>
      <c r="V645" s="68" t="s">
        <v>26573</v>
      </c>
      <c r="W645" s="68" t="s">
        <v>94</v>
      </c>
      <c r="X645" s="68">
        <v>4765</v>
      </c>
      <c r="Z645" s="68" t="s">
        <v>42966</v>
      </c>
      <c r="AA645" s="33">
        <v>7022</v>
      </c>
    </row>
    <row r="646" spans="1:27" ht="12" customHeight="1" x14ac:dyDescent="0.15">
      <c r="A646" s="10" t="s">
        <v>39190</v>
      </c>
      <c r="B646" s="99">
        <v>28</v>
      </c>
      <c r="C646" s="10" t="s">
        <v>14</v>
      </c>
      <c r="D646" s="68" t="s">
        <v>42</v>
      </c>
      <c r="E646" s="63"/>
      <c r="F646" s="67">
        <v>43621</v>
      </c>
      <c r="G646" s="10" t="s">
        <v>39191</v>
      </c>
      <c r="H646" s="10" t="s">
        <v>433</v>
      </c>
      <c r="I646" s="10" t="s">
        <v>178</v>
      </c>
      <c r="J646" s="65">
        <v>87004</v>
      </c>
      <c r="K646" s="70" t="s">
        <v>18155</v>
      </c>
      <c r="L646" s="10" t="s">
        <v>34166</v>
      </c>
      <c r="M646" s="10" t="s">
        <v>21</v>
      </c>
      <c r="N646" s="10" t="s">
        <v>39192</v>
      </c>
      <c r="O646" s="10" t="s">
        <v>372</v>
      </c>
      <c r="P646" s="1" t="s">
        <v>30089</v>
      </c>
      <c r="Q646" s="64" t="s">
        <v>39193</v>
      </c>
      <c r="R646" s="10" t="s">
        <v>94</v>
      </c>
      <c r="S646" s="63" t="s">
        <v>22</v>
      </c>
      <c r="T646" s="68" t="s">
        <v>26781</v>
      </c>
      <c r="U646" s="68" t="s">
        <v>26570</v>
      </c>
      <c r="V646" s="68" t="s">
        <v>26573</v>
      </c>
      <c r="W646" s="68" t="s">
        <v>94</v>
      </c>
      <c r="X646" s="68">
        <v>4764</v>
      </c>
      <c r="Z646" s="68" t="s">
        <v>42967</v>
      </c>
      <c r="AA646" s="33">
        <v>7021</v>
      </c>
    </row>
    <row r="647" spans="1:27" ht="12" customHeight="1" x14ac:dyDescent="0.15">
      <c r="A647" s="10" t="s">
        <v>3002</v>
      </c>
      <c r="B647" s="69"/>
      <c r="C647" s="10" t="s">
        <v>14</v>
      </c>
      <c r="D647" s="10" t="s">
        <v>24</v>
      </c>
      <c r="E647" s="63"/>
      <c r="F647" s="67">
        <v>43621</v>
      </c>
      <c r="G647" s="10" t="s">
        <v>42321</v>
      </c>
      <c r="H647" s="10" t="s">
        <v>415</v>
      </c>
      <c r="I647" s="10" t="s">
        <v>51</v>
      </c>
      <c r="J647" s="65">
        <v>48201</v>
      </c>
      <c r="K647" s="70" t="s">
        <v>1057</v>
      </c>
      <c r="L647" s="10" t="s">
        <v>42322</v>
      </c>
      <c r="M647" s="10" t="s">
        <v>21</v>
      </c>
      <c r="N647" s="10" t="s">
        <v>42323</v>
      </c>
      <c r="O647" s="10" t="s">
        <v>372</v>
      </c>
      <c r="P647" s="1" t="s">
        <v>30089</v>
      </c>
      <c r="Q647" s="64" t="s">
        <v>42324</v>
      </c>
      <c r="R647" s="10" t="s">
        <v>94</v>
      </c>
      <c r="S647" s="63" t="s">
        <v>22</v>
      </c>
      <c r="T647" s="34" t="s">
        <v>26781</v>
      </c>
      <c r="U647" s="34" t="s">
        <v>26572</v>
      </c>
      <c r="V647" s="68"/>
      <c r="W647" s="68"/>
      <c r="X647" s="68"/>
      <c r="Z647" s="68" t="s">
        <v>42966</v>
      </c>
      <c r="AA647" s="33">
        <v>7023</v>
      </c>
    </row>
    <row r="648" spans="1:27" ht="12" customHeight="1" x14ac:dyDescent="0.15">
      <c r="A648" s="10" t="s">
        <v>38144</v>
      </c>
      <c r="B648" s="99">
        <v>39</v>
      </c>
      <c r="C648" s="10" t="s">
        <v>14</v>
      </c>
      <c r="D648" s="10" t="s">
        <v>31</v>
      </c>
      <c r="E648" s="63"/>
      <c r="F648" s="67">
        <v>43621</v>
      </c>
      <c r="G648" s="10" t="s">
        <v>38145</v>
      </c>
      <c r="H648" s="10" t="s">
        <v>38146</v>
      </c>
      <c r="I648" s="10" t="s">
        <v>39</v>
      </c>
      <c r="J648" s="65">
        <v>95320</v>
      </c>
      <c r="K648" s="70" t="s">
        <v>1647</v>
      </c>
      <c r="L648" s="10" t="s">
        <v>38147</v>
      </c>
      <c r="M648" s="10" t="s">
        <v>21</v>
      </c>
      <c r="N648" s="10" t="s">
        <v>38148</v>
      </c>
      <c r="O648" s="10" t="s">
        <v>372</v>
      </c>
      <c r="P648" s="1" t="s">
        <v>30089</v>
      </c>
      <c r="Q648" s="64" t="s">
        <v>38149</v>
      </c>
      <c r="R648" s="10" t="s">
        <v>94</v>
      </c>
      <c r="S648" s="63" t="s">
        <v>22</v>
      </c>
      <c r="T648" s="68" t="s">
        <v>26781</v>
      </c>
      <c r="U648" s="68" t="s">
        <v>26572</v>
      </c>
      <c r="V648" s="68" t="s">
        <v>26573</v>
      </c>
      <c r="W648" s="68" t="s">
        <v>94</v>
      </c>
      <c r="X648" s="68">
        <v>4776</v>
      </c>
      <c r="Z648" s="68" t="s">
        <v>42967</v>
      </c>
      <c r="AA648" s="33">
        <v>7020</v>
      </c>
    </row>
    <row r="649" spans="1:27" ht="12" customHeight="1" x14ac:dyDescent="0.15">
      <c r="A649" s="10" t="s">
        <v>38139</v>
      </c>
      <c r="B649" s="99">
        <v>45</v>
      </c>
      <c r="C649" s="10" t="s">
        <v>14</v>
      </c>
      <c r="D649" s="10" t="s">
        <v>31</v>
      </c>
      <c r="E649" s="64" t="s">
        <v>38140</v>
      </c>
      <c r="F649" s="67">
        <v>43620</v>
      </c>
      <c r="G649" s="10" t="s">
        <v>38141</v>
      </c>
      <c r="H649" s="10" t="s">
        <v>16691</v>
      </c>
      <c r="I649" s="10" t="s">
        <v>56</v>
      </c>
      <c r="J649" s="65">
        <v>32903</v>
      </c>
      <c r="K649" s="70" t="s">
        <v>1654</v>
      </c>
      <c r="L649" s="10" t="s">
        <v>3452</v>
      </c>
      <c r="M649" s="10" t="s">
        <v>21</v>
      </c>
      <c r="N649" s="10" t="s">
        <v>38142</v>
      </c>
      <c r="O649" s="10" t="s">
        <v>372</v>
      </c>
      <c r="P649" s="1" t="s">
        <v>30089</v>
      </c>
      <c r="Q649" s="64" t="s">
        <v>38143</v>
      </c>
      <c r="R649" s="10" t="s">
        <v>94</v>
      </c>
      <c r="S649" s="63" t="s">
        <v>22</v>
      </c>
      <c r="T649" s="68" t="s">
        <v>26781</v>
      </c>
      <c r="U649" s="68" t="s">
        <v>26572</v>
      </c>
      <c r="V649" s="68" t="s">
        <v>26573</v>
      </c>
      <c r="W649" s="68" t="s">
        <v>94</v>
      </c>
      <c r="X649" s="68">
        <v>4767</v>
      </c>
      <c r="Z649" s="68" t="s">
        <v>42968</v>
      </c>
      <c r="AA649" s="33">
        <v>7019</v>
      </c>
    </row>
    <row r="650" spans="1:27" ht="12" customHeight="1" x14ac:dyDescent="0.15">
      <c r="A650" s="10" t="s">
        <v>37432</v>
      </c>
      <c r="B650" s="99">
        <v>43</v>
      </c>
      <c r="C650" s="10" t="s">
        <v>14</v>
      </c>
      <c r="D650" s="10" t="s">
        <v>79</v>
      </c>
      <c r="E650" s="64" t="s">
        <v>37433</v>
      </c>
      <c r="F650" s="67">
        <v>43619</v>
      </c>
      <c r="G650" s="10" t="s">
        <v>37434</v>
      </c>
      <c r="H650" s="10" t="s">
        <v>37435</v>
      </c>
      <c r="I650" s="10" t="s">
        <v>395</v>
      </c>
      <c r="J650" s="65">
        <v>10502</v>
      </c>
      <c r="K650" s="70" t="s">
        <v>538</v>
      </c>
      <c r="L650" s="10" t="s">
        <v>32193</v>
      </c>
      <c r="M650" s="10" t="s">
        <v>21</v>
      </c>
      <c r="N650" s="10" t="s">
        <v>37436</v>
      </c>
      <c r="O650" s="10" t="s">
        <v>372</v>
      </c>
      <c r="P650" s="1" t="s">
        <v>30089</v>
      </c>
      <c r="Q650" s="64" t="s">
        <v>37437</v>
      </c>
      <c r="R650" s="10" t="s">
        <v>94</v>
      </c>
      <c r="S650" s="63" t="s">
        <v>22</v>
      </c>
      <c r="T650" s="68" t="s">
        <v>26781</v>
      </c>
      <c r="U650" s="68" t="s">
        <v>26572</v>
      </c>
      <c r="V650" s="68">
        <v>0</v>
      </c>
      <c r="W650" s="68" t="s">
        <v>94</v>
      </c>
      <c r="X650" s="68">
        <v>4762</v>
      </c>
      <c r="Z650" s="68" t="s">
        <v>42968</v>
      </c>
      <c r="AA650" s="33">
        <v>7015</v>
      </c>
    </row>
    <row r="651" spans="1:27" ht="12" customHeight="1" x14ac:dyDescent="0.15">
      <c r="A651" s="10" t="s">
        <v>41006</v>
      </c>
      <c r="B651" s="99">
        <v>23</v>
      </c>
      <c r="C651" s="10" t="s">
        <v>14</v>
      </c>
      <c r="D651" s="10" t="s">
        <v>31</v>
      </c>
      <c r="E651" s="62" t="s">
        <v>41007</v>
      </c>
      <c r="F651" s="67">
        <v>43619</v>
      </c>
      <c r="G651" s="10" t="s">
        <v>4864</v>
      </c>
      <c r="H651" s="10" t="s">
        <v>143</v>
      </c>
      <c r="I651" s="10" t="s">
        <v>39</v>
      </c>
      <c r="J651" s="65">
        <v>92173</v>
      </c>
      <c r="K651" s="10" t="s">
        <v>143</v>
      </c>
      <c r="L651" s="10" t="s">
        <v>27366</v>
      </c>
      <c r="M651" s="10" t="s">
        <v>21</v>
      </c>
      <c r="N651" s="10" t="s">
        <v>41008</v>
      </c>
      <c r="O651" s="10" t="s">
        <v>372</v>
      </c>
      <c r="P651" s="1" t="s">
        <v>30089</v>
      </c>
      <c r="Q651" s="64" t="s">
        <v>41009</v>
      </c>
      <c r="R651" s="10" t="s">
        <v>512</v>
      </c>
      <c r="S651" s="63" t="s">
        <v>22</v>
      </c>
      <c r="T651" s="68" t="s">
        <v>26781</v>
      </c>
      <c r="U651" s="68" t="s">
        <v>26572</v>
      </c>
      <c r="V651" s="68" t="s">
        <v>26571</v>
      </c>
      <c r="W651" s="68" t="s">
        <v>94</v>
      </c>
      <c r="X651" s="68">
        <v>4761</v>
      </c>
      <c r="Z651" s="68" t="s">
        <v>42968</v>
      </c>
      <c r="AA651" s="33">
        <v>7018</v>
      </c>
    </row>
    <row r="652" spans="1:27" ht="12" customHeight="1" x14ac:dyDescent="0.15">
      <c r="A652" s="10" t="s">
        <v>40999</v>
      </c>
      <c r="B652" s="99">
        <v>59</v>
      </c>
      <c r="C652" s="10" t="s">
        <v>14</v>
      </c>
      <c r="D652" s="10" t="s">
        <v>31</v>
      </c>
      <c r="E652" s="64" t="s">
        <v>41000</v>
      </c>
      <c r="F652" s="67">
        <v>43619</v>
      </c>
      <c r="G652" s="10" t="s">
        <v>41001</v>
      </c>
      <c r="H652" s="10" t="s">
        <v>41002</v>
      </c>
      <c r="I652" s="10" t="s">
        <v>298</v>
      </c>
      <c r="J652" s="65">
        <v>38017</v>
      </c>
      <c r="K652" s="70" t="s">
        <v>1117</v>
      </c>
      <c r="L652" s="10" t="s">
        <v>41003</v>
      </c>
      <c r="M652" s="10" t="s">
        <v>21</v>
      </c>
      <c r="N652" s="10" t="s">
        <v>41004</v>
      </c>
      <c r="O652" s="10" t="s">
        <v>372</v>
      </c>
      <c r="P652" s="1" t="s">
        <v>30089</v>
      </c>
      <c r="Q652" s="64" t="s">
        <v>41005</v>
      </c>
      <c r="R652" s="10" t="s">
        <v>512</v>
      </c>
      <c r="S652" s="63" t="s">
        <v>22</v>
      </c>
      <c r="T652" s="68" t="s">
        <v>26781</v>
      </c>
      <c r="U652" s="68" t="s">
        <v>26572</v>
      </c>
      <c r="V652" s="68" t="s">
        <v>26573</v>
      </c>
      <c r="W652" s="68" t="s">
        <v>94</v>
      </c>
      <c r="X652" s="68">
        <v>4747</v>
      </c>
      <c r="Z652" s="68" t="s">
        <v>42968</v>
      </c>
      <c r="AA652" s="33">
        <v>7017</v>
      </c>
    </row>
    <row r="653" spans="1:27" ht="12" customHeight="1" x14ac:dyDescent="0.15">
      <c r="A653" s="10" t="s">
        <v>40459</v>
      </c>
      <c r="B653" s="99">
        <v>41</v>
      </c>
      <c r="C653" s="10" t="s">
        <v>14</v>
      </c>
      <c r="D653" s="68" t="s">
        <v>79</v>
      </c>
      <c r="E653" s="10"/>
      <c r="F653" s="67">
        <v>43619</v>
      </c>
      <c r="G653" s="10" t="s">
        <v>40460</v>
      </c>
      <c r="H653" s="10" t="s">
        <v>415</v>
      </c>
      <c r="I653" s="10" t="s">
        <v>51</v>
      </c>
      <c r="J653" s="65">
        <v>48209</v>
      </c>
      <c r="K653" s="70" t="s">
        <v>1057</v>
      </c>
      <c r="L653" s="10" t="s">
        <v>40461</v>
      </c>
      <c r="M653" s="10" t="s">
        <v>21</v>
      </c>
      <c r="N653" s="10" t="s">
        <v>40462</v>
      </c>
      <c r="O653" s="10" t="s">
        <v>372</v>
      </c>
      <c r="P653" s="1" t="s">
        <v>30089</v>
      </c>
      <c r="Q653" s="64" t="s">
        <v>40463</v>
      </c>
      <c r="R653" s="10" t="s">
        <v>94</v>
      </c>
      <c r="S653" s="63" t="s">
        <v>22</v>
      </c>
      <c r="T653" s="54" t="s">
        <v>26781</v>
      </c>
      <c r="U653" s="68" t="s">
        <v>26570</v>
      </c>
      <c r="V653" s="68" t="s">
        <v>26571</v>
      </c>
      <c r="W653" s="68" t="s">
        <v>94</v>
      </c>
      <c r="X653" s="68">
        <v>4803</v>
      </c>
      <c r="Z653" s="68" t="s">
        <v>42966</v>
      </c>
      <c r="AA653" s="33">
        <v>7016</v>
      </c>
    </row>
    <row r="654" spans="1:27" ht="12" customHeight="1" x14ac:dyDescent="0.15">
      <c r="A654" s="10" t="s">
        <v>40853</v>
      </c>
      <c r="B654" s="99">
        <v>23</v>
      </c>
      <c r="C654" s="10" t="s">
        <v>14</v>
      </c>
      <c r="D654" s="68" t="s">
        <v>79</v>
      </c>
      <c r="E654" s="10"/>
      <c r="F654" s="67">
        <v>43618</v>
      </c>
      <c r="G654" s="10" t="s">
        <v>40854</v>
      </c>
      <c r="H654" s="10" t="s">
        <v>40855</v>
      </c>
      <c r="I654" s="10" t="s">
        <v>39</v>
      </c>
      <c r="J654" s="65">
        <v>94595</v>
      </c>
      <c r="K654" s="70" t="s">
        <v>4146</v>
      </c>
      <c r="L654" s="10" t="s">
        <v>40856</v>
      </c>
      <c r="M654" s="10" t="s">
        <v>21</v>
      </c>
      <c r="N654" s="10" t="s">
        <v>40857</v>
      </c>
      <c r="O654" s="10" t="s">
        <v>372</v>
      </c>
      <c r="P654" s="1" t="s">
        <v>30089</v>
      </c>
      <c r="Q654" s="64" t="s">
        <v>40858</v>
      </c>
      <c r="R654" s="10" t="s">
        <v>512</v>
      </c>
      <c r="S654" s="63" t="s">
        <v>22</v>
      </c>
      <c r="T654" s="68" t="s">
        <v>26589</v>
      </c>
      <c r="U654" s="68" t="s">
        <v>26572</v>
      </c>
      <c r="V654" s="68" t="s">
        <v>26573</v>
      </c>
      <c r="W654" s="68" t="s">
        <v>512</v>
      </c>
      <c r="X654" s="68">
        <v>4748</v>
      </c>
      <c r="Z654" s="68" t="s">
        <v>42968</v>
      </c>
      <c r="AA654" s="33">
        <v>7014</v>
      </c>
    </row>
    <row r="655" spans="1:27" ht="12" customHeight="1" x14ac:dyDescent="0.15">
      <c r="A655" s="10" t="s">
        <v>42325</v>
      </c>
      <c r="B655" s="99">
        <v>38</v>
      </c>
      <c r="C655" s="10" t="s">
        <v>14</v>
      </c>
      <c r="D655" s="10" t="s">
        <v>24</v>
      </c>
      <c r="E655" s="10"/>
      <c r="F655" s="67">
        <v>43617</v>
      </c>
      <c r="G655" s="10" t="s">
        <v>42326</v>
      </c>
      <c r="H655" s="10" t="s">
        <v>870</v>
      </c>
      <c r="I655" s="10" t="s">
        <v>67</v>
      </c>
      <c r="J655" s="65">
        <v>76134</v>
      </c>
      <c r="K655" s="70" t="s">
        <v>68</v>
      </c>
      <c r="L655" s="10" t="s">
        <v>871</v>
      </c>
      <c r="M655" s="10" t="s">
        <v>21</v>
      </c>
      <c r="N655" s="10" t="s">
        <v>42327</v>
      </c>
      <c r="O655" s="10" t="s">
        <v>372</v>
      </c>
      <c r="P655" s="1" t="s">
        <v>30089</v>
      </c>
      <c r="Q655" s="64" t="s">
        <v>42328</v>
      </c>
      <c r="R655" s="10" t="s">
        <v>94</v>
      </c>
      <c r="S655" s="63" t="s">
        <v>12</v>
      </c>
      <c r="T655" s="34" t="s">
        <v>29705</v>
      </c>
      <c r="U655" s="34" t="s">
        <v>26570</v>
      </c>
      <c r="V655" s="68"/>
      <c r="W655" s="68"/>
      <c r="X655" s="68"/>
      <c r="Z655" s="68" t="s">
        <v>42968</v>
      </c>
      <c r="AA655" s="33">
        <v>7012</v>
      </c>
    </row>
    <row r="656" spans="1:27" ht="12" customHeight="1" x14ac:dyDescent="0.15">
      <c r="A656" s="10" t="s">
        <v>39781</v>
      </c>
      <c r="B656" s="99">
        <v>35</v>
      </c>
      <c r="C656" s="10" t="s">
        <v>14</v>
      </c>
      <c r="D656" s="68" t="s">
        <v>79</v>
      </c>
      <c r="E656" s="10"/>
      <c r="F656" s="67">
        <v>43617</v>
      </c>
      <c r="G656" s="10" t="s">
        <v>39782</v>
      </c>
      <c r="H656" s="10" t="s">
        <v>430</v>
      </c>
      <c r="I656" s="10" t="s">
        <v>19</v>
      </c>
      <c r="J656" s="65">
        <v>71101</v>
      </c>
      <c r="K656" s="70" t="s">
        <v>5432</v>
      </c>
      <c r="L656" s="10" t="s">
        <v>431</v>
      </c>
      <c r="M656" s="10" t="s">
        <v>21</v>
      </c>
      <c r="N656" s="10" t="s">
        <v>39783</v>
      </c>
      <c r="O656" s="10" t="s">
        <v>372</v>
      </c>
      <c r="P656" s="1" t="s">
        <v>30089</v>
      </c>
      <c r="Q656" s="64" t="s">
        <v>39784</v>
      </c>
      <c r="R656" s="10" t="s">
        <v>94</v>
      </c>
      <c r="S656" s="63" t="s">
        <v>22</v>
      </c>
      <c r="T656" s="68" t="s">
        <v>26774</v>
      </c>
      <c r="U656" s="68" t="s">
        <v>26572</v>
      </c>
      <c r="V656" s="68" t="s">
        <v>26573</v>
      </c>
      <c r="W656" s="68" t="s">
        <v>94</v>
      </c>
      <c r="X656" s="68">
        <v>4752</v>
      </c>
      <c r="Z656" s="68" t="s">
        <v>42966</v>
      </c>
      <c r="AA656" s="33">
        <v>7011</v>
      </c>
    </row>
    <row r="657" spans="1:27" ht="12" customHeight="1" x14ac:dyDescent="0.15">
      <c r="A657" s="10" t="s">
        <v>39265</v>
      </c>
      <c r="B657" s="99">
        <v>27</v>
      </c>
      <c r="C657" s="10" t="s">
        <v>14</v>
      </c>
      <c r="D657" s="68" t="s">
        <v>31</v>
      </c>
      <c r="E657" s="10"/>
      <c r="F657" s="67">
        <v>43617</v>
      </c>
      <c r="G657" s="10" t="s">
        <v>39266</v>
      </c>
      <c r="H657" s="10" t="s">
        <v>233</v>
      </c>
      <c r="I657" s="10" t="s">
        <v>39</v>
      </c>
      <c r="J657" s="65">
        <v>96007</v>
      </c>
      <c r="K657" s="70" t="s">
        <v>6887</v>
      </c>
      <c r="L657" s="10" t="s">
        <v>11356</v>
      </c>
      <c r="M657" s="10" t="s">
        <v>21</v>
      </c>
      <c r="N657" s="10" t="s">
        <v>39267</v>
      </c>
      <c r="O657" s="10" t="s">
        <v>31972</v>
      </c>
      <c r="P657" s="1" t="s">
        <v>30089</v>
      </c>
      <c r="Q657" s="64" t="s">
        <v>39268</v>
      </c>
      <c r="R657" s="10" t="s">
        <v>94</v>
      </c>
      <c r="S657" s="63" t="s">
        <v>22</v>
      </c>
      <c r="T657" s="68" t="s">
        <v>26781</v>
      </c>
      <c r="U657" s="68" t="s">
        <v>26570</v>
      </c>
      <c r="V657" s="68" t="s">
        <v>26573</v>
      </c>
      <c r="W657" s="68" t="s">
        <v>94</v>
      </c>
      <c r="X657" s="68">
        <v>4751</v>
      </c>
      <c r="Z657" s="68" t="s">
        <v>42967</v>
      </c>
      <c r="AA657" s="33">
        <v>7010</v>
      </c>
    </row>
    <row r="658" spans="1:27" ht="12" customHeight="1" x14ac:dyDescent="0.15">
      <c r="A658" s="10" t="s">
        <v>41620</v>
      </c>
      <c r="B658" s="99">
        <v>35</v>
      </c>
      <c r="C658" s="10" t="s">
        <v>14</v>
      </c>
      <c r="D658" s="10" t="s">
        <v>31</v>
      </c>
      <c r="E658" s="64" t="s">
        <v>41621</v>
      </c>
      <c r="F658" s="67">
        <v>43617</v>
      </c>
      <c r="G658" s="10" t="s">
        <v>41622</v>
      </c>
      <c r="H658" s="10" t="s">
        <v>24172</v>
      </c>
      <c r="I658" s="10" t="s">
        <v>367</v>
      </c>
      <c r="J658" s="65">
        <v>74006</v>
      </c>
      <c r="K658" s="70" t="s">
        <v>107</v>
      </c>
      <c r="L658" s="10" t="s">
        <v>24173</v>
      </c>
      <c r="M658" s="10" t="s">
        <v>21</v>
      </c>
      <c r="N658" s="10" t="s">
        <v>41623</v>
      </c>
      <c r="O658" s="10" t="s">
        <v>372</v>
      </c>
      <c r="P658" s="1" t="s">
        <v>30089</v>
      </c>
      <c r="Q658" s="64" t="s">
        <v>41624</v>
      </c>
      <c r="R658" s="10" t="s">
        <v>512</v>
      </c>
      <c r="S658" s="63" t="s">
        <v>29</v>
      </c>
      <c r="T658" s="68" t="s">
        <v>26575</v>
      </c>
      <c r="U658" s="68" t="s">
        <v>26575</v>
      </c>
      <c r="V658" s="68" t="s">
        <v>26573</v>
      </c>
      <c r="W658" s="68" t="s">
        <v>94</v>
      </c>
      <c r="X658" s="68">
        <v>4750</v>
      </c>
      <c r="Z658" s="68" t="s">
        <v>42968</v>
      </c>
      <c r="AA658" s="33">
        <v>7013</v>
      </c>
    </row>
    <row r="659" spans="1:27" ht="12" customHeight="1" x14ac:dyDescent="0.15">
      <c r="A659" s="10" t="s">
        <v>42104</v>
      </c>
      <c r="B659" s="99">
        <v>26</v>
      </c>
      <c r="C659" s="10" t="s">
        <v>14</v>
      </c>
      <c r="D659" s="10" t="s">
        <v>42</v>
      </c>
      <c r="E659" s="10"/>
      <c r="F659" s="67">
        <v>43616</v>
      </c>
      <c r="G659" s="10" t="s">
        <v>42105</v>
      </c>
      <c r="H659" s="10" t="s">
        <v>42106</v>
      </c>
      <c r="I659" s="10" t="s">
        <v>402</v>
      </c>
      <c r="J659" s="65">
        <v>64689</v>
      </c>
      <c r="K659" s="10" t="s">
        <v>2059</v>
      </c>
      <c r="L659" s="10" t="s">
        <v>8998</v>
      </c>
      <c r="M659" s="10" t="s">
        <v>21</v>
      </c>
      <c r="N659" s="10" t="s">
        <v>42107</v>
      </c>
      <c r="O659" s="10" t="s">
        <v>372</v>
      </c>
      <c r="P659" s="1" t="s">
        <v>30089</v>
      </c>
      <c r="Q659" s="64" t="s">
        <v>42108</v>
      </c>
      <c r="R659" s="10" t="s">
        <v>94</v>
      </c>
      <c r="S659" s="63" t="s">
        <v>22</v>
      </c>
      <c r="T659" s="34" t="s">
        <v>26781</v>
      </c>
      <c r="U659" s="34" t="s">
        <v>26572</v>
      </c>
      <c r="V659" s="68"/>
      <c r="W659" s="68"/>
      <c r="X659" s="68"/>
      <c r="Z659" s="68" t="s">
        <v>42967</v>
      </c>
      <c r="AA659" s="33">
        <v>7006</v>
      </c>
    </row>
    <row r="660" spans="1:27" ht="12" customHeight="1" x14ac:dyDescent="0.15">
      <c r="A660" s="10" t="s">
        <v>40673</v>
      </c>
      <c r="B660" s="99">
        <v>32</v>
      </c>
      <c r="C660" s="10" t="s">
        <v>14</v>
      </c>
      <c r="D660" s="10" t="s">
        <v>31</v>
      </c>
      <c r="E660" s="64" t="s">
        <v>40674</v>
      </c>
      <c r="F660" s="67">
        <v>43616</v>
      </c>
      <c r="G660" s="10" t="s">
        <v>40675</v>
      </c>
      <c r="H660" s="10" t="s">
        <v>40676</v>
      </c>
      <c r="I660" s="10" t="s">
        <v>4034</v>
      </c>
      <c r="J660" s="65">
        <v>4038</v>
      </c>
      <c r="K660" s="70" t="s">
        <v>2907</v>
      </c>
      <c r="L660" s="10" t="s">
        <v>40677</v>
      </c>
      <c r="M660" s="10" t="s">
        <v>21</v>
      </c>
      <c r="N660" s="10" t="s">
        <v>40678</v>
      </c>
      <c r="O660" s="10" t="s">
        <v>372</v>
      </c>
      <c r="P660" s="1" t="s">
        <v>30089</v>
      </c>
      <c r="Q660" s="64" t="s">
        <v>40679</v>
      </c>
      <c r="R660" s="10" t="s">
        <v>94</v>
      </c>
      <c r="S660" s="63" t="s">
        <v>351</v>
      </c>
      <c r="T660" s="68" t="s">
        <v>26867</v>
      </c>
      <c r="U660" s="68" t="s">
        <v>26572</v>
      </c>
      <c r="V660" s="68" t="s">
        <v>26571</v>
      </c>
      <c r="W660" s="68" t="s">
        <v>94</v>
      </c>
      <c r="X660" s="68">
        <v>4749</v>
      </c>
      <c r="Z660" s="68" t="s">
        <v>42968</v>
      </c>
      <c r="AA660" s="33">
        <v>7009</v>
      </c>
    </row>
    <row r="661" spans="1:27" ht="12" customHeight="1" x14ac:dyDescent="0.15">
      <c r="A661" s="63" t="s">
        <v>40272</v>
      </c>
      <c r="B661" s="101">
        <v>26</v>
      </c>
      <c r="C661" s="63" t="s">
        <v>14</v>
      </c>
      <c r="D661" s="10" t="s">
        <v>15</v>
      </c>
      <c r="E661" s="10"/>
      <c r="F661" s="67">
        <v>43616</v>
      </c>
      <c r="G661" s="10" t="s">
        <v>40273</v>
      </c>
      <c r="H661" s="10" t="s">
        <v>4932</v>
      </c>
      <c r="I661" s="10" t="s">
        <v>282</v>
      </c>
      <c r="J661" s="65">
        <v>98002</v>
      </c>
      <c r="K661" s="70" t="s">
        <v>1133</v>
      </c>
      <c r="L661" s="10" t="s">
        <v>10523</v>
      </c>
      <c r="M661" s="10" t="s">
        <v>21</v>
      </c>
      <c r="N661" s="10" t="s">
        <v>40274</v>
      </c>
      <c r="O661" s="10" t="s">
        <v>372</v>
      </c>
      <c r="P661" s="1" t="s">
        <v>30089</v>
      </c>
      <c r="Q661" s="64" t="s">
        <v>40275</v>
      </c>
      <c r="R661" s="10" t="s">
        <v>94</v>
      </c>
      <c r="S661" s="63" t="s">
        <v>29</v>
      </c>
      <c r="T661" s="68" t="s">
        <v>26575</v>
      </c>
      <c r="U661" s="68" t="s">
        <v>26570</v>
      </c>
      <c r="V661" s="68" t="s">
        <v>26573</v>
      </c>
      <c r="W661" s="68" t="s">
        <v>94</v>
      </c>
      <c r="X661" s="68">
        <v>4753</v>
      </c>
      <c r="Z661" s="68" t="s">
        <v>42968</v>
      </c>
      <c r="AA661" s="33">
        <v>7008</v>
      </c>
    </row>
    <row r="662" spans="1:27" ht="12" customHeight="1" x14ac:dyDescent="0.15">
      <c r="A662" s="10" t="s">
        <v>39526</v>
      </c>
      <c r="B662" s="99">
        <v>56</v>
      </c>
      <c r="C662" s="10" t="s">
        <v>14</v>
      </c>
      <c r="D662" s="10" t="s">
        <v>31</v>
      </c>
      <c r="E662" s="10"/>
      <c r="F662" s="67">
        <v>43616</v>
      </c>
      <c r="G662" s="10" t="s">
        <v>39527</v>
      </c>
      <c r="H662" s="10" t="s">
        <v>39528</v>
      </c>
      <c r="I662" s="10" t="s">
        <v>46</v>
      </c>
      <c r="J662" s="65">
        <v>21035</v>
      </c>
      <c r="K662" s="10" t="s">
        <v>2937</v>
      </c>
      <c r="L662" s="10" t="s">
        <v>8469</v>
      </c>
      <c r="M662" s="10" t="s">
        <v>21</v>
      </c>
      <c r="N662" s="10" t="s">
        <v>39529</v>
      </c>
      <c r="O662" s="10" t="s">
        <v>372</v>
      </c>
      <c r="P662" s="1" t="s">
        <v>30089</v>
      </c>
      <c r="Q662" s="64" t="s">
        <v>39530</v>
      </c>
      <c r="R662" s="10" t="s">
        <v>94</v>
      </c>
      <c r="S662" s="63" t="s">
        <v>22</v>
      </c>
      <c r="T662" s="68" t="s">
        <v>26774</v>
      </c>
      <c r="U662" s="68" t="s">
        <v>26570</v>
      </c>
      <c r="V662" s="68" t="s">
        <v>26573</v>
      </c>
      <c r="W662" s="68" t="s">
        <v>94</v>
      </c>
      <c r="X662" s="68">
        <v>4763</v>
      </c>
      <c r="Z662" s="68" t="s">
        <v>42967</v>
      </c>
      <c r="AA662" s="33">
        <v>7007</v>
      </c>
    </row>
    <row r="663" spans="1:27" ht="12" customHeight="1" x14ac:dyDescent="0.15">
      <c r="A663" s="10" t="s">
        <v>41752</v>
      </c>
      <c r="B663" s="99">
        <v>40</v>
      </c>
      <c r="C663" s="10" t="s">
        <v>14</v>
      </c>
      <c r="D663" s="10" t="s">
        <v>79</v>
      </c>
      <c r="E663" s="64" t="s">
        <v>41753</v>
      </c>
      <c r="F663" s="67">
        <v>43616</v>
      </c>
      <c r="G663" s="10" t="s">
        <v>41754</v>
      </c>
      <c r="H663" s="10" t="s">
        <v>439</v>
      </c>
      <c r="I663" s="10" t="s">
        <v>225</v>
      </c>
      <c r="J663" s="65">
        <v>23456</v>
      </c>
      <c r="K663" s="70" t="s">
        <v>439</v>
      </c>
      <c r="L663" s="10" t="s">
        <v>441</v>
      </c>
      <c r="M663" s="10" t="s">
        <v>21</v>
      </c>
      <c r="N663" s="10" t="s">
        <v>41755</v>
      </c>
      <c r="O663" s="10" t="s">
        <v>372</v>
      </c>
      <c r="P663" s="1" t="s">
        <v>30089</v>
      </c>
      <c r="Q663" s="64" t="s">
        <v>41756</v>
      </c>
      <c r="R663" s="10" t="s">
        <v>94</v>
      </c>
      <c r="S663" s="63" t="s">
        <v>22</v>
      </c>
      <c r="T663" s="34" t="s">
        <v>26781</v>
      </c>
      <c r="U663" s="34" t="s">
        <v>26572</v>
      </c>
      <c r="V663" s="68"/>
      <c r="W663" s="68"/>
      <c r="X663" s="68"/>
      <c r="Z663" s="68" t="s">
        <v>42968</v>
      </c>
      <c r="AA663" s="33">
        <v>7005</v>
      </c>
    </row>
    <row r="664" spans="1:27" ht="12" customHeight="1" x14ac:dyDescent="0.15">
      <c r="A664" s="10" t="s">
        <v>3002</v>
      </c>
      <c r="B664" s="70"/>
      <c r="C664" s="10" t="s">
        <v>103</v>
      </c>
      <c r="D664" s="10" t="s">
        <v>24</v>
      </c>
      <c r="E664" s="10"/>
      <c r="F664" s="67">
        <v>43615</v>
      </c>
      <c r="G664" s="10" t="s">
        <v>41169</v>
      </c>
      <c r="H664" s="10" t="s">
        <v>447</v>
      </c>
      <c r="I664" s="10" t="s">
        <v>39</v>
      </c>
      <c r="J664" s="65">
        <v>91762</v>
      </c>
      <c r="K664" s="70" t="s">
        <v>288</v>
      </c>
      <c r="L664" s="10" t="s">
        <v>448</v>
      </c>
      <c r="M664" s="10" t="s">
        <v>21</v>
      </c>
      <c r="N664" s="10" t="s">
        <v>41170</v>
      </c>
      <c r="O664" s="10" t="s">
        <v>372</v>
      </c>
      <c r="P664" s="1" t="s">
        <v>30089</v>
      </c>
      <c r="Q664" s="64" t="s">
        <v>41171</v>
      </c>
      <c r="R664" s="10" t="s">
        <v>512</v>
      </c>
      <c r="S664" s="63" t="s">
        <v>22</v>
      </c>
      <c r="T664" s="68" t="s">
        <v>26781</v>
      </c>
      <c r="U664" s="68" t="s">
        <v>26570</v>
      </c>
      <c r="V664" s="68" t="s">
        <v>26573</v>
      </c>
      <c r="W664" s="68" t="s">
        <v>94</v>
      </c>
      <c r="X664" s="68">
        <v>4754</v>
      </c>
      <c r="Z664" s="68" t="s">
        <v>42968</v>
      </c>
      <c r="AA664" s="33">
        <v>7003</v>
      </c>
    </row>
    <row r="665" spans="1:27" ht="12" customHeight="1" x14ac:dyDescent="0.15">
      <c r="A665" s="10" t="s">
        <v>40912</v>
      </c>
      <c r="B665" s="99">
        <v>32</v>
      </c>
      <c r="C665" s="10" t="s">
        <v>103</v>
      </c>
      <c r="D665" s="10" t="s">
        <v>79</v>
      </c>
      <c r="E665" s="64" t="s">
        <v>40913</v>
      </c>
      <c r="F665" s="67">
        <v>43615</v>
      </c>
      <c r="G665" s="10" t="s">
        <v>40914</v>
      </c>
      <c r="H665" s="10" t="s">
        <v>2012</v>
      </c>
      <c r="I665" s="10" t="s">
        <v>88</v>
      </c>
      <c r="J665" s="65">
        <v>35805</v>
      </c>
      <c r="K665" s="70" t="s">
        <v>2014</v>
      </c>
      <c r="L665" s="10" t="s">
        <v>2015</v>
      </c>
      <c r="M665" s="10" t="s">
        <v>21</v>
      </c>
      <c r="N665" s="10" t="s">
        <v>40915</v>
      </c>
      <c r="O665" s="10" t="s">
        <v>372</v>
      </c>
      <c r="P665" s="1" t="s">
        <v>30089</v>
      </c>
      <c r="Q665" s="64" t="s">
        <v>40916</v>
      </c>
      <c r="R665" s="10" t="s">
        <v>512</v>
      </c>
      <c r="S665" s="63" t="s">
        <v>22</v>
      </c>
      <c r="T665" s="68" t="s">
        <v>26781</v>
      </c>
      <c r="U665" s="68" t="s">
        <v>26572</v>
      </c>
      <c r="V665" s="68" t="s">
        <v>26573</v>
      </c>
      <c r="W665" s="68" t="s">
        <v>94</v>
      </c>
      <c r="X665" s="68">
        <v>4756</v>
      </c>
      <c r="Z665" s="68" t="s">
        <v>42968</v>
      </c>
      <c r="AA665" s="33">
        <v>7002</v>
      </c>
    </row>
    <row r="666" spans="1:27" ht="12" customHeight="1" x14ac:dyDescent="0.15">
      <c r="A666" s="10" t="s">
        <v>41273</v>
      </c>
      <c r="B666" s="99">
        <v>58</v>
      </c>
      <c r="C666" s="10" t="s">
        <v>14</v>
      </c>
      <c r="D666" s="68" t="s">
        <v>31</v>
      </c>
      <c r="E666" s="10"/>
      <c r="F666" s="67">
        <v>43615</v>
      </c>
      <c r="G666" s="10" t="s">
        <v>41274</v>
      </c>
      <c r="H666" s="10" t="s">
        <v>41275</v>
      </c>
      <c r="I666" s="10" t="s">
        <v>46</v>
      </c>
      <c r="J666" s="65">
        <v>21078</v>
      </c>
      <c r="K666" s="70" t="s">
        <v>8833</v>
      </c>
      <c r="L666" s="10" t="s">
        <v>8834</v>
      </c>
      <c r="M666" s="10" t="s">
        <v>21</v>
      </c>
      <c r="N666" s="10" t="s">
        <v>41276</v>
      </c>
      <c r="O666" s="10" t="s">
        <v>372</v>
      </c>
      <c r="P666" s="1" t="s">
        <v>30089</v>
      </c>
      <c r="Q666" s="64" t="s">
        <v>41277</v>
      </c>
      <c r="R666" s="10" t="s">
        <v>512</v>
      </c>
      <c r="S666" s="63" t="s">
        <v>22</v>
      </c>
      <c r="T666" s="68" t="s">
        <v>26781</v>
      </c>
      <c r="U666" s="68" t="s">
        <v>26570</v>
      </c>
      <c r="V666" s="68" t="s">
        <v>26573</v>
      </c>
      <c r="W666" s="68" t="s">
        <v>94</v>
      </c>
      <c r="X666" s="68">
        <v>4759</v>
      </c>
      <c r="Z666" s="68" t="s">
        <v>42968</v>
      </c>
      <c r="AA666" s="33">
        <v>7004</v>
      </c>
    </row>
    <row r="667" spans="1:27" ht="12" customHeight="1" x14ac:dyDescent="0.15">
      <c r="A667" s="10" t="s">
        <v>39186</v>
      </c>
      <c r="B667" s="99">
        <v>22</v>
      </c>
      <c r="C667" s="10" t="s">
        <v>14</v>
      </c>
      <c r="D667" s="68" t="s">
        <v>42</v>
      </c>
      <c r="E667" s="10"/>
      <c r="F667" s="67">
        <v>43614</v>
      </c>
      <c r="G667" s="10" t="s">
        <v>39187</v>
      </c>
      <c r="H667" s="10" t="s">
        <v>116</v>
      </c>
      <c r="I667" s="10" t="s">
        <v>67</v>
      </c>
      <c r="J667" s="65">
        <v>79101</v>
      </c>
      <c r="K667" s="70" t="s">
        <v>14029</v>
      </c>
      <c r="L667" s="10" t="s">
        <v>14030</v>
      </c>
      <c r="M667" s="10" t="s">
        <v>21</v>
      </c>
      <c r="N667" s="10" t="s">
        <v>39188</v>
      </c>
      <c r="O667" s="10" t="s">
        <v>372</v>
      </c>
      <c r="P667" s="1" t="s">
        <v>30089</v>
      </c>
      <c r="Q667" s="64" t="s">
        <v>39189</v>
      </c>
      <c r="R667" s="10" t="s">
        <v>94</v>
      </c>
      <c r="S667" s="63" t="s">
        <v>22</v>
      </c>
      <c r="T667" s="68" t="s">
        <v>26781</v>
      </c>
      <c r="U667" s="68" t="s">
        <v>26572</v>
      </c>
      <c r="V667" s="68" t="s">
        <v>26574</v>
      </c>
      <c r="W667" s="68" t="s">
        <v>94</v>
      </c>
      <c r="X667" s="68">
        <v>4757</v>
      </c>
      <c r="Z667" s="68" t="s">
        <v>42968</v>
      </c>
      <c r="AA667" s="33">
        <v>7000</v>
      </c>
    </row>
    <row r="668" spans="1:27" ht="12" customHeight="1" x14ac:dyDescent="0.15">
      <c r="A668" s="10" t="s">
        <v>41269</v>
      </c>
      <c r="B668" s="99">
        <v>62</v>
      </c>
      <c r="C668" s="10" t="s">
        <v>14</v>
      </c>
      <c r="D668" s="68" t="s">
        <v>31</v>
      </c>
      <c r="E668" s="10"/>
      <c r="F668" s="67">
        <v>43614</v>
      </c>
      <c r="G668" s="10" t="s">
        <v>41270</v>
      </c>
      <c r="H668" s="10" t="s">
        <v>205</v>
      </c>
      <c r="I668" s="10" t="s">
        <v>338</v>
      </c>
      <c r="J668" s="65">
        <v>28412</v>
      </c>
      <c r="K668" s="70" t="s">
        <v>7811</v>
      </c>
      <c r="L668" s="10" t="s">
        <v>207</v>
      </c>
      <c r="M668" s="10" t="s">
        <v>21</v>
      </c>
      <c r="N668" s="10" t="s">
        <v>41271</v>
      </c>
      <c r="O668" s="10" t="s">
        <v>372</v>
      </c>
      <c r="P668" s="1" t="s">
        <v>30089</v>
      </c>
      <c r="Q668" s="64" t="s">
        <v>41272</v>
      </c>
      <c r="R668" s="10" t="s">
        <v>512</v>
      </c>
      <c r="S668" s="63" t="s">
        <v>22</v>
      </c>
      <c r="T668" s="68" t="s">
        <v>26781</v>
      </c>
      <c r="U668" s="68" t="s">
        <v>26572</v>
      </c>
      <c r="V668" s="68" t="s">
        <v>26573</v>
      </c>
      <c r="W668" s="68" t="s">
        <v>94</v>
      </c>
      <c r="X668" s="68">
        <v>4758</v>
      </c>
      <c r="Z668" s="68" t="s">
        <v>42968</v>
      </c>
      <c r="AA668" s="33">
        <v>7001</v>
      </c>
    </row>
    <row r="669" spans="1:27" ht="12" customHeight="1" x14ac:dyDescent="0.15">
      <c r="A669" s="10" t="s">
        <v>37427</v>
      </c>
      <c r="B669" s="99">
        <v>21</v>
      </c>
      <c r="C669" s="10" t="s">
        <v>14</v>
      </c>
      <c r="D669" s="10" t="s">
        <v>79</v>
      </c>
      <c r="E669" s="64" t="s">
        <v>37428</v>
      </c>
      <c r="F669" s="67">
        <v>43613</v>
      </c>
      <c r="G669" s="10" t="s">
        <v>37429</v>
      </c>
      <c r="H669" s="10" t="s">
        <v>81</v>
      </c>
      <c r="I669" s="10" t="s">
        <v>38</v>
      </c>
      <c r="J669" s="65">
        <v>60617</v>
      </c>
      <c r="K669" s="70" t="s">
        <v>82</v>
      </c>
      <c r="L669" s="10" t="s">
        <v>83</v>
      </c>
      <c r="M669" s="10" t="s">
        <v>21</v>
      </c>
      <c r="N669" s="10" t="s">
        <v>37430</v>
      </c>
      <c r="O669" s="10" t="s">
        <v>372</v>
      </c>
      <c r="P669" s="1" t="s">
        <v>30089</v>
      </c>
      <c r="Q669" s="64" t="s">
        <v>37431</v>
      </c>
      <c r="R669" s="10" t="s">
        <v>94</v>
      </c>
      <c r="S669" s="63" t="s">
        <v>22</v>
      </c>
      <c r="T669" s="68" t="s">
        <v>26781</v>
      </c>
      <c r="U669" s="68" t="s">
        <v>26570</v>
      </c>
      <c r="V669" s="68" t="s">
        <v>26573</v>
      </c>
      <c r="W669" s="68" t="s">
        <v>94</v>
      </c>
      <c r="X669" s="68">
        <v>4746</v>
      </c>
      <c r="Z669" s="68" t="s">
        <v>42966</v>
      </c>
      <c r="AA669" s="33">
        <v>6999</v>
      </c>
    </row>
    <row r="670" spans="1:27" ht="12" customHeight="1" x14ac:dyDescent="0.15">
      <c r="A670" s="10" t="s">
        <v>37423</v>
      </c>
      <c r="B670" s="99">
        <v>44</v>
      </c>
      <c r="C670" s="10" t="s">
        <v>14</v>
      </c>
      <c r="D670" s="10" t="s">
        <v>79</v>
      </c>
      <c r="E670" s="10"/>
      <c r="F670" s="67">
        <v>43612</v>
      </c>
      <c r="G670" s="10" t="s">
        <v>37424</v>
      </c>
      <c r="H670" s="10" t="s">
        <v>3593</v>
      </c>
      <c r="I670" s="10" t="s">
        <v>38</v>
      </c>
      <c r="J670" s="65">
        <v>60432</v>
      </c>
      <c r="K670" s="70" t="s">
        <v>3595</v>
      </c>
      <c r="L670" s="10" t="s">
        <v>3596</v>
      </c>
      <c r="M670" s="10" t="s">
        <v>21</v>
      </c>
      <c r="N670" s="10" t="s">
        <v>37425</v>
      </c>
      <c r="O670" s="10" t="s">
        <v>372</v>
      </c>
      <c r="P670" s="1" t="s">
        <v>30089</v>
      </c>
      <c r="Q670" s="64" t="s">
        <v>37426</v>
      </c>
      <c r="R670" s="10" t="s">
        <v>94</v>
      </c>
      <c r="S670" s="63" t="s">
        <v>22</v>
      </c>
      <c r="T670" s="68" t="s">
        <v>26781</v>
      </c>
      <c r="U670" s="68" t="s">
        <v>26572</v>
      </c>
      <c r="V670" s="68" t="s">
        <v>26573</v>
      </c>
      <c r="W670" s="68" t="s">
        <v>94</v>
      </c>
      <c r="X670" s="68">
        <v>4745</v>
      </c>
      <c r="Z670" s="68" t="s">
        <v>42968</v>
      </c>
      <c r="AA670" s="33">
        <v>6997</v>
      </c>
    </row>
    <row r="671" spans="1:27" ht="12" customHeight="1" x14ac:dyDescent="0.15">
      <c r="A671" s="10" t="s">
        <v>40993</v>
      </c>
      <c r="B671" s="99">
        <v>49</v>
      </c>
      <c r="C671" s="10" t="s">
        <v>14</v>
      </c>
      <c r="D671" s="10" t="s">
        <v>31</v>
      </c>
      <c r="E671" s="64" t="s">
        <v>40994</v>
      </c>
      <c r="F671" s="67">
        <v>43612</v>
      </c>
      <c r="G671" s="10" t="s">
        <v>40995</v>
      </c>
      <c r="H671" s="10" t="s">
        <v>635</v>
      </c>
      <c r="I671" s="10" t="s">
        <v>337</v>
      </c>
      <c r="J671" s="65">
        <v>67213</v>
      </c>
      <c r="K671" s="70" t="s">
        <v>636</v>
      </c>
      <c r="L671" s="10" t="s">
        <v>40996</v>
      </c>
      <c r="M671" s="10" t="s">
        <v>21</v>
      </c>
      <c r="N671" s="10" t="s">
        <v>40997</v>
      </c>
      <c r="O671" s="10" t="s">
        <v>372</v>
      </c>
      <c r="P671" s="1" t="s">
        <v>30089</v>
      </c>
      <c r="Q671" s="64" t="s">
        <v>40998</v>
      </c>
      <c r="R671" s="10" t="s">
        <v>512</v>
      </c>
      <c r="S671" s="63" t="s">
        <v>22</v>
      </c>
      <c r="T671" s="68" t="s">
        <v>26781</v>
      </c>
      <c r="U671" s="68" t="s">
        <v>26572</v>
      </c>
      <c r="V671" s="68" t="s">
        <v>26574</v>
      </c>
      <c r="W671" s="68" t="s">
        <v>94</v>
      </c>
      <c r="X671" s="68">
        <v>4738</v>
      </c>
      <c r="Z671" s="68" t="s">
        <v>42966</v>
      </c>
      <c r="AA671" s="33">
        <v>6998</v>
      </c>
    </row>
    <row r="672" spans="1:27" ht="12" customHeight="1" x14ac:dyDescent="0.15">
      <c r="A672" s="10" t="s">
        <v>37419</v>
      </c>
      <c r="B672" s="99">
        <v>30</v>
      </c>
      <c r="C672" s="10" t="s">
        <v>14</v>
      </c>
      <c r="D672" s="10" t="s">
        <v>79</v>
      </c>
      <c r="E672" s="10"/>
      <c r="F672" s="67">
        <v>43611</v>
      </c>
      <c r="G672" s="10" t="s">
        <v>37420</v>
      </c>
      <c r="H672" s="10" t="s">
        <v>401</v>
      </c>
      <c r="I672" s="10" t="s">
        <v>402</v>
      </c>
      <c r="J672" s="65">
        <v>64132</v>
      </c>
      <c r="K672" s="70" t="s">
        <v>404</v>
      </c>
      <c r="L672" s="10" t="s">
        <v>405</v>
      </c>
      <c r="M672" s="10" t="s">
        <v>21</v>
      </c>
      <c r="N672" s="10" t="s">
        <v>37421</v>
      </c>
      <c r="O672" s="10" t="s">
        <v>372</v>
      </c>
      <c r="P672" s="1" t="s">
        <v>30089</v>
      </c>
      <c r="Q672" s="64" t="s">
        <v>37422</v>
      </c>
      <c r="R672" s="10" t="s">
        <v>94</v>
      </c>
      <c r="S672" s="63" t="s">
        <v>22</v>
      </c>
      <c r="T672" s="68" t="s">
        <v>26781</v>
      </c>
      <c r="U672" s="68" t="s">
        <v>26572</v>
      </c>
      <c r="V672" s="68" t="s">
        <v>26574</v>
      </c>
      <c r="W672" s="68" t="s">
        <v>94</v>
      </c>
      <c r="X672" s="68">
        <v>4737</v>
      </c>
      <c r="Z672" s="68" t="s">
        <v>42966</v>
      </c>
      <c r="AA672" s="33">
        <v>6995</v>
      </c>
    </row>
    <row r="673" spans="1:27" ht="12" customHeight="1" x14ac:dyDescent="0.15">
      <c r="A673" s="10" t="s">
        <v>38942</v>
      </c>
      <c r="B673" s="99">
        <v>48</v>
      </c>
      <c r="C673" s="10" t="s">
        <v>14</v>
      </c>
      <c r="D673" s="10" t="s">
        <v>24</v>
      </c>
      <c r="E673" s="10"/>
      <c r="F673" s="67">
        <v>43611</v>
      </c>
      <c r="G673" s="10" t="s">
        <v>38943</v>
      </c>
      <c r="H673" s="10" t="s">
        <v>739</v>
      </c>
      <c r="I673" s="10" t="s">
        <v>67</v>
      </c>
      <c r="J673" s="65">
        <v>79765</v>
      </c>
      <c r="K673" s="70" t="s">
        <v>740</v>
      </c>
      <c r="L673" s="10" t="s">
        <v>20883</v>
      </c>
      <c r="M673" s="10" t="s">
        <v>21</v>
      </c>
      <c r="N673" s="10" t="s">
        <v>38944</v>
      </c>
      <c r="O673" s="10" t="s">
        <v>372</v>
      </c>
      <c r="P673" s="1" t="s">
        <v>30089</v>
      </c>
      <c r="Q673" s="64" t="s">
        <v>38945</v>
      </c>
      <c r="R673" s="10" t="s">
        <v>94</v>
      </c>
      <c r="S673" s="63" t="s">
        <v>22</v>
      </c>
      <c r="T673" s="68" t="s">
        <v>26781</v>
      </c>
      <c r="U673" s="68" t="s">
        <v>26572</v>
      </c>
      <c r="V673" s="68">
        <v>0</v>
      </c>
      <c r="W673" s="68" t="s">
        <v>94</v>
      </c>
      <c r="X673" s="68">
        <v>4739</v>
      </c>
      <c r="Z673" s="68" t="s">
        <v>42968</v>
      </c>
      <c r="AA673" s="33">
        <v>6996</v>
      </c>
    </row>
    <row r="674" spans="1:27" ht="12" customHeight="1" x14ac:dyDescent="0.15">
      <c r="A674" s="10" t="s">
        <v>41955</v>
      </c>
      <c r="B674" s="99">
        <v>58</v>
      </c>
      <c r="C674" s="10" t="s">
        <v>14</v>
      </c>
      <c r="D674" s="10" t="s">
        <v>31</v>
      </c>
      <c r="E674" s="64" t="s">
        <v>41956</v>
      </c>
      <c r="F674" s="67">
        <v>43609</v>
      </c>
      <c r="G674" s="10" t="s">
        <v>41957</v>
      </c>
      <c r="H674" s="10" t="s">
        <v>2046</v>
      </c>
      <c r="I674" s="10" t="s">
        <v>56</v>
      </c>
      <c r="J674" s="65">
        <v>33311</v>
      </c>
      <c r="K674" s="70" t="s">
        <v>1052</v>
      </c>
      <c r="L674" s="10" t="s">
        <v>41958</v>
      </c>
      <c r="M674" s="10" t="s">
        <v>21</v>
      </c>
      <c r="N674" s="10" t="s">
        <v>41959</v>
      </c>
      <c r="O674" s="10" t="s">
        <v>372</v>
      </c>
      <c r="P674" s="1" t="s">
        <v>30089</v>
      </c>
      <c r="Q674" s="64" t="s">
        <v>41960</v>
      </c>
      <c r="R674" s="10" t="s">
        <v>94</v>
      </c>
      <c r="S674" s="63" t="s">
        <v>22</v>
      </c>
      <c r="T674" s="34" t="s">
        <v>26781</v>
      </c>
      <c r="U674" s="34" t="s">
        <v>26572</v>
      </c>
      <c r="V674" s="68"/>
      <c r="W674" s="68"/>
      <c r="X674" s="68">
        <v>4744</v>
      </c>
      <c r="Z674" s="68" t="s">
        <v>42968</v>
      </c>
      <c r="AA674" s="33">
        <v>6994</v>
      </c>
    </row>
    <row r="675" spans="1:27" ht="12" customHeight="1" x14ac:dyDescent="0.15">
      <c r="A675" s="63" t="s">
        <v>38691</v>
      </c>
      <c r="B675" s="101">
        <v>35</v>
      </c>
      <c r="C675" s="63" t="s">
        <v>14</v>
      </c>
      <c r="D675" s="63" t="s">
        <v>42</v>
      </c>
      <c r="E675" s="10"/>
      <c r="F675" s="67">
        <v>43609</v>
      </c>
      <c r="G675" s="10" t="s">
        <v>8958</v>
      </c>
      <c r="H675" s="10" t="s">
        <v>674</v>
      </c>
      <c r="I675" s="10" t="s">
        <v>67</v>
      </c>
      <c r="J675" s="65">
        <v>77048</v>
      </c>
      <c r="K675" s="70" t="s">
        <v>515</v>
      </c>
      <c r="L675" s="10" t="s">
        <v>675</v>
      </c>
      <c r="M675" s="10" t="s">
        <v>21</v>
      </c>
      <c r="N675" s="10" t="s">
        <v>38692</v>
      </c>
      <c r="O675" s="10" t="s">
        <v>372</v>
      </c>
      <c r="P675" s="1" t="s">
        <v>30089</v>
      </c>
      <c r="Q675" s="64" t="s">
        <v>38693</v>
      </c>
      <c r="R675" s="10" t="s">
        <v>94</v>
      </c>
      <c r="S675" s="63" t="s">
        <v>22</v>
      </c>
      <c r="T675" s="68" t="s">
        <v>26781</v>
      </c>
      <c r="U675" s="68" t="s">
        <v>26570</v>
      </c>
      <c r="V675" s="68" t="s">
        <v>26573</v>
      </c>
      <c r="W675" s="68" t="s">
        <v>94</v>
      </c>
      <c r="X675" s="68">
        <v>4740</v>
      </c>
      <c r="Z675" s="68" t="s">
        <v>42968</v>
      </c>
      <c r="AA675" s="33">
        <v>6993</v>
      </c>
    </row>
    <row r="676" spans="1:27" ht="12" customHeight="1" x14ac:dyDescent="0.15">
      <c r="A676" s="10" t="s">
        <v>38130</v>
      </c>
      <c r="B676" s="99">
        <v>41</v>
      </c>
      <c r="C676" s="10" t="s">
        <v>14</v>
      </c>
      <c r="D676" s="10" t="s">
        <v>31</v>
      </c>
      <c r="E676" s="64" t="s">
        <v>38131</v>
      </c>
      <c r="F676" s="67">
        <v>43609</v>
      </c>
      <c r="G676" s="10" t="s">
        <v>38132</v>
      </c>
      <c r="H676" s="10" t="s">
        <v>1620</v>
      </c>
      <c r="I676" s="10" t="s">
        <v>56</v>
      </c>
      <c r="J676" s="65">
        <v>32966</v>
      </c>
      <c r="K676" s="70" t="s">
        <v>1621</v>
      </c>
      <c r="L676" s="10" t="s">
        <v>1622</v>
      </c>
      <c r="M676" s="10" t="s">
        <v>21</v>
      </c>
      <c r="N676" s="10" t="s">
        <v>38133</v>
      </c>
      <c r="O676" s="10" t="s">
        <v>372</v>
      </c>
      <c r="P676" s="1" t="s">
        <v>30089</v>
      </c>
      <c r="Q676" s="64" t="s">
        <v>38134</v>
      </c>
      <c r="R676" s="10" t="s">
        <v>94</v>
      </c>
      <c r="S676" s="63" t="s">
        <v>22</v>
      </c>
      <c r="T676" s="68" t="s">
        <v>26781</v>
      </c>
      <c r="U676" s="68" t="s">
        <v>26572</v>
      </c>
      <c r="V676" s="68" t="s">
        <v>26571</v>
      </c>
      <c r="W676" s="68" t="s">
        <v>94</v>
      </c>
      <c r="X676" s="68">
        <v>5439</v>
      </c>
      <c r="Z676" s="68" t="s">
        <v>42967</v>
      </c>
      <c r="AA676" s="33">
        <v>6992</v>
      </c>
    </row>
    <row r="677" spans="1:27" ht="12" customHeight="1" x14ac:dyDescent="0.15">
      <c r="A677" s="10" t="s">
        <v>41961</v>
      </c>
      <c r="B677" s="99">
        <v>56</v>
      </c>
      <c r="C677" s="10" t="s">
        <v>14</v>
      </c>
      <c r="D677" s="10" t="s">
        <v>31</v>
      </c>
      <c r="E677" s="64" t="s">
        <v>41962</v>
      </c>
      <c r="F677" s="67">
        <v>43608</v>
      </c>
      <c r="G677" s="10" t="s">
        <v>41963</v>
      </c>
      <c r="H677" s="10" t="s">
        <v>635</v>
      </c>
      <c r="I677" s="10" t="s">
        <v>337</v>
      </c>
      <c r="J677" s="65">
        <v>67217</v>
      </c>
      <c r="K677" s="70" t="s">
        <v>636</v>
      </c>
      <c r="L677" s="10" t="s">
        <v>637</v>
      </c>
      <c r="M677" s="10" t="s">
        <v>21</v>
      </c>
      <c r="N677" s="10" t="s">
        <v>41964</v>
      </c>
      <c r="O677" s="10" t="s">
        <v>372</v>
      </c>
      <c r="P677" s="1" t="s">
        <v>30089</v>
      </c>
      <c r="Q677" s="64" t="s">
        <v>41965</v>
      </c>
      <c r="R677" s="10" t="s">
        <v>94</v>
      </c>
      <c r="S677" s="63" t="s">
        <v>22</v>
      </c>
      <c r="T677" s="34" t="s">
        <v>26781</v>
      </c>
      <c r="U677" s="34" t="s">
        <v>26572</v>
      </c>
      <c r="V677" s="68"/>
      <c r="W677" s="68"/>
      <c r="X677" s="68">
        <v>4760</v>
      </c>
      <c r="Z677" s="68" t="s">
        <v>42968</v>
      </c>
      <c r="AA677" s="33">
        <v>6990</v>
      </c>
    </row>
    <row r="678" spans="1:27" ht="12" customHeight="1" x14ac:dyDescent="0.15">
      <c r="A678" s="10" t="s">
        <v>40110</v>
      </c>
      <c r="B678" s="99">
        <v>41</v>
      </c>
      <c r="C678" s="10" t="s">
        <v>14</v>
      </c>
      <c r="D678" s="10" t="s">
        <v>31</v>
      </c>
      <c r="E678" s="64" t="s">
        <v>40111</v>
      </c>
      <c r="F678" s="67">
        <v>43608</v>
      </c>
      <c r="G678" s="10" t="s">
        <v>2288</v>
      </c>
      <c r="H678" s="10" t="s">
        <v>995</v>
      </c>
      <c r="I678" s="10" t="s">
        <v>395</v>
      </c>
      <c r="J678" s="65">
        <v>12549</v>
      </c>
      <c r="K678" s="70" t="s">
        <v>998</v>
      </c>
      <c r="L678" s="10" t="s">
        <v>20831</v>
      </c>
      <c r="M678" s="10" t="s">
        <v>21</v>
      </c>
      <c r="N678" s="10" t="s">
        <v>40112</v>
      </c>
      <c r="O678" s="10" t="s">
        <v>372</v>
      </c>
      <c r="P678" s="1" t="s">
        <v>30089</v>
      </c>
      <c r="Q678" s="64" t="s">
        <v>40113</v>
      </c>
      <c r="R678" s="10" t="s">
        <v>94</v>
      </c>
      <c r="S678" s="63" t="s">
        <v>12</v>
      </c>
      <c r="T678" s="68" t="s">
        <v>29705</v>
      </c>
      <c r="U678" s="68" t="s">
        <v>26570</v>
      </c>
      <c r="V678" s="68" t="s">
        <v>26573</v>
      </c>
      <c r="W678" s="68" t="s">
        <v>94</v>
      </c>
      <c r="X678" s="68">
        <v>5438</v>
      </c>
      <c r="Z678" s="68" t="s">
        <v>42967</v>
      </c>
      <c r="AA678" s="33">
        <v>6991</v>
      </c>
    </row>
    <row r="679" spans="1:27" ht="12" customHeight="1" x14ac:dyDescent="0.15">
      <c r="A679" s="10" t="s">
        <v>40927</v>
      </c>
      <c r="B679" s="99">
        <v>28</v>
      </c>
      <c r="C679" s="10" t="s">
        <v>14</v>
      </c>
      <c r="D679" s="10" t="s">
        <v>31</v>
      </c>
      <c r="E679" s="64" t="s">
        <v>40928</v>
      </c>
      <c r="F679" s="67">
        <v>43608</v>
      </c>
      <c r="G679" s="10" t="s">
        <v>40929</v>
      </c>
      <c r="H679" s="10" t="s">
        <v>40930</v>
      </c>
      <c r="I679" s="10" t="s">
        <v>621</v>
      </c>
      <c r="J679" s="65">
        <v>39426</v>
      </c>
      <c r="K679" s="70" t="s">
        <v>30187</v>
      </c>
      <c r="L679" s="10" t="s">
        <v>40931</v>
      </c>
      <c r="M679" s="10" t="s">
        <v>21</v>
      </c>
      <c r="N679" s="10" t="s">
        <v>40932</v>
      </c>
      <c r="O679" s="10" t="s">
        <v>372</v>
      </c>
      <c r="P679" s="1" t="s">
        <v>30089</v>
      </c>
      <c r="Q679" s="64" t="s">
        <v>40933</v>
      </c>
      <c r="R679" s="10" t="s">
        <v>512</v>
      </c>
      <c r="S679" s="63" t="s">
        <v>22</v>
      </c>
      <c r="T679" s="68" t="s">
        <v>26781</v>
      </c>
      <c r="U679" s="68" t="s">
        <v>26572</v>
      </c>
      <c r="V679" s="68" t="s">
        <v>26571</v>
      </c>
      <c r="W679" s="68" t="s">
        <v>94</v>
      </c>
      <c r="X679" s="68">
        <v>4743</v>
      </c>
      <c r="Z679" s="68" t="s">
        <v>42967</v>
      </c>
      <c r="AA679" s="33">
        <v>6989</v>
      </c>
    </row>
    <row r="680" spans="1:27" ht="12" customHeight="1" x14ac:dyDescent="0.15">
      <c r="A680" s="10" t="s">
        <v>41762</v>
      </c>
      <c r="B680" s="99">
        <v>26</v>
      </c>
      <c r="C680" s="10" t="s">
        <v>14</v>
      </c>
      <c r="D680" s="10" t="s">
        <v>79</v>
      </c>
      <c r="E680" s="64" t="s">
        <v>41763</v>
      </c>
      <c r="F680" s="67">
        <v>43607</v>
      </c>
      <c r="G680" s="10" t="s">
        <v>41764</v>
      </c>
      <c r="H680" s="10" t="s">
        <v>1678</v>
      </c>
      <c r="I680" s="10" t="s">
        <v>198</v>
      </c>
      <c r="J680" s="65">
        <v>46806</v>
      </c>
      <c r="K680" s="70" t="s">
        <v>1680</v>
      </c>
      <c r="L680" s="10" t="s">
        <v>1681</v>
      </c>
      <c r="M680" s="10" t="s">
        <v>21</v>
      </c>
      <c r="N680" s="10" t="s">
        <v>41765</v>
      </c>
      <c r="O680" s="70" t="s">
        <v>372</v>
      </c>
      <c r="P680" s="1" t="s">
        <v>30089</v>
      </c>
      <c r="Q680" s="64" t="s">
        <v>41766</v>
      </c>
      <c r="R680" s="10" t="s">
        <v>94</v>
      </c>
      <c r="S680" s="63" t="s">
        <v>22</v>
      </c>
      <c r="T680" s="34" t="s">
        <v>35257</v>
      </c>
      <c r="U680" s="34" t="s">
        <v>26572</v>
      </c>
      <c r="V680" s="68"/>
      <c r="W680" s="68"/>
      <c r="X680" s="68">
        <v>4755</v>
      </c>
      <c r="Z680" s="68" t="s">
        <v>42966</v>
      </c>
      <c r="AA680" s="33">
        <v>6988</v>
      </c>
    </row>
    <row r="681" spans="1:27" ht="12" customHeight="1" x14ac:dyDescent="0.15">
      <c r="A681" s="10" t="s">
        <v>41757</v>
      </c>
      <c r="B681" s="99">
        <v>22</v>
      </c>
      <c r="C681" s="10" t="s">
        <v>14</v>
      </c>
      <c r="D681" s="10" t="s">
        <v>79</v>
      </c>
      <c r="E681" s="64" t="s">
        <v>41758</v>
      </c>
      <c r="F681" s="67">
        <v>43607</v>
      </c>
      <c r="G681" s="10" t="s">
        <v>41759</v>
      </c>
      <c r="H681" s="10" t="s">
        <v>81</v>
      </c>
      <c r="I681" s="10" t="s">
        <v>38</v>
      </c>
      <c r="J681" s="65">
        <v>60637</v>
      </c>
      <c r="K681" s="70" t="s">
        <v>82</v>
      </c>
      <c r="L681" s="10" t="s">
        <v>83</v>
      </c>
      <c r="M681" s="10" t="s">
        <v>21</v>
      </c>
      <c r="N681" s="10" t="s">
        <v>41760</v>
      </c>
      <c r="O681" s="10" t="s">
        <v>372</v>
      </c>
      <c r="P681" s="1" t="s">
        <v>30089</v>
      </c>
      <c r="Q681" s="64" t="s">
        <v>41761</v>
      </c>
      <c r="R681" s="10" t="s">
        <v>512</v>
      </c>
      <c r="S681" s="63" t="s">
        <v>22</v>
      </c>
      <c r="T681" s="34" t="s">
        <v>26781</v>
      </c>
      <c r="U681" s="34" t="s">
        <v>26572</v>
      </c>
      <c r="V681" s="68"/>
      <c r="W681" s="68"/>
      <c r="X681" s="68">
        <v>5423</v>
      </c>
      <c r="Z681" s="68" t="s">
        <v>42966</v>
      </c>
      <c r="AA681" s="33">
        <v>6985</v>
      </c>
    </row>
    <row r="682" spans="1:27" ht="12" customHeight="1" x14ac:dyDescent="0.15">
      <c r="A682" s="10" t="s">
        <v>38135</v>
      </c>
      <c r="B682" s="99">
        <v>33</v>
      </c>
      <c r="C682" s="10" t="s">
        <v>14</v>
      </c>
      <c r="D682" s="10" t="s">
        <v>31</v>
      </c>
      <c r="E682" s="10"/>
      <c r="F682" s="67">
        <v>43607</v>
      </c>
      <c r="G682" s="10" t="s">
        <v>38136</v>
      </c>
      <c r="H682" s="10" t="s">
        <v>8405</v>
      </c>
      <c r="I682" s="10" t="s">
        <v>409</v>
      </c>
      <c r="J682" s="65">
        <v>54806</v>
      </c>
      <c r="K682" s="10" t="s">
        <v>8405</v>
      </c>
      <c r="L682" s="10" t="s">
        <v>5161</v>
      </c>
      <c r="M682" s="10" t="s">
        <v>21</v>
      </c>
      <c r="N682" s="10" t="s">
        <v>38137</v>
      </c>
      <c r="O682" s="10" t="s">
        <v>372</v>
      </c>
      <c r="P682" s="1" t="s">
        <v>30089</v>
      </c>
      <c r="Q682" s="64" t="s">
        <v>38138</v>
      </c>
      <c r="R682" s="10" t="s">
        <v>94</v>
      </c>
      <c r="S682" s="63" t="s">
        <v>22</v>
      </c>
      <c r="T682" s="68" t="s">
        <v>26781</v>
      </c>
      <c r="U682" s="68" t="s">
        <v>26570</v>
      </c>
      <c r="V682" s="68" t="s">
        <v>26571</v>
      </c>
      <c r="W682" s="68" t="s">
        <v>94</v>
      </c>
      <c r="X682" s="68">
        <v>5422</v>
      </c>
      <c r="Z682" s="68" t="s">
        <v>42967</v>
      </c>
      <c r="AA682" s="33">
        <v>6984</v>
      </c>
    </row>
    <row r="683" spans="1:27" ht="12" customHeight="1" x14ac:dyDescent="0.15">
      <c r="A683" s="10" t="s">
        <v>3002</v>
      </c>
      <c r="B683" s="70"/>
      <c r="C683" s="10" t="s">
        <v>14</v>
      </c>
      <c r="D683" s="10" t="s">
        <v>24</v>
      </c>
      <c r="E683" s="10"/>
      <c r="F683" s="67">
        <v>43607</v>
      </c>
      <c r="G683" s="10" t="s">
        <v>42329</v>
      </c>
      <c r="H683" s="10" t="s">
        <v>25563</v>
      </c>
      <c r="I683" s="10" t="s">
        <v>56</v>
      </c>
      <c r="J683" s="65">
        <v>32065</v>
      </c>
      <c r="K683" s="70" t="s">
        <v>3117</v>
      </c>
      <c r="L683" s="10" t="s">
        <v>3118</v>
      </c>
      <c r="M683" s="10" t="s">
        <v>21</v>
      </c>
      <c r="N683" s="10" t="s">
        <v>42330</v>
      </c>
      <c r="O683" s="10" t="s">
        <v>372</v>
      </c>
      <c r="P683" s="1" t="s">
        <v>30089</v>
      </c>
      <c r="Q683" s="64" t="s">
        <v>42331</v>
      </c>
      <c r="R683" s="10" t="s">
        <v>94</v>
      </c>
      <c r="S683" s="63" t="s">
        <v>22</v>
      </c>
      <c r="T683" s="34" t="s">
        <v>26781</v>
      </c>
      <c r="U683" s="34" t="s">
        <v>26572</v>
      </c>
      <c r="V683" s="68"/>
      <c r="W683" s="68"/>
      <c r="X683" s="68">
        <v>5437</v>
      </c>
      <c r="Z683" s="68" t="s">
        <v>42968</v>
      </c>
      <c r="AA683" s="33">
        <v>6987</v>
      </c>
    </row>
    <row r="684" spans="1:27" ht="12" customHeight="1" x14ac:dyDescent="0.15">
      <c r="A684" s="10" t="s">
        <v>41966</v>
      </c>
      <c r="B684" s="99">
        <v>47</v>
      </c>
      <c r="C684" s="10" t="s">
        <v>14</v>
      </c>
      <c r="D684" s="10" t="s">
        <v>31</v>
      </c>
      <c r="E684" s="64" t="s">
        <v>41967</v>
      </c>
      <c r="F684" s="67">
        <v>43607</v>
      </c>
      <c r="G684" s="10" t="s">
        <v>41968</v>
      </c>
      <c r="H684" s="10" t="s">
        <v>41969</v>
      </c>
      <c r="I684" s="10" t="s">
        <v>26</v>
      </c>
      <c r="J684" s="65">
        <v>29349</v>
      </c>
      <c r="K684" s="70" t="s">
        <v>2643</v>
      </c>
      <c r="L684" s="10" t="s">
        <v>2756</v>
      </c>
      <c r="M684" s="10" t="s">
        <v>21</v>
      </c>
      <c r="N684" s="10" t="s">
        <v>41970</v>
      </c>
      <c r="O684" s="10" t="s">
        <v>372</v>
      </c>
      <c r="P684" s="1" t="s">
        <v>30089</v>
      </c>
      <c r="Q684" s="64" t="s">
        <v>41971</v>
      </c>
      <c r="R684" s="10" t="s">
        <v>94</v>
      </c>
      <c r="S684" s="63" t="s">
        <v>22</v>
      </c>
      <c r="T684" s="34" t="s">
        <v>26781</v>
      </c>
      <c r="U684" s="34" t="s">
        <v>26572</v>
      </c>
      <c r="V684" s="68"/>
      <c r="W684" s="68"/>
      <c r="X684" s="68"/>
      <c r="Z684" s="68" t="s">
        <v>42968</v>
      </c>
      <c r="AA684" s="33">
        <v>6986</v>
      </c>
    </row>
    <row r="685" spans="1:27" ht="12" customHeight="1" x14ac:dyDescent="0.15">
      <c r="A685" s="10" t="s">
        <v>42109</v>
      </c>
      <c r="B685" s="99">
        <v>42</v>
      </c>
      <c r="C685" s="10" t="s">
        <v>14</v>
      </c>
      <c r="D685" s="10" t="s">
        <v>42</v>
      </c>
      <c r="E685" s="10"/>
      <c r="F685" s="67">
        <v>43606</v>
      </c>
      <c r="G685" s="10" t="s">
        <v>42110</v>
      </c>
      <c r="H685" s="10" t="s">
        <v>6899</v>
      </c>
      <c r="I685" s="10" t="s">
        <v>39</v>
      </c>
      <c r="J685" s="65">
        <v>90262</v>
      </c>
      <c r="K685" s="70" t="s">
        <v>92</v>
      </c>
      <c r="L685" s="10" t="s">
        <v>386</v>
      </c>
      <c r="M685" s="10" t="s">
        <v>21</v>
      </c>
      <c r="N685" s="10" t="s">
        <v>42111</v>
      </c>
      <c r="O685" s="10" t="s">
        <v>372</v>
      </c>
      <c r="P685" s="1" t="s">
        <v>30089</v>
      </c>
      <c r="Q685" s="64" t="s">
        <v>42112</v>
      </c>
      <c r="R685" s="10" t="s">
        <v>904</v>
      </c>
      <c r="S685" s="63" t="s">
        <v>22</v>
      </c>
      <c r="T685" s="34" t="s">
        <v>26594</v>
      </c>
      <c r="U685" s="34" t="s">
        <v>26572</v>
      </c>
      <c r="V685" s="68"/>
      <c r="W685" s="68"/>
      <c r="X685" s="68">
        <v>4741</v>
      </c>
      <c r="Z685" s="68" t="s">
        <v>42966</v>
      </c>
      <c r="AA685" s="33">
        <v>6981</v>
      </c>
    </row>
    <row r="686" spans="1:27" ht="12" customHeight="1" x14ac:dyDescent="0.15">
      <c r="A686" s="10" t="s">
        <v>40215</v>
      </c>
      <c r="B686" s="99">
        <v>21</v>
      </c>
      <c r="C686" s="10" t="s">
        <v>14</v>
      </c>
      <c r="D686" s="68" t="s">
        <v>42</v>
      </c>
      <c r="E686" s="10"/>
      <c r="F686" s="67">
        <v>43606</v>
      </c>
      <c r="G686" s="10" t="s">
        <v>40216</v>
      </c>
      <c r="H686" s="10" t="s">
        <v>40217</v>
      </c>
      <c r="I686" s="10" t="s">
        <v>39</v>
      </c>
      <c r="J686" s="65">
        <v>93561</v>
      </c>
      <c r="K686" s="70" t="s">
        <v>632</v>
      </c>
      <c r="L686" s="10" t="s">
        <v>2803</v>
      </c>
      <c r="M686" s="10" t="s">
        <v>21</v>
      </c>
      <c r="N686" s="10" t="s">
        <v>40218</v>
      </c>
      <c r="O686" s="10" t="s">
        <v>372</v>
      </c>
      <c r="P686" s="1" t="s">
        <v>30089</v>
      </c>
      <c r="Q686" s="64" t="s">
        <v>40219</v>
      </c>
      <c r="R686" s="10" t="s">
        <v>94</v>
      </c>
      <c r="S686" s="63" t="s">
        <v>29</v>
      </c>
      <c r="T686" s="68" t="s">
        <v>26594</v>
      </c>
      <c r="U686" s="68" t="s">
        <v>26570</v>
      </c>
      <c r="V686" s="68">
        <v>0</v>
      </c>
      <c r="W686" s="68" t="s">
        <v>94</v>
      </c>
      <c r="X686" s="68">
        <v>5420</v>
      </c>
      <c r="Z686" s="68" t="s">
        <v>42967</v>
      </c>
      <c r="AA686" s="33">
        <v>6982</v>
      </c>
    </row>
    <row r="687" spans="1:27" ht="12" customHeight="1" x14ac:dyDescent="0.15">
      <c r="A687" s="10" t="s">
        <v>42332</v>
      </c>
      <c r="B687" s="99">
        <v>32</v>
      </c>
      <c r="C687" s="10" t="s">
        <v>14</v>
      </c>
      <c r="D687" s="10" t="s">
        <v>24</v>
      </c>
      <c r="E687" s="10"/>
      <c r="F687" s="67">
        <v>43606</v>
      </c>
      <c r="G687" s="10" t="s">
        <v>42333</v>
      </c>
      <c r="H687" s="10" t="s">
        <v>42334</v>
      </c>
      <c r="I687" s="10" t="s">
        <v>294</v>
      </c>
      <c r="J687" s="65">
        <v>41773</v>
      </c>
      <c r="K687" s="70" t="s">
        <v>2319</v>
      </c>
      <c r="L687" s="10" t="s">
        <v>18258</v>
      </c>
      <c r="M687" s="10" t="s">
        <v>21</v>
      </c>
      <c r="N687" s="10" t="s">
        <v>42335</v>
      </c>
      <c r="O687" s="10" t="s">
        <v>372</v>
      </c>
      <c r="P687" s="1" t="s">
        <v>30089</v>
      </c>
      <c r="Q687" s="64" t="s">
        <v>42336</v>
      </c>
      <c r="R687" s="10" t="s">
        <v>94</v>
      </c>
      <c r="S687" s="63" t="s">
        <v>351</v>
      </c>
      <c r="T687" s="34" t="s">
        <v>26867</v>
      </c>
      <c r="U687" s="34" t="s">
        <v>26572</v>
      </c>
      <c r="V687" s="68"/>
      <c r="W687" s="68"/>
      <c r="X687" s="68"/>
      <c r="Z687" s="68" t="s">
        <v>42967</v>
      </c>
      <c r="AA687" s="33">
        <v>6983</v>
      </c>
    </row>
    <row r="688" spans="1:27" ht="12" customHeight="1" x14ac:dyDescent="0.15">
      <c r="A688" s="10" t="s">
        <v>41972</v>
      </c>
      <c r="B688" s="99">
        <v>29</v>
      </c>
      <c r="C688" s="10" t="s">
        <v>14</v>
      </c>
      <c r="D688" s="10" t="s">
        <v>31</v>
      </c>
      <c r="E688" s="64" t="s">
        <v>41973</v>
      </c>
      <c r="F688" s="67">
        <v>43606</v>
      </c>
      <c r="G688" s="10" t="s">
        <v>41974</v>
      </c>
      <c r="H688" s="10" t="s">
        <v>4932</v>
      </c>
      <c r="I688" s="10" t="s">
        <v>4034</v>
      </c>
      <c r="J688" s="65">
        <v>4210</v>
      </c>
      <c r="K688" s="70" t="s">
        <v>32646</v>
      </c>
      <c r="L688" s="10" t="s">
        <v>27634</v>
      </c>
      <c r="M688" s="10" t="s">
        <v>21</v>
      </c>
      <c r="N688" s="10" t="s">
        <v>41975</v>
      </c>
      <c r="O688" s="10" t="s">
        <v>372</v>
      </c>
      <c r="P688" s="1" t="s">
        <v>30089</v>
      </c>
      <c r="Q688" s="64" t="s">
        <v>41976</v>
      </c>
      <c r="R688" s="10" t="s">
        <v>94</v>
      </c>
      <c r="S688" s="63" t="s">
        <v>22</v>
      </c>
      <c r="T688" s="34" t="s">
        <v>26781</v>
      </c>
      <c r="U688" s="34" t="s">
        <v>26572</v>
      </c>
      <c r="V688" s="68"/>
      <c r="W688" s="68"/>
      <c r="X688" s="68">
        <v>5421</v>
      </c>
      <c r="Z688" s="68" t="s">
        <v>42968</v>
      </c>
      <c r="AA688" s="33">
        <v>6980</v>
      </c>
    </row>
    <row r="689" spans="1:27" ht="12" customHeight="1" x14ac:dyDescent="0.15">
      <c r="A689" s="10" t="s">
        <v>37801</v>
      </c>
      <c r="B689" s="99">
        <v>45</v>
      </c>
      <c r="C689" s="10" t="s">
        <v>14</v>
      </c>
      <c r="D689" s="10" t="s">
        <v>79</v>
      </c>
      <c r="E689" s="64" t="s">
        <v>37802</v>
      </c>
      <c r="F689" s="67">
        <v>43605</v>
      </c>
      <c r="G689" s="10" t="s">
        <v>37803</v>
      </c>
      <c r="H689" s="10" t="s">
        <v>3910</v>
      </c>
      <c r="I689" s="10" t="s">
        <v>56</v>
      </c>
      <c r="J689" s="65">
        <v>33056</v>
      </c>
      <c r="K689" s="10" t="s">
        <v>148</v>
      </c>
      <c r="L689" s="10" t="s">
        <v>149</v>
      </c>
      <c r="M689" s="10" t="s">
        <v>21</v>
      </c>
      <c r="N689" s="10" t="s">
        <v>37804</v>
      </c>
      <c r="O689" s="10" t="s">
        <v>372</v>
      </c>
      <c r="P689" s="1" t="s">
        <v>30089</v>
      </c>
      <c r="Q689" s="64" t="s">
        <v>37805</v>
      </c>
      <c r="R689" s="10" t="s">
        <v>94</v>
      </c>
      <c r="S689" s="63" t="s">
        <v>22</v>
      </c>
      <c r="T689" s="68" t="s">
        <v>26781</v>
      </c>
      <c r="U689" s="68" t="s">
        <v>26572</v>
      </c>
      <c r="V689" s="68" t="s">
        <v>26573</v>
      </c>
      <c r="W689" s="68" t="s">
        <v>94</v>
      </c>
      <c r="X689" s="68">
        <v>4742</v>
      </c>
      <c r="Z689" s="68" t="s">
        <v>42968</v>
      </c>
      <c r="AA689" s="33">
        <v>6976</v>
      </c>
    </row>
    <row r="690" spans="1:27" ht="12" customHeight="1" x14ac:dyDescent="0.15">
      <c r="A690" s="10" t="s">
        <v>39789</v>
      </c>
      <c r="B690" s="99">
        <v>46</v>
      </c>
      <c r="C690" s="10" t="s">
        <v>14</v>
      </c>
      <c r="D690" s="68" t="s">
        <v>42</v>
      </c>
      <c r="E690" s="63"/>
      <c r="F690" s="67">
        <v>43605</v>
      </c>
      <c r="G690" s="10" t="s">
        <v>39790</v>
      </c>
      <c r="H690" s="10" t="s">
        <v>598</v>
      </c>
      <c r="I690" s="10" t="s">
        <v>338</v>
      </c>
      <c r="J690" s="65">
        <v>27263</v>
      </c>
      <c r="K690" s="10" t="s">
        <v>14479</v>
      </c>
      <c r="L690" s="10" t="s">
        <v>39791</v>
      </c>
      <c r="M690" s="10" t="s">
        <v>21</v>
      </c>
      <c r="N690" s="10" t="s">
        <v>39792</v>
      </c>
      <c r="O690" s="10" t="s">
        <v>372</v>
      </c>
      <c r="P690" s="1" t="s">
        <v>30089</v>
      </c>
      <c r="Q690" s="64" t="s">
        <v>39793</v>
      </c>
      <c r="R690" s="10" t="s">
        <v>94</v>
      </c>
      <c r="S690" s="63" t="s">
        <v>22</v>
      </c>
      <c r="T690" s="68" t="s">
        <v>26774</v>
      </c>
      <c r="U690" s="68" t="s">
        <v>26572</v>
      </c>
      <c r="V690" s="68" t="s">
        <v>26573</v>
      </c>
      <c r="W690" s="68" t="s">
        <v>94</v>
      </c>
      <c r="X690" s="68">
        <v>4724</v>
      </c>
      <c r="Z690" s="68" t="s">
        <v>42968</v>
      </c>
      <c r="AA690" s="33">
        <v>6979</v>
      </c>
    </row>
    <row r="691" spans="1:27" ht="12" customHeight="1" x14ac:dyDescent="0.15">
      <c r="A691" s="10" t="s">
        <v>38125</v>
      </c>
      <c r="B691" s="99">
        <v>47</v>
      </c>
      <c r="C691" s="10" t="s">
        <v>103</v>
      </c>
      <c r="D691" s="10" t="s">
        <v>31</v>
      </c>
      <c r="E691" s="64" t="s">
        <v>38126</v>
      </c>
      <c r="F691" s="67">
        <v>43605</v>
      </c>
      <c r="G691" s="10" t="s">
        <v>38127</v>
      </c>
      <c r="H691" s="10" t="s">
        <v>8434</v>
      </c>
      <c r="I691" s="10" t="s">
        <v>178</v>
      </c>
      <c r="J691" s="65">
        <v>88220</v>
      </c>
      <c r="K691" s="10" t="s">
        <v>8436</v>
      </c>
      <c r="L691" s="10" t="s">
        <v>8437</v>
      </c>
      <c r="M691" s="10" t="s">
        <v>21</v>
      </c>
      <c r="N691" s="10" t="s">
        <v>38128</v>
      </c>
      <c r="O691" s="10" t="s">
        <v>372</v>
      </c>
      <c r="P691" s="1" t="s">
        <v>30089</v>
      </c>
      <c r="Q691" s="64" t="s">
        <v>38129</v>
      </c>
      <c r="R691" s="10" t="s">
        <v>512</v>
      </c>
      <c r="S691" s="63" t="s">
        <v>22</v>
      </c>
      <c r="T691" s="68" t="s">
        <v>26781</v>
      </c>
      <c r="U691" s="68" t="s">
        <v>26572</v>
      </c>
      <c r="V691" s="68" t="s">
        <v>26573</v>
      </c>
      <c r="W691" s="68" t="s">
        <v>94</v>
      </c>
      <c r="X691" s="68">
        <v>4736</v>
      </c>
      <c r="Z691" s="68" t="s">
        <v>42968</v>
      </c>
      <c r="AA691" s="33">
        <v>6977</v>
      </c>
    </row>
    <row r="692" spans="1:27" ht="12" customHeight="1" x14ac:dyDescent="0.15">
      <c r="A692" s="1" t="s">
        <v>37083</v>
      </c>
      <c r="B692" s="1">
        <v>34</v>
      </c>
      <c r="C692" s="1" t="s">
        <v>103</v>
      </c>
      <c r="D692" s="1" t="s">
        <v>24</v>
      </c>
      <c r="E692" s="1"/>
      <c r="F692" s="67">
        <v>43605</v>
      </c>
      <c r="G692" s="1" t="s">
        <v>37084</v>
      </c>
      <c r="H692" s="1" t="s">
        <v>37085</v>
      </c>
      <c r="I692" s="1" t="s">
        <v>367</v>
      </c>
      <c r="J692" s="1">
        <v>74631</v>
      </c>
      <c r="K692" s="1" t="s">
        <v>24664</v>
      </c>
      <c r="L692" s="1" t="s">
        <v>37086</v>
      </c>
      <c r="M692" s="1" t="s">
        <v>21</v>
      </c>
      <c r="N692" s="1" t="s">
        <v>37087</v>
      </c>
      <c r="O692" s="1" t="s">
        <v>32706</v>
      </c>
      <c r="P692" s="1" t="s">
        <v>30089</v>
      </c>
      <c r="Q692" s="1" t="s">
        <v>37088</v>
      </c>
      <c r="R692" s="1" t="s">
        <v>94</v>
      </c>
      <c r="S692" s="63" t="s">
        <v>22</v>
      </c>
      <c r="T692" s="68" t="s">
        <v>26781</v>
      </c>
      <c r="U692" s="68" t="s">
        <v>26572</v>
      </c>
      <c r="V692" s="68" t="s">
        <v>26571</v>
      </c>
      <c r="W692" s="68" t="s">
        <v>94</v>
      </c>
      <c r="X692" s="68">
        <v>4723</v>
      </c>
      <c r="Z692" s="1" t="s">
        <v>42967</v>
      </c>
      <c r="AA692" s="33">
        <v>6975</v>
      </c>
    </row>
    <row r="693" spans="1:27" ht="12" customHeight="1" x14ac:dyDescent="0.15">
      <c r="A693" s="10" t="s">
        <v>39403</v>
      </c>
      <c r="B693" s="99">
        <v>26</v>
      </c>
      <c r="C693" s="10" t="s">
        <v>14</v>
      </c>
      <c r="D693" s="10" t="s">
        <v>79</v>
      </c>
      <c r="E693" s="63"/>
      <c r="F693" s="67">
        <v>43605</v>
      </c>
      <c r="G693" s="10" t="s">
        <v>39404</v>
      </c>
      <c r="H693" s="10" t="s">
        <v>4932</v>
      </c>
      <c r="I693" s="10" t="s">
        <v>282</v>
      </c>
      <c r="J693" s="65">
        <v>98092</v>
      </c>
      <c r="K693" s="10" t="s">
        <v>1133</v>
      </c>
      <c r="L693" s="10" t="s">
        <v>10523</v>
      </c>
      <c r="M693" s="10" t="s">
        <v>21</v>
      </c>
      <c r="N693" s="10" t="s">
        <v>39405</v>
      </c>
      <c r="O693" s="10" t="s">
        <v>372</v>
      </c>
      <c r="P693" s="1" t="s">
        <v>30089</v>
      </c>
      <c r="Q693" s="64" t="s">
        <v>39406</v>
      </c>
      <c r="R693" s="10" t="s">
        <v>94</v>
      </c>
      <c r="S693" s="63" t="s">
        <v>22</v>
      </c>
      <c r="T693" s="68" t="s">
        <v>26774</v>
      </c>
      <c r="U693" s="68" t="s">
        <v>26572</v>
      </c>
      <c r="V693" s="68" t="s">
        <v>26573</v>
      </c>
      <c r="W693" s="68" t="s">
        <v>94</v>
      </c>
      <c r="X693" s="68">
        <v>4726</v>
      </c>
      <c r="Z693" s="68" t="s">
        <v>42968</v>
      </c>
      <c r="AA693" s="33">
        <v>6978</v>
      </c>
    </row>
    <row r="694" spans="1:27" ht="12" customHeight="1" x14ac:dyDescent="0.15">
      <c r="A694" s="10" t="s">
        <v>39182</v>
      </c>
      <c r="B694" s="99">
        <v>17</v>
      </c>
      <c r="C694" s="10" t="s">
        <v>14</v>
      </c>
      <c r="D694" s="68" t="s">
        <v>42</v>
      </c>
      <c r="E694" s="10"/>
      <c r="F694" s="67">
        <v>43604</v>
      </c>
      <c r="G694" s="10" t="s">
        <v>39183</v>
      </c>
      <c r="H694" s="10" t="s">
        <v>584</v>
      </c>
      <c r="I694" s="10" t="s">
        <v>112</v>
      </c>
      <c r="J694" s="65">
        <v>85006</v>
      </c>
      <c r="K694" s="70" t="s">
        <v>585</v>
      </c>
      <c r="L694" s="10" t="s">
        <v>586</v>
      </c>
      <c r="M694" s="10" t="s">
        <v>21</v>
      </c>
      <c r="N694" s="10" t="s">
        <v>39184</v>
      </c>
      <c r="O694" s="10" t="s">
        <v>372</v>
      </c>
      <c r="P694" s="1" t="s">
        <v>30089</v>
      </c>
      <c r="Q694" s="64" t="s">
        <v>39185</v>
      </c>
      <c r="R694" s="10" t="s">
        <v>904</v>
      </c>
      <c r="S694" s="63" t="s">
        <v>22</v>
      </c>
      <c r="T694" s="68" t="s">
        <v>26781</v>
      </c>
      <c r="U694" s="68" t="s">
        <v>26572</v>
      </c>
      <c r="V694" s="68" t="s">
        <v>26574</v>
      </c>
      <c r="W694" s="68" t="s">
        <v>94</v>
      </c>
      <c r="X694" s="68"/>
      <c r="Z694" s="68" t="s">
        <v>42966</v>
      </c>
      <c r="AA694" s="33">
        <v>6971</v>
      </c>
    </row>
    <row r="695" spans="1:27" ht="12" customHeight="1" x14ac:dyDescent="0.15">
      <c r="A695" s="1" t="s">
        <v>42415</v>
      </c>
      <c r="B695" s="1">
        <v>32</v>
      </c>
      <c r="C695" s="1" t="s">
        <v>103</v>
      </c>
      <c r="D695" s="1" t="s">
        <v>79</v>
      </c>
      <c r="E695" s="1" t="s">
        <v>42416</v>
      </c>
      <c r="F695" s="67">
        <v>43604</v>
      </c>
      <c r="G695" s="1" t="s">
        <v>42417</v>
      </c>
      <c r="H695" s="1" t="s">
        <v>7135</v>
      </c>
      <c r="I695" s="1" t="s">
        <v>621</v>
      </c>
      <c r="J695" s="1">
        <v>38655</v>
      </c>
      <c r="K695" s="1" t="s">
        <v>10335</v>
      </c>
      <c r="L695" s="1" t="s">
        <v>25887</v>
      </c>
      <c r="M695" s="1" t="s">
        <v>21</v>
      </c>
      <c r="N695" s="1" t="s">
        <v>42418</v>
      </c>
      <c r="O695" s="1" t="s">
        <v>32706</v>
      </c>
      <c r="P695" s="1" t="s">
        <v>1084</v>
      </c>
      <c r="Q695" s="1" t="s">
        <v>42419</v>
      </c>
      <c r="R695" s="1" t="s">
        <v>94</v>
      </c>
      <c r="S695" s="1" t="s">
        <v>12</v>
      </c>
      <c r="T695" s="54" t="s">
        <v>29705</v>
      </c>
      <c r="U695" s="68"/>
      <c r="V695" s="68"/>
      <c r="W695" s="68"/>
      <c r="X695" s="68">
        <v>5419</v>
      </c>
      <c r="Y695" s="33" t="s">
        <v>42476</v>
      </c>
      <c r="Z695" s="1" t="s">
        <v>42968</v>
      </c>
      <c r="AA695" s="33">
        <v>6973</v>
      </c>
    </row>
    <row r="696" spans="1:27" ht="12" customHeight="1" x14ac:dyDescent="0.15">
      <c r="A696" s="10" t="s">
        <v>40527</v>
      </c>
      <c r="B696" s="99">
        <v>59</v>
      </c>
      <c r="C696" s="10" t="s">
        <v>14</v>
      </c>
      <c r="D696" s="10" t="s">
        <v>42</v>
      </c>
      <c r="E696" s="64" t="s">
        <v>40528</v>
      </c>
      <c r="F696" s="67">
        <v>43604</v>
      </c>
      <c r="G696" s="10" t="s">
        <v>40529</v>
      </c>
      <c r="H696" s="10" t="s">
        <v>14733</v>
      </c>
      <c r="I696" s="10" t="s">
        <v>39</v>
      </c>
      <c r="J696" s="65">
        <v>93234</v>
      </c>
      <c r="K696" s="10" t="s">
        <v>183</v>
      </c>
      <c r="L696" s="10" t="s">
        <v>14735</v>
      </c>
      <c r="M696" s="10" t="s">
        <v>21</v>
      </c>
      <c r="N696" s="10" t="s">
        <v>40530</v>
      </c>
      <c r="O696" s="10" t="s">
        <v>372</v>
      </c>
      <c r="P696" s="1" t="s">
        <v>30089</v>
      </c>
      <c r="Q696" s="64" t="s">
        <v>40531</v>
      </c>
      <c r="R696" s="10" t="s">
        <v>94</v>
      </c>
      <c r="S696" s="63" t="s">
        <v>29</v>
      </c>
      <c r="T696" s="68" t="s">
        <v>26576</v>
      </c>
      <c r="U696" s="68" t="s">
        <v>26572</v>
      </c>
      <c r="V696" s="68" t="s">
        <v>26573</v>
      </c>
      <c r="W696" s="68" t="s">
        <v>94</v>
      </c>
      <c r="X696" s="68">
        <v>4725</v>
      </c>
      <c r="Z696" s="68" t="s">
        <v>42967</v>
      </c>
      <c r="AA696" s="33">
        <v>6974</v>
      </c>
    </row>
    <row r="697" spans="1:27" ht="12" customHeight="1" x14ac:dyDescent="0.15">
      <c r="A697" s="10" t="s">
        <v>42337</v>
      </c>
      <c r="B697" s="99">
        <v>46</v>
      </c>
      <c r="C697" s="10" t="s">
        <v>14</v>
      </c>
      <c r="D697" s="10" t="s">
        <v>24</v>
      </c>
      <c r="E697" s="63"/>
      <c r="F697" s="67">
        <v>43604</v>
      </c>
      <c r="G697" s="10" t="s">
        <v>42338</v>
      </c>
      <c r="H697" s="10" t="s">
        <v>2444</v>
      </c>
      <c r="I697" s="10" t="s">
        <v>192</v>
      </c>
      <c r="J697" s="65">
        <v>81082</v>
      </c>
      <c r="K697" s="10" t="s">
        <v>2445</v>
      </c>
      <c r="L697" s="10" t="s">
        <v>42339</v>
      </c>
      <c r="M697" s="10" t="s">
        <v>21</v>
      </c>
      <c r="N697" s="10" t="s">
        <v>42340</v>
      </c>
      <c r="O697" s="10" t="s">
        <v>372</v>
      </c>
      <c r="P697" s="1" t="s">
        <v>30089</v>
      </c>
      <c r="Q697" s="64" t="s">
        <v>42341</v>
      </c>
      <c r="R697" s="10" t="s">
        <v>94</v>
      </c>
      <c r="S697" s="63" t="s">
        <v>22</v>
      </c>
      <c r="T697" s="34" t="s">
        <v>26781</v>
      </c>
      <c r="U697" s="34" t="s">
        <v>26572</v>
      </c>
      <c r="V697" s="68"/>
      <c r="W697" s="68"/>
      <c r="X697" s="68">
        <v>4727</v>
      </c>
      <c r="Z697" s="68" t="s">
        <v>42967</v>
      </c>
      <c r="AA697" s="33">
        <v>6972</v>
      </c>
    </row>
    <row r="698" spans="1:27" ht="12" customHeight="1" x14ac:dyDescent="0.15">
      <c r="A698" s="10" t="s">
        <v>40410</v>
      </c>
      <c r="B698" s="99">
        <v>26</v>
      </c>
      <c r="C698" s="10" t="s">
        <v>14</v>
      </c>
      <c r="D698" s="10" t="s">
        <v>128</v>
      </c>
      <c r="E698" s="64" t="s">
        <v>40411</v>
      </c>
      <c r="F698" s="67">
        <v>43603</v>
      </c>
      <c r="G698" s="10" t="s">
        <v>40412</v>
      </c>
      <c r="H698" s="10" t="s">
        <v>40413</v>
      </c>
      <c r="I698" s="10" t="s">
        <v>112</v>
      </c>
      <c r="J698" s="65">
        <v>86044</v>
      </c>
      <c r="K698" s="10" t="s">
        <v>21652</v>
      </c>
      <c r="L698" s="10" t="s">
        <v>25830</v>
      </c>
      <c r="M698" s="10" t="s">
        <v>21</v>
      </c>
      <c r="N698" s="10" t="s">
        <v>40414</v>
      </c>
      <c r="O698" s="10" t="s">
        <v>372</v>
      </c>
      <c r="P698" s="1" t="s">
        <v>30089</v>
      </c>
      <c r="Q698" s="64" t="s">
        <v>40415</v>
      </c>
      <c r="R698" s="10" t="s">
        <v>94</v>
      </c>
      <c r="S698" s="63" t="s">
        <v>29</v>
      </c>
      <c r="T698" s="68" t="s">
        <v>26575</v>
      </c>
      <c r="U698" s="68" t="s">
        <v>26575</v>
      </c>
      <c r="V698" s="68">
        <v>0</v>
      </c>
      <c r="W698" s="68" t="s">
        <v>94</v>
      </c>
      <c r="X698" s="68">
        <v>4728</v>
      </c>
      <c r="Z698" s="68" t="s">
        <v>42967</v>
      </c>
      <c r="AA698" s="33">
        <v>6970</v>
      </c>
    </row>
    <row r="699" spans="1:27" ht="12" customHeight="1" x14ac:dyDescent="0.15">
      <c r="A699" s="10" t="s">
        <v>3002</v>
      </c>
      <c r="B699" s="69"/>
      <c r="C699" s="10" t="s">
        <v>14</v>
      </c>
      <c r="D699" s="10" t="s">
        <v>24</v>
      </c>
      <c r="E699" s="63"/>
      <c r="F699" s="67">
        <v>43603</v>
      </c>
      <c r="G699" s="10" t="s">
        <v>42342</v>
      </c>
      <c r="H699" s="10" t="s">
        <v>18214</v>
      </c>
      <c r="I699" s="10" t="s">
        <v>192</v>
      </c>
      <c r="J699" s="65">
        <v>80907</v>
      </c>
      <c r="K699" s="10" t="s">
        <v>801</v>
      </c>
      <c r="L699" s="10" t="s">
        <v>18216</v>
      </c>
      <c r="M699" s="10" t="s">
        <v>21</v>
      </c>
      <c r="N699" s="10" t="s">
        <v>42343</v>
      </c>
      <c r="O699" s="10" t="s">
        <v>372</v>
      </c>
      <c r="P699" s="1" t="s">
        <v>30089</v>
      </c>
      <c r="Q699" s="64" t="s">
        <v>42344</v>
      </c>
      <c r="R699" s="10" t="s">
        <v>94</v>
      </c>
      <c r="S699" s="63" t="s">
        <v>22</v>
      </c>
      <c r="T699" s="34" t="s">
        <v>26781</v>
      </c>
      <c r="U699" s="34" t="s">
        <v>26572</v>
      </c>
      <c r="V699" s="68"/>
      <c r="W699" s="68"/>
      <c r="X699" s="68"/>
      <c r="Z699" s="68" t="s">
        <v>42968</v>
      </c>
      <c r="AA699" s="33">
        <v>6968</v>
      </c>
    </row>
    <row r="700" spans="1:27" ht="12" customHeight="1" x14ac:dyDescent="0.15">
      <c r="A700" s="10" t="s">
        <v>41464</v>
      </c>
      <c r="B700" s="99">
        <v>20</v>
      </c>
      <c r="C700" s="10" t="s">
        <v>14</v>
      </c>
      <c r="D700" s="68" t="s">
        <v>42</v>
      </c>
      <c r="E700" s="63"/>
      <c r="F700" s="67">
        <v>43603</v>
      </c>
      <c r="G700" s="10" t="s">
        <v>41465</v>
      </c>
      <c r="H700" s="10" t="s">
        <v>2411</v>
      </c>
      <c r="I700" s="10" t="s">
        <v>39</v>
      </c>
      <c r="J700" s="65">
        <v>92840</v>
      </c>
      <c r="K700" s="10" t="s">
        <v>998</v>
      </c>
      <c r="L700" s="10" t="s">
        <v>5808</v>
      </c>
      <c r="M700" s="10" t="s">
        <v>21</v>
      </c>
      <c r="N700" s="10" t="s">
        <v>41466</v>
      </c>
      <c r="O700" s="10" t="s">
        <v>372</v>
      </c>
      <c r="P700" s="1" t="s">
        <v>30089</v>
      </c>
      <c r="Q700" s="64" t="s">
        <v>41467</v>
      </c>
      <c r="R700" s="10" t="s">
        <v>512</v>
      </c>
      <c r="S700" s="63" t="s">
        <v>22</v>
      </c>
      <c r="T700" s="68" t="s">
        <v>26774</v>
      </c>
      <c r="U700" s="68" t="s">
        <v>26572</v>
      </c>
      <c r="V700" s="68" t="s">
        <v>26573</v>
      </c>
      <c r="W700" s="68" t="s">
        <v>94</v>
      </c>
      <c r="X700" s="68">
        <v>4731</v>
      </c>
      <c r="Z700" s="68" t="s">
        <v>42966</v>
      </c>
      <c r="AA700" s="33">
        <v>6969</v>
      </c>
    </row>
    <row r="701" spans="1:27" ht="12" customHeight="1" x14ac:dyDescent="0.15">
      <c r="A701" s="10" t="s">
        <v>40986</v>
      </c>
      <c r="B701" s="99">
        <v>58</v>
      </c>
      <c r="C701" s="10" t="s">
        <v>103</v>
      </c>
      <c r="D701" s="10" t="s">
        <v>31</v>
      </c>
      <c r="E701" s="64" t="s">
        <v>40987</v>
      </c>
      <c r="F701" s="67">
        <v>43602</v>
      </c>
      <c r="G701" s="10" t="s">
        <v>40988</v>
      </c>
      <c r="H701" s="10" t="s">
        <v>40989</v>
      </c>
      <c r="I701" s="10" t="s">
        <v>67</v>
      </c>
      <c r="J701" s="65">
        <v>75570</v>
      </c>
      <c r="K701" s="10" t="s">
        <v>5023</v>
      </c>
      <c r="L701" s="10" t="s">
        <v>40990</v>
      </c>
      <c r="M701" s="10" t="s">
        <v>21</v>
      </c>
      <c r="N701" s="10" t="s">
        <v>40991</v>
      </c>
      <c r="O701" s="10" t="s">
        <v>372</v>
      </c>
      <c r="P701" s="1" t="s">
        <v>30089</v>
      </c>
      <c r="Q701" s="64" t="s">
        <v>40992</v>
      </c>
      <c r="R701" s="10" t="s">
        <v>512</v>
      </c>
      <c r="S701" s="63" t="s">
        <v>22</v>
      </c>
      <c r="T701" s="68" t="s">
        <v>26781</v>
      </c>
      <c r="U701" s="68" t="s">
        <v>26572</v>
      </c>
      <c r="V701" s="68" t="s">
        <v>26573</v>
      </c>
      <c r="W701" s="68" t="s">
        <v>94</v>
      </c>
      <c r="X701" s="68">
        <v>4733</v>
      </c>
      <c r="Z701" s="68" t="s">
        <v>42967</v>
      </c>
      <c r="AA701" s="33">
        <v>6966</v>
      </c>
    </row>
    <row r="702" spans="1:27" ht="12" customHeight="1" x14ac:dyDescent="0.15">
      <c r="A702" s="10" t="s">
        <v>39645</v>
      </c>
      <c r="B702" s="99">
        <v>39</v>
      </c>
      <c r="C702" s="10" t="s">
        <v>14</v>
      </c>
      <c r="D702" s="10" t="s">
        <v>42</v>
      </c>
      <c r="E702" s="64" t="s">
        <v>39646</v>
      </c>
      <c r="F702" s="67">
        <v>43602</v>
      </c>
      <c r="G702" s="10" t="s">
        <v>39647</v>
      </c>
      <c r="H702" s="10" t="s">
        <v>39648</v>
      </c>
      <c r="I702" s="10" t="s">
        <v>56</v>
      </c>
      <c r="J702" s="65">
        <v>33314</v>
      </c>
      <c r="K702" s="10" t="s">
        <v>1052</v>
      </c>
      <c r="L702" s="10" t="s">
        <v>39649</v>
      </c>
      <c r="M702" s="10" t="s">
        <v>21</v>
      </c>
      <c r="N702" s="10" t="s">
        <v>39650</v>
      </c>
      <c r="O702" s="10" t="s">
        <v>372</v>
      </c>
      <c r="P702" s="1" t="s">
        <v>30089</v>
      </c>
      <c r="Q702" s="64" t="s">
        <v>39651</v>
      </c>
      <c r="R702" s="10" t="s">
        <v>23</v>
      </c>
      <c r="S702" s="63" t="s">
        <v>22</v>
      </c>
      <c r="T702" s="68" t="s">
        <v>26774</v>
      </c>
      <c r="U702" s="68" t="s">
        <v>26570</v>
      </c>
      <c r="V702" s="68" t="s">
        <v>26573</v>
      </c>
      <c r="W702" s="68" t="s">
        <v>94</v>
      </c>
      <c r="X702" s="68">
        <v>4730</v>
      </c>
      <c r="Z702" s="68" t="s">
        <v>42968</v>
      </c>
      <c r="AA702" s="33">
        <v>6967</v>
      </c>
    </row>
    <row r="703" spans="1:27" ht="12" customHeight="1" x14ac:dyDescent="0.15">
      <c r="A703" s="10" t="s">
        <v>37575</v>
      </c>
      <c r="B703" s="99">
        <v>36</v>
      </c>
      <c r="C703" s="10" t="s">
        <v>14</v>
      </c>
      <c r="D703" s="10" t="s">
        <v>79</v>
      </c>
      <c r="E703" s="64" t="s">
        <v>37576</v>
      </c>
      <c r="F703" s="67">
        <v>43602</v>
      </c>
      <c r="G703" s="10" t="s">
        <v>37577</v>
      </c>
      <c r="H703" s="10" t="s">
        <v>15398</v>
      </c>
      <c r="I703" s="10" t="s">
        <v>39</v>
      </c>
      <c r="J703" s="65">
        <v>91103</v>
      </c>
      <c r="K703" s="10" t="s">
        <v>92</v>
      </c>
      <c r="L703" s="10" t="s">
        <v>23881</v>
      </c>
      <c r="M703" s="10" t="s">
        <v>21</v>
      </c>
      <c r="N703" s="10" t="s">
        <v>37578</v>
      </c>
      <c r="O703" s="10" t="s">
        <v>372</v>
      </c>
      <c r="P703" s="1" t="s">
        <v>30089</v>
      </c>
      <c r="Q703" s="64" t="s">
        <v>37579</v>
      </c>
      <c r="R703" s="10" t="s">
        <v>94</v>
      </c>
      <c r="S703" s="63" t="s">
        <v>22</v>
      </c>
      <c r="T703" s="68" t="s">
        <v>26781</v>
      </c>
      <c r="U703" s="68" t="s">
        <v>26572</v>
      </c>
      <c r="V703" s="68" t="s">
        <v>26573</v>
      </c>
      <c r="W703" s="68" t="s">
        <v>512</v>
      </c>
      <c r="X703" s="68">
        <v>5007</v>
      </c>
      <c r="Z703" s="68" t="s">
        <v>42966</v>
      </c>
      <c r="AA703" s="33">
        <v>6965</v>
      </c>
    </row>
    <row r="704" spans="1:27" ht="12" customHeight="1" x14ac:dyDescent="0.15">
      <c r="A704" s="10" t="s">
        <v>37415</v>
      </c>
      <c r="B704" s="99">
        <v>40</v>
      </c>
      <c r="C704" s="10" t="s">
        <v>14</v>
      </c>
      <c r="D704" s="10" t="s">
        <v>79</v>
      </c>
      <c r="E704" s="63"/>
      <c r="F704" s="67">
        <v>43602</v>
      </c>
      <c r="G704" s="10" t="s">
        <v>37416</v>
      </c>
      <c r="H704" s="10" t="s">
        <v>979</v>
      </c>
      <c r="I704" s="10" t="s">
        <v>19</v>
      </c>
      <c r="J704" s="65">
        <v>70126</v>
      </c>
      <c r="K704" s="10" t="s">
        <v>2393</v>
      </c>
      <c r="L704" s="10" t="s">
        <v>980</v>
      </c>
      <c r="M704" s="10" t="s">
        <v>21</v>
      </c>
      <c r="N704" s="10" t="s">
        <v>37417</v>
      </c>
      <c r="O704" s="10" t="s">
        <v>372</v>
      </c>
      <c r="P704" s="1" t="s">
        <v>30089</v>
      </c>
      <c r="Q704" s="64" t="s">
        <v>37418</v>
      </c>
      <c r="R704" s="10" t="s">
        <v>94</v>
      </c>
      <c r="S704" s="63" t="s">
        <v>22</v>
      </c>
      <c r="T704" s="68" t="s">
        <v>26781</v>
      </c>
      <c r="U704" s="68" t="s">
        <v>26572</v>
      </c>
      <c r="V704" s="68">
        <v>0</v>
      </c>
      <c r="W704" s="68" t="s">
        <v>512</v>
      </c>
      <c r="X704" s="68">
        <v>4732</v>
      </c>
      <c r="Z704" s="68" t="s">
        <v>42968</v>
      </c>
      <c r="AA704" s="33">
        <v>6964</v>
      </c>
    </row>
    <row r="705" spans="1:27" ht="12" customHeight="1" x14ac:dyDescent="0.15">
      <c r="A705" s="10" t="s">
        <v>38680</v>
      </c>
      <c r="B705" s="99">
        <v>32</v>
      </c>
      <c r="C705" s="10" t="s">
        <v>14</v>
      </c>
      <c r="D705" s="10" t="s">
        <v>42</v>
      </c>
      <c r="E705" s="64" t="s">
        <v>38681</v>
      </c>
      <c r="F705" s="67">
        <v>43601</v>
      </c>
      <c r="G705" s="10" t="s">
        <v>38682</v>
      </c>
      <c r="H705" s="10" t="s">
        <v>5076</v>
      </c>
      <c r="I705" s="10" t="s">
        <v>56</v>
      </c>
      <c r="J705" s="79">
        <v>33410</v>
      </c>
      <c r="K705" s="10" t="s">
        <v>4878</v>
      </c>
      <c r="L705" s="10" t="s">
        <v>57</v>
      </c>
      <c r="M705" s="10" t="s">
        <v>21</v>
      </c>
      <c r="N705" s="10" t="s">
        <v>38683</v>
      </c>
      <c r="O705" s="10" t="s">
        <v>372</v>
      </c>
      <c r="P705" s="1" t="s">
        <v>30089</v>
      </c>
      <c r="Q705" s="64" t="s">
        <v>38684</v>
      </c>
      <c r="R705" s="10" t="s">
        <v>94</v>
      </c>
      <c r="S705" s="63" t="s">
        <v>22</v>
      </c>
      <c r="T705" s="68" t="s">
        <v>26781</v>
      </c>
      <c r="U705" s="68" t="s">
        <v>26572</v>
      </c>
      <c r="V705" s="68" t="s">
        <v>26573</v>
      </c>
      <c r="W705" s="68" t="s">
        <v>94</v>
      </c>
      <c r="X705" s="68">
        <v>4729</v>
      </c>
      <c r="Z705" s="68" t="s">
        <v>42968</v>
      </c>
      <c r="AA705" s="33">
        <v>6963</v>
      </c>
    </row>
    <row r="706" spans="1:27" ht="12" customHeight="1" x14ac:dyDescent="0.15">
      <c r="A706" s="10" t="s">
        <v>39641</v>
      </c>
      <c r="B706" s="99">
        <v>43</v>
      </c>
      <c r="C706" s="10" t="s">
        <v>14</v>
      </c>
      <c r="D706" s="10" t="s">
        <v>42</v>
      </c>
      <c r="E706" s="63"/>
      <c r="F706" s="67">
        <v>43600</v>
      </c>
      <c r="G706" s="10" t="s">
        <v>39642</v>
      </c>
      <c r="H706" s="10" t="s">
        <v>16772</v>
      </c>
      <c r="I706" s="10" t="s">
        <v>56</v>
      </c>
      <c r="J706" s="65">
        <v>33321</v>
      </c>
      <c r="K706" s="78" t="s">
        <v>1052</v>
      </c>
      <c r="L706" s="10" t="s">
        <v>4045</v>
      </c>
      <c r="M706" s="10" t="s">
        <v>21</v>
      </c>
      <c r="N706" s="10" t="s">
        <v>39643</v>
      </c>
      <c r="O706" s="10" t="s">
        <v>372</v>
      </c>
      <c r="P706" s="1" t="s">
        <v>30089</v>
      </c>
      <c r="Q706" s="64" t="s">
        <v>39644</v>
      </c>
      <c r="R706" s="10" t="s">
        <v>94</v>
      </c>
      <c r="S706" s="63" t="s">
        <v>22</v>
      </c>
      <c r="T706" s="68" t="s">
        <v>26774</v>
      </c>
      <c r="U706" s="68" t="s">
        <v>26572</v>
      </c>
      <c r="V706" s="68">
        <v>0</v>
      </c>
      <c r="W706" s="68" t="s">
        <v>94</v>
      </c>
      <c r="X706" s="68">
        <v>5418</v>
      </c>
      <c r="Z706" s="68" t="s">
        <v>42966</v>
      </c>
      <c r="AA706" s="33">
        <v>6961</v>
      </c>
    </row>
    <row r="707" spans="1:27" ht="12" customHeight="1" x14ac:dyDescent="0.15">
      <c r="A707" s="10" t="s">
        <v>40922</v>
      </c>
      <c r="B707" s="99">
        <v>47</v>
      </c>
      <c r="C707" s="10" t="s">
        <v>14</v>
      </c>
      <c r="D707" s="10" t="s">
        <v>79</v>
      </c>
      <c r="E707" s="64" t="s">
        <v>40923</v>
      </c>
      <c r="F707" s="67">
        <v>43600</v>
      </c>
      <c r="G707" s="10" t="s">
        <v>40924</v>
      </c>
      <c r="H707" s="10" t="s">
        <v>27448</v>
      </c>
      <c r="I707" s="10" t="s">
        <v>409</v>
      </c>
      <c r="J707" s="65">
        <v>54911</v>
      </c>
      <c r="K707" s="10" t="s">
        <v>27449</v>
      </c>
      <c r="L707" s="10" t="s">
        <v>27450</v>
      </c>
      <c r="M707" s="10" t="s">
        <v>21</v>
      </c>
      <c r="N707" s="10" t="s">
        <v>40925</v>
      </c>
      <c r="O707" s="10" t="s">
        <v>372</v>
      </c>
      <c r="P707" s="1" t="s">
        <v>30089</v>
      </c>
      <c r="Q707" s="64" t="s">
        <v>40926</v>
      </c>
      <c r="R707" s="10" t="s">
        <v>512</v>
      </c>
      <c r="S707" s="63" t="s">
        <v>22</v>
      </c>
      <c r="T707" s="68" t="s">
        <v>26781</v>
      </c>
      <c r="U707" s="68" t="s">
        <v>26572</v>
      </c>
      <c r="V707" s="68" t="s">
        <v>26573</v>
      </c>
      <c r="W707" s="68" t="s">
        <v>512</v>
      </c>
      <c r="X707" s="68">
        <v>4721</v>
      </c>
      <c r="Z707" s="68" t="s">
        <v>42966</v>
      </c>
      <c r="AA707" s="33">
        <v>6960</v>
      </c>
    </row>
    <row r="708" spans="1:27" ht="12" customHeight="1" x14ac:dyDescent="0.15">
      <c r="A708" s="10" t="s">
        <v>41767</v>
      </c>
      <c r="B708" s="99">
        <v>30</v>
      </c>
      <c r="C708" s="10" t="s">
        <v>14</v>
      </c>
      <c r="D708" s="10" t="s">
        <v>79</v>
      </c>
      <c r="E708" s="64" t="s">
        <v>41768</v>
      </c>
      <c r="F708" s="67">
        <v>43600</v>
      </c>
      <c r="G708" s="10" t="s">
        <v>41769</v>
      </c>
      <c r="H708" s="10" t="s">
        <v>41770</v>
      </c>
      <c r="I708" s="10" t="s">
        <v>294</v>
      </c>
      <c r="J708" s="65">
        <v>40299</v>
      </c>
      <c r="K708" s="10" t="s">
        <v>1659</v>
      </c>
      <c r="L708" s="10" t="s">
        <v>835</v>
      </c>
      <c r="M708" s="10" t="s">
        <v>21</v>
      </c>
      <c r="N708" s="10" t="s">
        <v>41771</v>
      </c>
      <c r="O708" s="10" t="s">
        <v>372</v>
      </c>
      <c r="P708" s="1" t="s">
        <v>30089</v>
      </c>
      <c r="Q708" s="64" t="s">
        <v>41772</v>
      </c>
      <c r="R708" s="10" t="s">
        <v>94</v>
      </c>
      <c r="S708" s="63" t="s">
        <v>351</v>
      </c>
      <c r="T708" s="34" t="s">
        <v>26867</v>
      </c>
      <c r="U708" s="34" t="s">
        <v>26572</v>
      </c>
      <c r="V708" s="68"/>
      <c r="W708" s="68"/>
      <c r="X708" s="68">
        <v>5227</v>
      </c>
      <c r="Z708" s="68" t="s">
        <v>42968</v>
      </c>
      <c r="AA708" s="33">
        <v>6962</v>
      </c>
    </row>
    <row r="709" spans="1:27" ht="12" customHeight="1" x14ac:dyDescent="0.15">
      <c r="A709" s="10" t="s">
        <v>40981</v>
      </c>
      <c r="B709" s="99">
        <v>54</v>
      </c>
      <c r="C709" s="10" t="s">
        <v>14</v>
      </c>
      <c r="D709" s="10" t="s">
        <v>31</v>
      </c>
      <c r="E709" s="64" t="s">
        <v>40982</v>
      </c>
      <c r="F709" s="67">
        <v>43599</v>
      </c>
      <c r="G709" s="10" t="s">
        <v>40983</v>
      </c>
      <c r="H709" s="10" t="s">
        <v>607</v>
      </c>
      <c r="I709" s="10" t="s">
        <v>250</v>
      </c>
      <c r="J709" s="65">
        <v>89109</v>
      </c>
      <c r="K709" s="10" t="s">
        <v>527</v>
      </c>
      <c r="L709" s="10" t="s">
        <v>528</v>
      </c>
      <c r="M709" s="10" t="s">
        <v>21</v>
      </c>
      <c r="N709" s="10" t="s">
        <v>40984</v>
      </c>
      <c r="O709" s="10" t="s">
        <v>372</v>
      </c>
      <c r="P709" s="1" t="s">
        <v>30089</v>
      </c>
      <c r="Q709" s="64" t="s">
        <v>40985</v>
      </c>
      <c r="R709" s="10" t="s">
        <v>512</v>
      </c>
      <c r="S709" s="63" t="s">
        <v>22</v>
      </c>
      <c r="T709" s="68" t="s">
        <v>26781</v>
      </c>
      <c r="U709" s="68" t="s">
        <v>26570</v>
      </c>
      <c r="V709" s="68" t="s">
        <v>26573</v>
      </c>
      <c r="W709" s="68" t="s">
        <v>94</v>
      </c>
      <c r="X709" s="68">
        <v>4722</v>
      </c>
      <c r="Z709" s="68" t="s">
        <v>42966</v>
      </c>
      <c r="AA709" s="33">
        <v>6959</v>
      </c>
    </row>
    <row r="710" spans="1:27" ht="12" customHeight="1" x14ac:dyDescent="0.15">
      <c r="A710" s="10" t="s">
        <v>40975</v>
      </c>
      <c r="B710" s="99">
        <v>45</v>
      </c>
      <c r="C710" s="10" t="s">
        <v>14</v>
      </c>
      <c r="D710" s="10" t="s">
        <v>31</v>
      </c>
      <c r="E710" s="64" t="s">
        <v>40976</v>
      </c>
      <c r="F710" s="67">
        <v>43598</v>
      </c>
      <c r="G710" s="10" t="s">
        <v>40977</v>
      </c>
      <c r="H710" s="10" t="s">
        <v>20153</v>
      </c>
      <c r="I710" s="10" t="s">
        <v>46</v>
      </c>
      <c r="J710" s="65">
        <v>21911</v>
      </c>
      <c r="K710" s="10" t="s">
        <v>646</v>
      </c>
      <c r="L710" s="10" t="s">
        <v>40978</v>
      </c>
      <c r="M710" s="10" t="s">
        <v>21</v>
      </c>
      <c r="N710" s="10" t="s">
        <v>40979</v>
      </c>
      <c r="O710" s="10" t="s">
        <v>372</v>
      </c>
      <c r="P710" s="1" t="s">
        <v>30089</v>
      </c>
      <c r="Q710" s="64" t="s">
        <v>40980</v>
      </c>
      <c r="R710" s="10" t="s">
        <v>512</v>
      </c>
      <c r="S710" s="63" t="s">
        <v>22</v>
      </c>
      <c r="T710" s="68" t="s">
        <v>26781</v>
      </c>
      <c r="U710" s="68" t="s">
        <v>26572</v>
      </c>
      <c r="V710" s="68" t="s">
        <v>26573</v>
      </c>
      <c r="W710" s="68" t="s">
        <v>94</v>
      </c>
      <c r="X710" s="68">
        <v>4720</v>
      </c>
      <c r="Z710" s="68" t="s">
        <v>42968</v>
      </c>
      <c r="AA710" s="33">
        <v>6956</v>
      </c>
    </row>
    <row r="711" spans="1:27" ht="12" customHeight="1" x14ac:dyDescent="0.15">
      <c r="A711" s="10" t="s">
        <v>39902</v>
      </c>
      <c r="B711" s="99">
        <v>44</v>
      </c>
      <c r="C711" s="10" t="s">
        <v>103</v>
      </c>
      <c r="D711" s="10" t="s">
        <v>79</v>
      </c>
      <c r="E711" s="64" t="s">
        <v>39903</v>
      </c>
      <c r="F711" s="67">
        <v>43598</v>
      </c>
      <c r="G711" s="10" t="s">
        <v>39904</v>
      </c>
      <c r="H711" s="10" t="s">
        <v>2915</v>
      </c>
      <c r="I711" s="10" t="s">
        <v>67</v>
      </c>
      <c r="J711" s="65">
        <v>77520</v>
      </c>
      <c r="K711" s="10" t="s">
        <v>515</v>
      </c>
      <c r="L711" s="10" t="s">
        <v>2916</v>
      </c>
      <c r="M711" s="10" t="s">
        <v>21</v>
      </c>
      <c r="N711" s="10" t="s">
        <v>39905</v>
      </c>
      <c r="O711" s="10" t="s">
        <v>372</v>
      </c>
      <c r="P711" s="1" t="s">
        <v>30089</v>
      </c>
      <c r="Q711" s="64" t="s">
        <v>39906</v>
      </c>
      <c r="R711" s="10" t="s">
        <v>23</v>
      </c>
      <c r="S711" s="63" t="s">
        <v>22</v>
      </c>
      <c r="T711" s="68" t="s">
        <v>363</v>
      </c>
      <c r="U711" s="68" t="s">
        <v>26572</v>
      </c>
      <c r="V711" s="68" t="s">
        <v>26573</v>
      </c>
      <c r="W711" s="68" t="s">
        <v>94</v>
      </c>
      <c r="X711" s="68">
        <v>4719</v>
      </c>
      <c r="Z711" s="68" t="s">
        <v>42968</v>
      </c>
      <c r="AA711" s="33">
        <v>6958</v>
      </c>
    </row>
    <row r="712" spans="1:27" ht="12" customHeight="1" x14ac:dyDescent="0.15">
      <c r="A712" s="63" t="s">
        <v>39399</v>
      </c>
      <c r="B712" s="101">
        <v>36</v>
      </c>
      <c r="C712" s="63" t="s">
        <v>14</v>
      </c>
      <c r="D712" s="63" t="s">
        <v>79</v>
      </c>
      <c r="E712" s="63"/>
      <c r="F712" s="67">
        <v>43598</v>
      </c>
      <c r="G712" s="10" t="s">
        <v>39400</v>
      </c>
      <c r="H712" s="10" t="s">
        <v>14770</v>
      </c>
      <c r="I712" s="10" t="s">
        <v>39</v>
      </c>
      <c r="J712" s="65">
        <v>90249</v>
      </c>
      <c r="K712" s="10" t="s">
        <v>92</v>
      </c>
      <c r="L712" s="10" t="s">
        <v>14772</v>
      </c>
      <c r="M712" s="10" t="s">
        <v>21</v>
      </c>
      <c r="N712" s="10" t="s">
        <v>39401</v>
      </c>
      <c r="O712" s="10" t="s">
        <v>372</v>
      </c>
      <c r="P712" s="1" t="s">
        <v>30089</v>
      </c>
      <c r="Q712" s="64" t="s">
        <v>39402</v>
      </c>
      <c r="R712" s="10" t="s">
        <v>94</v>
      </c>
      <c r="S712" s="63" t="s">
        <v>22</v>
      </c>
      <c r="T712" s="68" t="s">
        <v>26774</v>
      </c>
      <c r="U712" s="68" t="s">
        <v>26572</v>
      </c>
      <c r="V712" s="68" t="s">
        <v>26573</v>
      </c>
      <c r="W712" s="68" t="s">
        <v>512</v>
      </c>
      <c r="X712" s="68">
        <v>4718</v>
      </c>
      <c r="Z712" s="68" t="s">
        <v>42966</v>
      </c>
      <c r="AA712" s="33">
        <v>6957</v>
      </c>
    </row>
    <row r="713" spans="1:27" ht="12" customHeight="1" x14ac:dyDescent="0.15">
      <c r="A713" s="10" t="s">
        <v>38937</v>
      </c>
      <c r="B713" s="99">
        <v>76</v>
      </c>
      <c r="C713" s="10" t="s">
        <v>14</v>
      </c>
      <c r="D713" s="10" t="s">
        <v>24</v>
      </c>
      <c r="E713" s="63"/>
      <c r="F713" s="67">
        <v>43596</v>
      </c>
      <c r="G713" s="10" t="s">
        <v>38938</v>
      </c>
      <c r="H713" s="10" t="s">
        <v>38939</v>
      </c>
      <c r="I713" s="10" t="s">
        <v>112</v>
      </c>
      <c r="J713" s="65">
        <v>86018</v>
      </c>
      <c r="K713" s="10" t="s">
        <v>21652</v>
      </c>
      <c r="L713" s="10" t="s">
        <v>21653</v>
      </c>
      <c r="M713" s="10" t="s">
        <v>21</v>
      </c>
      <c r="N713" s="10" t="s">
        <v>38940</v>
      </c>
      <c r="O713" s="10" t="s">
        <v>372</v>
      </c>
      <c r="P713" s="1" t="s">
        <v>30089</v>
      </c>
      <c r="Q713" s="64" t="s">
        <v>38941</v>
      </c>
      <c r="R713" s="10" t="s">
        <v>94</v>
      </c>
      <c r="S713" s="63" t="s">
        <v>22</v>
      </c>
      <c r="T713" s="68" t="s">
        <v>26781</v>
      </c>
      <c r="U713" s="68" t="s">
        <v>26570</v>
      </c>
      <c r="V713" s="68" t="s">
        <v>26571</v>
      </c>
      <c r="W713" s="68" t="s">
        <v>94</v>
      </c>
      <c r="X713" s="68">
        <v>4716</v>
      </c>
      <c r="Z713" s="68" t="s">
        <v>42967</v>
      </c>
      <c r="AA713" s="33">
        <v>6954</v>
      </c>
    </row>
    <row r="714" spans="1:27" ht="12" customHeight="1" x14ac:dyDescent="0.15">
      <c r="A714" s="10" t="s">
        <v>37406</v>
      </c>
      <c r="B714" s="99">
        <v>30</v>
      </c>
      <c r="C714" s="10" t="s">
        <v>14</v>
      </c>
      <c r="D714" s="10" t="s">
        <v>79</v>
      </c>
      <c r="E714" s="63"/>
      <c r="F714" s="67">
        <v>43596</v>
      </c>
      <c r="G714" s="10" t="s">
        <v>37407</v>
      </c>
      <c r="H714" s="10" t="s">
        <v>81</v>
      </c>
      <c r="I714" s="10" t="s">
        <v>38</v>
      </c>
      <c r="J714" s="65">
        <v>60623</v>
      </c>
      <c r="K714" s="10" t="s">
        <v>82</v>
      </c>
      <c r="L714" s="10" t="s">
        <v>83</v>
      </c>
      <c r="M714" s="10" t="s">
        <v>21</v>
      </c>
      <c r="N714" s="10" t="s">
        <v>37408</v>
      </c>
      <c r="O714" s="10" t="s">
        <v>372</v>
      </c>
      <c r="P714" s="1" t="s">
        <v>30089</v>
      </c>
      <c r="Q714" s="64" t="s">
        <v>37409</v>
      </c>
      <c r="R714" s="10" t="s">
        <v>94</v>
      </c>
      <c r="S714" s="63" t="s">
        <v>22</v>
      </c>
      <c r="T714" s="68" t="s">
        <v>26781</v>
      </c>
      <c r="U714" s="68" t="s">
        <v>26572</v>
      </c>
      <c r="V714" s="68" t="s">
        <v>26574</v>
      </c>
      <c r="W714" s="68" t="s">
        <v>94</v>
      </c>
      <c r="X714" s="68">
        <v>4713</v>
      </c>
      <c r="Z714" s="68" t="s">
        <v>42966</v>
      </c>
      <c r="AA714" s="33">
        <v>6950</v>
      </c>
    </row>
    <row r="715" spans="1:27" ht="12" customHeight="1" x14ac:dyDescent="0.15">
      <c r="A715" s="10" t="s">
        <v>38673</v>
      </c>
      <c r="B715" s="99">
        <v>25</v>
      </c>
      <c r="C715" s="10" t="s">
        <v>14</v>
      </c>
      <c r="D715" s="10" t="s">
        <v>42</v>
      </c>
      <c r="E715" s="64" t="s">
        <v>38674</v>
      </c>
      <c r="F715" s="67">
        <v>43596</v>
      </c>
      <c r="G715" s="10" t="s">
        <v>38675</v>
      </c>
      <c r="H715" s="10" t="s">
        <v>38676</v>
      </c>
      <c r="I715" s="10" t="s">
        <v>432</v>
      </c>
      <c r="J715" s="65">
        <v>68776</v>
      </c>
      <c r="K715" s="10" t="s">
        <v>19324</v>
      </c>
      <c r="L715" s="10" t="s">
        <v>38677</v>
      </c>
      <c r="M715" s="10" t="s">
        <v>21</v>
      </c>
      <c r="N715" s="10" t="s">
        <v>38678</v>
      </c>
      <c r="O715" s="10" t="s">
        <v>372</v>
      </c>
      <c r="P715" s="1" t="s">
        <v>30089</v>
      </c>
      <c r="Q715" s="64" t="s">
        <v>38679</v>
      </c>
      <c r="R715" s="10" t="s">
        <v>94</v>
      </c>
      <c r="S715" s="63" t="s">
        <v>22</v>
      </c>
      <c r="T715" s="68" t="s">
        <v>26781</v>
      </c>
      <c r="U715" s="68" t="s">
        <v>26572</v>
      </c>
      <c r="V715" s="68" t="s">
        <v>26573</v>
      </c>
      <c r="W715" s="68" t="s">
        <v>94</v>
      </c>
      <c r="X715" s="68">
        <v>4717</v>
      </c>
      <c r="Z715" s="68" t="s">
        <v>42968</v>
      </c>
      <c r="AA715" s="33">
        <v>6953</v>
      </c>
    </row>
    <row r="716" spans="1:27" ht="12" customHeight="1" x14ac:dyDescent="0.15">
      <c r="A716" s="10" t="s">
        <v>38119</v>
      </c>
      <c r="B716" s="99">
        <v>39</v>
      </c>
      <c r="C716" s="10" t="s">
        <v>14</v>
      </c>
      <c r="D716" s="10" t="s">
        <v>31</v>
      </c>
      <c r="E716" s="64" t="s">
        <v>38120</v>
      </c>
      <c r="F716" s="67">
        <v>43596</v>
      </c>
      <c r="G716" s="10" t="s">
        <v>38121</v>
      </c>
      <c r="H716" s="10" t="s">
        <v>38122</v>
      </c>
      <c r="I716" s="10" t="s">
        <v>9710</v>
      </c>
      <c r="J716" s="65">
        <v>5077</v>
      </c>
      <c r="K716" s="10" t="s">
        <v>998</v>
      </c>
      <c r="L716" s="10" t="s">
        <v>29020</v>
      </c>
      <c r="M716" s="10" t="s">
        <v>21</v>
      </c>
      <c r="N716" s="10" t="s">
        <v>38123</v>
      </c>
      <c r="O716" s="10" t="s">
        <v>372</v>
      </c>
      <c r="P716" s="1" t="s">
        <v>30089</v>
      </c>
      <c r="Q716" s="64" t="s">
        <v>38124</v>
      </c>
      <c r="R716" s="10" t="s">
        <v>94</v>
      </c>
      <c r="S716" s="63" t="s">
        <v>22</v>
      </c>
      <c r="T716" s="68" t="s">
        <v>26781</v>
      </c>
      <c r="U716" s="68" t="s">
        <v>26572</v>
      </c>
      <c r="V716" s="68" t="s">
        <v>26573</v>
      </c>
      <c r="W716" s="68" t="s">
        <v>94</v>
      </c>
      <c r="X716" s="68">
        <v>4715</v>
      </c>
      <c r="Z716" s="68" t="s">
        <v>42967</v>
      </c>
      <c r="AA716" s="33">
        <v>6952</v>
      </c>
    </row>
    <row r="717" spans="1:27" ht="12" customHeight="1" x14ac:dyDescent="0.15">
      <c r="A717" s="10" t="s">
        <v>37410</v>
      </c>
      <c r="B717" s="99">
        <v>49</v>
      </c>
      <c r="C717" s="10" t="s">
        <v>14</v>
      </c>
      <c r="D717" s="10" t="s">
        <v>79</v>
      </c>
      <c r="E717" s="64" t="s">
        <v>37411</v>
      </c>
      <c r="F717" s="67">
        <v>43596</v>
      </c>
      <c r="G717" s="10" t="s">
        <v>37412</v>
      </c>
      <c r="H717" s="10" t="s">
        <v>4747</v>
      </c>
      <c r="I717" s="10" t="s">
        <v>160</v>
      </c>
      <c r="J717" s="65">
        <v>31401</v>
      </c>
      <c r="K717" s="10" t="s">
        <v>3428</v>
      </c>
      <c r="L717" s="10" t="s">
        <v>34700</v>
      </c>
      <c r="M717" s="10" t="s">
        <v>21</v>
      </c>
      <c r="N717" s="10" t="s">
        <v>37413</v>
      </c>
      <c r="O717" s="10" t="s">
        <v>372</v>
      </c>
      <c r="P717" s="1" t="s">
        <v>30089</v>
      </c>
      <c r="Q717" s="64" t="s">
        <v>37414</v>
      </c>
      <c r="R717" s="10" t="s">
        <v>94</v>
      </c>
      <c r="S717" s="63" t="s">
        <v>22</v>
      </c>
      <c r="T717" s="68" t="s">
        <v>26781</v>
      </c>
      <c r="U717" s="68" t="s">
        <v>26572</v>
      </c>
      <c r="V717" s="68" t="s">
        <v>26574</v>
      </c>
      <c r="W717" s="68" t="s">
        <v>94</v>
      </c>
      <c r="X717" s="68">
        <v>4714</v>
      </c>
      <c r="Z717" s="68" t="s">
        <v>42966</v>
      </c>
      <c r="AA717" s="33">
        <v>6951</v>
      </c>
    </row>
    <row r="718" spans="1:27" ht="12" customHeight="1" x14ac:dyDescent="0.15">
      <c r="A718" s="1" t="s">
        <v>42461</v>
      </c>
      <c r="B718" s="1">
        <v>44</v>
      </c>
      <c r="C718" s="1" t="s">
        <v>103</v>
      </c>
      <c r="D718" s="1" t="s">
        <v>31</v>
      </c>
      <c r="E718" s="1" t="s">
        <v>42462</v>
      </c>
      <c r="F718" s="67">
        <v>43596</v>
      </c>
      <c r="G718" s="1" t="s">
        <v>42463</v>
      </c>
      <c r="H718" s="1" t="s">
        <v>1202</v>
      </c>
      <c r="I718" s="1" t="s">
        <v>160</v>
      </c>
      <c r="J718" s="1">
        <v>31909</v>
      </c>
      <c r="K718" s="1" t="s">
        <v>9779</v>
      </c>
      <c r="L718" s="33" t="s">
        <v>17580</v>
      </c>
      <c r="M718" s="1" t="s">
        <v>21</v>
      </c>
      <c r="N718" s="1" t="s">
        <v>42464</v>
      </c>
      <c r="O718" s="1" t="s">
        <v>32706</v>
      </c>
      <c r="P718" s="1" t="s">
        <v>1084</v>
      </c>
      <c r="Q718" s="1" t="s">
        <v>42465</v>
      </c>
      <c r="R718" s="1" t="s">
        <v>94</v>
      </c>
      <c r="S718" s="63" t="s">
        <v>12</v>
      </c>
      <c r="T718" s="54" t="s">
        <v>29705</v>
      </c>
      <c r="U718" s="68"/>
      <c r="V718" s="68"/>
      <c r="W718" s="68"/>
      <c r="X718" s="68"/>
      <c r="Y718" s="33" t="s">
        <v>42476</v>
      </c>
      <c r="Z718" s="1" t="s">
        <v>42968</v>
      </c>
      <c r="AA718" s="33">
        <v>6955</v>
      </c>
    </row>
    <row r="719" spans="1:27" ht="12" customHeight="1" x14ac:dyDescent="0.15">
      <c r="A719" s="10" t="s">
        <v>40907</v>
      </c>
      <c r="B719" s="99">
        <v>25</v>
      </c>
      <c r="C719" s="10" t="s">
        <v>14</v>
      </c>
      <c r="D719" s="10" t="s">
        <v>79</v>
      </c>
      <c r="E719" s="64" t="s">
        <v>40908</v>
      </c>
      <c r="F719" s="67">
        <v>43595</v>
      </c>
      <c r="G719" s="10" t="s">
        <v>40909</v>
      </c>
      <c r="H719" s="10" t="s">
        <v>2307</v>
      </c>
      <c r="I719" s="10" t="s">
        <v>367</v>
      </c>
      <c r="J719" s="65">
        <v>74105</v>
      </c>
      <c r="K719" s="10" t="s">
        <v>2307</v>
      </c>
      <c r="L719" s="10" t="s">
        <v>3108</v>
      </c>
      <c r="M719" s="10" t="s">
        <v>21</v>
      </c>
      <c r="N719" s="10" t="s">
        <v>40910</v>
      </c>
      <c r="O719" s="10" t="s">
        <v>372</v>
      </c>
      <c r="P719" s="1" t="s">
        <v>30089</v>
      </c>
      <c r="Q719" s="64" t="s">
        <v>40911</v>
      </c>
      <c r="R719" s="10" t="s">
        <v>512</v>
      </c>
      <c r="S719" s="63" t="s">
        <v>22</v>
      </c>
      <c r="T719" s="68" t="s">
        <v>26781</v>
      </c>
      <c r="U719" s="68" t="s">
        <v>26572</v>
      </c>
      <c r="V719" s="68" t="s">
        <v>26574</v>
      </c>
      <c r="W719" s="68" t="s">
        <v>512</v>
      </c>
      <c r="X719" s="68">
        <v>4734</v>
      </c>
      <c r="Z719" s="68" t="s">
        <v>42966</v>
      </c>
      <c r="AA719" s="33">
        <v>6949</v>
      </c>
    </row>
    <row r="720" spans="1:27" ht="12" customHeight="1" x14ac:dyDescent="0.15">
      <c r="A720" s="10" t="s">
        <v>39174</v>
      </c>
      <c r="B720" s="99">
        <v>49</v>
      </c>
      <c r="C720" s="10" t="s">
        <v>14</v>
      </c>
      <c r="D720" s="68" t="s">
        <v>42</v>
      </c>
      <c r="E720" s="63"/>
      <c r="F720" s="67">
        <v>43594</v>
      </c>
      <c r="G720" s="10" t="s">
        <v>39175</v>
      </c>
      <c r="H720" s="10" t="s">
        <v>15039</v>
      </c>
      <c r="I720" s="10" t="s">
        <v>39</v>
      </c>
      <c r="J720" s="65">
        <v>90640</v>
      </c>
      <c r="K720" s="10" t="s">
        <v>92</v>
      </c>
      <c r="L720" s="10" t="s">
        <v>15041</v>
      </c>
      <c r="M720" s="10" t="s">
        <v>21</v>
      </c>
      <c r="N720" s="10" t="s">
        <v>39176</v>
      </c>
      <c r="O720" s="10" t="s">
        <v>372</v>
      </c>
      <c r="P720" s="1" t="s">
        <v>30089</v>
      </c>
      <c r="Q720" s="64" t="s">
        <v>39177</v>
      </c>
      <c r="R720" s="10" t="s">
        <v>94</v>
      </c>
      <c r="S720" s="63" t="s">
        <v>22</v>
      </c>
      <c r="T720" s="68" t="s">
        <v>26781</v>
      </c>
      <c r="U720" s="68" t="s">
        <v>26572</v>
      </c>
      <c r="V720" s="68" t="s">
        <v>26573</v>
      </c>
      <c r="W720" s="68" t="s">
        <v>94</v>
      </c>
      <c r="X720" s="68">
        <v>4701</v>
      </c>
      <c r="Z720" s="68" t="s">
        <v>42966</v>
      </c>
      <c r="AA720" s="33">
        <v>6946</v>
      </c>
    </row>
    <row r="721" spans="1:27" ht="12" customHeight="1" x14ac:dyDescent="0.15">
      <c r="A721" s="10" t="s">
        <v>40780</v>
      </c>
      <c r="B721" s="99">
        <v>31</v>
      </c>
      <c r="C721" s="10" t="s">
        <v>14</v>
      </c>
      <c r="D721" s="10" t="s">
        <v>24</v>
      </c>
      <c r="E721" s="63"/>
      <c r="F721" s="67">
        <v>43594</v>
      </c>
      <c r="G721" s="10" t="s">
        <v>40781</v>
      </c>
      <c r="H721" s="10" t="s">
        <v>40782</v>
      </c>
      <c r="I721" s="10" t="s">
        <v>225</v>
      </c>
      <c r="J721" s="65">
        <v>24382</v>
      </c>
      <c r="K721" s="10" t="s">
        <v>35043</v>
      </c>
      <c r="L721" s="10" t="s">
        <v>3061</v>
      </c>
      <c r="M721" s="10" t="s">
        <v>21</v>
      </c>
      <c r="N721" s="10" t="s">
        <v>40783</v>
      </c>
      <c r="O721" s="10" t="s">
        <v>372</v>
      </c>
      <c r="P721" s="1" t="s">
        <v>30089</v>
      </c>
      <c r="Q721" s="64" t="s">
        <v>40784</v>
      </c>
      <c r="R721" s="10" t="s">
        <v>94</v>
      </c>
      <c r="S721" s="63" t="s">
        <v>351</v>
      </c>
      <c r="T721" s="68" t="s">
        <v>26867</v>
      </c>
      <c r="U721" s="68" t="s">
        <v>26572</v>
      </c>
      <c r="V721" s="68" t="s">
        <v>26571</v>
      </c>
      <c r="W721" s="68" t="s">
        <v>94</v>
      </c>
      <c r="X721" s="68">
        <v>4700</v>
      </c>
      <c r="Z721" s="68" t="s">
        <v>42967</v>
      </c>
      <c r="AA721" s="33">
        <v>6948</v>
      </c>
    </row>
    <row r="722" spans="1:27" ht="12" customHeight="1" x14ac:dyDescent="0.15">
      <c r="A722" s="10" t="s">
        <v>39178</v>
      </c>
      <c r="B722" s="99">
        <v>29</v>
      </c>
      <c r="C722" s="10" t="s">
        <v>14</v>
      </c>
      <c r="D722" s="68" t="s">
        <v>42</v>
      </c>
      <c r="E722" s="63"/>
      <c r="F722" s="67">
        <v>43594</v>
      </c>
      <c r="G722" s="10" t="s">
        <v>39179</v>
      </c>
      <c r="H722" s="10" t="s">
        <v>584</v>
      </c>
      <c r="I722" s="10" t="s">
        <v>112</v>
      </c>
      <c r="J722" s="65">
        <v>85007</v>
      </c>
      <c r="K722" s="10" t="s">
        <v>585</v>
      </c>
      <c r="L722" s="10" t="s">
        <v>586</v>
      </c>
      <c r="M722" s="10" t="s">
        <v>21</v>
      </c>
      <c r="N722" s="10" t="s">
        <v>39180</v>
      </c>
      <c r="O722" s="10" t="s">
        <v>372</v>
      </c>
      <c r="P722" s="1" t="s">
        <v>30089</v>
      </c>
      <c r="Q722" s="64" t="s">
        <v>39181</v>
      </c>
      <c r="R722" s="10" t="s">
        <v>94</v>
      </c>
      <c r="S722" s="63" t="s">
        <v>22</v>
      </c>
      <c r="T722" s="68" t="s">
        <v>26781</v>
      </c>
      <c r="U722" s="68" t="s">
        <v>26572</v>
      </c>
      <c r="V722" s="68" t="s">
        <v>26573</v>
      </c>
      <c r="W722" s="68" t="s">
        <v>94</v>
      </c>
      <c r="X722" s="68">
        <v>4703</v>
      </c>
      <c r="Z722" s="68" t="s">
        <v>42966</v>
      </c>
      <c r="AA722" s="33">
        <v>6947</v>
      </c>
    </row>
    <row r="723" spans="1:27" ht="12" customHeight="1" x14ac:dyDescent="0.15">
      <c r="A723" s="10" t="s">
        <v>41335</v>
      </c>
      <c r="B723" s="99">
        <v>31</v>
      </c>
      <c r="C723" s="10" t="s">
        <v>14</v>
      </c>
      <c r="D723" s="10" t="s">
        <v>31</v>
      </c>
      <c r="E723" s="63"/>
      <c r="F723" s="67">
        <v>43593</v>
      </c>
      <c r="G723" s="10" t="s">
        <v>41336</v>
      </c>
      <c r="H723" s="10" t="s">
        <v>1132</v>
      </c>
      <c r="I723" s="10" t="s">
        <v>282</v>
      </c>
      <c r="J723" s="65">
        <v>98119</v>
      </c>
      <c r="K723" s="10" t="s">
        <v>1133</v>
      </c>
      <c r="L723" s="10" t="s">
        <v>1134</v>
      </c>
      <c r="M723" s="10" t="s">
        <v>21</v>
      </c>
      <c r="N723" s="10" t="s">
        <v>41337</v>
      </c>
      <c r="O723" s="10" t="s">
        <v>372</v>
      </c>
      <c r="P723" s="1" t="s">
        <v>30089</v>
      </c>
      <c r="Q723" s="64" t="s">
        <v>41338</v>
      </c>
      <c r="R723" s="10" t="s">
        <v>512</v>
      </c>
      <c r="S723" s="63" t="s">
        <v>22</v>
      </c>
      <c r="T723" s="68" t="s">
        <v>26774</v>
      </c>
      <c r="U723" s="68" t="s">
        <v>26572</v>
      </c>
      <c r="V723" s="68" t="s">
        <v>26573</v>
      </c>
      <c r="W723" s="68" t="s">
        <v>512</v>
      </c>
      <c r="X723" s="68">
        <v>4702</v>
      </c>
      <c r="Z723" s="68" t="s">
        <v>42966</v>
      </c>
      <c r="AA723" s="33">
        <v>6945</v>
      </c>
    </row>
    <row r="724" spans="1:27" ht="12" customHeight="1" x14ac:dyDescent="0.15">
      <c r="A724" s="10" t="s">
        <v>39170</v>
      </c>
      <c r="B724" s="99">
        <v>34</v>
      </c>
      <c r="C724" s="10" t="s">
        <v>14</v>
      </c>
      <c r="D724" s="68" t="s">
        <v>42</v>
      </c>
      <c r="E724" s="63"/>
      <c r="F724" s="67">
        <v>43592</v>
      </c>
      <c r="G724" s="10" t="s">
        <v>39171</v>
      </c>
      <c r="H724" s="10" t="s">
        <v>831</v>
      </c>
      <c r="I724" s="10" t="s">
        <v>409</v>
      </c>
      <c r="J724" s="65">
        <v>53204</v>
      </c>
      <c r="K724" s="10" t="s">
        <v>831</v>
      </c>
      <c r="L724" s="10" t="s">
        <v>3545</v>
      </c>
      <c r="M724" s="10" t="s">
        <v>21</v>
      </c>
      <c r="N724" s="10" t="s">
        <v>39172</v>
      </c>
      <c r="O724" s="10" t="s">
        <v>372</v>
      </c>
      <c r="P724" s="1" t="s">
        <v>30089</v>
      </c>
      <c r="Q724" s="64" t="s">
        <v>39173</v>
      </c>
      <c r="R724" s="10" t="s">
        <v>94</v>
      </c>
      <c r="S724" s="63" t="s">
        <v>22</v>
      </c>
      <c r="T724" s="68" t="s">
        <v>26781</v>
      </c>
      <c r="U724" s="68" t="s">
        <v>26570</v>
      </c>
      <c r="V724" s="68" t="s">
        <v>26573</v>
      </c>
      <c r="W724" s="68" t="s">
        <v>94</v>
      </c>
      <c r="X724" s="68">
        <v>4698</v>
      </c>
      <c r="Z724" s="68" t="s">
        <v>42966</v>
      </c>
      <c r="AA724" s="33">
        <v>6943</v>
      </c>
    </row>
    <row r="725" spans="1:27" ht="12" customHeight="1" x14ac:dyDescent="0.15">
      <c r="A725" s="10" t="s">
        <v>38685</v>
      </c>
      <c r="B725" s="99">
        <v>32</v>
      </c>
      <c r="C725" s="10" t="s">
        <v>14</v>
      </c>
      <c r="D725" s="10" t="s">
        <v>42</v>
      </c>
      <c r="E725" s="64" t="s">
        <v>38686</v>
      </c>
      <c r="F725" s="67">
        <v>43592</v>
      </c>
      <c r="G725" s="10" t="s">
        <v>38687</v>
      </c>
      <c r="H725" s="10" t="s">
        <v>1819</v>
      </c>
      <c r="I725" s="10" t="s">
        <v>39</v>
      </c>
      <c r="J725" s="65">
        <v>93111</v>
      </c>
      <c r="K725" s="10" t="s">
        <v>1819</v>
      </c>
      <c r="L725" s="10" t="s">
        <v>38688</v>
      </c>
      <c r="M725" s="10" t="s">
        <v>21</v>
      </c>
      <c r="N725" s="10" t="s">
        <v>38689</v>
      </c>
      <c r="O725" s="10" t="s">
        <v>372</v>
      </c>
      <c r="P725" s="1" t="s">
        <v>30089</v>
      </c>
      <c r="Q725" s="64" t="s">
        <v>38690</v>
      </c>
      <c r="R725" s="10" t="s">
        <v>94</v>
      </c>
      <c r="S725" s="63" t="s">
        <v>22</v>
      </c>
      <c r="T725" s="68" t="s">
        <v>26781</v>
      </c>
      <c r="U725" s="68" t="s">
        <v>26572</v>
      </c>
      <c r="V725" s="68" t="s">
        <v>26573</v>
      </c>
      <c r="W725" s="68" t="s">
        <v>94</v>
      </c>
      <c r="X725" s="68">
        <v>4735</v>
      </c>
      <c r="Z725" s="68" t="s">
        <v>42968</v>
      </c>
      <c r="AA725" s="33">
        <v>6942</v>
      </c>
    </row>
    <row r="726" spans="1:27" ht="12" customHeight="1" x14ac:dyDescent="0.15">
      <c r="A726" s="10" t="s">
        <v>39260</v>
      </c>
      <c r="B726" s="99">
        <v>59</v>
      </c>
      <c r="C726" s="10" t="s">
        <v>14</v>
      </c>
      <c r="D726" s="68" t="s">
        <v>31</v>
      </c>
      <c r="E726" s="63"/>
      <c r="F726" s="67">
        <v>43592</v>
      </c>
      <c r="G726" s="10" t="s">
        <v>39261</v>
      </c>
      <c r="H726" s="10" t="s">
        <v>5476</v>
      </c>
      <c r="I726" s="10" t="s">
        <v>621</v>
      </c>
      <c r="J726" s="65">
        <v>39455</v>
      </c>
      <c r="K726" s="10" t="s">
        <v>6396</v>
      </c>
      <c r="L726" s="10" t="s">
        <v>39262</v>
      </c>
      <c r="M726" s="10" t="s">
        <v>21</v>
      </c>
      <c r="N726" s="10" t="s">
        <v>39263</v>
      </c>
      <c r="O726" s="10" t="s">
        <v>372</v>
      </c>
      <c r="P726" s="1" t="s">
        <v>30089</v>
      </c>
      <c r="Q726" s="64" t="s">
        <v>39264</v>
      </c>
      <c r="R726" s="10" t="s">
        <v>512</v>
      </c>
      <c r="S726" s="63" t="s">
        <v>22</v>
      </c>
      <c r="T726" s="68" t="s">
        <v>26781</v>
      </c>
      <c r="U726" s="68" t="s">
        <v>26570</v>
      </c>
      <c r="V726" s="68" t="s">
        <v>26573</v>
      </c>
      <c r="W726" s="68" t="s">
        <v>94</v>
      </c>
      <c r="X726" s="68">
        <v>4704</v>
      </c>
      <c r="Z726" s="68" t="s">
        <v>42967</v>
      </c>
      <c r="AA726" s="33">
        <v>6944</v>
      </c>
    </row>
    <row r="727" spans="1:27" ht="12" customHeight="1" x14ac:dyDescent="0.15">
      <c r="A727" s="10" t="s">
        <v>38663</v>
      </c>
      <c r="B727" s="99">
        <v>33</v>
      </c>
      <c r="C727" s="10" t="s">
        <v>14</v>
      </c>
      <c r="D727" s="10" t="s">
        <v>42</v>
      </c>
      <c r="E727" s="64" t="s">
        <v>38664</v>
      </c>
      <c r="F727" s="67">
        <v>43591</v>
      </c>
      <c r="G727" s="10" t="s">
        <v>38665</v>
      </c>
      <c r="H727" s="10" t="s">
        <v>1337</v>
      </c>
      <c r="I727" s="10" t="s">
        <v>112</v>
      </c>
      <c r="J727" s="65">
        <v>85207</v>
      </c>
      <c r="K727" s="10" t="s">
        <v>585</v>
      </c>
      <c r="L727" s="10" t="s">
        <v>1765</v>
      </c>
      <c r="M727" s="10" t="s">
        <v>21</v>
      </c>
      <c r="N727" s="10" t="s">
        <v>38666</v>
      </c>
      <c r="O727" s="10" t="s">
        <v>372</v>
      </c>
      <c r="P727" s="1" t="s">
        <v>30089</v>
      </c>
      <c r="Q727" s="64" t="s">
        <v>38667</v>
      </c>
      <c r="R727" s="10" t="s">
        <v>94</v>
      </c>
      <c r="S727" s="63" t="s">
        <v>22</v>
      </c>
      <c r="T727" s="68" t="s">
        <v>26781</v>
      </c>
      <c r="U727" s="68" t="s">
        <v>26570</v>
      </c>
      <c r="V727" s="68" t="s">
        <v>26573</v>
      </c>
      <c r="W727" s="68" t="s">
        <v>94</v>
      </c>
      <c r="X727" s="68">
        <v>4699</v>
      </c>
      <c r="Z727" s="68" t="s">
        <v>42968</v>
      </c>
      <c r="AA727" s="33">
        <v>6940</v>
      </c>
    </row>
    <row r="728" spans="1:27" ht="12" customHeight="1" x14ac:dyDescent="0.15">
      <c r="A728" s="10" t="s">
        <v>42155</v>
      </c>
      <c r="B728" s="99">
        <v>38</v>
      </c>
      <c r="C728" s="10" t="s">
        <v>14</v>
      </c>
      <c r="D728" s="10" t="s">
        <v>42</v>
      </c>
      <c r="E728" s="64" t="s">
        <v>42156</v>
      </c>
      <c r="F728" s="67">
        <v>43591</v>
      </c>
      <c r="G728" s="10" t="s">
        <v>42157</v>
      </c>
      <c r="H728" s="10" t="s">
        <v>131</v>
      </c>
      <c r="I728" s="10" t="s">
        <v>132</v>
      </c>
      <c r="J728" s="65">
        <v>57701</v>
      </c>
      <c r="K728" s="10" t="s">
        <v>133</v>
      </c>
      <c r="L728" s="10" t="s">
        <v>134</v>
      </c>
      <c r="M728" s="10" t="s">
        <v>363</v>
      </c>
      <c r="N728" s="10" t="s">
        <v>42158</v>
      </c>
      <c r="O728" s="10" t="s">
        <v>372</v>
      </c>
      <c r="P728" s="1" t="s">
        <v>30089</v>
      </c>
      <c r="Q728" s="64" t="s">
        <v>42159</v>
      </c>
      <c r="R728" s="10" t="s">
        <v>512</v>
      </c>
      <c r="S728" s="63" t="s">
        <v>12</v>
      </c>
      <c r="T728" s="34" t="s">
        <v>29705</v>
      </c>
      <c r="U728" s="34" t="s">
        <v>26572</v>
      </c>
      <c r="V728" s="68"/>
      <c r="W728" s="68"/>
      <c r="X728" s="68"/>
      <c r="Z728" s="68" t="s">
        <v>42968</v>
      </c>
      <c r="AA728" s="33">
        <v>6941</v>
      </c>
    </row>
    <row r="729" spans="1:27" ht="12" customHeight="1" x14ac:dyDescent="0.15">
      <c r="A729" s="63" t="s">
        <v>39635</v>
      </c>
      <c r="B729" s="101">
        <v>61</v>
      </c>
      <c r="C729" s="10" t="s">
        <v>14</v>
      </c>
      <c r="D729" s="10" t="s">
        <v>42</v>
      </c>
      <c r="E729" s="10"/>
      <c r="F729" s="67">
        <v>43590</v>
      </c>
      <c r="G729" s="10" t="s">
        <v>39636</v>
      </c>
      <c r="H729" s="10" t="s">
        <v>39637</v>
      </c>
      <c r="I729" s="10" t="s">
        <v>178</v>
      </c>
      <c r="J729" s="65">
        <v>87710</v>
      </c>
      <c r="K729" s="10" t="s">
        <v>8218</v>
      </c>
      <c r="L729" s="10" t="s">
        <v>39638</v>
      </c>
      <c r="M729" s="10" t="s">
        <v>21</v>
      </c>
      <c r="N729" s="10" t="s">
        <v>39639</v>
      </c>
      <c r="O729" s="10" t="s">
        <v>372</v>
      </c>
      <c r="P729" s="1" t="s">
        <v>30089</v>
      </c>
      <c r="Q729" s="64" t="s">
        <v>39640</v>
      </c>
      <c r="R729" s="10" t="s">
        <v>23</v>
      </c>
      <c r="S729" s="63" t="s">
        <v>22</v>
      </c>
      <c r="T729" s="68" t="s">
        <v>26774</v>
      </c>
      <c r="U729" s="68" t="s">
        <v>26570</v>
      </c>
      <c r="V729" s="68" t="s">
        <v>26573</v>
      </c>
      <c r="W729" s="68" t="s">
        <v>94</v>
      </c>
      <c r="X729" s="68">
        <v>4707</v>
      </c>
      <c r="Z729" s="68" t="s">
        <v>42967</v>
      </c>
      <c r="AA729" s="33">
        <v>6939</v>
      </c>
    </row>
    <row r="730" spans="1:27" ht="12" customHeight="1" x14ac:dyDescent="0.15">
      <c r="A730" s="10" t="s">
        <v>42345</v>
      </c>
      <c r="B730" s="99">
        <v>37</v>
      </c>
      <c r="C730" s="10" t="s">
        <v>14</v>
      </c>
      <c r="D730" s="10" t="s">
        <v>24</v>
      </c>
      <c r="E730" s="10"/>
      <c r="F730" s="67">
        <v>43589</v>
      </c>
      <c r="G730" s="10" t="s">
        <v>42346</v>
      </c>
      <c r="H730" s="10" t="s">
        <v>5842</v>
      </c>
      <c r="I730" s="10" t="s">
        <v>112</v>
      </c>
      <c r="J730" s="65">
        <v>85336</v>
      </c>
      <c r="K730" s="10" t="s">
        <v>12195</v>
      </c>
      <c r="L730" s="10" t="s">
        <v>42347</v>
      </c>
      <c r="M730" s="10" t="s">
        <v>21</v>
      </c>
      <c r="N730" s="10" t="s">
        <v>42348</v>
      </c>
      <c r="O730" s="10" t="s">
        <v>372</v>
      </c>
      <c r="P730" s="1" t="s">
        <v>30089</v>
      </c>
      <c r="Q730" s="64" t="s">
        <v>42349</v>
      </c>
      <c r="R730" s="10" t="s">
        <v>23</v>
      </c>
      <c r="S730" s="63" t="s">
        <v>22</v>
      </c>
      <c r="T730" s="34" t="s">
        <v>26774</v>
      </c>
      <c r="U730" s="34" t="s">
        <v>26572</v>
      </c>
      <c r="V730" s="68"/>
      <c r="W730" s="68"/>
      <c r="X730" s="68">
        <v>4708</v>
      </c>
      <c r="Z730" s="68" t="s">
        <v>42967</v>
      </c>
      <c r="AA730" s="33">
        <v>6936</v>
      </c>
    </row>
    <row r="731" spans="1:27" ht="12" customHeight="1" x14ac:dyDescent="0.15">
      <c r="A731" s="10" t="s">
        <v>41815</v>
      </c>
      <c r="B731" s="99">
        <v>35</v>
      </c>
      <c r="C731" s="10" t="s">
        <v>14</v>
      </c>
      <c r="D731" s="1" t="s">
        <v>15</v>
      </c>
      <c r="E731" s="64" t="s">
        <v>41816</v>
      </c>
      <c r="F731" s="67">
        <v>43589</v>
      </c>
      <c r="G731" s="10" t="s">
        <v>41817</v>
      </c>
      <c r="H731" s="10" t="s">
        <v>1645</v>
      </c>
      <c r="I731" s="10" t="s">
        <v>39</v>
      </c>
      <c r="J731" s="65">
        <v>95210</v>
      </c>
      <c r="K731" s="10" t="s">
        <v>1647</v>
      </c>
      <c r="L731" s="10" t="s">
        <v>1648</v>
      </c>
      <c r="M731" s="10" t="s">
        <v>21</v>
      </c>
      <c r="N731" s="10" t="s">
        <v>41818</v>
      </c>
      <c r="O731" s="10" t="s">
        <v>372</v>
      </c>
      <c r="P731" s="1" t="s">
        <v>30089</v>
      </c>
      <c r="Q731" s="64" t="s">
        <v>41819</v>
      </c>
      <c r="R731" s="10" t="s">
        <v>512</v>
      </c>
      <c r="S731" s="63" t="s">
        <v>22</v>
      </c>
      <c r="T731" s="34" t="s">
        <v>26580</v>
      </c>
      <c r="U731" s="34" t="s">
        <v>26572</v>
      </c>
      <c r="V731" s="68"/>
      <c r="W731" s="68"/>
      <c r="X731" s="68">
        <v>4705</v>
      </c>
      <c r="Z731" s="68" t="s">
        <v>42968</v>
      </c>
      <c r="AA731" s="33">
        <v>6934</v>
      </c>
    </row>
    <row r="732" spans="1:27" ht="12" customHeight="1" x14ac:dyDescent="0.15">
      <c r="A732" s="63" t="s">
        <v>38106</v>
      </c>
      <c r="B732" s="101">
        <v>37</v>
      </c>
      <c r="C732" s="63" t="s">
        <v>14</v>
      </c>
      <c r="D732" s="10" t="s">
        <v>31</v>
      </c>
      <c r="E732" s="64" t="s">
        <v>38107</v>
      </c>
      <c r="F732" s="67">
        <v>43589</v>
      </c>
      <c r="G732" s="10" t="s">
        <v>38108</v>
      </c>
      <c r="H732" s="10" t="s">
        <v>6529</v>
      </c>
      <c r="I732" s="10" t="s">
        <v>122</v>
      </c>
      <c r="J732" s="65">
        <v>55811</v>
      </c>
      <c r="K732" s="10" t="s">
        <v>661</v>
      </c>
      <c r="L732" s="10" t="s">
        <v>38109</v>
      </c>
      <c r="M732" s="10" t="s">
        <v>21</v>
      </c>
      <c r="N732" s="10" t="s">
        <v>38110</v>
      </c>
      <c r="O732" s="10" t="s">
        <v>372</v>
      </c>
      <c r="P732" s="1" t="s">
        <v>30089</v>
      </c>
      <c r="Q732" s="64" t="s">
        <v>38111</v>
      </c>
      <c r="R732" s="10" t="s">
        <v>94</v>
      </c>
      <c r="S732" s="63" t="s">
        <v>22</v>
      </c>
      <c r="T732" s="68" t="s">
        <v>26781</v>
      </c>
      <c r="U732" s="68" t="s">
        <v>26572</v>
      </c>
      <c r="V732" s="68" t="s">
        <v>26574</v>
      </c>
      <c r="W732" s="68" t="s">
        <v>94</v>
      </c>
      <c r="X732" s="68">
        <v>5416</v>
      </c>
      <c r="Z732" s="68" t="s">
        <v>42968</v>
      </c>
      <c r="AA732" s="33">
        <v>6935</v>
      </c>
    </row>
    <row r="733" spans="1:27" ht="12" customHeight="1" x14ac:dyDescent="0.15">
      <c r="A733" s="10" t="s">
        <v>41592</v>
      </c>
      <c r="B733" s="99">
        <v>25</v>
      </c>
      <c r="C733" s="10" t="s">
        <v>14</v>
      </c>
      <c r="D733" s="68" t="s">
        <v>31</v>
      </c>
      <c r="E733" s="10"/>
      <c r="F733" s="67">
        <v>43589</v>
      </c>
      <c r="G733" s="10" t="s">
        <v>41593</v>
      </c>
      <c r="H733" s="10" t="s">
        <v>10574</v>
      </c>
      <c r="I733" s="10" t="s">
        <v>282</v>
      </c>
      <c r="J733" s="65">
        <v>99216</v>
      </c>
      <c r="K733" s="10" t="s">
        <v>782</v>
      </c>
      <c r="L733" s="10" t="s">
        <v>34360</v>
      </c>
      <c r="M733" s="10" t="s">
        <v>21</v>
      </c>
      <c r="N733" s="10" t="s">
        <v>41594</v>
      </c>
      <c r="O733" s="10" t="s">
        <v>372</v>
      </c>
      <c r="P733" s="1" t="s">
        <v>30089</v>
      </c>
      <c r="Q733" s="64" t="s">
        <v>41595</v>
      </c>
      <c r="R733" s="10" t="s">
        <v>512</v>
      </c>
      <c r="S733" s="63" t="s">
        <v>12</v>
      </c>
      <c r="T733" s="68" t="s">
        <v>29705</v>
      </c>
      <c r="U733" s="68" t="s">
        <v>26570</v>
      </c>
      <c r="V733" s="68" t="s">
        <v>26574</v>
      </c>
      <c r="W733" s="68" t="s">
        <v>94</v>
      </c>
      <c r="X733" s="68">
        <v>4706</v>
      </c>
      <c r="Z733" s="68" t="s">
        <v>42966</v>
      </c>
      <c r="AA733" s="33">
        <v>6937</v>
      </c>
    </row>
    <row r="734" spans="1:27" ht="12" customHeight="1" x14ac:dyDescent="0.15">
      <c r="A734" s="63" t="s">
        <v>40785</v>
      </c>
      <c r="B734" s="101">
        <v>24</v>
      </c>
      <c r="C734" s="63" t="s">
        <v>14</v>
      </c>
      <c r="D734" s="10" t="s">
        <v>24</v>
      </c>
      <c r="E734" s="10"/>
      <c r="F734" s="67">
        <v>43589</v>
      </c>
      <c r="G734" s="10" t="s">
        <v>40786</v>
      </c>
      <c r="H734" s="10" t="s">
        <v>560</v>
      </c>
      <c r="I734" s="10" t="s">
        <v>39</v>
      </c>
      <c r="J734" s="65">
        <v>95127</v>
      </c>
      <c r="K734" s="10" t="s">
        <v>561</v>
      </c>
      <c r="L734" s="10" t="s">
        <v>678</v>
      </c>
      <c r="M734" s="10" t="s">
        <v>21</v>
      </c>
      <c r="N734" s="10" t="s">
        <v>40787</v>
      </c>
      <c r="O734" s="10" t="s">
        <v>372</v>
      </c>
      <c r="P734" s="1" t="s">
        <v>30089</v>
      </c>
      <c r="Q734" s="64" t="s">
        <v>40788</v>
      </c>
      <c r="R734" s="10" t="s">
        <v>94</v>
      </c>
      <c r="S734" s="63" t="s">
        <v>351</v>
      </c>
      <c r="T734" s="68" t="s">
        <v>26867</v>
      </c>
      <c r="U734" s="68" t="s">
        <v>26572</v>
      </c>
      <c r="V734" s="68" t="s">
        <v>26571</v>
      </c>
      <c r="W734" s="68" t="s">
        <v>512</v>
      </c>
      <c r="X734" s="68">
        <v>5417</v>
      </c>
      <c r="Z734" s="68" t="s">
        <v>42968</v>
      </c>
      <c r="AA734" s="33">
        <v>6938</v>
      </c>
    </row>
    <row r="735" spans="1:27" ht="12" customHeight="1" x14ac:dyDescent="0.15">
      <c r="A735" s="10" t="s">
        <v>41165</v>
      </c>
      <c r="B735" s="99">
        <v>76</v>
      </c>
      <c r="C735" s="10" t="s">
        <v>14</v>
      </c>
      <c r="D735" s="10" t="s">
        <v>24</v>
      </c>
      <c r="E735" s="10"/>
      <c r="F735" s="67">
        <v>43587</v>
      </c>
      <c r="G735" s="10" t="s">
        <v>41166</v>
      </c>
      <c r="H735" s="10" t="s">
        <v>10009</v>
      </c>
      <c r="I735" s="10" t="s">
        <v>46</v>
      </c>
      <c r="J735" s="65">
        <v>21234</v>
      </c>
      <c r="K735" s="78" t="s">
        <v>1487</v>
      </c>
      <c r="L735" s="10" t="s">
        <v>212</v>
      </c>
      <c r="M735" s="10" t="s">
        <v>21</v>
      </c>
      <c r="N735" s="10" t="s">
        <v>41167</v>
      </c>
      <c r="O735" s="10" t="s">
        <v>372</v>
      </c>
      <c r="P735" s="1" t="s">
        <v>30089</v>
      </c>
      <c r="Q735" s="64" t="s">
        <v>41168</v>
      </c>
      <c r="R735" s="10" t="s">
        <v>512</v>
      </c>
      <c r="S735" s="63" t="s">
        <v>22</v>
      </c>
      <c r="T735" s="68" t="s">
        <v>26781</v>
      </c>
      <c r="U735" s="68" t="s">
        <v>26572</v>
      </c>
      <c r="V735" s="68" t="s">
        <v>26573</v>
      </c>
      <c r="W735" s="68" t="s">
        <v>512</v>
      </c>
      <c r="X735" s="68">
        <v>4709</v>
      </c>
      <c r="Z735" s="68" t="s">
        <v>42966</v>
      </c>
      <c r="AA735" s="33">
        <v>6932</v>
      </c>
    </row>
    <row r="736" spans="1:27" ht="12" customHeight="1" x14ac:dyDescent="0.15">
      <c r="A736" s="10" t="s">
        <v>40102</v>
      </c>
      <c r="B736" s="99">
        <v>52</v>
      </c>
      <c r="C736" s="10" t="s">
        <v>14</v>
      </c>
      <c r="D736" s="10" t="s">
        <v>31</v>
      </c>
      <c r="E736" s="64" t="s">
        <v>40103</v>
      </c>
      <c r="F736" s="67">
        <v>43587</v>
      </c>
      <c r="G736" s="10" t="s">
        <v>40104</v>
      </c>
      <c r="H736" s="10" t="s">
        <v>40105</v>
      </c>
      <c r="I736" s="10" t="s">
        <v>160</v>
      </c>
      <c r="J736" s="65">
        <v>30428</v>
      </c>
      <c r="K736" s="78" t="s">
        <v>40106</v>
      </c>
      <c r="L736" s="10" t="s">
        <v>40107</v>
      </c>
      <c r="M736" s="10" t="s">
        <v>21</v>
      </c>
      <c r="N736" s="10" t="s">
        <v>40108</v>
      </c>
      <c r="O736" s="10" t="s">
        <v>372</v>
      </c>
      <c r="P736" s="1" t="s">
        <v>30089</v>
      </c>
      <c r="Q736" s="64" t="s">
        <v>40109</v>
      </c>
      <c r="R736" s="10" t="s">
        <v>94</v>
      </c>
      <c r="S736" s="63" t="s">
        <v>12</v>
      </c>
      <c r="T736" s="68" t="s">
        <v>29705</v>
      </c>
      <c r="U736" s="68" t="s">
        <v>26572</v>
      </c>
      <c r="V736" s="68" t="s">
        <v>19228</v>
      </c>
      <c r="W736" s="68" t="s">
        <v>94</v>
      </c>
      <c r="X736" s="68">
        <v>4696</v>
      </c>
      <c r="Z736" s="68" t="s">
        <v>42967</v>
      </c>
      <c r="AA736" s="33">
        <v>6933</v>
      </c>
    </row>
    <row r="737" spans="1:27" ht="12" customHeight="1" x14ac:dyDescent="0.15">
      <c r="A737" s="10" t="s">
        <v>38668</v>
      </c>
      <c r="B737" s="99">
        <v>37</v>
      </c>
      <c r="C737" s="10" t="s">
        <v>14</v>
      </c>
      <c r="D737" s="10" t="s">
        <v>42</v>
      </c>
      <c r="E737" s="64" t="s">
        <v>38669</v>
      </c>
      <c r="F737" s="67">
        <v>43587</v>
      </c>
      <c r="G737" s="10" t="s">
        <v>38670</v>
      </c>
      <c r="H737" s="10" t="s">
        <v>12506</v>
      </c>
      <c r="I737" s="10" t="s">
        <v>67</v>
      </c>
      <c r="J737" s="65">
        <v>75104</v>
      </c>
      <c r="K737" s="10" t="s">
        <v>266</v>
      </c>
      <c r="L737" s="10" t="s">
        <v>11308</v>
      </c>
      <c r="M737" s="10" t="s">
        <v>21</v>
      </c>
      <c r="N737" s="10" t="s">
        <v>38671</v>
      </c>
      <c r="O737" s="10" t="s">
        <v>372</v>
      </c>
      <c r="P737" s="1" t="s">
        <v>30089</v>
      </c>
      <c r="Q737" s="64" t="s">
        <v>38672</v>
      </c>
      <c r="R737" s="10" t="s">
        <v>94</v>
      </c>
      <c r="S737" s="63" t="s">
        <v>22</v>
      </c>
      <c r="T737" s="68" t="s">
        <v>26781</v>
      </c>
      <c r="U737" s="68" t="s">
        <v>26570</v>
      </c>
      <c r="V737" s="68" t="s">
        <v>26571</v>
      </c>
      <c r="W737" s="68" t="s">
        <v>94</v>
      </c>
      <c r="X737" s="68">
        <v>4710</v>
      </c>
      <c r="Z737" s="68" t="s">
        <v>42968</v>
      </c>
      <c r="AA737" s="33">
        <v>6931</v>
      </c>
    </row>
    <row r="738" spans="1:27" ht="12" customHeight="1" x14ac:dyDescent="0.15">
      <c r="A738" s="10" t="s">
        <v>39630</v>
      </c>
      <c r="B738" s="99">
        <v>51</v>
      </c>
      <c r="C738" s="10" t="s">
        <v>14</v>
      </c>
      <c r="D738" s="10" t="s">
        <v>42</v>
      </c>
      <c r="E738" s="64" t="s">
        <v>39631</v>
      </c>
      <c r="F738" s="67">
        <v>43586</v>
      </c>
      <c r="G738" s="10" t="s">
        <v>39632</v>
      </c>
      <c r="H738" s="10" t="s">
        <v>196</v>
      </c>
      <c r="I738" s="10" t="s">
        <v>56</v>
      </c>
      <c r="J738" s="65">
        <v>33185</v>
      </c>
      <c r="K738" s="10" t="s">
        <v>148</v>
      </c>
      <c r="L738" s="10" t="s">
        <v>149</v>
      </c>
      <c r="M738" s="10" t="s">
        <v>21</v>
      </c>
      <c r="N738" s="10" t="s">
        <v>39633</v>
      </c>
      <c r="O738" s="10" t="s">
        <v>372</v>
      </c>
      <c r="P738" s="1" t="s">
        <v>30089</v>
      </c>
      <c r="Q738" s="64" t="s">
        <v>39634</v>
      </c>
      <c r="R738" s="10" t="s">
        <v>94</v>
      </c>
      <c r="S738" s="63" t="s">
        <v>22</v>
      </c>
      <c r="T738" s="68" t="s">
        <v>26774</v>
      </c>
      <c r="U738" s="68" t="s">
        <v>26570</v>
      </c>
      <c r="V738" s="68" t="s">
        <v>26573</v>
      </c>
      <c r="W738" s="68" t="s">
        <v>94</v>
      </c>
      <c r="X738" s="68">
        <v>4688</v>
      </c>
      <c r="Z738" s="68" t="s">
        <v>42968</v>
      </c>
      <c r="AA738" s="33">
        <v>6929</v>
      </c>
    </row>
    <row r="739" spans="1:27" ht="12" customHeight="1" x14ac:dyDescent="0.2">
      <c r="A739" s="10" t="s">
        <v>38112</v>
      </c>
      <c r="B739" s="99">
        <v>28</v>
      </c>
      <c r="C739" s="10" t="s">
        <v>14</v>
      </c>
      <c r="D739" s="10" t="s">
        <v>31</v>
      </c>
      <c r="E739" s="64" t="s">
        <v>38113</v>
      </c>
      <c r="F739" s="67">
        <v>43586</v>
      </c>
      <c r="G739" s="10" t="s">
        <v>38114</v>
      </c>
      <c r="H739" s="10" t="s">
        <v>38115</v>
      </c>
      <c r="I739" s="10" t="s">
        <v>225</v>
      </c>
      <c r="J739" s="77">
        <v>24258</v>
      </c>
      <c r="K739" s="10" t="s">
        <v>6440</v>
      </c>
      <c r="L739" s="10" t="s">
        <v>38116</v>
      </c>
      <c r="M739" s="10" t="s">
        <v>21</v>
      </c>
      <c r="N739" s="10" t="s">
        <v>38117</v>
      </c>
      <c r="O739" s="10" t="s">
        <v>372</v>
      </c>
      <c r="P739" s="1" t="s">
        <v>30089</v>
      </c>
      <c r="Q739" s="64" t="s">
        <v>38118</v>
      </c>
      <c r="R739" s="10" t="s">
        <v>94</v>
      </c>
      <c r="S739" s="63" t="s">
        <v>22</v>
      </c>
      <c r="T739" s="68" t="s">
        <v>26781</v>
      </c>
      <c r="U739" s="68" t="s">
        <v>26572</v>
      </c>
      <c r="V739" s="68" t="s">
        <v>26574</v>
      </c>
      <c r="W739" s="68" t="s">
        <v>94</v>
      </c>
      <c r="X739" s="68">
        <v>4712</v>
      </c>
      <c r="Z739" s="68" t="s">
        <v>42967</v>
      </c>
      <c r="AA739" s="33">
        <v>6927</v>
      </c>
    </row>
    <row r="740" spans="1:27" ht="12" customHeight="1" x14ac:dyDescent="0.15">
      <c r="A740" s="10" t="s">
        <v>38658</v>
      </c>
      <c r="B740" s="99">
        <v>37</v>
      </c>
      <c r="C740" s="10" t="s">
        <v>14</v>
      </c>
      <c r="D740" s="10" t="s">
        <v>42</v>
      </c>
      <c r="E740" s="64" t="s">
        <v>38659</v>
      </c>
      <c r="F740" s="67">
        <v>43586</v>
      </c>
      <c r="G740" s="10" t="s">
        <v>38660</v>
      </c>
      <c r="H740" s="10" t="s">
        <v>1831</v>
      </c>
      <c r="I740" s="10" t="s">
        <v>178</v>
      </c>
      <c r="J740" s="65">
        <v>87031</v>
      </c>
      <c r="K740" s="10" t="s">
        <v>1833</v>
      </c>
      <c r="L740" s="10" t="s">
        <v>32218</v>
      </c>
      <c r="M740" s="10" t="s">
        <v>21</v>
      </c>
      <c r="N740" s="10" t="s">
        <v>38661</v>
      </c>
      <c r="O740" s="10" t="s">
        <v>372</v>
      </c>
      <c r="P740" s="1" t="s">
        <v>30089</v>
      </c>
      <c r="Q740" s="64" t="s">
        <v>38662</v>
      </c>
      <c r="R740" s="10" t="s">
        <v>94</v>
      </c>
      <c r="S740" s="63" t="s">
        <v>22</v>
      </c>
      <c r="T740" s="68" t="s">
        <v>26781</v>
      </c>
      <c r="U740" s="68" t="s">
        <v>26572</v>
      </c>
      <c r="V740" s="68" t="s">
        <v>26573</v>
      </c>
      <c r="W740" s="68" t="s">
        <v>94</v>
      </c>
      <c r="X740" s="68">
        <v>4689</v>
      </c>
      <c r="Z740" s="68" t="s">
        <v>42967</v>
      </c>
      <c r="AA740" s="33">
        <v>6928</v>
      </c>
    </row>
    <row r="741" spans="1:27" ht="12" customHeight="1" x14ac:dyDescent="0.15">
      <c r="A741" s="10" t="s">
        <v>3002</v>
      </c>
      <c r="B741" s="70"/>
      <c r="C741" s="10" t="s">
        <v>14</v>
      </c>
      <c r="D741" s="10" t="s">
        <v>24</v>
      </c>
      <c r="E741" s="10"/>
      <c r="F741" s="67">
        <v>43586</v>
      </c>
      <c r="G741" s="10" t="s">
        <v>39742</v>
      </c>
      <c r="H741" s="10" t="s">
        <v>4636</v>
      </c>
      <c r="I741" s="10" t="s">
        <v>56</v>
      </c>
      <c r="J741" s="65">
        <v>32439</v>
      </c>
      <c r="K741" s="78" t="s">
        <v>24284</v>
      </c>
      <c r="L741" s="10" t="s">
        <v>24285</v>
      </c>
      <c r="M741" s="10" t="s">
        <v>21</v>
      </c>
      <c r="N741" s="10" t="s">
        <v>39743</v>
      </c>
      <c r="O741" s="10" t="s">
        <v>372</v>
      </c>
      <c r="P741" s="1" t="s">
        <v>30089</v>
      </c>
      <c r="Q741" s="64" t="s">
        <v>39744</v>
      </c>
      <c r="R741" s="10" t="s">
        <v>94</v>
      </c>
      <c r="S741" s="63" t="s">
        <v>22</v>
      </c>
      <c r="T741" s="68" t="s">
        <v>26774</v>
      </c>
      <c r="U741" s="68" t="s">
        <v>26570</v>
      </c>
      <c r="V741" s="68" t="s">
        <v>26573</v>
      </c>
      <c r="W741" s="68" t="s">
        <v>94</v>
      </c>
      <c r="X741" s="68">
        <v>4697</v>
      </c>
      <c r="Z741" s="68" t="s">
        <v>42967</v>
      </c>
      <c r="AA741" s="33">
        <v>6930</v>
      </c>
    </row>
    <row r="742" spans="1:27" ht="12" customHeight="1" x14ac:dyDescent="0.15">
      <c r="A742" s="10" t="s">
        <v>3002</v>
      </c>
      <c r="B742" s="70"/>
      <c r="C742" s="10" t="s">
        <v>14</v>
      </c>
      <c r="D742" s="10" t="s">
        <v>24</v>
      </c>
      <c r="E742" s="10"/>
      <c r="F742" s="67">
        <v>43585</v>
      </c>
      <c r="G742" s="10" t="s">
        <v>39739</v>
      </c>
      <c r="H742" s="10" t="s">
        <v>5040</v>
      </c>
      <c r="I742" s="10" t="s">
        <v>39</v>
      </c>
      <c r="J742" s="65">
        <v>92571</v>
      </c>
      <c r="K742" s="78" t="s">
        <v>728</v>
      </c>
      <c r="L742" s="10" t="s">
        <v>729</v>
      </c>
      <c r="M742" s="10" t="s">
        <v>21</v>
      </c>
      <c r="N742" s="10" t="s">
        <v>39740</v>
      </c>
      <c r="O742" s="10" t="s">
        <v>372</v>
      </c>
      <c r="P742" s="1" t="s">
        <v>30089</v>
      </c>
      <c r="Q742" s="64" t="s">
        <v>39741</v>
      </c>
      <c r="R742" s="10" t="s">
        <v>94</v>
      </c>
      <c r="S742" s="63" t="s">
        <v>22</v>
      </c>
      <c r="T742" s="68" t="s">
        <v>26774</v>
      </c>
      <c r="U742" s="68" t="s">
        <v>26570</v>
      </c>
      <c r="V742" s="68" t="s">
        <v>26573</v>
      </c>
      <c r="W742" s="68" t="s">
        <v>94</v>
      </c>
      <c r="X742" s="68">
        <v>4691</v>
      </c>
      <c r="Z742" s="68" t="s">
        <v>42968</v>
      </c>
      <c r="AA742" s="33">
        <v>6926</v>
      </c>
    </row>
    <row r="743" spans="1:27" ht="12" customHeight="1" x14ac:dyDescent="0.15">
      <c r="A743" s="10" t="s">
        <v>38654</v>
      </c>
      <c r="B743" s="100">
        <v>47</v>
      </c>
      <c r="C743" s="10" t="s">
        <v>14</v>
      </c>
      <c r="D743" s="10" t="s">
        <v>42</v>
      </c>
      <c r="E743" s="10"/>
      <c r="F743" s="67">
        <v>43585</v>
      </c>
      <c r="G743" s="10" t="s">
        <v>38655</v>
      </c>
      <c r="H743" s="10" t="s">
        <v>92</v>
      </c>
      <c r="I743" s="10" t="s">
        <v>39</v>
      </c>
      <c r="J743" s="65">
        <v>90059</v>
      </c>
      <c r="K743" s="10" t="s">
        <v>92</v>
      </c>
      <c r="L743" s="10" t="s">
        <v>93</v>
      </c>
      <c r="M743" s="10" t="s">
        <v>21</v>
      </c>
      <c r="N743" s="10" t="s">
        <v>38656</v>
      </c>
      <c r="O743" s="10" t="s">
        <v>372</v>
      </c>
      <c r="P743" s="1" t="s">
        <v>30089</v>
      </c>
      <c r="Q743" s="64" t="s">
        <v>38657</v>
      </c>
      <c r="R743" s="10" t="s">
        <v>94</v>
      </c>
      <c r="S743" s="63" t="s">
        <v>22</v>
      </c>
      <c r="T743" s="68" t="s">
        <v>26781</v>
      </c>
      <c r="U743" s="68" t="s">
        <v>26572</v>
      </c>
      <c r="V743" s="68" t="s">
        <v>26574</v>
      </c>
      <c r="W743" s="68" t="s">
        <v>94</v>
      </c>
      <c r="X743" s="68">
        <v>4687</v>
      </c>
      <c r="Z743" s="68" t="s">
        <v>42966</v>
      </c>
      <c r="AA743" s="33">
        <v>6924</v>
      </c>
    </row>
    <row r="744" spans="1:27" ht="12" customHeight="1" x14ac:dyDescent="0.15">
      <c r="A744" s="10" t="s">
        <v>39521</v>
      </c>
      <c r="B744" s="99">
        <v>45</v>
      </c>
      <c r="C744" s="10" t="s">
        <v>103</v>
      </c>
      <c r="D744" s="10" t="s">
        <v>31</v>
      </c>
      <c r="E744" s="63"/>
      <c r="F744" s="67">
        <v>43585</v>
      </c>
      <c r="G744" s="10" t="s">
        <v>39522</v>
      </c>
      <c r="H744" s="10" t="s">
        <v>39523</v>
      </c>
      <c r="I744" s="10" t="s">
        <v>338</v>
      </c>
      <c r="J744" s="65">
        <v>27295</v>
      </c>
      <c r="K744" s="10" t="s">
        <v>823</v>
      </c>
      <c r="L744" s="10" t="s">
        <v>5897</v>
      </c>
      <c r="M744" s="10" t="s">
        <v>21</v>
      </c>
      <c r="N744" s="10" t="s">
        <v>39524</v>
      </c>
      <c r="O744" s="10" t="s">
        <v>372</v>
      </c>
      <c r="P744" s="1" t="s">
        <v>30089</v>
      </c>
      <c r="Q744" s="64" t="s">
        <v>39525</v>
      </c>
      <c r="R744" s="10" t="s">
        <v>94</v>
      </c>
      <c r="S744" s="63" t="s">
        <v>22</v>
      </c>
      <c r="T744" s="68" t="s">
        <v>26774</v>
      </c>
      <c r="U744" s="68" t="s">
        <v>26570</v>
      </c>
      <c r="V744" s="68" t="s">
        <v>26573</v>
      </c>
      <c r="W744" s="68" t="s">
        <v>94</v>
      </c>
      <c r="X744" s="68">
        <v>4690</v>
      </c>
      <c r="Z744" s="68" t="s">
        <v>42968</v>
      </c>
      <c r="AA744" s="33">
        <v>6925</v>
      </c>
    </row>
    <row r="745" spans="1:27" ht="12" customHeight="1" x14ac:dyDescent="0.15">
      <c r="A745" s="63" t="s">
        <v>39517</v>
      </c>
      <c r="B745" s="101">
        <v>42</v>
      </c>
      <c r="C745" s="10" t="s">
        <v>14</v>
      </c>
      <c r="D745" s="10" t="s">
        <v>31</v>
      </c>
      <c r="E745" s="63"/>
      <c r="F745" s="67">
        <v>43584</v>
      </c>
      <c r="G745" s="10" t="s">
        <v>39518</v>
      </c>
      <c r="H745" s="10" t="s">
        <v>1459</v>
      </c>
      <c r="I745" s="10" t="s">
        <v>106</v>
      </c>
      <c r="J745" s="65">
        <v>97236</v>
      </c>
      <c r="K745" s="10" t="s">
        <v>1461</v>
      </c>
      <c r="L745" s="10" t="s">
        <v>16039</v>
      </c>
      <c r="M745" s="10" t="s">
        <v>21</v>
      </c>
      <c r="N745" s="10" t="s">
        <v>39519</v>
      </c>
      <c r="O745" s="10" t="s">
        <v>372</v>
      </c>
      <c r="P745" s="1" t="s">
        <v>30089</v>
      </c>
      <c r="Q745" s="64" t="s">
        <v>39520</v>
      </c>
      <c r="R745" s="10" t="s">
        <v>94</v>
      </c>
      <c r="S745" s="63" t="s">
        <v>22</v>
      </c>
      <c r="T745" s="68" t="s">
        <v>26774</v>
      </c>
      <c r="U745" s="68" t="s">
        <v>26572</v>
      </c>
      <c r="V745" s="68" t="s">
        <v>26573</v>
      </c>
      <c r="W745" s="68" t="s">
        <v>94</v>
      </c>
      <c r="X745" s="68">
        <v>4683</v>
      </c>
      <c r="Z745" s="68" t="s">
        <v>42968</v>
      </c>
      <c r="AA745" s="33">
        <v>6921</v>
      </c>
    </row>
    <row r="746" spans="1:27" ht="12" customHeight="1" x14ac:dyDescent="0.15">
      <c r="A746" s="10" t="s">
        <v>40036</v>
      </c>
      <c r="B746" s="99">
        <v>26</v>
      </c>
      <c r="C746" s="10" t="s">
        <v>14</v>
      </c>
      <c r="D746" s="68" t="s">
        <v>42</v>
      </c>
      <c r="E746" s="63"/>
      <c r="F746" s="67">
        <v>43584</v>
      </c>
      <c r="G746" s="10" t="s">
        <v>40037</v>
      </c>
      <c r="H746" s="10" t="s">
        <v>584</v>
      </c>
      <c r="I746" s="10" t="s">
        <v>112</v>
      </c>
      <c r="J746" s="65">
        <v>85009</v>
      </c>
      <c r="K746" s="10" t="s">
        <v>585</v>
      </c>
      <c r="L746" s="10" t="s">
        <v>586</v>
      </c>
      <c r="M746" s="10" t="s">
        <v>21</v>
      </c>
      <c r="N746" s="10" t="s">
        <v>40038</v>
      </c>
      <c r="O746" s="10" t="s">
        <v>372</v>
      </c>
      <c r="P746" s="1" t="s">
        <v>30089</v>
      </c>
      <c r="Q746" s="64" t="s">
        <v>40039</v>
      </c>
      <c r="R746" s="10" t="s">
        <v>94</v>
      </c>
      <c r="S746" s="63" t="s">
        <v>12</v>
      </c>
      <c r="T746" s="68" t="s">
        <v>39971</v>
      </c>
      <c r="U746" s="68" t="s">
        <v>26572</v>
      </c>
      <c r="V746" s="68" t="s">
        <v>26574</v>
      </c>
      <c r="W746" s="68" t="s">
        <v>94</v>
      </c>
      <c r="X746" s="68">
        <v>4693</v>
      </c>
      <c r="Z746" s="68" t="s">
        <v>42966</v>
      </c>
      <c r="AA746" s="33">
        <v>6922</v>
      </c>
    </row>
    <row r="747" spans="1:27" ht="12" customHeight="1" x14ac:dyDescent="0.15">
      <c r="A747" s="10" t="s">
        <v>40206</v>
      </c>
      <c r="B747" s="99">
        <v>49</v>
      </c>
      <c r="C747" s="10" t="s">
        <v>103</v>
      </c>
      <c r="D747" s="10" t="s">
        <v>15</v>
      </c>
      <c r="E747" s="10"/>
      <c r="F747" s="67">
        <v>43584</v>
      </c>
      <c r="G747" s="10"/>
      <c r="H747" s="10" t="s">
        <v>40207</v>
      </c>
      <c r="I747" s="10" t="s">
        <v>139</v>
      </c>
      <c r="J747" s="65">
        <v>24801</v>
      </c>
      <c r="K747" s="10" t="s">
        <v>24338</v>
      </c>
      <c r="L747" s="10" t="s">
        <v>141</v>
      </c>
      <c r="M747" s="10" t="s">
        <v>21</v>
      </c>
      <c r="N747" s="10" t="s">
        <v>40208</v>
      </c>
      <c r="O747" s="10" t="s">
        <v>372</v>
      </c>
      <c r="P747" s="1" t="s">
        <v>30089</v>
      </c>
      <c r="Q747" s="64" t="s">
        <v>40209</v>
      </c>
      <c r="R747" s="10" t="s">
        <v>23</v>
      </c>
      <c r="S747" s="63" t="s">
        <v>29</v>
      </c>
      <c r="T747" s="68" t="s">
        <v>26594</v>
      </c>
      <c r="U747" s="68" t="s">
        <v>26570</v>
      </c>
      <c r="V747" s="68" t="s">
        <v>26573</v>
      </c>
      <c r="W747" s="68" t="s">
        <v>94</v>
      </c>
      <c r="X747" s="68">
        <v>4695</v>
      </c>
      <c r="Z747" s="68" t="s">
        <v>42967</v>
      </c>
      <c r="AA747" s="33">
        <v>6920</v>
      </c>
    </row>
    <row r="748" spans="1:27" ht="12" customHeight="1" x14ac:dyDescent="0.15">
      <c r="A748" s="10" t="s">
        <v>38099</v>
      </c>
      <c r="B748" s="99">
        <v>29</v>
      </c>
      <c r="C748" s="10" t="s">
        <v>14</v>
      </c>
      <c r="D748" s="10" t="s">
        <v>31</v>
      </c>
      <c r="E748" s="64" t="s">
        <v>38100</v>
      </c>
      <c r="F748" s="67">
        <v>43584</v>
      </c>
      <c r="G748" s="10" t="s">
        <v>38101</v>
      </c>
      <c r="H748" s="10" t="s">
        <v>38102</v>
      </c>
      <c r="I748" s="10" t="s">
        <v>621</v>
      </c>
      <c r="J748" s="65">
        <v>39520</v>
      </c>
      <c r="K748" s="10" t="s">
        <v>1742</v>
      </c>
      <c r="L748" s="10" t="s">
        <v>38103</v>
      </c>
      <c r="M748" s="10" t="s">
        <v>21</v>
      </c>
      <c r="N748" s="10" t="s">
        <v>38104</v>
      </c>
      <c r="O748" s="10" t="s">
        <v>372</v>
      </c>
      <c r="P748" s="1" t="s">
        <v>30089</v>
      </c>
      <c r="Q748" s="64" t="s">
        <v>38105</v>
      </c>
      <c r="R748" s="10" t="s">
        <v>94</v>
      </c>
      <c r="S748" s="63" t="s">
        <v>22</v>
      </c>
      <c r="T748" s="68" t="s">
        <v>26781</v>
      </c>
      <c r="U748" s="68" t="s">
        <v>26572</v>
      </c>
      <c r="V748" s="68" t="s">
        <v>26574</v>
      </c>
      <c r="W748" s="68" t="s">
        <v>94</v>
      </c>
      <c r="X748" s="68">
        <v>4694</v>
      </c>
      <c r="Z748" s="68" t="s">
        <v>42967</v>
      </c>
      <c r="AA748" s="33">
        <v>6919</v>
      </c>
    </row>
    <row r="749" spans="1:27" ht="12" customHeight="1" x14ac:dyDescent="0.15">
      <c r="A749" s="63" t="s">
        <v>40060</v>
      </c>
      <c r="B749" s="101">
        <v>17</v>
      </c>
      <c r="C749" s="10" t="s">
        <v>14</v>
      </c>
      <c r="D749" s="10" t="s">
        <v>79</v>
      </c>
      <c r="E749" s="63"/>
      <c r="F749" s="67">
        <v>43584</v>
      </c>
      <c r="G749" s="10" t="s">
        <v>40061</v>
      </c>
      <c r="H749" s="10" t="s">
        <v>1986</v>
      </c>
      <c r="I749" s="10" t="s">
        <v>367</v>
      </c>
      <c r="J749" s="65">
        <v>73003</v>
      </c>
      <c r="K749" s="10" t="s">
        <v>1028</v>
      </c>
      <c r="L749" s="10" t="s">
        <v>1988</v>
      </c>
      <c r="M749" s="10" t="s">
        <v>21</v>
      </c>
      <c r="N749" s="10" t="s">
        <v>40062</v>
      </c>
      <c r="O749" s="10" t="s">
        <v>372</v>
      </c>
      <c r="P749" s="1" t="s">
        <v>30089</v>
      </c>
      <c r="Q749" s="64" t="s">
        <v>40063</v>
      </c>
      <c r="R749" s="10" t="s">
        <v>23</v>
      </c>
      <c r="S749" s="63" t="s">
        <v>12</v>
      </c>
      <c r="T749" s="68" t="s">
        <v>29705</v>
      </c>
      <c r="U749" s="68" t="s">
        <v>26572</v>
      </c>
      <c r="V749" s="68" t="s">
        <v>26574</v>
      </c>
      <c r="W749" s="68" t="s">
        <v>94</v>
      </c>
      <c r="X749" s="68">
        <v>4692</v>
      </c>
      <c r="Z749" s="68" t="s">
        <v>42968</v>
      </c>
      <c r="AA749" s="33">
        <v>6923</v>
      </c>
    </row>
    <row r="750" spans="1:27" ht="12" customHeight="1" x14ac:dyDescent="0.15">
      <c r="A750" s="63" t="s">
        <v>41134</v>
      </c>
      <c r="B750" s="101">
        <v>45</v>
      </c>
      <c r="C750" s="10" t="s">
        <v>14</v>
      </c>
      <c r="D750" s="10" t="s">
        <v>42</v>
      </c>
      <c r="E750" s="63"/>
      <c r="F750" s="67">
        <v>43583</v>
      </c>
      <c r="G750" s="10" t="s">
        <v>41135</v>
      </c>
      <c r="H750" s="10" t="s">
        <v>1227</v>
      </c>
      <c r="I750" s="10" t="s">
        <v>67</v>
      </c>
      <c r="J750" s="65">
        <v>78731</v>
      </c>
      <c r="K750" s="10" t="s">
        <v>1228</v>
      </c>
      <c r="L750" s="10" t="s">
        <v>1229</v>
      </c>
      <c r="M750" s="10" t="s">
        <v>21</v>
      </c>
      <c r="N750" s="10" t="s">
        <v>41136</v>
      </c>
      <c r="O750" s="10" t="s">
        <v>372</v>
      </c>
      <c r="P750" s="1" t="s">
        <v>30089</v>
      </c>
      <c r="Q750" s="64" t="s">
        <v>41137</v>
      </c>
      <c r="R750" s="10" t="s">
        <v>512</v>
      </c>
      <c r="S750" s="63" t="s">
        <v>22</v>
      </c>
      <c r="T750" s="68" t="s">
        <v>26781</v>
      </c>
      <c r="U750" s="68" t="s">
        <v>26570</v>
      </c>
      <c r="V750" s="68" t="s">
        <v>26573</v>
      </c>
      <c r="W750" s="68" t="s">
        <v>512</v>
      </c>
      <c r="X750" s="68">
        <v>4685</v>
      </c>
      <c r="Z750" s="68" t="s">
        <v>42966</v>
      </c>
      <c r="AA750" s="33">
        <v>6916</v>
      </c>
    </row>
    <row r="751" spans="1:27" ht="12" customHeight="1" x14ac:dyDescent="0.15">
      <c r="A751" s="10" t="s">
        <v>41251</v>
      </c>
      <c r="B751" s="99">
        <v>47</v>
      </c>
      <c r="C751" s="10" t="s">
        <v>14</v>
      </c>
      <c r="D751" s="68" t="s">
        <v>42</v>
      </c>
      <c r="E751" s="63"/>
      <c r="F751" s="67">
        <v>43583</v>
      </c>
      <c r="G751" s="10" t="s">
        <v>41252</v>
      </c>
      <c r="H751" s="10" t="s">
        <v>12493</v>
      </c>
      <c r="I751" s="10" t="s">
        <v>250</v>
      </c>
      <c r="J751" s="65">
        <v>89431</v>
      </c>
      <c r="K751" s="10" t="s">
        <v>5732</v>
      </c>
      <c r="L751" s="10" t="s">
        <v>12495</v>
      </c>
      <c r="M751" s="10" t="s">
        <v>21</v>
      </c>
      <c r="N751" s="10" t="s">
        <v>41253</v>
      </c>
      <c r="O751" s="10" t="s">
        <v>372</v>
      </c>
      <c r="P751" s="1" t="s">
        <v>30089</v>
      </c>
      <c r="Q751" s="64" t="s">
        <v>41254</v>
      </c>
      <c r="R751" s="10" t="s">
        <v>512</v>
      </c>
      <c r="S751" s="63" t="s">
        <v>22</v>
      </c>
      <c r="T751" s="68" t="s">
        <v>26781</v>
      </c>
      <c r="U751" s="68" t="s">
        <v>26570</v>
      </c>
      <c r="V751" s="68" t="s">
        <v>26573</v>
      </c>
      <c r="W751" s="68" t="s">
        <v>94</v>
      </c>
      <c r="X751" s="68">
        <v>4684</v>
      </c>
      <c r="Z751" s="68" t="s">
        <v>42968</v>
      </c>
      <c r="AA751" s="33">
        <v>6917</v>
      </c>
    </row>
    <row r="752" spans="1:27" ht="12" customHeight="1" x14ac:dyDescent="0.15">
      <c r="A752" s="10" t="s">
        <v>3002</v>
      </c>
      <c r="B752" s="69"/>
      <c r="C752" s="10" t="s">
        <v>103</v>
      </c>
      <c r="D752" s="10" t="s">
        <v>24</v>
      </c>
      <c r="E752" s="63"/>
      <c r="F752" s="67">
        <v>43583</v>
      </c>
      <c r="G752" s="10"/>
      <c r="H752" s="10" t="s">
        <v>42350</v>
      </c>
      <c r="I752" s="10" t="s">
        <v>139</v>
      </c>
      <c r="J752" s="65">
        <v>24801</v>
      </c>
      <c r="K752" s="10" t="s">
        <v>24338</v>
      </c>
      <c r="L752" s="10" t="s">
        <v>141</v>
      </c>
      <c r="M752" s="10" t="s">
        <v>21</v>
      </c>
      <c r="N752" s="10" t="s">
        <v>42351</v>
      </c>
      <c r="O752" s="10" t="s">
        <v>372</v>
      </c>
      <c r="P752" s="1" t="s">
        <v>30089</v>
      </c>
      <c r="Q752" s="64" t="s">
        <v>42352</v>
      </c>
      <c r="R752" s="10" t="s">
        <v>94</v>
      </c>
      <c r="S752" s="63" t="s">
        <v>29</v>
      </c>
      <c r="T752" s="34" t="s">
        <v>41840</v>
      </c>
      <c r="U752" s="34"/>
      <c r="V752" s="68"/>
      <c r="W752" s="68"/>
      <c r="X752" s="68"/>
      <c r="Z752" s="68" t="s">
        <v>42967</v>
      </c>
      <c r="AA752" s="33">
        <v>6918</v>
      </c>
    </row>
    <row r="753" spans="1:27" ht="12" customHeight="1" x14ac:dyDescent="0.15">
      <c r="A753" s="10" t="s">
        <v>42353</v>
      </c>
      <c r="B753" s="99">
        <v>31</v>
      </c>
      <c r="C753" s="10" t="s">
        <v>14</v>
      </c>
      <c r="D753" s="10" t="s">
        <v>24</v>
      </c>
      <c r="E753" s="63"/>
      <c r="F753" s="67">
        <v>43582</v>
      </c>
      <c r="G753" s="10" t="s">
        <v>42354</v>
      </c>
      <c r="H753" s="10" t="s">
        <v>4307</v>
      </c>
      <c r="I753" s="10" t="s">
        <v>192</v>
      </c>
      <c r="J753" s="65">
        <v>81006</v>
      </c>
      <c r="K753" s="10" t="s">
        <v>4307</v>
      </c>
      <c r="L753" s="10" t="s">
        <v>4309</v>
      </c>
      <c r="M753" s="10" t="s">
        <v>21</v>
      </c>
      <c r="N753" s="10" t="s">
        <v>42355</v>
      </c>
      <c r="O753" s="10" t="s">
        <v>372</v>
      </c>
      <c r="P753" s="1" t="s">
        <v>30089</v>
      </c>
      <c r="Q753" s="64" t="s">
        <v>42356</v>
      </c>
      <c r="R753" s="10" t="s">
        <v>94</v>
      </c>
      <c r="S753" s="63" t="s">
        <v>22</v>
      </c>
      <c r="T753" s="34" t="s">
        <v>26781</v>
      </c>
      <c r="U753" s="34" t="s">
        <v>26572</v>
      </c>
      <c r="V753" s="68"/>
      <c r="W753" s="68"/>
      <c r="X753" s="68"/>
      <c r="Z753" s="68" t="s">
        <v>42967</v>
      </c>
      <c r="AA753" s="33">
        <v>6915</v>
      </c>
    </row>
    <row r="754" spans="1:27" ht="12" customHeight="1" x14ac:dyDescent="0.15">
      <c r="A754" s="10" t="s">
        <v>41161</v>
      </c>
      <c r="B754" s="99">
        <v>43</v>
      </c>
      <c r="C754" s="10" t="s">
        <v>14</v>
      </c>
      <c r="D754" s="10" t="s">
        <v>24</v>
      </c>
      <c r="E754" s="63"/>
      <c r="F754" s="67">
        <v>43581</v>
      </c>
      <c r="G754" s="10" t="s">
        <v>41162</v>
      </c>
      <c r="H754" s="10" t="s">
        <v>29995</v>
      </c>
      <c r="I754" s="10" t="s">
        <v>198</v>
      </c>
      <c r="J754" s="65">
        <v>47129</v>
      </c>
      <c r="K754" s="10" t="s">
        <v>527</v>
      </c>
      <c r="L754" s="10" t="s">
        <v>29996</v>
      </c>
      <c r="M754" s="10" t="s">
        <v>21</v>
      </c>
      <c r="N754" s="10" t="s">
        <v>41163</v>
      </c>
      <c r="O754" s="10" t="s">
        <v>372</v>
      </c>
      <c r="P754" s="1" t="s">
        <v>30089</v>
      </c>
      <c r="Q754" s="64" t="s">
        <v>41164</v>
      </c>
      <c r="R754" s="10" t="s">
        <v>512</v>
      </c>
      <c r="S754" s="63" t="s">
        <v>22</v>
      </c>
      <c r="T754" s="68" t="s">
        <v>26781</v>
      </c>
      <c r="U754" s="68" t="s">
        <v>26572</v>
      </c>
      <c r="V754" s="68" t="s">
        <v>26573</v>
      </c>
      <c r="W754" s="68" t="s">
        <v>512</v>
      </c>
      <c r="X754" s="68">
        <v>4686</v>
      </c>
      <c r="Z754" s="68" t="s">
        <v>42968</v>
      </c>
      <c r="AA754" s="33">
        <v>6912</v>
      </c>
    </row>
    <row r="755" spans="1:27" ht="12" customHeight="1" x14ac:dyDescent="0.15">
      <c r="A755" s="63" t="s">
        <v>41773</v>
      </c>
      <c r="B755" s="101">
        <v>23</v>
      </c>
      <c r="C755" s="10" t="s">
        <v>14</v>
      </c>
      <c r="D755" s="10" t="s">
        <v>79</v>
      </c>
      <c r="E755" s="63"/>
      <c r="F755" s="67">
        <v>43581</v>
      </c>
      <c r="G755" s="10" t="s">
        <v>41774</v>
      </c>
      <c r="H755" s="10" t="s">
        <v>1212</v>
      </c>
      <c r="I755" s="10" t="s">
        <v>192</v>
      </c>
      <c r="J755" s="65">
        <v>80234</v>
      </c>
      <c r="K755" s="10" t="s">
        <v>1790</v>
      </c>
      <c r="L755" s="10" t="s">
        <v>21114</v>
      </c>
      <c r="M755" s="10" t="s">
        <v>21</v>
      </c>
      <c r="N755" s="10" t="s">
        <v>41775</v>
      </c>
      <c r="O755" s="10" t="s">
        <v>372</v>
      </c>
      <c r="P755" s="1" t="s">
        <v>30089</v>
      </c>
      <c r="Q755" s="64" t="s">
        <v>41776</v>
      </c>
      <c r="R755" s="10" t="s">
        <v>94</v>
      </c>
      <c r="S755" s="63" t="s">
        <v>12</v>
      </c>
      <c r="T755" s="34" t="s">
        <v>29705</v>
      </c>
      <c r="U755" s="34" t="s">
        <v>26572</v>
      </c>
      <c r="V755" s="68"/>
      <c r="W755" s="68"/>
      <c r="X755" s="68">
        <v>5415</v>
      </c>
      <c r="Z755" s="68" t="s">
        <v>42968</v>
      </c>
      <c r="AA755" s="33">
        <v>6913</v>
      </c>
    </row>
    <row r="756" spans="1:27" ht="12" customHeight="1" x14ac:dyDescent="0.15">
      <c r="A756" s="10" t="s">
        <v>42160</v>
      </c>
      <c r="B756" s="100">
        <v>46</v>
      </c>
      <c r="C756" s="10" t="s">
        <v>14</v>
      </c>
      <c r="D756" s="10" t="s">
        <v>42</v>
      </c>
      <c r="E756" s="62" t="s">
        <v>42161</v>
      </c>
      <c r="F756" s="67">
        <v>43581</v>
      </c>
      <c r="G756" s="10" t="s">
        <v>42162</v>
      </c>
      <c r="H756" s="10" t="s">
        <v>408</v>
      </c>
      <c r="I756" s="10" t="s">
        <v>409</v>
      </c>
      <c r="J756" s="65">
        <v>54304</v>
      </c>
      <c r="K756" s="10" t="s">
        <v>3728</v>
      </c>
      <c r="L756" s="10" t="s">
        <v>3729</v>
      </c>
      <c r="M756" s="10" t="s">
        <v>363</v>
      </c>
      <c r="N756" s="10" t="s">
        <v>42163</v>
      </c>
      <c r="O756" s="10" t="s">
        <v>372</v>
      </c>
      <c r="P756" s="1" t="s">
        <v>30089</v>
      </c>
      <c r="Q756" s="62" t="s">
        <v>42164</v>
      </c>
      <c r="R756" s="10" t="s">
        <v>23</v>
      </c>
      <c r="S756" s="63" t="s">
        <v>12</v>
      </c>
      <c r="T756" s="34" t="s">
        <v>29705</v>
      </c>
      <c r="U756" s="34"/>
      <c r="V756" s="68"/>
      <c r="W756" s="68"/>
      <c r="X756" s="68"/>
      <c r="Z756" s="68" t="s">
        <v>42968</v>
      </c>
      <c r="AA756" s="33">
        <v>6914</v>
      </c>
    </row>
    <row r="757" spans="1:27" ht="12" customHeight="1" x14ac:dyDescent="0.15">
      <c r="A757" s="10" t="s">
        <v>42357</v>
      </c>
      <c r="B757" s="99">
        <v>23</v>
      </c>
      <c r="C757" s="10" t="s">
        <v>14</v>
      </c>
      <c r="D757" s="10" t="s">
        <v>24</v>
      </c>
      <c r="E757" s="63"/>
      <c r="F757" s="67">
        <v>43580</v>
      </c>
      <c r="G757" s="10" t="s">
        <v>42358</v>
      </c>
      <c r="H757" s="10" t="s">
        <v>31385</v>
      </c>
      <c r="I757" s="10" t="s">
        <v>39</v>
      </c>
      <c r="J757" s="65">
        <v>93266</v>
      </c>
      <c r="K757" s="10" t="s">
        <v>1601</v>
      </c>
      <c r="L757" s="10" t="s">
        <v>2418</v>
      </c>
      <c r="M757" s="10" t="s">
        <v>21</v>
      </c>
      <c r="N757" s="10" t="s">
        <v>42359</v>
      </c>
      <c r="O757" s="10" t="s">
        <v>372</v>
      </c>
      <c r="P757" s="1" t="s">
        <v>30089</v>
      </c>
      <c r="Q757" s="64" t="s">
        <v>42360</v>
      </c>
      <c r="R757" s="10" t="s">
        <v>94</v>
      </c>
      <c r="S757" s="63" t="s">
        <v>22</v>
      </c>
      <c r="T757" s="34" t="s">
        <v>26781</v>
      </c>
      <c r="U757" s="34" t="s">
        <v>26572</v>
      </c>
      <c r="V757" s="68"/>
      <c r="W757" s="68"/>
      <c r="X757" s="68">
        <v>4681</v>
      </c>
      <c r="Z757" s="68" t="s">
        <v>42967</v>
      </c>
      <c r="AA757" s="33">
        <v>6911</v>
      </c>
    </row>
    <row r="758" spans="1:27" ht="12" customHeight="1" x14ac:dyDescent="0.15">
      <c r="A758" s="10" t="s">
        <v>39255</v>
      </c>
      <c r="B758" s="99">
        <v>51</v>
      </c>
      <c r="C758" s="10" t="s">
        <v>14</v>
      </c>
      <c r="D758" s="68" t="s">
        <v>31</v>
      </c>
      <c r="E758" s="63"/>
      <c r="F758" s="67">
        <v>43580</v>
      </c>
      <c r="G758" s="10" t="s">
        <v>39256</v>
      </c>
      <c r="H758" s="10" t="s">
        <v>37978</v>
      </c>
      <c r="I758" s="10" t="s">
        <v>338</v>
      </c>
      <c r="J758" s="65">
        <v>27502</v>
      </c>
      <c r="K758" s="10" t="s">
        <v>642</v>
      </c>
      <c r="L758" s="10" t="s">
        <v>39257</v>
      </c>
      <c r="M758" s="10" t="s">
        <v>21</v>
      </c>
      <c r="N758" s="10" t="s">
        <v>39258</v>
      </c>
      <c r="O758" s="10" t="s">
        <v>372</v>
      </c>
      <c r="P758" s="1" t="s">
        <v>30089</v>
      </c>
      <c r="Q758" s="64" t="s">
        <v>39259</v>
      </c>
      <c r="R758" s="10" t="s">
        <v>94</v>
      </c>
      <c r="S758" s="63" t="s">
        <v>22</v>
      </c>
      <c r="T758" s="68" t="s">
        <v>26781</v>
      </c>
      <c r="U758" s="68" t="s">
        <v>26572</v>
      </c>
      <c r="V758" s="68">
        <v>0</v>
      </c>
      <c r="W758" s="68" t="s">
        <v>94</v>
      </c>
      <c r="X758" s="68">
        <v>5414</v>
      </c>
      <c r="Z758" s="68" t="s">
        <v>42968</v>
      </c>
      <c r="AA758" s="33">
        <v>6910</v>
      </c>
    </row>
    <row r="759" spans="1:27" ht="12" customHeight="1" x14ac:dyDescent="0.15">
      <c r="A759" s="10" t="s">
        <v>39540</v>
      </c>
      <c r="B759" s="99">
        <v>29</v>
      </c>
      <c r="C759" s="10" t="s">
        <v>14</v>
      </c>
      <c r="D759" s="10" t="s">
        <v>31</v>
      </c>
      <c r="E759" s="64" t="s">
        <v>39541</v>
      </c>
      <c r="F759" s="67">
        <v>43579</v>
      </c>
      <c r="G759" s="10" t="s">
        <v>39542</v>
      </c>
      <c r="H759" s="10" t="s">
        <v>18214</v>
      </c>
      <c r="I759" s="10" t="s">
        <v>192</v>
      </c>
      <c r="J759" s="65">
        <v>80910</v>
      </c>
      <c r="K759" s="10" t="s">
        <v>801</v>
      </c>
      <c r="L759" s="10" t="s">
        <v>18216</v>
      </c>
      <c r="M759" s="10" t="s">
        <v>21</v>
      </c>
      <c r="N759" s="10" t="s">
        <v>39543</v>
      </c>
      <c r="O759" s="10" t="s">
        <v>372</v>
      </c>
      <c r="P759" s="1" t="s">
        <v>30089</v>
      </c>
      <c r="Q759" s="64" t="s">
        <v>39544</v>
      </c>
      <c r="R759" s="10" t="s">
        <v>23</v>
      </c>
      <c r="S759" s="63" t="s">
        <v>22</v>
      </c>
      <c r="T759" s="68" t="s">
        <v>26774</v>
      </c>
      <c r="U759" s="68" t="s">
        <v>26572</v>
      </c>
      <c r="V759" s="68" t="s">
        <v>26573</v>
      </c>
      <c r="W759" s="68" t="s">
        <v>94</v>
      </c>
      <c r="X759" s="68">
        <v>4892</v>
      </c>
      <c r="Z759" s="68" t="s">
        <v>42968</v>
      </c>
      <c r="AA759" s="33">
        <v>6907</v>
      </c>
    </row>
    <row r="760" spans="1:27" ht="12" customHeight="1" x14ac:dyDescent="0.15">
      <c r="A760" s="10" t="s">
        <v>40472</v>
      </c>
      <c r="B760" s="99">
        <v>29</v>
      </c>
      <c r="C760" s="10" t="s">
        <v>14</v>
      </c>
      <c r="D760" s="68" t="s">
        <v>31</v>
      </c>
      <c r="E760" s="63"/>
      <c r="F760" s="67">
        <v>43579</v>
      </c>
      <c r="G760" s="10" t="s">
        <v>40473</v>
      </c>
      <c r="H760" s="10" t="s">
        <v>40474</v>
      </c>
      <c r="I760" s="10" t="s">
        <v>294</v>
      </c>
      <c r="J760" s="65">
        <v>40360</v>
      </c>
      <c r="K760" s="10" t="s">
        <v>1346</v>
      </c>
      <c r="L760" s="10" t="s">
        <v>40475</v>
      </c>
      <c r="M760" s="10" t="s">
        <v>21</v>
      </c>
      <c r="N760" s="10" t="s">
        <v>40476</v>
      </c>
      <c r="O760" s="10" t="s">
        <v>372</v>
      </c>
      <c r="P760" s="1" t="s">
        <v>30089</v>
      </c>
      <c r="Q760" s="64" t="s">
        <v>40477</v>
      </c>
      <c r="R760" s="10" t="s">
        <v>94</v>
      </c>
      <c r="S760" s="63" t="s">
        <v>29</v>
      </c>
      <c r="T760" s="68" t="s">
        <v>26575</v>
      </c>
      <c r="U760" s="68" t="s">
        <v>26572</v>
      </c>
      <c r="V760" s="68" t="s">
        <v>26571</v>
      </c>
      <c r="W760" s="68" t="s">
        <v>94</v>
      </c>
      <c r="X760" s="68">
        <v>4667</v>
      </c>
      <c r="Z760" s="68" t="s">
        <v>42967</v>
      </c>
      <c r="AA760" s="33">
        <v>6909</v>
      </c>
    </row>
    <row r="761" spans="1:27" ht="12" customHeight="1" x14ac:dyDescent="0.15">
      <c r="A761" s="10" t="s">
        <v>42058</v>
      </c>
      <c r="B761" s="99">
        <v>41</v>
      </c>
      <c r="C761" s="10" t="s">
        <v>14</v>
      </c>
      <c r="D761" s="10" t="s">
        <v>31</v>
      </c>
      <c r="E761" s="64" t="s">
        <v>42059</v>
      </c>
      <c r="F761" s="67">
        <v>43579</v>
      </c>
      <c r="G761" s="10" t="s">
        <v>42060</v>
      </c>
      <c r="H761" s="10" t="s">
        <v>42061</v>
      </c>
      <c r="I761" s="10" t="s">
        <v>160</v>
      </c>
      <c r="J761" s="65">
        <v>31793</v>
      </c>
      <c r="K761" s="10" t="s">
        <v>42062</v>
      </c>
      <c r="L761" s="10" t="s">
        <v>42063</v>
      </c>
      <c r="M761" s="10" t="s">
        <v>363</v>
      </c>
      <c r="N761" s="10" t="s">
        <v>42064</v>
      </c>
      <c r="O761" s="10" t="s">
        <v>372</v>
      </c>
      <c r="P761" s="1" t="s">
        <v>30089</v>
      </c>
      <c r="Q761" s="64" t="s">
        <v>42065</v>
      </c>
      <c r="R761" s="10" t="s">
        <v>23</v>
      </c>
      <c r="S761" s="63" t="s">
        <v>12</v>
      </c>
      <c r="T761" s="34" t="s">
        <v>29705</v>
      </c>
      <c r="U761" s="34" t="s">
        <v>26572</v>
      </c>
      <c r="V761" s="68"/>
      <c r="W761" s="68"/>
      <c r="X761" s="68"/>
      <c r="Z761" s="68" t="s">
        <v>42967</v>
      </c>
      <c r="AA761" s="33">
        <v>6908</v>
      </c>
    </row>
    <row r="762" spans="1:27" ht="12" customHeight="1" x14ac:dyDescent="0.15">
      <c r="A762" s="10" t="s">
        <v>38649</v>
      </c>
      <c r="B762" s="99">
        <v>32</v>
      </c>
      <c r="C762" s="10" t="s">
        <v>14</v>
      </c>
      <c r="D762" s="10" t="s">
        <v>42</v>
      </c>
      <c r="E762" s="64" t="s">
        <v>38650</v>
      </c>
      <c r="F762" s="67">
        <v>43577</v>
      </c>
      <c r="G762" s="10" t="s">
        <v>38651</v>
      </c>
      <c r="H762" s="10" t="s">
        <v>92</v>
      </c>
      <c r="I762" s="10" t="s">
        <v>39</v>
      </c>
      <c r="J762" s="65">
        <v>90248</v>
      </c>
      <c r="K762" s="10" t="s">
        <v>92</v>
      </c>
      <c r="L762" s="10" t="s">
        <v>93</v>
      </c>
      <c r="M762" s="10" t="s">
        <v>21</v>
      </c>
      <c r="N762" s="10" t="s">
        <v>38652</v>
      </c>
      <c r="O762" s="10" t="s">
        <v>372</v>
      </c>
      <c r="P762" s="1" t="s">
        <v>30089</v>
      </c>
      <c r="Q762" s="64" t="s">
        <v>38653</v>
      </c>
      <c r="R762" s="10" t="s">
        <v>94</v>
      </c>
      <c r="S762" s="63" t="s">
        <v>22</v>
      </c>
      <c r="T762" s="68" t="s">
        <v>26781</v>
      </c>
      <c r="U762" s="68" t="s">
        <v>26572</v>
      </c>
      <c r="V762" s="68">
        <v>0</v>
      </c>
      <c r="W762" s="68" t="s">
        <v>512</v>
      </c>
      <c r="X762" s="68">
        <v>5413</v>
      </c>
      <c r="Z762" s="68" t="s">
        <v>42966</v>
      </c>
      <c r="AA762" s="33">
        <v>6904</v>
      </c>
    </row>
    <row r="763" spans="1:27" ht="12" customHeight="1" x14ac:dyDescent="0.15">
      <c r="A763" s="10" t="s">
        <v>42361</v>
      </c>
      <c r="B763" s="99">
        <v>50</v>
      </c>
      <c r="C763" s="10" t="s">
        <v>14</v>
      </c>
      <c r="D763" s="10" t="s">
        <v>24</v>
      </c>
      <c r="E763" s="63"/>
      <c r="F763" s="67">
        <v>43577</v>
      </c>
      <c r="G763" s="10" t="s">
        <v>42362</v>
      </c>
      <c r="H763" s="10" t="s">
        <v>1117</v>
      </c>
      <c r="I763" s="10" t="s">
        <v>798</v>
      </c>
      <c r="J763" s="65">
        <v>59474</v>
      </c>
      <c r="K763" s="10" t="s">
        <v>42363</v>
      </c>
      <c r="L763" s="10" t="s">
        <v>42364</v>
      </c>
      <c r="M763" s="10" t="s">
        <v>21</v>
      </c>
      <c r="N763" s="10" t="s">
        <v>42365</v>
      </c>
      <c r="O763" s="10" t="s">
        <v>372</v>
      </c>
      <c r="P763" s="1" t="s">
        <v>30089</v>
      </c>
      <c r="Q763" s="64" t="s">
        <v>42366</v>
      </c>
      <c r="R763" s="10" t="s">
        <v>94</v>
      </c>
      <c r="S763" s="63" t="s">
        <v>22</v>
      </c>
      <c r="T763" s="34" t="s">
        <v>26781</v>
      </c>
      <c r="U763" s="34" t="s">
        <v>26572</v>
      </c>
      <c r="V763" s="68"/>
      <c r="W763" s="68"/>
      <c r="X763" s="68">
        <v>4654</v>
      </c>
      <c r="Z763" s="68" t="s">
        <v>42967</v>
      </c>
      <c r="AA763" s="33">
        <v>6906</v>
      </c>
    </row>
    <row r="764" spans="1:27" ht="12" customHeight="1" x14ac:dyDescent="0.15">
      <c r="A764" s="10" t="s">
        <v>38925</v>
      </c>
      <c r="B764" s="99">
        <v>46</v>
      </c>
      <c r="C764" s="10" t="s">
        <v>14</v>
      </c>
      <c r="D764" s="10" t="s">
        <v>24</v>
      </c>
      <c r="E764" s="10"/>
      <c r="F764" s="67">
        <v>43577</v>
      </c>
      <c r="G764" s="10" t="s">
        <v>38926</v>
      </c>
      <c r="H764" s="10" t="s">
        <v>11144</v>
      </c>
      <c r="I764" s="10" t="s">
        <v>67</v>
      </c>
      <c r="J764" s="65">
        <v>76148</v>
      </c>
      <c r="K764" s="10" t="s">
        <v>68</v>
      </c>
      <c r="L764" s="10" t="s">
        <v>11146</v>
      </c>
      <c r="M764" s="10" t="s">
        <v>21</v>
      </c>
      <c r="N764" s="10" t="s">
        <v>38927</v>
      </c>
      <c r="O764" s="10" t="s">
        <v>372</v>
      </c>
      <c r="P764" s="1" t="s">
        <v>30089</v>
      </c>
      <c r="Q764" s="64" t="s">
        <v>38928</v>
      </c>
      <c r="R764" s="10" t="s">
        <v>94</v>
      </c>
      <c r="S764" s="63" t="s">
        <v>22</v>
      </c>
      <c r="T764" s="68" t="s">
        <v>26781</v>
      </c>
      <c r="U764" s="68" t="s">
        <v>26572</v>
      </c>
      <c r="V764" s="68" t="s">
        <v>26573</v>
      </c>
      <c r="W764" s="68" t="s">
        <v>94</v>
      </c>
      <c r="X764" s="68">
        <v>4649</v>
      </c>
      <c r="Z764" s="68" t="s">
        <v>42968</v>
      </c>
      <c r="AA764" s="33">
        <v>6905</v>
      </c>
    </row>
    <row r="765" spans="1:27" ht="12" customHeight="1" x14ac:dyDescent="0.15">
      <c r="A765" s="10" t="s">
        <v>38731</v>
      </c>
      <c r="B765" s="99">
        <v>29</v>
      </c>
      <c r="C765" s="10" t="s">
        <v>14</v>
      </c>
      <c r="D765" s="10" t="s">
        <v>42</v>
      </c>
      <c r="E765" s="64" t="s">
        <v>38732</v>
      </c>
      <c r="F765" s="67">
        <v>43575</v>
      </c>
      <c r="G765" s="10" t="s">
        <v>38733</v>
      </c>
      <c r="H765" s="10" t="s">
        <v>18214</v>
      </c>
      <c r="I765" s="10" t="s">
        <v>192</v>
      </c>
      <c r="J765" s="65">
        <v>80907</v>
      </c>
      <c r="K765" s="10" t="s">
        <v>801</v>
      </c>
      <c r="L765" s="10" t="s">
        <v>18216</v>
      </c>
      <c r="M765" s="10" t="s">
        <v>21</v>
      </c>
      <c r="N765" s="10" t="s">
        <v>38734</v>
      </c>
      <c r="O765" s="10" t="s">
        <v>372</v>
      </c>
      <c r="P765" s="1" t="s">
        <v>30089</v>
      </c>
      <c r="Q765" s="64" t="s">
        <v>38735</v>
      </c>
      <c r="R765" s="10" t="s">
        <v>94</v>
      </c>
      <c r="S765" s="63" t="s">
        <v>22</v>
      </c>
      <c r="T765" s="68" t="s">
        <v>26781</v>
      </c>
      <c r="U765" s="68" t="s">
        <v>26572</v>
      </c>
      <c r="V765" s="68" t="s">
        <v>26573</v>
      </c>
      <c r="W765" s="68" t="s">
        <v>512</v>
      </c>
      <c r="X765" s="68">
        <v>4891</v>
      </c>
      <c r="Z765" s="68" t="s">
        <v>42968</v>
      </c>
      <c r="AA765" s="33">
        <v>6899</v>
      </c>
    </row>
    <row r="766" spans="1:27" ht="12" customHeight="1" x14ac:dyDescent="0.15">
      <c r="A766" s="10" t="s">
        <v>41265</v>
      </c>
      <c r="B766" s="99">
        <v>63</v>
      </c>
      <c r="C766" s="10" t="s">
        <v>14</v>
      </c>
      <c r="D766" s="68" t="s">
        <v>31</v>
      </c>
      <c r="E766" s="10"/>
      <c r="F766" s="67">
        <v>43575</v>
      </c>
      <c r="G766" s="10" t="s">
        <v>41266</v>
      </c>
      <c r="H766" s="10" t="s">
        <v>6316</v>
      </c>
      <c r="I766" s="10" t="s">
        <v>160</v>
      </c>
      <c r="J766" s="65">
        <v>30601</v>
      </c>
      <c r="K766" s="10" t="s">
        <v>37826</v>
      </c>
      <c r="L766" s="10" t="s">
        <v>37827</v>
      </c>
      <c r="M766" s="10" t="s">
        <v>21</v>
      </c>
      <c r="N766" s="10" t="s">
        <v>41267</v>
      </c>
      <c r="O766" s="10" t="s">
        <v>372</v>
      </c>
      <c r="P766" s="1" t="s">
        <v>30089</v>
      </c>
      <c r="Q766" s="64" t="s">
        <v>41268</v>
      </c>
      <c r="R766" s="10" t="s">
        <v>512</v>
      </c>
      <c r="S766" s="63" t="s">
        <v>22</v>
      </c>
      <c r="T766" s="68" t="s">
        <v>26781</v>
      </c>
      <c r="U766" s="68" t="s">
        <v>26572</v>
      </c>
      <c r="V766" s="68" t="s">
        <v>26573</v>
      </c>
      <c r="W766" s="68" t="s">
        <v>512</v>
      </c>
      <c r="X766" s="68">
        <v>4651</v>
      </c>
      <c r="Z766" s="68" t="s">
        <v>42966</v>
      </c>
      <c r="AA766" s="33">
        <v>6901</v>
      </c>
    </row>
    <row r="767" spans="1:27" ht="12" customHeight="1" x14ac:dyDescent="0.15">
      <c r="A767" s="10" t="s">
        <v>40758</v>
      </c>
      <c r="B767" s="99">
        <v>18</v>
      </c>
      <c r="C767" s="10" t="s">
        <v>14</v>
      </c>
      <c r="D767" s="10" t="s">
        <v>42</v>
      </c>
      <c r="E767" s="64" t="s">
        <v>40759</v>
      </c>
      <c r="F767" s="67">
        <v>43575</v>
      </c>
      <c r="G767" s="10" t="s">
        <v>40760</v>
      </c>
      <c r="H767" s="10" t="s">
        <v>40761</v>
      </c>
      <c r="I767" s="10" t="s">
        <v>35</v>
      </c>
      <c r="J767" s="65">
        <v>6109</v>
      </c>
      <c r="K767" s="10" t="s">
        <v>793</v>
      </c>
      <c r="L767" s="10" t="s">
        <v>40762</v>
      </c>
      <c r="M767" s="10" t="s">
        <v>21</v>
      </c>
      <c r="N767" s="10" t="s">
        <v>40763</v>
      </c>
      <c r="O767" s="10" t="s">
        <v>372</v>
      </c>
      <c r="P767" s="1" t="s">
        <v>30089</v>
      </c>
      <c r="Q767" s="64" t="s">
        <v>40764</v>
      </c>
      <c r="R767" s="10" t="s">
        <v>94</v>
      </c>
      <c r="S767" s="63" t="s">
        <v>351</v>
      </c>
      <c r="T767" s="68" t="s">
        <v>26867</v>
      </c>
      <c r="U767" s="68" t="s">
        <v>26572</v>
      </c>
      <c r="V767" s="68" t="s">
        <v>26574</v>
      </c>
      <c r="W767" s="68" t="s">
        <v>94</v>
      </c>
      <c r="X767" s="68">
        <v>4653</v>
      </c>
      <c r="Z767" s="68" t="s">
        <v>42968</v>
      </c>
      <c r="AA767" s="33">
        <v>6903</v>
      </c>
    </row>
    <row r="768" spans="1:27" ht="12" customHeight="1" x14ac:dyDescent="0.15">
      <c r="A768" s="10" t="s">
        <v>39245</v>
      </c>
      <c r="B768" s="99">
        <v>42</v>
      </c>
      <c r="C768" s="10" t="s">
        <v>14</v>
      </c>
      <c r="D768" s="68" t="s">
        <v>31</v>
      </c>
      <c r="E768" s="10"/>
      <c r="F768" s="67">
        <v>43575</v>
      </c>
      <c r="G768" s="10" t="s">
        <v>39246</v>
      </c>
      <c r="H768" s="10" t="s">
        <v>8861</v>
      </c>
      <c r="I768" s="10" t="s">
        <v>918</v>
      </c>
      <c r="J768" s="65">
        <v>72205</v>
      </c>
      <c r="K768" s="10" t="s">
        <v>2312</v>
      </c>
      <c r="L768" s="10" t="s">
        <v>8863</v>
      </c>
      <c r="M768" s="10" t="s">
        <v>21</v>
      </c>
      <c r="N768" s="10" t="s">
        <v>39247</v>
      </c>
      <c r="O768" s="10" t="s">
        <v>372</v>
      </c>
      <c r="P768" s="1" t="s">
        <v>30089</v>
      </c>
      <c r="Q768" s="64" t="s">
        <v>39248</v>
      </c>
      <c r="R768" s="10" t="s">
        <v>94</v>
      </c>
      <c r="S768" s="63" t="s">
        <v>22</v>
      </c>
      <c r="T768" s="68" t="s">
        <v>26781</v>
      </c>
      <c r="U768" s="68" t="s">
        <v>26572</v>
      </c>
      <c r="V768" s="68" t="s">
        <v>26574</v>
      </c>
      <c r="W768" s="68" t="s">
        <v>94</v>
      </c>
      <c r="X768" s="68">
        <v>4652</v>
      </c>
      <c r="Z768" s="68" t="s">
        <v>42966</v>
      </c>
      <c r="AA768" s="33">
        <v>6900</v>
      </c>
    </row>
    <row r="769" spans="1:27" ht="12" customHeight="1" x14ac:dyDescent="0.15">
      <c r="A769" s="10" t="s">
        <v>39512</v>
      </c>
      <c r="B769" s="99">
        <v>30</v>
      </c>
      <c r="C769" s="10" t="s">
        <v>14</v>
      </c>
      <c r="D769" s="10" t="s">
        <v>42</v>
      </c>
      <c r="E769" s="64" t="s">
        <v>39513</v>
      </c>
      <c r="F769" s="67">
        <v>43575</v>
      </c>
      <c r="G769" s="10" t="s">
        <v>39514</v>
      </c>
      <c r="H769" s="10" t="s">
        <v>140</v>
      </c>
      <c r="I769" s="10" t="s">
        <v>338</v>
      </c>
      <c r="J769" s="65">
        <v>27610</v>
      </c>
      <c r="K769" s="10" t="s">
        <v>642</v>
      </c>
      <c r="L769" s="10" t="s">
        <v>15661</v>
      </c>
      <c r="M769" s="10" t="s">
        <v>21</v>
      </c>
      <c r="N769" s="10" t="s">
        <v>39515</v>
      </c>
      <c r="O769" s="10" t="s">
        <v>372</v>
      </c>
      <c r="P769" s="1" t="s">
        <v>30089</v>
      </c>
      <c r="Q769" s="64" t="s">
        <v>39516</v>
      </c>
      <c r="R769" s="10" t="s">
        <v>23</v>
      </c>
      <c r="S769" s="63" t="s">
        <v>22</v>
      </c>
      <c r="T769" s="68" t="s">
        <v>26774</v>
      </c>
      <c r="U769" s="68" t="s">
        <v>26572</v>
      </c>
      <c r="V769" s="68" t="s">
        <v>26573</v>
      </c>
      <c r="W769" s="68" t="s">
        <v>94</v>
      </c>
      <c r="X769" s="68">
        <v>4650</v>
      </c>
      <c r="Z769" s="68" t="s">
        <v>42968</v>
      </c>
      <c r="AA769" s="33">
        <v>6902</v>
      </c>
    </row>
    <row r="770" spans="1:27" ht="12" customHeight="1" x14ac:dyDescent="0.15">
      <c r="A770" s="10" t="s">
        <v>38818</v>
      </c>
      <c r="B770" s="99">
        <v>40</v>
      </c>
      <c r="C770" s="10" t="s">
        <v>14</v>
      </c>
      <c r="D770" s="10" t="s">
        <v>128</v>
      </c>
      <c r="E770" s="64" t="s">
        <v>38819</v>
      </c>
      <c r="F770" s="67">
        <v>43573</v>
      </c>
      <c r="G770" s="10" t="s">
        <v>38820</v>
      </c>
      <c r="H770" s="10" t="s">
        <v>38821</v>
      </c>
      <c r="I770" s="10" t="s">
        <v>122</v>
      </c>
      <c r="J770" s="65">
        <v>55433</v>
      </c>
      <c r="K770" s="10" t="s">
        <v>2250</v>
      </c>
      <c r="L770" s="10" t="s">
        <v>38822</v>
      </c>
      <c r="M770" s="10" t="s">
        <v>21</v>
      </c>
      <c r="N770" s="10" t="s">
        <v>38823</v>
      </c>
      <c r="O770" s="10" t="s">
        <v>372</v>
      </c>
      <c r="P770" s="1" t="s">
        <v>30089</v>
      </c>
      <c r="Q770" s="64" t="s">
        <v>38824</v>
      </c>
      <c r="R770" s="10" t="s">
        <v>94</v>
      </c>
      <c r="S770" s="63" t="s">
        <v>22</v>
      </c>
      <c r="T770" s="68" t="s">
        <v>26781</v>
      </c>
      <c r="U770" s="68" t="s">
        <v>26572</v>
      </c>
      <c r="V770" s="68" t="s">
        <v>26574</v>
      </c>
      <c r="W770" s="68" t="s">
        <v>512</v>
      </c>
      <c r="X770" s="68">
        <v>4637</v>
      </c>
      <c r="Z770" s="68" t="s">
        <v>42968</v>
      </c>
      <c r="AA770" s="33">
        <v>6898</v>
      </c>
    </row>
    <row r="771" spans="1:27" ht="12" customHeight="1" x14ac:dyDescent="0.15">
      <c r="A771" s="10" t="s">
        <v>38083</v>
      </c>
      <c r="B771" s="99">
        <v>30</v>
      </c>
      <c r="C771" s="10" t="s">
        <v>14</v>
      </c>
      <c r="D771" s="10" t="s">
        <v>31</v>
      </c>
      <c r="E771" s="64" t="s">
        <v>38084</v>
      </c>
      <c r="F771" s="67">
        <v>43573</v>
      </c>
      <c r="G771" s="10" t="s">
        <v>38085</v>
      </c>
      <c r="H771" s="10" t="s">
        <v>1066</v>
      </c>
      <c r="I771" s="10" t="s">
        <v>39</v>
      </c>
      <c r="J771" s="65">
        <v>94536</v>
      </c>
      <c r="K771" s="10" t="s">
        <v>558</v>
      </c>
      <c r="L771" s="10" t="s">
        <v>1067</v>
      </c>
      <c r="M771" s="10" t="s">
        <v>21</v>
      </c>
      <c r="N771" s="10" t="s">
        <v>38086</v>
      </c>
      <c r="O771" s="10" t="s">
        <v>372</v>
      </c>
      <c r="P771" s="1" t="s">
        <v>30089</v>
      </c>
      <c r="Q771" s="64" t="s">
        <v>38087</v>
      </c>
      <c r="R771" s="10" t="s">
        <v>94</v>
      </c>
      <c r="S771" s="63" t="s">
        <v>22</v>
      </c>
      <c r="T771" s="68" t="s">
        <v>26781</v>
      </c>
      <c r="U771" s="68" t="s">
        <v>26572</v>
      </c>
      <c r="V771" s="68" t="s">
        <v>26573</v>
      </c>
      <c r="W771" s="68" t="s">
        <v>512</v>
      </c>
      <c r="X771" s="68">
        <v>4646</v>
      </c>
      <c r="Z771" s="68" t="s">
        <v>42968</v>
      </c>
      <c r="AA771" s="33">
        <v>6896</v>
      </c>
    </row>
    <row r="772" spans="1:27" ht="12" customHeight="1" x14ac:dyDescent="0.15">
      <c r="A772" s="10" t="s">
        <v>38644</v>
      </c>
      <c r="B772" s="99">
        <v>42</v>
      </c>
      <c r="C772" s="10" t="s">
        <v>14</v>
      </c>
      <c r="D772" s="10" t="s">
        <v>42</v>
      </c>
      <c r="E772" s="64" t="s">
        <v>38645</v>
      </c>
      <c r="F772" s="67">
        <v>43573</v>
      </c>
      <c r="G772" s="10" t="s">
        <v>38646</v>
      </c>
      <c r="H772" s="10" t="s">
        <v>700</v>
      </c>
      <c r="I772" s="10" t="s">
        <v>395</v>
      </c>
      <c r="J772" s="65">
        <v>10040</v>
      </c>
      <c r="K772" s="10" t="s">
        <v>700</v>
      </c>
      <c r="L772" s="10" t="s">
        <v>539</v>
      </c>
      <c r="M772" s="10" t="s">
        <v>21</v>
      </c>
      <c r="N772" s="10" t="s">
        <v>38647</v>
      </c>
      <c r="O772" s="10" t="s">
        <v>372</v>
      </c>
      <c r="P772" s="1" t="s">
        <v>30089</v>
      </c>
      <c r="Q772" s="64" t="s">
        <v>38648</v>
      </c>
      <c r="R772" s="10" t="s">
        <v>94</v>
      </c>
      <c r="S772" s="63" t="s">
        <v>22</v>
      </c>
      <c r="T772" s="68" t="s">
        <v>26781</v>
      </c>
      <c r="U772" s="68" t="s">
        <v>26572</v>
      </c>
      <c r="V772" s="68" t="s">
        <v>26574</v>
      </c>
      <c r="W772" s="68" t="s">
        <v>94</v>
      </c>
      <c r="X772" s="68">
        <v>4647</v>
      </c>
      <c r="Z772" s="68" t="s">
        <v>42966</v>
      </c>
      <c r="AA772" s="33">
        <v>6897</v>
      </c>
    </row>
    <row r="773" spans="1:27" ht="12" customHeight="1" x14ac:dyDescent="0.15">
      <c r="A773" s="10" t="s">
        <v>41977</v>
      </c>
      <c r="B773" s="99">
        <v>36</v>
      </c>
      <c r="C773" s="10" t="s">
        <v>14</v>
      </c>
      <c r="D773" s="10" t="s">
        <v>31</v>
      </c>
      <c r="E773" s="64" t="s">
        <v>41978</v>
      </c>
      <c r="F773" s="67">
        <v>43572</v>
      </c>
      <c r="G773" s="10" t="s">
        <v>41979</v>
      </c>
      <c r="H773" s="10" t="s">
        <v>41980</v>
      </c>
      <c r="I773" s="10" t="s">
        <v>735</v>
      </c>
      <c r="J773" s="65">
        <v>83501</v>
      </c>
      <c r="K773" s="10" t="s">
        <v>41981</v>
      </c>
      <c r="L773" s="10" t="s">
        <v>41982</v>
      </c>
      <c r="M773" s="10" t="s">
        <v>21</v>
      </c>
      <c r="N773" s="10" t="s">
        <v>41983</v>
      </c>
      <c r="O773" s="10" t="s">
        <v>372</v>
      </c>
      <c r="P773" s="1" t="s">
        <v>30089</v>
      </c>
      <c r="Q773" s="64" t="s">
        <v>41984</v>
      </c>
      <c r="R773" s="10" t="s">
        <v>94</v>
      </c>
      <c r="S773" s="63" t="s">
        <v>22</v>
      </c>
      <c r="T773" s="34" t="s">
        <v>26781</v>
      </c>
      <c r="U773" s="34" t="s">
        <v>26572</v>
      </c>
      <c r="V773" s="68"/>
      <c r="W773" s="68"/>
      <c r="X773" s="68"/>
      <c r="Y773" s="33" t="s">
        <v>42476</v>
      </c>
      <c r="Z773" s="68" t="s">
        <v>42968</v>
      </c>
      <c r="AA773" s="33">
        <v>6893</v>
      </c>
    </row>
    <row r="774" spans="1:27" ht="12" customHeight="1" x14ac:dyDescent="0.15">
      <c r="A774" s="10" t="s">
        <v>41985</v>
      </c>
      <c r="B774" s="99">
        <v>42</v>
      </c>
      <c r="C774" s="10" t="s">
        <v>14</v>
      </c>
      <c r="D774" s="10" t="s">
        <v>31</v>
      </c>
      <c r="E774" s="64" t="s">
        <v>41986</v>
      </c>
      <c r="F774" s="67">
        <v>43572</v>
      </c>
      <c r="G774" s="10" t="s">
        <v>41987</v>
      </c>
      <c r="H774" s="10" t="s">
        <v>41988</v>
      </c>
      <c r="I774" s="10" t="s">
        <v>282</v>
      </c>
      <c r="J774" s="65">
        <v>98563</v>
      </c>
      <c r="K774" s="10" t="s">
        <v>25050</v>
      </c>
      <c r="L774" s="10" t="s">
        <v>41989</v>
      </c>
      <c r="M774" s="10" t="s">
        <v>21</v>
      </c>
      <c r="N774" s="10" t="s">
        <v>41990</v>
      </c>
      <c r="O774" s="10" t="s">
        <v>372</v>
      </c>
      <c r="P774" s="1" t="s">
        <v>30089</v>
      </c>
      <c r="Q774" s="64" t="s">
        <v>41991</v>
      </c>
      <c r="R774" s="10" t="s">
        <v>512</v>
      </c>
      <c r="S774" s="63" t="s">
        <v>22</v>
      </c>
      <c r="T774" s="34" t="s">
        <v>28239</v>
      </c>
      <c r="U774" s="34" t="s">
        <v>26572</v>
      </c>
      <c r="V774" s="68"/>
      <c r="W774" s="68"/>
      <c r="X774" s="68">
        <v>5412</v>
      </c>
      <c r="Z774" s="68" t="s">
        <v>42967</v>
      </c>
      <c r="AA774" s="33">
        <v>6895</v>
      </c>
    </row>
    <row r="775" spans="1:27" ht="12" customHeight="1" x14ac:dyDescent="0.15">
      <c r="A775" s="10" t="s">
        <v>41480</v>
      </c>
      <c r="B775" s="99">
        <v>36</v>
      </c>
      <c r="C775" s="10" t="s">
        <v>14</v>
      </c>
      <c r="D775" s="68" t="s">
        <v>31</v>
      </c>
      <c r="E775" s="10"/>
      <c r="F775" s="67">
        <v>43572</v>
      </c>
      <c r="G775" s="10" t="s">
        <v>41481</v>
      </c>
      <c r="H775" s="10" t="s">
        <v>1800</v>
      </c>
      <c r="I775" s="10" t="s">
        <v>139</v>
      </c>
      <c r="J775" s="65">
        <v>26541</v>
      </c>
      <c r="K775" s="10" t="s">
        <v>1802</v>
      </c>
      <c r="L775" s="10" t="s">
        <v>22896</v>
      </c>
      <c r="M775" s="10" t="s">
        <v>21</v>
      </c>
      <c r="N775" s="10" t="s">
        <v>41482</v>
      </c>
      <c r="O775" s="10" t="s">
        <v>372</v>
      </c>
      <c r="P775" s="1" t="s">
        <v>30089</v>
      </c>
      <c r="Q775" s="64" t="s">
        <v>41483</v>
      </c>
      <c r="R775" s="10" t="s">
        <v>512</v>
      </c>
      <c r="S775" s="63" t="s">
        <v>22</v>
      </c>
      <c r="T775" s="68" t="s">
        <v>26774</v>
      </c>
      <c r="U775" s="68" t="s">
        <v>26572</v>
      </c>
      <c r="V775" s="68" t="s">
        <v>26574</v>
      </c>
      <c r="W775" s="68" t="s">
        <v>512</v>
      </c>
      <c r="X775" s="68">
        <v>4648</v>
      </c>
      <c r="Z775" s="68" t="s">
        <v>42967</v>
      </c>
      <c r="AA775" s="33">
        <v>6894</v>
      </c>
    </row>
    <row r="776" spans="1:27" ht="12" customHeight="1" x14ac:dyDescent="0.15">
      <c r="A776" s="10" t="s">
        <v>39308</v>
      </c>
      <c r="B776" s="1"/>
      <c r="C776" s="1"/>
      <c r="D776" s="68" t="s">
        <v>79</v>
      </c>
      <c r="E776" s="1"/>
      <c r="F776" s="67">
        <v>43572</v>
      </c>
      <c r="G776" s="1"/>
      <c r="H776" s="1" t="s">
        <v>7981</v>
      </c>
      <c r="I776" s="1" t="s">
        <v>51</v>
      </c>
      <c r="J776" s="1"/>
      <c r="K776" s="1"/>
      <c r="L776" s="1"/>
      <c r="M776" s="10" t="s">
        <v>21</v>
      </c>
      <c r="N776" s="1"/>
      <c r="O776" s="10" t="s">
        <v>372</v>
      </c>
      <c r="P776" s="1" t="s">
        <v>30089</v>
      </c>
      <c r="Q776" s="1"/>
      <c r="R776" s="1"/>
      <c r="S776" s="63" t="s">
        <v>22</v>
      </c>
      <c r="T776" s="68" t="s">
        <v>26781</v>
      </c>
      <c r="U776" s="68" t="s">
        <v>26572</v>
      </c>
      <c r="V776" s="68" t="s">
        <v>26573</v>
      </c>
      <c r="W776" s="68" t="s">
        <v>94</v>
      </c>
      <c r="X776" s="68">
        <v>4642</v>
      </c>
      <c r="Z776" s="1" t="e">
        <v>#N/A</v>
      </c>
      <c r="AA776" s="33">
        <v>6892</v>
      </c>
    </row>
    <row r="777" spans="1:27" ht="12" customHeight="1" x14ac:dyDescent="0.15">
      <c r="A777" s="10" t="s">
        <v>41330</v>
      </c>
      <c r="B777" s="99">
        <v>24</v>
      </c>
      <c r="C777" s="10" t="s">
        <v>14</v>
      </c>
      <c r="D777" s="10" t="s">
        <v>31</v>
      </c>
      <c r="E777" s="64" t="s">
        <v>41331</v>
      </c>
      <c r="F777" s="67">
        <v>43571</v>
      </c>
      <c r="G777" s="10" t="s">
        <v>41332</v>
      </c>
      <c r="H777" s="10" t="s">
        <v>3237</v>
      </c>
      <c r="I777" s="10" t="s">
        <v>395</v>
      </c>
      <c r="J777" s="65">
        <v>13440</v>
      </c>
      <c r="K777" s="10" t="s">
        <v>27348</v>
      </c>
      <c r="L777" s="10" t="s">
        <v>20831</v>
      </c>
      <c r="M777" s="10" t="s">
        <v>21</v>
      </c>
      <c r="N777" s="10" t="s">
        <v>41333</v>
      </c>
      <c r="O777" s="10" t="s">
        <v>372</v>
      </c>
      <c r="P777" s="1" t="s">
        <v>30089</v>
      </c>
      <c r="Q777" s="64" t="s">
        <v>41334</v>
      </c>
      <c r="R777" s="10" t="s">
        <v>512</v>
      </c>
      <c r="S777" s="63" t="s">
        <v>22</v>
      </c>
      <c r="T777" s="68" t="s">
        <v>26774</v>
      </c>
      <c r="U777" s="68" t="s">
        <v>26570</v>
      </c>
      <c r="V777" s="68" t="s">
        <v>26573</v>
      </c>
      <c r="W777" s="68" t="s">
        <v>94</v>
      </c>
      <c r="X777" s="68">
        <v>4638</v>
      </c>
      <c r="Z777" s="68" t="s">
        <v>42968</v>
      </c>
      <c r="AA777" s="33">
        <v>6890</v>
      </c>
    </row>
    <row r="778" spans="1:27" ht="12" customHeight="1" x14ac:dyDescent="0.15">
      <c r="A778" s="10" t="s">
        <v>40667</v>
      </c>
      <c r="B778" s="99">
        <v>24</v>
      </c>
      <c r="C778" s="10" t="s">
        <v>14</v>
      </c>
      <c r="D778" s="10" t="s">
        <v>31</v>
      </c>
      <c r="E778" s="64" t="s">
        <v>40668</v>
      </c>
      <c r="F778" s="67">
        <v>43571</v>
      </c>
      <c r="G778" s="10" t="s">
        <v>40669</v>
      </c>
      <c r="H778" s="10" t="s">
        <v>36999</v>
      </c>
      <c r="I778" s="10" t="s">
        <v>26</v>
      </c>
      <c r="J778" s="65">
        <v>29644</v>
      </c>
      <c r="K778" s="10" t="s">
        <v>27</v>
      </c>
      <c r="L778" s="10" t="s">
        <v>40670</v>
      </c>
      <c r="M778" s="10" t="s">
        <v>21</v>
      </c>
      <c r="N778" s="10" t="s">
        <v>40671</v>
      </c>
      <c r="O778" s="10" t="s">
        <v>372</v>
      </c>
      <c r="P778" s="1" t="s">
        <v>30089</v>
      </c>
      <c r="Q778" s="64" t="s">
        <v>40672</v>
      </c>
      <c r="R778" s="10" t="s">
        <v>94</v>
      </c>
      <c r="S778" s="63" t="s">
        <v>351</v>
      </c>
      <c r="T778" s="68" t="s">
        <v>26867</v>
      </c>
      <c r="U778" s="68" t="s">
        <v>26572</v>
      </c>
      <c r="V778" s="68" t="s">
        <v>26571</v>
      </c>
      <c r="W778" s="68" t="s">
        <v>94</v>
      </c>
      <c r="X778" s="68">
        <v>4641</v>
      </c>
      <c r="Z778" s="68" t="s">
        <v>42967</v>
      </c>
      <c r="AA778" s="33">
        <v>6891</v>
      </c>
    </row>
    <row r="779" spans="1:27" ht="12" customHeight="1" x14ac:dyDescent="0.15">
      <c r="A779" s="10" t="s">
        <v>41376</v>
      </c>
      <c r="B779" s="99">
        <v>42</v>
      </c>
      <c r="C779" s="10" t="s">
        <v>14</v>
      </c>
      <c r="D779" s="10" t="s">
        <v>31</v>
      </c>
      <c r="E779" s="64" t="s">
        <v>41377</v>
      </c>
      <c r="F779" s="67">
        <v>43570</v>
      </c>
      <c r="G779" s="10" t="s">
        <v>41378</v>
      </c>
      <c r="H779" s="10" t="s">
        <v>6630</v>
      </c>
      <c r="I779" s="10" t="s">
        <v>298</v>
      </c>
      <c r="J779" s="65">
        <v>37863</v>
      </c>
      <c r="K779" s="10" t="s">
        <v>5050</v>
      </c>
      <c r="L779" s="10" t="s">
        <v>6632</v>
      </c>
      <c r="M779" s="10" t="s">
        <v>21</v>
      </c>
      <c r="N779" s="10" t="s">
        <v>41379</v>
      </c>
      <c r="O779" s="10" t="s">
        <v>372</v>
      </c>
      <c r="P779" s="1" t="s">
        <v>30089</v>
      </c>
      <c r="Q779" s="64" t="s">
        <v>41380</v>
      </c>
      <c r="R779" s="10" t="s">
        <v>512</v>
      </c>
      <c r="S779" s="63" t="s">
        <v>22</v>
      </c>
      <c r="T779" s="68" t="s">
        <v>26774</v>
      </c>
      <c r="U779" s="68" t="s">
        <v>26570</v>
      </c>
      <c r="V779" s="68" t="s">
        <v>26573</v>
      </c>
      <c r="W779" s="68" t="s">
        <v>94</v>
      </c>
      <c r="X779" s="68">
        <v>4632</v>
      </c>
      <c r="Z779" s="68" t="s">
        <v>42968</v>
      </c>
      <c r="AA779" s="33">
        <v>6889</v>
      </c>
    </row>
    <row r="780" spans="1:27" ht="12" customHeight="1" x14ac:dyDescent="0.15">
      <c r="A780" s="10" t="s">
        <v>39241</v>
      </c>
      <c r="B780" s="99">
        <v>27</v>
      </c>
      <c r="C780" s="10" t="s">
        <v>14</v>
      </c>
      <c r="D780" s="68" t="s">
        <v>31</v>
      </c>
      <c r="E780" s="63"/>
      <c r="F780" s="67">
        <v>43569</v>
      </c>
      <c r="G780" s="10" t="s">
        <v>39242</v>
      </c>
      <c r="H780" s="10" t="s">
        <v>6110</v>
      </c>
      <c r="I780" s="10" t="s">
        <v>67</v>
      </c>
      <c r="J780" s="65">
        <v>79022</v>
      </c>
      <c r="K780" s="10" t="s">
        <v>6112</v>
      </c>
      <c r="L780" s="10" t="s">
        <v>6113</v>
      </c>
      <c r="M780" s="10" t="s">
        <v>21</v>
      </c>
      <c r="N780" s="10" t="s">
        <v>39243</v>
      </c>
      <c r="O780" s="10" t="s">
        <v>372</v>
      </c>
      <c r="P780" s="1" t="s">
        <v>30089</v>
      </c>
      <c r="Q780" s="64" t="s">
        <v>39244</v>
      </c>
      <c r="R780" s="10" t="s">
        <v>94</v>
      </c>
      <c r="S780" s="63" t="s">
        <v>22</v>
      </c>
      <c r="T780" s="68" t="s">
        <v>26781</v>
      </c>
      <c r="U780" s="68" t="s">
        <v>26570</v>
      </c>
      <c r="V780" s="68" t="s">
        <v>26574</v>
      </c>
      <c r="W780" s="68" t="s">
        <v>94</v>
      </c>
      <c r="X780" s="68">
        <v>4633</v>
      </c>
      <c r="Z780" s="68" t="s">
        <v>42967</v>
      </c>
      <c r="AA780" s="33">
        <v>6885</v>
      </c>
    </row>
    <row r="781" spans="1:27" ht="12" customHeight="1" x14ac:dyDescent="0.15">
      <c r="A781" s="63" t="s">
        <v>38079</v>
      </c>
      <c r="B781" s="101">
        <v>47</v>
      </c>
      <c r="C781" s="10" t="s">
        <v>14</v>
      </c>
      <c r="D781" s="10" t="s">
        <v>31</v>
      </c>
      <c r="E781" s="63"/>
      <c r="F781" s="67">
        <v>43569</v>
      </c>
      <c r="G781" s="10" t="s">
        <v>38080</v>
      </c>
      <c r="H781" s="10" t="s">
        <v>92</v>
      </c>
      <c r="I781" s="10" t="s">
        <v>39</v>
      </c>
      <c r="J781" s="65">
        <v>90017</v>
      </c>
      <c r="K781" s="10" t="s">
        <v>92</v>
      </c>
      <c r="L781" s="10" t="s">
        <v>93</v>
      </c>
      <c r="M781" s="10" t="s">
        <v>21</v>
      </c>
      <c r="N781" s="10" t="s">
        <v>38081</v>
      </c>
      <c r="O781" s="10" t="s">
        <v>372</v>
      </c>
      <c r="P781" s="1" t="s">
        <v>30089</v>
      </c>
      <c r="Q781" s="64" t="s">
        <v>38082</v>
      </c>
      <c r="R781" s="10" t="s">
        <v>94</v>
      </c>
      <c r="S781" s="63" t="s">
        <v>22</v>
      </c>
      <c r="T781" s="68" t="s">
        <v>26781</v>
      </c>
      <c r="U781" s="68" t="s">
        <v>26575</v>
      </c>
      <c r="V781" s="68" t="s">
        <v>26574</v>
      </c>
      <c r="W781" s="68" t="s">
        <v>94</v>
      </c>
      <c r="X781" s="68">
        <v>4639</v>
      </c>
      <c r="Z781" s="68" t="s">
        <v>42966</v>
      </c>
      <c r="AA781" s="33">
        <v>6883</v>
      </c>
    </row>
    <row r="782" spans="1:27" ht="12" customHeight="1" x14ac:dyDescent="0.15">
      <c r="A782" s="10" t="s">
        <v>39707</v>
      </c>
      <c r="B782" s="99">
        <v>32</v>
      </c>
      <c r="C782" s="10" t="s">
        <v>14</v>
      </c>
      <c r="D782" s="10" t="s">
        <v>128</v>
      </c>
      <c r="E782" s="64" t="s">
        <v>39708</v>
      </c>
      <c r="F782" s="67">
        <v>43569</v>
      </c>
      <c r="G782" s="10" t="s">
        <v>39709</v>
      </c>
      <c r="H782" s="10" t="s">
        <v>39710</v>
      </c>
      <c r="I782" s="10" t="s">
        <v>432</v>
      </c>
      <c r="J782" s="65">
        <v>69360</v>
      </c>
      <c r="K782" s="10" t="s">
        <v>23899</v>
      </c>
      <c r="L782" s="10" t="s">
        <v>39711</v>
      </c>
      <c r="M782" s="10" t="s">
        <v>21</v>
      </c>
      <c r="N782" s="10" t="s">
        <v>39712</v>
      </c>
      <c r="O782" s="10" t="s">
        <v>372</v>
      </c>
      <c r="P782" s="1" t="s">
        <v>30089</v>
      </c>
      <c r="Q782" s="64" t="s">
        <v>39713</v>
      </c>
      <c r="R782" s="10" t="s">
        <v>94</v>
      </c>
      <c r="S782" s="63" t="s">
        <v>22</v>
      </c>
      <c r="T782" s="68" t="s">
        <v>26774</v>
      </c>
      <c r="U782" s="68" t="s">
        <v>26570</v>
      </c>
      <c r="V782" s="68" t="s">
        <v>26574</v>
      </c>
      <c r="W782" s="68" t="s">
        <v>94</v>
      </c>
      <c r="X782" s="68">
        <v>4636</v>
      </c>
      <c r="Z782" s="68" t="s">
        <v>42967</v>
      </c>
      <c r="AA782" s="33">
        <v>6887</v>
      </c>
    </row>
    <row r="783" spans="1:27" ht="12" customHeight="1" x14ac:dyDescent="0.15">
      <c r="A783" s="10" t="s">
        <v>38088</v>
      </c>
      <c r="B783" s="99">
        <v>33</v>
      </c>
      <c r="C783" s="10" t="s">
        <v>14</v>
      </c>
      <c r="D783" s="10" t="s">
        <v>31</v>
      </c>
      <c r="E783" s="64" t="s">
        <v>38089</v>
      </c>
      <c r="F783" s="67">
        <v>43569</v>
      </c>
      <c r="G783" s="10" t="s">
        <v>38090</v>
      </c>
      <c r="H783" s="10" t="s">
        <v>38091</v>
      </c>
      <c r="I783" s="10" t="s">
        <v>282</v>
      </c>
      <c r="J783" s="65">
        <v>98625</v>
      </c>
      <c r="K783" s="10" t="s">
        <v>1780</v>
      </c>
      <c r="L783" s="10" t="s">
        <v>20136</v>
      </c>
      <c r="M783" s="10" t="s">
        <v>21</v>
      </c>
      <c r="N783" s="10" t="s">
        <v>38092</v>
      </c>
      <c r="O783" s="10" t="s">
        <v>372</v>
      </c>
      <c r="P783" s="1" t="s">
        <v>30089</v>
      </c>
      <c r="Q783" s="64" t="s">
        <v>38093</v>
      </c>
      <c r="R783" s="10" t="s">
        <v>94</v>
      </c>
      <c r="S783" s="63" t="s">
        <v>22</v>
      </c>
      <c r="T783" s="68" t="s">
        <v>26781</v>
      </c>
      <c r="U783" s="68" t="s">
        <v>26572</v>
      </c>
      <c r="V783" s="68" t="s">
        <v>26573</v>
      </c>
      <c r="W783" s="68" t="s">
        <v>94</v>
      </c>
      <c r="X783" s="68">
        <v>4655</v>
      </c>
      <c r="Z783" s="68" t="s">
        <v>42967</v>
      </c>
      <c r="AA783" s="33">
        <v>6884</v>
      </c>
    </row>
    <row r="784" spans="1:27" ht="12" customHeight="1" x14ac:dyDescent="0.15">
      <c r="A784" s="10" t="s">
        <v>39394</v>
      </c>
      <c r="B784" s="99">
        <v>32</v>
      </c>
      <c r="C784" s="10" t="s">
        <v>14</v>
      </c>
      <c r="D784" s="10" t="s">
        <v>79</v>
      </c>
      <c r="E784" s="64" t="s">
        <v>39395</v>
      </c>
      <c r="F784" s="67">
        <v>43569</v>
      </c>
      <c r="G784" s="10" t="s">
        <v>39396</v>
      </c>
      <c r="H784" s="10" t="s">
        <v>1716</v>
      </c>
      <c r="I784" s="10" t="s">
        <v>395</v>
      </c>
      <c r="J784" s="65">
        <v>10453</v>
      </c>
      <c r="K784" s="10" t="s">
        <v>1716</v>
      </c>
      <c r="L784" s="10" t="s">
        <v>539</v>
      </c>
      <c r="M784" s="10" t="s">
        <v>21</v>
      </c>
      <c r="N784" s="10" t="s">
        <v>39397</v>
      </c>
      <c r="O784" s="10" t="s">
        <v>372</v>
      </c>
      <c r="P784" s="1" t="s">
        <v>30089</v>
      </c>
      <c r="Q784" s="64" t="s">
        <v>39398</v>
      </c>
      <c r="R784" s="10" t="s">
        <v>94</v>
      </c>
      <c r="S784" s="63" t="s">
        <v>22</v>
      </c>
      <c r="T784" s="68" t="s">
        <v>26774</v>
      </c>
      <c r="U784" s="68" t="s">
        <v>26570</v>
      </c>
      <c r="V784" s="68" t="s">
        <v>26573</v>
      </c>
      <c r="W784" s="68" t="s">
        <v>512</v>
      </c>
      <c r="X784" s="68">
        <v>4634</v>
      </c>
      <c r="Z784" s="68" t="s">
        <v>42966</v>
      </c>
      <c r="AA784" s="33">
        <v>6886</v>
      </c>
    </row>
    <row r="785" spans="1:27" ht="12" customHeight="1" x14ac:dyDescent="0.15">
      <c r="A785" s="10" t="s">
        <v>41654</v>
      </c>
      <c r="B785" s="99">
        <v>42</v>
      </c>
      <c r="C785" s="10" t="s">
        <v>14</v>
      </c>
      <c r="D785" s="68" t="s">
        <v>128</v>
      </c>
      <c r="E785" s="63"/>
      <c r="F785" s="67">
        <v>43569</v>
      </c>
      <c r="G785" s="10" t="s">
        <v>41655</v>
      </c>
      <c r="H785" s="10" t="s">
        <v>15640</v>
      </c>
      <c r="I785" s="10" t="s">
        <v>39</v>
      </c>
      <c r="J785" s="65">
        <v>96080</v>
      </c>
      <c r="K785" s="10" t="s">
        <v>2722</v>
      </c>
      <c r="L785" s="10" t="s">
        <v>15642</v>
      </c>
      <c r="M785" s="10" t="s">
        <v>21</v>
      </c>
      <c r="N785" s="10" t="s">
        <v>41656</v>
      </c>
      <c r="O785" s="10" t="s">
        <v>372</v>
      </c>
      <c r="P785" s="1" t="s">
        <v>30089</v>
      </c>
      <c r="Q785" s="64" t="s">
        <v>41657</v>
      </c>
      <c r="R785" s="10" t="s">
        <v>512</v>
      </c>
      <c r="S785" s="63" t="s">
        <v>29</v>
      </c>
      <c r="T785" s="68" t="s">
        <v>41658</v>
      </c>
      <c r="U785" s="68" t="s">
        <v>26570</v>
      </c>
      <c r="V785" s="68" t="s">
        <v>26574</v>
      </c>
      <c r="W785" s="68" t="s">
        <v>94</v>
      </c>
      <c r="X785" s="68">
        <v>4635</v>
      </c>
      <c r="Z785" s="68" t="s">
        <v>42967</v>
      </c>
      <c r="AA785" s="33">
        <v>6888</v>
      </c>
    </row>
    <row r="786" spans="1:27" ht="12" customHeight="1" x14ac:dyDescent="0.15">
      <c r="A786" s="10" t="s">
        <v>41804</v>
      </c>
      <c r="B786" s="99">
        <v>43</v>
      </c>
      <c r="C786" s="10" t="s">
        <v>14</v>
      </c>
      <c r="D786" s="10" t="s">
        <v>79</v>
      </c>
      <c r="E786" s="64" t="s">
        <v>41805</v>
      </c>
      <c r="F786" s="67">
        <v>43568</v>
      </c>
      <c r="G786" s="10" t="s">
        <v>41806</v>
      </c>
      <c r="H786" s="10" t="s">
        <v>661</v>
      </c>
      <c r="I786" s="10" t="s">
        <v>402</v>
      </c>
      <c r="J786" s="65">
        <v>63139</v>
      </c>
      <c r="K786" s="10" t="s">
        <v>29523</v>
      </c>
      <c r="L786" s="10" t="s">
        <v>4162</v>
      </c>
      <c r="M786" s="10" t="s">
        <v>363</v>
      </c>
      <c r="N786" s="10" t="s">
        <v>41807</v>
      </c>
      <c r="O786" s="10" t="s">
        <v>372</v>
      </c>
      <c r="P786" s="1" t="s">
        <v>30089</v>
      </c>
      <c r="Q786" s="64" t="s">
        <v>41808</v>
      </c>
      <c r="R786" s="10" t="s">
        <v>512</v>
      </c>
      <c r="S786" s="63" t="s">
        <v>12</v>
      </c>
      <c r="T786" s="34" t="s">
        <v>29705</v>
      </c>
      <c r="U786" s="34" t="s">
        <v>26570</v>
      </c>
      <c r="V786" s="68"/>
      <c r="W786" s="68"/>
      <c r="X786" s="68"/>
      <c r="Z786" s="68" t="s">
        <v>42966</v>
      </c>
      <c r="AA786" s="33">
        <v>6882</v>
      </c>
    </row>
    <row r="787" spans="1:27" ht="12" customHeight="1" x14ac:dyDescent="0.15">
      <c r="A787" s="10" t="s">
        <v>41518</v>
      </c>
      <c r="B787" s="99">
        <v>39</v>
      </c>
      <c r="C787" s="10" t="s">
        <v>14</v>
      </c>
      <c r="D787" s="10" t="s">
        <v>42</v>
      </c>
      <c r="E787" s="64" t="s">
        <v>41519</v>
      </c>
      <c r="F787" s="67">
        <v>43567</v>
      </c>
      <c r="G787" s="10" t="s">
        <v>41520</v>
      </c>
      <c r="H787" s="10" t="s">
        <v>16627</v>
      </c>
      <c r="I787" s="10" t="s">
        <v>112</v>
      </c>
      <c r="J787" s="65">
        <v>85326</v>
      </c>
      <c r="K787" s="10" t="s">
        <v>585</v>
      </c>
      <c r="L787" s="10" t="s">
        <v>1765</v>
      </c>
      <c r="M787" s="10" t="s">
        <v>21</v>
      </c>
      <c r="N787" s="10" t="s">
        <v>41521</v>
      </c>
      <c r="O787" s="10" t="s">
        <v>372</v>
      </c>
      <c r="P787" s="1" t="s">
        <v>30089</v>
      </c>
      <c r="Q787" s="64" t="s">
        <v>41522</v>
      </c>
      <c r="R787" s="10" t="s">
        <v>512</v>
      </c>
      <c r="S787" s="63" t="s">
        <v>22</v>
      </c>
      <c r="T787" s="68" t="s">
        <v>41523</v>
      </c>
      <c r="U787" s="68" t="s">
        <v>26572</v>
      </c>
      <c r="V787" s="68" t="s">
        <v>26573</v>
      </c>
      <c r="W787" s="68" t="s">
        <v>512</v>
      </c>
      <c r="X787" s="68">
        <v>4643</v>
      </c>
      <c r="Z787" s="68" t="s">
        <v>42968</v>
      </c>
      <c r="AA787" s="33">
        <v>6881</v>
      </c>
    </row>
    <row r="788" spans="1:27" ht="12" customHeight="1" x14ac:dyDescent="0.15">
      <c r="A788" s="10" t="s">
        <v>41809</v>
      </c>
      <c r="B788" s="99">
        <v>33</v>
      </c>
      <c r="C788" s="10" t="s">
        <v>14</v>
      </c>
      <c r="D788" s="10" t="s">
        <v>79</v>
      </c>
      <c r="E788" s="10"/>
      <c r="F788" s="67">
        <v>43567</v>
      </c>
      <c r="G788" s="10" t="s">
        <v>41810</v>
      </c>
      <c r="H788" s="10" t="s">
        <v>41811</v>
      </c>
      <c r="I788" s="10" t="s">
        <v>56</v>
      </c>
      <c r="J788" s="65">
        <v>34761</v>
      </c>
      <c r="K788" s="10" t="s">
        <v>998</v>
      </c>
      <c r="L788" s="10" t="s">
        <v>41812</v>
      </c>
      <c r="M788" s="10" t="s">
        <v>363</v>
      </c>
      <c r="N788" s="10" t="s">
        <v>41813</v>
      </c>
      <c r="O788" s="10" t="s">
        <v>372</v>
      </c>
      <c r="P788" s="1" t="s">
        <v>30089</v>
      </c>
      <c r="Q788" s="64" t="s">
        <v>41814</v>
      </c>
      <c r="R788" s="10" t="s">
        <v>512</v>
      </c>
      <c r="S788" s="63" t="s">
        <v>29</v>
      </c>
      <c r="T788" s="34" t="s">
        <v>26575</v>
      </c>
      <c r="U788" s="34"/>
      <c r="V788" s="68"/>
      <c r="W788" s="68"/>
      <c r="X788" s="68"/>
      <c r="Z788" s="68" t="s">
        <v>42968</v>
      </c>
      <c r="AA788" s="33">
        <v>6880</v>
      </c>
    </row>
    <row r="789" spans="1:27" ht="12" customHeight="1" x14ac:dyDescent="0.15">
      <c r="A789" s="10" t="s">
        <v>37379</v>
      </c>
      <c r="B789" s="99">
        <v>28</v>
      </c>
      <c r="C789" s="10" t="s">
        <v>14</v>
      </c>
      <c r="D789" s="10" t="s">
        <v>79</v>
      </c>
      <c r="E789" s="64" t="s">
        <v>37380</v>
      </c>
      <c r="F789" s="67">
        <v>43567</v>
      </c>
      <c r="G789" s="10" t="s">
        <v>37381</v>
      </c>
      <c r="H789" s="10" t="s">
        <v>5836</v>
      </c>
      <c r="I789" s="10" t="s">
        <v>19</v>
      </c>
      <c r="J789" s="65">
        <v>70722</v>
      </c>
      <c r="K789" s="10" t="s">
        <v>37382</v>
      </c>
      <c r="L789" s="10" t="s">
        <v>37383</v>
      </c>
      <c r="M789" s="10" t="s">
        <v>21</v>
      </c>
      <c r="N789" s="10" t="s">
        <v>37384</v>
      </c>
      <c r="O789" s="10" t="s">
        <v>372</v>
      </c>
      <c r="P789" s="1" t="s">
        <v>30089</v>
      </c>
      <c r="Q789" s="64" t="s">
        <v>37385</v>
      </c>
      <c r="R789" s="10" t="s">
        <v>94</v>
      </c>
      <c r="S789" s="63" t="s">
        <v>22</v>
      </c>
      <c r="T789" s="68" t="s">
        <v>26781</v>
      </c>
      <c r="U789" s="68" t="s">
        <v>26572</v>
      </c>
      <c r="V789" s="68" t="s">
        <v>26573</v>
      </c>
      <c r="W789" s="68" t="s">
        <v>94</v>
      </c>
      <c r="X789" s="68">
        <v>4640</v>
      </c>
      <c r="Z789" s="68" t="s">
        <v>42967</v>
      </c>
      <c r="AA789" s="33">
        <v>6879</v>
      </c>
    </row>
    <row r="790" spans="1:27" ht="12" customHeight="1" x14ac:dyDescent="0.15">
      <c r="A790" s="10" t="s">
        <v>40765</v>
      </c>
      <c r="B790" s="99">
        <v>29</v>
      </c>
      <c r="C790" s="10" t="s">
        <v>103</v>
      </c>
      <c r="D790" s="10" t="s">
        <v>42</v>
      </c>
      <c r="E790" s="64" t="s">
        <v>40766</v>
      </c>
      <c r="F790" s="67">
        <v>43566</v>
      </c>
      <c r="G790" s="10" t="s">
        <v>40767</v>
      </c>
      <c r="H790" s="10" t="s">
        <v>584</v>
      </c>
      <c r="I790" s="10" t="s">
        <v>112</v>
      </c>
      <c r="J790" s="65">
        <v>85044</v>
      </c>
      <c r="K790" s="10" t="s">
        <v>585</v>
      </c>
      <c r="L790" s="10" t="s">
        <v>40768</v>
      </c>
      <c r="M790" s="10" t="s">
        <v>21</v>
      </c>
      <c r="N790" s="10" t="s">
        <v>40769</v>
      </c>
      <c r="O790" s="10" t="s">
        <v>372</v>
      </c>
      <c r="P790" s="1" t="s">
        <v>30089</v>
      </c>
      <c r="Q790" s="64" t="s">
        <v>40770</v>
      </c>
      <c r="R790" s="10" t="s">
        <v>94</v>
      </c>
      <c r="S790" s="63" t="s">
        <v>351</v>
      </c>
      <c r="T790" s="68" t="s">
        <v>26867</v>
      </c>
      <c r="U790" s="68" t="s">
        <v>26570</v>
      </c>
      <c r="V790" s="68" t="s">
        <v>26571</v>
      </c>
      <c r="W790" s="68" t="s">
        <v>94</v>
      </c>
      <c r="X790" s="68">
        <v>4666</v>
      </c>
      <c r="Z790" s="68" t="s">
        <v>42968</v>
      </c>
      <c r="AA790" s="33">
        <v>6878</v>
      </c>
    </row>
    <row r="791" spans="1:27" ht="12" customHeight="1" x14ac:dyDescent="0.15">
      <c r="A791" s="10" t="s">
        <v>39449</v>
      </c>
      <c r="B791" s="99">
        <v>55</v>
      </c>
      <c r="C791" s="10" t="s">
        <v>14</v>
      </c>
      <c r="D791" s="10" t="s">
        <v>885</v>
      </c>
      <c r="E791" s="64" t="s">
        <v>39450</v>
      </c>
      <c r="F791" s="67">
        <v>43566</v>
      </c>
      <c r="G791" s="10" t="s">
        <v>39451</v>
      </c>
      <c r="H791" s="10" t="s">
        <v>818</v>
      </c>
      <c r="I791" s="10" t="s">
        <v>39</v>
      </c>
      <c r="J791" s="65">
        <v>94805</v>
      </c>
      <c r="K791" s="10" t="s">
        <v>4146</v>
      </c>
      <c r="L791" s="10" t="s">
        <v>819</v>
      </c>
      <c r="M791" s="10" t="s">
        <v>21</v>
      </c>
      <c r="N791" s="10" t="s">
        <v>39452</v>
      </c>
      <c r="O791" s="10" t="s">
        <v>372</v>
      </c>
      <c r="P791" s="1" t="s">
        <v>30089</v>
      </c>
      <c r="Q791" s="64" t="s">
        <v>39453</v>
      </c>
      <c r="R791" s="10" t="s">
        <v>94</v>
      </c>
      <c r="S791" s="63" t="s">
        <v>22</v>
      </c>
      <c r="T791" s="68" t="s">
        <v>26774</v>
      </c>
      <c r="U791" s="68" t="s">
        <v>26572</v>
      </c>
      <c r="V791" s="68" t="s">
        <v>26573</v>
      </c>
      <c r="W791" s="68" t="s">
        <v>94</v>
      </c>
      <c r="X791" s="68">
        <v>4663</v>
      </c>
      <c r="Z791" s="68" t="s">
        <v>42966</v>
      </c>
      <c r="AA791" s="33">
        <v>6876</v>
      </c>
    </row>
    <row r="792" spans="1:27" ht="12" customHeight="1" x14ac:dyDescent="0.15">
      <c r="A792" s="10" t="s">
        <v>37391</v>
      </c>
      <c r="B792" s="99">
        <v>34</v>
      </c>
      <c r="C792" s="10" t="s">
        <v>14</v>
      </c>
      <c r="D792" s="10" t="s">
        <v>79</v>
      </c>
      <c r="E792" s="64" t="s">
        <v>37392</v>
      </c>
      <c r="F792" s="67">
        <v>43566</v>
      </c>
      <c r="G792" s="10" t="s">
        <v>37393</v>
      </c>
      <c r="H792" s="10" t="s">
        <v>661</v>
      </c>
      <c r="I792" s="10" t="s">
        <v>402</v>
      </c>
      <c r="J792" s="65">
        <v>63118</v>
      </c>
      <c r="K792" s="10" t="s">
        <v>29523</v>
      </c>
      <c r="L792" s="10" t="s">
        <v>4162</v>
      </c>
      <c r="M792" s="10" t="s">
        <v>21</v>
      </c>
      <c r="N792" s="10" t="s">
        <v>37394</v>
      </c>
      <c r="O792" s="10" t="s">
        <v>372</v>
      </c>
      <c r="P792" s="1" t="s">
        <v>30089</v>
      </c>
      <c r="Q792" s="64" t="s">
        <v>37395</v>
      </c>
      <c r="R792" s="10" t="s">
        <v>94</v>
      </c>
      <c r="S792" s="63" t="s">
        <v>22</v>
      </c>
      <c r="T792" s="68" t="s">
        <v>26781</v>
      </c>
      <c r="U792" s="68" t="s">
        <v>26572</v>
      </c>
      <c r="V792" s="68" t="s">
        <v>26574</v>
      </c>
      <c r="W792" s="68" t="s">
        <v>94</v>
      </c>
      <c r="X792" s="68">
        <v>4662</v>
      </c>
      <c r="Z792" s="68" t="s">
        <v>42966</v>
      </c>
      <c r="AA792" s="33">
        <v>6873</v>
      </c>
    </row>
    <row r="793" spans="1:27" ht="12" customHeight="1" x14ac:dyDescent="0.15">
      <c r="A793" s="10" t="s">
        <v>40055</v>
      </c>
      <c r="B793" s="99">
        <v>34</v>
      </c>
      <c r="C793" s="10" t="s">
        <v>14</v>
      </c>
      <c r="D793" s="10" t="s">
        <v>79</v>
      </c>
      <c r="E793" s="64" t="s">
        <v>40056</v>
      </c>
      <c r="F793" s="67">
        <v>43566</v>
      </c>
      <c r="G793" s="10" t="s">
        <v>40057</v>
      </c>
      <c r="H793" s="10" t="s">
        <v>708</v>
      </c>
      <c r="I793" s="10" t="s">
        <v>67</v>
      </c>
      <c r="J793" s="65">
        <v>78006</v>
      </c>
      <c r="K793" s="10" t="s">
        <v>709</v>
      </c>
      <c r="L793" s="10" t="s">
        <v>262</v>
      </c>
      <c r="M793" s="10" t="s">
        <v>21</v>
      </c>
      <c r="N793" s="10" t="s">
        <v>40058</v>
      </c>
      <c r="O793" s="10" t="s">
        <v>372</v>
      </c>
      <c r="P793" s="1" t="s">
        <v>30089</v>
      </c>
      <c r="Q793" s="64" t="s">
        <v>40059</v>
      </c>
      <c r="R793" s="10" t="s">
        <v>94</v>
      </c>
      <c r="S793" s="63" t="s">
        <v>12</v>
      </c>
      <c r="T793" s="68" t="s">
        <v>29705</v>
      </c>
      <c r="U793" s="68" t="s">
        <v>26572</v>
      </c>
      <c r="V793" s="68" t="s">
        <v>26574</v>
      </c>
      <c r="W793" s="68" t="s">
        <v>94</v>
      </c>
      <c r="X793" s="68">
        <v>4664</v>
      </c>
      <c r="Z793" s="68" t="s">
        <v>42967</v>
      </c>
      <c r="AA793" s="33">
        <v>6877</v>
      </c>
    </row>
    <row r="794" spans="1:27" ht="12" customHeight="1" x14ac:dyDescent="0.15">
      <c r="A794" s="10" t="s">
        <v>38506</v>
      </c>
      <c r="B794" s="99">
        <v>20</v>
      </c>
      <c r="C794" s="10" t="s">
        <v>14</v>
      </c>
      <c r="D794" s="10" t="s">
        <v>42</v>
      </c>
      <c r="E794" s="63"/>
      <c r="F794" s="67">
        <v>43566</v>
      </c>
      <c r="G794" s="10" t="s">
        <v>38507</v>
      </c>
      <c r="H794" s="10" t="s">
        <v>38508</v>
      </c>
      <c r="I794" s="10" t="s">
        <v>67</v>
      </c>
      <c r="J794" s="65">
        <v>79835</v>
      </c>
      <c r="K794" s="10" t="s">
        <v>801</v>
      </c>
      <c r="L794" s="10" t="s">
        <v>32187</v>
      </c>
      <c r="M794" s="10" t="s">
        <v>21</v>
      </c>
      <c r="N794" s="10" t="s">
        <v>38509</v>
      </c>
      <c r="O794" s="10" t="s">
        <v>372</v>
      </c>
      <c r="P794" s="1" t="s">
        <v>30089</v>
      </c>
      <c r="Q794" s="64" t="s">
        <v>38510</v>
      </c>
      <c r="R794" s="10" t="s">
        <v>94</v>
      </c>
      <c r="S794" s="63" t="s">
        <v>22</v>
      </c>
      <c r="T794" s="68" t="s">
        <v>26781</v>
      </c>
      <c r="U794" s="68" t="s">
        <v>26575</v>
      </c>
      <c r="V794" s="68" t="s">
        <v>26573</v>
      </c>
      <c r="W794" s="68" t="s">
        <v>94</v>
      </c>
      <c r="X794" s="68">
        <v>4644</v>
      </c>
      <c r="Z794" s="68" t="s">
        <v>42968</v>
      </c>
      <c r="AA794" s="33">
        <v>6874</v>
      </c>
    </row>
    <row r="795" spans="1:27" ht="12" customHeight="1" x14ac:dyDescent="0.15">
      <c r="A795" s="10" t="s">
        <v>40970</v>
      </c>
      <c r="B795" s="99">
        <v>30</v>
      </c>
      <c r="C795" s="10" t="s">
        <v>14</v>
      </c>
      <c r="D795" s="10" t="s">
        <v>31</v>
      </c>
      <c r="E795" s="64" t="s">
        <v>40971</v>
      </c>
      <c r="F795" s="67">
        <v>43566</v>
      </c>
      <c r="G795" s="10" t="s">
        <v>40972</v>
      </c>
      <c r="H795" s="10" t="s">
        <v>28385</v>
      </c>
      <c r="I795" s="10" t="s">
        <v>56</v>
      </c>
      <c r="J795" s="65">
        <v>32724</v>
      </c>
      <c r="K795" s="10" t="s">
        <v>3571</v>
      </c>
      <c r="L795" s="10" t="s">
        <v>242</v>
      </c>
      <c r="M795" s="10" t="s">
        <v>21</v>
      </c>
      <c r="N795" s="10" t="s">
        <v>40973</v>
      </c>
      <c r="O795" s="10" t="s">
        <v>372</v>
      </c>
      <c r="P795" s="1" t="s">
        <v>30089</v>
      </c>
      <c r="Q795" s="64" t="s">
        <v>40974</v>
      </c>
      <c r="R795" s="10" t="s">
        <v>512</v>
      </c>
      <c r="S795" s="63" t="s">
        <v>22</v>
      </c>
      <c r="T795" s="68" t="s">
        <v>26781</v>
      </c>
      <c r="U795" s="68" t="s">
        <v>26572</v>
      </c>
      <c r="V795" s="68" t="s">
        <v>26571</v>
      </c>
      <c r="W795" s="68" t="s">
        <v>94</v>
      </c>
      <c r="X795" s="68">
        <v>4665</v>
      </c>
      <c r="Z795" s="68" t="s">
        <v>42968</v>
      </c>
      <c r="AA795" s="33">
        <v>6875</v>
      </c>
    </row>
    <row r="796" spans="1:27" ht="12" customHeight="1" x14ac:dyDescent="0.15">
      <c r="A796" s="10" t="s">
        <v>39166</v>
      </c>
      <c r="B796" s="99">
        <v>21</v>
      </c>
      <c r="C796" s="10" t="s">
        <v>14</v>
      </c>
      <c r="D796" s="68" t="s">
        <v>42</v>
      </c>
      <c r="E796" s="63"/>
      <c r="F796" s="67">
        <v>43565</v>
      </c>
      <c r="G796" s="10" t="s">
        <v>39167</v>
      </c>
      <c r="H796" s="10" t="s">
        <v>5782</v>
      </c>
      <c r="I796" s="10" t="s">
        <v>39</v>
      </c>
      <c r="J796" s="65">
        <v>92201</v>
      </c>
      <c r="K796" s="10" t="s">
        <v>728</v>
      </c>
      <c r="L796" s="10" t="s">
        <v>5784</v>
      </c>
      <c r="M796" s="10" t="s">
        <v>21</v>
      </c>
      <c r="N796" s="10" t="s">
        <v>39168</v>
      </c>
      <c r="O796" s="10" t="s">
        <v>372</v>
      </c>
      <c r="P796" s="1" t="s">
        <v>30089</v>
      </c>
      <c r="Q796" s="64" t="s">
        <v>39169</v>
      </c>
      <c r="R796" s="10" t="s">
        <v>94</v>
      </c>
      <c r="S796" s="63" t="s">
        <v>22</v>
      </c>
      <c r="T796" s="68" t="s">
        <v>26781</v>
      </c>
      <c r="U796" s="68" t="s">
        <v>26570</v>
      </c>
      <c r="V796" s="68" t="s">
        <v>26573</v>
      </c>
      <c r="W796" s="68" t="s">
        <v>94</v>
      </c>
      <c r="X796" s="68">
        <v>4658</v>
      </c>
      <c r="Z796" s="68" t="s">
        <v>42968</v>
      </c>
      <c r="AA796" s="33">
        <v>6871</v>
      </c>
    </row>
    <row r="797" spans="1:27" ht="12" customHeight="1" x14ac:dyDescent="0.15">
      <c r="A797" s="10" t="s">
        <v>37386</v>
      </c>
      <c r="B797" s="99">
        <v>27</v>
      </c>
      <c r="C797" s="10" t="s">
        <v>14</v>
      </c>
      <c r="D797" s="10" t="s">
        <v>79</v>
      </c>
      <c r="E797" s="63"/>
      <c r="F797" s="67">
        <v>43565</v>
      </c>
      <c r="G797" s="10" t="s">
        <v>37387</v>
      </c>
      <c r="H797" s="10" t="s">
        <v>430</v>
      </c>
      <c r="I797" s="10" t="s">
        <v>19</v>
      </c>
      <c r="J797" s="65">
        <v>71109</v>
      </c>
      <c r="K797" s="10" t="s">
        <v>5432</v>
      </c>
      <c r="L797" s="10" t="s">
        <v>37388</v>
      </c>
      <c r="M797" s="10" t="s">
        <v>21</v>
      </c>
      <c r="N797" s="10" t="s">
        <v>37389</v>
      </c>
      <c r="O797" s="10" t="s">
        <v>372</v>
      </c>
      <c r="P797" s="1" t="s">
        <v>30089</v>
      </c>
      <c r="Q797" s="64" t="s">
        <v>37390</v>
      </c>
      <c r="R797" s="10" t="s">
        <v>94</v>
      </c>
      <c r="S797" s="63" t="s">
        <v>22</v>
      </c>
      <c r="T797" s="68" t="s">
        <v>26781</v>
      </c>
      <c r="U797" s="68" t="s">
        <v>26572</v>
      </c>
      <c r="V797" s="68" t="s">
        <v>26571</v>
      </c>
      <c r="W797" s="68" t="s">
        <v>94</v>
      </c>
      <c r="X797" s="68">
        <v>4645</v>
      </c>
      <c r="Z797" s="68" t="s">
        <v>42966</v>
      </c>
      <c r="AA797" s="33">
        <v>6869</v>
      </c>
    </row>
    <row r="798" spans="1:27" ht="12" customHeight="1" x14ac:dyDescent="0.15">
      <c r="A798" s="10" t="s">
        <v>38094</v>
      </c>
      <c r="B798" s="99">
        <v>47</v>
      </c>
      <c r="C798" s="10" t="s">
        <v>14</v>
      </c>
      <c r="D798" s="10" t="s">
        <v>31</v>
      </c>
      <c r="E798" s="64" t="s">
        <v>38095</v>
      </c>
      <c r="F798" s="67">
        <v>43565</v>
      </c>
      <c r="G798" s="10" t="s">
        <v>38096</v>
      </c>
      <c r="H798" s="10" t="s">
        <v>22451</v>
      </c>
      <c r="I798" s="10" t="s">
        <v>56</v>
      </c>
      <c r="J798" s="65">
        <v>33781</v>
      </c>
      <c r="K798" s="10" t="s">
        <v>2152</v>
      </c>
      <c r="L798" s="10" t="s">
        <v>22452</v>
      </c>
      <c r="M798" s="10" t="s">
        <v>21</v>
      </c>
      <c r="N798" s="10" t="s">
        <v>38097</v>
      </c>
      <c r="O798" s="10" t="s">
        <v>372</v>
      </c>
      <c r="P798" s="1" t="s">
        <v>30089</v>
      </c>
      <c r="Q798" s="64" t="s">
        <v>38098</v>
      </c>
      <c r="R798" s="10" t="s">
        <v>94</v>
      </c>
      <c r="S798" s="63" t="s">
        <v>22</v>
      </c>
      <c r="T798" s="68" t="s">
        <v>26781</v>
      </c>
      <c r="U798" s="68" t="s">
        <v>26572</v>
      </c>
      <c r="V798" s="68" t="s">
        <v>26573</v>
      </c>
      <c r="W798" s="68" t="s">
        <v>94</v>
      </c>
      <c r="X798" s="68">
        <v>4659</v>
      </c>
      <c r="Z798" s="68" t="s">
        <v>42968</v>
      </c>
      <c r="AA798" s="33">
        <v>6870</v>
      </c>
    </row>
    <row r="799" spans="1:27" ht="12" customHeight="1" x14ac:dyDescent="0.15">
      <c r="A799" s="10" t="s">
        <v>39249</v>
      </c>
      <c r="B799" s="99">
        <v>57</v>
      </c>
      <c r="C799" s="10" t="s">
        <v>14</v>
      </c>
      <c r="D799" s="68" t="s">
        <v>31</v>
      </c>
      <c r="E799" s="63"/>
      <c r="F799" s="67">
        <v>43565</v>
      </c>
      <c r="G799" s="10" t="s">
        <v>39250</v>
      </c>
      <c r="H799" s="10" t="s">
        <v>39251</v>
      </c>
      <c r="I799" s="10" t="s">
        <v>56</v>
      </c>
      <c r="J799" s="65">
        <v>32456</v>
      </c>
      <c r="K799" s="10" t="s">
        <v>2597</v>
      </c>
      <c r="L799" s="10" t="s">
        <v>39252</v>
      </c>
      <c r="M799" s="10" t="s">
        <v>21</v>
      </c>
      <c r="N799" s="10" t="s">
        <v>39253</v>
      </c>
      <c r="O799" s="10" t="s">
        <v>372</v>
      </c>
      <c r="P799" s="1" t="s">
        <v>30089</v>
      </c>
      <c r="Q799" s="64" t="s">
        <v>39254</v>
      </c>
      <c r="R799" s="10" t="s">
        <v>94</v>
      </c>
      <c r="S799" s="63" t="s">
        <v>22</v>
      </c>
      <c r="T799" s="68" t="s">
        <v>26781</v>
      </c>
      <c r="U799" s="68" t="s">
        <v>26570</v>
      </c>
      <c r="V799" s="68" t="s">
        <v>26573</v>
      </c>
      <c r="W799" s="68" t="s">
        <v>94</v>
      </c>
      <c r="X799" s="68">
        <v>4661</v>
      </c>
      <c r="Z799" s="68" t="s">
        <v>42967</v>
      </c>
      <c r="AA799" s="33">
        <v>6872</v>
      </c>
    </row>
    <row r="800" spans="1:27" ht="12" customHeight="1" x14ac:dyDescent="0.15">
      <c r="A800" s="10" t="s">
        <v>37368</v>
      </c>
      <c r="B800" s="99">
        <v>33</v>
      </c>
      <c r="C800" s="10" t="s">
        <v>14</v>
      </c>
      <c r="D800" s="10" t="s">
        <v>79</v>
      </c>
      <c r="E800" s="64" t="s">
        <v>37369</v>
      </c>
      <c r="F800" s="67">
        <v>43564</v>
      </c>
      <c r="G800" s="10" t="s">
        <v>37370</v>
      </c>
      <c r="H800" s="10" t="s">
        <v>834</v>
      </c>
      <c r="I800" s="10" t="s">
        <v>294</v>
      </c>
      <c r="J800" s="65">
        <v>40219</v>
      </c>
      <c r="K800" s="10" t="s">
        <v>1659</v>
      </c>
      <c r="L800" s="10" t="s">
        <v>835</v>
      </c>
      <c r="M800" s="10" t="s">
        <v>21</v>
      </c>
      <c r="N800" s="10" t="s">
        <v>37371</v>
      </c>
      <c r="O800" s="10" t="s">
        <v>372</v>
      </c>
      <c r="P800" s="1" t="s">
        <v>30089</v>
      </c>
      <c r="Q800" s="64" t="s">
        <v>37372</v>
      </c>
      <c r="R800" s="10" t="s">
        <v>94</v>
      </c>
      <c r="S800" s="63" t="s">
        <v>22</v>
      </c>
      <c r="T800" s="68" t="s">
        <v>26781</v>
      </c>
      <c r="U800" s="68" t="s">
        <v>26572</v>
      </c>
      <c r="V800" s="68" t="s">
        <v>26573</v>
      </c>
      <c r="W800" s="68" t="s">
        <v>94</v>
      </c>
      <c r="X800" s="68">
        <v>4629</v>
      </c>
      <c r="Z800" s="68" t="s">
        <v>42968</v>
      </c>
      <c r="AA800" s="33">
        <v>6866</v>
      </c>
    </row>
    <row r="801" spans="1:27" ht="12" customHeight="1" x14ac:dyDescent="0.15">
      <c r="A801" s="10" t="s">
        <v>38074</v>
      </c>
      <c r="B801" s="99">
        <v>32</v>
      </c>
      <c r="C801" s="10" t="s">
        <v>14</v>
      </c>
      <c r="D801" s="10" t="s">
        <v>31</v>
      </c>
      <c r="E801" s="64" t="s">
        <v>38075</v>
      </c>
      <c r="F801" s="67">
        <v>43564</v>
      </c>
      <c r="G801" s="10" t="s">
        <v>13943</v>
      </c>
      <c r="H801" s="10" t="s">
        <v>38076</v>
      </c>
      <c r="I801" s="10" t="s">
        <v>198</v>
      </c>
      <c r="J801" s="65">
        <v>47362</v>
      </c>
      <c r="K801" s="10" t="s">
        <v>7624</v>
      </c>
      <c r="L801" s="10" t="s">
        <v>27702</v>
      </c>
      <c r="M801" s="10" t="s">
        <v>21</v>
      </c>
      <c r="N801" s="10" t="s">
        <v>38077</v>
      </c>
      <c r="O801" s="10" t="s">
        <v>372</v>
      </c>
      <c r="P801" s="1" t="s">
        <v>30089</v>
      </c>
      <c r="Q801" s="64" t="s">
        <v>38078</v>
      </c>
      <c r="R801" s="10" t="s">
        <v>94</v>
      </c>
      <c r="S801" s="63" t="s">
        <v>22</v>
      </c>
      <c r="T801" s="68" t="s">
        <v>26781</v>
      </c>
      <c r="U801" s="68" t="s">
        <v>26572</v>
      </c>
      <c r="V801" s="68" t="s">
        <v>26573</v>
      </c>
      <c r="W801" s="68" t="s">
        <v>94</v>
      </c>
      <c r="X801" s="68">
        <v>4628</v>
      </c>
      <c r="Z801" s="68" t="s">
        <v>42968</v>
      </c>
      <c r="AA801" s="33">
        <v>6868</v>
      </c>
    </row>
    <row r="802" spans="1:27" ht="12" customHeight="1" x14ac:dyDescent="0.15">
      <c r="A802" s="10" t="s">
        <v>38069</v>
      </c>
      <c r="B802" s="99">
        <v>28</v>
      </c>
      <c r="C802" s="10" t="s">
        <v>14</v>
      </c>
      <c r="D802" s="10" t="s">
        <v>31</v>
      </c>
      <c r="E802" s="64" t="s">
        <v>38070</v>
      </c>
      <c r="F802" s="67">
        <v>43564</v>
      </c>
      <c r="G802" s="10" t="s">
        <v>38071</v>
      </c>
      <c r="H802" s="10" t="s">
        <v>4307</v>
      </c>
      <c r="I802" s="10" t="s">
        <v>192</v>
      </c>
      <c r="J802" s="65">
        <v>81004</v>
      </c>
      <c r="K802" s="10" t="s">
        <v>4307</v>
      </c>
      <c r="L802" s="10" t="s">
        <v>4309</v>
      </c>
      <c r="M802" s="10" t="s">
        <v>21</v>
      </c>
      <c r="N802" s="10" t="s">
        <v>38072</v>
      </c>
      <c r="O802" s="10" t="s">
        <v>372</v>
      </c>
      <c r="P802" s="1" t="s">
        <v>30089</v>
      </c>
      <c r="Q802" s="64" t="s">
        <v>38073</v>
      </c>
      <c r="R802" s="10" t="s">
        <v>94</v>
      </c>
      <c r="S802" s="63" t="s">
        <v>22</v>
      </c>
      <c r="T802" s="68" t="s">
        <v>26781</v>
      </c>
      <c r="U802" s="68" t="s">
        <v>26572</v>
      </c>
      <c r="V802" s="68" t="s">
        <v>26574</v>
      </c>
      <c r="W802" s="68" t="s">
        <v>94</v>
      </c>
      <c r="X802" s="68">
        <v>4627</v>
      </c>
      <c r="Z802" s="68" t="s">
        <v>42968</v>
      </c>
      <c r="AA802" s="33">
        <v>6867</v>
      </c>
    </row>
    <row r="803" spans="1:27" ht="12" customHeight="1" x14ac:dyDescent="0.15">
      <c r="A803" s="10" t="s">
        <v>37373</v>
      </c>
      <c r="B803" s="99">
        <v>37</v>
      </c>
      <c r="C803" s="10" t="s">
        <v>14</v>
      </c>
      <c r="D803" s="10" t="s">
        <v>79</v>
      </c>
      <c r="E803" s="64" t="s">
        <v>37374</v>
      </c>
      <c r="F803" s="67">
        <v>43563</v>
      </c>
      <c r="G803" s="10" t="s">
        <v>37375</v>
      </c>
      <c r="H803" s="10" t="s">
        <v>220</v>
      </c>
      <c r="I803" s="10" t="s">
        <v>221</v>
      </c>
      <c r="J803" s="65">
        <v>84101</v>
      </c>
      <c r="K803" s="10" t="s">
        <v>564</v>
      </c>
      <c r="L803" s="10" t="s">
        <v>37376</v>
      </c>
      <c r="M803" s="10" t="s">
        <v>21</v>
      </c>
      <c r="N803" s="10" t="s">
        <v>37377</v>
      </c>
      <c r="O803" s="10" t="s">
        <v>372</v>
      </c>
      <c r="P803" s="1" t="s">
        <v>30089</v>
      </c>
      <c r="Q803" s="64" t="s">
        <v>37378</v>
      </c>
      <c r="R803" s="10" t="s">
        <v>94</v>
      </c>
      <c r="S803" s="63" t="s">
        <v>22</v>
      </c>
      <c r="T803" s="68" t="s">
        <v>26781</v>
      </c>
      <c r="U803" s="68" t="s">
        <v>26572</v>
      </c>
      <c r="V803" s="68" t="s">
        <v>26571</v>
      </c>
      <c r="W803" s="68" t="s">
        <v>94</v>
      </c>
      <c r="X803" s="68">
        <v>4631</v>
      </c>
      <c r="Z803" s="68" t="s">
        <v>42966</v>
      </c>
      <c r="AA803" s="33">
        <v>6864</v>
      </c>
    </row>
    <row r="804" spans="1:27" ht="12" customHeight="1" x14ac:dyDescent="0.15">
      <c r="A804" s="10" t="s">
        <v>37361</v>
      </c>
      <c r="B804" s="99">
        <v>24</v>
      </c>
      <c r="C804" s="10" t="s">
        <v>14</v>
      </c>
      <c r="D804" s="10" t="s">
        <v>79</v>
      </c>
      <c r="E804" s="64" t="s">
        <v>37362</v>
      </c>
      <c r="F804" s="67">
        <v>43563</v>
      </c>
      <c r="G804" s="10" t="s">
        <v>37363</v>
      </c>
      <c r="H804" s="10" t="s">
        <v>37364</v>
      </c>
      <c r="I804" s="10" t="s">
        <v>298</v>
      </c>
      <c r="J804" s="65">
        <v>37745</v>
      </c>
      <c r="K804" s="10" t="s">
        <v>4549</v>
      </c>
      <c r="L804" s="10" t="s">
        <v>37365</v>
      </c>
      <c r="M804" s="10" t="s">
        <v>21</v>
      </c>
      <c r="N804" s="10" t="s">
        <v>37366</v>
      </c>
      <c r="O804" s="10" t="s">
        <v>372</v>
      </c>
      <c r="P804" s="1" t="s">
        <v>30089</v>
      </c>
      <c r="Q804" s="64" t="s">
        <v>37367</v>
      </c>
      <c r="R804" s="10" t="s">
        <v>94</v>
      </c>
      <c r="S804" s="63" t="s">
        <v>22</v>
      </c>
      <c r="T804" s="68" t="s">
        <v>26781</v>
      </c>
      <c r="U804" s="68" t="s">
        <v>26572</v>
      </c>
      <c r="V804" s="68" t="s">
        <v>26573</v>
      </c>
      <c r="W804" s="68" t="s">
        <v>94</v>
      </c>
      <c r="X804" s="68">
        <v>4621</v>
      </c>
      <c r="Z804" s="68" t="s">
        <v>42967</v>
      </c>
      <c r="AA804" s="33">
        <v>6863</v>
      </c>
    </row>
    <row r="805" spans="1:27" ht="12" customHeight="1" x14ac:dyDescent="0.15">
      <c r="A805" s="10" t="s">
        <v>39507</v>
      </c>
      <c r="B805" s="99">
        <v>42</v>
      </c>
      <c r="C805" s="10" t="s">
        <v>14</v>
      </c>
      <c r="D805" s="10" t="s">
        <v>31</v>
      </c>
      <c r="E805" s="64" t="s">
        <v>39508</v>
      </c>
      <c r="F805" s="67">
        <v>43563</v>
      </c>
      <c r="G805" s="10" t="s">
        <v>39509</v>
      </c>
      <c r="H805" s="10" t="s">
        <v>1138</v>
      </c>
      <c r="I805" s="10" t="s">
        <v>298</v>
      </c>
      <c r="J805" s="65">
        <v>37421</v>
      </c>
      <c r="K805" s="10" t="s">
        <v>505</v>
      </c>
      <c r="L805" s="10" t="s">
        <v>568</v>
      </c>
      <c r="M805" s="10" t="s">
        <v>21</v>
      </c>
      <c r="N805" s="10" t="s">
        <v>39510</v>
      </c>
      <c r="O805" s="10" t="s">
        <v>372</v>
      </c>
      <c r="P805" s="1" t="s">
        <v>30089</v>
      </c>
      <c r="Q805" s="64" t="s">
        <v>39511</v>
      </c>
      <c r="R805" s="10" t="s">
        <v>94</v>
      </c>
      <c r="S805" s="63" t="s">
        <v>22</v>
      </c>
      <c r="T805" s="68" t="s">
        <v>26774</v>
      </c>
      <c r="U805" s="68" t="s">
        <v>26572</v>
      </c>
      <c r="V805" s="68" t="s">
        <v>26573</v>
      </c>
      <c r="W805" s="68" t="s">
        <v>94</v>
      </c>
      <c r="X805" s="68">
        <v>4630</v>
      </c>
      <c r="Z805" s="68" t="s">
        <v>42966</v>
      </c>
      <c r="AA805" s="33">
        <v>6865</v>
      </c>
    </row>
    <row r="806" spans="1:27" ht="12" customHeight="1" x14ac:dyDescent="0.15">
      <c r="A806" s="10" t="s">
        <v>41572</v>
      </c>
      <c r="B806" s="99">
        <v>35</v>
      </c>
      <c r="C806" s="10" t="s">
        <v>14</v>
      </c>
      <c r="D806" s="10" t="s">
        <v>79</v>
      </c>
      <c r="E806" s="64" t="s">
        <v>41573</v>
      </c>
      <c r="F806" s="67">
        <v>43562</v>
      </c>
      <c r="G806" s="10" t="s">
        <v>41574</v>
      </c>
      <c r="H806" s="10" t="s">
        <v>15001</v>
      </c>
      <c r="I806" s="10" t="s">
        <v>918</v>
      </c>
      <c r="J806" s="65">
        <v>72315</v>
      </c>
      <c r="K806" s="10" t="s">
        <v>919</v>
      </c>
      <c r="L806" s="10" t="s">
        <v>15003</v>
      </c>
      <c r="M806" s="10" t="s">
        <v>21</v>
      </c>
      <c r="N806" s="10" t="s">
        <v>41575</v>
      </c>
      <c r="O806" s="10" t="s">
        <v>372</v>
      </c>
      <c r="P806" s="1" t="s">
        <v>30089</v>
      </c>
      <c r="Q806" s="64" t="s">
        <v>41576</v>
      </c>
      <c r="R806" s="10" t="s">
        <v>512</v>
      </c>
      <c r="S806" s="63" t="s">
        <v>12</v>
      </c>
      <c r="T806" s="68" t="s">
        <v>29705</v>
      </c>
      <c r="U806" s="68" t="s">
        <v>26572</v>
      </c>
      <c r="V806" s="68" t="s">
        <v>26574</v>
      </c>
      <c r="W806" s="68" t="s">
        <v>512</v>
      </c>
      <c r="X806" s="68">
        <v>4622</v>
      </c>
      <c r="Z806" s="68" t="s">
        <v>42967</v>
      </c>
      <c r="AA806" s="33">
        <v>6862</v>
      </c>
    </row>
    <row r="807" spans="1:27" ht="12" customHeight="1" x14ac:dyDescent="0.15">
      <c r="A807" s="10" t="s">
        <v>42425</v>
      </c>
      <c r="B807" s="99">
        <v>28</v>
      </c>
      <c r="C807" s="10" t="s">
        <v>14</v>
      </c>
      <c r="D807" s="10" t="s">
        <v>42</v>
      </c>
      <c r="E807" s="64" t="s">
        <v>42426</v>
      </c>
      <c r="F807" s="67">
        <v>43561</v>
      </c>
      <c r="G807" s="10" t="s">
        <v>42427</v>
      </c>
      <c r="H807" s="10" t="s">
        <v>4506</v>
      </c>
      <c r="I807" s="10" t="s">
        <v>39</v>
      </c>
      <c r="J807" s="65">
        <v>92316</v>
      </c>
      <c r="K807" s="10" t="s">
        <v>288</v>
      </c>
      <c r="L807" s="10" t="s">
        <v>32215</v>
      </c>
      <c r="M807" s="10" t="s">
        <v>21</v>
      </c>
      <c r="N807" s="10" t="s">
        <v>42428</v>
      </c>
      <c r="O807" s="10" t="s">
        <v>372</v>
      </c>
      <c r="P807" s="1" t="s">
        <v>30089</v>
      </c>
      <c r="Q807" s="64" t="s">
        <v>42429</v>
      </c>
      <c r="R807" s="10" t="s">
        <v>23</v>
      </c>
      <c r="S807" s="68" t="s">
        <v>22</v>
      </c>
      <c r="T807" s="68" t="s">
        <v>26774</v>
      </c>
      <c r="U807" s="68"/>
      <c r="V807" s="68"/>
      <c r="W807" s="68"/>
      <c r="X807" s="68"/>
      <c r="Y807" s="33" t="s">
        <v>42476</v>
      </c>
      <c r="Z807" s="1" t="s">
        <v>42968</v>
      </c>
      <c r="AA807" s="33">
        <v>6859</v>
      </c>
    </row>
    <row r="808" spans="1:27" ht="12" customHeight="1" x14ac:dyDescent="0.15">
      <c r="A808" s="1" t="s">
        <v>3002</v>
      </c>
      <c r="B808" s="1"/>
      <c r="C808" s="1"/>
      <c r="D808" s="1" t="s">
        <v>42</v>
      </c>
      <c r="E808" s="1"/>
      <c r="F808" s="67">
        <v>43561</v>
      </c>
      <c r="G808" s="1" t="s">
        <v>42407</v>
      </c>
      <c r="H808" s="1" t="s">
        <v>42408</v>
      </c>
      <c r="I808" s="1" t="s">
        <v>178</v>
      </c>
      <c r="J808" s="1">
        <v>88021</v>
      </c>
      <c r="K808" s="1" t="s">
        <v>912</v>
      </c>
      <c r="L808" s="1" t="s">
        <v>27366</v>
      </c>
      <c r="M808" s="1" t="s">
        <v>351</v>
      </c>
      <c r="N808" s="33" t="s">
        <v>42501</v>
      </c>
      <c r="O808" s="1" t="s">
        <v>32706</v>
      </c>
      <c r="P808" s="1" t="s">
        <v>30089</v>
      </c>
      <c r="Q808" s="1" t="s">
        <v>42409</v>
      </c>
      <c r="R808" s="1" t="s">
        <v>94</v>
      </c>
      <c r="S808" s="33" t="s">
        <v>351</v>
      </c>
      <c r="T808" s="33" t="s">
        <v>26867</v>
      </c>
      <c r="U808" s="68"/>
      <c r="V808" s="68"/>
      <c r="W808" s="68"/>
      <c r="X808" s="68"/>
      <c r="Z808" s="1" t="s">
        <v>42967</v>
      </c>
      <c r="AA808" s="33">
        <v>6860</v>
      </c>
    </row>
    <row r="809" spans="1:27" ht="12" customHeight="1" x14ac:dyDescent="0.15">
      <c r="A809" s="1" t="s">
        <v>3002</v>
      </c>
      <c r="B809" s="1"/>
      <c r="C809" s="1"/>
      <c r="D809" s="1" t="s">
        <v>42</v>
      </c>
      <c r="E809" s="1"/>
      <c r="F809" s="67">
        <v>43561</v>
      </c>
      <c r="G809" s="1" t="s">
        <v>42407</v>
      </c>
      <c r="H809" s="1" t="s">
        <v>42408</v>
      </c>
      <c r="I809" s="1" t="s">
        <v>178</v>
      </c>
      <c r="J809" s="1">
        <v>88021</v>
      </c>
      <c r="K809" s="1" t="s">
        <v>912</v>
      </c>
      <c r="L809" s="1" t="s">
        <v>27366</v>
      </c>
      <c r="M809" s="1" t="s">
        <v>351</v>
      </c>
      <c r="N809" s="33" t="s">
        <v>42501</v>
      </c>
      <c r="O809" s="1" t="s">
        <v>32706</v>
      </c>
      <c r="P809" s="1" t="s">
        <v>30089</v>
      </c>
      <c r="Q809" s="1" t="s">
        <v>42409</v>
      </c>
      <c r="R809" s="1" t="s">
        <v>94</v>
      </c>
      <c r="S809" s="1" t="s">
        <v>351</v>
      </c>
      <c r="T809" s="33" t="s">
        <v>26867</v>
      </c>
      <c r="U809" s="68"/>
      <c r="V809" s="68"/>
      <c r="W809" s="68"/>
      <c r="X809" s="68"/>
      <c r="Z809" s="1" t="s">
        <v>42967</v>
      </c>
      <c r="AA809" s="33">
        <v>6861</v>
      </c>
    </row>
    <row r="810" spans="1:27" ht="12" customHeight="1" x14ac:dyDescent="0.15">
      <c r="A810" s="10" t="s">
        <v>41157</v>
      </c>
      <c r="B810" s="99">
        <v>36</v>
      </c>
      <c r="C810" s="10" t="s">
        <v>14</v>
      </c>
      <c r="D810" s="10" t="s">
        <v>24</v>
      </c>
      <c r="E810" s="63"/>
      <c r="F810" s="67">
        <v>43561</v>
      </c>
      <c r="G810" s="10" t="s">
        <v>41158</v>
      </c>
      <c r="H810" s="10" t="s">
        <v>620</v>
      </c>
      <c r="I810" s="10" t="s">
        <v>198</v>
      </c>
      <c r="J810" s="65">
        <v>47150</v>
      </c>
      <c r="K810" s="10" t="s">
        <v>3239</v>
      </c>
      <c r="L810" s="10" t="s">
        <v>623</v>
      </c>
      <c r="M810" s="10" t="s">
        <v>21</v>
      </c>
      <c r="N810" s="10" t="s">
        <v>41159</v>
      </c>
      <c r="O810" s="10" t="s">
        <v>372</v>
      </c>
      <c r="P810" s="1" t="s">
        <v>30089</v>
      </c>
      <c r="Q810" s="64" t="s">
        <v>41160</v>
      </c>
      <c r="R810" s="10" t="s">
        <v>512</v>
      </c>
      <c r="S810" s="63" t="s">
        <v>22</v>
      </c>
      <c r="T810" s="68" t="s">
        <v>26781</v>
      </c>
      <c r="U810" s="68" t="s">
        <v>26572</v>
      </c>
      <c r="V810" s="68" t="s">
        <v>26573</v>
      </c>
      <c r="W810" s="68" t="s">
        <v>94</v>
      </c>
      <c r="X810" s="68">
        <v>4624</v>
      </c>
      <c r="Z810" s="68" t="s">
        <v>42968</v>
      </c>
      <c r="AA810" s="33">
        <v>6858</v>
      </c>
    </row>
    <row r="811" spans="1:27" ht="12" customHeight="1" x14ac:dyDescent="0.15">
      <c r="A811" s="10" t="s">
        <v>39733</v>
      </c>
      <c r="B811" s="99">
        <v>26</v>
      </c>
      <c r="C811" s="10" t="s">
        <v>14</v>
      </c>
      <c r="D811" s="10" t="s">
        <v>24</v>
      </c>
      <c r="E811" s="63"/>
      <c r="F811" s="67">
        <v>43560</v>
      </c>
      <c r="G811" s="10" t="s">
        <v>39734</v>
      </c>
      <c r="H811" s="10" t="s">
        <v>39735</v>
      </c>
      <c r="I811" s="10" t="s">
        <v>38</v>
      </c>
      <c r="J811" s="65">
        <v>60139</v>
      </c>
      <c r="K811" s="10" t="s">
        <v>30044</v>
      </c>
      <c r="L811" s="10" t="s">
        <v>39736</v>
      </c>
      <c r="M811" s="10" t="s">
        <v>21</v>
      </c>
      <c r="N811" s="10" t="s">
        <v>39737</v>
      </c>
      <c r="O811" s="10" t="s">
        <v>372</v>
      </c>
      <c r="P811" s="1" t="s">
        <v>30089</v>
      </c>
      <c r="Q811" s="64" t="s">
        <v>39738</v>
      </c>
      <c r="R811" s="10" t="s">
        <v>94</v>
      </c>
      <c r="S811" s="63" t="s">
        <v>22</v>
      </c>
      <c r="T811" s="68" t="s">
        <v>26774</v>
      </c>
      <c r="U811" s="68" t="s">
        <v>26570</v>
      </c>
      <c r="V811" s="68" t="s">
        <v>26571</v>
      </c>
      <c r="W811" s="68" t="s">
        <v>94</v>
      </c>
      <c r="X811" s="68">
        <v>4626</v>
      </c>
      <c r="Z811" s="68" t="s">
        <v>42968</v>
      </c>
      <c r="AA811" s="33">
        <v>6857</v>
      </c>
    </row>
    <row r="812" spans="1:27" ht="12" customHeight="1" x14ac:dyDescent="0.15">
      <c r="A812" s="10" t="s">
        <v>40382</v>
      </c>
      <c r="B812" s="99">
        <v>30</v>
      </c>
      <c r="C812" s="10" t="s">
        <v>14</v>
      </c>
      <c r="D812" s="10" t="s">
        <v>42</v>
      </c>
      <c r="E812" s="63"/>
      <c r="F812" s="67">
        <v>43559</v>
      </c>
      <c r="G812" s="10" t="s">
        <v>40383</v>
      </c>
      <c r="H812" s="10" t="s">
        <v>1751</v>
      </c>
      <c r="I812" s="10" t="s">
        <v>39</v>
      </c>
      <c r="J812" s="65">
        <v>92801</v>
      </c>
      <c r="K812" s="10" t="s">
        <v>998</v>
      </c>
      <c r="L812" s="10" t="s">
        <v>1753</v>
      </c>
      <c r="M812" s="10" t="s">
        <v>21</v>
      </c>
      <c r="N812" s="10" t="s">
        <v>40384</v>
      </c>
      <c r="O812" s="10" t="s">
        <v>372</v>
      </c>
      <c r="P812" s="1" t="s">
        <v>30089</v>
      </c>
      <c r="Q812" s="64" t="s">
        <v>40385</v>
      </c>
      <c r="R812" s="10" t="s">
        <v>94</v>
      </c>
      <c r="S812" s="63" t="s">
        <v>29</v>
      </c>
      <c r="T812" s="68" t="s">
        <v>26575</v>
      </c>
      <c r="U812" s="68" t="s">
        <v>26570</v>
      </c>
      <c r="V812" s="68" t="s">
        <v>26573</v>
      </c>
      <c r="W812" s="68" t="s">
        <v>94</v>
      </c>
      <c r="X812" s="68">
        <v>4625</v>
      </c>
      <c r="Z812" s="68" t="s">
        <v>42966</v>
      </c>
      <c r="AA812" s="33">
        <v>6856</v>
      </c>
    </row>
    <row r="813" spans="1:27" ht="12" customHeight="1" x14ac:dyDescent="0.15">
      <c r="A813" s="10" t="s">
        <v>41586</v>
      </c>
      <c r="B813" s="99">
        <v>37</v>
      </c>
      <c r="C813" s="10" t="s">
        <v>14</v>
      </c>
      <c r="D813" s="10" t="s">
        <v>31</v>
      </c>
      <c r="E813" s="64" t="s">
        <v>41587</v>
      </c>
      <c r="F813" s="67">
        <v>43559</v>
      </c>
      <c r="G813" s="10" t="s">
        <v>41588</v>
      </c>
      <c r="H813" s="10" t="s">
        <v>2180</v>
      </c>
      <c r="I813" s="10" t="s">
        <v>51</v>
      </c>
      <c r="J813" s="65">
        <v>49004</v>
      </c>
      <c r="K813" s="10" t="s">
        <v>2180</v>
      </c>
      <c r="L813" s="10" t="s">
        <v>41589</v>
      </c>
      <c r="M813" s="10" t="s">
        <v>21</v>
      </c>
      <c r="N813" s="10" t="s">
        <v>41590</v>
      </c>
      <c r="O813" s="10" t="s">
        <v>372</v>
      </c>
      <c r="P813" s="1" t="s">
        <v>30089</v>
      </c>
      <c r="Q813" s="64" t="s">
        <v>41591</v>
      </c>
      <c r="R813" s="10" t="s">
        <v>512</v>
      </c>
      <c r="S813" s="63" t="s">
        <v>12</v>
      </c>
      <c r="T813" s="68" t="s">
        <v>29705</v>
      </c>
      <c r="U813" s="68" t="s">
        <v>26570</v>
      </c>
      <c r="V813" s="68" t="s">
        <v>26573</v>
      </c>
      <c r="W813" s="68" t="s">
        <v>94</v>
      </c>
      <c r="X813" s="68">
        <v>4619</v>
      </c>
      <c r="Z813" s="68" t="s">
        <v>42968</v>
      </c>
      <c r="AA813" s="33">
        <v>6855</v>
      </c>
    </row>
    <row r="814" spans="1:27" ht="12" customHeight="1" x14ac:dyDescent="0.15">
      <c r="A814" s="10" t="s">
        <v>38063</v>
      </c>
      <c r="B814" s="99">
        <v>26</v>
      </c>
      <c r="C814" s="10" t="s">
        <v>14</v>
      </c>
      <c r="D814" s="10" t="s">
        <v>31</v>
      </c>
      <c r="E814" s="64" t="s">
        <v>38064</v>
      </c>
      <c r="F814" s="67">
        <v>43558</v>
      </c>
      <c r="G814" s="10" t="s">
        <v>38065</v>
      </c>
      <c r="H814" s="10" t="s">
        <v>38066</v>
      </c>
      <c r="I814" s="10" t="s">
        <v>26</v>
      </c>
      <c r="J814" s="65">
        <v>29123</v>
      </c>
      <c r="K814" s="10" t="s">
        <v>947</v>
      </c>
      <c r="L814" s="10" t="s">
        <v>10058</v>
      </c>
      <c r="M814" s="10" t="s">
        <v>21</v>
      </c>
      <c r="N814" s="10" t="s">
        <v>38067</v>
      </c>
      <c r="O814" s="10" t="s">
        <v>372</v>
      </c>
      <c r="P814" s="1" t="s">
        <v>30089</v>
      </c>
      <c r="Q814" s="64" t="s">
        <v>38068</v>
      </c>
      <c r="R814" s="10" t="s">
        <v>94</v>
      </c>
      <c r="S814" s="63" t="s">
        <v>22</v>
      </c>
      <c r="T814" s="68" t="s">
        <v>26781</v>
      </c>
      <c r="U814" s="68" t="s">
        <v>26570</v>
      </c>
      <c r="V814" s="68" t="s">
        <v>26571</v>
      </c>
      <c r="W814" s="68" t="s">
        <v>94</v>
      </c>
      <c r="X814" s="68">
        <v>4617</v>
      </c>
      <c r="Z814" s="68" t="s">
        <v>42967</v>
      </c>
      <c r="AA814" s="33">
        <v>6852</v>
      </c>
    </row>
    <row r="815" spans="1:27" ht="12" customHeight="1" x14ac:dyDescent="0.15">
      <c r="A815" s="10" t="s">
        <v>38633</v>
      </c>
      <c r="B815" s="99">
        <v>50</v>
      </c>
      <c r="C815" s="10" t="s">
        <v>14</v>
      </c>
      <c r="D815" s="10" t="s">
        <v>42</v>
      </c>
      <c r="E815" s="63"/>
      <c r="F815" s="67">
        <v>43558</v>
      </c>
      <c r="G815" s="10" t="s">
        <v>38634</v>
      </c>
      <c r="H815" s="10" t="s">
        <v>38635</v>
      </c>
      <c r="I815" s="10" t="s">
        <v>39</v>
      </c>
      <c r="J815" s="65">
        <v>92173</v>
      </c>
      <c r="K815" s="10" t="s">
        <v>143</v>
      </c>
      <c r="L815" s="10" t="s">
        <v>144</v>
      </c>
      <c r="M815" s="10" t="s">
        <v>21</v>
      </c>
      <c r="N815" s="10" t="s">
        <v>38636</v>
      </c>
      <c r="O815" s="10" t="s">
        <v>372</v>
      </c>
      <c r="P815" s="1" t="s">
        <v>30089</v>
      </c>
      <c r="Q815" s="64" t="s">
        <v>38637</v>
      </c>
      <c r="R815" s="10" t="s">
        <v>94</v>
      </c>
      <c r="S815" s="63" t="s">
        <v>22</v>
      </c>
      <c r="T815" s="68" t="s">
        <v>26781</v>
      </c>
      <c r="U815" s="68" t="s">
        <v>26572</v>
      </c>
      <c r="V815" s="68" t="s">
        <v>26573</v>
      </c>
      <c r="W815" s="68" t="s">
        <v>512</v>
      </c>
      <c r="X815" s="68">
        <v>4614</v>
      </c>
      <c r="Z815" s="68" t="s">
        <v>42968</v>
      </c>
      <c r="AA815" s="33">
        <v>6853</v>
      </c>
    </row>
    <row r="816" spans="1:27" ht="12" customHeight="1" x14ac:dyDescent="0.15">
      <c r="A816" s="10" t="s">
        <v>38638</v>
      </c>
      <c r="B816" s="99">
        <v>56</v>
      </c>
      <c r="C816" s="10" t="s">
        <v>14</v>
      </c>
      <c r="D816" s="10" t="s">
        <v>42</v>
      </c>
      <c r="E816" s="64" t="s">
        <v>38639</v>
      </c>
      <c r="F816" s="67">
        <v>43558</v>
      </c>
      <c r="G816" s="10" t="s">
        <v>38640</v>
      </c>
      <c r="H816" s="10" t="s">
        <v>11818</v>
      </c>
      <c r="I816" s="10" t="s">
        <v>56</v>
      </c>
      <c r="J816" s="65">
        <v>33435</v>
      </c>
      <c r="K816" s="10" t="s">
        <v>4878</v>
      </c>
      <c r="L816" s="10" t="s">
        <v>38641</v>
      </c>
      <c r="M816" s="10" t="s">
        <v>21</v>
      </c>
      <c r="N816" s="10" t="s">
        <v>38642</v>
      </c>
      <c r="O816" s="10" t="s">
        <v>372</v>
      </c>
      <c r="P816" s="1" t="s">
        <v>30089</v>
      </c>
      <c r="Q816" s="64" t="s">
        <v>38643</v>
      </c>
      <c r="R816" s="10" t="s">
        <v>94</v>
      </c>
      <c r="S816" s="63" t="s">
        <v>22</v>
      </c>
      <c r="T816" s="68" t="s">
        <v>26781</v>
      </c>
      <c r="U816" s="68" t="s">
        <v>26572</v>
      </c>
      <c r="V816" s="68" t="s">
        <v>26573</v>
      </c>
      <c r="W816" s="68" t="s">
        <v>94</v>
      </c>
      <c r="X816" s="68">
        <v>4616</v>
      </c>
      <c r="Z816" s="68" t="s">
        <v>42968</v>
      </c>
      <c r="AA816" s="33">
        <v>6854</v>
      </c>
    </row>
    <row r="817" spans="1:27" ht="12" customHeight="1" x14ac:dyDescent="0.15">
      <c r="A817" s="10" t="s">
        <v>38056</v>
      </c>
      <c r="B817" s="99">
        <v>53</v>
      </c>
      <c r="C817" s="10" t="s">
        <v>14</v>
      </c>
      <c r="D817" s="10" t="s">
        <v>31</v>
      </c>
      <c r="E817" s="64" t="s">
        <v>38057</v>
      </c>
      <c r="F817" s="67">
        <v>43558</v>
      </c>
      <c r="G817" s="10" t="s">
        <v>38058</v>
      </c>
      <c r="H817" s="10" t="s">
        <v>38059</v>
      </c>
      <c r="I817" s="10" t="s">
        <v>198</v>
      </c>
      <c r="J817" s="65">
        <v>47220</v>
      </c>
      <c r="K817" s="10" t="s">
        <v>404</v>
      </c>
      <c r="L817" s="10" t="s">
        <v>38060</v>
      </c>
      <c r="M817" s="10" t="s">
        <v>21</v>
      </c>
      <c r="N817" s="10" t="s">
        <v>38061</v>
      </c>
      <c r="O817" s="10" t="s">
        <v>372</v>
      </c>
      <c r="P817" s="1" t="s">
        <v>30089</v>
      </c>
      <c r="Q817" s="64" t="s">
        <v>38062</v>
      </c>
      <c r="R817" s="10" t="s">
        <v>94</v>
      </c>
      <c r="S817" s="63" t="s">
        <v>22</v>
      </c>
      <c r="T817" s="68" t="s">
        <v>26781</v>
      </c>
      <c r="U817" s="68" t="s">
        <v>26570</v>
      </c>
      <c r="V817" s="68" t="s">
        <v>26573</v>
      </c>
      <c r="W817" s="68" t="s">
        <v>94</v>
      </c>
      <c r="X817" s="68">
        <v>4613</v>
      </c>
      <c r="Z817" s="68" t="s">
        <v>42967</v>
      </c>
      <c r="AA817" s="33">
        <v>6851</v>
      </c>
    </row>
    <row r="818" spans="1:27" ht="12" customHeight="1" x14ac:dyDescent="0.15">
      <c r="A818" s="10" t="s">
        <v>41581</v>
      </c>
      <c r="B818" s="99">
        <v>48</v>
      </c>
      <c r="C818" s="10" t="s">
        <v>14</v>
      </c>
      <c r="D818" s="10" t="s">
        <v>31</v>
      </c>
      <c r="E818" s="75" t="s">
        <v>41582</v>
      </c>
      <c r="F818" s="67">
        <v>43557</v>
      </c>
      <c r="G818" s="10" t="s">
        <v>41583</v>
      </c>
      <c r="H818" s="10" t="s">
        <v>6885</v>
      </c>
      <c r="I818" s="10" t="s">
        <v>39</v>
      </c>
      <c r="J818" s="65">
        <v>96003</v>
      </c>
      <c r="K818" s="10" t="s">
        <v>6887</v>
      </c>
      <c r="L818" s="10" t="s">
        <v>6888</v>
      </c>
      <c r="M818" s="10" t="s">
        <v>21</v>
      </c>
      <c r="N818" s="10" t="s">
        <v>41584</v>
      </c>
      <c r="O818" s="10" t="s">
        <v>31972</v>
      </c>
      <c r="P818" s="1" t="s">
        <v>30089</v>
      </c>
      <c r="Q818" s="64" t="s">
        <v>41585</v>
      </c>
      <c r="R818" s="10" t="s">
        <v>512</v>
      </c>
      <c r="S818" s="63" t="s">
        <v>12</v>
      </c>
      <c r="T818" s="68" t="s">
        <v>29705</v>
      </c>
      <c r="U818" s="68" t="s">
        <v>26572</v>
      </c>
      <c r="V818" s="68" t="s">
        <v>26573</v>
      </c>
      <c r="W818" s="68" t="s">
        <v>94</v>
      </c>
      <c r="X818" s="68">
        <v>4615</v>
      </c>
      <c r="Z818" s="68" t="s">
        <v>42968</v>
      </c>
      <c r="AA818" s="33">
        <v>6850</v>
      </c>
    </row>
    <row r="819" spans="1:27" ht="12" customHeight="1" x14ac:dyDescent="0.15">
      <c r="A819" s="10" t="s">
        <v>37356</v>
      </c>
      <c r="B819" s="99">
        <v>19</v>
      </c>
      <c r="C819" s="10" t="s">
        <v>14</v>
      </c>
      <c r="D819" s="10" t="s">
        <v>79</v>
      </c>
      <c r="E819" s="64" t="s">
        <v>37357</v>
      </c>
      <c r="F819" s="67">
        <v>43556</v>
      </c>
      <c r="G819" s="10" t="s">
        <v>37358</v>
      </c>
      <c r="H819" s="10" t="s">
        <v>12325</v>
      </c>
      <c r="I819" s="10" t="s">
        <v>160</v>
      </c>
      <c r="J819" s="65">
        <v>30291</v>
      </c>
      <c r="K819" s="10" t="s">
        <v>1454</v>
      </c>
      <c r="L819" s="10" t="s">
        <v>12327</v>
      </c>
      <c r="M819" s="10" t="s">
        <v>21</v>
      </c>
      <c r="N819" s="10" t="s">
        <v>37359</v>
      </c>
      <c r="O819" s="10" t="s">
        <v>372</v>
      </c>
      <c r="P819" s="1" t="s">
        <v>30089</v>
      </c>
      <c r="Q819" s="64" t="s">
        <v>37360</v>
      </c>
      <c r="R819" s="10" t="s">
        <v>94</v>
      </c>
      <c r="S819" s="63" t="s">
        <v>22</v>
      </c>
      <c r="T819" s="68" t="s">
        <v>26781</v>
      </c>
      <c r="U819" s="68" t="s">
        <v>26572</v>
      </c>
      <c r="V819" s="68">
        <v>0</v>
      </c>
      <c r="W819" s="68" t="s">
        <v>94</v>
      </c>
      <c r="X819" s="68">
        <v>4620</v>
      </c>
      <c r="Z819" s="68" t="s">
        <v>42968</v>
      </c>
      <c r="AA819" s="33">
        <v>6847</v>
      </c>
    </row>
    <row r="820" spans="1:27" ht="12" customHeight="1" x14ac:dyDescent="0.15">
      <c r="A820" s="10" t="s">
        <v>41524</v>
      </c>
      <c r="B820" s="99">
        <v>31</v>
      </c>
      <c r="C820" s="10" t="s">
        <v>14</v>
      </c>
      <c r="D820" s="10" t="s">
        <v>79</v>
      </c>
      <c r="E820" s="63"/>
      <c r="F820" s="67">
        <v>43556</v>
      </c>
      <c r="G820" s="10" t="s">
        <v>41525</v>
      </c>
      <c r="H820" s="10" t="s">
        <v>4070</v>
      </c>
      <c r="I820" s="10" t="s">
        <v>309</v>
      </c>
      <c r="J820" s="65">
        <v>99501</v>
      </c>
      <c r="K820" s="10" t="s">
        <v>4070</v>
      </c>
      <c r="L820" s="10" t="s">
        <v>4072</v>
      </c>
      <c r="M820" s="10" t="s">
        <v>21</v>
      </c>
      <c r="N820" s="10" t="s">
        <v>41526</v>
      </c>
      <c r="O820" s="10" t="s">
        <v>372</v>
      </c>
      <c r="P820" s="1" t="s">
        <v>30089</v>
      </c>
      <c r="Q820" s="64" t="s">
        <v>41527</v>
      </c>
      <c r="R820" s="10" t="s">
        <v>512</v>
      </c>
      <c r="S820" s="63" t="s">
        <v>12</v>
      </c>
      <c r="T820" s="68" t="s">
        <v>37135</v>
      </c>
      <c r="U820" s="68" t="s">
        <v>26570</v>
      </c>
      <c r="V820" s="68" t="s">
        <v>26574</v>
      </c>
      <c r="W820" s="68" t="s">
        <v>94</v>
      </c>
      <c r="X820" s="68">
        <v>4656</v>
      </c>
      <c r="Z820" s="68" t="s">
        <v>42966</v>
      </c>
      <c r="AA820" s="33">
        <v>6846</v>
      </c>
    </row>
    <row r="821" spans="1:27" ht="12" customHeight="1" x14ac:dyDescent="0.15">
      <c r="A821" s="10" t="s">
        <v>37140</v>
      </c>
      <c r="B821" s="99">
        <v>32</v>
      </c>
      <c r="C821" s="10" t="s">
        <v>14</v>
      </c>
      <c r="D821" s="10" t="s">
        <v>31</v>
      </c>
      <c r="E821" s="64" t="s">
        <v>37141</v>
      </c>
      <c r="F821" s="67">
        <v>43556</v>
      </c>
      <c r="G821" s="10" t="s">
        <v>37142</v>
      </c>
      <c r="H821" s="10" t="s">
        <v>3846</v>
      </c>
      <c r="I821" s="10" t="s">
        <v>402</v>
      </c>
      <c r="J821" s="65">
        <v>65803</v>
      </c>
      <c r="K821" s="10" t="s">
        <v>4549</v>
      </c>
      <c r="L821" s="10" t="s">
        <v>3849</v>
      </c>
      <c r="M821" s="10" t="s">
        <v>363</v>
      </c>
      <c r="N821" s="10" t="s">
        <v>37143</v>
      </c>
      <c r="O821" s="10" t="s">
        <v>372</v>
      </c>
      <c r="P821" s="1" t="s">
        <v>30089</v>
      </c>
      <c r="Q821" s="64" t="s">
        <v>37144</v>
      </c>
      <c r="R821" s="10" t="s">
        <v>94</v>
      </c>
      <c r="S821" s="63" t="s">
        <v>12</v>
      </c>
      <c r="T821" s="54" t="s">
        <v>29705</v>
      </c>
      <c r="U821" s="68"/>
      <c r="V821" s="68"/>
      <c r="W821" s="68"/>
      <c r="X821" s="68"/>
      <c r="Z821" s="68" t="s">
        <v>42968</v>
      </c>
      <c r="AA821" s="33">
        <v>6849</v>
      </c>
    </row>
    <row r="822" spans="1:27" ht="12" customHeight="1" x14ac:dyDescent="0.15">
      <c r="A822" s="10" t="s">
        <v>38051</v>
      </c>
      <c r="B822" s="99">
        <v>28</v>
      </c>
      <c r="C822" s="10" t="s">
        <v>103</v>
      </c>
      <c r="D822" s="10" t="s">
        <v>31</v>
      </c>
      <c r="E822" s="10"/>
      <c r="F822" s="67">
        <v>43556</v>
      </c>
      <c r="G822" s="10" t="s">
        <v>38052</v>
      </c>
      <c r="H822" s="10" t="s">
        <v>34758</v>
      </c>
      <c r="I822" s="70" t="s">
        <v>298</v>
      </c>
      <c r="J822" s="65">
        <v>37766</v>
      </c>
      <c r="K822" s="10" t="s">
        <v>2094</v>
      </c>
      <c r="L822" s="10" t="s">
        <v>38053</v>
      </c>
      <c r="M822" s="10" t="s">
        <v>21</v>
      </c>
      <c r="N822" s="10" t="s">
        <v>38054</v>
      </c>
      <c r="O822" s="10" t="s">
        <v>372</v>
      </c>
      <c r="P822" s="1" t="s">
        <v>30089</v>
      </c>
      <c r="Q822" s="64" t="s">
        <v>38055</v>
      </c>
      <c r="R822" s="10" t="s">
        <v>94</v>
      </c>
      <c r="S822" s="63" t="s">
        <v>22</v>
      </c>
      <c r="T822" s="68" t="s">
        <v>26781</v>
      </c>
      <c r="U822" s="68" t="s">
        <v>26572</v>
      </c>
      <c r="V822" s="68" t="s">
        <v>26573</v>
      </c>
      <c r="W822" s="68" t="s">
        <v>94</v>
      </c>
      <c r="X822" s="68">
        <v>4609</v>
      </c>
      <c r="Z822" s="68" t="s">
        <v>42967</v>
      </c>
      <c r="AA822" s="33">
        <v>6848</v>
      </c>
    </row>
    <row r="823" spans="1:27" ht="12" customHeight="1" x14ac:dyDescent="0.15">
      <c r="A823" s="10" t="s">
        <v>39625</v>
      </c>
      <c r="B823" s="99">
        <v>24</v>
      </c>
      <c r="C823" s="10" t="s">
        <v>14</v>
      </c>
      <c r="D823" s="10" t="s">
        <v>42</v>
      </c>
      <c r="E823" s="64" t="s">
        <v>39626</v>
      </c>
      <c r="F823" s="67">
        <v>43555</v>
      </c>
      <c r="G823" s="10" t="s">
        <v>39627</v>
      </c>
      <c r="H823" s="10" t="s">
        <v>3893</v>
      </c>
      <c r="I823" s="70" t="s">
        <v>112</v>
      </c>
      <c r="J823" s="65">
        <v>85743</v>
      </c>
      <c r="K823" s="10" t="s">
        <v>519</v>
      </c>
      <c r="L823" s="10" t="s">
        <v>3895</v>
      </c>
      <c r="M823" s="10" t="s">
        <v>21</v>
      </c>
      <c r="N823" s="10" t="s">
        <v>39628</v>
      </c>
      <c r="O823" s="10" t="s">
        <v>372</v>
      </c>
      <c r="P823" s="1" t="s">
        <v>30089</v>
      </c>
      <c r="Q823" s="64" t="s">
        <v>39629</v>
      </c>
      <c r="R823" s="10" t="s">
        <v>94</v>
      </c>
      <c r="S823" s="63" t="s">
        <v>22</v>
      </c>
      <c r="T823" s="68" t="s">
        <v>26774</v>
      </c>
      <c r="U823" s="68" t="s">
        <v>26572</v>
      </c>
      <c r="V823" s="68" t="s">
        <v>26573</v>
      </c>
      <c r="W823" s="68" t="s">
        <v>94</v>
      </c>
      <c r="X823" s="68">
        <v>4611</v>
      </c>
      <c r="Z823" s="68" t="s">
        <v>42968</v>
      </c>
      <c r="AA823" s="33">
        <v>6844</v>
      </c>
    </row>
    <row r="824" spans="1:27" ht="12" customHeight="1" x14ac:dyDescent="0.15">
      <c r="A824" s="10" t="s">
        <v>38813</v>
      </c>
      <c r="B824" s="99">
        <v>25</v>
      </c>
      <c r="C824" s="10" t="s">
        <v>14</v>
      </c>
      <c r="D824" s="10" t="s">
        <v>128</v>
      </c>
      <c r="E824" s="75" t="s">
        <v>38814</v>
      </c>
      <c r="F824" s="67">
        <v>43555</v>
      </c>
      <c r="G824" s="10" t="s">
        <v>38815</v>
      </c>
      <c r="H824" s="10" t="s">
        <v>308</v>
      </c>
      <c r="I824" s="10" t="s">
        <v>309</v>
      </c>
      <c r="J824" s="65">
        <v>99709</v>
      </c>
      <c r="K824" s="10" t="s">
        <v>18138</v>
      </c>
      <c r="L824" s="10" t="s">
        <v>10186</v>
      </c>
      <c r="M824" s="10" t="s">
        <v>21</v>
      </c>
      <c r="N824" s="10" t="s">
        <v>38816</v>
      </c>
      <c r="O824" s="10" t="s">
        <v>372</v>
      </c>
      <c r="P824" s="1" t="s">
        <v>30089</v>
      </c>
      <c r="Q824" s="64" t="s">
        <v>38817</v>
      </c>
      <c r="R824" s="10" t="s">
        <v>94</v>
      </c>
      <c r="S824" s="63" t="s">
        <v>22</v>
      </c>
      <c r="T824" s="68" t="s">
        <v>26781</v>
      </c>
      <c r="U824" s="68" t="s">
        <v>26570</v>
      </c>
      <c r="V824" s="68" t="s">
        <v>26571</v>
      </c>
      <c r="W824" s="68" t="s">
        <v>94</v>
      </c>
      <c r="X824" s="68">
        <v>4618</v>
      </c>
      <c r="Z824" s="68" t="s">
        <v>42967</v>
      </c>
      <c r="AA824" s="33">
        <v>6842</v>
      </c>
    </row>
    <row r="825" spans="1:27" ht="12" customHeight="1" x14ac:dyDescent="0.15">
      <c r="A825" s="10" t="s">
        <v>39131</v>
      </c>
      <c r="B825" s="99">
        <v>31</v>
      </c>
      <c r="C825" s="10" t="s">
        <v>14</v>
      </c>
      <c r="D825" s="68" t="s">
        <v>79</v>
      </c>
      <c r="E825" s="10"/>
      <c r="F825" s="67">
        <v>43555</v>
      </c>
      <c r="G825" s="10" t="s">
        <v>39132</v>
      </c>
      <c r="H825" s="10" t="s">
        <v>1786</v>
      </c>
      <c r="I825" s="70" t="s">
        <v>160</v>
      </c>
      <c r="J825" s="65">
        <v>30315</v>
      </c>
      <c r="K825" s="10" t="s">
        <v>1454</v>
      </c>
      <c r="L825" s="10" t="s">
        <v>2356</v>
      </c>
      <c r="M825" s="10" t="s">
        <v>21</v>
      </c>
      <c r="N825" s="10" t="s">
        <v>39133</v>
      </c>
      <c r="O825" s="10" t="s">
        <v>372</v>
      </c>
      <c r="P825" s="1" t="s">
        <v>30089</v>
      </c>
      <c r="Q825" s="64" t="s">
        <v>39134</v>
      </c>
      <c r="R825" s="10" t="s">
        <v>94</v>
      </c>
      <c r="S825" s="63" t="s">
        <v>22</v>
      </c>
      <c r="T825" s="68" t="s">
        <v>26781</v>
      </c>
      <c r="U825" s="68" t="s">
        <v>26570</v>
      </c>
      <c r="V825" s="68" t="s">
        <v>26574</v>
      </c>
      <c r="W825" s="68" t="s">
        <v>94</v>
      </c>
      <c r="X825" s="68">
        <v>4612</v>
      </c>
      <c r="Z825" s="68" t="s">
        <v>42968</v>
      </c>
      <c r="AA825" s="33">
        <v>6843</v>
      </c>
    </row>
    <row r="826" spans="1:27" ht="12" customHeight="1" x14ac:dyDescent="0.15">
      <c r="A826" s="10" t="s">
        <v>41664</v>
      </c>
      <c r="B826" s="99">
        <v>33</v>
      </c>
      <c r="C826" s="10" t="s">
        <v>14</v>
      </c>
      <c r="D826" s="10" t="s">
        <v>31</v>
      </c>
      <c r="E826" s="64" t="s">
        <v>41665</v>
      </c>
      <c r="F826" s="67">
        <v>43555</v>
      </c>
      <c r="G826" s="10" t="s">
        <v>41666</v>
      </c>
      <c r="H826" s="10" t="s">
        <v>3846</v>
      </c>
      <c r="I826" s="70" t="s">
        <v>106</v>
      </c>
      <c r="J826" s="65">
        <v>97478</v>
      </c>
      <c r="K826" s="10" t="s">
        <v>2946</v>
      </c>
      <c r="L826" s="10" t="s">
        <v>3849</v>
      </c>
      <c r="M826" s="10" t="s">
        <v>21</v>
      </c>
      <c r="N826" s="10" t="s">
        <v>41667</v>
      </c>
      <c r="O826" s="10" t="s">
        <v>372</v>
      </c>
      <c r="P826" s="1" t="s">
        <v>30089</v>
      </c>
      <c r="Q826" s="64" t="s">
        <v>41668</v>
      </c>
      <c r="R826" s="10" t="s">
        <v>512</v>
      </c>
      <c r="S826" s="63" t="s">
        <v>351</v>
      </c>
      <c r="T826" s="68" t="s">
        <v>26867</v>
      </c>
      <c r="U826" s="68" t="s">
        <v>26570</v>
      </c>
      <c r="V826" s="68" t="s">
        <v>26571</v>
      </c>
      <c r="W826" s="68" t="s">
        <v>94</v>
      </c>
      <c r="X826" s="68">
        <v>4608</v>
      </c>
      <c r="Z826" s="68" t="s">
        <v>42968</v>
      </c>
      <c r="AA826" s="33">
        <v>6845</v>
      </c>
    </row>
    <row r="827" spans="1:27" ht="12" customHeight="1" x14ac:dyDescent="0.15">
      <c r="A827" s="10" t="s">
        <v>37350</v>
      </c>
      <c r="B827" s="99">
        <v>25</v>
      </c>
      <c r="C827" s="10" t="s">
        <v>14</v>
      </c>
      <c r="D827" s="10" t="s">
        <v>79</v>
      </c>
      <c r="E827" s="64" t="s">
        <v>37351</v>
      </c>
      <c r="F827" s="67">
        <v>43554</v>
      </c>
      <c r="G827" s="10" t="s">
        <v>37352</v>
      </c>
      <c r="H827" s="10" t="s">
        <v>147</v>
      </c>
      <c r="I827" s="70" t="s">
        <v>56</v>
      </c>
      <c r="J827" s="65">
        <v>33161</v>
      </c>
      <c r="K827" s="10" t="s">
        <v>148</v>
      </c>
      <c r="L827" s="10" t="s">
        <v>37353</v>
      </c>
      <c r="M827" s="10" t="s">
        <v>21</v>
      </c>
      <c r="N827" s="10" t="s">
        <v>37354</v>
      </c>
      <c r="O827" s="10" t="s">
        <v>372</v>
      </c>
      <c r="P827" s="1" t="s">
        <v>30089</v>
      </c>
      <c r="Q827" s="64" t="s">
        <v>37355</v>
      </c>
      <c r="R827" s="10" t="s">
        <v>94</v>
      </c>
      <c r="S827" s="63" t="s">
        <v>22</v>
      </c>
      <c r="T827" s="68" t="s">
        <v>26781</v>
      </c>
      <c r="U827" s="68" t="s">
        <v>26572</v>
      </c>
      <c r="V827" s="68">
        <v>0</v>
      </c>
      <c r="W827" s="68" t="s">
        <v>94</v>
      </c>
      <c r="X827" s="68">
        <v>4606</v>
      </c>
      <c r="Z827" s="68" t="s">
        <v>42966</v>
      </c>
      <c r="AA827" s="33">
        <v>6839</v>
      </c>
    </row>
    <row r="828" spans="1:27" ht="12" customHeight="1" x14ac:dyDescent="0.15">
      <c r="A828" s="10" t="s">
        <v>40179</v>
      </c>
      <c r="B828" s="99">
        <v>22</v>
      </c>
      <c r="C828" s="10" t="s">
        <v>14</v>
      </c>
      <c r="D828" s="68" t="s">
        <v>31</v>
      </c>
      <c r="E828" s="10"/>
      <c r="F828" s="67">
        <v>43554</v>
      </c>
      <c r="G828" s="10" t="s">
        <v>40180</v>
      </c>
      <c r="H828" s="10" t="s">
        <v>2634</v>
      </c>
      <c r="I828" s="70" t="s">
        <v>338</v>
      </c>
      <c r="J828" s="65">
        <v>28607</v>
      </c>
      <c r="K828" s="10" t="s">
        <v>11144</v>
      </c>
      <c r="L828" s="10" t="s">
        <v>40181</v>
      </c>
      <c r="M828" s="10" t="s">
        <v>21</v>
      </c>
      <c r="N828" s="10" t="s">
        <v>40182</v>
      </c>
      <c r="O828" s="10" t="s">
        <v>372</v>
      </c>
      <c r="P828" s="1" t="s">
        <v>30089</v>
      </c>
      <c r="Q828" s="64" t="s">
        <v>40183</v>
      </c>
      <c r="R828" s="10" t="s">
        <v>94</v>
      </c>
      <c r="S828" s="63" t="s">
        <v>12</v>
      </c>
      <c r="T828" s="68" t="s">
        <v>29705</v>
      </c>
      <c r="U828" s="68" t="s">
        <v>26572</v>
      </c>
      <c r="V828" s="68" t="s">
        <v>26573</v>
      </c>
      <c r="W828" s="68" t="s">
        <v>94</v>
      </c>
      <c r="X828" s="68">
        <v>4610</v>
      </c>
      <c r="Z828" s="68" t="s">
        <v>42966</v>
      </c>
      <c r="AA828" s="33">
        <v>6841</v>
      </c>
    </row>
    <row r="829" spans="1:27" ht="12" customHeight="1" x14ac:dyDescent="0.15">
      <c r="A829" s="10" t="s">
        <v>37396</v>
      </c>
      <c r="B829" s="99">
        <v>30</v>
      </c>
      <c r="C829" s="10" t="s">
        <v>14</v>
      </c>
      <c r="D829" s="10" t="s">
        <v>79</v>
      </c>
      <c r="E829" s="64" t="s">
        <v>37397</v>
      </c>
      <c r="F829" s="67">
        <v>43554</v>
      </c>
      <c r="G829" s="10" t="s">
        <v>37398</v>
      </c>
      <c r="H829" s="10" t="s">
        <v>455</v>
      </c>
      <c r="I829" s="70" t="s">
        <v>338</v>
      </c>
      <c r="J829" s="65">
        <v>27704</v>
      </c>
      <c r="K829" s="10" t="s">
        <v>455</v>
      </c>
      <c r="L829" s="10" t="s">
        <v>457</v>
      </c>
      <c r="M829" s="10" t="s">
        <v>21</v>
      </c>
      <c r="N829" s="10" t="s">
        <v>37399</v>
      </c>
      <c r="O829" s="10" t="s">
        <v>372</v>
      </c>
      <c r="P829" s="1" t="s">
        <v>30089</v>
      </c>
      <c r="Q829" s="64" t="s">
        <v>37400</v>
      </c>
      <c r="R829" s="10" t="s">
        <v>94</v>
      </c>
      <c r="S829" s="63" t="s">
        <v>22</v>
      </c>
      <c r="T829" s="68" t="s">
        <v>26781</v>
      </c>
      <c r="U829" s="68" t="s">
        <v>26572</v>
      </c>
      <c r="V829" s="68" t="s">
        <v>26574</v>
      </c>
      <c r="W829" s="68" t="s">
        <v>512</v>
      </c>
      <c r="X829" s="68">
        <v>4669</v>
      </c>
      <c r="Z829" s="68" t="s">
        <v>42968</v>
      </c>
      <c r="AA829" s="33">
        <v>6840</v>
      </c>
    </row>
    <row r="830" spans="1:27" ht="12" customHeight="1" x14ac:dyDescent="0.15">
      <c r="A830" s="1" t="s">
        <v>37079</v>
      </c>
      <c r="B830" s="1">
        <v>43</v>
      </c>
      <c r="C830" s="1" t="s">
        <v>14</v>
      </c>
      <c r="D830" s="1" t="s">
        <v>24</v>
      </c>
      <c r="E830" s="1"/>
      <c r="F830" s="67">
        <v>43552</v>
      </c>
      <c r="G830" s="1" t="s">
        <v>37080</v>
      </c>
      <c r="H830" s="1" t="s">
        <v>3067</v>
      </c>
      <c r="I830" s="1" t="s">
        <v>112</v>
      </c>
      <c r="J830" s="1">
        <v>85301</v>
      </c>
      <c r="K830" s="1" t="s">
        <v>585</v>
      </c>
      <c r="L830" s="1" t="s">
        <v>586</v>
      </c>
      <c r="M830" s="1" t="s">
        <v>21</v>
      </c>
      <c r="N830" s="1" t="s">
        <v>37081</v>
      </c>
      <c r="O830" s="1" t="s">
        <v>32706</v>
      </c>
      <c r="P830" s="1" t="s">
        <v>30089</v>
      </c>
      <c r="Q830" s="1" t="s">
        <v>37082</v>
      </c>
      <c r="R830" s="1" t="s">
        <v>94</v>
      </c>
      <c r="S830" s="63" t="s">
        <v>22</v>
      </c>
      <c r="T830" s="68" t="s">
        <v>26781</v>
      </c>
      <c r="U830" s="68" t="s">
        <v>26572</v>
      </c>
      <c r="V830" s="68" t="s">
        <v>26574</v>
      </c>
      <c r="W830" s="68" t="s">
        <v>94</v>
      </c>
      <c r="X830" s="68">
        <v>4598</v>
      </c>
      <c r="Z830" s="1" t="s">
        <v>42968</v>
      </c>
      <c r="AA830" s="33">
        <v>6837</v>
      </c>
    </row>
    <row r="831" spans="1:27" ht="12" customHeight="1" x14ac:dyDescent="0.15">
      <c r="A831" s="10" t="s">
        <v>38627</v>
      </c>
      <c r="B831" s="99">
        <v>42</v>
      </c>
      <c r="C831" s="10" t="s">
        <v>14</v>
      </c>
      <c r="D831" s="10" t="s">
        <v>42</v>
      </c>
      <c r="E831" s="64" t="s">
        <v>38628</v>
      </c>
      <c r="F831" s="67">
        <v>43552</v>
      </c>
      <c r="G831" s="10" t="s">
        <v>38629</v>
      </c>
      <c r="H831" s="10" t="s">
        <v>38630</v>
      </c>
      <c r="I831" s="70" t="s">
        <v>67</v>
      </c>
      <c r="J831" s="65">
        <v>78155</v>
      </c>
      <c r="K831" s="10" t="s">
        <v>6128</v>
      </c>
      <c r="L831" s="10" t="s">
        <v>534</v>
      </c>
      <c r="M831" s="10" t="s">
        <v>21</v>
      </c>
      <c r="N831" s="10" t="s">
        <v>38631</v>
      </c>
      <c r="O831" s="10" t="s">
        <v>372</v>
      </c>
      <c r="P831" s="1" t="s">
        <v>30089</v>
      </c>
      <c r="Q831" s="64" t="s">
        <v>38632</v>
      </c>
      <c r="R831" s="10" t="s">
        <v>94</v>
      </c>
      <c r="S831" s="63" t="s">
        <v>22</v>
      </c>
      <c r="T831" s="68" t="s">
        <v>26781</v>
      </c>
      <c r="U831" s="68" t="s">
        <v>26570</v>
      </c>
      <c r="V831" s="68" t="s">
        <v>26571</v>
      </c>
      <c r="W831" s="68" t="s">
        <v>94</v>
      </c>
      <c r="X831" s="68">
        <v>4607</v>
      </c>
      <c r="Z831" s="68" t="s">
        <v>42968</v>
      </c>
      <c r="AA831" s="33">
        <v>6838</v>
      </c>
    </row>
    <row r="832" spans="1:27" ht="12" customHeight="1" x14ac:dyDescent="0.15">
      <c r="A832" s="10" t="s">
        <v>39798</v>
      </c>
      <c r="B832" s="99">
        <v>27</v>
      </c>
      <c r="C832" s="10" t="s">
        <v>14</v>
      </c>
      <c r="D832" s="68" t="s">
        <v>31</v>
      </c>
      <c r="E832" s="10"/>
      <c r="F832" s="67">
        <v>43551</v>
      </c>
      <c r="G832" s="10" t="s">
        <v>39799</v>
      </c>
      <c r="H832" s="10" t="s">
        <v>2381</v>
      </c>
      <c r="I832" s="70" t="s">
        <v>367</v>
      </c>
      <c r="J832" s="65">
        <v>73018</v>
      </c>
      <c r="K832" s="10" t="s">
        <v>2382</v>
      </c>
      <c r="L832" s="10" t="s">
        <v>24504</v>
      </c>
      <c r="M832" s="10" t="s">
        <v>21</v>
      </c>
      <c r="N832" s="10" t="s">
        <v>39800</v>
      </c>
      <c r="O832" s="10" t="s">
        <v>372</v>
      </c>
      <c r="P832" s="1" t="s">
        <v>30089</v>
      </c>
      <c r="Q832" s="64" t="s">
        <v>39801</v>
      </c>
      <c r="R832" s="10" t="s">
        <v>94</v>
      </c>
      <c r="S832" s="63" t="s">
        <v>22</v>
      </c>
      <c r="T832" s="68" t="s">
        <v>26774</v>
      </c>
      <c r="U832" s="68" t="s">
        <v>26570</v>
      </c>
      <c r="V832" s="68" t="s">
        <v>26573</v>
      </c>
      <c r="W832" s="68" t="s">
        <v>94</v>
      </c>
      <c r="X832" s="68">
        <v>4602</v>
      </c>
      <c r="Z832" s="68" t="s">
        <v>42967</v>
      </c>
      <c r="AA832" s="33">
        <v>6831</v>
      </c>
    </row>
    <row r="833" spans="1:27" ht="12" customHeight="1" x14ac:dyDescent="0.15">
      <c r="A833" s="10" t="s">
        <v>38045</v>
      </c>
      <c r="B833" s="99">
        <v>51</v>
      </c>
      <c r="C833" s="10" t="s">
        <v>14</v>
      </c>
      <c r="D833" s="10" t="s">
        <v>31</v>
      </c>
      <c r="E833" s="64" t="s">
        <v>38046</v>
      </c>
      <c r="F833" s="67">
        <v>43551</v>
      </c>
      <c r="G833" s="10" t="s">
        <v>38047</v>
      </c>
      <c r="H833" s="10" t="s">
        <v>5677</v>
      </c>
      <c r="I833" s="70" t="s">
        <v>468</v>
      </c>
      <c r="J833" s="65">
        <v>3103</v>
      </c>
      <c r="K833" s="10" t="s">
        <v>4386</v>
      </c>
      <c r="L833" s="10" t="s">
        <v>38048</v>
      </c>
      <c r="M833" s="10" t="s">
        <v>21</v>
      </c>
      <c r="N833" s="10" t="s">
        <v>38049</v>
      </c>
      <c r="O833" s="10" t="s">
        <v>372</v>
      </c>
      <c r="P833" s="1" t="s">
        <v>30089</v>
      </c>
      <c r="Q833" s="64" t="s">
        <v>38050</v>
      </c>
      <c r="R833" s="10" t="s">
        <v>94</v>
      </c>
      <c r="S833" s="63" t="s">
        <v>22</v>
      </c>
      <c r="T833" s="68" t="s">
        <v>26781</v>
      </c>
      <c r="U833" s="68" t="s">
        <v>26572</v>
      </c>
      <c r="V833" s="68" t="s">
        <v>26573</v>
      </c>
      <c r="W833" s="68" t="s">
        <v>94</v>
      </c>
      <c r="X833" s="68">
        <v>4600</v>
      </c>
      <c r="Z833" s="68" t="s">
        <v>42966</v>
      </c>
      <c r="AA833" s="33">
        <v>6829</v>
      </c>
    </row>
    <row r="834" spans="1:27" ht="12" customHeight="1" x14ac:dyDescent="0.15">
      <c r="A834" s="1" t="s">
        <v>37117</v>
      </c>
      <c r="B834" s="1">
        <v>39</v>
      </c>
      <c r="C834" s="1" t="s">
        <v>14</v>
      </c>
      <c r="D834" s="1" t="s">
        <v>15</v>
      </c>
      <c r="E834" s="1" t="s">
        <v>37118</v>
      </c>
      <c r="F834" s="67">
        <v>43551</v>
      </c>
      <c r="G834" s="1" t="s">
        <v>37119</v>
      </c>
      <c r="H834" s="1" t="s">
        <v>1863</v>
      </c>
      <c r="I834" s="1" t="s">
        <v>122</v>
      </c>
      <c r="J834" s="1">
        <v>55904</v>
      </c>
      <c r="K834" s="1" t="s">
        <v>37120</v>
      </c>
      <c r="L834" s="1" t="s">
        <v>1876</v>
      </c>
      <c r="M834" s="33" t="s">
        <v>27767</v>
      </c>
      <c r="N834" s="1" t="s">
        <v>37121</v>
      </c>
      <c r="O834" s="1" t="s">
        <v>37122</v>
      </c>
      <c r="P834" s="1" t="s">
        <v>30089</v>
      </c>
      <c r="Q834" s="1" t="s">
        <v>37123</v>
      </c>
      <c r="R834" s="1" t="s">
        <v>94</v>
      </c>
      <c r="S834" s="1" t="s">
        <v>12</v>
      </c>
      <c r="T834" s="54" t="s">
        <v>29705</v>
      </c>
      <c r="U834" s="68"/>
      <c r="V834" s="68"/>
      <c r="W834" s="68"/>
      <c r="X834" s="68"/>
      <c r="Z834" s="1" t="s">
        <v>42968</v>
      </c>
      <c r="AA834" s="33">
        <v>6833</v>
      </c>
    </row>
    <row r="835" spans="1:27" ht="12" customHeight="1" x14ac:dyDescent="0.15">
      <c r="A835" s="10" t="s">
        <v>40660</v>
      </c>
      <c r="B835" s="99">
        <v>25</v>
      </c>
      <c r="C835" s="10" t="s">
        <v>14</v>
      </c>
      <c r="D835" s="10" t="s">
        <v>31</v>
      </c>
      <c r="E835" s="64" t="s">
        <v>40661</v>
      </c>
      <c r="F835" s="67">
        <v>43551</v>
      </c>
      <c r="G835" s="10" t="s">
        <v>40662</v>
      </c>
      <c r="H835" s="10" t="s">
        <v>40663</v>
      </c>
      <c r="I835" s="70" t="s">
        <v>67</v>
      </c>
      <c r="J835" s="65">
        <v>78611</v>
      </c>
      <c r="K835" s="10" t="s">
        <v>40663</v>
      </c>
      <c r="L835" s="10" t="s">
        <v>40664</v>
      </c>
      <c r="M835" s="10" t="s">
        <v>21</v>
      </c>
      <c r="N835" s="10" t="s">
        <v>40665</v>
      </c>
      <c r="O835" s="10" t="s">
        <v>372</v>
      </c>
      <c r="P835" s="1" t="s">
        <v>30089</v>
      </c>
      <c r="Q835" s="64" t="s">
        <v>40666</v>
      </c>
      <c r="R835" s="10" t="s">
        <v>94</v>
      </c>
      <c r="S835" s="63" t="s">
        <v>351</v>
      </c>
      <c r="T835" s="68" t="s">
        <v>26867</v>
      </c>
      <c r="U835" s="68" t="s">
        <v>26572</v>
      </c>
      <c r="V835" s="68" t="s">
        <v>26573</v>
      </c>
      <c r="W835" s="68" t="s">
        <v>512</v>
      </c>
      <c r="X835" s="68">
        <v>4597</v>
      </c>
      <c r="Z835" s="68" t="s">
        <v>42967</v>
      </c>
      <c r="AA835" s="33">
        <v>6836</v>
      </c>
    </row>
    <row r="836" spans="1:27" ht="12" customHeight="1" x14ac:dyDescent="0.15">
      <c r="A836" s="10" t="s">
        <v>38622</v>
      </c>
      <c r="B836" s="99">
        <v>40</v>
      </c>
      <c r="C836" s="10" t="s">
        <v>14</v>
      </c>
      <c r="D836" s="10" t="s">
        <v>42</v>
      </c>
      <c r="E836" s="64" t="s">
        <v>38623</v>
      </c>
      <c r="F836" s="67">
        <v>43551</v>
      </c>
      <c r="G836" s="10" t="s">
        <v>38624</v>
      </c>
      <c r="H836" s="10" t="s">
        <v>26904</v>
      </c>
      <c r="I836" s="70" t="s">
        <v>67</v>
      </c>
      <c r="J836" s="65">
        <v>79346</v>
      </c>
      <c r="K836" s="10" t="s">
        <v>22422</v>
      </c>
      <c r="L836" s="10" t="s">
        <v>262</v>
      </c>
      <c r="M836" s="10" t="s">
        <v>21</v>
      </c>
      <c r="N836" s="10" t="s">
        <v>38625</v>
      </c>
      <c r="O836" s="10" t="s">
        <v>372</v>
      </c>
      <c r="P836" s="1" t="s">
        <v>30089</v>
      </c>
      <c r="Q836" s="64" t="s">
        <v>38626</v>
      </c>
      <c r="R836" s="10" t="s">
        <v>94</v>
      </c>
      <c r="S836" s="63" t="s">
        <v>22</v>
      </c>
      <c r="T836" s="68" t="s">
        <v>26781</v>
      </c>
      <c r="U836" s="68" t="s">
        <v>26572</v>
      </c>
      <c r="V836" s="68" t="s">
        <v>26571</v>
      </c>
      <c r="W836" s="68" t="s">
        <v>94</v>
      </c>
      <c r="X836" s="68">
        <v>4601</v>
      </c>
      <c r="Z836" s="68" t="s">
        <v>42967</v>
      </c>
      <c r="AA836" s="33">
        <v>6830</v>
      </c>
    </row>
    <row r="837" spans="1:27" ht="12" customHeight="1" x14ac:dyDescent="0.15">
      <c r="A837" s="10" t="s">
        <v>40599</v>
      </c>
      <c r="B837" s="99">
        <v>38</v>
      </c>
      <c r="C837" s="10" t="s">
        <v>14</v>
      </c>
      <c r="D837" s="10" t="s">
        <v>79</v>
      </c>
      <c r="E837" s="64" t="s">
        <v>40600</v>
      </c>
      <c r="F837" s="67">
        <v>43551</v>
      </c>
      <c r="G837" s="10" t="s">
        <v>40601</v>
      </c>
      <c r="H837" s="10" t="s">
        <v>5840</v>
      </c>
      <c r="I837" s="70" t="s">
        <v>19</v>
      </c>
      <c r="J837" s="65">
        <v>70053</v>
      </c>
      <c r="K837" s="10" t="s">
        <v>1659</v>
      </c>
      <c r="L837" s="10" t="s">
        <v>2258</v>
      </c>
      <c r="M837" s="10" t="s">
        <v>21</v>
      </c>
      <c r="N837" s="10" t="s">
        <v>40602</v>
      </c>
      <c r="O837" s="10" t="s">
        <v>372</v>
      </c>
      <c r="P837" s="1" t="s">
        <v>30089</v>
      </c>
      <c r="Q837" s="64" t="s">
        <v>40603</v>
      </c>
      <c r="R837" s="10" t="s">
        <v>94</v>
      </c>
      <c r="S837" s="63" t="s">
        <v>351</v>
      </c>
      <c r="T837" s="68" t="s">
        <v>26867</v>
      </c>
      <c r="U837" s="68" t="s">
        <v>26572</v>
      </c>
      <c r="V837" s="68" t="s">
        <v>26573</v>
      </c>
      <c r="W837" s="68" t="s">
        <v>94</v>
      </c>
      <c r="X837" s="68">
        <v>4604</v>
      </c>
      <c r="Z837" s="68" t="s">
        <v>42968</v>
      </c>
      <c r="AA837" s="33">
        <v>6834</v>
      </c>
    </row>
    <row r="838" spans="1:27" ht="12" customHeight="1" x14ac:dyDescent="0.15">
      <c r="A838" s="10" t="s">
        <v>40604</v>
      </c>
      <c r="B838" s="99">
        <v>39</v>
      </c>
      <c r="C838" s="10" t="s">
        <v>14</v>
      </c>
      <c r="D838" s="10" t="s">
        <v>79</v>
      </c>
      <c r="E838" s="64" t="s">
        <v>40605</v>
      </c>
      <c r="F838" s="67">
        <v>43551</v>
      </c>
      <c r="G838" s="10" t="s">
        <v>40601</v>
      </c>
      <c r="H838" s="10" t="s">
        <v>5840</v>
      </c>
      <c r="I838" s="70" t="s">
        <v>19</v>
      </c>
      <c r="J838" s="65">
        <v>70053</v>
      </c>
      <c r="K838" s="10" t="s">
        <v>1659</v>
      </c>
      <c r="L838" s="10" t="s">
        <v>2258</v>
      </c>
      <c r="M838" s="10" t="s">
        <v>21</v>
      </c>
      <c r="N838" s="10" t="s">
        <v>40602</v>
      </c>
      <c r="O838" s="10" t="s">
        <v>372</v>
      </c>
      <c r="P838" s="1" t="s">
        <v>30089</v>
      </c>
      <c r="Q838" s="64" t="s">
        <v>40603</v>
      </c>
      <c r="R838" s="10" t="s">
        <v>94</v>
      </c>
      <c r="S838" s="63" t="s">
        <v>351</v>
      </c>
      <c r="T838" s="68" t="s">
        <v>26867</v>
      </c>
      <c r="U838" s="68" t="s">
        <v>26572</v>
      </c>
      <c r="V838" s="68" t="s">
        <v>26571</v>
      </c>
      <c r="W838" s="68" t="s">
        <v>94</v>
      </c>
      <c r="X838" s="68">
        <v>4605</v>
      </c>
      <c r="Z838" s="68" t="s">
        <v>42968</v>
      </c>
      <c r="AA838" s="33">
        <v>6835</v>
      </c>
    </row>
    <row r="839" spans="1:27" ht="12" customHeight="1" x14ac:dyDescent="0.15">
      <c r="A839" s="10" t="s">
        <v>39883</v>
      </c>
      <c r="B839" s="99">
        <v>30</v>
      </c>
      <c r="C839" s="10" t="s">
        <v>14</v>
      </c>
      <c r="D839" s="10" t="s">
        <v>79</v>
      </c>
      <c r="E839" s="10"/>
      <c r="F839" s="67">
        <v>43551</v>
      </c>
      <c r="G839" s="10" t="s">
        <v>39884</v>
      </c>
      <c r="H839" s="10" t="s">
        <v>8049</v>
      </c>
      <c r="I839" s="70" t="s">
        <v>39</v>
      </c>
      <c r="J839" s="65">
        <v>90301</v>
      </c>
      <c r="K839" s="10" t="s">
        <v>92</v>
      </c>
      <c r="L839" s="10" t="s">
        <v>8051</v>
      </c>
      <c r="M839" s="10" t="s">
        <v>21</v>
      </c>
      <c r="N839" s="10" t="s">
        <v>39885</v>
      </c>
      <c r="O839" s="10" t="s">
        <v>372</v>
      </c>
      <c r="P839" s="1" t="s">
        <v>30089</v>
      </c>
      <c r="Q839" s="64" t="s">
        <v>39886</v>
      </c>
      <c r="R839" s="10" t="s">
        <v>23</v>
      </c>
      <c r="S839" s="68" t="s">
        <v>22</v>
      </c>
      <c r="T839" s="68" t="s">
        <v>28239</v>
      </c>
      <c r="U839" s="68" t="s">
        <v>26570</v>
      </c>
      <c r="V839" s="68" t="s">
        <v>26573</v>
      </c>
      <c r="W839" s="68" t="s">
        <v>94</v>
      </c>
      <c r="X839" s="68">
        <v>4671</v>
      </c>
      <c r="Z839" s="68" t="s">
        <v>42966</v>
      </c>
      <c r="AA839" s="33">
        <v>6832</v>
      </c>
    </row>
    <row r="840" spans="1:27" ht="12" customHeight="1" x14ac:dyDescent="0.15">
      <c r="A840" s="10" t="s">
        <v>40896</v>
      </c>
      <c r="B840" s="99">
        <v>27</v>
      </c>
      <c r="C840" s="10" t="s">
        <v>14</v>
      </c>
      <c r="D840" s="10" t="s">
        <v>79</v>
      </c>
      <c r="E840" s="63"/>
      <c r="F840" s="67">
        <v>43549</v>
      </c>
      <c r="G840" s="10" t="s">
        <v>40897</v>
      </c>
      <c r="H840" s="10" t="s">
        <v>3855</v>
      </c>
      <c r="I840" s="10" t="s">
        <v>338</v>
      </c>
      <c r="J840" s="65">
        <v>28216</v>
      </c>
      <c r="K840" s="10" t="s">
        <v>3857</v>
      </c>
      <c r="L840" s="10" t="s">
        <v>3858</v>
      </c>
      <c r="M840" s="10" t="s">
        <v>21</v>
      </c>
      <c r="N840" s="10" t="s">
        <v>40898</v>
      </c>
      <c r="O840" s="10" t="s">
        <v>372</v>
      </c>
      <c r="P840" s="1" t="s">
        <v>30089</v>
      </c>
      <c r="Q840" s="64" t="s">
        <v>40899</v>
      </c>
      <c r="R840" s="10" t="s">
        <v>512</v>
      </c>
      <c r="S840" s="63" t="s">
        <v>22</v>
      </c>
      <c r="T840" s="68" t="s">
        <v>26781</v>
      </c>
      <c r="U840" s="68" t="s">
        <v>26570</v>
      </c>
      <c r="V840" s="68" t="s">
        <v>26573</v>
      </c>
      <c r="W840" s="68" t="s">
        <v>512</v>
      </c>
      <c r="X840" s="68">
        <v>4587</v>
      </c>
      <c r="Z840" s="68" t="s">
        <v>42968</v>
      </c>
      <c r="AA840" s="33">
        <v>6825</v>
      </c>
    </row>
    <row r="841" spans="1:27" ht="12" customHeight="1" x14ac:dyDescent="0.15">
      <c r="A841" s="10" t="s">
        <v>39135</v>
      </c>
      <c r="B841" s="99">
        <v>18</v>
      </c>
      <c r="C841" s="10" t="s">
        <v>14</v>
      </c>
      <c r="D841" s="68" t="s">
        <v>79</v>
      </c>
      <c r="E841" s="10"/>
      <c r="F841" s="67">
        <v>43549</v>
      </c>
      <c r="G841" s="10" t="s">
        <v>39136</v>
      </c>
      <c r="H841" s="10" t="s">
        <v>661</v>
      </c>
      <c r="I841" s="70" t="s">
        <v>402</v>
      </c>
      <c r="J841" s="65">
        <v>63111</v>
      </c>
      <c r="K841" s="10" t="s">
        <v>29523</v>
      </c>
      <c r="L841" s="10" t="s">
        <v>4162</v>
      </c>
      <c r="M841" s="10" t="s">
        <v>21</v>
      </c>
      <c r="N841" s="10" t="s">
        <v>39137</v>
      </c>
      <c r="O841" s="10" t="s">
        <v>372</v>
      </c>
      <c r="P841" s="1" t="s">
        <v>30089</v>
      </c>
      <c r="Q841" s="64" t="s">
        <v>39138</v>
      </c>
      <c r="R841" s="10" t="s">
        <v>94</v>
      </c>
      <c r="S841" s="63" t="s">
        <v>22</v>
      </c>
      <c r="T841" s="68" t="s">
        <v>26781</v>
      </c>
      <c r="U841" s="68" t="s">
        <v>26572</v>
      </c>
      <c r="V841" s="68" t="s">
        <v>26573</v>
      </c>
      <c r="W841" s="68" t="s">
        <v>94</v>
      </c>
      <c r="X841" s="68">
        <v>4657</v>
      </c>
      <c r="Z841" s="68" t="s">
        <v>42966</v>
      </c>
      <c r="AA841" s="33">
        <v>6824</v>
      </c>
    </row>
    <row r="842" spans="1:27" ht="12" customHeight="1" x14ac:dyDescent="0.15">
      <c r="A842" s="10" t="s">
        <v>40050</v>
      </c>
      <c r="B842" s="99">
        <v>57</v>
      </c>
      <c r="C842" s="10" t="s">
        <v>14</v>
      </c>
      <c r="D842" s="10" t="s">
        <v>79</v>
      </c>
      <c r="E842" s="64" t="s">
        <v>40051</v>
      </c>
      <c r="F842" s="67">
        <v>43549</v>
      </c>
      <c r="G842" s="10" t="s">
        <v>40052</v>
      </c>
      <c r="H842" s="10" t="s">
        <v>1487</v>
      </c>
      <c r="I842" s="10" t="s">
        <v>46</v>
      </c>
      <c r="J842" s="65">
        <v>21215</v>
      </c>
      <c r="K842" s="10" t="s">
        <v>4324</v>
      </c>
      <c r="L842" s="10" t="s">
        <v>2556</v>
      </c>
      <c r="M842" s="10" t="s">
        <v>21</v>
      </c>
      <c r="N842" s="10" t="s">
        <v>40053</v>
      </c>
      <c r="O842" s="10" t="s">
        <v>372</v>
      </c>
      <c r="P842" s="1" t="s">
        <v>30089</v>
      </c>
      <c r="Q842" s="64" t="s">
        <v>40054</v>
      </c>
      <c r="R842" s="10" t="s">
        <v>94</v>
      </c>
      <c r="S842" s="63" t="s">
        <v>12</v>
      </c>
      <c r="T842" s="68" t="s">
        <v>29705</v>
      </c>
      <c r="U842" s="68" t="s">
        <v>26570</v>
      </c>
      <c r="V842" s="68" t="s">
        <v>26573</v>
      </c>
      <c r="W842" s="68" t="s">
        <v>512</v>
      </c>
      <c r="X842" s="68">
        <v>4589</v>
      </c>
      <c r="Z842" s="68" t="s">
        <v>42966</v>
      </c>
      <c r="AA842" s="33">
        <v>6828</v>
      </c>
    </row>
    <row r="843" spans="1:27" ht="12" customHeight="1" x14ac:dyDescent="0.15">
      <c r="A843" s="10" t="s">
        <v>41128</v>
      </c>
      <c r="B843" s="99">
        <v>26</v>
      </c>
      <c r="C843" s="10" t="s">
        <v>14</v>
      </c>
      <c r="D843" s="10" t="s">
        <v>42</v>
      </c>
      <c r="E843" s="64" t="s">
        <v>41129</v>
      </c>
      <c r="F843" s="67">
        <v>43549</v>
      </c>
      <c r="G843" s="10" t="s">
        <v>41130</v>
      </c>
      <c r="H843" s="10" t="s">
        <v>41131</v>
      </c>
      <c r="I843" s="10" t="s">
        <v>46</v>
      </c>
      <c r="J843" s="65">
        <v>21788</v>
      </c>
      <c r="K843" s="10" t="s">
        <v>2865</v>
      </c>
      <c r="L843" s="10" t="s">
        <v>2866</v>
      </c>
      <c r="M843" s="10" t="s">
        <v>21</v>
      </c>
      <c r="N843" s="10" t="s">
        <v>41132</v>
      </c>
      <c r="O843" s="10" t="s">
        <v>372</v>
      </c>
      <c r="P843" s="1" t="s">
        <v>30089</v>
      </c>
      <c r="Q843" s="64" t="s">
        <v>41133</v>
      </c>
      <c r="R843" s="10" t="s">
        <v>512</v>
      </c>
      <c r="S843" s="63" t="s">
        <v>22</v>
      </c>
      <c r="T843" s="68" t="s">
        <v>26781</v>
      </c>
      <c r="U843" s="68" t="s">
        <v>26570</v>
      </c>
      <c r="V843" s="68">
        <v>0</v>
      </c>
      <c r="W843" s="68" t="s">
        <v>94</v>
      </c>
      <c r="X843" s="68">
        <v>4588</v>
      </c>
      <c r="Z843" s="68" t="s">
        <v>42967</v>
      </c>
      <c r="AA843" s="33">
        <v>6827</v>
      </c>
    </row>
    <row r="844" spans="1:27" ht="12" customHeight="1" x14ac:dyDescent="0.15">
      <c r="A844" s="10" t="s">
        <v>40965</v>
      </c>
      <c r="B844" s="99">
        <v>30</v>
      </c>
      <c r="C844" s="10" t="s">
        <v>14</v>
      </c>
      <c r="D844" s="10" t="s">
        <v>31</v>
      </c>
      <c r="E844" s="64" t="s">
        <v>40966</v>
      </c>
      <c r="F844" s="67">
        <v>43549</v>
      </c>
      <c r="G844" s="10" t="s">
        <v>40967</v>
      </c>
      <c r="H844" s="10" t="s">
        <v>35740</v>
      </c>
      <c r="I844" s="10" t="s">
        <v>26</v>
      </c>
      <c r="J844" s="65">
        <v>29581</v>
      </c>
      <c r="K844" s="10" t="s">
        <v>1015</v>
      </c>
      <c r="L844" s="10" t="s">
        <v>1016</v>
      </c>
      <c r="M844" s="10" t="s">
        <v>21</v>
      </c>
      <c r="N844" s="10" t="s">
        <v>40968</v>
      </c>
      <c r="O844" s="10" t="s">
        <v>372</v>
      </c>
      <c r="P844" s="1" t="s">
        <v>30089</v>
      </c>
      <c r="Q844" s="64" t="s">
        <v>40969</v>
      </c>
      <c r="R844" s="10" t="s">
        <v>512</v>
      </c>
      <c r="S844" s="63" t="s">
        <v>22</v>
      </c>
      <c r="T844" s="68" t="s">
        <v>26781</v>
      </c>
      <c r="U844" s="68" t="s">
        <v>26570</v>
      </c>
      <c r="V844" s="68" t="s">
        <v>26574</v>
      </c>
      <c r="W844" s="68" t="s">
        <v>94</v>
      </c>
      <c r="X844" s="68">
        <v>4603</v>
      </c>
      <c r="Z844" s="68" t="s">
        <v>42967</v>
      </c>
      <c r="AA844" s="33">
        <v>6826</v>
      </c>
    </row>
    <row r="845" spans="1:27" ht="12" customHeight="1" x14ac:dyDescent="0.15">
      <c r="A845" s="10" t="s">
        <v>38039</v>
      </c>
      <c r="B845" s="99">
        <v>46</v>
      </c>
      <c r="C845" s="10" t="s">
        <v>14</v>
      </c>
      <c r="D845" s="10" t="s">
        <v>31</v>
      </c>
      <c r="E845" s="64" t="s">
        <v>38040</v>
      </c>
      <c r="F845" s="67">
        <v>43548</v>
      </c>
      <c r="G845" s="10" t="s">
        <v>38041</v>
      </c>
      <c r="H845" s="10" t="s">
        <v>4002</v>
      </c>
      <c r="I845" s="10" t="s">
        <v>56</v>
      </c>
      <c r="J845" s="65">
        <v>32456</v>
      </c>
      <c r="K845" s="10" t="s">
        <v>4004</v>
      </c>
      <c r="L845" s="10" t="s">
        <v>38042</v>
      </c>
      <c r="M845" s="10" t="s">
        <v>21</v>
      </c>
      <c r="N845" s="10" t="s">
        <v>38043</v>
      </c>
      <c r="O845" s="10" t="s">
        <v>372</v>
      </c>
      <c r="P845" s="1" t="s">
        <v>30089</v>
      </c>
      <c r="Q845" s="64" t="s">
        <v>38044</v>
      </c>
      <c r="R845" s="10" t="s">
        <v>94</v>
      </c>
      <c r="S845" s="63" t="s">
        <v>22</v>
      </c>
      <c r="T845" s="68" t="s">
        <v>26781</v>
      </c>
      <c r="U845" s="68" t="s">
        <v>26570</v>
      </c>
      <c r="V845" s="68" t="s">
        <v>26571</v>
      </c>
      <c r="W845" s="68" t="s">
        <v>94</v>
      </c>
      <c r="X845" s="68">
        <v>4592</v>
      </c>
      <c r="Z845" s="68" t="s">
        <v>42967</v>
      </c>
      <c r="AA845" s="33">
        <v>6823</v>
      </c>
    </row>
    <row r="846" spans="1:27" ht="12" customHeight="1" x14ac:dyDescent="0.15">
      <c r="A846" s="10" t="s">
        <v>39386</v>
      </c>
      <c r="B846" s="99">
        <v>22</v>
      </c>
      <c r="C846" s="10" t="s">
        <v>14</v>
      </c>
      <c r="D846" s="10" t="s">
        <v>79</v>
      </c>
      <c r="E846" s="64" t="s">
        <v>39387</v>
      </c>
      <c r="F846" s="67">
        <v>43546</v>
      </c>
      <c r="G846" s="10" t="s">
        <v>39388</v>
      </c>
      <c r="H846" s="10" t="s">
        <v>39389</v>
      </c>
      <c r="I846" s="10" t="s">
        <v>26</v>
      </c>
      <c r="J846" s="65">
        <v>29488</v>
      </c>
      <c r="K846" s="10" t="s">
        <v>39390</v>
      </c>
      <c r="L846" s="10" t="s">
        <v>39391</v>
      </c>
      <c r="M846" s="10" t="s">
        <v>21</v>
      </c>
      <c r="N846" s="10" t="s">
        <v>39392</v>
      </c>
      <c r="O846" s="10" t="s">
        <v>372</v>
      </c>
      <c r="P846" s="1" t="s">
        <v>30089</v>
      </c>
      <c r="Q846" s="64" t="s">
        <v>39393</v>
      </c>
      <c r="R846" s="10" t="s">
        <v>94</v>
      </c>
      <c r="S846" s="63" t="s">
        <v>22</v>
      </c>
      <c r="T846" s="68" t="s">
        <v>26774</v>
      </c>
      <c r="U846" s="68" t="s">
        <v>26570</v>
      </c>
      <c r="V846" s="68" t="s">
        <v>26573</v>
      </c>
      <c r="W846" s="68" t="s">
        <v>94</v>
      </c>
      <c r="X846" s="68">
        <v>4595</v>
      </c>
      <c r="Z846" s="68" t="s">
        <v>42967</v>
      </c>
      <c r="AA846" s="33">
        <v>6822</v>
      </c>
    </row>
    <row r="847" spans="1:27" ht="12" customHeight="1" x14ac:dyDescent="0.15">
      <c r="A847" s="10" t="s">
        <v>40960</v>
      </c>
      <c r="B847" s="99">
        <v>45</v>
      </c>
      <c r="C847" s="10" t="s">
        <v>14</v>
      </c>
      <c r="D847" s="10" t="s">
        <v>31</v>
      </c>
      <c r="E847" s="64" t="s">
        <v>40961</v>
      </c>
      <c r="F847" s="67">
        <v>43546</v>
      </c>
      <c r="G847" s="10" t="s">
        <v>40962</v>
      </c>
      <c r="H847" s="10" t="s">
        <v>9789</v>
      </c>
      <c r="I847" s="10" t="s">
        <v>338</v>
      </c>
      <c r="J847" s="65">
        <v>28560</v>
      </c>
      <c r="K847" s="10" t="s">
        <v>5150</v>
      </c>
      <c r="L847" s="10" t="s">
        <v>34041</v>
      </c>
      <c r="M847" s="10" t="s">
        <v>21</v>
      </c>
      <c r="N847" s="10" t="s">
        <v>40963</v>
      </c>
      <c r="O847" s="10" t="s">
        <v>372</v>
      </c>
      <c r="P847" s="1" t="s">
        <v>30089</v>
      </c>
      <c r="Q847" s="64" t="s">
        <v>40964</v>
      </c>
      <c r="R847" s="10" t="s">
        <v>512</v>
      </c>
      <c r="S847" s="63" t="s">
        <v>22</v>
      </c>
      <c r="T847" s="68" t="s">
        <v>26781</v>
      </c>
      <c r="U847" s="68" t="s">
        <v>26570</v>
      </c>
      <c r="V847" s="68" t="s">
        <v>26573</v>
      </c>
      <c r="W847" s="68" t="s">
        <v>94</v>
      </c>
      <c r="X847" s="68">
        <v>4594</v>
      </c>
      <c r="Z847" s="68" t="s">
        <v>42968</v>
      </c>
      <c r="AA847" s="33">
        <v>6821</v>
      </c>
    </row>
    <row r="848" spans="1:27" ht="12" customHeight="1" x14ac:dyDescent="0.15">
      <c r="A848" s="10" t="s">
        <v>37339</v>
      </c>
      <c r="B848" s="99">
        <v>19</v>
      </c>
      <c r="C848" s="10" t="s">
        <v>14</v>
      </c>
      <c r="D848" s="10" t="s">
        <v>79</v>
      </c>
      <c r="E848" s="63"/>
      <c r="F848" s="67">
        <v>43545</v>
      </c>
      <c r="G848" s="10" t="s">
        <v>37340</v>
      </c>
      <c r="H848" s="10" t="s">
        <v>9302</v>
      </c>
      <c r="I848" s="10" t="s">
        <v>39</v>
      </c>
      <c r="J848" s="65">
        <v>95350</v>
      </c>
      <c r="K848" s="10" t="s">
        <v>2954</v>
      </c>
      <c r="L848" s="10" t="s">
        <v>33799</v>
      </c>
      <c r="M848" s="10" t="s">
        <v>21</v>
      </c>
      <c r="N848" s="10" t="s">
        <v>37341</v>
      </c>
      <c r="O848" s="10" t="s">
        <v>372</v>
      </c>
      <c r="P848" s="1" t="s">
        <v>30089</v>
      </c>
      <c r="Q848" s="64" t="s">
        <v>37342</v>
      </c>
      <c r="R848" s="10" t="s">
        <v>94</v>
      </c>
      <c r="S848" s="63" t="s">
        <v>22</v>
      </c>
      <c r="T848" s="68" t="s">
        <v>26781</v>
      </c>
      <c r="U848" s="68" t="s">
        <v>26575</v>
      </c>
      <c r="V848" s="68" t="s">
        <v>26571</v>
      </c>
      <c r="W848" s="68" t="s">
        <v>94</v>
      </c>
      <c r="X848" s="68">
        <v>4585</v>
      </c>
      <c r="Z848" s="68" t="s">
        <v>42968</v>
      </c>
      <c r="AA848" s="33">
        <v>6819</v>
      </c>
    </row>
    <row r="849" spans="1:27" ht="12" customHeight="1" x14ac:dyDescent="0.15">
      <c r="A849" s="10" t="s">
        <v>41442</v>
      </c>
      <c r="B849" s="99">
        <v>32</v>
      </c>
      <c r="C849" s="10" t="s">
        <v>14</v>
      </c>
      <c r="D849" s="10" t="s">
        <v>24</v>
      </c>
      <c r="E849" s="63"/>
      <c r="F849" s="67">
        <v>43545</v>
      </c>
      <c r="G849" s="10" t="s">
        <v>41443</v>
      </c>
      <c r="H849" s="10" t="s">
        <v>41444</v>
      </c>
      <c r="I849" s="10" t="s">
        <v>160</v>
      </c>
      <c r="J849" s="65">
        <v>30342</v>
      </c>
      <c r="K849" s="10" t="s">
        <v>1454</v>
      </c>
      <c r="L849" s="10" t="s">
        <v>41445</v>
      </c>
      <c r="M849" s="10" t="s">
        <v>21</v>
      </c>
      <c r="N849" s="10" t="s">
        <v>41446</v>
      </c>
      <c r="O849" s="10" t="s">
        <v>372</v>
      </c>
      <c r="P849" s="1" t="s">
        <v>30089</v>
      </c>
      <c r="Q849" s="64" t="s">
        <v>41447</v>
      </c>
      <c r="R849" s="10" t="s">
        <v>512</v>
      </c>
      <c r="S849" s="63" t="s">
        <v>22</v>
      </c>
      <c r="T849" s="68" t="s">
        <v>26774</v>
      </c>
      <c r="U849" s="68" t="s">
        <v>26572</v>
      </c>
      <c r="V849" s="68" t="s">
        <v>26573</v>
      </c>
      <c r="W849" s="68" t="s">
        <v>94</v>
      </c>
      <c r="X849" s="68">
        <v>4583</v>
      </c>
      <c r="Z849" s="68" t="s">
        <v>42966</v>
      </c>
      <c r="AA849" s="33">
        <v>6820</v>
      </c>
    </row>
    <row r="850" spans="1:27" ht="12" customHeight="1" x14ac:dyDescent="0.15">
      <c r="A850" s="10" t="s">
        <v>39992</v>
      </c>
      <c r="B850" s="99">
        <v>23</v>
      </c>
      <c r="C850" s="10" t="s">
        <v>103</v>
      </c>
      <c r="D850" s="10" t="s">
        <v>31</v>
      </c>
      <c r="E850" s="64" t="s">
        <v>39993</v>
      </c>
      <c r="F850" s="67">
        <v>43544</v>
      </c>
      <c r="G850" s="10" t="s">
        <v>39994</v>
      </c>
      <c r="H850" s="10" t="s">
        <v>532</v>
      </c>
      <c r="I850" s="10" t="s">
        <v>67</v>
      </c>
      <c r="J850" s="65">
        <v>78240</v>
      </c>
      <c r="K850" s="10" t="s">
        <v>533</v>
      </c>
      <c r="L850" s="10" t="s">
        <v>534</v>
      </c>
      <c r="M850" s="10" t="s">
        <v>21</v>
      </c>
      <c r="N850" s="10" t="s">
        <v>39995</v>
      </c>
      <c r="O850" s="10" t="s">
        <v>372</v>
      </c>
      <c r="P850" s="1" t="s">
        <v>30089</v>
      </c>
      <c r="Q850" s="64" t="s">
        <v>39996</v>
      </c>
      <c r="R850" s="10" t="s">
        <v>23</v>
      </c>
      <c r="S850" s="63" t="s">
        <v>12</v>
      </c>
      <c r="T850" s="68" t="s">
        <v>39971</v>
      </c>
      <c r="U850" s="68" t="s">
        <v>26572</v>
      </c>
      <c r="V850" s="68" t="s">
        <v>26573</v>
      </c>
      <c r="W850" s="68" t="s">
        <v>94</v>
      </c>
      <c r="X850" s="68">
        <v>4591</v>
      </c>
      <c r="Z850" s="68" t="s">
        <v>42968</v>
      </c>
      <c r="AA850" s="33">
        <v>6818</v>
      </c>
    </row>
    <row r="851" spans="1:27" ht="12" customHeight="1" x14ac:dyDescent="0.15">
      <c r="A851" s="10" t="s">
        <v>38501</v>
      </c>
      <c r="B851" s="99">
        <v>37</v>
      </c>
      <c r="C851" s="10" t="s">
        <v>14</v>
      </c>
      <c r="D851" s="10" t="s">
        <v>42</v>
      </c>
      <c r="E851" s="64" t="s">
        <v>38502</v>
      </c>
      <c r="F851" s="67">
        <v>43544</v>
      </c>
      <c r="G851" s="10" t="s">
        <v>38503</v>
      </c>
      <c r="H851" s="10" t="s">
        <v>607</v>
      </c>
      <c r="I851" s="10" t="s">
        <v>250</v>
      </c>
      <c r="J851" s="65">
        <v>89101</v>
      </c>
      <c r="K851" s="10" t="s">
        <v>527</v>
      </c>
      <c r="L851" s="10" t="s">
        <v>528</v>
      </c>
      <c r="M851" s="10" t="s">
        <v>21</v>
      </c>
      <c r="N851" s="10" t="s">
        <v>38504</v>
      </c>
      <c r="O851" s="10" t="s">
        <v>372</v>
      </c>
      <c r="P851" s="1" t="s">
        <v>30089</v>
      </c>
      <c r="Q851" s="64" t="s">
        <v>38505</v>
      </c>
      <c r="R851" s="10" t="s">
        <v>94</v>
      </c>
      <c r="S851" s="63" t="s">
        <v>22</v>
      </c>
      <c r="T851" s="68" t="s">
        <v>26781</v>
      </c>
      <c r="U851" s="68" t="s">
        <v>26572</v>
      </c>
      <c r="V851" s="68" t="s">
        <v>26573</v>
      </c>
      <c r="W851" s="68" t="s">
        <v>512</v>
      </c>
      <c r="X851" s="68">
        <v>4584</v>
      </c>
      <c r="Z851" s="68" t="s">
        <v>42966</v>
      </c>
      <c r="AA851" s="33">
        <v>6816</v>
      </c>
    </row>
    <row r="852" spans="1:27" ht="12" customHeight="1" x14ac:dyDescent="0.15">
      <c r="A852" s="10" t="s">
        <v>41311</v>
      </c>
      <c r="B852" s="99">
        <v>29</v>
      </c>
      <c r="C852" s="10" t="s">
        <v>14</v>
      </c>
      <c r="D852" s="10" t="s">
        <v>79</v>
      </c>
      <c r="E852" s="64" t="s">
        <v>41312</v>
      </c>
      <c r="F852" s="67">
        <v>43544</v>
      </c>
      <c r="G852" s="10" t="s">
        <v>41313</v>
      </c>
      <c r="H852" s="10" t="s">
        <v>41314</v>
      </c>
      <c r="I852" s="10" t="s">
        <v>376</v>
      </c>
      <c r="J852" s="65">
        <v>16801</v>
      </c>
      <c r="K852" s="10" t="s">
        <v>41315</v>
      </c>
      <c r="L852" s="10" t="s">
        <v>41316</v>
      </c>
      <c r="M852" s="10" t="s">
        <v>21</v>
      </c>
      <c r="N852" s="10" t="s">
        <v>41317</v>
      </c>
      <c r="O852" s="10" t="s">
        <v>372</v>
      </c>
      <c r="P852" s="1" t="s">
        <v>30089</v>
      </c>
      <c r="Q852" s="64" t="s">
        <v>41318</v>
      </c>
      <c r="R852" s="10" t="s">
        <v>512</v>
      </c>
      <c r="S852" s="63" t="s">
        <v>22</v>
      </c>
      <c r="T852" s="68" t="s">
        <v>26774</v>
      </c>
      <c r="U852" s="68" t="s">
        <v>26572</v>
      </c>
      <c r="V852" s="68" t="s">
        <v>26573</v>
      </c>
      <c r="W852" s="68" t="s">
        <v>94</v>
      </c>
      <c r="X852" s="68">
        <v>4581</v>
      </c>
      <c r="Z852" s="68" t="s">
        <v>42968</v>
      </c>
      <c r="AA852" s="33">
        <v>6817</v>
      </c>
    </row>
    <row r="853" spans="1:27" ht="12" customHeight="1" x14ac:dyDescent="0.15">
      <c r="A853" s="10" t="s">
        <v>38616</v>
      </c>
      <c r="B853" s="99">
        <v>29</v>
      </c>
      <c r="C853" s="10" t="s">
        <v>14</v>
      </c>
      <c r="D853" s="10" t="s">
        <v>42</v>
      </c>
      <c r="E853" s="64" t="s">
        <v>38617</v>
      </c>
      <c r="F853" s="67">
        <v>43543</v>
      </c>
      <c r="G853" s="10" t="s">
        <v>38618</v>
      </c>
      <c r="H853" s="10" t="s">
        <v>20094</v>
      </c>
      <c r="I853" s="10" t="s">
        <v>282</v>
      </c>
      <c r="J853" s="65">
        <v>98926</v>
      </c>
      <c r="K853" s="10" t="s">
        <v>20094</v>
      </c>
      <c r="L853" s="10" t="s">
        <v>38619</v>
      </c>
      <c r="M853" s="10" t="s">
        <v>21</v>
      </c>
      <c r="N853" s="10" t="s">
        <v>38620</v>
      </c>
      <c r="O853" s="10" t="s">
        <v>372</v>
      </c>
      <c r="P853" s="1" t="s">
        <v>30089</v>
      </c>
      <c r="Q853" s="64" t="s">
        <v>38621</v>
      </c>
      <c r="R853" s="10" t="s">
        <v>94</v>
      </c>
      <c r="S853" s="63" t="s">
        <v>22</v>
      </c>
      <c r="T853" s="68" t="s">
        <v>26781</v>
      </c>
      <c r="U853" s="68" t="s">
        <v>26572</v>
      </c>
      <c r="V853" s="68" t="s">
        <v>26571</v>
      </c>
      <c r="W853" s="68" t="s">
        <v>94</v>
      </c>
      <c r="X853" s="68">
        <v>4586</v>
      </c>
      <c r="Z853" s="68" t="s">
        <v>42968</v>
      </c>
      <c r="AA853" s="33">
        <v>6813</v>
      </c>
    </row>
    <row r="854" spans="1:27" ht="12" customHeight="1" x14ac:dyDescent="0.15">
      <c r="A854" s="10" t="s">
        <v>37343</v>
      </c>
      <c r="B854" s="99">
        <v>22</v>
      </c>
      <c r="C854" s="10" t="s">
        <v>14</v>
      </c>
      <c r="D854" s="10" t="s">
        <v>79</v>
      </c>
      <c r="E854" s="64" t="s">
        <v>37344</v>
      </c>
      <c r="F854" s="67">
        <v>43543</v>
      </c>
      <c r="G854" s="10" t="s">
        <v>37345</v>
      </c>
      <c r="H854" s="10" t="s">
        <v>10482</v>
      </c>
      <c r="I854" s="70" t="s">
        <v>19</v>
      </c>
      <c r="J854" s="65">
        <v>71220</v>
      </c>
      <c r="K854" s="10" t="s">
        <v>37346</v>
      </c>
      <c r="L854" s="10" t="s">
        <v>37347</v>
      </c>
      <c r="M854" s="10" t="s">
        <v>21</v>
      </c>
      <c r="N854" s="10" t="s">
        <v>37348</v>
      </c>
      <c r="O854" s="10" t="s">
        <v>372</v>
      </c>
      <c r="P854" s="1" t="s">
        <v>30089</v>
      </c>
      <c r="Q854" s="64" t="s">
        <v>37349</v>
      </c>
      <c r="R854" s="10" t="s">
        <v>94</v>
      </c>
      <c r="S854" s="63" t="s">
        <v>22</v>
      </c>
      <c r="T854" s="68" t="s">
        <v>26781</v>
      </c>
      <c r="U854" s="68" t="s">
        <v>26575</v>
      </c>
      <c r="V854" s="68" t="s">
        <v>26574</v>
      </c>
      <c r="W854" s="68" t="s">
        <v>94</v>
      </c>
      <c r="X854" s="68">
        <v>5411</v>
      </c>
      <c r="Z854" s="68" t="s">
        <v>42967</v>
      </c>
      <c r="AA854" s="33">
        <v>6812</v>
      </c>
    </row>
    <row r="855" spans="1:27" ht="12" customHeight="1" x14ac:dyDescent="0.15">
      <c r="A855" s="10" t="s">
        <v>41992</v>
      </c>
      <c r="B855" s="99">
        <v>61</v>
      </c>
      <c r="C855" s="10" t="s">
        <v>14</v>
      </c>
      <c r="D855" s="10" t="s">
        <v>31</v>
      </c>
      <c r="E855" s="64" t="s">
        <v>41993</v>
      </c>
      <c r="F855" s="67">
        <v>43543</v>
      </c>
      <c r="G855" s="10" t="s">
        <v>41994</v>
      </c>
      <c r="H855" s="10" t="s">
        <v>41995</v>
      </c>
      <c r="I855" s="10" t="s">
        <v>402</v>
      </c>
      <c r="J855" s="65">
        <v>63130</v>
      </c>
      <c r="K855" s="10" t="s">
        <v>29523</v>
      </c>
      <c r="L855" s="10" t="s">
        <v>41996</v>
      </c>
      <c r="M855" s="10" t="s">
        <v>21</v>
      </c>
      <c r="N855" s="10" t="s">
        <v>41997</v>
      </c>
      <c r="O855" s="10" t="s">
        <v>372</v>
      </c>
      <c r="P855" s="1" t="s">
        <v>30089</v>
      </c>
      <c r="Q855" s="64" t="s">
        <v>41998</v>
      </c>
      <c r="R855" s="10" t="s">
        <v>23</v>
      </c>
      <c r="S855" s="63" t="s">
        <v>22</v>
      </c>
      <c r="T855" s="34" t="s">
        <v>26781</v>
      </c>
      <c r="U855" s="34" t="s">
        <v>26572</v>
      </c>
      <c r="V855" s="68"/>
      <c r="W855" s="68"/>
      <c r="X855" s="68">
        <v>4596</v>
      </c>
      <c r="Z855" s="68" t="s">
        <v>42966</v>
      </c>
      <c r="AA855" s="33">
        <v>6814</v>
      </c>
    </row>
    <row r="856" spans="1:27" ht="12" customHeight="1" x14ac:dyDescent="0.15">
      <c r="A856" s="10" t="s">
        <v>41424</v>
      </c>
      <c r="B856" s="99">
        <v>52</v>
      </c>
      <c r="C856" s="10" t="s">
        <v>14</v>
      </c>
      <c r="D856" s="10" t="s">
        <v>42</v>
      </c>
      <c r="E856" s="64" t="s">
        <v>41425</v>
      </c>
      <c r="F856" s="67">
        <v>43543</v>
      </c>
      <c r="G856" s="10" t="s">
        <v>41426</v>
      </c>
      <c r="H856" s="10" t="s">
        <v>1463</v>
      </c>
      <c r="I856" s="70" t="s">
        <v>56</v>
      </c>
      <c r="J856" s="65">
        <v>33613</v>
      </c>
      <c r="K856" s="10" t="s">
        <v>590</v>
      </c>
      <c r="L856" s="10" t="s">
        <v>591</v>
      </c>
      <c r="M856" s="10" t="s">
        <v>21</v>
      </c>
      <c r="N856" s="10" t="s">
        <v>41427</v>
      </c>
      <c r="O856" s="10" t="s">
        <v>372</v>
      </c>
      <c r="P856" s="1" t="s">
        <v>30089</v>
      </c>
      <c r="Q856" s="64" t="s">
        <v>41428</v>
      </c>
      <c r="R856" s="10" t="s">
        <v>512</v>
      </c>
      <c r="S856" s="63" t="s">
        <v>22</v>
      </c>
      <c r="T856" s="68" t="s">
        <v>26774</v>
      </c>
      <c r="U856" s="68" t="s">
        <v>26570</v>
      </c>
      <c r="V856" s="68" t="s">
        <v>26573</v>
      </c>
      <c r="W856" s="68" t="s">
        <v>94</v>
      </c>
      <c r="X856" s="68">
        <v>4590</v>
      </c>
      <c r="Z856" s="68" t="s">
        <v>42968</v>
      </c>
      <c r="AA856" s="33">
        <v>6815</v>
      </c>
    </row>
    <row r="857" spans="1:27" ht="12" customHeight="1" x14ac:dyDescent="0.15">
      <c r="A857" s="10" t="s">
        <v>39853</v>
      </c>
      <c r="B857" s="99">
        <v>35</v>
      </c>
      <c r="C857" s="10" t="s">
        <v>14</v>
      </c>
      <c r="D857" s="10" t="s">
        <v>31</v>
      </c>
      <c r="E857" s="64" t="s">
        <v>39854</v>
      </c>
      <c r="F857" s="67">
        <v>43542</v>
      </c>
      <c r="G857" s="10" t="s">
        <v>39855</v>
      </c>
      <c r="H857" s="10" t="s">
        <v>2401</v>
      </c>
      <c r="I857" s="10" t="s">
        <v>63</v>
      </c>
      <c r="J857" s="65">
        <v>44904</v>
      </c>
      <c r="K857" s="10" t="s">
        <v>2402</v>
      </c>
      <c r="L857" s="10" t="s">
        <v>2403</v>
      </c>
      <c r="M857" s="10" t="s">
        <v>21</v>
      </c>
      <c r="N857" s="10" t="s">
        <v>39856</v>
      </c>
      <c r="O857" s="10" t="s">
        <v>372</v>
      </c>
      <c r="P857" s="1" t="s">
        <v>30089</v>
      </c>
      <c r="Q857" s="64" t="s">
        <v>39857</v>
      </c>
      <c r="R857" s="10" t="s">
        <v>904</v>
      </c>
      <c r="S857" s="63" t="s">
        <v>22</v>
      </c>
      <c r="T857" s="68" t="s">
        <v>26578</v>
      </c>
      <c r="U857" s="68" t="s">
        <v>26570</v>
      </c>
      <c r="V857" s="68" t="s">
        <v>26573</v>
      </c>
      <c r="W857" s="68" t="s">
        <v>94</v>
      </c>
      <c r="X857" s="68">
        <v>4580</v>
      </c>
      <c r="Z857" s="68" t="s">
        <v>42968</v>
      </c>
      <c r="AA857" s="33">
        <v>6811</v>
      </c>
    </row>
    <row r="858" spans="1:27" ht="12" customHeight="1" x14ac:dyDescent="0.15">
      <c r="A858" s="10" t="s">
        <v>39237</v>
      </c>
      <c r="B858" s="99">
        <v>49</v>
      </c>
      <c r="C858" s="10" t="s">
        <v>14</v>
      </c>
      <c r="D858" s="68" t="s">
        <v>31</v>
      </c>
      <c r="E858" s="10"/>
      <c r="F858" s="67">
        <v>43541</v>
      </c>
      <c r="G858" s="10" t="s">
        <v>39238</v>
      </c>
      <c r="H858" s="10" t="s">
        <v>5722</v>
      </c>
      <c r="I858" s="10" t="s">
        <v>39</v>
      </c>
      <c r="J858" s="65">
        <v>93552</v>
      </c>
      <c r="K858" s="10" t="s">
        <v>92</v>
      </c>
      <c r="L858" s="10" t="s">
        <v>386</v>
      </c>
      <c r="M858" s="10" t="s">
        <v>21</v>
      </c>
      <c r="N858" s="10" t="s">
        <v>39239</v>
      </c>
      <c r="O858" s="10" t="s">
        <v>372</v>
      </c>
      <c r="P858" s="1" t="s">
        <v>30089</v>
      </c>
      <c r="Q858" s="64" t="s">
        <v>39240</v>
      </c>
      <c r="R858" s="10" t="s">
        <v>94</v>
      </c>
      <c r="S858" s="63" t="s">
        <v>22</v>
      </c>
      <c r="T858" s="68" t="s">
        <v>26781</v>
      </c>
      <c r="U858" s="68" t="s">
        <v>26572</v>
      </c>
      <c r="V858" s="68" t="s">
        <v>26573</v>
      </c>
      <c r="W858" s="68" t="s">
        <v>94</v>
      </c>
      <c r="X858" s="68">
        <v>4577</v>
      </c>
      <c r="Z858" s="68" t="s">
        <v>42968</v>
      </c>
      <c r="AA858" s="33">
        <v>6810</v>
      </c>
    </row>
    <row r="859" spans="1:27" ht="12" customHeight="1" x14ac:dyDescent="0.15">
      <c r="A859" s="10" t="s">
        <v>38611</v>
      </c>
      <c r="B859" s="99">
        <v>33</v>
      </c>
      <c r="C859" s="10" t="s">
        <v>14</v>
      </c>
      <c r="D859" s="10" t="s">
        <v>42</v>
      </c>
      <c r="E859" s="62" t="s">
        <v>38612</v>
      </c>
      <c r="F859" s="67">
        <v>43541</v>
      </c>
      <c r="G859" s="10" t="s">
        <v>38613</v>
      </c>
      <c r="H859" s="10" t="s">
        <v>2440</v>
      </c>
      <c r="I859" s="10" t="s">
        <v>56</v>
      </c>
      <c r="J859" s="65">
        <v>34714</v>
      </c>
      <c r="K859" s="10" t="s">
        <v>1179</v>
      </c>
      <c r="L859" s="10" t="s">
        <v>1180</v>
      </c>
      <c r="M859" s="10" t="s">
        <v>21</v>
      </c>
      <c r="N859" s="10" t="s">
        <v>38614</v>
      </c>
      <c r="O859" s="10" t="s">
        <v>372</v>
      </c>
      <c r="P859" s="1" t="s">
        <v>30089</v>
      </c>
      <c r="Q859" s="64" t="s">
        <v>38615</v>
      </c>
      <c r="R859" s="10" t="s">
        <v>94</v>
      </c>
      <c r="S859" s="63" t="s">
        <v>22</v>
      </c>
      <c r="T859" s="68" t="s">
        <v>26781</v>
      </c>
      <c r="U859" s="68" t="s">
        <v>26570</v>
      </c>
      <c r="V859" s="68">
        <v>0</v>
      </c>
      <c r="W859" s="68" t="s">
        <v>94</v>
      </c>
      <c r="X859" s="68">
        <v>4575</v>
      </c>
      <c r="Z859" s="68" t="s">
        <v>42968</v>
      </c>
      <c r="AA859" s="33">
        <v>6809</v>
      </c>
    </row>
    <row r="860" spans="1:27" ht="12" customHeight="1" x14ac:dyDescent="0.15">
      <c r="A860" s="10" t="s">
        <v>38920</v>
      </c>
      <c r="B860" s="99">
        <v>77</v>
      </c>
      <c r="C860" s="10" t="s">
        <v>14</v>
      </c>
      <c r="D860" s="10" t="s">
        <v>24</v>
      </c>
      <c r="E860" s="10"/>
      <c r="F860" s="67">
        <v>43540</v>
      </c>
      <c r="G860" s="10" t="s">
        <v>38921</v>
      </c>
      <c r="H860" s="10" t="s">
        <v>13097</v>
      </c>
      <c r="I860" s="70" t="s">
        <v>106</v>
      </c>
      <c r="J860" s="65">
        <v>97058</v>
      </c>
      <c r="K860" s="10" t="s">
        <v>4277</v>
      </c>
      <c r="L860" s="10" t="s">
        <v>38922</v>
      </c>
      <c r="M860" s="10" t="s">
        <v>21</v>
      </c>
      <c r="N860" s="10" t="s">
        <v>38923</v>
      </c>
      <c r="O860" s="10" t="s">
        <v>372</v>
      </c>
      <c r="P860" s="1" t="s">
        <v>30089</v>
      </c>
      <c r="Q860" s="64" t="s">
        <v>38924</v>
      </c>
      <c r="R860" s="10" t="s">
        <v>94</v>
      </c>
      <c r="S860" s="63" t="s">
        <v>22</v>
      </c>
      <c r="T860" s="68" t="s">
        <v>26781</v>
      </c>
      <c r="U860" s="68" t="s">
        <v>26572</v>
      </c>
      <c r="V860" s="68" t="s">
        <v>26573</v>
      </c>
      <c r="W860" s="68" t="s">
        <v>94</v>
      </c>
      <c r="X860" s="68">
        <v>4576</v>
      </c>
      <c r="Z860" s="68" t="s">
        <v>42967</v>
      </c>
      <c r="AA860" s="33">
        <v>6808</v>
      </c>
    </row>
    <row r="861" spans="1:27" ht="12" customHeight="1" x14ac:dyDescent="0.15">
      <c r="A861" s="10" t="s">
        <v>38915</v>
      </c>
      <c r="B861" s="99">
        <v>53</v>
      </c>
      <c r="C861" s="10" t="s">
        <v>14</v>
      </c>
      <c r="D861" s="10" t="s">
        <v>24</v>
      </c>
      <c r="E861" s="10"/>
      <c r="F861" s="67">
        <v>43540</v>
      </c>
      <c r="G861" s="10" t="s">
        <v>38916</v>
      </c>
      <c r="H861" s="10" t="s">
        <v>38917</v>
      </c>
      <c r="I861" s="10" t="s">
        <v>38</v>
      </c>
      <c r="J861" s="65">
        <v>62034</v>
      </c>
      <c r="K861" s="10" t="s">
        <v>2014</v>
      </c>
      <c r="L861" s="10" t="s">
        <v>20024</v>
      </c>
      <c r="M861" s="10" t="s">
        <v>21</v>
      </c>
      <c r="N861" s="10" t="s">
        <v>38918</v>
      </c>
      <c r="O861" s="10" t="s">
        <v>372</v>
      </c>
      <c r="P861" s="1" t="s">
        <v>30089</v>
      </c>
      <c r="Q861" s="64" t="s">
        <v>38919</v>
      </c>
      <c r="R861" s="10" t="s">
        <v>94</v>
      </c>
      <c r="S861" s="63" t="s">
        <v>22</v>
      </c>
      <c r="T861" s="68" t="s">
        <v>26781</v>
      </c>
      <c r="U861" s="68" t="s">
        <v>26572</v>
      </c>
      <c r="V861" s="68" t="s">
        <v>19228</v>
      </c>
      <c r="W861" s="68" t="s">
        <v>94</v>
      </c>
      <c r="X861" s="68">
        <v>4573</v>
      </c>
      <c r="Z861" s="68" t="s">
        <v>42968</v>
      </c>
      <c r="AA861" s="33">
        <v>6807</v>
      </c>
    </row>
    <row r="862" spans="1:27" ht="12" customHeight="1" x14ac:dyDescent="0.15">
      <c r="A862" s="1" t="s">
        <v>42390</v>
      </c>
      <c r="B862" s="1">
        <v>27</v>
      </c>
      <c r="C862" s="1" t="s">
        <v>14</v>
      </c>
      <c r="D862" s="1" t="s">
        <v>79</v>
      </c>
      <c r="E862" s="1"/>
      <c r="F862" s="67">
        <v>43539</v>
      </c>
      <c r="G862" s="1" t="s">
        <v>42391</v>
      </c>
      <c r="H862" s="1" t="s">
        <v>3253</v>
      </c>
      <c r="I862" s="1" t="s">
        <v>160</v>
      </c>
      <c r="J862" s="1">
        <v>31027</v>
      </c>
      <c r="K862" s="1" t="s">
        <v>6409</v>
      </c>
      <c r="L862" s="1" t="s">
        <v>6410</v>
      </c>
      <c r="M862" s="1" t="s">
        <v>351</v>
      </c>
      <c r="N862" s="1" t="s">
        <v>42392</v>
      </c>
      <c r="O862" s="1" t="s">
        <v>372</v>
      </c>
      <c r="P862" s="1" t="s">
        <v>30089</v>
      </c>
      <c r="Q862" s="1" t="s">
        <v>42393</v>
      </c>
      <c r="R862" s="1" t="s">
        <v>94</v>
      </c>
      <c r="S862" s="1" t="s">
        <v>351</v>
      </c>
      <c r="T862" s="33" t="s">
        <v>26867</v>
      </c>
      <c r="U862" s="68"/>
      <c r="V862" s="68"/>
      <c r="W862" s="68"/>
      <c r="X862" s="68"/>
      <c r="Z862" s="1" t="s">
        <v>42967</v>
      </c>
      <c r="AA862" s="33">
        <v>6805</v>
      </c>
    </row>
    <row r="863" spans="1:27" ht="12" customHeight="1" x14ac:dyDescent="0.15">
      <c r="A863" s="1" t="s">
        <v>42394</v>
      </c>
      <c r="B863" s="1">
        <v>21</v>
      </c>
      <c r="C863" s="1" t="s">
        <v>14</v>
      </c>
      <c r="D863" s="1" t="s">
        <v>79</v>
      </c>
      <c r="E863" s="1"/>
      <c r="F863" s="67">
        <v>43539</v>
      </c>
      <c r="G863" s="1" t="s">
        <v>42391</v>
      </c>
      <c r="H863" s="1" t="s">
        <v>3253</v>
      </c>
      <c r="I863" s="1" t="s">
        <v>160</v>
      </c>
      <c r="J863" s="1">
        <v>31027</v>
      </c>
      <c r="K863" s="1" t="s">
        <v>6409</v>
      </c>
      <c r="L863" s="1" t="s">
        <v>6410</v>
      </c>
      <c r="M863" s="1" t="s">
        <v>351</v>
      </c>
      <c r="N863" s="1" t="s">
        <v>42392</v>
      </c>
      <c r="O863" s="1" t="s">
        <v>372</v>
      </c>
      <c r="P863" s="1" t="s">
        <v>30089</v>
      </c>
      <c r="Q863" s="1" t="s">
        <v>42393</v>
      </c>
      <c r="R863" s="1" t="s">
        <v>94</v>
      </c>
      <c r="S863" s="1" t="s">
        <v>351</v>
      </c>
      <c r="T863" s="33" t="s">
        <v>26867</v>
      </c>
      <c r="U863" s="68"/>
      <c r="V863" s="68"/>
      <c r="W863" s="68"/>
      <c r="X863" s="68"/>
      <c r="Z863" s="1" t="s">
        <v>42967</v>
      </c>
      <c r="AA863" s="33">
        <v>6806</v>
      </c>
    </row>
    <row r="864" spans="1:27" ht="12" customHeight="1" x14ac:dyDescent="0.15">
      <c r="A864" s="10" t="s">
        <v>38034</v>
      </c>
      <c r="B864" s="99">
        <v>49</v>
      </c>
      <c r="C864" s="10" t="s">
        <v>14</v>
      </c>
      <c r="D864" s="10" t="s">
        <v>31</v>
      </c>
      <c r="E864" s="62" t="s">
        <v>38035</v>
      </c>
      <c r="F864" s="67">
        <v>43539</v>
      </c>
      <c r="G864" s="10" t="s">
        <v>38036</v>
      </c>
      <c r="H864" s="10" t="s">
        <v>607</v>
      </c>
      <c r="I864" s="10" t="s">
        <v>250</v>
      </c>
      <c r="J864" s="65">
        <v>89109</v>
      </c>
      <c r="K864" s="10" t="s">
        <v>527</v>
      </c>
      <c r="L864" s="10" t="s">
        <v>528</v>
      </c>
      <c r="M864" s="10" t="s">
        <v>21</v>
      </c>
      <c r="N864" s="10" t="s">
        <v>38037</v>
      </c>
      <c r="O864" s="10" t="s">
        <v>372</v>
      </c>
      <c r="P864" s="1" t="s">
        <v>30089</v>
      </c>
      <c r="Q864" s="64" t="s">
        <v>38038</v>
      </c>
      <c r="R864" s="10" t="s">
        <v>94</v>
      </c>
      <c r="S864" s="63" t="s">
        <v>22</v>
      </c>
      <c r="T864" s="68" t="s">
        <v>26781</v>
      </c>
      <c r="U864" s="68" t="s">
        <v>26572</v>
      </c>
      <c r="V864" s="68" t="s">
        <v>26573</v>
      </c>
      <c r="W864" s="68" t="s">
        <v>512</v>
      </c>
      <c r="X864" s="68">
        <v>4579</v>
      </c>
      <c r="Z864" s="68" t="s">
        <v>42966</v>
      </c>
      <c r="AA864" s="33">
        <v>6804</v>
      </c>
    </row>
    <row r="865" spans="1:27" ht="12" customHeight="1" x14ac:dyDescent="0.15">
      <c r="A865" s="10" t="s">
        <v>3002</v>
      </c>
      <c r="B865" s="99">
        <v>27</v>
      </c>
      <c r="C865" s="10" t="s">
        <v>14</v>
      </c>
      <c r="D865" s="10" t="s">
        <v>24</v>
      </c>
      <c r="E865" s="63"/>
      <c r="F865" s="67">
        <v>43538</v>
      </c>
      <c r="G865" s="10" t="s">
        <v>38912</v>
      </c>
      <c r="H865" s="10" t="s">
        <v>15505</v>
      </c>
      <c r="I865" s="10" t="s">
        <v>282</v>
      </c>
      <c r="J865" s="65">
        <v>98003</v>
      </c>
      <c r="K865" s="10" t="s">
        <v>1133</v>
      </c>
      <c r="L865" s="10" t="s">
        <v>15507</v>
      </c>
      <c r="M865" s="10" t="s">
        <v>21</v>
      </c>
      <c r="N865" s="10" t="s">
        <v>38913</v>
      </c>
      <c r="O865" s="10" t="s">
        <v>372</v>
      </c>
      <c r="P865" s="1" t="s">
        <v>30089</v>
      </c>
      <c r="Q865" s="64" t="s">
        <v>38914</v>
      </c>
      <c r="R865" s="10" t="s">
        <v>94</v>
      </c>
      <c r="S865" s="63" t="s">
        <v>22</v>
      </c>
      <c r="T865" s="68" t="s">
        <v>26781</v>
      </c>
      <c r="U865" s="68" t="s">
        <v>26572</v>
      </c>
      <c r="V865" s="68" t="s">
        <v>26573</v>
      </c>
      <c r="W865" s="68" t="s">
        <v>94</v>
      </c>
      <c r="X865" s="68">
        <v>4568</v>
      </c>
      <c r="Z865" s="68" t="s">
        <v>42968</v>
      </c>
      <c r="AA865" s="33">
        <v>6798</v>
      </c>
    </row>
    <row r="866" spans="1:27" ht="12" customHeight="1" x14ac:dyDescent="0.15">
      <c r="A866" s="10" t="s">
        <v>39702</v>
      </c>
      <c r="B866" s="99">
        <v>27</v>
      </c>
      <c r="C866" s="10" t="s">
        <v>14</v>
      </c>
      <c r="D866" s="10" t="s">
        <v>128</v>
      </c>
      <c r="E866" s="62" t="s">
        <v>39703</v>
      </c>
      <c r="F866" s="67">
        <v>43538</v>
      </c>
      <c r="G866" s="10" t="s">
        <v>39704</v>
      </c>
      <c r="H866" s="10" t="s">
        <v>28765</v>
      </c>
      <c r="I866" s="10" t="s">
        <v>367</v>
      </c>
      <c r="J866" s="65">
        <v>74955</v>
      </c>
      <c r="K866" s="10" t="s">
        <v>27608</v>
      </c>
      <c r="L866" s="10" t="s">
        <v>32198</v>
      </c>
      <c r="M866" s="10" t="s">
        <v>21</v>
      </c>
      <c r="N866" s="10" t="s">
        <v>39705</v>
      </c>
      <c r="O866" s="10" t="s">
        <v>31972</v>
      </c>
      <c r="P866" s="1" t="s">
        <v>30089</v>
      </c>
      <c r="Q866" s="64" t="s">
        <v>39706</v>
      </c>
      <c r="R866" s="10" t="s">
        <v>94</v>
      </c>
      <c r="S866" s="63" t="s">
        <v>22</v>
      </c>
      <c r="T866" s="68" t="s">
        <v>26774</v>
      </c>
      <c r="U866" s="68" t="s">
        <v>26572</v>
      </c>
      <c r="V866" s="68" t="s">
        <v>26573</v>
      </c>
      <c r="W866" s="68" t="s">
        <v>94</v>
      </c>
      <c r="X866" s="68">
        <v>4565</v>
      </c>
      <c r="Z866" s="68" t="s">
        <v>42967</v>
      </c>
      <c r="AA866" s="33">
        <v>6800</v>
      </c>
    </row>
    <row r="867" spans="1:27" ht="12" customHeight="1" x14ac:dyDescent="0.15">
      <c r="A867" s="10" t="s">
        <v>41260</v>
      </c>
      <c r="B867" s="99">
        <v>25</v>
      </c>
      <c r="C867" s="10" t="s">
        <v>14</v>
      </c>
      <c r="D867" s="68" t="s">
        <v>31</v>
      </c>
      <c r="E867" s="10"/>
      <c r="F867" s="67">
        <v>43538</v>
      </c>
      <c r="G867" s="10" t="s">
        <v>41261</v>
      </c>
      <c r="H867" s="10" t="s">
        <v>447</v>
      </c>
      <c r="I867" s="70" t="s">
        <v>106</v>
      </c>
      <c r="J867" s="65">
        <v>97914</v>
      </c>
      <c r="K867" s="10" t="s">
        <v>41262</v>
      </c>
      <c r="L867" s="10" t="s">
        <v>1910</v>
      </c>
      <c r="M867" s="10" t="s">
        <v>21</v>
      </c>
      <c r="N867" s="10" t="s">
        <v>41263</v>
      </c>
      <c r="O867" s="10" t="s">
        <v>372</v>
      </c>
      <c r="P867" s="1" t="s">
        <v>30089</v>
      </c>
      <c r="Q867" s="64" t="s">
        <v>41264</v>
      </c>
      <c r="R867" s="10" t="s">
        <v>512</v>
      </c>
      <c r="S867" s="63" t="s">
        <v>22</v>
      </c>
      <c r="T867" s="68" t="s">
        <v>26781</v>
      </c>
      <c r="U867" s="68" t="s">
        <v>26572</v>
      </c>
      <c r="V867" s="68" t="s">
        <v>26571</v>
      </c>
      <c r="W867" s="68" t="s">
        <v>94</v>
      </c>
      <c r="X867" s="68">
        <v>4578</v>
      </c>
      <c r="Z867" s="68" t="s">
        <v>42967</v>
      </c>
      <c r="AA867" s="33">
        <v>6799</v>
      </c>
    </row>
    <row r="868" spans="1:27" ht="12" customHeight="1" x14ac:dyDescent="0.15">
      <c r="A868" s="10" t="s">
        <v>41339</v>
      </c>
      <c r="B868" s="99">
        <v>38</v>
      </c>
      <c r="C868" s="10" t="s">
        <v>14</v>
      </c>
      <c r="D868" s="10" t="s">
        <v>31</v>
      </c>
      <c r="E868" s="64" t="s">
        <v>41340</v>
      </c>
      <c r="F868" s="67">
        <v>43538</v>
      </c>
      <c r="G868" s="10" t="s">
        <v>41341</v>
      </c>
      <c r="H868" s="10" t="s">
        <v>603</v>
      </c>
      <c r="I868" s="10" t="s">
        <v>56</v>
      </c>
      <c r="J868" s="65">
        <v>32207</v>
      </c>
      <c r="K868" s="10" t="s">
        <v>604</v>
      </c>
      <c r="L868" s="10" t="s">
        <v>605</v>
      </c>
      <c r="M868" s="10" t="s">
        <v>21</v>
      </c>
      <c r="N868" s="10" t="s">
        <v>41342</v>
      </c>
      <c r="O868" s="10" t="s">
        <v>372</v>
      </c>
      <c r="P868" s="1" t="s">
        <v>30089</v>
      </c>
      <c r="Q868" s="64" t="s">
        <v>41343</v>
      </c>
      <c r="R868" s="10" t="s">
        <v>512</v>
      </c>
      <c r="S868" s="63" t="s">
        <v>22</v>
      </c>
      <c r="T868" s="68" t="s">
        <v>26774</v>
      </c>
      <c r="U868" s="68" t="s">
        <v>26570</v>
      </c>
      <c r="V868" s="68" t="s">
        <v>26573</v>
      </c>
      <c r="W868" s="68" t="s">
        <v>94</v>
      </c>
      <c r="X868" s="68">
        <v>4569</v>
      </c>
      <c r="Z868" s="68" t="s">
        <v>42966</v>
      </c>
      <c r="AA868" s="33">
        <v>6801</v>
      </c>
    </row>
    <row r="869" spans="1:27" ht="12" customHeight="1" x14ac:dyDescent="0.15">
      <c r="A869" s="10" t="s">
        <v>41552</v>
      </c>
      <c r="B869" s="99">
        <v>22</v>
      </c>
      <c r="C869" s="10" t="s">
        <v>14</v>
      </c>
      <c r="D869" s="10" t="s">
        <v>24</v>
      </c>
      <c r="E869" s="10"/>
      <c r="F869" s="67">
        <v>43538</v>
      </c>
      <c r="G869" s="10" t="s">
        <v>41553</v>
      </c>
      <c r="H869" s="10" t="s">
        <v>1956</v>
      </c>
      <c r="I869" s="10" t="s">
        <v>75</v>
      </c>
      <c r="J869" s="65">
        <v>8638</v>
      </c>
      <c r="K869" s="10" t="s">
        <v>2675</v>
      </c>
      <c r="L869" s="10" t="s">
        <v>1958</v>
      </c>
      <c r="M869" s="10" t="s">
        <v>21</v>
      </c>
      <c r="N869" s="10" t="s">
        <v>41554</v>
      </c>
      <c r="O869" s="10" t="s">
        <v>372</v>
      </c>
      <c r="P869" s="1" t="s">
        <v>30089</v>
      </c>
      <c r="Q869" s="64" t="s">
        <v>41555</v>
      </c>
      <c r="R869" s="10" t="s">
        <v>512</v>
      </c>
      <c r="S869" s="63" t="s">
        <v>12</v>
      </c>
      <c r="T869" s="68" t="s">
        <v>39971</v>
      </c>
      <c r="U869" s="68" t="s">
        <v>26570</v>
      </c>
      <c r="V869" s="68" t="s">
        <v>26573</v>
      </c>
      <c r="W869" s="68" t="s">
        <v>94</v>
      </c>
      <c r="X869" s="68">
        <v>4574</v>
      </c>
      <c r="Z869" s="68" t="s">
        <v>42968</v>
      </c>
      <c r="AA869" s="33">
        <v>6802</v>
      </c>
    </row>
    <row r="870" spans="1:27" ht="12" customHeight="1" x14ac:dyDescent="0.15">
      <c r="A870" s="10" t="s">
        <v>41635</v>
      </c>
      <c r="B870" s="99">
        <v>33</v>
      </c>
      <c r="C870" s="10" t="s">
        <v>14</v>
      </c>
      <c r="D870" s="10" t="s">
        <v>24</v>
      </c>
      <c r="E870" s="10"/>
      <c r="F870" s="67">
        <v>43538</v>
      </c>
      <c r="G870" s="10" t="s">
        <v>41636</v>
      </c>
      <c r="H870" s="10" t="s">
        <v>505</v>
      </c>
      <c r="I870" s="10" t="s">
        <v>621</v>
      </c>
      <c r="J870" s="65">
        <v>39746</v>
      </c>
      <c r="K870" s="10" t="s">
        <v>1037</v>
      </c>
      <c r="L870" s="10" t="s">
        <v>4752</v>
      </c>
      <c r="M870" s="10" t="s">
        <v>21</v>
      </c>
      <c r="N870" s="10" t="s">
        <v>41637</v>
      </c>
      <c r="O870" s="10" t="s">
        <v>372</v>
      </c>
      <c r="P870" s="1" t="s">
        <v>30089</v>
      </c>
      <c r="Q870" s="64" t="s">
        <v>41638</v>
      </c>
      <c r="R870" s="10" t="s">
        <v>512</v>
      </c>
      <c r="S870" s="63" t="s">
        <v>29</v>
      </c>
      <c r="T870" s="68" t="s">
        <v>26575</v>
      </c>
      <c r="U870" s="68" t="s">
        <v>26575</v>
      </c>
      <c r="V870" s="68" t="s">
        <v>26571</v>
      </c>
      <c r="W870" s="68" t="s">
        <v>94</v>
      </c>
      <c r="X870" s="68">
        <v>4571</v>
      </c>
      <c r="Z870" s="68" t="s">
        <v>42967</v>
      </c>
      <c r="AA870" s="33">
        <v>6803</v>
      </c>
    </row>
    <row r="871" spans="1:27" ht="12" customHeight="1" x14ac:dyDescent="0.15">
      <c r="A871" s="10" t="s">
        <v>40891</v>
      </c>
      <c r="B871" s="99">
        <v>48</v>
      </c>
      <c r="C871" s="10" t="s">
        <v>103</v>
      </c>
      <c r="D871" s="10" t="s">
        <v>79</v>
      </c>
      <c r="E871" s="64" t="s">
        <v>40892</v>
      </c>
      <c r="F871" s="67">
        <v>43537</v>
      </c>
      <c r="G871" s="10" t="s">
        <v>40893</v>
      </c>
      <c r="H871" s="10" t="s">
        <v>10919</v>
      </c>
      <c r="I871" s="10" t="s">
        <v>376</v>
      </c>
      <c r="J871" s="65">
        <v>15601</v>
      </c>
      <c r="K871" s="10" t="s">
        <v>10921</v>
      </c>
      <c r="L871" s="10" t="s">
        <v>32175</v>
      </c>
      <c r="M871" s="10" t="s">
        <v>21</v>
      </c>
      <c r="N871" s="10" t="s">
        <v>40894</v>
      </c>
      <c r="O871" s="10" t="s">
        <v>372</v>
      </c>
      <c r="P871" s="1" t="s">
        <v>30089</v>
      </c>
      <c r="Q871" s="64" t="s">
        <v>40895</v>
      </c>
      <c r="R871" s="10" t="s">
        <v>512</v>
      </c>
      <c r="S871" s="63" t="s">
        <v>22</v>
      </c>
      <c r="T871" s="68" t="s">
        <v>26781</v>
      </c>
      <c r="U871" s="68" t="s">
        <v>26572</v>
      </c>
      <c r="V871" s="68" t="s">
        <v>26573</v>
      </c>
      <c r="W871" s="68" t="s">
        <v>94</v>
      </c>
      <c r="X871" s="68">
        <v>4566</v>
      </c>
      <c r="Z871" s="68" t="s">
        <v>42968</v>
      </c>
      <c r="AA871" s="33">
        <v>6794</v>
      </c>
    </row>
    <row r="872" spans="1:27" ht="12" customHeight="1" x14ac:dyDescent="0.15">
      <c r="A872" s="10" t="s">
        <v>40594</v>
      </c>
      <c r="B872" s="99">
        <v>41</v>
      </c>
      <c r="C872" s="10" t="s">
        <v>14</v>
      </c>
      <c r="D872" s="10" t="s">
        <v>79</v>
      </c>
      <c r="E872" s="62" t="s">
        <v>40595</v>
      </c>
      <c r="F872" s="67">
        <v>43537</v>
      </c>
      <c r="G872" s="10" t="s">
        <v>40596</v>
      </c>
      <c r="H872" s="10" t="s">
        <v>229</v>
      </c>
      <c r="I872" s="10" t="s">
        <v>39</v>
      </c>
      <c r="J872" s="65">
        <v>94578</v>
      </c>
      <c r="K872" s="10" t="s">
        <v>558</v>
      </c>
      <c r="L872" s="10" t="s">
        <v>230</v>
      </c>
      <c r="M872" s="10" t="s">
        <v>21</v>
      </c>
      <c r="N872" s="10" t="s">
        <v>40597</v>
      </c>
      <c r="O872" s="10" t="s">
        <v>372</v>
      </c>
      <c r="P872" s="1" t="s">
        <v>30089</v>
      </c>
      <c r="Q872" s="64" t="s">
        <v>40598</v>
      </c>
      <c r="R872" s="10" t="s">
        <v>94</v>
      </c>
      <c r="S872" s="63" t="s">
        <v>351</v>
      </c>
      <c r="T872" s="68" t="s">
        <v>26867</v>
      </c>
      <c r="U872" s="68" t="s">
        <v>26572</v>
      </c>
      <c r="V872" s="68" t="s">
        <v>26571</v>
      </c>
      <c r="W872" s="68" t="s">
        <v>512</v>
      </c>
      <c r="X872" s="68">
        <v>4563</v>
      </c>
      <c r="Z872" s="68" t="s">
        <v>42966</v>
      </c>
      <c r="AA872" s="33">
        <v>6797</v>
      </c>
    </row>
    <row r="873" spans="1:27" ht="12" customHeight="1" x14ac:dyDescent="0.15">
      <c r="A873" s="10" t="s">
        <v>39619</v>
      </c>
      <c r="B873" s="99">
        <v>29</v>
      </c>
      <c r="C873" s="10" t="s">
        <v>14</v>
      </c>
      <c r="D873" s="10" t="s">
        <v>42</v>
      </c>
      <c r="E873" s="64" t="s">
        <v>39620</v>
      </c>
      <c r="F873" s="67">
        <v>43537</v>
      </c>
      <c r="G873" s="10" t="s">
        <v>39621</v>
      </c>
      <c r="H873" s="10" t="s">
        <v>37070</v>
      </c>
      <c r="I873" s="70" t="s">
        <v>432</v>
      </c>
      <c r="J873" s="65">
        <v>68801</v>
      </c>
      <c r="K873" s="10" t="s">
        <v>18981</v>
      </c>
      <c r="L873" s="10" t="s">
        <v>39622</v>
      </c>
      <c r="M873" s="10" t="s">
        <v>21</v>
      </c>
      <c r="N873" s="10" t="s">
        <v>39623</v>
      </c>
      <c r="O873" s="10" t="s">
        <v>372</v>
      </c>
      <c r="P873" s="1" t="s">
        <v>30089</v>
      </c>
      <c r="Q873" s="64" t="s">
        <v>39624</v>
      </c>
      <c r="R873" s="10" t="s">
        <v>94</v>
      </c>
      <c r="S873" s="63" t="s">
        <v>22</v>
      </c>
      <c r="T873" s="68" t="s">
        <v>26774</v>
      </c>
      <c r="U873" s="68" t="s">
        <v>26572</v>
      </c>
      <c r="V873" s="68" t="s">
        <v>26573</v>
      </c>
      <c r="W873" s="68" t="s">
        <v>94</v>
      </c>
      <c r="X873" s="68">
        <v>4564</v>
      </c>
      <c r="Z873" s="68" t="s">
        <v>42968</v>
      </c>
      <c r="AA873" s="33">
        <v>6795</v>
      </c>
    </row>
    <row r="874" spans="1:27" ht="12" customHeight="1" x14ac:dyDescent="0.15">
      <c r="A874" s="10" t="s">
        <v>40149</v>
      </c>
      <c r="B874" s="99">
        <v>30</v>
      </c>
      <c r="C874" s="10" t="s">
        <v>14</v>
      </c>
      <c r="D874" s="10" t="s">
        <v>42</v>
      </c>
      <c r="E874" s="64" t="s">
        <v>40150</v>
      </c>
      <c r="F874" s="67">
        <v>43537</v>
      </c>
      <c r="G874" s="10" t="s">
        <v>40151</v>
      </c>
      <c r="H874" s="10" t="s">
        <v>584</v>
      </c>
      <c r="I874" s="70" t="s">
        <v>112</v>
      </c>
      <c r="J874" s="65">
        <v>85009</v>
      </c>
      <c r="K874" s="10" t="s">
        <v>585</v>
      </c>
      <c r="L874" s="10" t="s">
        <v>586</v>
      </c>
      <c r="M874" s="10" t="s">
        <v>21</v>
      </c>
      <c r="N874" s="10" t="s">
        <v>40152</v>
      </c>
      <c r="O874" s="10" t="s">
        <v>372</v>
      </c>
      <c r="P874" s="1" t="s">
        <v>30089</v>
      </c>
      <c r="Q874" s="64" t="s">
        <v>40153</v>
      </c>
      <c r="R874" s="10" t="s">
        <v>94</v>
      </c>
      <c r="S874" s="63" t="s">
        <v>12</v>
      </c>
      <c r="T874" s="68" t="s">
        <v>29705</v>
      </c>
      <c r="U874" s="68" t="s">
        <v>26570</v>
      </c>
      <c r="V874" s="68" t="s">
        <v>19228</v>
      </c>
      <c r="W874" s="68" t="s">
        <v>94</v>
      </c>
      <c r="X874" s="68">
        <v>4570</v>
      </c>
      <c r="Z874" s="68" t="s">
        <v>42966</v>
      </c>
      <c r="AA874" s="33">
        <v>6796</v>
      </c>
    </row>
    <row r="875" spans="1:27" ht="12" customHeight="1" x14ac:dyDescent="0.15">
      <c r="A875" s="10" t="s">
        <v>40589</v>
      </c>
      <c r="B875" s="99">
        <v>32</v>
      </c>
      <c r="C875" s="10" t="s">
        <v>103</v>
      </c>
      <c r="D875" s="10" t="s">
        <v>79</v>
      </c>
      <c r="E875" s="64" t="s">
        <v>40590</v>
      </c>
      <c r="F875" s="67">
        <v>43536</v>
      </c>
      <c r="G875" s="10" t="s">
        <v>40591</v>
      </c>
      <c r="H875" s="10" t="s">
        <v>196</v>
      </c>
      <c r="I875" s="10" t="s">
        <v>56</v>
      </c>
      <c r="J875" s="65">
        <v>33128</v>
      </c>
      <c r="K875" s="10" t="s">
        <v>148</v>
      </c>
      <c r="L875" s="10" t="s">
        <v>965</v>
      </c>
      <c r="M875" s="10" t="s">
        <v>21</v>
      </c>
      <c r="N875" s="10" t="s">
        <v>40592</v>
      </c>
      <c r="O875" s="10" t="s">
        <v>372</v>
      </c>
      <c r="P875" s="1" t="s">
        <v>30089</v>
      </c>
      <c r="Q875" s="64" t="s">
        <v>40593</v>
      </c>
      <c r="R875" s="10" t="s">
        <v>94</v>
      </c>
      <c r="S875" s="63" t="s">
        <v>351</v>
      </c>
      <c r="T875" s="68" t="s">
        <v>26867</v>
      </c>
      <c r="U875" s="68" t="s">
        <v>26570</v>
      </c>
      <c r="V875" s="68" t="s">
        <v>26573</v>
      </c>
      <c r="W875" s="68" t="s">
        <v>94</v>
      </c>
      <c r="X875" s="68">
        <v>4561</v>
      </c>
      <c r="Z875" s="68" t="s">
        <v>42966</v>
      </c>
      <c r="AA875" s="33">
        <v>6793</v>
      </c>
    </row>
    <row r="876" spans="1:27" ht="12" customHeight="1" x14ac:dyDescent="0.15">
      <c r="A876" s="10" t="s">
        <v>38907</v>
      </c>
      <c r="B876" s="99">
        <v>45</v>
      </c>
      <c r="C876" s="10" t="s">
        <v>14</v>
      </c>
      <c r="D876" s="10" t="s">
        <v>24</v>
      </c>
      <c r="E876" s="10"/>
      <c r="F876" s="67">
        <v>43536</v>
      </c>
      <c r="G876" s="10" t="s">
        <v>38908</v>
      </c>
      <c r="H876" s="10" t="s">
        <v>38909</v>
      </c>
      <c r="I876" s="10" t="s">
        <v>160</v>
      </c>
      <c r="J876" s="65">
        <v>30183</v>
      </c>
      <c r="K876" s="10" t="s">
        <v>1470</v>
      </c>
      <c r="L876" s="10" t="s">
        <v>18974</v>
      </c>
      <c r="M876" s="10" t="s">
        <v>21</v>
      </c>
      <c r="N876" s="10" t="s">
        <v>38910</v>
      </c>
      <c r="O876" s="10" t="s">
        <v>372</v>
      </c>
      <c r="P876" s="1" t="s">
        <v>30089</v>
      </c>
      <c r="Q876" s="64" t="s">
        <v>38911</v>
      </c>
      <c r="R876" s="10" t="s">
        <v>94</v>
      </c>
      <c r="S876" s="63" t="s">
        <v>22</v>
      </c>
      <c r="T876" s="68" t="s">
        <v>26781</v>
      </c>
      <c r="U876" s="68" t="s">
        <v>26572</v>
      </c>
      <c r="V876" s="68" t="s">
        <v>26573</v>
      </c>
      <c r="W876" s="68" t="s">
        <v>94</v>
      </c>
      <c r="X876" s="68">
        <v>4560</v>
      </c>
      <c r="Z876" s="68" t="s">
        <v>42967</v>
      </c>
      <c r="AA876" s="33">
        <v>6792</v>
      </c>
    </row>
    <row r="877" spans="1:27" ht="12" customHeight="1" x14ac:dyDescent="0.15">
      <c r="A877" s="10" t="s">
        <v>37855</v>
      </c>
      <c r="B877" s="99">
        <v>31</v>
      </c>
      <c r="C877" s="10" t="s">
        <v>14</v>
      </c>
      <c r="D877" s="10" t="s">
        <v>31</v>
      </c>
      <c r="E877" s="64" t="s">
        <v>37856</v>
      </c>
      <c r="F877" s="67">
        <v>43536</v>
      </c>
      <c r="G877" s="10" t="s">
        <v>37857</v>
      </c>
      <c r="H877" s="10" t="s">
        <v>2180</v>
      </c>
      <c r="I877" s="10" t="s">
        <v>51</v>
      </c>
      <c r="J877" s="65">
        <v>49007</v>
      </c>
      <c r="K877" s="10" t="s">
        <v>2180</v>
      </c>
      <c r="L877" s="10" t="s">
        <v>37858</v>
      </c>
      <c r="M877" s="10" t="s">
        <v>21</v>
      </c>
      <c r="N877" s="10" t="s">
        <v>37859</v>
      </c>
      <c r="O877" s="10" t="s">
        <v>372</v>
      </c>
      <c r="P877" s="1" t="s">
        <v>30089</v>
      </c>
      <c r="Q877" s="64" t="s">
        <v>37860</v>
      </c>
      <c r="R877" s="10" t="s">
        <v>94</v>
      </c>
      <c r="S877" s="63" t="s">
        <v>22</v>
      </c>
      <c r="T877" s="68" t="s">
        <v>26781</v>
      </c>
      <c r="U877" s="68" t="s">
        <v>26572</v>
      </c>
      <c r="V877" s="68" t="s">
        <v>26573</v>
      </c>
      <c r="W877" s="68" t="s">
        <v>94</v>
      </c>
      <c r="X877" s="68">
        <v>4562</v>
      </c>
      <c r="Z877" s="68" t="s">
        <v>42966</v>
      </c>
      <c r="AA877" s="33">
        <v>6791</v>
      </c>
    </row>
    <row r="878" spans="1:27" ht="12" customHeight="1" x14ac:dyDescent="0.15">
      <c r="A878" s="10" t="s">
        <v>41643</v>
      </c>
      <c r="B878" s="99">
        <v>31</v>
      </c>
      <c r="C878" s="10" t="s">
        <v>14</v>
      </c>
      <c r="D878" s="10" t="s">
        <v>15</v>
      </c>
      <c r="E878" s="64" t="s">
        <v>41644</v>
      </c>
      <c r="F878" s="67">
        <v>43535</v>
      </c>
      <c r="G878" s="10" t="s">
        <v>41645</v>
      </c>
      <c r="H878" s="10" t="s">
        <v>288</v>
      </c>
      <c r="I878" s="10" t="s">
        <v>39</v>
      </c>
      <c r="J878" s="65">
        <v>92410</v>
      </c>
      <c r="K878" s="10" t="s">
        <v>288</v>
      </c>
      <c r="L878" s="10" t="s">
        <v>3983</v>
      </c>
      <c r="M878" s="10" t="s">
        <v>21</v>
      </c>
      <c r="N878" s="10" t="s">
        <v>41646</v>
      </c>
      <c r="O878" s="10" t="s">
        <v>372</v>
      </c>
      <c r="P878" s="1" t="s">
        <v>30089</v>
      </c>
      <c r="Q878" s="64" t="s">
        <v>41647</v>
      </c>
      <c r="R878" s="10" t="s">
        <v>512</v>
      </c>
      <c r="S878" s="63" t="s">
        <v>29</v>
      </c>
      <c r="T878" s="68" t="s">
        <v>26576</v>
      </c>
      <c r="U878" s="68" t="s">
        <v>26572</v>
      </c>
      <c r="V878" s="68" t="s">
        <v>26573</v>
      </c>
      <c r="W878" s="68" t="s">
        <v>94</v>
      </c>
      <c r="X878" s="68">
        <v>4555</v>
      </c>
      <c r="Z878" s="68" t="s">
        <v>42968</v>
      </c>
      <c r="AA878" s="33">
        <v>6790</v>
      </c>
    </row>
    <row r="879" spans="1:27" ht="12" customHeight="1" x14ac:dyDescent="0.15">
      <c r="A879" s="10" t="s">
        <v>39802</v>
      </c>
      <c r="B879" s="99">
        <v>34</v>
      </c>
      <c r="C879" s="10" t="s">
        <v>14</v>
      </c>
      <c r="D879" s="68" t="s">
        <v>31</v>
      </c>
      <c r="E879" s="10"/>
      <c r="F879" s="67">
        <v>43535</v>
      </c>
      <c r="G879" s="10" t="s">
        <v>39803</v>
      </c>
      <c r="H879" s="10" t="s">
        <v>21113</v>
      </c>
      <c r="I879" s="10" t="s">
        <v>46</v>
      </c>
      <c r="J879" s="65">
        <v>21157</v>
      </c>
      <c r="K879" s="10" t="s">
        <v>1937</v>
      </c>
      <c r="L879" s="10" t="s">
        <v>647</v>
      </c>
      <c r="M879" s="10" t="s">
        <v>21</v>
      </c>
      <c r="N879" s="10" t="s">
        <v>39804</v>
      </c>
      <c r="O879" s="10" t="s">
        <v>372</v>
      </c>
      <c r="P879" s="1" t="s">
        <v>30089</v>
      </c>
      <c r="Q879" s="64" t="s">
        <v>39805</v>
      </c>
      <c r="R879" s="10" t="s">
        <v>94</v>
      </c>
      <c r="S879" s="63" t="s">
        <v>22</v>
      </c>
      <c r="T879" s="68" t="s">
        <v>26774</v>
      </c>
      <c r="U879" s="68" t="s">
        <v>26572</v>
      </c>
      <c r="V879" s="68" t="s">
        <v>26573</v>
      </c>
      <c r="W879" s="68" t="s">
        <v>94</v>
      </c>
      <c r="X879" s="68">
        <v>4675</v>
      </c>
      <c r="Z879" s="68" t="s">
        <v>42968</v>
      </c>
      <c r="AA879" s="33">
        <v>6788</v>
      </c>
    </row>
    <row r="880" spans="1:27" ht="12" customHeight="1" x14ac:dyDescent="0.15">
      <c r="A880" s="10" t="s">
        <v>38929</v>
      </c>
      <c r="B880" s="99">
        <v>51</v>
      </c>
      <c r="C880" s="10" t="s">
        <v>14</v>
      </c>
      <c r="D880" s="10" t="s">
        <v>24</v>
      </c>
      <c r="E880" s="10"/>
      <c r="F880" s="67">
        <v>43535</v>
      </c>
      <c r="G880" s="10" t="s">
        <v>38930</v>
      </c>
      <c r="H880" s="10" t="s">
        <v>1342</v>
      </c>
      <c r="I880" s="10" t="s">
        <v>192</v>
      </c>
      <c r="J880" s="65">
        <v>80232</v>
      </c>
      <c r="K880" s="10" t="s">
        <v>1659</v>
      </c>
      <c r="L880" s="10" t="s">
        <v>2530</v>
      </c>
      <c r="M880" s="10" t="s">
        <v>21</v>
      </c>
      <c r="N880" s="10" t="s">
        <v>38931</v>
      </c>
      <c r="O880" s="10" t="s">
        <v>372</v>
      </c>
      <c r="P880" s="1" t="s">
        <v>30089</v>
      </c>
      <c r="Q880" s="64" t="s">
        <v>38932</v>
      </c>
      <c r="R880" s="10" t="s">
        <v>94</v>
      </c>
      <c r="S880" s="63" t="s">
        <v>22</v>
      </c>
      <c r="T880" s="68" t="s">
        <v>26781</v>
      </c>
      <c r="U880" s="68" t="s">
        <v>26572</v>
      </c>
      <c r="V880" s="68" t="s">
        <v>26571</v>
      </c>
      <c r="W880" s="68" t="s">
        <v>94</v>
      </c>
      <c r="X880" s="68">
        <v>4674</v>
      </c>
      <c r="Z880" s="68" t="s">
        <v>42968</v>
      </c>
      <c r="AA880" s="33">
        <v>6787</v>
      </c>
    </row>
    <row r="881" spans="1:27" ht="12" customHeight="1" x14ac:dyDescent="0.15">
      <c r="A881" s="10" t="s">
        <v>42016</v>
      </c>
      <c r="B881" s="99">
        <v>54</v>
      </c>
      <c r="C881" s="10" t="s">
        <v>14</v>
      </c>
      <c r="D881" s="10" t="s">
        <v>31</v>
      </c>
      <c r="E881" s="63"/>
      <c r="F881" s="67">
        <v>43535</v>
      </c>
      <c r="G881" s="10" t="s">
        <v>42017</v>
      </c>
      <c r="H881" s="10" t="s">
        <v>4692</v>
      </c>
      <c r="I881" s="70" t="s">
        <v>9710</v>
      </c>
      <c r="J881" s="65">
        <v>5401</v>
      </c>
      <c r="K881" s="10" t="s">
        <v>11964</v>
      </c>
      <c r="L881" s="10" t="s">
        <v>4694</v>
      </c>
      <c r="M881" s="10" t="s">
        <v>2909</v>
      </c>
      <c r="N881" s="10" t="s">
        <v>42018</v>
      </c>
      <c r="O881" s="10" t="s">
        <v>372</v>
      </c>
      <c r="P881" s="1" t="s">
        <v>30089</v>
      </c>
      <c r="Q881" s="64" t="s">
        <v>42019</v>
      </c>
      <c r="R881" s="10" t="s">
        <v>94</v>
      </c>
      <c r="S881" s="63" t="s">
        <v>12</v>
      </c>
      <c r="T881" s="34" t="s">
        <v>29705</v>
      </c>
      <c r="U881" s="34" t="s">
        <v>26572</v>
      </c>
      <c r="V881" s="68"/>
      <c r="W881" s="68"/>
      <c r="X881" s="68"/>
      <c r="Z881" s="68" t="s">
        <v>42966</v>
      </c>
      <c r="AA881" s="33">
        <v>6789</v>
      </c>
    </row>
    <row r="882" spans="1:27" ht="12" customHeight="1" x14ac:dyDescent="0.15">
      <c r="A882" s="10" t="s">
        <v>38809</v>
      </c>
      <c r="B882" s="100">
        <v>34</v>
      </c>
      <c r="C882" s="10" t="s">
        <v>14</v>
      </c>
      <c r="D882" s="10" t="s">
        <v>128</v>
      </c>
      <c r="E882" s="10"/>
      <c r="F882" s="67">
        <v>43534</v>
      </c>
      <c r="G882" s="10" t="s">
        <v>38810</v>
      </c>
      <c r="H882" s="10" t="s">
        <v>6885</v>
      </c>
      <c r="I882" s="10" t="s">
        <v>39</v>
      </c>
      <c r="J882" s="65">
        <v>96002</v>
      </c>
      <c r="K882" s="10" t="s">
        <v>6887</v>
      </c>
      <c r="L882" s="10" t="s">
        <v>897</v>
      </c>
      <c r="M882" s="10" t="s">
        <v>21</v>
      </c>
      <c r="N882" s="10" t="s">
        <v>38811</v>
      </c>
      <c r="O882" s="10" t="s">
        <v>372</v>
      </c>
      <c r="P882" s="1" t="s">
        <v>30089</v>
      </c>
      <c r="Q882" s="64" t="s">
        <v>38812</v>
      </c>
      <c r="R882" s="10" t="s">
        <v>904</v>
      </c>
      <c r="S882" s="63" t="s">
        <v>22</v>
      </c>
      <c r="T882" s="68" t="s">
        <v>26781</v>
      </c>
      <c r="U882" s="68" t="s">
        <v>26572</v>
      </c>
      <c r="V882" s="68" t="s">
        <v>26574</v>
      </c>
      <c r="W882" s="68" t="s">
        <v>94</v>
      </c>
      <c r="X882" s="68">
        <v>4552</v>
      </c>
      <c r="Z882" s="68" t="s">
        <v>42966</v>
      </c>
      <c r="AA882" s="33">
        <v>6785</v>
      </c>
    </row>
    <row r="883" spans="1:27" ht="12" customHeight="1" x14ac:dyDescent="0.15">
      <c r="A883" s="10" t="s">
        <v>39230</v>
      </c>
      <c r="B883" s="99">
        <v>44</v>
      </c>
      <c r="C883" s="10" t="s">
        <v>14</v>
      </c>
      <c r="D883" s="68" t="s">
        <v>31</v>
      </c>
      <c r="E883" s="10"/>
      <c r="F883" s="67">
        <v>43534</v>
      </c>
      <c r="G883" s="10" t="s">
        <v>39231</v>
      </c>
      <c r="H883" s="10" t="s">
        <v>39232</v>
      </c>
      <c r="I883" s="10" t="s">
        <v>338</v>
      </c>
      <c r="J883" s="65">
        <v>27922</v>
      </c>
      <c r="K883" s="10" t="s">
        <v>39233</v>
      </c>
      <c r="L883" s="10" t="s">
        <v>39234</v>
      </c>
      <c r="M883" s="10" t="s">
        <v>21</v>
      </c>
      <c r="N883" s="10" t="s">
        <v>39235</v>
      </c>
      <c r="O883" s="10" t="s">
        <v>372</v>
      </c>
      <c r="P883" s="1" t="s">
        <v>30089</v>
      </c>
      <c r="Q883" s="64" t="s">
        <v>39236</v>
      </c>
      <c r="R883" s="10" t="s">
        <v>94</v>
      </c>
      <c r="S883" s="63" t="s">
        <v>22</v>
      </c>
      <c r="T883" s="68" t="s">
        <v>26781</v>
      </c>
      <c r="U883" s="68" t="s">
        <v>26572</v>
      </c>
      <c r="V883" s="68" t="s">
        <v>26573</v>
      </c>
      <c r="W883" s="68" t="s">
        <v>94</v>
      </c>
      <c r="X883" s="68">
        <v>4553</v>
      </c>
      <c r="Z883" s="68" t="s">
        <v>42967</v>
      </c>
      <c r="AA883" s="33">
        <v>6786</v>
      </c>
    </row>
    <row r="884" spans="1:27" ht="12" customHeight="1" x14ac:dyDescent="0.15">
      <c r="A884" s="10" t="s">
        <v>39499</v>
      </c>
      <c r="B884" s="99">
        <v>59</v>
      </c>
      <c r="C884" s="10" t="s">
        <v>14</v>
      </c>
      <c r="D884" s="10" t="s">
        <v>31</v>
      </c>
      <c r="E884" s="64" t="s">
        <v>39500</v>
      </c>
      <c r="F884" s="67">
        <v>43533</v>
      </c>
      <c r="G884" s="10" t="s">
        <v>39501</v>
      </c>
      <c r="H884" s="10" t="s">
        <v>39502</v>
      </c>
      <c r="I884" s="10" t="s">
        <v>67</v>
      </c>
      <c r="J884" s="65">
        <v>79252</v>
      </c>
      <c r="K884" s="10" t="s">
        <v>39503</v>
      </c>
      <c r="L884" s="10" t="s">
        <v>39504</v>
      </c>
      <c r="M884" s="10" t="s">
        <v>21</v>
      </c>
      <c r="N884" s="10" t="s">
        <v>39505</v>
      </c>
      <c r="O884" s="10" t="s">
        <v>372</v>
      </c>
      <c r="P884" s="1" t="s">
        <v>30089</v>
      </c>
      <c r="Q884" s="64" t="s">
        <v>39506</v>
      </c>
      <c r="R884" s="10" t="s">
        <v>512</v>
      </c>
      <c r="S884" s="63" t="s">
        <v>22</v>
      </c>
      <c r="T884" s="68" t="s">
        <v>26774</v>
      </c>
      <c r="U884" s="68" t="s">
        <v>26575</v>
      </c>
      <c r="V884" s="68" t="s">
        <v>26573</v>
      </c>
      <c r="W884" s="68" t="s">
        <v>94</v>
      </c>
      <c r="X884" s="68">
        <v>4559</v>
      </c>
      <c r="Z884" s="68" t="s">
        <v>42967</v>
      </c>
      <c r="AA884" s="33">
        <v>6784</v>
      </c>
    </row>
    <row r="885" spans="1:27" ht="12" customHeight="1" x14ac:dyDescent="0.15">
      <c r="A885" s="10" t="s">
        <v>38933</v>
      </c>
      <c r="B885" s="99">
        <v>40</v>
      </c>
      <c r="C885" s="10" t="s">
        <v>14</v>
      </c>
      <c r="D885" s="10" t="s">
        <v>24</v>
      </c>
      <c r="E885" s="10"/>
      <c r="F885" s="67">
        <v>43533</v>
      </c>
      <c r="G885" s="10" t="s">
        <v>38934</v>
      </c>
      <c r="H885" s="10" t="s">
        <v>16627</v>
      </c>
      <c r="I885" s="10" t="s">
        <v>112</v>
      </c>
      <c r="J885" s="65">
        <v>85326</v>
      </c>
      <c r="K885" s="10" t="s">
        <v>585</v>
      </c>
      <c r="L885" s="10" t="s">
        <v>10122</v>
      </c>
      <c r="M885" s="10" t="s">
        <v>21</v>
      </c>
      <c r="N885" s="10" t="s">
        <v>38935</v>
      </c>
      <c r="O885" s="10" t="s">
        <v>372</v>
      </c>
      <c r="P885" s="1" t="s">
        <v>30089</v>
      </c>
      <c r="Q885" s="64" t="s">
        <v>38936</v>
      </c>
      <c r="R885" s="10" t="s">
        <v>94</v>
      </c>
      <c r="S885" s="63" t="s">
        <v>22</v>
      </c>
      <c r="T885" s="68" t="s">
        <v>26781</v>
      </c>
      <c r="U885" s="68" t="s">
        <v>26572</v>
      </c>
      <c r="V885" s="68" t="s">
        <v>26571</v>
      </c>
      <c r="W885" s="68" t="s">
        <v>94</v>
      </c>
      <c r="X885" s="68">
        <v>4676</v>
      </c>
      <c r="Z885" s="68" t="s">
        <v>42968</v>
      </c>
      <c r="AA885" s="33">
        <v>6781</v>
      </c>
    </row>
    <row r="886" spans="1:27" ht="12" customHeight="1" x14ac:dyDescent="0.15">
      <c r="A886" s="10" t="s">
        <v>38029</v>
      </c>
      <c r="B886" s="99">
        <v>35</v>
      </c>
      <c r="C886" s="10" t="s">
        <v>14</v>
      </c>
      <c r="D886" s="10" t="s">
        <v>31</v>
      </c>
      <c r="E886" s="64" t="s">
        <v>38030</v>
      </c>
      <c r="F886" s="67">
        <v>43533</v>
      </c>
      <c r="G886" s="10" t="s">
        <v>38031</v>
      </c>
      <c r="H886" s="10" t="s">
        <v>584</v>
      </c>
      <c r="I886" s="10" t="s">
        <v>112</v>
      </c>
      <c r="J886" s="65">
        <v>85008</v>
      </c>
      <c r="K886" s="10" t="s">
        <v>585</v>
      </c>
      <c r="L886" s="10" t="s">
        <v>586</v>
      </c>
      <c r="M886" s="10" t="s">
        <v>21</v>
      </c>
      <c r="N886" s="10" t="s">
        <v>38032</v>
      </c>
      <c r="O886" s="10" t="s">
        <v>372</v>
      </c>
      <c r="P886" s="1" t="s">
        <v>30089</v>
      </c>
      <c r="Q886" s="64" t="s">
        <v>38033</v>
      </c>
      <c r="R886" s="10" t="s">
        <v>94</v>
      </c>
      <c r="S886" s="63" t="s">
        <v>22</v>
      </c>
      <c r="T886" s="68" t="s">
        <v>26781</v>
      </c>
      <c r="U886" s="68" t="s">
        <v>26572</v>
      </c>
      <c r="V886" s="68" t="s">
        <v>26573</v>
      </c>
      <c r="W886" s="68" t="s">
        <v>94</v>
      </c>
      <c r="X886" s="68">
        <v>4557</v>
      </c>
      <c r="Z886" s="68" t="s">
        <v>42968</v>
      </c>
      <c r="AA886" s="33">
        <v>6780</v>
      </c>
    </row>
    <row r="887" spans="1:27" ht="12" customHeight="1" x14ac:dyDescent="0.15">
      <c r="A887" s="10" t="s">
        <v>39492</v>
      </c>
      <c r="B887" s="99">
        <v>51</v>
      </c>
      <c r="C887" s="10" t="s">
        <v>103</v>
      </c>
      <c r="D887" s="10" t="s">
        <v>31</v>
      </c>
      <c r="E887" s="64" t="s">
        <v>39493</v>
      </c>
      <c r="F887" s="67">
        <v>43533</v>
      </c>
      <c r="G887" s="10" t="s">
        <v>39494</v>
      </c>
      <c r="H887" s="10" t="s">
        <v>39495</v>
      </c>
      <c r="I887" s="10" t="s">
        <v>298</v>
      </c>
      <c r="J887" s="65">
        <v>37080</v>
      </c>
      <c r="K887" s="10" t="s">
        <v>823</v>
      </c>
      <c r="L887" s="10" t="s">
        <v>39496</v>
      </c>
      <c r="M887" s="10" t="s">
        <v>21</v>
      </c>
      <c r="N887" s="10" t="s">
        <v>39497</v>
      </c>
      <c r="O887" s="10" t="s">
        <v>372</v>
      </c>
      <c r="P887" s="1" t="s">
        <v>30089</v>
      </c>
      <c r="Q887" s="64" t="s">
        <v>39498</v>
      </c>
      <c r="R887" s="10" t="s">
        <v>94</v>
      </c>
      <c r="S887" s="63" t="s">
        <v>22</v>
      </c>
      <c r="T887" s="68" t="s">
        <v>26774</v>
      </c>
      <c r="U887" s="68" t="s">
        <v>26572</v>
      </c>
      <c r="V887" s="68" t="s">
        <v>26573</v>
      </c>
      <c r="W887" s="68" t="s">
        <v>94</v>
      </c>
      <c r="X887" s="68">
        <v>4554</v>
      </c>
      <c r="Z887" s="68" t="s">
        <v>42968</v>
      </c>
      <c r="AA887" s="33">
        <v>6783</v>
      </c>
    </row>
    <row r="888" spans="1:27" ht="12" customHeight="1" x14ac:dyDescent="0.15">
      <c r="A888" s="10" t="s">
        <v>37850</v>
      </c>
      <c r="B888" s="99">
        <v>46</v>
      </c>
      <c r="C888" s="10" t="s">
        <v>14</v>
      </c>
      <c r="D888" s="10" t="s">
        <v>31</v>
      </c>
      <c r="E888" s="64" t="s">
        <v>37851</v>
      </c>
      <c r="F888" s="67">
        <v>43533</v>
      </c>
      <c r="G888" s="10" t="s">
        <v>37852</v>
      </c>
      <c r="H888" s="10" t="s">
        <v>21861</v>
      </c>
      <c r="I888" s="10" t="s">
        <v>51</v>
      </c>
      <c r="J888" s="65">
        <v>49014</v>
      </c>
      <c r="K888" s="10" t="s">
        <v>5619</v>
      </c>
      <c r="L888" s="10" t="s">
        <v>21862</v>
      </c>
      <c r="M888" s="10" t="s">
        <v>21</v>
      </c>
      <c r="N888" s="10" t="s">
        <v>37853</v>
      </c>
      <c r="O888" s="10" t="s">
        <v>372</v>
      </c>
      <c r="P888" s="1" t="s">
        <v>30089</v>
      </c>
      <c r="Q888" s="64" t="s">
        <v>37854</v>
      </c>
      <c r="R888" s="10" t="s">
        <v>94</v>
      </c>
      <c r="S888" s="63" t="s">
        <v>22</v>
      </c>
      <c r="T888" s="68" t="s">
        <v>26781</v>
      </c>
      <c r="U888" s="68" t="s">
        <v>26572</v>
      </c>
      <c r="V888" s="68" t="s">
        <v>26573</v>
      </c>
      <c r="W888" s="68" t="s">
        <v>94</v>
      </c>
      <c r="X888" s="68">
        <v>4558</v>
      </c>
      <c r="Z888" s="68" t="s">
        <v>42968</v>
      </c>
      <c r="AA888" s="33">
        <v>6779</v>
      </c>
    </row>
    <row r="889" spans="1:27" ht="12" customHeight="1" x14ac:dyDescent="0.15">
      <c r="A889" s="10" t="s">
        <v>40900</v>
      </c>
      <c r="B889" s="99">
        <v>30</v>
      </c>
      <c r="C889" s="10" t="s">
        <v>14</v>
      </c>
      <c r="D889" s="10" t="s">
        <v>79</v>
      </c>
      <c r="E889" s="10"/>
      <c r="F889" s="67">
        <v>43533</v>
      </c>
      <c r="G889" s="10" t="s">
        <v>40901</v>
      </c>
      <c r="H889" s="10" t="s">
        <v>40902</v>
      </c>
      <c r="I889" s="10" t="s">
        <v>67</v>
      </c>
      <c r="J889" s="65">
        <v>79756</v>
      </c>
      <c r="K889" s="10" t="s">
        <v>40903</v>
      </c>
      <c r="L889" s="10" t="s">
        <v>40904</v>
      </c>
      <c r="M889" s="10" t="s">
        <v>21</v>
      </c>
      <c r="N889" s="10" t="s">
        <v>40905</v>
      </c>
      <c r="O889" s="10" t="s">
        <v>372</v>
      </c>
      <c r="P889" s="1" t="s">
        <v>30089</v>
      </c>
      <c r="Q889" s="64" t="s">
        <v>40906</v>
      </c>
      <c r="R889" s="10" t="s">
        <v>512</v>
      </c>
      <c r="S889" s="63" t="s">
        <v>22</v>
      </c>
      <c r="T889" s="68" t="s">
        <v>26781</v>
      </c>
      <c r="U889" s="68" t="s">
        <v>26572</v>
      </c>
      <c r="V889" s="68" t="s">
        <v>26573</v>
      </c>
      <c r="W889" s="68" t="s">
        <v>94</v>
      </c>
      <c r="X889" s="68">
        <v>4677</v>
      </c>
      <c r="Z889" s="68" t="s">
        <v>42967</v>
      </c>
      <c r="AA889" s="33">
        <v>6782</v>
      </c>
    </row>
    <row r="890" spans="1:27" ht="12" customHeight="1" x14ac:dyDescent="0.15">
      <c r="A890" s="10" t="s">
        <v>41536</v>
      </c>
      <c r="B890" s="99">
        <v>34</v>
      </c>
      <c r="C890" s="10" t="s">
        <v>14</v>
      </c>
      <c r="D890" s="10" t="s">
        <v>31</v>
      </c>
      <c r="E890" s="64" t="s">
        <v>41537</v>
      </c>
      <c r="F890" s="67">
        <v>43532</v>
      </c>
      <c r="G890" s="10" t="s">
        <v>41538</v>
      </c>
      <c r="H890" s="10" t="s">
        <v>6316</v>
      </c>
      <c r="I890" s="10" t="s">
        <v>160</v>
      </c>
      <c r="J890" s="65">
        <v>30606</v>
      </c>
      <c r="K890" s="10" t="s">
        <v>1281</v>
      </c>
      <c r="L890" s="10" t="s">
        <v>37827</v>
      </c>
      <c r="M890" s="10" t="s">
        <v>21</v>
      </c>
      <c r="N890" s="10" t="s">
        <v>41539</v>
      </c>
      <c r="O890" s="10" t="s">
        <v>372</v>
      </c>
      <c r="P890" s="1" t="s">
        <v>30089</v>
      </c>
      <c r="Q890" s="64" t="s">
        <v>41540</v>
      </c>
      <c r="R890" s="10" t="s">
        <v>512</v>
      </c>
      <c r="S890" s="63" t="s">
        <v>12</v>
      </c>
      <c r="T890" s="68" t="s">
        <v>39971</v>
      </c>
      <c r="U890" s="68" t="s">
        <v>26572</v>
      </c>
      <c r="V890" s="68">
        <v>0</v>
      </c>
      <c r="W890" s="68" t="s">
        <v>512</v>
      </c>
      <c r="X890" s="68">
        <v>4556</v>
      </c>
      <c r="Z890" s="68" t="s">
        <v>42966</v>
      </c>
      <c r="AA890" s="33">
        <v>6778</v>
      </c>
    </row>
    <row r="891" spans="1:27" ht="12" customHeight="1" x14ac:dyDescent="0.15">
      <c r="A891" s="10" t="s">
        <v>38899</v>
      </c>
      <c r="B891" s="99">
        <v>47</v>
      </c>
      <c r="C891" s="10" t="s">
        <v>14</v>
      </c>
      <c r="D891" s="10" t="s">
        <v>24</v>
      </c>
      <c r="E891" s="10"/>
      <c r="F891" s="67">
        <v>43531</v>
      </c>
      <c r="G891" s="10" t="s">
        <v>38900</v>
      </c>
      <c r="H891" s="10" t="s">
        <v>2659</v>
      </c>
      <c r="I891" s="10" t="s">
        <v>918</v>
      </c>
      <c r="J891" s="65">
        <v>72401</v>
      </c>
      <c r="K891" s="10" t="s">
        <v>2660</v>
      </c>
      <c r="L891" s="10" t="s">
        <v>2661</v>
      </c>
      <c r="M891" s="10" t="s">
        <v>21</v>
      </c>
      <c r="N891" s="10" t="s">
        <v>38901</v>
      </c>
      <c r="O891" s="10" t="s">
        <v>372</v>
      </c>
      <c r="P891" s="1" t="s">
        <v>30089</v>
      </c>
      <c r="Q891" s="64" t="s">
        <v>38902</v>
      </c>
      <c r="R891" s="10" t="s">
        <v>94</v>
      </c>
      <c r="S891" s="63" t="s">
        <v>22</v>
      </c>
      <c r="T891" s="68" t="s">
        <v>26781</v>
      </c>
      <c r="U891" s="68" t="s">
        <v>26570</v>
      </c>
      <c r="V891" s="68" t="s">
        <v>26573</v>
      </c>
      <c r="W891" s="68" t="s">
        <v>94</v>
      </c>
      <c r="X891" s="68">
        <v>4544</v>
      </c>
      <c r="Z891" s="68" t="s">
        <v>42966</v>
      </c>
      <c r="AA891" s="33">
        <v>6776</v>
      </c>
    </row>
    <row r="892" spans="1:27" ht="12" customHeight="1" x14ac:dyDescent="0.15">
      <c r="A892" s="10" t="s">
        <v>38605</v>
      </c>
      <c r="B892" s="99">
        <v>43</v>
      </c>
      <c r="C892" s="10" t="s">
        <v>14</v>
      </c>
      <c r="D892" s="10" t="s">
        <v>42</v>
      </c>
      <c r="E892" s="64" t="s">
        <v>38606</v>
      </c>
      <c r="F892" s="67">
        <v>43531</v>
      </c>
      <c r="G892" s="10" t="s">
        <v>38607</v>
      </c>
      <c r="H892" s="10" t="s">
        <v>38608</v>
      </c>
      <c r="I892" s="10" t="s">
        <v>282</v>
      </c>
      <c r="J892" s="65">
        <v>98665</v>
      </c>
      <c r="K892" s="10" t="s">
        <v>527</v>
      </c>
      <c r="L892" s="10" t="s">
        <v>5331</v>
      </c>
      <c r="M892" s="10" t="s">
        <v>21</v>
      </c>
      <c r="N892" s="10" t="s">
        <v>38609</v>
      </c>
      <c r="O892" s="10" t="s">
        <v>372</v>
      </c>
      <c r="P892" s="1" t="s">
        <v>30089</v>
      </c>
      <c r="Q892" s="64" t="s">
        <v>38610</v>
      </c>
      <c r="R892" s="10" t="s">
        <v>94</v>
      </c>
      <c r="S892" s="63" t="s">
        <v>22</v>
      </c>
      <c r="T892" s="68" t="s">
        <v>26781</v>
      </c>
      <c r="U892" s="68" t="s">
        <v>26570</v>
      </c>
      <c r="V892" s="68" t="s">
        <v>26573</v>
      </c>
      <c r="W892" s="68" t="s">
        <v>94</v>
      </c>
      <c r="X892" s="68">
        <v>4545</v>
      </c>
      <c r="Z892" s="68" t="s">
        <v>42968</v>
      </c>
      <c r="AA892" s="33">
        <v>6775</v>
      </c>
    </row>
    <row r="893" spans="1:27" ht="12" customHeight="1" x14ac:dyDescent="0.15">
      <c r="A893" s="10" t="s">
        <v>39226</v>
      </c>
      <c r="B893" s="99">
        <v>23</v>
      </c>
      <c r="C893" s="10" t="s">
        <v>14</v>
      </c>
      <c r="D893" s="68" t="s">
        <v>31</v>
      </c>
      <c r="E893" s="10"/>
      <c r="F893" s="67">
        <v>43531</v>
      </c>
      <c r="G893" s="10" t="s">
        <v>39227</v>
      </c>
      <c r="H893" s="10" t="s">
        <v>4070</v>
      </c>
      <c r="I893" s="10" t="s">
        <v>309</v>
      </c>
      <c r="J893" s="65">
        <v>99508</v>
      </c>
      <c r="K893" s="10" t="s">
        <v>4070</v>
      </c>
      <c r="L893" s="10" t="s">
        <v>4072</v>
      </c>
      <c r="M893" s="10" t="s">
        <v>21</v>
      </c>
      <c r="N893" s="10" t="s">
        <v>39228</v>
      </c>
      <c r="O893" s="10" t="s">
        <v>372</v>
      </c>
      <c r="P893" s="1" t="s">
        <v>30089</v>
      </c>
      <c r="Q893" s="64" t="s">
        <v>39229</v>
      </c>
      <c r="R893" s="10" t="s">
        <v>94</v>
      </c>
      <c r="S893" s="63" t="s">
        <v>22</v>
      </c>
      <c r="T893" s="68" t="s">
        <v>26781</v>
      </c>
      <c r="U893" s="68" t="s">
        <v>26572</v>
      </c>
      <c r="V893" s="68" t="s">
        <v>26574</v>
      </c>
      <c r="W893" s="68" t="s">
        <v>94</v>
      </c>
      <c r="X893" s="68">
        <v>4546</v>
      </c>
      <c r="Z893" s="68" t="s">
        <v>42968</v>
      </c>
      <c r="AA893" s="33">
        <v>6777</v>
      </c>
    </row>
    <row r="894" spans="1:27" ht="12" customHeight="1" x14ac:dyDescent="0.15">
      <c r="A894" s="10" t="s">
        <v>37401</v>
      </c>
      <c r="B894" s="99">
        <v>25</v>
      </c>
      <c r="C894" s="10" t="s">
        <v>14</v>
      </c>
      <c r="D894" s="10" t="s">
        <v>79</v>
      </c>
      <c r="E894" s="64" t="s">
        <v>37402</v>
      </c>
      <c r="F894" s="67">
        <v>43530</v>
      </c>
      <c r="G894" s="10" t="s">
        <v>37403</v>
      </c>
      <c r="H894" s="10" t="s">
        <v>1800</v>
      </c>
      <c r="I894" s="10" t="s">
        <v>139</v>
      </c>
      <c r="J894" s="65">
        <v>26505</v>
      </c>
      <c r="K894" s="10" t="s">
        <v>1802</v>
      </c>
      <c r="L894" s="10" t="s">
        <v>5161</v>
      </c>
      <c r="M894" s="10" t="s">
        <v>21</v>
      </c>
      <c r="N894" s="10" t="s">
        <v>37404</v>
      </c>
      <c r="O894" s="10" t="s">
        <v>372</v>
      </c>
      <c r="P894" s="1" t="s">
        <v>30089</v>
      </c>
      <c r="Q894" s="64" t="s">
        <v>37405</v>
      </c>
      <c r="R894" s="10" t="s">
        <v>94</v>
      </c>
      <c r="S894" s="63" t="s">
        <v>22</v>
      </c>
      <c r="T894" s="68" t="s">
        <v>26781</v>
      </c>
      <c r="U894" s="68" t="s">
        <v>26572</v>
      </c>
      <c r="V894" s="68" t="s">
        <v>26574</v>
      </c>
      <c r="W894" s="68" t="s">
        <v>94</v>
      </c>
      <c r="X894" s="68">
        <v>4678</v>
      </c>
      <c r="Z894" s="68" t="s">
        <v>42966</v>
      </c>
      <c r="AA894" s="33">
        <v>6774</v>
      </c>
    </row>
    <row r="895" spans="1:27" ht="12" customHeight="1" x14ac:dyDescent="0.15">
      <c r="A895" s="10" t="s">
        <v>39487</v>
      </c>
      <c r="B895" s="99">
        <v>56</v>
      </c>
      <c r="C895" s="10" t="s">
        <v>14</v>
      </c>
      <c r="D895" s="10" t="s">
        <v>31</v>
      </c>
      <c r="E895" s="64" t="s">
        <v>39488</v>
      </c>
      <c r="F895" s="67">
        <v>43529</v>
      </c>
      <c r="G895" s="10" t="s">
        <v>39489</v>
      </c>
      <c r="H895" s="10" t="s">
        <v>2853</v>
      </c>
      <c r="I895" s="10" t="s">
        <v>367</v>
      </c>
      <c r="J895" s="65">
        <v>74401</v>
      </c>
      <c r="K895" s="10" t="s">
        <v>2853</v>
      </c>
      <c r="L895" s="10" t="s">
        <v>4436</v>
      </c>
      <c r="M895" s="10" t="s">
        <v>21</v>
      </c>
      <c r="N895" s="10" t="s">
        <v>39490</v>
      </c>
      <c r="O895" s="10" t="s">
        <v>372</v>
      </c>
      <c r="P895" s="1" t="s">
        <v>30089</v>
      </c>
      <c r="Q895" s="64" t="s">
        <v>39491</v>
      </c>
      <c r="R895" s="10" t="s">
        <v>94</v>
      </c>
      <c r="S895" s="63" t="s">
        <v>22</v>
      </c>
      <c r="T895" s="68" t="s">
        <v>26774</v>
      </c>
      <c r="U895" s="68" t="s">
        <v>26570</v>
      </c>
      <c r="V895" s="68" t="s">
        <v>26573</v>
      </c>
      <c r="W895" s="68" t="s">
        <v>94</v>
      </c>
      <c r="X895" s="68">
        <v>4529</v>
      </c>
      <c r="Z895" s="68" t="s">
        <v>42968</v>
      </c>
      <c r="AA895" s="33">
        <v>6771</v>
      </c>
    </row>
    <row r="896" spans="1:27" ht="12" customHeight="1" x14ac:dyDescent="0.15">
      <c r="A896" s="10" t="s">
        <v>38891</v>
      </c>
      <c r="B896" s="99">
        <v>22</v>
      </c>
      <c r="C896" s="10" t="s">
        <v>14</v>
      </c>
      <c r="D896" s="10" t="s">
        <v>24</v>
      </c>
      <c r="E896" s="10"/>
      <c r="F896" s="67">
        <v>43529</v>
      </c>
      <c r="G896" s="10" t="s">
        <v>38892</v>
      </c>
      <c r="H896" s="10" t="s">
        <v>974</v>
      </c>
      <c r="I896" s="70" t="s">
        <v>160</v>
      </c>
      <c r="J896" s="65">
        <v>30035</v>
      </c>
      <c r="K896" s="10" t="s">
        <v>805</v>
      </c>
      <c r="L896" s="10" t="s">
        <v>806</v>
      </c>
      <c r="M896" s="10" t="s">
        <v>21</v>
      </c>
      <c r="N896" s="10" t="s">
        <v>38893</v>
      </c>
      <c r="O896" s="10" t="s">
        <v>372</v>
      </c>
      <c r="P896" s="1" t="s">
        <v>30089</v>
      </c>
      <c r="Q896" s="64" t="s">
        <v>38894</v>
      </c>
      <c r="R896" s="10" t="s">
        <v>94</v>
      </c>
      <c r="S896" s="63" t="s">
        <v>22</v>
      </c>
      <c r="T896" s="68" t="s">
        <v>26781</v>
      </c>
      <c r="U896" s="68" t="s">
        <v>26572</v>
      </c>
      <c r="V896" s="68" t="s">
        <v>26574</v>
      </c>
      <c r="W896" s="68" t="s">
        <v>94</v>
      </c>
      <c r="X896" s="68">
        <v>4530</v>
      </c>
      <c r="Z896" s="68" t="s">
        <v>42968</v>
      </c>
      <c r="AA896" s="33">
        <v>6768</v>
      </c>
    </row>
    <row r="897" spans="1:27" ht="12" customHeight="1" x14ac:dyDescent="0.15">
      <c r="A897" s="10" t="s">
        <v>38895</v>
      </c>
      <c r="B897" s="99">
        <v>36</v>
      </c>
      <c r="C897" s="10" t="s">
        <v>14</v>
      </c>
      <c r="D897" s="10" t="s">
        <v>24</v>
      </c>
      <c r="E897" s="10"/>
      <c r="F897" s="67">
        <v>43529</v>
      </c>
      <c r="G897" s="10" t="s">
        <v>38896</v>
      </c>
      <c r="H897" s="10" t="s">
        <v>3846</v>
      </c>
      <c r="I897" s="70" t="s">
        <v>402</v>
      </c>
      <c r="J897" s="65">
        <v>65807</v>
      </c>
      <c r="K897" s="10" t="s">
        <v>4549</v>
      </c>
      <c r="L897" s="10" t="s">
        <v>5161</v>
      </c>
      <c r="M897" s="10" t="s">
        <v>21</v>
      </c>
      <c r="N897" s="10" t="s">
        <v>38897</v>
      </c>
      <c r="O897" s="10" t="s">
        <v>372</v>
      </c>
      <c r="P897" s="1" t="s">
        <v>30089</v>
      </c>
      <c r="Q897" s="64" t="s">
        <v>38898</v>
      </c>
      <c r="R897" s="10" t="s">
        <v>94</v>
      </c>
      <c r="S897" s="63" t="s">
        <v>22</v>
      </c>
      <c r="T897" s="68" t="s">
        <v>26781</v>
      </c>
      <c r="U897" s="68" t="s">
        <v>26570</v>
      </c>
      <c r="V897" s="68">
        <v>0</v>
      </c>
      <c r="W897" s="68" t="s">
        <v>94</v>
      </c>
      <c r="X897" s="68">
        <v>4535</v>
      </c>
      <c r="Z897" s="68" t="s">
        <v>42966</v>
      </c>
      <c r="AA897" s="33">
        <v>6769</v>
      </c>
    </row>
    <row r="898" spans="1:27" ht="12" customHeight="1" x14ac:dyDescent="0.15">
      <c r="A898" s="10" t="s">
        <v>39127</v>
      </c>
      <c r="B898" s="70"/>
      <c r="C898" s="10" t="s">
        <v>14</v>
      </c>
      <c r="D898" s="68" t="s">
        <v>79</v>
      </c>
      <c r="E898" s="10"/>
      <c r="F898" s="67">
        <v>43529</v>
      </c>
      <c r="G898" s="10" t="s">
        <v>39128</v>
      </c>
      <c r="H898" s="10" t="s">
        <v>603</v>
      </c>
      <c r="I898" s="10" t="s">
        <v>56</v>
      </c>
      <c r="J898" s="65">
        <v>32216</v>
      </c>
      <c r="K898" s="10" t="s">
        <v>604</v>
      </c>
      <c r="L898" s="10" t="s">
        <v>605</v>
      </c>
      <c r="M898" s="10" t="s">
        <v>21</v>
      </c>
      <c r="N898" s="10" t="s">
        <v>39129</v>
      </c>
      <c r="O898" s="10" t="s">
        <v>372</v>
      </c>
      <c r="P898" s="1" t="s">
        <v>30089</v>
      </c>
      <c r="Q898" s="64" t="s">
        <v>39130</v>
      </c>
      <c r="R898" s="10" t="s">
        <v>94</v>
      </c>
      <c r="S898" s="63" t="s">
        <v>22</v>
      </c>
      <c r="T898" s="68" t="s">
        <v>26781</v>
      </c>
      <c r="U898" s="68" t="s">
        <v>26570</v>
      </c>
      <c r="V898" s="68" t="s">
        <v>26573</v>
      </c>
      <c r="W898" s="68" t="s">
        <v>94</v>
      </c>
      <c r="X898" s="68">
        <v>4537</v>
      </c>
      <c r="Z898" s="68" t="s">
        <v>42968</v>
      </c>
      <c r="AA898" s="33">
        <v>6770</v>
      </c>
    </row>
    <row r="899" spans="1:27" ht="12" customHeight="1" x14ac:dyDescent="0.15">
      <c r="A899" s="10" t="s">
        <v>41639</v>
      </c>
      <c r="B899" s="99">
        <v>31</v>
      </c>
      <c r="C899" s="10" t="s">
        <v>14</v>
      </c>
      <c r="D899" s="68" t="s">
        <v>31</v>
      </c>
      <c r="E899" s="10"/>
      <c r="F899" s="67">
        <v>43529</v>
      </c>
      <c r="G899" s="10" t="s">
        <v>41640</v>
      </c>
      <c r="H899" s="10" t="s">
        <v>27</v>
      </c>
      <c r="I899" s="10" t="s">
        <v>621</v>
      </c>
      <c r="J899" s="65">
        <v>38701</v>
      </c>
      <c r="K899" s="10" t="s">
        <v>107</v>
      </c>
      <c r="L899" s="10" t="s">
        <v>108</v>
      </c>
      <c r="M899" s="10" t="s">
        <v>21</v>
      </c>
      <c r="N899" s="10" t="s">
        <v>41641</v>
      </c>
      <c r="O899" s="10" t="s">
        <v>372</v>
      </c>
      <c r="P899" s="1" t="s">
        <v>30089</v>
      </c>
      <c r="Q899" s="64" t="s">
        <v>41642</v>
      </c>
      <c r="R899" s="10" t="s">
        <v>512</v>
      </c>
      <c r="S899" s="63" t="s">
        <v>29</v>
      </c>
      <c r="T899" s="68" t="s">
        <v>26575</v>
      </c>
      <c r="U899" s="68" t="s">
        <v>26575</v>
      </c>
      <c r="V899" s="68">
        <v>0</v>
      </c>
      <c r="W899" s="68" t="s">
        <v>94</v>
      </c>
      <c r="X899" s="68">
        <v>4679</v>
      </c>
      <c r="Z899" s="68" t="s">
        <v>42968</v>
      </c>
      <c r="AA899" s="33">
        <v>6773</v>
      </c>
    </row>
    <row r="900" spans="1:27" ht="12" customHeight="1" x14ac:dyDescent="0.15">
      <c r="A900" s="10" t="s">
        <v>40144</v>
      </c>
      <c r="B900" s="99">
        <v>21</v>
      </c>
      <c r="C900" s="10" t="s">
        <v>103</v>
      </c>
      <c r="D900" s="10" t="s">
        <v>42</v>
      </c>
      <c r="E900" s="64" t="s">
        <v>40145</v>
      </c>
      <c r="F900" s="67">
        <v>43529</v>
      </c>
      <c r="G900" s="10" t="s">
        <v>40146</v>
      </c>
      <c r="H900" s="10" t="s">
        <v>631</v>
      </c>
      <c r="I900" s="70" t="s">
        <v>39</v>
      </c>
      <c r="J900" s="65">
        <v>93307</v>
      </c>
      <c r="K900" s="10" t="s">
        <v>632</v>
      </c>
      <c r="L900" s="10" t="s">
        <v>5161</v>
      </c>
      <c r="M900" s="10" t="s">
        <v>21</v>
      </c>
      <c r="N900" s="10" t="s">
        <v>40147</v>
      </c>
      <c r="O900" s="10" t="s">
        <v>372</v>
      </c>
      <c r="P900" s="1" t="s">
        <v>30089</v>
      </c>
      <c r="Q900" s="64" t="s">
        <v>40148</v>
      </c>
      <c r="R900" s="10" t="s">
        <v>94</v>
      </c>
      <c r="S900" s="63" t="s">
        <v>12</v>
      </c>
      <c r="T900" s="68" t="s">
        <v>29705</v>
      </c>
      <c r="U900" s="68" t="s">
        <v>26570</v>
      </c>
      <c r="V900" s="68" t="s">
        <v>26571</v>
      </c>
      <c r="W900" s="68" t="s">
        <v>94</v>
      </c>
      <c r="X900" s="68">
        <v>4567</v>
      </c>
      <c r="Z900" s="68" t="s">
        <v>42968</v>
      </c>
      <c r="AA900" s="33">
        <v>6772</v>
      </c>
    </row>
    <row r="901" spans="1:27" ht="12" customHeight="1" x14ac:dyDescent="0.15">
      <c r="A901" s="10" t="s">
        <v>40956</v>
      </c>
      <c r="B901" s="99">
        <v>63</v>
      </c>
      <c r="C901" s="10" t="s">
        <v>14</v>
      </c>
      <c r="D901" s="10" t="s">
        <v>31</v>
      </c>
      <c r="E901" s="10"/>
      <c r="F901" s="67">
        <v>43528</v>
      </c>
      <c r="G901" s="10" t="s">
        <v>40957</v>
      </c>
      <c r="H901" s="10" t="s">
        <v>39750</v>
      </c>
      <c r="I901" s="10" t="s">
        <v>39</v>
      </c>
      <c r="J901" s="65">
        <v>92270</v>
      </c>
      <c r="K901" s="10" t="s">
        <v>728</v>
      </c>
      <c r="L901" s="10" t="s">
        <v>729</v>
      </c>
      <c r="M901" s="10" t="s">
        <v>21</v>
      </c>
      <c r="N901" s="10" t="s">
        <v>40958</v>
      </c>
      <c r="O901" s="10" t="s">
        <v>372</v>
      </c>
      <c r="P901" s="1" t="s">
        <v>30089</v>
      </c>
      <c r="Q901" s="64" t="s">
        <v>40959</v>
      </c>
      <c r="R901" s="10" t="s">
        <v>512</v>
      </c>
      <c r="S901" s="63" t="s">
        <v>22</v>
      </c>
      <c r="T901" s="68" t="s">
        <v>26781</v>
      </c>
      <c r="U901" s="68" t="s">
        <v>26572</v>
      </c>
      <c r="V901" s="68">
        <v>0</v>
      </c>
      <c r="W901" s="68" t="s">
        <v>94</v>
      </c>
      <c r="X901" s="68">
        <v>4534</v>
      </c>
      <c r="Z901" s="68" t="s">
        <v>42968</v>
      </c>
      <c r="AA901" s="33">
        <v>6766</v>
      </c>
    </row>
    <row r="902" spans="1:27" ht="12" customHeight="1" x14ac:dyDescent="0.15">
      <c r="A902" s="10" t="s">
        <v>37334</v>
      </c>
      <c r="B902" s="99">
        <v>36</v>
      </c>
      <c r="C902" s="10" t="s">
        <v>14</v>
      </c>
      <c r="D902" s="10" t="s">
        <v>79</v>
      </c>
      <c r="E902" s="64" t="s">
        <v>37335</v>
      </c>
      <c r="F902" s="67">
        <v>43528</v>
      </c>
      <c r="G902" s="10" t="s">
        <v>37336</v>
      </c>
      <c r="H902" s="10" t="s">
        <v>1734</v>
      </c>
      <c r="I902" s="70" t="s">
        <v>342</v>
      </c>
      <c r="J902" s="65">
        <v>50315</v>
      </c>
      <c r="K902" s="10" t="s">
        <v>1736</v>
      </c>
      <c r="L902" s="10" t="s">
        <v>1737</v>
      </c>
      <c r="M902" s="10" t="s">
        <v>21</v>
      </c>
      <c r="N902" s="10" t="s">
        <v>37337</v>
      </c>
      <c r="O902" s="10" t="s">
        <v>372</v>
      </c>
      <c r="P902" s="1" t="s">
        <v>30089</v>
      </c>
      <c r="Q902" s="64" t="s">
        <v>37338</v>
      </c>
      <c r="R902" s="10" t="s">
        <v>94</v>
      </c>
      <c r="S902" s="63" t="s">
        <v>22</v>
      </c>
      <c r="T902" s="68" t="s">
        <v>26781</v>
      </c>
      <c r="U902" s="68" t="s">
        <v>26572</v>
      </c>
      <c r="V902" s="68" t="s">
        <v>26574</v>
      </c>
      <c r="W902" s="68" t="s">
        <v>94</v>
      </c>
      <c r="X902" s="68">
        <v>4526</v>
      </c>
      <c r="Z902" s="68" t="s">
        <v>42968</v>
      </c>
      <c r="AA902" s="33">
        <v>6763</v>
      </c>
    </row>
    <row r="903" spans="1:27" ht="12" customHeight="1" x14ac:dyDescent="0.15">
      <c r="A903" s="10" t="s">
        <v>38596</v>
      </c>
      <c r="B903" s="99">
        <v>27</v>
      </c>
      <c r="C903" s="10" t="s">
        <v>14</v>
      </c>
      <c r="D903" s="10" t="s">
        <v>42</v>
      </c>
      <c r="E903" s="64" t="s">
        <v>38597</v>
      </c>
      <c r="F903" s="67">
        <v>43528</v>
      </c>
      <c r="G903" s="10" t="s">
        <v>38598</v>
      </c>
      <c r="H903" s="10" t="s">
        <v>532</v>
      </c>
      <c r="I903" s="70" t="s">
        <v>67</v>
      </c>
      <c r="J903" s="65">
        <v>78249</v>
      </c>
      <c r="K903" s="10" t="s">
        <v>533</v>
      </c>
      <c r="L903" s="10" t="s">
        <v>534</v>
      </c>
      <c r="M903" s="10" t="s">
        <v>21</v>
      </c>
      <c r="N903" s="10" t="s">
        <v>38599</v>
      </c>
      <c r="O903" s="10" t="s">
        <v>372</v>
      </c>
      <c r="P903" s="1" t="s">
        <v>30089</v>
      </c>
      <c r="Q903" s="64" t="s">
        <v>38600</v>
      </c>
      <c r="R903" s="10" t="s">
        <v>94</v>
      </c>
      <c r="S903" s="63" t="s">
        <v>22</v>
      </c>
      <c r="T903" s="68" t="s">
        <v>26781</v>
      </c>
      <c r="U903" s="68" t="s">
        <v>26572</v>
      </c>
      <c r="V903" s="68" t="s">
        <v>26573</v>
      </c>
      <c r="W903" s="68" t="s">
        <v>94</v>
      </c>
      <c r="X903" s="68">
        <v>4539</v>
      </c>
      <c r="Z903" s="68" t="s">
        <v>42968</v>
      </c>
      <c r="AA903" s="33">
        <v>6764</v>
      </c>
    </row>
    <row r="904" spans="1:27" ht="12" customHeight="1" x14ac:dyDescent="0.15">
      <c r="A904" s="10" t="s">
        <v>38601</v>
      </c>
      <c r="B904" s="99">
        <v>17</v>
      </c>
      <c r="C904" s="10" t="s">
        <v>14</v>
      </c>
      <c r="D904" s="10" t="s">
        <v>42</v>
      </c>
      <c r="E904" s="64" t="s">
        <v>38602</v>
      </c>
      <c r="F904" s="67">
        <v>43528</v>
      </c>
      <c r="G904" s="10" t="s">
        <v>38603</v>
      </c>
      <c r="H904" s="10" t="s">
        <v>532</v>
      </c>
      <c r="I904" s="70" t="s">
        <v>67</v>
      </c>
      <c r="J904" s="65">
        <v>78210</v>
      </c>
      <c r="K904" s="10" t="s">
        <v>533</v>
      </c>
      <c r="L904" s="10" t="s">
        <v>534</v>
      </c>
      <c r="M904" s="10" t="s">
        <v>21</v>
      </c>
      <c r="N904" s="10" t="s">
        <v>38604</v>
      </c>
      <c r="O904" s="10" t="s">
        <v>372</v>
      </c>
      <c r="P904" s="1" t="s">
        <v>30089</v>
      </c>
      <c r="Q904" s="64" t="s">
        <v>38600</v>
      </c>
      <c r="R904" s="10" t="s">
        <v>94</v>
      </c>
      <c r="S904" s="63" t="s">
        <v>22</v>
      </c>
      <c r="T904" s="68" t="s">
        <v>26781</v>
      </c>
      <c r="U904" s="68" t="s">
        <v>26572</v>
      </c>
      <c r="V904" s="68" t="s">
        <v>26571</v>
      </c>
      <c r="W904" s="68" t="s">
        <v>94</v>
      </c>
      <c r="X904" s="68">
        <v>4540</v>
      </c>
      <c r="Z904" s="68" t="s">
        <v>42966</v>
      </c>
      <c r="AA904" s="33">
        <v>6765</v>
      </c>
    </row>
    <row r="905" spans="1:27" ht="12" customHeight="1" x14ac:dyDescent="0.15">
      <c r="A905" s="10" t="s">
        <v>39816</v>
      </c>
      <c r="B905" s="100">
        <v>22</v>
      </c>
      <c r="C905" s="10" t="s">
        <v>14</v>
      </c>
      <c r="D905" s="10" t="s">
        <v>79</v>
      </c>
      <c r="E905" s="62" t="s">
        <v>39817</v>
      </c>
      <c r="F905" s="67">
        <v>43528</v>
      </c>
      <c r="G905" s="10" t="s">
        <v>39818</v>
      </c>
      <c r="H905" s="10" t="s">
        <v>3508</v>
      </c>
      <c r="I905" s="10" t="s">
        <v>192</v>
      </c>
      <c r="J905" s="65">
        <v>80014</v>
      </c>
      <c r="K905" s="10" t="s">
        <v>3510</v>
      </c>
      <c r="L905" s="10" t="s">
        <v>3511</v>
      </c>
      <c r="M905" s="10" t="s">
        <v>21</v>
      </c>
      <c r="N905" s="10" t="s">
        <v>39819</v>
      </c>
      <c r="O905" s="10" t="s">
        <v>31972</v>
      </c>
      <c r="P905" s="1" t="s">
        <v>30089</v>
      </c>
      <c r="Q905" s="64" t="s">
        <v>39820</v>
      </c>
      <c r="R905" s="10" t="s">
        <v>94</v>
      </c>
      <c r="S905" s="63" t="s">
        <v>22</v>
      </c>
      <c r="T905" s="68" t="s">
        <v>26593</v>
      </c>
      <c r="U905" s="68" t="s">
        <v>26570</v>
      </c>
      <c r="V905" s="68" t="s">
        <v>26573</v>
      </c>
      <c r="W905" s="68" t="s">
        <v>512</v>
      </c>
      <c r="X905" s="68">
        <v>4547</v>
      </c>
      <c r="Z905" s="68" t="s">
        <v>42966</v>
      </c>
      <c r="AA905" s="33">
        <v>6767</v>
      </c>
    </row>
    <row r="906" spans="1:27" ht="12" customHeight="1" x14ac:dyDescent="0.15">
      <c r="A906" s="10" t="s">
        <v>40027</v>
      </c>
      <c r="B906" s="100">
        <v>40</v>
      </c>
      <c r="C906" s="10" t="s">
        <v>14</v>
      </c>
      <c r="D906" s="10" t="s">
        <v>24</v>
      </c>
      <c r="E906" s="10"/>
      <c r="F906" s="67">
        <v>43527</v>
      </c>
      <c r="G906" s="10" t="s">
        <v>40028</v>
      </c>
      <c r="H906" s="10" t="s">
        <v>40029</v>
      </c>
      <c r="I906" s="10" t="s">
        <v>282</v>
      </c>
      <c r="J906" s="65">
        <v>98336</v>
      </c>
      <c r="K906" s="10" t="s">
        <v>1441</v>
      </c>
      <c r="L906" s="10" t="s">
        <v>36532</v>
      </c>
      <c r="M906" s="10" t="s">
        <v>21</v>
      </c>
      <c r="N906" s="10" t="s">
        <v>40030</v>
      </c>
      <c r="O906" s="10" t="s">
        <v>372</v>
      </c>
      <c r="P906" s="1" t="s">
        <v>30089</v>
      </c>
      <c r="Q906" s="64" t="s">
        <v>40031</v>
      </c>
      <c r="R906" s="10" t="s">
        <v>94</v>
      </c>
      <c r="S906" s="63" t="s">
        <v>12</v>
      </c>
      <c r="T906" s="68" t="s">
        <v>39971</v>
      </c>
      <c r="U906" s="68" t="s">
        <v>26572</v>
      </c>
      <c r="V906" s="68" t="s">
        <v>26573</v>
      </c>
      <c r="W906" s="68" t="s">
        <v>94</v>
      </c>
      <c r="X906" s="68">
        <v>4551</v>
      </c>
      <c r="Z906" s="68" t="s">
        <v>42967</v>
      </c>
      <c r="AA906" s="33">
        <v>6762</v>
      </c>
    </row>
    <row r="907" spans="1:27" ht="12" customHeight="1" x14ac:dyDescent="0.15">
      <c r="A907" s="10" t="s">
        <v>41152</v>
      </c>
      <c r="B907" s="99">
        <v>49</v>
      </c>
      <c r="C907" s="10" t="s">
        <v>14</v>
      </c>
      <c r="D907" s="10" t="s">
        <v>24</v>
      </c>
      <c r="E907" s="10"/>
      <c r="F907" s="67">
        <v>43526</v>
      </c>
      <c r="G907" s="10" t="s">
        <v>41153</v>
      </c>
      <c r="H907" s="10" t="s">
        <v>41154</v>
      </c>
      <c r="I907" s="70" t="s">
        <v>51</v>
      </c>
      <c r="J907" s="65">
        <v>48759</v>
      </c>
      <c r="K907" s="10" t="s">
        <v>14733</v>
      </c>
      <c r="L907" s="10" t="s">
        <v>28930</v>
      </c>
      <c r="M907" s="10" t="s">
        <v>21</v>
      </c>
      <c r="N907" s="10" t="s">
        <v>41155</v>
      </c>
      <c r="O907" s="10" t="s">
        <v>372</v>
      </c>
      <c r="P907" s="1" t="s">
        <v>30089</v>
      </c>
      <c r="Q907" s="64" t="s">
        <v>41156</v>
      </c>
      <c r="R907" s="10" t="s">
        <v>512</v>
      </c>
      <c r="S907" s="63" t="s">
        <v>22</v>
      </c>
      <c r="T907" s="68" t="s">
        <v>26781</v>
      </c>
      <c r="U907" s="68" t="s">
        <v>26572</v>
      </c>
      <c r="V907" s="68" t="s">
        <v>26573</v>
      </c>
      <c r="W907" s="68" t="s">
        <v>94</v>
      </c>
      <c r="X907" s="68">
        <v>4525</v>
      </c>
      <c r="Z907" s="68" t="s">
        <v>42967</v>
      </c>
      <c r="AA907" s="33">
        <v>6758</v>
      </c>
    </row>
    <row r="908" spans="1:27" ht="12" customHeight="1" x14ac:dyDescent="0.15">
      <c r="A908" s="10" t="s">
        <v>41511</v>
      </c>
      <c r="B908" s="99">
        <v>33</v>
      </c>
      <c r="C908" s="10" t="s">
        <v>14</v>
      </c>
      <c r="D908" s="10" t="s">
        <v>31</v>
      </c>
      <c r="E908" s="64" t="s">
        <v>41512</v>
      </c>
      <c r="F908" s="67">
        <v>43526</v>
      </c>
      <c r="G908" s="10" t="s">
        <v>41513</v>
      </c>
      <c r="H908" s="10" t="s">
        <v>41514</v>
      </c>
      <c r="I908" s="10" t="s">
        <v>338</v>
      </c>
      <c r="J908" s="65">
        <v>28120</v>
      </c>
      <c r="K908" s="10" t="s">
        <v>779</v>
      </c>
      <c r="L908" s="10" t="s">
        <v>41515</v>
      </c>
      <c r="M908" s="10" t="s">
        <v>21</v>
      </c>
      <c r="N908" s="10" t="s">
        <v>41516</v>
      </c>
      <c r="O908" s="10" t="s">
        <v>372</v>
      </c>
      <c r="P908" s="1" t="s">
        <v>30089</v>
      </c>
      <c r="Q908" s="64" t="s">
        <v>41517</v>
      </c>
      <c r="R908" s="10" t="s">
        <v>512</v>
      </c>
      <c r="S908" s="63" t="s">
        <v>22</v>
      </c>
      <c r="T908" s="68" t="s">
        <v>28239</v>
      </c>
      <c r="U908" s="68" t="s">
        <v>26570</v>
      </c>
      <c r="V908" s="68" t="s">
        <v>26573</v>
      </c>
      <c r="W908" s="68" t="s">
        <v>94</v>
      </c>
      <c r="X908" s="68">
        <v>4538</v>
      </c>
      <c r="Z908" s="68" t="s">
        <v>42968</v>
      </c>
      <c r="AA908" s="33">
        <v>6759</v>
      </c>
    </row>
    <row r="909" spans="1:27" ht="12" customHeight="1" x14ac:dyDescent="0.15">
      <c r="A909" s="63" t="s">
        <v>40097</v>
      </c>
      <c r="B909" s="101">
        <v>46</v>
      </c>
      <c r="C909" s="10" t="s">
        <v>14</v>
      </c>
      <c r="D909" s="10" t="s">
        <v>31</v>
      </c>
      <c r="E909" s="10"/>
      <c r="F909" s="67">
        <v>43526</v>
      </c>
      <c r="G909" s="10" t="s">
        <v>40098</v>
      </c>
      <c r="H909" s="10" t="s">
        <v>40099</v>
      </c>
      <c r="I909" s="70" t="s">
        <v>409</v>
      </c>
      <c r="J909" s="65">
        <v>54722</v>
      </c>
      <c r="K909" s="10" t="s">
        <v>20889</v>
      </c>
      <c r="L909" s="10" t="s">
        <v>20890</v>
      </c>
      <c r="M909" s="10" t="s">
        <v>21</v>
      </c>
      <c r="N909" s="10" t="s">
        <v>40100</v>
      </c>
      <c r="O909" s="10" t="s">
        <v>372</v>
      </c>
      <c r="P909" s="1" t="s">
        <v>30089</v>
      </c>
      <c r="Q909" s="64" t="s">
        <v>40101</v>
      </c>
      <c r="R909" s="10" t="s">
        <v>94</v>
      </c>
      <c r="S909" s="63" t="s">
        <v>12</v>
      </c>
      <c r="T909" s="68" t="s">
        <v>29705</v>
      </c>
      <c r="U909" s="68" t="s">
        <v>26572</v>
      </c>
      <c r="V909" s="68" t="s">
        <v>26573</v>
      </c>
      <c r="W909" s="68" t="s">
        <v>94</v>
      </c>
      <c r="X909" s="68">
        <v>4541</v>
      </c>
      <c r="Z909" s="68" t="s">
        <v>42967</v>
      </c>
      <c r="AA909" s="33">
        <v>6760</v>
      </c>
    </row>
    <row r="910" spans="1:27" ht="12" customHeight="1" x14ac:dyDescent="0.15">
      <c r="A910" s="10" t="s">
        <v>40310</v>
      </c>
      <c r="B910" s="99">
        <v>35</v>
      </c>
      <c r="C910" s="10" t="s">
        <v>103</v>
      </c>
      <c r="D910" s="10" t="s">
        <v>31</v>
      </c>
      <c r="E910" s="64" t="s">
        <v>40311</v>
      </c>
      <c r="F910" s="67">
        <v>43526</v>
      </c>
      <c r="G910" s="10" t="s">
        <v>40312</v>
      </c>
      <c r="H910" s="10" t="s">
        <v>18016</v>
      </c>
      <c r="I910" s="10" t="s">
        <v>294</v>
      </c>
      <c r="J910" s="65">
        <v>41143</v>
      </c>
      <c r="K910" s="10" t="s">
        <v>761</v>
      </c>
      <c r="L910" s="10" t="s">
        <v>18258</v>
      </c>
      <c r="M910" s="10" t="s">
        <v>21</v>
      </c>
      <c r="N910" s="10" t="s">
        <v>40313</v>
      </c>
      <c r="O910" s="10" t="s">
        <v>372</v>
      </c>
      <c r="P910" s="1" t="s">
        <v>30089</v>
      </c>
      <c r="Q910" s="64" t="s">
        <v>40314</v>
      </c>
      <c r="R910" s="10" t="s">
        <v>94</v>
      </c>
      <c r="S910" s="63" t="s">
        <v>29</v>
      </c>
      <c r="T910" s="68" t="s">
        <v>26575</v>
      </c>
      <c r="U910" s="68" t="s">
        <v>26570</v>
      </c>
      <c r="V910" s="68">
        <v>0</v>
      </c>
      <c r="W910" s="68" t="s">
        <v>94</v>
      </c>
      <c r="X910" s="68">
        <v>4542</v>
      </c>
      <c r="Z910" s="68" t="s">
        <v>42967</v>
      </c>
      <c r="AA910" s="33">
        <v>6761</v>
      </c>
    </row>
    <row r="911" spans="1:27" ht="12" customHeight="1" x14ac:dyDescent="0.15">
      <c r="A911" s="10" t="s">
        <v>39729</v>
      </c>
      <c r="B911" s="100">
        <v>50</v>
      </c>
      <c r="C911" s="10" t="s">
        <v>14</v>
      </c>
      <c r="D911" s="10" t="s">
        <v>24</v>
      </c>
      <c r="E911" s="10"/>
      <c r="F911" s="67">
        <v>43525</v>
      </c>
      <c r="G911" s="10" t="s">
        <v>39730</v>
      </c>
      <c r="H911" s="10" t="s">
        <v>743</v>
      </c>
      <c r="I911" s="10" t="s">
        <v>67</v>
      </c>
      <c r="J911" s="65">
        <v>76706</v>
      </c>
      <c r="K911" s="10" t="s">
        <v>744</v>
      </c>
      <c r="L911" s="10" t="s">
        <v>745</v>
      </c>
      <c r="M911" s="10" t="s">
        <v>21</v>
      </c>
      <c r="N911" s="10" t="s">
        <v>39731</v>
      </c>
      <c r="O911" s="10" t="s">
        <v>372</v>
      </c>
      <c r="P911" s="1" t="s">
        <v>30089</v>
      </c>
      <c r="Q911" s="64" t="s">
        <v>39732</v>
      </c>
      <c r="R911" s="10" t="s">
        <v>94</v>
      </c>
      <c r="S911" s="63" t="s">
        <v>22</v>
      </c>
      <c r="T911" s="68" t="s">
        <v>26774</v>
      </c>
      <c r="U911" s="68" t="s">
        <v>26572</v>
      </c>
      <c r="V911" s="68" t="s">
        <v>26573</v>
      </c>
      <c r="W911" s="68" t="s">
        <v>94</v>
      </c>
      <c r="X911" s="68">
        <v>4543</v>
      </c>
      <c r="Z911" s="68" t="s">
        <v>42968</v>
      </c>
      <c r="AA911" s="33">
        <v>6755</v>
      </c>
    </row>
    <row r="912" spans="1:27" ht="12" customHeight="1" x14ac:dyDescent="0.15">
      <c r="A912" s="10" t="s">
        <v>40079</v>
      </c>
      <c r="B912" s="99">
        <v>47</v>
      </c>
      <c r="C912" s="10" t="s">
        <v>14</v>
      </c>
      <c r="D912" s="10" t="s">
        <v>885</v>
      </c>
      <c r="E912" s="10"/>
      <c r="F912" s="67">
        <v>43525</v>
      </c>
      <c r="G912" s="10" t="s">
        <v>40080</v>
      </c>
      <c r="H912" s="10" t="s">
        <v>2196</v>
      </c>
      <c r="I912" s="70" t="s">
        <v>814</v>
      </c>
      <c r="J912" s="65">
        <v>96819</v>
      </c>
      <c r="K912" s="10" t="s">
        <v>2196</v>
      </c>
      <c r="L912" s="10" t="s">
        <v>40076</v>
      </c>
      <c r="M912" s="10" t="s">
        <v>21</v>
      </c>
      <c r="N912" s="10" t="s">
        <v>40081</v>
      </c>
      <c r="O912" s="10" t="s">
        <v>372</v>
      </c>
      <c r="P912" s="1" t="s">
        <v>30089</v>
      </c>
      <c r="Q912" s="64" t="s">
        <v>40082</v>
      </c>
      <c r="R912" s="10" t="s">
        <v>94</v>
      </c>
      <c r="S912" s="63" t="s">
        <v>12</v>
      </c>
      <c r="T912" s="68" t="s">
        <v>29705</v>
      </c>
      <c r="U912" s="68" t="s">
        <v>26570</v>
      </c>
      <c r="V912" s="68" t="s">
        <v>26574</v>
      </c>
      <c r="W912" s="68" t="s">
        <v>94</v>
      </c>
      <c r="X912" s="68">
        <v>4550</v>
      </c>
      <c r="Z912" s="68" t="s">
        <v>42968</v>
      </c>
      <c r="AA912" s="33">
        <v>6756</v>
      </c>
    </row>
    <row r="913" spans="1:27" ht="12" customHeight="1" x14ac:dyDescent="0.15">
      <c r="A913" s="10" t="s">
        <v>40377</v>
      </c>
      <c r="B913" s="99">
        <v>26</v>
      </c>
      <c r="C913" s="10" t="s">
        <v>14</v>
      </c>
      <c r="D913" s="10" t="s">
        <v>42</v>
      </c>
      <c r="E913" s="10"/>
      <c r="F913" s="67">
        <v>43525</v>
      </c>
      <c r="G913" s="10" t="s">
        <v>40378</v>
      </c>
      <c r="H913" s="10" t="s">
        <v>4499</v>
      </c>
      <c r="I913" s="70" t="s">
        <v>67</v>
      </c>
      <c r="J913" s="65">
        <v>75840</v>
      </c>
      <c r="K913" s="10" t="s">
        <v>40379</v>
      </c>
      <c r="L913" s="10" t="s">
        <v>4501</v>
      </c>
      <c r="M913" s="10" t="s">
        <v>21</v>
      </c>
      <c r="N913" s="10" t="s">
        <v>40380</v>
      </c>
      <c r="O913" s="10" t="s">
        <v>372</v>
      </c>
      <c r="P913" s="1" t="s">
        <v>30089</v>
      </c>
      <c r="Q913" s="64" t="s">
        <v>40381</v>
      </c>
      <c r="R913" s="10" t="s">
        <v>94</v>
      </c>
      <c r="S913" s="63" t="s">
        <v>29</v>
      </c>
      <c r="T913" s="68" t="s">
        <v>26575</v>
      </c>
      <c r="U913" s="68" t="s">
        <v>26575</v>
      </c>
      <c r="V913" s="68">
        <v>0</v>
      </c>
      <c r="W913" s="68" t="s">
        <v>94</v>
      </c>
      <c r="X913" s="68">
        <v>4523</v>
      </c>
      <c r="Z913" s="68" t="s">
        <v>42967</v>
      </c>
      <c r="AA913" s="33">
        <v>6757</v>
      </c>
    </row>
    <row r="914" spans="1:27" ht="12" customHeight="1" x14ac:dyDescent="0.15">
      <c r="A914" s="10" t="s">
        <v>38592</v>
      </c>
      <c r="B914" s="99">
        <v>20</v>
      </c>
      <c r="C914" s="10" t="s">
        <v>103</v>
      </c>
      <c r="D914" s="10" t="s">
        <v>42</v>
      </c>
      <c r="E914" s="10"/>
      <c r="F914" s="67">
        <v>43525</v>
      </c>
      <c r="G914" s="10" t="s">
        <v>38593</v>
      </c>
      <c r="H914" s="10" t="s">
        <v>5818</v>
      </c>
      <c r="I914" s="10" t="s">
        <v>39</v>
      </c>
      <c r="J914" s="65">
        <v>93905</v>
      </c>
      <c r="K914" s="10" t="s">
        <v>59</v>
      </c>
      <c r="L914" s="10" t="s">
        <v>5820</v>
      </c>
      <c r="M914" s="10" t="s">
        <v>21</v>
      </c>
      <c r="N914" s="10" t="s">
        <v>38594</v>
      </c>
      <c r="O914" s="10" t="s">
        <v>372</v>
      </c>
      <c r="P914" s="1" t="s">
        <v>30089</v>
      </c>
      <c r="Q914" s="64" t="s">
        <v>38595</v>
      </c>
      <c r="R914" s="10" t="s">
        <v>94</v>
      </c>
      <c r="S914" s="63" t="s">
        <v>22</v>
      </c>
      <c r="T914" s="68" t="s">
        <v>26781</v>
      </c>
      <c r="U914" s="68" t="s">
        <v>26570</v>
      </c>
      <c r="V914" s="68">
        <v>0</v>
      </c>
      <c r="W914" s="68" t="s">
        <v>94</v>
      </c>
      <c r="X914" s="68">
        <v>4536</v>
      </c>
      <c r="Z914" s="68" t="s">
        <v>42968</v>
      </c>
      <c r="AA914" s="33">
        <v>6754</v>
      </c>
    </row>
    <row r="915" spans="1:27" ht="12" customHeight="1" x14ac:dyDescent="0.15">
      <c r="A915" s="10" t="s">
        <v>40951</v>
      </c>
      <c r="B915" s="99">
        <v>29</v>
      </c>
      <c r="C915" s="10" t="s">
        <v>14</v>
      </c>
      <c r="D915" s="10" t="s">
        <v>31</v>
      </c>
      <c r="E915" s="64" t="s">
        <v>40952</v>
      </c>
      <c r="F915" s="67">
        <v>43524</v>
      </c>
      <c r="G915" s="10" t="s">
        <v>40953</v>
      </c>
      <c r="H915" s="10" t="s">
        <v>3086</v>
      </c>
      <c r="I915" s="70" t="s">
        <v>282</v>
      </c>
      <c r="J915" s="65">
        <v>98660</v>
      </c>
      <c r="K915" s="10" t="s">
        <v>527</v>
      </c>
      <c r="L915" s="10" t="s">
        <v>5331</v>
      </c>
      <c r="M915" s="10" t="s">
        <v>21</v>
      </c>
      <c r="N915" s="10" t="s">
        <v>40954</v>
      </c>
      <c r="O915" s="10" t="s">
        <v>372</v>
      </c>
      <c r="P915" s="1" t="s">
        <v>30089</v>
      </c>
      <c r="Q915" s="64" t="s">
        <v>40955</v>
      </c>
      <c r="R915" s="10" t="s">
        <v>512</v>
      </c>
      <c r="S915" s="63" t="s">
        <v>22</v>
      </c>
      <c r="T915" s="68" t="s">
        <v>26781</v>
      </c>
      <c r="U915" s="68" t="s">
        <v>26572</v>
      </c>
      <c r="V915" s="68" t="s">
        <v>26573</v>
      </c>
      <c r="W915" s="68" t="s">
        <v>94</v>
      </c>
      <c r="X915" s="68">
        <v>4524</v>
      </c>
      <c r="Z915" s="68" t="s">
        <v>42968</v>
      </c>
      <c r="AA915" s="33">
        <v>6753</v>
      </c>
    </row>
    <row r="916" spans="1:27" ht="12" customHeight="1" x14ac:dyDescent="0.15">
      <c r="A916" s="10" t="s">
        <v>38586</v>
      </c>
      <c r="B916" s="99">
        <v>36</v>
      </c>
      <c r="C916" s="10" t="s">
        <v>14</v>
      </c>
      <c r="D916" s="10" t="s">
        <v>42</v>
      </c>
      <c r="E916" s="64" t="s">
        <v>38587</v>
      </c>
      <c r="F916" s="67">
        <v>43524</v>
      </c>
      <c r="G916" s="10" t="s">
        <v>38588</v>
      </c>
      <c r="H916" s="10" t="s">
        <v>29366</v>
      </c>
      <c r="I916" s="10" t="s">
        <v>192</v>
      </c>
      <c r="J916" s="65">
        <v>80124</v>
      </c>
      <c r="K916" s="10" t="s">
        <v>882</v>
      </c>
      <c r="L916" s="10" t="s">
        <v>38589</v>
      </c>
      <c r="M916" s="10" t="s">
        <v>21</v>
      </c>
      <c r="N916" s="10" t="s">
        <v>38590</v>
      </c>
      <c r="O916" s="10" t="s">
        <v>372</v>
      </c>
      <c r="P916" s="1" t="s">
        <v>30089</v>
      </c>
      <c r="Q916" s="64" t="s">
        <v>38591</v>
      </c>
      <c r="R916" s="10" t="s">
        <v>94</v>
      </c>
      <c r="S916" s="63" t="s">
        <v>22</v>
      </c>
      <c r="T916" s="68" t="s">
        <v>26781</v>
      </c>
      <c r="U916" s="68" t="s">
        <v>26570</v>
      </c>
      <c r="V916" s="68" t="s">
        <v>26574</v>
      </c>
      <c r="W916" s="68" t="s">
        <v>94</v>
      </c>
      <c r="X916" s="68">
        <v>4528</v>
      </c>
      <c r="Z916" s="68" t="s">
        <v>42968</v>
      </c>
      <c r="AA916" s="33">
        <v>6752</v>
      </c>
    </row>
    <row r="917" spans="1:27" ht="12" customHeight="1" x14ac:dyDescent="0.15">
      <c r="A917" s="10" t="s">
        <v>40532</v>
      </c>
      <c r="B917" s="99">
        <v>21</v>
      </c>
      <c r="C917" s="10" t="s">
        <v>14</v>
      </c>
      <c r="D917" s="10" t="s">
        <v>24</v>
      </c>
      <c r="E917" s="10"/>
      <c r="F917" s="67">
        <v>43523</v>
      </c>
      <c r="G917" s="10" t="s">
        <v>40533</v>
      </c>
      <c r="H917" s="10" t="s">
        <v>7063</v>
      </c>
      <c r="I917" s="70" t="s">
        <v>19</v>
      </c>
      <c r="J917" s="65">
        <v>70634</v>
      </c>
      <c r="K917" s="10" t="s">
        <v>7065</v>
      </c>
      <c r="L917" s="10" t="s">
        <v>40534</v>
      </c>
      <c r="M917" s="10" t="s">
        <v>21</v>
      </c>
      <c r="N917" s="10" t="s">
        <v>40535</v>
      </c>
      <c r="O917" s="10" t="s">
        <v>372</v>
      </c>
      <c r="P917" s="1" t="s">
        <v>30089</v>
      </c>
      <c r="Q917" s="64" t="s">
        <v>40536</v>
      </c>
      <c r="R917" s="10" t="s">
        <v>94</v>
      </c>
      <c r="S917" s="63" t="s">
        <v>29</v>
      </c>
      <c r="T917" s="68" t="s">
        <v>26576</v>
      </c>
      <c r="U917" s="68" t="s">
        <v>26570</v>
      </c>
      <c r="V917" s="68">
        <v>0</v>
      </c>
      <c r="W917" s="68" t="s">
        <v>94</v>
      </c>
      <c r="X917" s="68">
        <v>4531</v>
      </c>
      <c r="Z917" s="68" t="s">
        <v>42967</v>
      </c>
      <c r="AA917" s="33">
        <v>6751</v>
      </c>
    </row>
    <row r="918" spans="1:27" ht="12" customHeight="1" x14ac:dyDescent="0.15">
      <c r="A918" s="10" t="s">
        <v>37245</v>
      </c>
      <c r="B918" s="99">
        <v>40</v>
      </c>
      <c r="C918" s="10" t="s">
        <v>14</v>
      </c>
      <c r="D918" s="10" t="s">
        <v>79</v>
      </c>
      <c r="E918" s="64" t="s">
        <v>37246</v>
      </c>
      <c r="F918" s="67">
        <v>43523</v>
      </c>
      <c r="G918" s="10" t="s">
        <v>37247</v>
      </c>
      <c r="H918" s="10" t="s">
        <v>13898</v>
      </c>
      <c r="I918" s="10" t="s">
        <v>67</v>
      </c>
      <c r="J918" s="65">
        <v>76541</v>
      </c>
      <c r="K918" s="10" t="s">
        <v>7728</v>
      </c>
      <c r="L918" s="10" t="s">
        <v>13900</v>
      </c>
      <c r="M918" s="10" t="s">
        <v>21</v>
      </c>
      <c r="N918" s="10" t="s">
        <v>37248</v>
      </c>
      <c r="O918" s="10" t="s">
        <v>372</v>
      </c>
      <c r="P918" s="1" t="s">
        <v>30089</v>
      </c>
      <c r="Q918" s="64" t="s">
        <v>37249</v>
      </c>
      <c r="R918" s="10" t="s">
        <v>94</v>
      </c>
      <c r="S918" s="63" t="s">
        <v>22</v>
      </c>
      <c r="T918" s="68" t="s">
        <v>26781</v>
      </c>
      <c r="U918" s="68" t="s">
        <v>26572</v>
      </c>
      <c r="V918" s="68" t="s">
        <v>26573</v>
      </c>
      <c r="W918" s="68" t="s">
        <v>94</v>
      </c>
      <c r="X918" s="68">
        <v>4495</v>
      </c>
      <c r="Z918" s="68" t="s">
        <v>42968</v>
      </c>
      <c r="AA918" s="33">
        <v>6749</v>
      </c>
    </row>
    <row r="919" spans="1:27" ht="12" customHeight="1" x14ac:dyDescent="0.15">
      <c r="A919" s="10" t="s">
        <v>38023</v>
      </c>
      <c r="B919" s="99">
        <v>48</v>
      </c>
      <c r="C919" s="10" t="s">
        <v>14</v>
      </c>
      <c r="D919" s="10" t="s">
        <v>31</v>
      </c>
      <c r="E919" s="64" t="s">
        <v>38024</v>
      </c>
      <c r="F919" s="67">
        <v>43523</v>
      </c>
      <c r="G919" s="10" t="s">
        <v>38025</v>
      </c>
      <c r="H919" s="10" t="s">
        <v>38026</v>
      </c>
      <c r="I919" s="10" t="s">
        <v>63</v>
      </c>
      <c r="J919" s="65">
        <v>44471</v>
      </c>
      <c r="K919" s="10" t="s">
        <v>14117</v>
      </c>
      <c r="L919" s="10" t="s">
        <v>32193</v>
      </c>
      <c r="M919" s="10" t="s">
        <v>21</v>
      </c>
      <c r="N919" s="10" t="s">
        <v>38027</v>
      </c>
      <c r="O919" s="10" t="s">
        <v>372</v>
      </c>
      <c r="P919" s="1" t="s">
        <v>30089</v>
      </c>
      <c r="Q919" s="64" t="s">
        <v>38028</v>
      </c>
      <c r="R919" s="10" t="s">
        <v>94</v>
      </c>
      <c r="S919" s="63" t="s">
        <v>22</v>
      </c>
      <c r="T919" s="68" t="s">
        <v>26781</v>
      </c>
      <c r="U919" s="68" t="s">
        <v>26572</v>
      </c>
      <c r="V919" s="68" t="s">
        <v>26573</v>
      </c>
      <c r="W919" s="68" t="s">
        <v>94</v>
      </c>
      <c r="X919" s="68">
        <v>4549</v>
      </c>
      <c r="Z919" s="68" t="s">
        <v>42968</v>
      </c>
      <c r="AA919" s="33">
        <v>6750</v>
      </c>
    </row>
    <row r="920" spans="1:27" ht="12" customHeight="1" x14ac:dyDescent="0.15">
      <c r="A920" s="10" t="s">
        <v>38886</v>
      </c>
      <c r="B920" s="99">
        <v>51</v>
      </c>
      <c r="C920" s="10" t="s">
        <v>14</v>
      </c>
      <c r="D920" s="10" t="s">
        <v>24</v>
      </c>
      <c r="E920" s="10"/>
      <c r="F920" s="67">
        <v>43522</v>
      </c>
      <c r="G920" s="10" t="s">
        <v>38887</v>
      </c>
      <c r="H920" s="10" t="s">
        <v>38888</v>
      </c>
      <c r="I920" s="10" t="s">
        <v>26</v>
      </c>
      <c r="J920" s="65">
        <v>29450</v>
      </c>
      <c r="K920" s="10" t="s">
        <v>4889</v>
      </c>
      <c r="L920" s="10" t="s">
        <v>17498</v>
      </c>
      <c r="M920" s="10" t="s">
        <v>21</v>
      </c>
      <c r="N920" s="10" t="s">
        <v>38889</v>
      </c>
      <c r="O920" s="10" t="s">
        <v>372</v>
      </c>
      <c r="P920" s="1" t="s">
        <v>30089</v>
      </c>
      <c r="Q920" s="64" t="s">
        <v>38890</v>
      </c>
      <c r="R920" s="10" t="s">
        <v>94</v>
      </c>
      <c r="S920" s="63" t="s">
        <v>22</v>
      </c>
      <c r="T920" s="68" t="s">
        <v>26781</v>
      </c>
      <c r="U920" s="68" t="s">
        <v>26572</v>
      </c>
      <c r="V920" s="68" t="s">
        <v>26573</v>
      </c>
      <c r="W920" s="68" t="s">
        <v>94</v>
      </c>
      <c r="X920" s="68">
        <v>4497</v>
      </c>
      <c r="Z920" s="68" t="s">
        <v>42967</v>
      </c>
      <c r="AA920" s="33">
        <v>6747</v>
      </c>
    </row>
    <row r="921" spans="1:27" ht="12" customHeight="1" x14ac:dyDescent="0.15">
      <c r="A921" s="10" t="s">
        <v>38007</v>
      </c>
      <c r="B921" s="99">
        <v>27</v>
      </c>
      <c r="C921" s="10" t="s">
        <v>14</v>
      </c>
      <c r="D921" s="10" t="s">
        <v>31</v>
      </c>
      <c r="E921" s="64" t="s">
        <v>38008</v>
      </c>
      <c r="F921" s="67">
        <v>43522</v>
      </c>
      <c r="G921" s="10" t="s">
        <v>38009</v>
      </c>
      <c r="H921" s="10" t="s">
        <v>38010</v>
      </c>
      <c r="I921" s="10" t="s">
        <v>122</v>
      </c>
      <c r="J921" s="65">
        <v>56354</v>
      </c>
      <c r="K921" s="10" t="s">
        <v>882</v>
      </c>
      <c r="L921" s="10" t="s">
        <v>1524</v>
      </c>
      <c r="M921" s="10" t="s">
        <v>21</v>
      </c>
      <c r="N921" s="10" t="s">
        <v>38011</v>
      </c>
      <c r="O921" s="10" t="s">
        <v>372</v>
      </c>
      <c r="P921" s="1" t="s">
        <v>30089</v>
      </c>
      <c r="Q921" s="64" t="s">
        <v>38012</v>
      </c>
      <c r="R921" s="10" t="s">
        <v>94</v>
      </c>
      <c r="S921" s="63" t="s">
        <v>22</v>
      </c>
      <c r="T921" s="68" t="s">
        <v>26781</v>
      </c>
      <c r="U921" s="68" t="s">
        <v>26570</v>
      </c>
      <c r="V921" s="68" t="s">
        <v>26573</v>
      </c>
      <c r="W921" s="68" t="s">
        <v>512</v>
      </c>
      <c r="X921" s="68">
        <v>4496</v>
      </c>
      <c r="Z921" s="68" t="s">
        <v>42967</v>
      </c>
      <c r="AA921" s="33">
        <v>6746</v>
      </c>
    </row>
    <row r="922" spans="1:27" ht="12" customHeight="1" x14ac:dyDescent="0.15">
      <c r="A922" s="10" t="s">
        <v>40654</v>
      </c>
      <c r="B922" s="99">
        <v>22</v>
      </c>
      <c r="C922" s="10" t="s">
        <v>103</v>
      </c>
      <c r="D922" s="10" t="s">
        <v>31</v>
      </c>
      <c r="E922" s="64" t="s">
        <v>40655</v>
      </c>
      <c r="F922" s="67">
        <v>43522</v>
      </c>
      <c r="G922" s="10" t="s">
        <v>40656</v>
      </c>
      <c r="H922" s="10" t="s">
        <v>40657</v>
      </c>
      <c r="I922" s="10" t="s">
        <v>160</v>
      </c>
      <c r="J922" s="65">
        <v>31331</v>
      </c>
      <c r="K922" s="10" t="s">
        <v>19437</v>
      </c>
      <c r="L922" s="10" t="s">
        <v>17985</v>
      </c>
      <c r="M922" s="10" t="s">
        <v>21</v>
      </c>
      <c r="N922" s="10" t="s">
        <v>40658</v>
      </c>
      <c r="O922" s="10" t="s">
        <v>372</v>
      </c>
      <c r="P922" s="1" t="s">
        <v>30089</v>
      </c>
      <c r="Q922" s="64" t="s">
        <v>40659</v>
      </c>
      <c r="R922" s="10" t="s">
        <v>94</v>
      </c>
      <c r="S922" s="63" t="s">
        <v>351</v>
      </c>
      <c r="T922" s="68" t="s">
        <v>26867</v>
      </c>
      <c r="U922" s="68" t="s">
        <v>26572</v>
      </c>
      <c r="V922" s="68" t="s">
        <v>26571</v>
      </c>
      <c r="W922" s="68" t="s">
        <v>94</v>
      </c>
      <c r="X922" s="68">
        <v>4492</v>
      </c>
      <c r="Z922" s="68" t="s">
        <v>42967</v>
      </c>
      <c r="AA922" s="33">
        <v>6748</v>
      </c>
    </row>
    <row r="923" spans="1:27" ht="12" customHeight="1" x14ac:dyDescent="0.15">
      <c r="A923" s="10" t="s">
        <v>38903</v>
      </c>
      <c r="B923" s="99">
        <v>40</v>
      </c>
      <c r="C923" s="10" t="s">
        <v>14</v>
      </c>
      <c r="D923" s="10" t="s">
        <v>24</v>
      </c>
      <c r="E923" s="10"/>
      <c r="F923" s="67">
        <v>43521</v>
      </c>
      <c r="G923" s="10" t="s">
        <v>38904</v>
      </c>
      <c r="H923" s="10" t="s">
        <v>1212</v>
      </c>
      <c r="I923" s="10" t="s">
        <v>192</v>
      </c>
      <c r="J923" s="65">
        <v>80204</v>
      </c>
      <c r="K923" s="10" t="s">
        <v>1212</v>
      </c>
      <c r="L923" s="10" t="s">
        <v>1213</v>
      </c>
      <c r="M923" s="10" t="s">
        <v>21</v>
      </c>
      <c r="N923" s="10" t="s">
        <v>38905</v>
      </c>
      <c r="O923" s="10" t="s">
        <v>372</v>
      </c>
      <c r="P923" s="1" t="s">
        <v>30089</v>
      </c>
      <c r="Q923" s="64" t="s">
        <v>38906</v>
      </c>
      <c r="R923" s="10" t="s">
        <v>94</v>
      </c>
      <c r="S923" s="63" t="s">
        <v>22</v>
      </c>
      <c r="T923" s="68" t="s">
        <v>26781</v>
      </c>
      <c r="U923" s="68" t="s">
        <v>26570</v>
      </c>
      <c r="V923" s="68" t="s">
        <v>26573</v>
      </c>
      <c r="W923" s="68" t="s">
        <v>94</v>
      </c>
      <c r="X923" s="68">
        <v>4548</v>
      </c>
      <c r="Z923" s="68" t="s">
        <v>42966</v>
      </c>
      <c r="AA923" s="33">
        <v>6744</v>
      </c>
    </row>
    <row r="924" spans="1:27" ht="12" customHeight="1" x14ac:dyDescent="0.15">
      <c r="A924" s="10" t="s">
        <v>41476</v>
      </c>
      <c r="B924" s="99">
        <v>38</v>
      </c>
      <c r="C924" s="10" t="s">
        <v>14</v>
      </c>
      <c r="D924" s="68" t="s">
        <v>31</v>
      </c>
      <c r="E924" s="10"/>
      <c r="F924" s="67">
        <v>43521</v>
      </c>
      <c r="G924" s="10" t="s">
        <v>41477</v>
      </c>
      <c r="H924" s="10" t="s">
        <v>3846</v>
      </c>
      <c r="I924" s="10" t="s">
        <v>402</v>
      </c>
      <c r="J924" s="65">
        <v>65807</v>
      </c>
      <c r="K924" s="10" t="s">
        <v>4549</v>
      </c>
      <c r="L924" s="10" t="s">
        <v>3849</v>
      </c>
      <c r="M924" s="10" t="s">
        <v>21</v>
      </c>
      <c r="N924" s="10" t="s">
        <v>41478</v>
      </c>
      <c r="O924" s="10" t="s">
        <v>372</v>
      </c>
      <c r="P924" s="1" t="s">
        <v>30089</v>
      </c>
      <c r="Q924" s="64" t="s">
        <v>41479</v>
      </c>
      <c r="R924" s="10" t="s">
        <v>512</v>
      </c>
      <c r="S924" s="63" t="s">
        <v>22</v>
      </c>
      <c r="T924" s="68" t="s">
        <v>26774</v>
      </c>
      <c r="U924" s="68" t="s">
        <v>26570</v>
      </c>
      <c r="V924" s="68">
        <v>0</v>
      </c>
      <c r="W924" s="68" t="s">
        <v>94</v>
      </c>
      <c r="X924" s="68">
        <v>4494</v>
      </c>
      <c r="Z924" s="68" t="s">
        <v>42966</v>
      </c>
      <c r="AA924" s="33">
        <v>6745</v>
      </c>
    </row>
    <row r="925" spans="1:27" ht="12" customHeight="1" x14ac:dyDescent="0.15">
      <c r="A925" s="10" t="s">
        <v>40423</v>
      </c>
      <c r="B925" s="99">
        <v>41</v>
      </c>
      <c r="C925" s="10" t="s">
        <v>14</v>
      </c>
      <c r="D925" s="10" t="s">
        <v>24</v>
      </c>
      <c r="E925" s="10"/>
      <c r="F925" s="67">
        <v>43520</v>
      </c>
      <c r="G925" s="10" t="s">
        <v>40424</v>
      </c>
      <c r="H925" s="10" t="s">
        <v>7981</v>
      </c>
      <c r="I925" s="10" t="s">
        <v>51</v>
      </c>
      <c r="J925" s="65">
        <v>48503</v>
      </c>
      <c r="K925" s="10" t="s">
        <v>7740</v>
      </c>
      <c r="L925" s="10" t="s">
        <v>37073</v>
      </c>
      <c r="M925" s="10" t="s">
        <v>21</v>
      </c>
      <c r="N925" s="10" t="s">
        <v>40425</v>
      </c>
      <c r="O925" s="10" t="s">
        <v>372</v>
      </c>
      <c r="P925" s="1" t="s">
        <v>30089</v>
      </c>
      <c r="Q925" s="64" t="s">
        <v>40426</v>
      </c>
      <c r="R925" s="10" t="s">
        <v>94</v>
      </c>
      <c r="S925" s="63" t="s">
        <v>29</v>
      </c>
      <c r="T925" s="68" t="s">
        <v>26575</v>
      </c>
      <c r="U925" s="68" t="s">
        <v>26575</v>
      </c>
      <c r="V925" s="68" t="s">
        <v>26571</v>
      </c>
      <c r="W925" s="68" t="s">
        <v>94</v>
      </c>
      <c r="X925" s="68">
        <v>4480</v>
      </c>
      <c r="Z925" s="68" t="s">
        <v>42966</v>
      </c>
      <c r="AA925" s="33">
        <v>6743</v>
      </c>
    </row>
    <row r="926" spans="1:27" ht="12" customHeight="1" x14ac:dyDescent="0.15">
      <c r="A926" s="10" t="s">
        <v>42123</v>
      </c>
      <c r="B926" s="99">
        <v>33</v>
      </c>
      <c r="C926" s="10" t="s">
        <v>14</v>
      </c>
      <c r="D926" s="10" t="s">
        <v>42</v>
      </c>
      <c r="E926" s="64" t="s">
        <v>42124</v>
      </c>
      <c r="F926" s="67">
        <v>43519</v>
      </c>
      <c r="G926" s="10" t="s">
        <v>42125</v>
      </c>
      <c r="H926" s="10" t="s">
        <v>1592</v>
      </c>
      <c r="I926" s="10" t="s">
        <v>192</v>
      </c>
      <c r="J926" s="65">
        <v>80634</v>
      </c>
      <c r="K926" s="10" t="s">
        <v>1594</v>
      </c>
      <c r="L926" s="10" t="s">
        <v>42126</v>
      </c>
      <c r="M926" s="10" t="s">
        <v>2909</v>
      </c>
      <c r="N926" s="10" t="s">
        <v>42127</v>
      </c>
      <c r="O926" s="10" t="s">
        <v>372</v>
      </c>
      <c r="P926" s="1" t="s">
        <v>30089</v>
      </c>
      <c r="Q926" s="64" t="s">
        <v>42128</v>
      </c>
      <c r="R926" s="10" t="s">
        <v>94</v>
      </c>
      <c r="S926" s="63" t="s">
        <v>12</v>
      </c>
      <c r="T926" s="34" t="s">
        <v>29705</v>
      </c>
      <c r="U926" s="34" t="s">
        <v>26575</v>
      </c>
      <c r="V926" s="68"/>
      <c r="W926" s="68"/>
      <c r="X926" s="68"/>
      <c r="Z926" s="68" t="s">
        <v>42968</v>
      </c>
      <c r="AA926" s="33">
        <v>6742</v>
      </c>
    </row>
    <row r="927" spans="1:27" ht="12" customHeight="1" x14ac:dyDescent="0.15">
      <c r="A927" s="10" t="s">
        <v>37998</v>
      </c>
      <c r="B927" s="99">
        <v>28</v>
      </c>
      <c r="C927" s="10" t="s">
        <v>14</v>
      </c>
      <c r="D927" s="10" t="s">
        <v>31</v>
      </c>
      <c r="E927" s="62" t="s">
        <v>37999</v>
      </c>
      <c r="F927" s="67">
        <v>43519</v>
      </c>
      <c r="G927" s="10" t="s">
        <v>38000</v>
      </c>
      <c r="H927" s="10" t="s">
        <v>1935</v>
      </c>
      <c r="I927" s="10" t="s">
        <v>67</v>
      </c>
      <c r="J927" s="65">
        <v>75006</v>
      </c>
      <c r="K927" s="10" t="s">
        <v>266</v>
      </c>
      <c r="L927" s="10" t="s">
        <v>24178</v>
      </c>
      <c r="M927" s="10" t="s">
        <v>21</v>
      </c>
      <c r="N927" s="10" t="s">
        <v>38001</v>
      </c>
      <c r="O927" s="10" t="s">
        <v>372</v>
      </c>
      <c r="P927" s="1" t="s">
        <v>30089</v>
      </c>
      <c r="Q927" s="64" t="s">
        <v>38002</v>
      </c>
      <c r="R927" s="10" t="s">
        <v>94</v>
      </c>
      <c r="S927" s="63" t="s">
        <v>22</v>
      </c>
      <c r="T927" s="68" t="s">
        <v>26781</v>
      </c>
      <c r="U927" s="68" t="s">
        <v>26572</v>
      </c>
      <c r="V927" s="68" t="s">
        <v>26571</v>
      </c>
      <c r="W927" s="68" t="s">
        <v>512</v>
      </c>
      <c r="X927" s="68">
        <v>4486</v>
      </c>
      <c r="Z927" s="68" t="s">
        <v>42968</v>
      </c>
      <c r="AA927" s="33">
        <v>6738</v>
      </c>
    </row>
    <row r="928" spans="1:27" ht="12" customHeight="1" x14ac:dyDescent="0.15">
      <c r="A928" s="10" t="s">
        <v>40946</v>
      </c>
      <c r="B928" s="99">
        <v>24</v>
      </c>
      <c r="C928" s="10" t="s">
        <v>14</v>
      </c>
      <c r="D928" s="10" t="s">
        <v>31</v>
      </c>
      <c r="E928" s="64" t="s">
        <v>40947</v>
      </c>
      <c r="F928" s="67">
        <v>43519</v>
      </c>
      <c r="G928" s="10" t="s">
        <v>40948</v>
      </c>
      <c r="H928" s="10" t="s">
        <v>7206</v>
      </c>
      <c r="I928" s="70" t="s">
        <v>39</v>
      </c>
      <c r="J928" s="65">
        <v>92392</v>
      </c>
      <c r="K928" s="10" t="s">
        <v>288</v>
      </c>
      <c r="L928" s="10" t="s">
        <v>32215</v>
      </c>
      <c r="M928" s="10" t="s">
        <v>21</v>
      </c>
      <c r="N928" s="10" t="s">
        <v>40949</v>
      </c>
      <c r="O928" s="10" t="s">
        <v>372</v>
      </c>
      <c r="P928" s="1" t="s">
        <v>30089</v>
      </c>
      <c r="Q928" s="64" t="s">
        <v>40950</v>
      </c>
      <c r="R928" s="10" t="s">
        <v>512</v>
      </c>
      <c r="S928" s="63" t="s">
        <v>22</v>
      </c>
      <c r="T928" s="68" t="s">
        <v>26781</v>
      </c>
      <c r="U928" s="68" t="s">
        <v>26572</v>
      </c>
      <c r="V928" s="68" t="s">
        <v>26573</v>
      </c>
      <c r="W928" s="68" t="s">
        <v>94</v>
      </c>
      <c r="X928" s="68">
        <v>4487</v>
      </c>
      <c r="Z928" s="68" t="s">
        <v>42968</v>
      </c>
      <c r="AA928" s="33">
        <v>6741</v>
      </c>
    </row>
    <row r="929" spans="1:27" ht="12" customHeight="1" x14ac:dyDescent="0.15">
      <c r="A929" s="10" t="s">
        <v>39215</v>
      </c>
      <c r="B929" s="99">
        <v>44</v>
      </c>
      <c r="C929" s="10" t="s">
        <v>14</v>
      </c>
      <c r="D929" s="68" t="s">
        <v>31</v>
      </c>
      <c r="E929" s="10"/>
      <c r="F929" s="67">
        <v>43519</v>
      </c>
      <c r="G929" s="10" t="s">
        <v>39216</v>
      </c>
      <c r="H929" s="10" t="s">
        <v>39217</v>
      </c>
      <c r="I929" s="10" t="s">
        <v>298</v>
      </c>
      <c r="J929" s="65">
        <v>37617</v>
      </c>
      <c r="K929" s="10" t="s">
        <v>2679</v>
      </c>
      <c r="L929" s="10" t="s">
        <v>13318</v>
      </c>
      <c r="M929" s="10" t="s">
        <v>21</v>
      </c>
      <c r="N929" s="10" t="s">
        <v>39218</v>
      </c>
      <c r="O929" s="10" t="s">
        <v>372</v>
      </c>
      <c r="P929" s="1" t="s">
        <v>30089</v>
      </c>
      <c r="Q929" s="64" t="s">
        <v>39219</v>
      </c>
      <c r="R929" s="10" t="s">
        <v>23</v>
      </c>
      <c r="S929" s="63" t="s">
        <v>22</v>
      </c>
      <c r="T929" s="68" t="s">
        <v>26781</v>
      </c>
      <c r="U929" s="68" t="s">
        <v>26572</v>
      </c>
      <c r="V929" s="68" t="s">
        <v>26573</v>
      </c>
      <c r="W929" s="68" t="s">
        <v>94</v>
      </c>
      <c r="X929" s="68">
        <v>4501</v>
      </c>
      <c r="Z929" s="68" t="s">
        <v>42967</v>
      </c>
      <c r="AA929" s="33">
        <v>6740</v>
      </c>
    </row>
    <row r="930" spans="1:27" ht="12" customHeight="1" x14ac:dyDescent="0.15">
      <c r="A930" s="10" t="s">
        <v>38003</v>
      </c>
      <c r="B930" s="99">
        <v>29</v>
      </c>
      <c r="C930" s="10" t="s">
        <v>14</v>
      </c>
      <c r="D930" s="10" t="s">
        <v>31</v>
      </c>
      <c r="E930" s="10"/>
      <c r="F930" s="67">
        <v>43519</v>
      </c>
      <c r="G930" s="10" t="s">
        <v>38004</v>
      </c>
      <c r="H930" s="10" t="s">
        <v>29995</v>
      </c>
      <c r="I930" s="10" t="s">
        <v>298</v>
      </c>
      <c r="J930" s="65">
        <v>37042</v>
      </c>
      <c r="K930" s="10" t="s">
        <v>995</v>
      </c>
      <c r="L930" s="10" t="s">
        <v>29996</v>
      </c>
      <c r="M930" s="10" t="s">
        <v>21</v>
      </c>
      <c r="N930" s="10" t="s">
        <v>38005</v>
      </c>
      <c r="O930" s="10" t="s">
        <v>372</v>
      </c>
      <c r="P930" s="1" t="s">
        <v>30089</v>
      </c>
      <c r="Q930" s="64" t="s">
        <v>38006</v>
      </c>
      <c r="R930" s="10" t="s">
        <v>94</v>
      </c>
      <c r="S930" s="63" t="s">
        <v>22</v>
      </c>
      <c r="T930" s="68" t="s">
        <v>26781</v>
      </c>
      <c r="U930" s="68" t="s">
        <v>26570</v>
      </c>
      <c r="V930" s="68" t="s">
        <v>26574</v>
      </c>
      <c r="W930" s="68" t="s">
        <v>94</v>
      </c>
      <c r="X930" s="68">
        <v>4488</v>
      </c>
      <c r="Z930" s="68" t="s">
        <v>42968</v>
      </c>
      <c r="AA930" s="33">
        <v>6739</v>
      </c>
    </row>
    <row r="931" spans="1:27" ht="12" customHeight="1" x14ac:dyDescent="0.15">
      <c r="A931" s="10" t="s">
        <v>40577</v>
      </c>
      <c r="B931" s="99">
        <v>30</v>
      </c>
      <c r="C931" s="10" t="s">
        <v>14</v>
      </c>
      <c r="D931" s="10" t="s">
        <v>79</v>
      </c>
      <c r="E931" s="64" t="s">
        <v>40578</v>
      </c>
      <c r="F931" s="67">
        <v>43518</v>
      </c>
      <c r="G931" s="10" t="s">
        <v>40579</v>
      </c>
      <c r="H931" s="10" t="s">
        <v>8861</v>
      </c>
      <c r="I931" s="10" t="s">
        <v>918</v>
      </c>
      <c r="J931" s="65">
        <v>72204</v>
      </c>
      <c r="K931" s="10" t="s">
        <v>2312</v>
      </c>
      <c r="L931" s="10" t="s">
        <v>8863</v>
      </c>
      <c r="M931" s="10" t="s">
        <v>21</v>
      </c>
      <c r="N931" s="10" t="s">
        <v>40580</v>
      </c>
      <c r="O931" s="10" t="s">
        <v>40581</v>
      </c>
      <c r="P931" s="1" t="s">
        <v>30089</v>
      </c>
      <c r="Q931" s="64" t="s">
        <v>40582</v>
      </c>
      <c r="R931" s="10" t="s">
        <v>94</v>
      </c>
      <c r="S931" s="63" t="s">
        <v>351</v>
      </c>
      <c r="T931" s="68" t="s">
        <v>26867</v>
      </c>
      <c r="U931" s="68" t="s">
        <v>26572</v>
      </c>
      <c r="V931" s="68" t="s">
        <v>26571</v>
      </c>
      <c r="W931" s="68" t="s">
        <v>512</v>
      </c>
      <c r="X931" s="68">
        <v>4471</v>
      </c>
      <c r="Z931" s="68" t="s">
        <v>42968</v>
      </c>
      <c r="AA931" s="33">
        <v>6737</v>
      </c>
    </row>
    <row r="932" spans="1:27" ht="12" customHeight="1" x14ac:dyDescent="0.15">
      <c r="A932" s="10" t="s">
        <v>39614</v>
      </c>
      <c r="B932" s="99">
        <v>36</v>
      </c>
      <c r="C932" s="10" t="s">
        <v>14</v>
      </c>
      <c r="D932" s="10" t="s">
        <v>42</v>
      </c>
      <c r="E932" s="10"/>
      <c r="F932" s="67">
        <v>43518</v>
      </c>
      <c r="G932" s="10" t="s">
        <v>39615</v>
      </c>
      <c r="H932" s="10" t="s">
        <v>39616</v>
      </c>
      <c r="I932" s="70" t="s">
        <v>67</v>
      </c>
      <c r="J932" s="65">
        <v>78065</v>
      </c>
      <c r="K932" s="10" t="s">
        <v>4569</v>
      </c>
      <c r="L932" s="10" t="s">
        <v>262</v>
      </c>
      <c r="M932" s="10" t="s">
        <v>21</v>
      </c>
      <c r="N932" s="10" t="s">
        <v>39617</v>
      </c>
      <c r="O932" s="10" t="s">
        <v>372</v>
      </c>
      <c r="P932" s="1" t="s">
        <v>30089</v>
      </c>
      <c r="Q932" s="64" t="s">
        <v>39618</v>
      </c>
      <c r="R932" s="10" t="s">
        <v>94</v>
      </c>
      <c r="S932" s="63" t="s">
        <v>22</v>
      </c>
      <c r="T932" s="68" t="s">
        <v>26774</v>
      </c>
      <c r="U932" s="68" t="s">
        <v>26570</v>
      </c>
      <c r="V932" s="68" t="s">
        <v>26571</v>
      </c>
      <c r="W932" s="68" t="s">
        <v>94</v>
      </c>
      <c r="X932" s="68">
        <v>4499</v>
      </c>
      <c r="Z932" s="68" t="s">
        <v>42967</v>
      </c>
      <c r="AA932" s="33">
        <v>6736</v>
      </c>
    </row>
    <row r="933" spans="1:27" ht="12" customHeight="1" x14ac:dyDescent="0.15">
      <c r="A933" s="10" t="s">
        <v>38804</v>
      </c>
      <c r="B933" s="99">
        <v>36</v>
      </c>
      <c r="C933" s="10" t="s">
        <v>14</v>
      </c>
      <c r="D933" s="10" t="s">
        <v>15</v>
      </c>
      <c r="E933" s="64" t="s">
        <v>38805</v>
      </c>
      <c r="F933" s="67">
        <v>43518</v>
      </c>
      <c r="G933" s="10" t="s">
        <v>38806</v>
      </c>
      <c r="H933" s="10" t="s">
        <v>1586</v>
      </c>
      <c r="I933" s="10" t="s">
        <v>40</v>
      </c>
      <c r="J933" s="65">
        <v>2119</v>
      </c>
      <c r="K933" s="10" t="s">
        <v>1588</v>
      </c>
      <c r="L933" s="10" t="s">
        <v>2980</v>
      </c>
      <c r="M933" s="10" t="s">
        <v>21</v>
      </c>
      <c r="N933" s="10" t="s">
        <v>38807</v>
      </c>
      <c r="O933" s="10" t="s">
        <v>372</v>
      </c>
      <c r="P933" s="1" t="s">
        <v>30089</v>
      </c>
      <c r="Q933" s="64" t="s">
        <v>38808</v>
      </c>
      <c r="R933" s="10" t="s">
        <v>94</v>
      </c>
      <c r="S933" s="63" t="s">
        <v>22</v>
      </c>
      <c r="T933" s="68" t="s">
        <v>26781</v>
      </c>
      <c r="U933" s="68" t="s">
        <v>26572</v>
      </c>
      <c r="V933" s="68" t="s">
        <v>26571</v>
      </c>
      <c r="W933" s="68" t="s">
        <v>94</v>
      </c>
      <c r="X933" s="68">
        <v>4472</v>
      </c>
      <c r="Z933" s="68" t="s">
        <v>42966</v>
      </c>
      <c r="AA933" s="33">
        <v>6734</v>
      </c>
    </row>
    <row r="934" spans="1:27" ht="12" customHeight="1" x14ac:dyDescent="0.15">
      <c r="A934" s="10" t="s">
        <v>39210</v>
      </c>
      <c r="B934" s="99">
        <v>28</v>
      </c>
      <c r="C934" s="10" t="s">
        <v>14</v>
      </c>
      <c r="D934" s="68" t="s">
        <v>31</v>
      </c>
      <c r="E934" s="10"/>
      <c r="F934" s="67">
        <v>43518</v>
      </c>
      <c r="G934" s="10" t="s">
        <v>39211</v>
      </c>
      <c r="H934" s="10" t="s">
        <v>24284</v>
      </c>
      <c r="I934" s="10" t="s">
        <v>139</v>
      </c>
      <c r="J934" s="65">
        <v>25286</v>
      </c>
      <c r="K934" s="10" t="s">
        <v>7106</v>
      </c>
      <c r="L934" s="10" t="s">
        <v>39212</v>
      </c>
      <c r="M934" s="10" t="s">
        <v>21</v>
      </c>
      <c r="N934" s="10" t="s">
        <v>39213</v>
      </c>
      <c r="O934" s="10" t="s">
        <v>372</v>
      </c>
      <c r="P934" s="1" t="s">
        <v>30089</v>
      </c>
      <c r="Q934" s="64" t="s">
        <v>39214</v>
      </c>
      <c r="R934" s="10" t="s">
        <v>94</v>
      </c>
      <c r="S934" s="63" t="s">
        <v>22</v>
      </c>
      <c r="T934" s="68" t="s">
        <v>26781</v>
      </c>
      <c r="U934" s="68" t="s">
        <v>26572</v>
      </c>
      <c r="V934" s="68" t="s">
        <v>26573</v>
      </c>
      <c r="W934" s="68" t="s">
        <v>94</v>
      </c>
      <c r="X934" s="68">
        <v>4489</v>
      </c>
      <c r="Z934" s="68" t="s">
        <v>42967</v>
      </c>
      <c r="AA934" s="33">
        <v>6735</v>
      </c>
    </row>
    <row r="935" spans="1:27" ht="12" customHeight="1" x14ac:dyDescent="0.15">
      <c r="A935" s="10" t="s">
        <v>40649</v>
      </c>
      <c r="B935" s="100">
        <v>26</v>
      </c>
      <c r="C935" s="10" t="s">
        <v>14</v>
      </c>
      <c r="D935" s="10" t="s">
        <v>31</v>
      </c>
      <c r="E935" s="10"/>
      <c r="F935" s="67">
        <v>43516</v>
      </c>
      <c r="G935" s="10" t="s">
        <v>40650</v>
      </c>
      <c r="H935" s="10" t="s">
        <v>40651</v>
      </c>
      <c r="I935" s="70" t="s">
        <v>814</v>
      </c>
      <c r="J935" s="65">
        <v>96789</v>
      </c>
      <c r="K935" s="10" t="s">
        <v>2196</v>
      </c>
      <c r="L935" s="10" t="s">
        <v>3281</v>
      </c>
      <c r="M935" s="10" t="s">
        <v>21</v>
      </c>
      <c r="N935" s="10" t="s">
        <v>40652</v>
      </c>
      <c r="O935" s="10" t="s">
        <v>372</v>
      </c>
      <c r="P935" s="1" t="s">
        <v>30089</v>
      </c>
      <c r="Q935" s="64" t="s">
        <v>40653</v>
      </c>
      <c r="R935" s="10" t="s">
        <v>94</v>
      </c>
      <c r="S935" s="63" t="s">
        <v>351</v>
      </c>
      <c r="T935" s="68" t="s">
        <v>26867</v>
      </c>
      <c r="U935" s="68" t="s">
        <v>26572</v>
      </c>
      <c r="V935" s="68" t="s">
        <v>26571</v>
      </c>
      <c r="W935" s="68" t="s">
        <v>94</v>
      </c>
      <c r="X935" s="68">
        <v>4490</v>
      </c>
      <c r="Z935" s="68" t="s">
        <v>42968</v>
      </c>
      <c r="AA935" s="33">
        <v>6733</v>
      </c>
    </row>
    <row r="936" spans="1:27" ht="12" customHeight="1" x14ac:dyDescent="0.15">
      <c r="A936" s="10" t="s">
        <v>40880</v>
      </c>
      <c r="B936" s="99">
        <v>39</v>
      </c>
      <c r="C936" s="10" t="s">
        <v>14</v>
      </c>
      <c r="D936" s="10" t="s">
        <v>79</v>
      </c>
      <c r="E936" s="64" t="s">
        <v>40881</v>
      </c>
      <c r="F936" s="67">
        <v>43516</v>
      </c>
      <c r="G936" s="10" t="s">
        <v>40882</v>
      </c>
      <c r="H936" s="10" t="s">
        <v>15890</v>
      </c>
      <c r="I936" s="70" t="s">
        <v>35</v>
      </c>
      <c r="J936" s="65">
        <v>6226</v>
      </c>
      <c r="K936" s="10" t="s">
        <v>9561</v>
      </c>
      <c r="L936" s="10" t="s">
        <v>40883</v>
      </c>
      <c r="M936" s="10" t="s">
        <v>21</v>
      </c>
      <c r="N936" s="10" t="s">
        <v>40884</v>
      </c>
      <c r="O936" s="10" t="s">
        <v>372</v>
      </c>
      <c r="P936" s="1" t="s">
        <v>30089</v>
      </c>
      <c r="Q936" s="64" t="s">
        <v>40885</v>
      </c>
      <c r="R936" s="10" t="s">
        <v>512</v>
      </c>
      <c r="S936" s="63" t="s">
        <v>22</v>
      </c>
      <c r="T936" s="68" t="s">
        <v>26781</v>
      </c>
      <c r="U936" s="68" t="s">
        <v>26572</v>
      </c>
      <c r="V936" s="68" t="s">
        <v>26571</v>
      </c>
      <c r="W936" s="68" t="s">
        <v>94</v>
      </c>
      <c r="X936" s="68">
        <v>4474</v>
      </c>
      <c r="Z936" s="68" t="s">
        <v>42968</v>
      </c>
      <c r="AA936" s="33">
        <v>6732</v>
      </c>
    </row>
    <row r="937" spans="1:27" ht="12" customHeight="1" x14ac:dyDescent="0.15">
      <c r="A937" s="10" t="s">
        <v>37169</v>
      </c>
      <c r="B937" s="99">
        <v>28</v>
      </c>
      <c r="C937" s="10" t="s">
        <v>14</v>
      </c>
      <c r="D937" s="10" t="s">
        <v>31</v>
      </c>
      <c r="E937" s="64" t="s">
        <v>37170</v>
      </c>
      <c r="F937" s="67">
        <v>43515</v>
      </c>
      <c r="G937" s="10" t="s">
        <v>37171</v>
      </c>
      <c r="H937" s="10" t="s">
        <v>32010</v>
      </c>
      <c r="I937" s="10" t="s">
        <v>621</v>
      </c>
      <c r="J937" s="65">
        <v>38637</v>
      </c>
      <c r="K937" s="10" t="s">
        <v>37172</v>
      </c>
      <c r="L937" s="10" t="s">
        <v>1118</v>
      </c>
      <c r="M937" s="10" t="s">
        <v>21</v>
      </c>
      <c r="N937" s="10" t="s">
        <v>37173</v>
      </c>
      <c r="O937" s="10" t="s">
        <v>372</v>
      </c>
      <c r="P937" s="1" t="s">
        <v>30089</v>
      </c>
      <c r="Q937" s="64" t="s">
        <v>37174</v>
      </c>
      <c r="R937" s="10" t="s">
        <v>94</v>
      </c>
      <c r="S937" s="68" t="s">
        <v>22</v>
      </c>
      <c r="T937" s="68" t="s">
        <v>26774</v>
      </c>
      <c r="U937" s="68"/>
      <c r="V937" s="68"/>
      <c r="W937" s="68"/>
      <c r="X937" s="68"/>
      <c r="Y937" s="33" t="s">
        <v>42476</v>
      </c>
      <c r="Z937" s="63" t="s">
        <v>42968</v>
      </c>
      <c r="AA937" s="33">
        <v>6729</v>
      </c>
    </row>
    <row r="938" spans="1:27" ht="12" customHeight="1" x14ac:dyDescent="0.15">
      <c r="A938" s="10" t="s">
        <v>39831</v>
      </c>
      <c r="B938" s="99">
        <v>24</v>
      </c>
      <c r="C938" s="10" t="s">
        <v>14</v>
      </c>
      <c r="D938" s="68" t="s">
        <v>79</v>
      </c>
      <c r="E938" s="10"/>
      <c r="F938" s="67">
        <v>43515</v>
      </c>
      <c r="G938" s="10" t="s">
        <v>39832</v>
      </c>
      <c r="H938" s="10" t="s">
        <v>4212</v>
      </c>
      <c r="I938" s="10" t="s">
        <v>46</v>
      </c>
      <c r="J938" s="65">
        <v>21133</v>
      </c>
      <c r="K938" s="10" t="s">
        <v>1487</v>
      </c>
      <c r="L938" s="10" t="s">
        <v>212</v>
      </c>
      <c r="M938" s="10" t="s">
        <v>21</v>
      </c>
      <c r="N938" s="10" t="s">
        <v>39833</v>
      </c>
      <c r="O938" s="10" t="s">
        <v>372</v>
      </c>
      <c r="P938" s="1" t="s">
        <v>30089</v>
      </c>
      <c r="Q938" s="64" t="s">
        <v>39834</v>
      </c>
      <c r="R938" s="10" t="s">
        <v>94</v>
      </c>
      <c r="S938" s="63" t="s">
        <v>22</v>
      </c>
      <c r="T938" s="68" t="s">
        <v>26593</v>
      </c>
      <c r="U938" s="68" t="s">
        <v>26570</v>
      </c>
      <c r="V938" s="68" t="s">
        <v>26573</v>
      </c>
      <c r="W938" s="68" t="s">
        <v>94</v>
      </c>
      <c r="X938" s="68">
        <v>4498</v>
      </c>
      <c r="Z938" s="68" t="s">
        <v>42968</v>
      </c>
      <c r="AA938" s="33">
        <v>6731</v>
      </c>
    </row>
    <row r="939" spans="1:27" ht="12" customHeight="1" x14ac:dyDescent="0.15">
      <c r="A939" s="10" t="s">
        <v>39444</v>
      </c>
      <c r="B939" s="99">
        <v>16</v>
      </c>
      <c r="C939" s="10" t="s">
        <v>14</v>
      </c>
      <c r="D939" s="10" t="s">
        <v>885</v>
      </c>
      <c r="E939" s="64" t="s">
        <v>39445</v>
      </c>
      <c r="F939" s="67">
        <v>43515</v>
      </c>
      <c r="G939" s="10" t="s">
        <v>39446</v>
      </c>
      <c r="H939" s="10" t="s">
        <v>3086</v>
      </c>
      <c r="I939" s="10" t="s">
        <v>282</v>
      </c>
      <c r="J939" s="65">
        <v>98664</v>
      </c>
      <c r="K939" s="10" t="s">
        <v>527</v>
      </c>
      <c r="L939" s="10" t="s">
        <v>5331</v>
      </c>
      <c r="M939" s="10" t="s">
        <v>21</v>
      </c>
      <c r="N939" s="10" t="s">
        <v>39447</v>
      </c>
      <c r="O939" s="10" t="s">
        <v>372</v>
      </c>
      <c r="P939" s="1" t="s">
        <v>30089</v>
      </c>
      <c r="Q939" s="64" t="s">
        <v>39448</v>
      </c>
      <c r="R939" s="10" t="s">
        <v>94</v>
      </c>
      <c r="S939" s="63" t="s">
        <v>22</v>
      </c>
      <c r="T939" s="68" t="s">
        <v>26774</v>
      </c>
      <c r="U939" s="68" t="s">
        <v>26572</v>
      </c>
      <c r="V939" s="68" t="s">
        <v>26573</v>
      </c>
      <c r="W939" s="68" t="s">
        <v>94</v>
      </c>
      <c r="X939" s="68">
        <v>4473</v>
      </c>
      <c r="Z939" s="68" t="s">
        <v>42968</v>
      </c>
      <c r="AA939" s="33">
        <v>6730</v>
      </c>
    </row>
    <row r="940" spans="1:27" ht="12" customHeight="1" x14ac:dyDescent="0.15">
      <c r="A940" s="10" t="s">
        <v>40074</v>
      </c>
      <c r="B940" s="101">
        <v>28</v>
      </c>
      <c r="C940" s="10" t="s">
        <v>14</v>
      </c>
      <c r="D940" s="10" t="s">
        <v>885</v>
      </c>
      <c r="E940" s="63"/>
      <c r="F940" s="67">
        <v>43514</v>
      </c>
      <c r="G940" s="10" t="s">
        <v>40075</v>
      </c>
      <c r="H940" s="10" t="s">
        <v>2196</v>
      </c>
      <c r="I940" s="70" t="s">
        <v>814</v>
      </c>
      <c r="J940" s="65">
        <v>96813</v>
      </c>
      <c r="K940" s="10" t="s">
        <v>2196</v>
      </c>
      <c r="L940" s="10" t="s">
        <v>40076</v>
      </c>
      <c r="M940" s="10" t="s">
        <v>21</v>
      </c>
      <c r="N940" s="10" t="s">
        <v>40077</v>
      </c>
      <c r="O940" s="10" t="s">
        <v>372</v>
      </c>
      <c r="P940" s="1" t="s">
        <v>30089</v>
      </c>
      <c r="Q940" s="64" t="s">
        <v>40078</v>
      </c>
      <c r="R940" s="10" t="s">
        <v>904</v>
      </c>
      <c r="S940" s="63" t="s">
        <v>12</v>
      </c>
      <c r="T940" s="68" t="s">
        <v>29705</v>
      </c>
      <c r="U940" s="68" t="s">
        <v>26572</v>
      </c>
      <c r="V940" s="68" t="s">
        <v>26573</v>
      </c>
      <c r="W940" s="68" t="s">
        <v>94</v>
      </c>
      <c r="X940" s="68">
        <v>4466</v>
      </c>
      <c r="Z940" s="68" t="s">
        <v>42966</v>
      </c>
      <c r="AA940" s="33">
        <v>6728</v>
      </c>
    </row>
    <row r="941" spans="1:27" ht="12" customHeight="1" x14ac:dyDescent="0.15">
      <c r="A941" s="10" t="s">
        <v>40875</v>
      </c>
      <c r="B941" s="99">
        <v>31</v>
      </c>
      <c r="C941" s="10" t="s">
        <v>14</v>
      </c>
      <c r="D941" s="10" t="s">
        <v>79</v>
      </c>
      <c r="E941" s="63"/>
      <c r="F941" s="67">
        <v>43514</v>
      </c>
      <c r="G941" s="10" t="s">
        <v>40876</v>
      </c>
      <c r="H941" s="10" t="s">
        <v>6580</v>
      </c>
      <c r="I941" s="70" t="s">
        <v>621</v>
      </c>
      <c r="J941" s="65">
        <v>39145</v>
      </c>
      <c r="K941" s="10" t="s">
        <v>5276</v>
      </c>
      <c r="L941" s="10" t="s">
        <v>40877</v>
      </c>
      <c r="M941" s="10" t="s">
        <v>21</v>
      </c>
      <c r="N941" s="10" t="s">
        <v>40878</v>
      </c>
      <c r="O941" s="10" t="s">
        <v>372</v>
      </c>
      <c r="P941" s="1" t="s">
        <v>30089</v>
      </c>
      <c r="Q941" s="64" t="s">
        <v>40879</v>
      </c>
      <c r="R941" s="10" t="s">
        <v>512</v>
      </c>
      <c r="S941" s="63" t="s">
        <v>22</v>
      </c>
      <c r="T941" s="68" t="s">
        <v>26781</v>
      </c>
      <c r="U941" s="68" t="s">
        <v>26572</v>
      </c>
      <c r="V941" s="68" t="s">
        <v>26573</v>
      </c>
      <c r="W941" s="68" t="s">
        <v>94</v>
      </c>
      <c r="X941" s="68">
        <v>4469</v>
      </c>
      <c r="Z941" s="68" t="s">
        <v>42967</v>
      </c>
      <c r="AA941" s="33">
        <v>6727</v>
      </c>
    </row>
    <row r="942" spans="1:27" ht="12" customHeight="1" x14ac:dyDescent="0.15">
      <c r="A942" s="10" t="s">
        <v>38581</v>
      </c>
      <c r="B942" s="99">
        <v>43</v>
      </c>
      <c r="C942" s="10" t="s">
        <v>14</v>
      </c>
      <c r="D942" s="10" t="s">
        <v>42</v>
      </c>
      <c r="E942" s="63"/>
      <c r="F942" s="67">
        <v>43513</v>
      </c>
      <c r="G942" s="10" t="s">
        <v>38582</v>
      </c>
      <c r="H942" s="10" t="s">
        <v>3332</v>
      </c>
      <c r="I942" s="70" t="s">
        <v>39</v>
      </c>
      <c r="J942" s="65">
        <v>94559</v>
      </c>
      <c r="K942" s="10" t="s">
        <v>3332</v>
      </c>
      <c r="L942" s="10" t="s">
        <v>38583</v>
      </c>
      <c r="M942" s="10" t="s">
        <v>21</v>
      </c>
      <c r="N942" s="10" t="s">
        <v>38584</v>
      </c>
      <c r="O942" s="10" t="s">
        <v>372</v>
      </c>
      <c r="P942" s="1" t="s">
        <v>30089</v>
      </c>
      <c r="Q942" s="64" t="s">
        <v>38585</v>
      </c>
      <c r="R942" s="10" t="s">
        <v>94</v>
      </c>
      <c r="S942" s="63" t="s">
        <v>22</v>
      </c>
      <c r="T942" s="68" t="s">
        <v>26781</v>
      </c>
      <c r="U942" s="68" t="s">
        <v>26572</v>
      </c>
      <c r="V942" s="68" t="s">
        <v>26573</v>
      </c>
      <c r="W942" s="68" t="s">
        <v>512</v>
      </c>
      <c r="X942" s="68">
        <v>4467</v>
      </c>
      <c r="Z942" s="68" t="s">
        <v>42968</v>
      </c>
      <c r="AA942" s="33">
        <v>6724</v>
      </c>
    </row>
    <row r="943" spans="1:27" ht="12" customHeight="1" x14ac:dyDescent="0.15">
      <c r="A943" s="10" t="s">
        <v>37145</v>
      </c>
      <c r="B943" s="99">
        <v>45</v>
      </c>
      <c r="C943" s="10" t="s">
        <v>14</v>
      </c>
      <c r="D943" s="10" t="s">
        <v>24</v>
      </c>
      <c r="E943" s="10"/>
      <c r="F943" s="67">
        <v>43513</v>
      </c>
      <c r="G943" s="10" t="s">
        <v>37146</v>
      </c>
      <c r="H943" s="10" t="s">
        <v>37147</v>
      </c>
      <c r="I943" s="70" t="s">
        <v>160</v>
      </c>
      <c r="J943" s="65">
        <v>30122</v>
      </c>
      <c r="K943" s="10" t="s">
        <v>882</v>
      </c>
      <c r="L943" s="10" t="s">
        <v>17585</v>
      </c>
      <c r="M943" s="10" t="s">
        <v>21</v>
      </c>
      <c r="N943" s="10" t="s">
        <v>37148</v>
      </c>
      <c r="O943" s="10" t="s">
        <v>31972</v>
      </c>
      <c r="P943" s="1" t="s">
        <v>30089</v>
      </c>
      <c r="Q943" s="64" t="s">
        <v>37149</v>
      </c>
      <c r="R943" s="10" t="s">
        <v>94</v>
      </c>
      <c r="S943" s="63" t="s">
        <v>12</v>
      </c>
      <c r="T943" s="54" t="s">
        <v>29425</v>
      </c>
      <c r="U943" s="68"/>
      <c r="V943" s="68"/>
      <c r="W943" s="68"/>
      <c r="X943" s="68"/>
      <c r="Y943" s="33" t="s">
        <v>42476</v>
      </c>
      <c r="Z943" s="68" t="s">
        <v>42968</v>
      </c>
      <c r="AA943" s="33">
        <v>6726</v>
      </c>
    </row>
    <row r="944" spans="1:27" ht="12" customHeight="1" x14ac:dyDescent="0.15">
      <c r="A944" s="10" t="s">
        <v>37306</v>
      </c>
      <c r="B944" s="99">
        <v>32</v>
      </c>
      <c r="C944" s="10" t="s">
        <v>14</v>
      </c>
      <c r="D944" s="10" t="s">
        <v>79</v>
      </c>
      <c r="E944" s="64" t="s">
        <v>37307</v>
      </c>
      <c r="F944" s="67">
        <v>43513</v>
      </c>
      <c r="G944" s="10" t="s">
        <v>37308</v>
      </c>
      <c r="H944" s="10" t="s">
        <v>979</v>
      </c>
      <c r="I944" s="70" t="s">
        <v>19</v>
      </c>
      <c r="J944" s="65">
        <v>70112</v>
      </c>
      <c r="K944" s="10" t="s">
        <v>2393</v>
      </c>
      <c r="L944" s="10" t="s">
        <v>37309</v>
      </c>
      <c r="M944" s="10" t="s">
        <v>21</v>
      </c>
      <c r="N944" s="10" t="s">
        <v>37310</v>
      </c>
      <c r="O944" s="10" t="s">
        <v>372</v>
      </c>
      <c r="P944" s="1" t="s">
        <v>30089</v>
      </c>
      <c r="Q944" s="64" t="s">
        <v>37311</v>
      </c>
      <c r="R944" s="10" t="s">
        <v>94</v>
      </c>
      <c r="S944" s="63" t="s">
        <v>22</v>
      </c>
      <c r="T944" s="68" t="s">
        <v>26781</v>
      </c>
      <c r="U944" s="68" t="s">
        <v>26572</v>
      </c>
      <c r="V944" s="68" t="s">
        <v>26573</v>
      </c>
      <c r="W944" s="68" t="s">
        <v>94</v>
      </c>
      <c r="X944" s="68">
        <v>4475</v>
      </c>
      <c r="Z944" s="68" t="s">
        <v>42966</v>
      </c>
      <c r="AA944" s="33">
        <v>6723</v>
      </c>
    </row>
    <row r="945" spans="1:27" ht="12" customHeight="1" x14ac:dyDescent="0.15">
      <c r="A945" s="10" t="s">
        <v>38882</v>
      </c>
      <c r="B945" s="99">
        <v>37</v>
      </c>
      <c r="C945" s="10" t="s">
        <v>103</v>
      </c>
      <c r="D945" s="10" t="s">
        <v>24</v>
      </c>
      <c r="E945" s="63"/>
      <c r="F945" s="67">
        <v>43513</v>
      </c>
      <c r="G945" s="10" t="s">
        <v>38883</v>
      </c>
      <c r="H945" s="10" t="s">
        <v>8318</v>
      </c>
      <c r="I945" s="70" t="s">
        <v>298</v>
      </c>
      <c r="J945" s="65">
        <v>37879</v>
      </c>
      <c r="K945" s="10" t="s">
        <v>7244</v>
      </c>
      <c r="L945" s="10" t="s">
        <v>7980</v>
      </c>
      <c r="M945" s="10" t="s">
        <v>21</v>
      </c>
      <c r="N945" s="10" t="s">
        <v>38884</v>
      </c>
      <c r="O945" s="10" t="s">
        <v>372</v>
      </c>
      <c r="P945" s="1" t="s">
        <v>30089</v>
      </c>
      <c r="Q945" s="64" t="s">
        <v>38885</v>
      </c>
      <c r="R945" s="10" t="s">
        <v>94</v>
      </c>
      <c r="S945" s="63" t="s">
        <v>22</v>
      </c>
      <c r="T945" s="68" t="s">
        <v>26781</v>
      </c>
      <c r="U945" s="68" t="s">
        <v>26572</v>
      </c>
      <c r="V945" s="68" t="s">
        <v>26574</v>
      </c>
      <c r="W945" s="68" t="s">
        <v>94</v>
      </c>
      <c r="X945" s="68">
        <v>4468</v>
      </c>
      <c r="Z945" s="68" t="s">
        <v>42967</v>
      </c>
      <c r="AA945" s="33">
        <v>6725</v>
      </c>
    </row>
    <row r="946" spans="1:27" ht="12" customHeight="1" x14ac:dyDescent="0.15">
      <c r="A946" s="10" t="s">
        <v>37301</v>
      </c>
      <c r="B946" s="99">
        <v>20</v>
      </c>
      <c r="C946" s="10" t="s">
        <v>14</v>
      </c>
      <c r="D946" s="10" t="s">
        <v>79</v>
      </c>
      <c r="E946" s="64" t="s">
        <v>37302</v>
      </c>
      <c r="F946" s="67">
        <v>43512</v>
      </c>
      <c r="G946" s="10" t="s">
        <v>37303</v>
      </c>
      <c r="H946" s="10" t="s">
        <v>81</v>
      </c>
      <c r="I946" s="70" t="s">
        <v>38</v>
      </c>
      <c r="J946" s="65">
        <v>60623</v>
      </c>
      <c r="K946" s="10" t="s">
        <v>82</v>
      </c>
      <c r="L946" s="10" t="s">
        <v>83</v>
      </c>
      <c r="M946" s="10" t="s">
        <v>21</v>
      </c>
      <c r="N946" s="10" t="s">
        <v>37304</v>
      </c>
      <c r="O946" s="10" t="s">
        <v>372</v>
      </c>
      <c r="P946" s="1" t="s">
        <v>30089</v>
      </c>
      <c r="Q946" s="64" t="s">
        <v>37305</v>
      </c>
      <c r="R946" s="10" t="s">
        <v>94</v>
      </c>
      <c r="S946" s="63" t="s">
        <v>22</v>
      </c>
      <c r="T946" s="68" t="s">
        <v>26781</v>
      </c>
      <c r="U946" s="68" t="s">
        <v>26570</v>
      </c>
      <c r="V946" s="68" t="s">
        <v>26571</v>
      </c>
      <c r="W946" s="68" t="s">
        <v>94</v>
      </c>
      <c r="X946" s="68">
        <v>4470</v>
      </c>
      <c r="Z946" s="68" t="s">
        <v>42966</v>
      </c>
      <c r="AA946" s="33">
        <v>6721</v>
      </c>
    </row>
    <row r="947" spans="1:27" ht="12" customHeight="1" x14ac:dyDescent="0.15">
      <c r="A947" s="10" t="s">
        <v>37819</v>
      </c>
      <c r="B947" s="99">
        <v>34</v>
      </c>
      <c r="C947" s="10" t="s">
        <v>14</v>
      </c>
      <c r="D947" s="1" t="s">
        <v>15</v>
      </c>
      <c r="E947" s="64" t="s">
        <v>37820</v>
      </c>
      <c r="F947" s="67">
        <v>43512</v>
      </c>
      <c r="G947" s="10" t="s">
        <v>37821</v>
      </c>
      <c r="H947" s="10" t="s">
        <v>5836</v>
      </c>
      <c r="I947" s="70" t="s">
        <v>621</v>
      </c>
      <c r="J947" s="65">
        <v>39056</v>
      </c>
      <c r="K947" s="10" t="s">
        <v>9141</v>
      </c>
      <c r="L947" s="10" t="s">
        <v>19924</v>
      </c>
      <c r="M947" s="10" t="s">
        <v>21</v>
      </c>
      <c r="N947" s="10" t="s">
        <v>37822</v>
      </c>
      <c r="O947" s="10" t="s">
        <v>372</v>
      </c>
      <c r="P947" s="1" t="s">
        <v>30089</v>
      </c>
      <c r="Q947" s="64" t="s">
        <v>37823</v>
      </c>
      <c r="R947" s="10" t="s">
        <v>94</v>
      </c>
      <c r="S947" s="63" t="s">
        <v>22</v>
      </c>
      <c r="T947" s="68" t="s">
        <v>26781</v>
      </c>
      <c r="U947" s="68" t="s">
        <v>26572</v>
      </c>
      <c r="V947" s="68" t="s">
        <v>26573</v>
      </c>
      <c r="W947" s="68" t="s">
        <v>94</v>
      </c>
      <c r="X947" s="68">
        <v>4478</v>
      </c>
      <c r="Z947" s="68" t="s">
        <v>42968</v>
      </c>
      <c r="AA947" s="33">
        <v>6722</v>
      </c>
    </row>
    <row r="948" spans="1:27" ht="12" customHeight="1" x14ac:dyDescent="0.15">
      <c r="A948" s="10" t="s">
        <v>37312</v>
      </c>
      <c r="B948" s="99">
        <v>45</v>
      </c>
      <c r="C948" s="10" t="s">
        <v>14</v>
      </c>
      <c r="D948" s="10" t="s">
        <v>79</v>
      </c>
      <c r="E948" s="64" t="s">
        <v>37313</v>
      </c>
      <c r="F948" s="67">
        <v>43511</v>
      </c>
      <c r="G948" s="10" t="s">
        <v>37314</v>
      </c>
      <c r="H948" s="10" t="s">
        <v>3508</v>
      </c>
      <c r="I948" s="70" t="s">
        <v>38</v>
      </c>
      <c r="J948" s="65">
        <v>60506</v>
      </c>
      <c r="K948" s="10" t="s">
        <v>7119</v>
      </c>
      <c r="L948" s="10" t="s">
        <v>3511</v>
      </c>
      <c r="M948" s="10" t="s">
        <v>21</v>
      </c>
      <c r="N948" s="10" t="s">
        <v>37315</v>
      </c>
      <c r="O948" s="10" t="s">
        <v>372</v>
      </c>
      <c r="P948" s="1" t="s">
        <v>30089</v>
      </c>
      <c r="Q948" s="64" t="s">
        <v>37316</v>
      </c>
      <c r="R948" s="10" t="s">
        <v>94</v>
      </c>
      <c r="S948" s="63" t="s">
        <v>22</v>
      </c>
      <c r="T948" s="68" t="s">
        <v>26781</v>
      </c>
      <c r="U948" s="68" t="s">
        <v>26572</v>
      </c>
      <c r="V948" s="68" t="s">
        <v>26573</v>
      </c>
      <c r="W948" s="68" t="s">
        <v>94</v>
      </c>
      <c r="X948" s="68">
        <v>4476</v>
      </c>
      <c r="Z948" s="68" t="s">
        <v>42968</v>
      </c>
      <c r="AA948" s="33">
        <v>6720</v>
      </c>
    </row>
    <row r="949" spans="1:27" ht="12" customHeight="1" x14ac:dyDescent="0.15">
      <c r="A949" s="10" t="s">
        <v>39610</v>
      </c>
      <c r="B949" s="101">
        <v>47</v>
      </c>
      <c r="C949" s="10" t="s">
        <v>14</v>
      </c>
      <c r="D949" s="10" t="s">
        <v>42</v>
      </c>
      <c r="E949" s="63"/>
      <c r="F949" s="67">
        <v>43510</v>
      </c>
      <c r="G949" s="10" t="s">
        <v>39611</v>
      </c>
      <c r="H949" s="10" t="s">
        <v>92</v>
      </c>
      <c r="I949" s="70" t="s">
        <v>39</v>
      </c>
      <c r="J949" s="65">
        <v>90017</v>
      </c>
      <c r="K949" s="10" t="s">
        <v>92</v>
      </c>
      <c r="L949" s="10" t="s">
        <v>93</v>
      </c>
      <c r="M949" s="10" t="s">
        <v>21</v>
      </c>
      <c r="N949" s="10" t="s">
        <v>39612</v>
      </c>
      <c r="O949" s="10" t="s">
        <v>372</v>
      </c>
      <c r="P949" s="1" t="s">
        <v>30089</v>
      </c>
      <c r="Q949" s="64" t="s">
        <v>39613</v>
      </c>
      <c r="R949" s="10" t="s">
        <v>94</v>
      </c>
      <c r="S949" s="63" t="s">
        <v>22</v>
      </c>
      <c r="T949" s="68" t="s">
        <v>26774</v>
      </c>
      <c r="U949" s="68" t="s">
        <v>26570</v>
      </c>
      <c r="V949" s="68" t="s">
        <v>26573</v>
      </c>
      <c r="W949" s="68" t="s">
        <v>94</v>
      </c>
      <c r="X949" s="68">
        <v>4462</v>
      </c>
      <c r="Z949" s="68" t="s">
        <v>42966</v>
      </c>
      <c r="AA949" s="33">
        <v>6717</v>
      </c>
    </row>
    <row r="950" spans="1:27" ht="12" customHeight="1" x14ac:dyDescent="0.15">
      <c r="A950" s="1" t="s">
        <v>37100</v>
      </c>
      <c r="B950" s="1">
        <v>31</v>
      </c>
      <c r="C950" s="1" t="s">
        <v>14</v>
      </c>
      <c r="D950" s="1" t="s">
        <v>79</v>
      </c>
      <c r="E950" s="1" t="s">
        <v>37101</v>
      </c>
      <c r="F950" s="67">
        <v>43510</v>
      </c>
      <c r="G950" s="1" t="s">
        <v>37102</v>
      </c>
      <c r="H950" s="1" t="s">
        <v>404</v>
      </c>
      <c r="I950" s="1" t="s">
        <v>621</v>
      </c>
      <c r="J950" s="1">
        <v>39204</v>
      </c>
      <c r="K950" s="1" t="s">
        <v>9141</v>
      </c>
      <c r="L950" s="1" t="s">
        <v>5717</v>
      </c>
      <c r="M950" s="33" t="s">
        <v>27767</v>
      </c>
      <c r="N950" s="1" t="s">
        <v>37103</v>
      </c>
      <c r="O950" s="1" t="s">
        <v>372</v>
      </c>
      <c r="P950" s="1" t="s">
        <v>30089</v>
      </c>
      <c r="Q950" s="1" t="s">
        <v>37104</v>
      </c>
      <c r="R950" s="1" t="s">
        <v>512</v>
      </c>
      <c r="S950" s="1" t="s">
        <v>12</v>
      </c>
      <c r="T950" s="54" t="s">
        <v>29705</v>
      </c>
      <c r="U950" s="68"/>
      <c r="V950" s="68"/>
      <c r="W950" s="68"/>
      <c r="X950" s="68"/>
      <c r="Z950" s="1" t="s">
        <v>42968</v>
      </c>
      <c r="AA950" s="33">
        <v>6718</v>
      </c>
    </row>
    <row r="951" spans="1:27" ht="12" customHeight="1" x14ac:dyDescent="0.15">
      <c r="A951" s="10" t="s">
        <v>41999</v>
      </c>
      <c r="B951" s="99">
        <v>34</v>
      </c>
      <c r="C951" s="10" t="s">
        <v>14</v>
      </c>
      <c r="D951" s="10" t="s">
        <v>31</v>
      </c>
      <c r="E951" s="64" t="s">
        <v>42000</v>
      </c>
      <c r="F951" s="67">
        <v>43510</v>
      </c>
      <c r="G951" s="10" t="s">
        <v>42001</v>
      </c>
      <c r="H951" s="10" t="s">
        <v>42002</v>
      </c>
      <c r="I951" s="70" t="s">
        <v>122</v>
      </c>
      <c r="J951" s="65">
        <v>56467</v>
      </c>
      <c r="K951" s="10" t="s">
        <v>42002</v>
      </c>
      <c r="L951" s="10" t="s">
        <v>42003</v>
      </c>
      <c r="M951" s="10" t="s">
        <v>21</v>
      </c>
      <c r="N951" s="10" t="s">
        <v>42004</v>
      </c>
      <c r="O951" s="10" t="s">
        <v>372</v>
      </c>
      <c r="P951" s="1" t="s">
        <v>30089</v>
      </c>
      <c r="Q951" s="64" t="s">
        <v>42005</v>
      </c>
      <c r="R951" s="10" t="s">
        <v>94</v>
      </c>
      <c r="S951" s="63" t="s">
        <v>22</v>
      </c>
      <c r="T951" s="34" t="s">
        <v>26781</v>
      </c>
      <c r="U951" s="34" t="s">
        <v>26572</v>
      </c>
      <c r="V951" s="68"/>
      <c r="W951" s="68"/>
      <c r="X951" s="68"/>
      <c r="Z951" s="68" t="s">
        <v>42967</v>
      </c>
      <c r="AA951" s="33">
        <v>6716</v>
      </c>
    </row>
    <row r="952" spans="1:27" ht="12" customHeight="1" x14ac:dyDescent="0.15">
      <c r="A952" s="10" t="s">
        <v>41777</v>
      </c>
      <c r="B952" s="99">
        <v>37</v>
      </c>
      <c r="C952" s="10" t="s">
        <v>14</v>
      </c>
      <c r="D952" s="10" t="s">
        <v>79</v>
      </c>
      <c r="E952" s="64" t="s">
        <v>41778</v>
      </c>
      <c r="F952" s="67">
        <v>43510</v>
      </c>
      <c r="G952" s="10" t="s">
        <v>41779</v>
      </c>
      <c r="H952" s="10" t="s">
        <v>11314</v>
      </c>
      <c r="I952" s="10" t="s">
        <v>67</v>
      </c>
      <c r="J952" s="65">
        <v>78418</v>
      </c>
      <c r="K952" s="10" t="s">
        <v>11316</v>
      </c>
      <c r="L952" s="10" t="s">
        <v>41780</v>
      </c>
      <c r="M952" s="10" t="s">
        <v>21</v>
      </c>
      <c r="N952" s="10" t="s">
        <v>41781</v>
      </c>
      <c r="O952" s="10" t="s">
        <v>372</v>
      </c>
      <c r="P952" s="1" t="s">
        <v>30089</v>
      </c>
      <c r="Q952" s="64" t="s">
        <v>41782</v>
      </c>
      <c r="R952" s="10" t="s">
        <v>94</v>
      </c>
      <c r="S952" s="63" t="s">
        <v>351</v>
      </c>
      <c r="T952" s="34" t="s">
        <v>26867</v>
      </c>
      <c r="U952" s="34" t="s">
        <v>26572</v>
      </c>
      <c r="V952" s="68"/>
      <c r="W952" s="68"/>
      <c r="X952" s="68"/>
      <c r="Z952" s="68" t="s">
        <v>42968</v>
      </c>
      <c r="AA952" s="33">
        <v>6719</v>
      </c>
    </row>
    <row r="953" spans="1:27" ht="12" customHeight="1" x14ac:dyDescent="0.15">
      <c r="A953" s="10" t="s">
        <v>37970</v>
      </c>
      <c r="B953" s="99">
        <v>33</v>
      </c>
      <c r="C953" s="10" t="s">
        <v>14</v>
      </c>
      <c r="D953" s="10" t="s">
        <v>31</v>
      </c>
      <c r="E953" s="64" t="s">
        <v>37971</v>
      </c>
      <c r="F953" s="67">
        <v>43510</v>
      </c>
      <c r="G953" s="10" t="s">
        <v>37972</v>
      </c>
      <c r="H953" s="10" t="s">
        <v>560</v>
      </c>
      <c r="I953" s="70" t="s">
        <v>39</v>
      </c>
      <c r="J953" s="65">
        <v>95131</v>
      </c>
      <c r="K953" s="10" t="s">
        <v>561</v>
      </c>
      <c r="L953" s="10" t="s">
        <v>678</v>
      </c>
      <c r="M953" s="10" t="s">
        <v>21</v>
      </c>
      <c r="N953" s="10" t="s">
        <v>37973</v>
      </c>
      <c r="O953" s="10" t="s">
        <v>372</v>
      </c>
      <c r="P953" s="1" t="s">
        <v>30089</v>
      </c>
      <c r="Q953" s="64" t="s">
        <v>37974</v>
      </c>
      <c r="R953" s="10" t="s">
        <v>94</v>
      </c>
      <c r="S953" s="63" t="s">
        <v>22</v>
      </c>
      <c r="T953" s="68" t="s">
        <v>26781</v>
      </c>
      <c r="U953" s="68" t="s">
        <v>26572</v>
      </c>
      <c r="V953" s="68" t="s">
        <v>26571</v>
      </c>
      <c r="W953" s="68" t="s">
        <v>94</v>
      </c>
      <c r="X953" s="68">
        <v>4477</v>
      </c>
      <c r="Z953" s="68" t="s">
        <v>42968</v>
      </c>
      <c r="AA953" s="33">
        <v>6715</v>
      </c>
    </row>
    <row r="954" spans="1:27" ht="12" customHeight="1" x14ac:dyDescent="0.15">
      <c r="A954" s="10" t="s">
        <v>37975</v>
      </c>
      <c r="B954" s="99">
        <v>47</v>
      </c>
      <c r="C954" s="10" t="s">
        <v>14</v>
      </c>
      <c r="D954" s="10" t="s">
        <v>31</v>
      </c>
      <c r="E954" s="64" t="s">
        <v>37976</v>
      </c>
      <c r="F954" s="67">
        <v>43509</v>
      </c>
      <c r="G954" s="10" t="s">
        <v>37977</v>
      </c>
      <c r="H954" s="10" t="s">
        <v>37978</v>
      </c>
      <c r="I954" s="70" t="s">
        <v>338</v>
      </c>
      <c r="J954" s="65">
        <v>27539</v>
      </c>
      <c r="K954" s="10" t="s">
        <v>642</v>
      </c>
      <c r="L954" s="10" t="s">
        <v>32193</v>
      </c>
      <c r="M954" s="10" t="s">
        <v>21</v>
      </c>
      <c r="N954" s="10" t="s">
        <v>37979</v>
      </c>
      <c r="O954" s="10" t="s">
        <v>372</v>
      </c>
      <c r="P954" s="1" t="s">
        <v>30089</v>
      </c>
      <c r="Q954" s="64" t="s">
        <v>37980</v>
      </c>
      <c r="R954" s="10" t="s">
        <v>94</v>
      </c>
      <c r="S954" s="63" t="s">
        <v>22</v>
      </c>
      <c r="T954" s="68" t="s">
        <v>26781</v>
      </c>
      <c r="U954" s="68" t="s">
        <v>26572</v>
      </c>
      <c r="V954" s="68" t="s">
        <v>26573</v>
      </c>
      <c r="W954" s="68" t="s">
        <v>94</v>
      </c>
      <c r="X954" s="68">
        <v>4479</v>
      </c>
      <c r="Z954" s="68" t="s">
        <v>42968</v>
      </c>
      <c r="AA954" s="33">
        <v>6713</v>
      </c>
    </row>
    <row r="955" spans="1:27" ht="12" customHeight="1" x14ac:dyDescent="0.15">
      <c r="A955" s="10" t="s">
        <v>39478</v>
      </c>
      <c r="B955" s="99">
        <v>34</v>
      </c>
      <c r="C955" s="10" t="s">
        <v>14</v>
      </c>
      <c r="D955" s="10" t="s">
        <v>31</v>
      </c>
      <c r="E955" s="63"/>
      <c r="F955" s="67">
        <v>43509</v>
      </c>
      <c r="G955" s="10" t="s">
        <v>39479</v>
      </c>
      <c r="H955" s="10" t="s">
        <v>39480</v>
      </c>
      <c r="I955" s="70" t="s">
        <v>376</v>
      </c>
      <c r="J955" s="65">
        <v>17304</v>
      </c>
      <c r="K955" s="10" t="s">
        <v>1790</v>
      </c>
      <c r="L955" s="10" t="s">
        <v>473</v>
      </c>
      <c r="M955" s="10" t="s">
        <v>21</v>
      </c>
      <c r="N955" s="10" t="s">
        <v>39481</v>
      </c>
      <c r="O955" s="10" t="s">
        <v>372</v>
      </c>
      <c r="P955" s="1" t="s">
        <v>30089</v>
      </c>
      <c r="Q955" s="64" t="s">
        <v>39482</v>
      </c>
      <c r="R955" s="10" t="s">
        <v>94</v>
      </c>
      <c r="S955" s="63" t="s">
        <v>22</v>
      </c>
      <c r="T955" s="68" t="s">
        <v>26774</v>
      </c>
      <c r="U955" s="68" t="s">
        <v>26572</v>
      </c>
      <c r="V955" s="68" t="s">
        <v>26573</v>
      </c>
      <c r="W955" s="68" t="s">
        <v>94</v>
      </c>
      <c r="X955" s="68">
        <v>4463</v>
      </c>
      <c r="Z955" s="68" t="s">
        <v>42967</v>
      </c>
      <c r="AA955" s="33">
        <v>6714</v>
      </c>
    </row>
    <row r="956" spans="1:27" ht="12" customHeight="1" x14ac:dyDescent="0.15">
      <c r="A956" s="1" t="s">
        <v>37129</v>
      </c>
      <c r="B956" s="1">
        <v>42</v>
      </c>
      <c r="C956" s="1" t="s">
        <v>14</v>
      </c>
      <c r="D956" s="1" t="s">
        <v>31</v>
      </c>
      <c r="E956" s="1" t="s">
        <v>37130</v>
      </c>
      <c r="F956" s="67">
        <v>43508</v>
      </c>
      <c r="G956" s="1" t="s">
        <v>37131</v>
      </c>
      <c r="H956" s="1" t="s">
        <v>37132</v>
      </c>
      <c r="I956" s="1" t="s">
        <v>395</v>
      </c>
      <c r="J956" s="1">
        <v>11418</v>
      </c>
      <c r="K956" s="1" t="s">
        <v>2474</v>
      </c>
      <c r="L956" s="1" t="s">
        <v>539</v>
      </c>
      <c r="M956" s="1" t="s">
        <v>21</v>
      </c>
      <c r="N956" s="1" t="s">
        <v>37133</v>
      </c>
      <c r="O956" s="1" t="s">
        <v>32706</v>
      </c>
      <c r="P956" s="1" t="s">
        <v>30089</v>
      </c>
      <c r="Q956" s="1" t="s">
        <v>37134</v>
      </c>
      <c r="R956" s="1" t="s">
        <v>94</v>
      </c>
      <c r="S956" s="1" t="s">
        <v>12</v>
      </c>
      <c r="T956" s="54" t="s">
        <v>29425</v>
      </c>
      <c r="U956" s="68"/>
      <c r="V956" s="68"/>
      <c r="W956" s="68"/>
      <c r="X956" s="68"/>
      <c r="Z956" s="1" t="s">
        <v>42966</v>
      </c>
      <c r="AA956" s="33">
        <v>6712</v>
      </c>
    </row>
    <row r="957" spans="1:27" ht="12" customHeight="1" x14ac:dyDescent="0.15">
      <c r="A957" s="10" t="s">
        <v>38872</v>
      </c>
      <c r="B957" s="99">
        <v>20</v>
      </c>
      <c r="C957" s="10" t="s">
        <v>14</v>
      </c>
      <c r="D957" s="10" t="s">
        <v>24</v>
      </c>
      <c r="E957" s="63"/>
      <c r="F957" s="67">
        <v>43508</v>
      </c>
      <c r="G957" s="10" t="s">
        <v>38873</v>
      </c>
      <c r="H957" s="10" t="s">
        <v>38874</v>
      </c>
      <c r="I957" s="70" t="s">
        <v>67</v>
      </c>
      <c r="J957" s="65">
        <v>77450</v>
      </c>
      <c r="K957" s="10" t="s">
        <v>1296</v>
      </c>
      <c r="L957" s="10" t="s">
        <v>262</v>
      </c>
      <c r="M957" s="10" t="s">
        <v>21</v>
      </c>
      <c r="N957" s="10" t="s">
        <v>38875</v>
      </c>
      <c r="O957" s="10" t="s">
        <v>372</v>
      </c>
      <c r="P957" s="1" t="s">
        <v>30089</v>
      </c>
      <c r="Q957" s="64" t="s">
        <v>38876</v>
      </c>
      <c r="R957" s="10" t="s">
        <v>94</v>
      </c>
      <c r="S957" s="63" t="s">
        <v>22</v>
      </c>
      <c r="T957" s="68" t="s">
        <v>26781</v>
      </c>
      <c r="U957" s="68" t="s">
        <v>26572</v>
      </c>
      <c r="V957" s="68" t="s">
        <v>26571</v>
      </c>
      <c r="W957" s="68" t="s">
        <v>94</v>
      </c>
      <c r="X957" s="68">
        <v>4459</v>
      </c>
      <c r="Z957" s="68" t="s">
        <v>42968</v>
      </c>
      <c r="AA957" s="33">
        <v>6708</v>
      </c>
    </row>
    <row r="958" spans="1:27" ht="12" customHeight="1" x14ac:dyDescent="0.15">
      <c r="A958" s="10" t="s">
        <v>38877</v>
      </c>
      <c r="B958" s="99">
        <v>19</v>
      </c>
      <c r="C958" s="10" t="s">
        <v>14</v>
      </c>
      <c r="D958" s="10" t="s">
        <v>24</v>
      </c>
      <c r="E958" s="63"/>
      <c r="F958" s="67">
        <v>43508</v>
      </c>
      <c r="G958" s="10" t="s">
        <v>38873</v>
      </c>
      <c r="H958" s="10" t="s">
        <v>38874</v>
      </c>
      <c r="I958" s="70" t="s">
        <v>67</v>
      </c>
      <c r="J958" s="65">
        <v>77450</v>
      </c>
      <c r="K958" s="10" t="s">
        <v>1296</v>
      </c>
      <c r="L958" s="10" t="s">
        <v>262</v>
      </c>
      <c r="M958" s="10" t="s">
        <v>21</v>
      </c>
      <c r="N958" s="10" t="s">
        <v>38875</v>
      </c>
      <c r="O958" s="10" t="s">
        <v>372</v>
      </c>
      <c r="P958" s="1" t="s">
        <v>30089</v>
      </c>
      <c r="Q958" s="64" t="s">
        <v>38876</v>
      </c>
      <c r="R958" s="10" t="s">
        <v>94</v>
      </c>
      <c r="S958" s="63" t="s">
        <v>22</v>
      </c>
      <c r="T958" s="68" t="s">
        <v>26781</v>
      </c>
      <c r="U958" s="68" t="s">
        <v>26572</v>
      </c>
      <c r="V958" s="68" t="s">
        <v>26571</v>
      </c>
      <c r="W958" s="68" t="s">
        <v>94</v>
      </c>
      <c r="X958" s="68">
        <v>4460</v>
      </c>
      <c r="Z958" s="68" t="s">
        <v>42968</v>
      </c>
      <c r="AA958" s="33">
        <v>6709</v>
      </c>
    </row>
    <row r="959" spans="1:27" ht="12" customHeight="1" x14ac:dyDescent="0.15">
      <c r="A959" s="10" t="s">
        <v>38878</v>
      </c>
      <c r="B959" s="99">
        <v>28</v>
      </c>
      <c r="C959" s="10" t="s">
        <v>14</v>
      </c>
      <c r="D959" s="10" t="s">
        <v>24</v>
      </c>
      <c r="E959" s="63"/>
      <c r="F959" s="67">
        <v>43508</v>
      </c>
      <c r="G959" s="10" t="s">
        <v>38879</v>
      </c>
      <c r="H959" s="10" t="s">
        <v>308</v>
      </c>
      <c r="I959" s="70" t="s">
        <v>309</v>
      </c>
      <c r="J959" s="65">
        <v>99712</v>
      </c>
      <c r="K959" s="10" t="s">
        <v>18138</v>
      </c>
      <c r="L959" s="10" t="s">
        <v>22848</v>
      </c>
      <c r="M959" s="10" t="s">
        <v>21</v>
      </c>
      <c r="N959" s="10" t="s">
        <v>38880</v>
      </c>
      <c r="O959" s="10" t="s">
        <v>372</v>
      </c>
      <c r="P959" s="1" t="s">
        <v>30089</v>
      </c>
      <c r="Q959" s="64" t="s">
        <v>38881</v>
      </c>
      <c r="R959" s="10" t="s">
        <v>94</v>
      </c>
      <c r="S959" s="63" t="s">
        <v>22</v>
      </c>
      <c r="T959" s="68" t="s">
        <v>26781</v>
      </c>
      <c r="U959" s="68" t="s">
        <v>26572</v>
      </c>
      <c r="V959" s="68" t="s">
        <v>26573</v>
      </c>
      <c r="W959" s="68" t="s">
        <v>94</v>
      </c>
      <c r="X959" s="68">
        <v>4465</v>
      </c>
      <c r="Z959" s="68" t="s">
        <v>42967</v>
      </c>
      <c r="AA959" s="33">
        <v>6710</v>
      </c>
    </row>
    <row r="960" spans="1:27" ht="12" customHeight="1" x14ac:dyDescent="0.15">
      <c r="A960" s="10" t="s">
        <v>37964</v>
      </c>
      <c r="B960" s="99">
        <v>46</v>
      </c>
      <c r="C960" s="10" t="s">
        <v>14</v>
      </c>
      <c r="D960" s="10" t="s">
        <v>31</v>
      </c>
      <c r="E960" s="64" t="s">
        <v>37965</v>
      </c>
      <c r="F960" s="67">
        <v>43508</v>
      </c>
      <c r="G960" s="10" t="s">
        <v>37966</v>
      </c>
      <c r="H960" s="10" t="s">
        <v>1332</v>
      </c>
      <c r="I960" s="70" t="s">
        <v>39</v>
      </c>
      <c r="J960" s="65">
        <v>95341</v>
      </c>
      <c r="K960" s="10" t="s">
        <v>1332</v>
      </c>
      <c r="L960" s="10" t="s">
        <v>37967</v>
      </c>
      <c r="M960" s="10" t="s">
        <v>21</v>
      </c>
      <c r="N960" s="10" t="s">
        <v>37968</v>
      </c>
      <c r="O960" s="10" t="s">
        <v>372</v>
      </c>
      <c r="P960" s="1" t="s">
        <v>30089</v>
      </c>
      <c r="Q960" s="64" t="s">
        <v>37969</v>
      </c>
      <c r="R960" s="10" t="s">
        <v>94</v>
      </c>
      <c r="S960" s="63" t="s">
        <v>22</v>
      </c>
      <c r="T960" s="68" t="s">
        <v>26781</v>
      </c>
      <c r="U960" s="68" t="s">
        <v>26572</v>
      </c>
      <c r="V960" s="68" t="s">
        <v>26573</v>
      </c>
      <c r="W960" s="68" t="s">
        <v>94</v>
      </c>
      <c r="X960" s="68">
        <v>4464</v>
      </c>
      <c r="Y960" s="33" t="s">
        <v>42476</v>
      </c>
      <c r="Z960" s="68" t="s">
        <v>42968</v>
      </c>
      <c r="AA960" s="33">
        <v>6707</v>
      </c>
    </row>
    <row r="961" spans="1:27" ht="12" customHeight="1" x14ac:dyDescent="0.15">
      <c r="A961" s="10" t="s">
        <v>39375</v>
      </c>
      <c r="B961" s="99">
        <v>58</v>
      </c>
      <c r="C961" s="10" t="s">
        <v>14</v>
      </c>
      <c r="D961" s="10" t="s">
        <v>79</v>
      </c>
      <c r="E961" s="63"/>
      <c r="F961" s="67">
        <v>43508</v>
      </c>
      <c r="G961" s="10" t="s">
        <v>39376</v>
      </c>
      <c r="H961" s="10" t="s">
        <v>39377</v>
      </c>
      <c r="I961" s="70" t="s">
        <v>63</v>
      </c>
      <c r="J961" s="65">
        <v>43512</v>
      </c>
      <c r="K961" s="10" t="s">
        <v>39377</v>
      </c>
      <c r="L961" s="10" t="s">
        <v>39378</v>
      </c>
      <c r="M961" s="10" t="s">
        <v>21</v>
      </c>
      <c r="N961" s="10" t="s">
        <v>39379</v>
      </c>
      <c r="O961" s="10" t="s">
        <v>372</v>
      </c>
      <c r="P961" s="1" t="s">
        <v>30089</v>
      </c>
      <c r="Q961" s="64" t="s">
        <v>39380</v>
      </c>
      <c r="R961" s="10" t="s">
        <v>94</v>
      </c>
      <c r="S961" s="63" t="s">
        <v>22</v>
      </c>
      <c r="T961" s="68" t="s">
        <v>26774</v>
      </c>
      <c r="U961" s="68" t="s">
        <v>26570</v>
      </c>
      <c r="V961" s="68" t="s">
        <v>26573</v>
      </c>
      <c r="W961" s="68" t="s">
        <v>94</v>
      </c>
      <c r="X961" s="68">
        <v>4458</v>
      </c>
      <c r="Z961" s="68" t="s">
        <v>42967</v>
      </c>
      <c r="AA961" s="33">
        <v>6711</v>
      </c>
    </row>
    <row r="962" spans="1:27" ht="12" customHeight="1" x14ac:dyDescent="0.2">
      <c r="A962" s="10" t="s">
        <v>37815</v>
      </c>
      <c r="B962" s="99">
        <v>32</v>
      </c>
      <c r="C962" s="10" t="s">
        <v>14</v>
      </c>
      <c r="D962" s="10" t="s">
        <v>15</v>
      </c>
      <c r="E962" s="63"/>
      <c r="F962" s="67">
        <v>43507</v>
      </c>
      <c r="G962" s="73" t="s">
        <v>37816</v>
      </c>
      <c r="H962" s="73" t="s">
        <v>6885</v>
      </c>
      <c r="I962" s="74" t="s">
        <v>39</v>
      </c>
      <c r="J962" s="65">
        <v>96002</v>
      </c>
      <c r="K962" s="10" t="s">
        <v>6887</v>
      </c>
      <c r="L962" s="10" t="s">
        <v>6888</v>
      </c>
      <c r="M962" s="10" t="s">
        <v>21</v>
      </c>
      <c r="N962" s="10" t="s">
        <v>37817</v>
      </c>
      <c r="O962" s="10" t="s">
        <v>372</v>
      </c>
      <c r="P962" s="1" t="s">
        <v>30089</v>
      </c>
      <c r="Q962" s="64" t="s">
        <v>37818</v>
      </c>
      <c r="R962" s="10" t="s">
        <v>904</v>
      </c>
      <c r="S962" s="63" t="s">
        <v>22</v>
      </c>
      <c r="T962" s="68" t="s">
        <v>26781</v>
      </c>
      <c r="U962" s="68" t="s">
        <v>26572</v>
      </c>
      <c r="V962" s="68" t="s">
        <v>26574</v>
      </c>
      <c r="W962" s="68" t="s">
        <v>94</v>
      </c>
      <c r="X962" s="68">
        <v>4461</v>
      </c>
      <c r="Z962" s="68" t="s">
        <v>42966</v>
      </c>
      <c r="AA962" s="33">
        <v>6704</v>
      </c>
    </row>
    <row r="963" spans="1:27" ht="12" customHeight="1" x14ac:dyDescent="0.2">
      <c r="A963" s="10" t="s">
        <v>40301</v>
      </c>
      <c r="B963" s="99">
        <v>34</v>
      </c>
      <c r="C963" s="10" t="s">
        <v>14</v>
      </c>
      <c r="D963" s="10" t="s">
        <v>31</v>
      </c>
      <c r="E963" s="63"/>
      <c r="F963" s="67">
        <v>43507</v>
      </c>
      <c r="G963" s="73" t="s">
        <v>40302</v>
      </c>
      <c r="H963" s="73" t="s">
        <v>995</v>
      </c>
      <c r="I963" s="73" t="s">
        <v>139</v>
      </c>
      <c r="J963" s="76">
        <v>25136</v>
      </c>
      <c r="K963" s="10" t="s">
        <v>1415</v>
      </c>
      <c r="L963" s="10" t="s">
        <v>19481</v>
      </c>
      <c r="M963" s="10" t="s">
        <v>21</v>
      </c>
      <c r="N963" s="10" t="s">
        <v>40303</v>
      </c>
      <c r="O963" s="10" t="s">
        <v>372</v>
      </c>
      <c r="P963" s="1" t="s">
        <v>30089</v>
      </c>
      <c r="Q963" s="64" t="s">
        <v>40304</v>
      </c>
      <c r="R963" s="10" t="s">
        <v>23</v>
      </c>
      <c r="S963" s="63" t="s">
        <v>29</v>
      </c>
      <c r="T963" s="68" t="s">
        <v>26575</v>
      </c>
      <c r="U963" s="68" t="s">
        <v>26575</v>
      </c>
      <c r="V963" s="68">
        <v>0</v>
      </c>
      <c r="W963" s="68" t="s">
        <v>94</v>
      </c>
      <c r="X963" s="68">
        <v>4442</v>
      </c>
      <c r="Z963" s="68" t="s">
        <v>42967</v>
      </c>
      <c r="AA963" s="33">
        <v>6706</v>
      </c>
    </row>
    <row r="964" spans="1:27" ht="12" customHeight="1" x14ac:dyDescent="0.2">
      <c r="A964" s="10" t="s">
        <v>37295</v>
      </c>
      <c r="B964" s="99">
        <v>24</v>
      </c>
      <c r="C964" s="10" t="s">
        <v>14</v>
      </c>
      <c r="D964" s="10" t="s">
        <v>79</v>
      </c>
      <c r="E964" s="64" t="s">
        <v>37296</v>
      </c>
      <c r="F964" s="67">
        <v>43507</v>
      </c>
      <c r="G964" s="73" t="s">
        <v>37297</v>
      </c>
      <c r="H964" s="73" t="s">
        <v>37298</v>
      </c>
      <c r="I964" s="73" t="s">
        <v>294</v>
      </c>
      <c r="J964" s="65">
        <v>40014</v>
      </c>
      <c r="K964" s="10" t="s">
        <v>25111</v>
      </c>
      <c r="L964" s="10" t="s">
        <v>18258</v>
      </c>
      <c r="M964" s="10" t="s">
        <v>21</v>
      </c>
      <c r="N964" s="10" t="s">
        <v>37299</v>
      </c>
      <c r="O964" s="10" t="s">
        <v>372</v>
      </c>
      <c r="P964" s="1" t="s">
        <v>30089</v>
      </c>
      <c r="Q964" s="64" t="s">
        <v>37300</v>
      </c>
      <c r="R964" s="10" t="s">
        <v>94</v>
      </c>
      <c r="S964" s="63" t="s">
        <v>22</v>
      </c>
      <c r="T964" s="68" t="s">
        <v>26781</v>
      </c>
      <c r="U964" s="68" t="s">
        <v>26572</v>
      </c>
      <c r="V964" s="68" t="s">
        <v>26571</v>
      </c>
      <c r="W964" s="68" t="s">
        <v>94</v>
      </c>
      <c r="X964" s="68">
        <v>4457</v>
      </c>
      <c r="Z964" s="68" t="s">
        <v>42968</v>
      </c>
      <c r="AA964" s="33">
        <v>6703</v>
      </c>
    </row>
    <row r="965" spans="1:27" ht="12" customHeight="1" x14ac:dyDescent="0.15">
      <c r="A965" s="10" t="s">
        <v>42165</v>
      </c>
      <c r="B965" s="99">
        <v>23</v>
      </c>
      <c r="C965" s="10" t="s">
        <v>14</v>
      </c>
      <c r="D965" s="10" t="s">
        <v>42</v>
      </c>
      <c r="E965" s="63"/>
      <c r="F965" s="67">
        <v>43507</v>
      </c>
      <c r="G965" s="10" t="s">
        <v>42166</v>
      </c>
      <c r="H965" s="10" t="s">
        <v>14507</v>
      </c>
      <c r="I965" s="70" t="s">
        <v>39</v>
      </c>
      <c r="J965" s="65">
        <v>92833</v>
      </c>
      <c r="K965" s="10" t="s">
        <v>998</v>
      </c>
      <c r="L965" s="10" t="s">
        <v>14508</v>
      </c>
      <c r="M965" s="10" t="s">
        <v>363</v>
      </c>
      <c r="N965" s="10" t="s">
        <v>42167</v>
      </c>
      <c r="O965" s="10" t="s">
        <v>372</v>
      </c>
      <c r="P965" s="1" t="s">
        <v>30089</v>
      </c>
      <c r="Q965" s="64" t="s">
        <v>42168</v>
      </c>
      <c r="R965" s="10" t="s">
        <v>512</v>
      </c>
      <c r="S965" s="63" t="s">
        <v>12</v>
      </c>
      <c r="T965" s="34" t="s">
        <v>29705</v>
      </c>
      <c r="U965" s="34" t="s">
        <v>26572</v>
      </c>
      <c r="V965" s="1"/>
      <c r="W965" s="68"/>
      <c r="X965" s="1"/>
      <c r="Z965" s="68" t="s">
        <v>42968</v>
      </c>
      <c r="AA965" s="33">
        <v>6705</v>
      </c>
    </row>
    <row r="966" spans="1:27" ht="12" customHeight="1" x14ac:dyDescent="0.2">
      <c r="A966" s="10" t="s">
        <v>40870</v>
      </c>
      <c r="B966" s="99">
        <v>34</v>
      </c>
      <c r="C966" s="10" t="s">
        <v>14</v>
      </c>
      <c r="D966" s="10" t="s">
        <v>79</v>
      </c>
      <c r="E966" s="64" t="s">
        <v>40871</v>
      </c>
      <c r="F966" s="67">
        <v>43506</v>
      </c>
      <c r="G966" s="73" t="s">
        <v>40872</v>
      </c>
      <c r="H966" s="73" t="s">
        <v>27</v>
      </c>
      <c r="I966" s="73" t="s">
        <v>26</v>
      </c>
      <c r="J966" s="65">
        <v>29605</v>
      </c>
      <c r="K966" s="10" t="s">
        <v>27</v>
      </c>
      <c r="L966" s="10" t="s">
        <v>28</v>
      </c>
      <c r="M966" s="10" t="s">
        <v>21</v>
      </c>
      <c r="N966" s="10" t="s">
        <v>40873</v>
      </c>
      <c r="O966" s="10" t="s">
        <v>372</v>
      </c>
      <c r="P966" s="1" t="s">
        <v>30089</v>
      </c>
      <c r="Q966" s="64" t="s">
        <v>40874</v>
      </c>
      <c r="R966" s="10" t="s">
        <v>512</v>
      </c>
      <c r="S966" s="63" t="s">
        <v>22</v>
      </c>
      <c r="T966" s="68" t="s">
        <v>26781</v>
      </c>
      <c r="U966" s="68" t="s">
        <v>26572</v>
      </c>
      <c r="V966" s="68" t="s">
        <v>26573</v>
      </c>
      <c r="W966" s="68" t="s">
        <v>512</v>
      </c>
      <c r="X966" s="68">
        <v>4445</v>
      </c>
      <c r="Z966" s="68" t="s">
        <v>42968</v>
      </c>
      <c r="AA966" s="33">
        <v>6701</v>
      </c>
    </row>
    <row r="967" spans="1:27" ht="12" customHeight="1" x14ac:dyDescent="0.2">
      <c r="A967" s="10" t="s">
        <v>41371</v>
      </c>
      <c r="B967" s="99">
        <v>55</v>
      </c>
      <c r="C967" s="10" t="s">
        <v>14</v>
      </c>
      <c r="D967" s="10" t="s">
        <v>31</v>
      </c>
      <c r="E967" s="64" t="s">
        <v>41372</v>
      </c>
      <c r="F967" s="67">
        <v>43506</v>
      </c>
      <c r="G967" s="73" t="s">
        <v>41373</v>
      </c>
      <c r="H967" s="73" t="s">
        <v>27845</v>
      </c>
      <c r="I967" s="73" t="s">
        <v>409</v>
      </c>
      <c r="J967" s="76">
        <v>53189</v>
      </c>
      <c r="K967" s="10" t="s">
        <v>27845</v>
      </c>
      <c r="L967" s="10" t="s">
        <v>27844</v>
      </c>
      <c r="M967" s="10" t="s">
        <v>21</v>
      </c>
      <c r="N967" s="10" t="s">
        <v>41374</v>
      </c>
      <c r="O967" s="10" t="s">
        <v>372</v>
      </c>
      <c r="P967" s="1" t="s">
        <v>30089</v>
      </c>
      <c r="Q967" s="64" t="s">
        <v>41375</v>
      </c>
      <c r="R967" s="10" t="s">
        <v>512</v>
      </c>
      <c r="S967" s="63" t="s">
        <v>22</v>
      </c>
      <c r="T967" s="68" t="s">
        <v>26774</v>
      </c>
      <c r="U967" s="68" t="s">
        <v>26572</v>
      </c>
      <c r="V967" s="68" t="s">
        <v>26573</v>
      </c>
      <c r="W967" s="68" t="s">
        <v>94</v>
      </c>
      <c r="X967" s="68">
        <v>4444</v>
      </c>
      <c r="Z967" s="68" t="s">
        <v>42968</v>
      </c>
      <c r="AA967" s="33">
        <v>6702</v>
      </c>
    </row>
    <row r="968" spans="1:27" ht="12" customHeight="1" x14ac:dyDescent="0.2">
      <c r="A968" s="10" t="s">
        <v>37992</v>
      </c>
      <c r="B968" s="99">
        <v>25</v>
      </c>
      <c r="C968" s="10" t="s">
        <v>14</v>
      </c>
      <c r="D968" s="10" t="s">
        <v>31</v>
      </c>
      <c r="E968" s="64" t="s">
        <v>37993</v>
      </c>
      <c r="F968" s="67">
        <v>43505</v>
      </c>
      <c r="G968" s="73" t="s">
        <v>37994</v>
      </c>
      <c r="H968" s="73" t="s">
        <v>10843</v>
      </c>
      <c r="I968" s="73" t="s">
        <v>367</v>
      </c>
      <c r="J968" s="65">
        <v>73115</v>
      </c>
      <c r="K968" s="10" t="s">
        <v>1028</v>
      </c>
      <c r="L968" s="10" t="s">
        <v>37995</v>
      </c>
      <c r="M968" s="10" t="s">
        <v>21</v>
      </c>
      <c r="N968" s="10" t="s">
        <v>37996</v>
      </c>
      <c r="O968" s="10" t="s">
        <v>372</v>
      </c>
      <c r="P968" s="1" t="s">
        <v>30089</v>
      </c>
      <c r="Q968" s="64" t="s">
        <v>37997</v>
      </c>
      <c r="R968" s="10" t="s">
        <v>94</v>
      </c>
      <c r="S968" s="63" t="s">
        <v>22</v>
      </c>
      <c r="T968" s="68" t="s">
        <v>26781</v>
      </c>
      <c r="U968" s="68" t="s">
        <v>26572</v>
      </c>
      <c r="V968" s="68" t="s">
        <v>26573</v>
      </c>
      <c r="W968" s="68" t="s">
        <v>94</v>
      </c>
      <c r="X968" s="68">
        <v>4485</v>
      </c>
      <c r="Y968" s="33" t="s">
        <v>42476</v>
      </c>
      <c r="Z968" s="68" t="s">
        <v>42968</v>
      </c>
      <c r="AA968" s="33">
        <v>6698</v>
      </c>
    </row>
    <row r="969" spans="1:27" ht="12" customHeight="1" x14ac:dyDescent="0.2">
      <c r="A969" s="10" t="s">
        <v>37290</v>
      </c>
      <c r="B969" s="99">
        <v>20</v>
      </c>
      <c r="C969" s="10" t="s">
        <v>14</v>
      </c>
      <c r="D969" s="10" t="s">
        <v>79</v>
      </c>
      <c r="E969" s="64" t="s">
        <v>37291</v>
      </c>
      <c r="F969" s="67">
        <v>43505</v>
      </c>
      <c r="G969" s="73" t="s">
        <v>37292</v>
      </c>
      <c r="H969" s="73" t="s">
        <v>3143</v>
      </c>
      <c r="I969" s="74" t="s">
        <v>39</v>
      </c>
      <c r="J969" s="65">
        <v>94591</v>
      </c>
      <c r="K969" s="10" t="s">
        <v>3145</v>
      </c>
      <c r="L969" s="10" t="s">
        <v>3146</v>
      </c>
      <c r="M969" s="10" t="s">
        <v>21</v>
      </c>
      <c r="N969" s="10" t="s">
        <v>37293</v>
      </c>
      <c r="O969" s="10" t="s">
        <v>372</v>
      </c>
      <c r="P969" s="1" t="s">
        <v>30089</v>
      </c>
      <c r="Q969" s="64" t="s">
        <v>37294</v>
      </c>
      <c r="R969" s="10" t="s">
        <v>94</v>
      </c>
      <c r="S969" s="63" t="s">
        <v>22</v>
      </c>
      <c r="T969" s="68" t="s">
        <v>26781</v>
      </c>
      <c r="U969" s="68" t="s">
        <v>26570</v>
      </c>
      <c r="V969" s="68" t="s">
        <v>26573</v>
      </c>
      <c r="W969" s="68" t="s">
        <v>94</v>
      </c>
      <c r="X969" s="68">
        <v>4441</v>
      </c>
      <c r="Z969" s="68" t="s">
        <v>42968</v>
      </c>
      <c r="AA969" s="33">
        <v>6697</v>
      </c>
    </row>
    <row r="970" spans="1:27" ht="12" customHeight="1" x14ac:dyDescent="0.2">
      <c r="A970" s="10" t="s">
        <v>41367</v>
      </c>
      <c r="B970" s="99">
        <v>57</v>
      </c>
      <c r="C970" s="10" t="s">
        <v>14</v>
      </c>
      <c r="D970" s="10" t="s">
        <v>31</v>
      </c>
      <c r="E970" s="10"/>
      <c r="F970" s="67">
        <v>43505</v>
      </c>
      <c r="G970" s="73" t="s">
        <v>41368</v>
      </c>
      <c r="H970" s="73" t="s">
        <v>439</v>
      </c>
      <c r="I970" s="74" t="s">
        <v>225</v>
      </c>
      <c r="J970" s="76">
        <v>23462</v>
      </c>
      <c r="K970" s="10" t="s">
        <v>12081</v>
      </c>
      <c r="L970" s="10" t="s">
        <v>441</v>
      </c>
      <c r="M970" s="10" t="s">
        <v>21</v>
      </c>
      <c r="N970" s="10" t="s">
        <v>41369</v>
      </c>
      <c r="O970" s="10" t="s">
        <v>372</v>
      </c>
      <c r="P970" s="1" t="s">
        <v>30089</v>
      </c>
      <c r="Q970" s="64" t="s">
        <v>41370</v>
      </c>
      <c r="R970" s="10" t="s">
        <v>512</v>
      </c>
      <c r="S970" s="63" t="s">
        <v>22</v>
      </c>
      <c r="T970" s="68" t="s">
        <v>26774</v>
      </c>
      <c r="U970" s="68" t="s">
        <v>26572</v>
      </c>
      <c r="V970" s="68" t="s">
        <v>26573</v>
      </c>
      <c r="W970" s="68" t="s">
        <v>94</v>
      </c>
      <c r="X970" s="68">
        <v>4443</v>
      </c>
      <c r="Z970" s="68" t="s">
        <v>42966</v>
      </c>
      <c r="AA970" s="33">
        <v>6700</v>
      </c>
    </row>
    <row r="971" spans="1:27" ht="12" customHeight="1" x14ac:dyDescent="0.2">
      <c r="A971" s="10" t="s">
        <v>38575</v>
      </c>
      <c r="B971" s="99">
        <v>28</v>
      </c>
      <c r="C971" s="10" t="s">
        <v>14</v>
      </c>
      <c r="D971" s="10" t="s">
        <v>42</v>
      </c>
      <c r="E971" s="10"/>
      <c r="F971" s="67">
        <v>43505</v>
      </c>
      <c r="G971" s="73" t="s">
        <v>38576</v>
      </c>
      <c r="H971" s="73" t="s">
        <v>20258</v>
      </c>
      <c r="I971" s="73" t="s">
        <v>338</v>
      </c>
      <c r="J971" s="65">
        <v>27807</v>
      </c>
      <c r="K971" s="10" t="s">
        <v>38577</v>
      </c>
      <c r="L971" s="10" t="s">
        <v>38578</v>
      </c>
      <c r="M971" s="10" t="s">
        <v>21</v>
      </c>
      <c r="N971" s="10" t="s">
        <v>38579</v>
      </c>
      <c r="O971" s="10" t="s">
        <v>372</v>
      </c>
      <c r="P971" s="1" t="s">
        <v>30089</v>
      </c>
      <c r="Q971" s="64" t="s">
        <v>38580</v>
      </c>
      <c r="R971" s="10" t="s">
        <v>94</v>
      </c>
      <c r="S971" s="63" t="s">
        <v>22</v>
      </c>
      <c r="T971" s="68" t="s">
        <v>26781</v>
      </c>
      <c r="U971" s="68" t="s">
        <v>26570</v>
      </c>
      <c r="V971" s="68" t="s">
        <v>26573</v>
      </c>
      <c r="W971" s="68" t="s">
        <v>512</v>
      </c>
      <c r="X971" s="68">
        <v>4447</v>
      </c>
      <c r="Z971" s="68" t="s">
        <v>42967</v>
      </c>
      <c r="AA971" s="33">
        <v>6699</v>
      </c>
    </row>
    <row r="972" spans="1:27" ht="12" customHeight="1" x14ac:dyDescent="0.2">
      <c r="A972" s="10" t="s">
        <v>40305</v>
      </c>
      <c r="B972" s="99">
        <v>25</v>
      </c>
      <c r="C972" s="10" t="s">
        <v>14</v>
      </c>
      <c r="D972" s="10" t="s">
        <v>31</v>
      </c>
      <c r="E972" s="64" t="s">
        <v>40306</v>
      </c>
      <c r="F972" s="67">
        <v>43504</v>
      </c>
      <c r="G972" s="73" t="s">
        <v>40307</v>
      </c>
      <c r="H972" s="73" t="s">
        <v>631</v>
      </c>
      <c r="I972" s="73" t="s">
        <v>39</v>
      </c>
      <c r="J972" s="65">
        <v>93311</v>
      </c>
      <c r="K972" s="10" t="s">
        <v>632</v>
      </c>
      <c r="L972" s="10" t="s">
        <v>897</v>
      </c>
      <c r="M972" s="10" t="s">
        <v>21</v>
      </c>
      <c r="N972" s="10" t="s">
        <v>40308</v>
      </c>
      <c r="O972" s="10" t="s">
        <v>372</v>
      </c>
      <c r="P972" s="1" t="s">
        <v>30089</v>
      </c>
      <c r="Q972" s="64" t="s">
        <v>40309</v>
      </c>
      <c r="R972" s="10" t="s">
        <v>94</v>
      </c>
      <c r="S972" s="63" t="s">
        <v>29</v>
      </c>
      <c r="T972" s="68" t="s">
        <v>26575</v>
      </c>
      <c r="U972" s="68" t="s">
        <v>26570</v>
      </c>
      <c r="V972" s="68" t="s">
        <v>26573</v>
      </c>
      <c r="W972" s="68" t="s">
        <v>94</v>
      </c>
      <c r="X972" s="68">
        <v>4451</v>
      </c>
      <c r="Z972" s="68" t="s">
        <v>42968</v>
      </c>
      <c r="AA972" s="33">
        <v>6696</v>
      </c>
    </row>
    <row r="973" spans="1:27" ht="12" customHeight="1" x14ac:dyDescent="0.2">
      <c r="A973" s="10" t="s">
        <v>39721</v>
      </c>
      <c r="B973" s="99">
        <v>32</v>
      </c>
      <c r="C973" s="10" t="s">
        <v>20419</v>
      </c>
      <c r="D973" s="10" t="s">
        <v>24</v>
      </c>
      <c r="E973" s="10"/>
      <c r="F973" s="67">
        <v>43504</v>
      </c>
      <c r="G973" s="73" t="s">
        <v>39722</v>
      </c>
      <c r="H973" s="73" t="s">
        <v>700</v>
      </c>
      <c r="I973" s="73" t="s">
        <v>395</v>
      </c>
      <c r="J973" s="65">
        <v>10002</v>
      </c>
      <c r="K973" s="10" t="s">
        <v>700</v>
      </c>
      <c r="L973" s="10" t="s">
        <v>539</v>
      </c>
      <c r="M973" s="10" t="s">
        <v>21</v>
      </c>
      <c r="N973" s="10" t="s">
        <v>39723</v>
      </c>
      <c r="O973" s="10" t="s">
        <v>372</v>
      </c>
      <c r="P973" s="1" t="s">
        <v>30089</v>
      </c>
      <c r="Q973" s="64" t="s">
        <v>39724</v>
      </c>
      <c r="R973" s="10" t="s">
        <v>94</v>
      </c>
      <c r="S973" s="63" t="s">
        <v>22</v>
      </c>
      <c r="T973" s="68" t="s">
        <v>26774</v>
      </c>
      <c r="U973" s="68" t="s">
        <v>26572</v>
      </c>
      <c r="V973" s="68" t="s">
        <v>26573</v>
      </c>
      <c r="W973" s="68" t="s">
        <v>94</v>
      </c>
      <c r="X973" s="68">
        <v>4453</v>
      </c>
      <c r="Z973" s="68" t="s">
        <v>42966</v>
      </c>
      <c r="AA973" s="33">
        <v>6695</v>
      </c>
    </row>
    <row r="974" spans="1:27" ht="12" customHeight="1" x14ac:dyDescent="0.2">
      <c r="A974" s="10" t="s">
        <v>37986</v>
      </c>
      <c r="B974" s="99">
        <v>49</v>
      </c>
      <c r="C974" s="10" t="s">
        <v>14</v>
      </c>
      <c r="D974" s="10" t="s">
        <v>31</v>
      </c>
      <c r="E974" s="63"/>
      <c r="F974" s="67">
        <v>43504</v>
      </c>
      <c r="G974" s="73" t="s">
        <v>37987</v>
      </c>
      <c r="H974" s="73" t="s">
        <v>37988</v>
      </c>
      <c r="I974" s="73" t="s">
        <v>63</v>
      </c>
      <c r="J974" s="65">
        <v>44203</v>
      </c>
      <c r="K974" s="10" t="s">
        <v>3180</v>
      </c>
      <c r="L974" s="10" t="s">
        <v>37989</v>
      </c>
      <c r="M974" s="10" t="s">
        <v>21</v>
      </c>
      <c r="N974" s="10" t="s">
        <v>37990</v>
      </c>
      <c r="O974" s="10" t="s">
        <v>372</v>
      </c>
      <c r="P974" s="1" t="s">
        <v>30089</v>
      </c>
      <c r="Q974" s="64" t="s">
        <v>37991</v>
      </c>
      <c r="R974" s="10" t="s">
        <v>94</v>
      </c>
      <c r="S974" s="63" t="s">
        <v>22</v>
      </c>
      <c r="T974" s="68" t="s">
        <v>26781</v>
      </c>
      <c r="U974" s="68" t="s">
        <v>26572</v>
      </c>
      <c r="V974" s="68" t="s">
        <v>26573</v>
      </c>
      <c r="W974" s="68" t="s">
        <v>94</v>
      </c>
      <c r="X974" s="68">
        <v>4484</v>
      </c>
      <c r="Z974" s="68" t="s">
        <v>42968</v>
      </c>
      <c r="AA974" s="33">
        <v>6694</v>
      </c>
    </row>
    <row r="975" spans="1:27" ht="12" customHeight="1" x14ac:dyDescent="0.2">
      <c r="A975" s="10" t="s">
        <v>41472</v>
      </c>
      <c r="B975" s="99">
        <v>58</v>
      </c>
      <c r="C975" s="10" t="s">
        <v>14</v>
      </c>
      <c r="D975" s="68" t="s">
        <v>31</v>
      </c>
      <c r="E975" s="10"/>
      <c r="F975" s="67">
        <v>43503</v>
      </c>
      <c r="G975" s="73" t="s">
        <v>41473</v>
      </c>
      <c r="H975" s="73" t="s">
        <v>16560</v>
      </c>
      <c r="I975" s="73" t="s">
        <v>39</v>
      </c>
      <c r="J975" s="65">
        <v>93637</v>
      </c>
      <c r="K975" s="10" t="s">
        <v>16560</v>
      </c>
      <c r="L975" s="10" t="s">
        <v>27874</v>
      </c>
      <c r="M975" s="10" t="s">
        <v>21</v>
      </c>
      <c r="N975" s="10" t="s">
        <v>41474</v>
      </c>
      <c r="O975" s="10" t="s">
        <v>372</v>
      </c>
      <c r="P975" s="1" t="s">
        <v>30089</v>
      </c>
      <c r="Q975" s="64" t="s">
        <v>41475</v>
      </c>
      <c r="R975" s="10" t="s">
        <v>512</v>
      </c>
      <c r="S975" s="63" t="s">
        <v>22</v>
      </c>
      <c r="T975" s="68" t="s">
        <v>26774</v>
      </c>
      <c r="U975" s="68" t="s">
        <v>26572</v>
      </c>
      <c r="V975" s="68" t="s">
        <v>26573</v>
      </c>
      <c r="W975" s="68" t="s">
        <v>512</v>
      </c>
      <c r="X975" s="68">
        <v>4448</v>
      </c>
      <c r="Z975" s="68" t="s">
        <v>42968</v>
      </c>
      <c r="AA975" s="33">
        <v>6691</v>
      </c>
    </row>
    <row r="976" spans="1:27" ht="12" customHeight="1" x14ac:dyDescent="0.2">
      <c r="A976" s="10" t="s">
        <v>41438</v>
      </c>
      <c r="B976" s="99">
        <v>48</v>
      </c>
      <c r="C976" s="10" t="s">
        <v>14</v>
      </c>
      <c r="D976" s="10" t="s">
        <v>24</v>
      </c>
      <c r="E976" s="10"/>
      <c r="F976" s="67">
        <v>43503</v>
      </c>
      <c r="G976" s="73" t="s">
        <v>41439</v>
      </c>
      <c r="H976" s="73" t="s">
        <v>1303</v>
      </c>
      <c r="I976" s="74" t="s">
        <v>67</v>
      </c>
      <c r="J976" s="65">
        <v>78541</v>
      </c>
      <c r="K976" s="10" t="s">
        <v>1304</v>
      </c>
      <c r="L976" s="10" t="s">
        <v>27838</v>
      </c>
      <c r="M976" s="10" t="s">
        <v>21</v>
      </c>
      <c r="N976" s="10" t="s">
        <v>41440</v>
      </c>
      <c r="O976" s="10" t="s">
        <v>372</v>
      </c>
      <c r="P976" s="1" t="s">
        <v>30089</v>
      </c>
      <c r="Q976" s="64" t="s">
        <v>41441</v>
      </c>
      <c r="R976" s="10" t="s">
        <v>512</v>
      </c>
      <c r="S976" s="63" t="s">
        <v>22</v>
      </c>
      <c r="T976" s="68" t="s">
        <v>26774</v>
      </c>
      <c r="U976" s="68" t="s">
        <v>26572</v>
      </c>
      <c r="V976" s="68" t="s">
        <v>26573</v>
      </c>
      <c r="W976" s="68" t="s">
        <v>94</v>
      </c>
      <c r="X976" s="68">
        <v>4456</v>
      </c>
      <c r="Z976" s="68" t="s">
        <v>42968</v>
      </c>
      <c r="AA976" s="33">
        <v>6690</v>
      </c>
    </row>
    <row r="977" spans="1:27" ht="12" customHeight="1" x14ac:dyDescent="0.2">
      <c r="A977" s="10" t="s">
        <v>37953</v>
      </c>
      <c r="B977" s="99">
        <v>40</v>
      </c>
      <c r="C977" s="10" t="s">
        <v>14</v>
      </c>
      <c r="D977" s="10" t="s">
        <v>31</v>
      </c>
      <c r="E977" s="64" t="s">
        <v>37954</v>
      </c>
      <c r="F977" s="67">
        <v>43503</v>
      </c>
      <c r="G977" s="73" t="s">
        <v>37955</v>
      </c>
      <c r="H977" s="73" t="s">
        <v>1116</v>
      </c>
      <c r="I977" s="73" t="s">
        <v>298</v>
      </c>
      <c r="J977" s="65">
        <v>38134</v>
      </c>
      <c r="K977" s="10" t="s">
        <v>1117</v>
      </c>
      <c r="L977" s="10" t="s">
        <v>22474</v>
      </c>
      <c r="M977" s="10" t="s">
        <v>21</v>
      </c>
      <c r="N977" s="10" t="s">
        <v>37956</v>
      </c>
      <c r="O977" s="10" t="s">
        <v>372</v>
      </c>
      <c r="P977" s="1" t="s">
        <v>30089</v>
      </c>
      <c r="Q977" s="64" t="s">
        <v>37957</v>
      </c>
      <c r="R977" s="10" t="s">
        <v>94</v>
      </c>
      <c r="S977" s="63" t="s">
        <v>22</v>
      </c>
      <c r="T977" s="68" t="s">
        <v>26781</v>
      </c>
      <c r="U977" s="68" t="s">
        <v>26572</v>
      </c>
      <c r="V977" s="68" t="s">
        <v>26573</v>
      </c>
      <c r="W977" s="68" t="s">
        <v>94</v>
      </c>
      <c r="X977" s="68">
        <v>4452</v>
      </c>
      <c r="Z977" s="68" t="s">
        <v>42966</v>
      </c>
      <c r="AA977" s="33">
        <v>6687</v>
      </c>
    </row>
    <row r="978" spans="1:27" ht="12" customHeight="1" x14ac:dyDescent="0.2">
      <c r="A978" s="10" t="s">
        <v>40416</v>
      </c>
      <c r="B978" s="99">
        <v>38</v>
      </c>
      <c r="C978" s="10" t="s">
        <v>14</v>
      </c>
      <c r="D978" s="10" t="s">
        <v>24</v>
      </c>
      <c r="E978" s="63"/>
      <c r="F978" s="67">
        <v>43503</v>
      </c>
      <c r="G978" s="73" t="s">
        <v>40417</v>
      </c>
      <c r="H978" s="73" t="s">
        <v>40418</v>
      </c>
      <c r="I978" s="73" t="s">
        <v>67</v>
      </c>
      <c r="J978" s="65">
        <v>79549</v>
      </c>
      <c r="K978" s="10" t="s">
        <v>40419</v>
      </c>
      <c r="L978" s="10" t="s">
        <v>40420</v>
      </c>
      <c r="M978" s="10" t="s">
        <v>21</v>
      </c>
      <c r="N978" s="10" t="s">
        <v>40421</v>
      </c>
      <c r="O978" s="10" t="s">
        <v>372</v>
      </c>
      <c r="P978" s="1" t="s">
        <v>30089</v>
      </c>
      <c r="Q978" s="64" t="s">
        <v>40422</v>
      </c>
      <c r="R978" s="10" t="s">
        <v>94</v>
      </c>
      <c r="S978" s="63" t="s">
        <v>29</v>
      </c>
      <c r="T978" s="68" t="s">
        <v>26575</v>
      </c>
      <c r="U978" s="68" t="s">
        <v>26575</v>
      </c>
      <c r="V978" s="68" t="s">
        <v>26573</v>
      </c>
      <c r="W978" s="68" t="s">
        <v>94</v>
      </c>
      <c r="X978" s="68">
        <v>4449</v>
      </c>
      <c r="Z978" s="68" t="s">
        <v>42967</v>
      </c>
      <c r="AA978" s="33">
        <v>6692</v>
      </c>
    </row>
    <row r="979" spans="1:27" ht="12" customHeight="1" x14ac:dyDescent="0.2">
      <c r="A979" s="10" t="s">
        <v>40468</v>
      </c>
      <c r="B979" s="99">
        <v>29</v>
      </c>
      <c r="C979" s="10" t="s">
        <v>14</v>
      </c>
      <c r="D979" s="68" t="s">
        <v>31</v>
      </c>
      <c r="E979" s="63"/>
      <c r="F979" s="67">
        <v>43503</v>
      </c>
      <c r="G979" s="73" t="s">
        <v>40469</v>
      </c>
      <c r="H979" s="73" t="s">
        <v>12170</v>
      </c>
      <c r="I979" s="74" t="s">
        <v>39</v>
      </c>
      <c r="J979" s="65">
        <v>92220</v>
      </c>
      <c r="K979" s="10" t="s">
        <v>728</v>
      </c>
      <c r="L979" s="10" t="s">
        <v>12172</v>
      </c>
      <c r="M979" s="10" t="s">
        <v>21</v>
      </c>
      <c r="N979" s="10" t="s">
        <v>40470</v>
      </c>
      <c r="O979" s="10" t="s">
        <v>372</v>
      </c>
      <c r="P979" s="1" t="s">
        <v>30089</v>
      </c>
      <c r="Q979" s="64" t="s">
        <v>40471</v>
      </c>
      <c r="R979" s="10" t="s">
        <v>94</v>
      </c>
      <c r="S979" s="63" t="s">
        <v>29</v>
      </c>
      <c r="T979" s="68" t="s">
        <v>26575</v>
      </c>
      <c r="U979" s="68" t="s">
        <v>26575</v>
      </c>
      <c r="V979" s="68">
        <v>0</v>
      </c>
      <c r="W979" s="68" t="s">
        <v>94</v>
      </c>
      <c r="X979" s="68">
        <v>4450</v>
      </c>
      <c r="Z979" s="68" t="s">
        <v>42968</v>
      </c>
      <c r="AA979" s="33">
        <v>6693</v>
      </c>
    </row>
    <row r="980" spans="1:27" ht="12" customHeight="1" x14ac:dyDescent="0.2">
      <c r="A980" s="10" t="s">
        <v>39606</v>
      </c>
      <c r="B980" s="99">
        <v>34</v>
      </c>
      <c r="C980" s="10" t="s">
        <v>14</v>
      </c>
      <c r="D980" s="10" t="s">
        <v>42</v>
      </c>
      <c r="E980" s="63"/>
      <c r="F980" s="67">
        <v>43503</v>
      </c>
      <c r="G980" s="73" t="s">
        <v>39607</v>
      </c>
      <c r="H980" s="73" t="s">
        <v>1132</v>
      </c>
      <c r="I980" s="74" t="s">
        <v>282</v>
      </c>
      <c r="J980" s="65">
        <v>98133</v>
      </c>
      <c r="K980" s="10" t="s">
        <v>1133</v>
      </c>
      <c r="L980" s="10" t="s">
        <v>1134</v>
      </c>
      <c r="M980" s="10" t="s">
        <v>21</v>
      </c>
      <c r="N980" s="10" t="s">
        <v>39608</v>
      </c>
      <c r="O980" s="10" t="s">
        <v>372</v>
      </c>
      <c r="P980" s="1" t="s">
        <v>30089</v>
      </c>
      <c r="Q980" s="64" t="s">
        <v>39609</v>
      </c>
      <c r="R980" s="10" t="s">
        <v>94</v>
      </c>
      <c r="S980" s="63" t="s">
        <v>22</v>
      </c>
      <c r="T980" s="68" t="s">
        <v>26774</v>
      </c>
      <c r="U980" s="68" t="s">
        <v>26572</v>
      </c>
      <c r="V980" s="68" t="s">
        <v>26573</v>
      </c>
      <c r="W980" s="68" t="s">
        <v>512</v>
      </c>
      <c r="X980" s="68">
        <v>4446</v>
      </c>
      <c r="Z980" s="68" t="s">
        <v>42966</v>
      </c>
      <c r="AA980" s="33">
        <v>6689</v>
      </c>
    </row>
    <row r="981" spans="1:27" ht="12" customHeight="1" x14ac:dyDescent="0.2">
      <c r="A981" s="10" t="s">
        <v>37981</v>
      </c>
      <c r="B981" s="99">
        <v>25</v>
      </c>
      <c r="C981" s="10" t="s">
        <v>14</v>
      </c>
      <c r="D981" s="10" t="s">
        <v>31</v>
      </c>
      <c r="E981" s="64" t="s">
        <v>37982</v>
      </c>
      <c r="F981" s="67">
        <v>43503</v>
      </c>
      <c r="G981" s="73" t="s">
        <v>37983</v>
      </c>
      <c r="H981" s="73" t="s">
        <v>15178</v>
      </c>
      <c r="I981" s="73" t="s">
        <v>621</v>
      </c>
      <c r="J981" s="65">
        <v>39561</v>
      </c>
      <c r="K981" s="10" t="s">
        <v>9492</v>
      </c>
      <c r="L981" s="10" t="s">
        <v>15536</v>
      </c>
      <c r="M981" s="10" t="s">
        <v>21</v>
      </c>
      <c r="N981" s="10" t="s">
        <v>37984</v>
      </c>
      <c r="O981" s="10" t="s">
        <v>372</v>
      </c>
      <c r="P981" s="1" t="s">
        <v>30089</v>
      </c>
      <c r="Q981" s="64" t="s">
        <v>37985</v>
      </c>
      <c r="R981" s="10" t="s">
        <v>94</v>
      </c>
      <c r="S981" s="63" t="s">
        <v>22</v>
      </c>
      <c r="T981" s="68" t="s">
        <v>26781</v>
      </c>
      <c r="U981" s="68" t="s">
        <v>26572</v>
      </c>
      <c r="V981" s="68" t="s">
        <v>26571</v>
      </c>
      <c r="W981" s="68" t="s">
        <v>512</v>
      </c>
      <c r="X981" s="68">
        <v>4483</v>
      </c>
      <c r="Z981" s="68" t="s">
        <v>42967</v>
      </c>
      <c r="AA981" s="33">
        <v>6688</v>
      </c>
    </row>
    <row r="982" spans="1:27" ht="12" customHeight="1" x14ac:dyDescent="0.15">
      <c r="A982" s="10" t="s">
        <v>41783</v>
      </c>
      <c r="B982" s="99">
        <v>38</v>
      </c>
      <c r="C982" s="10" t="s">
        <v>14</v>
      </c>
      <c r="D982" s="10" t="s">
        <v>79</v>
      </c>
      <c r="E982" s="10"/>
      <c r="F982" s="67">
        <v>43502</v>
      </c>
      <c r="G982" s="10" t="s">
        <v>41784</v>
      </c>
      <c r="H982" s="10" t="s">
        <v>3593</v>
      </c>
      <c r="I982" s="10" t="s">
        <v>38</v>
      </c>
      <c r="J982" s="65">
        <v>60436</v>
      </c>
      <c r="K982" s="10" t="s">
        <v>3595</v>
      </c>
      <c r="L982" s="10" t="s">
        <v>3596</v>
      </c>
      <c r="M982" s="10" t="s">
        <v>21</v>
      </c>
      <c r="N982" s="10" t="s">
        <v>41785</v>
      </c>
      <c r="O982" s="10" t="s">
        <v>372</v>
      </c>
      <c r="P982" s="1" t="s">
        <v>30089</v>
      </c>
      <c r="Q982" s="64" t="s">
        <v>41786</v>
      </c>
      <c r="R982" s="10" t="s">
        <v>94</v>
      </c>
      <c r="S982" s="63" t="s">
        <v>22</v>
      </c>
      <c r="T982" s="34" t="s">
        <v>26612</v>
      </c>
      <c r="U982" s="34" t="s">
        <v>26572</v>
      </c>
      <c r="V982" s="68"/>
      <c r="W982" s="68"/>
      <c r="X982" s="68">
        <v>5410</v>
      </c>
      <c r="Z982" s="68" t="s">
        <v>42968</v>
      </c>
      <c r="AA982" s="33">
        <v>6684</v>
      </c>
    </row>
    <row r="983" spans="1:27" ht="12" customHeight="1" x14ac:dyDescent="0.2">
      <c r="A983" s="10" t="s">
        <v>37958</v>
      </c>
      <c r="B983" s="99">
        <v>20</v>
      </c>
      <c r="C983" s="10" t="s">
        <v>14</v>
      </c>
      <c r="D983" s="10" t="s">
        <v>31</v>
      </c>
      <c r="E983" s="64" t="s">
        <v>37959</v>
      </c>
      <c r="F983" s="67">
        <v>43502</v>
      </c>
      <c r="G983" s="73" t="s">
        <v>37960</v>
      </c>
      <c r="H983" s="73" t="s">
        <v>37961</v>
      </c>
      <c r="I983" s="74" t="s">
        <v>192</v>
      </c>
      <c r="J983" s="65">
        <v>80645</v>
      </c>
      <c r="K983" s="10" t="s">
        <v>1594</v>
      </c>
      <c r="L983" s="10" t="s">
        <v>37183</v>
      </c>
      <c r="M983" s="10" t="s">
        <v>21</v>
      </c>
      <c r="N983" s="10" t="s">
        <v>37962</v>
      </c>
      <c r="O983" s="10" t="s">
        <v>372</v>
      </c>
      <c r="P983" s="1" t="s">
        <v>30089</v>
      </c>
      <c r="Q983" s="64" t="s">
        <v>37963</v>
      </c>
      <c r="R983" s="10" t="s">
        <v>94</v>
      </c>
      <c r="S983" s="63" t="s">
        <v>22</v>
      </c>
      <c r="T983" s="68" t="s">
        <v>26781</v>
      </c>
      <c r="U983" s="68" t="s">
        <v>26572</v>
      </c>
      <c r="V983" s="68">
        <v>0</v>
      </c>
      <c r="W983" s="68" t="s">
        <v>94</v>
      </c>
      <c r="X983" s="68">
        <v>4455</v>
      </c>
      <c r="Z983" s="68" t="s">
        <v>42967</v>
      </c>
      <c r="AA983" s="33">
        <v>6685</v>
      </c>
    </row>
    <row r="984" spans="1:27" ht="12" customHeight="1" x14ac:dyDescent="0.2">
      <c r="A984" s="10" t="s">
        <v>41245</v>
      </c>
      <c r="B984" s="99">
        <v>43</v>
      </c>
      <c r="C984" s="10" t="s">
        <v>14</v>
      </c>
      <c r="D984" s="68" t="s">
        <v>79</v>
      </c>
      <c r="E984" s="63"/>
      <c r="F984" s="67">
        <v>43502</v>
      </c>
      <c r="G984" s="73" t="s">
        <v>41246</v>
      </c>
      <c r="H984" s="73" t="s">
        <v>41247</v>
      </c>
      <c r="I984" s="73" t="s">
        <v>298</v>
      </c>
      <c r="J984" s="65">
        <v>37129</v>
      </c>
      <c r="K984" s="10" t="s">
        <v>6568</v>
      </c>
      <c r="L984" s="10" t="s">
        <v>41248</v>
      </c>
      <c r="M984" s="10" t="s">
        <v>21</v>
      </c>
      <c r="N984" s="10" t="s">
        <v>41249</v>
      </c>
      <c r="O984" s="10" t="s">
        <v>372</v>
      </c>
      <c r="P984" s="1" t="s">
        <v>30089</v>
      </c>
      <c r="Q984" s="64" t="s">
        <v>41250</v>
      </c>
      <c r="R984" s="10" t="s">
        <v>512</v>
      </c>
      <c r="S984" s="63" t="s">
        <v>22</v>
      </c>
      <c r="T984" s="68" t="s">
        <v>26781</v>
      </c>
      <c r="U984" s="68" t="s">
        <v>26572</v>
      </c>
      <c r="V984" s="68" t="s">
        <v>26573</v>
      </c>
      <c r="W984" s="68" t="s">
        <v>94</v>
      </c>
      <c r="X984" s="68">
        <v>4482</v>
      </c>
      <c r="Z984" s="68" t="s">
        <v>42968</v>
      </c>
      <c r="AA984" s="33">
        <v>6686</v>
      </c>
    </row>
    <row r="985" spans="1:27" ht="12" customHeight="1" x14ac:dyDescent="0.2">
      <c r="A985" s="10" t="s">
        <v>37285</v>
      </c>
      <c r="B985" s="99">
        <v>31</v>
      </c>
      <c r="C985" s="10" t="s">
        <v>14</v>
      </c>
      <c r="D985" s="10" t="s">
        <v>79</v>
      </c>
      <c r="E985" s="64" t="s">
        <v>37286</v>
      </c>
      <c r="F985" s="67">
        <v>43501</v>
      </c>
      <c r="G985" s="73" t="s">
        <v>37287</v>
      </c>
      <c r="H985" s="73" t="s">
        <v>430</v>
      </c>
      <c r="I985" s="73" t="s">
        <v>19</v>
      </c>
      <c r="J985" s="65">
        <v>71109</v>
      </c>
      <c r="K985" s="10" t="s">
        <v>5432</v>
      </c>
      <c r="L985" s="10" t="s">
        <v>431</v>
      </c>
      <c r="M985" s="10" t="s">
        <v>21</v>
      </c>
      <c r="N985" s="10" t="s">
        <v>37288</v>
      </c>
      <c r="O985" s="10" t="s">
        <v>372</v>
      </c>
      <c r="P985" s="1" t="s">
        <v>30089</v>
      </c>
      <c r="Q985" s="64" t="s">
        <v>37289</v>
      </c>
      <c r="R985" s="10" t="s">
        <v>94</v>
      </c>
      <c r="S985" s="63" t="s">
        <v>22</v>
      </c>
      <c r="T985" s="68" t="s">
        <v>26781</v>
      </c>
      <c r="U985" s="68" t="s">
        <v>26572</v>
      </c>
      <c r="V985" s="68" t="s">
        <v>26574</v>
      </c>
      <c r="W985" s="68" t="s">
        <v>94</v>
      </c>
      <c r="X985" s="68">
        <v>4436</v>
      </c>
      <c r="Z985" s="68" t="s">
        <v>42966</v>
      </c>
      <c r="AA985" s="33">
        <v>6683</v>
      </c>
    </row>
    <row r="986" spans="1:27" ht="12" customHeight="1" x14ac:dyDescent="0.2">
      <c r="A986" s="10" t="s">
        <v>37238</v>
      </c>
      <c r="B986" s="99">
        <v>44</v>
      </c>
      <c r="C986" s="10" t="s">
        <v>14</v>
      </c>
      <c r="D986" s="10" t="s">
        <v>79</v>
      </c>
      <c r="E986" s="64" t="s">
        <v>37239</v>
      </c>
      <c r="F986" s="67">
        <v>43500</v>
      </c>
      <c r="G986" s="73" t="s">
        <v>37240</v>
      </c>
      <c r="H986" s="73" t="s">
        <v>37241</v>
      </c>
      <c r="I986" s="73" t="s">
        <v>225</v>
      </c>
      <c r="J986" s="65">
        <v>23901</v>
      </c>
      <c r="K986" s="10" t="s">
        <v>37242</v>
      </c>
      <c r="L986" s="10" t="s">
        <v>3061</v>
      </c>
      <c r="M986" s="10" t="s">
        <v>21</v>
      </c>
      <c r="N986" s="10" t="s">
        <v>37243</v>
      </c>
      <c r="O986" s="10" t="s">
        <v>372</v>
      </c>
      <c r="P986" s="1" t="s">
        <v>30089</v>
      </c>
      <c r="Q986" s="64" t="s">
        <v>37244</v>
      </c>
      <c r="R986" s="10" t="s">
        <v>94</v>
      </c>
      <c r="S986" s="63" t="s">
        <v>22</v>
      </c>
      <c r="T986" s="68" t="s">
        <v>26781</v>
      </c>
      <c r="U986" s="68" t="s">
        <v>26572</v>
      </c>
      <c r="V986" s="68" t="s">
        <v>26573</v>
      </c>
      <c r="W986" s="68" t="s">
        <v>94</v>
      </c>
      <c r="X986" s="68">
        <v>4437</v>
      </c>
      <c r="Z986" s="68" t="s">
        <v>42967</v>
      </c>
      <c r="AA986" s="33">
        <v>6680</v>
      </c>
    </row>
    <row r="987" spans="1:27" ht="12" customHeight="1" x14ac:dyDescent="0.15">
      <c r="A987" s="10" t="s">
        <v>42066</v>
      </c>
      <c r="B987" s="99">
        <v>40</v>
      </c>
      <c r="C987" s="10" t="s">
        <v>14</v>
      </c>
      <c r="D987" s="10" t="s">
        <v>31</v>
      </c>
      <c r="E987" s="64" t="s">
        <v>42067</v>
      </c>
      <c r="F987" s="67">
        <v>43500</v>
      </c>
      <c r="G987" s="10" t="s">
        <v>42068</v>
      </c>
      <c r="H987" s="10" t="s">
        <v>584</v>
      </c>
      <c r="I987" s="70" t="s">
        <v>112</v>
      </c>
      <c r="J987" s="65">
        <v>85308</v>
      </c>
      <c r="K987" s="10" t="s">
        <v>585</v>
      </c>
      <c r="L987" s="10" t="s">
        <v>586</v>
      </c>
      <c r="M987" s="10" t="s">
        <v>363</v>
      </c>
      <c r="N987" s="10" t="s">
        <v>42069</v>
      </c>
      <c r="O987" s="10" t="s">
        <v>372</v>
      </c>
      <c r="P987" s="1" t="s">
        <v>30089</v>
      </c>
      <c r="Q987" s="64" t="s">
        <v>42070</v>
      </c>
      <c r="R987" s="10" t="s">
        <v>23</v>
      </c>
      <c r="S987" s="63" t="s">
        <v>12</v>
      </c>
      <c r="T987" s="34" t="s">
        <v>29705</v>
      </c>
      <c r="U987" s="34" t="s">
        <v>26572</v>
      </c>
      <c r="V987" s="1"/>
      <c r="W987" s="68"/>
      <c r="X987" s="1"/>
      <c r="Z987" s="68" t="s">
        <v>42968</v>
      </c>
      <c r="AA987" s="33">
        <v>6682</v>
      </c>
    </row>
    <row r="988" spans="1:27" ht="12" customHeight="1" x14ac:dyDescent="0.2">
      <c r="A988" s="10" t="s">
        <v>37942</v>
      </c>
      <c r="B988" s="99">
        <v>80</v>
      </c>
      <c r="C988" s="10" t="s">
        <v>14</v>
      </c>
      <c r="D988" s="10" t="s">
        <v>31</v>
      </c>
      <c r="E988" s="63"/>
      <c r="F988" s="67">
        <v>43500</v>
      </c>
      <c r="G988" s="73" t="s">
        <v>37943</v>
      </c>
      <c r="H988" s="73" t="s">
        <v>37944</v>
      </c>
      <c r="I988" s="74" t="s">
        <v>139</v>
      </c>
      <c r="J988" s="76">
        <v>26301</v>
      </c>
      <c r="K988" s="10" t="s">
        <v>3687</v>
      </c>
      <c r="L988" s="10" t="s">
        <v>37945</v>
      </c>
      <c r="M988" s="10" t="s">
        <v>21</v>
      </c>
      <c r="N988" s="10" t="s">
        <v>37946</v>
      </c>
      <c r="O988" s="10" t="s">
        <v>372</v>
      </c>
      <c r="P988" s="1" t="s">
        <v>30089</v>
      </c>
      <c r="Q988" s="64" t="s">
        <v>37947</v>
      </c>
      <c r="R988" s="10" t="s">
        <v>94</v>
      </c>
      <c r="S988" s="63" t="s">
        <v>22</v>
      </c>
      <c r="T988" s="68" t="s">
        <v>26781</v>
      </c>
      <c r="U988" s="68" t="s">
        <v>26572</v>
      </c>
      <c r="V988" s="68" t="s">
        <v>26573</v>
      </c>
      <c r="W988" s="68" t="s">
        <v>94</v>
      </c>
      <c r="X988" s="68">
        <v>4431</v>
      </c>
      <c r="Z988" s="68" t="s">
        <v>42968</v>
      </c>
      <c r="AA988" s="33">
        <v>6681</v>
      </c>
    </row>
    <row r="989" spans="1:27" ht="12" customHeight="1" x14ac:dyDescent="0.15">
      <c r="A989" s="10" t="s">
        <v>41363</v>
      </c>
      <c r="B989" s="100">
        <v>47</v>
      </c>
      <c r="C989" s="10" t="s">
        <v>14</v>
      </c>
      <c r="D989" s="10" t="s">
        <v>31</v>
      </c>
      <c r="E989" s="10"/>
      <c r="F989" s="67">
        <v>43499</v>
      </c>
      <c r="G989" s="10" t="s">
        <v>41364</v>
      </c>
      <c r="H989" s="10" t="s">
        <v>6279</v>
      </c>
      <c r="I989" s="10" t="s">
        <v>112</v>
      </c>
      <c r="J989" s="65">
        <v>86004</v>
      </c>
      <c r="K989" s="10" t="s">
        <v>21652</v>
      </c>
      <c r="L989" s="10" t="s">
        <v>23528</v>
      </c>
      <c r="M989" s="10" t="s">
        <v>21</v>
      </c>
      <c r="N989" s="10" t="s">
        <v>41365</v>
      </c>
      <c r="O989" s="10" t="s">
        <v>372</v>
      </c>
      <c r="P989" s="1" t="s">
        <v>30089</v>
      </c>
      <c r="Q989" s="62" t="s">
        <v>41366</v>
      </c>
      <c r="R989" s="10" t="s">
        <v>512</v>
      </c>
      <c r="S989" s="63" t="s">
        <v>22</v>
      </c>
      <c r="T989" s="68" t="s">
        <v>26774</v>
      </c>
      <c r="U989" s="68" t="s">
        <v>26572</v>
      </c>
      <c r="V989" s="68" t="s">
        <v>26573</v>
      </c>
      <c r="W989" s="68" t="s">
        <v>512</v>
      </c>
      <c r="X989" s="68">
        <v>4432</v>
      </c>
      <c r="Z989" s="68" t="s">
        <v>42968</v>
      </c>
      <c r="AA989" s="33">
        <v>6678</v>
      </c>
    </row>
    <row r="990" spans="1:27" ht="12" customHeight="1" x14ac:dyDescent="0.2">
      <c r="A990" s="10" t="s">
        <v>40752</v>
      </c>
      <c r="B990" s="99">
        <v>35</v>
      </c>
      <c r="C990" s="10" t="s">
        <v>14</v>
      </c>
      <c r="D990" s="10" t="s">
        <v>42</v>
      </c>
      <c r="E990" s="63"/>
      <c r="F990" s="67">
        <v>43499</v>
      </c>
      <c r="G990" s="73" t="s">
        <v>40753</v>
      </c>
      <c r="H990" s="73" t="s">
        <v>40754</v>
      </c>
      <c r="I990" s="73" t="s">
        <v>38</v>
      </c>
      <c r="J990" s="65">
        <v>60087</v>
      </c>
      <c r="K990" s="10" t="s">
        <v>1179</v>
      </c>
      <c r="L990" s="10" t="s">
        <v>40755</v>
      </c>
      <c r="M990" s="10" t="s">
        <v>21</v>
      </c>
      <c r="N990" s="10" t="s">
        <v>40756</v>
      </c>
      <c r="O990" s="10" t="s">
        <v>372</v>
      </c>
      <c r="P990" s="1" t="s">
        <v>30089</v>
      </c>
      <c r="Q990" s="64" t="s">
        <v>40757</v>
      </c>
      <c r="R990" s="10" t="s">
        <v>94</v>
      </c>
      <c r="S990" s="63" t="s">
        <v>351</v>
      </c>
      <c r="T990" s="68" t="s">
        <v>26867</v>
      </c>
      <c r="U990" s="68" t="s">
        <v>26572</v>
      </c>
      <c r="V990" s="68" t="s">
        <v>26571</v>
      </c>
      <c r="W990" s="68" t="s">
        <v>512</v>
      </c>
      <c r="X990" s="68">
        <v>4439</v>
      </c>
      <c r="Z990" s="68" t="s">
        <v>42968</v>
      </c>
      <c r="AA990" s="33">
        <v>6679</v>
      </c>
    </row>
    <row r="991" spans="1:27" ht="12" customHeight="1" x14ac:dyDescent="0.15">
      <c r="A991" s="10" t="s">
        <v>37948</v>
      </c>
      <c r="B991" s="100">
        <v>18</v>
      </c>
      <c r="C991" s="10" t="s">
        <v>14</v>
      </c>
      <c r="D991" s="10" t="s">
        <v>31</v>
      </c>
      <c r="E991" s="62" t="s">
        <v>37949</v>
      </c>
      <c r="F991" s="67">
        <v>43499</v>
      </c>
      <c r="G991" s="10" t="s">
        <v>37950</v>
      </c>
      <c r="H991" s="10" t="s">
        <v>25563</v>
      </c>
      <c r="I991" s="10" t="s">
        <v>56</v>
      </c>
      <c r="J991" s="65">
        <v>32065</v>
      </c>
      <c r="K991" s="10" t="s">
        <v>3117</v>
      </c>
      <c r="L991" s="10" t="s">
        <v>3118</v>
      </c>
      <c r="M991" s="10" t="s">
        <v>21</v>
      </c>
      <c r="N991" s="10" t="s">
        <v>37951</v>
      </c>
      <c r="O991" s="10" t="s">
        <v>372</v>
      </c>
      <c r="P991" s="1" t="s">
        <v>30089</v>
      </c>
      <c r="Q991" s="62" t="s">
        <v>37952</v>
      </c>
      <c r="R991" s="10" t="s">
        <v>94</v>
      </c>
      <c r="S991" s="63" t="s">
        <v>22</v>
      </c>
      <c r="T991" s="68" t="s">
        <v>26781</v>
      </c>
      <c r="U991" s="68" t="s">
        <v>26570</v>
      </c>
      <c r="V991" s="68" t="s">
        <v>26573</v>
      </c>
      <c r="W991" s="68" t="s">
        <v>94</v>
      </c>
      <c r="X991" s="68">
        <v>4435</v>
      </c>
      <c r="Z991" s="68" t="s">
        <v>42968</v>
      </c>
      <c r="AA991" s="33">
        <v>6677</v>
      </c>
    </row>
    <row r="992" spans="1:27" ht="12" customHeight="1" x14ac:dyDescent="0.15">
      <c r="A992" s="10" t="s">
        <v>38865</v>
      </c>
      <c r="B992" s="100">
        <v>68</v>
      </c>
      <c r="C992" s="10" t="s">
        <v>14</v>
      </c>
      <c r="D992" s="10" t="s">
        <v>24</v>
      </c>
      <c r="E992" s="10"/>
      <c r="F992" s="67">
        <v>43498</v>
      </c>
      <c r="G992" s="10" t="s">
        <v>38866</v>
      </c>
      <c r="H992" s="10" t="s">
        <v>13105</v>
      </c>
      <c r="I992" s="10" t="s">
        <v>160</v>
      </c>
      <c r="J992" s="65">
        <v>30518</v>
      </c>
      <c r="K992" s="10" t="s">
        <v>1239</v>
      </c>
      <c r="L992" s="10" t="s">
        <v>1240</v>
      </c>
      <c r="M992" s="10" t="s">
        <v>21</v>
      </c>
      <c r="N992" s="10" t="s">
        <v>38867</v>
      </c>
      <c r="O992" s="10" t="s">
        <v>372</v>
      </c>
      <c r="P992" s="1" t="s">
        <v>30089</v>
      </c>
      <c r="Q992" s="62" t="s">
        <v>38868</v>
      </c>
      <c r="R992" s="10" t="s">
        <v>94</v>
      </c>
      <c r="S992" s="63" t="s">
        <v>22</v>
      </c>
      <c r="T992" s="68" t="s">
        <v>26781</v>
      </c>
      <c r="U992" s="68" t="s">
        <v>26572</v>
      </c>
      <c r="V992" s="68" t="s">
        <v>26573</v>
      </c>
      <c r="W992" s="68" t="s">
        <v>94</v>
      </c>
      <c r="X992" s="68">
        <v>4438</v>
      </c>
      <c r="Z992" s="68" t="s">
        <v>42968</v>
      </c>
      <c r="AA992" s="33">
        <v>6675</v>
      </c>
    </row>
    <row r="993" spans="1:27" ht="12" customHeight="1" x14ac:dyDescent="0.15">
      <c r="A993" s="10" t="s">
        <v>39725</v>
      </c>
      <c r="B993" s="100">
        <v>40</v>
      </c>
      <c r="C993" s="10" t="s">
        <v>14</v>
      </c>
      <c r="D993" s="10" t="s">
        <v>24</v>
      </c>
      <c r="E993" s="10"/>
      <c r="F993" s="67">
        <v>43498</v>
      </c>
      <c r="G993" s="10" t="s">
        <v>39726</v>
      </c>
      <c r="H993" s="10" t="s">
        <v>1645</v>
      </c>
      <c r="I993" s="10" t="s">
        <v>39</v>
      </c>
      <c r="J993" s="65">
        <v>95207</v>
      </c>
      <c r="K993" s="10" t="s">
        <v>1647</v>
      </c>
      <c r="L993" s="10" t="s">
        <v>1648</v>
      </c>
      <c r="M993" s="10" t="s">
        <v>21</v>
      </c>
      <c r="N993" s="10" t="s">
        <v>39727</v>
      </c>
      <c r="O993" s="10" t="s">
        <v>372</v>
      </c>
      <c r="P993" s="1" t="s">
        <v>30089</v>
      </c>
      <c r="Q993" s="62" t="s">
        <v>39728</v>
      </c>
      <c r="R993" s="10" t="s">
        <v>94</v>
      </c>
      <c r="S993" s="63" t="s">
        <v>22</v>
      </c>
      <c r="T993" s="68" t="s">
        <v>26774</v>
      </c>
      <c r="U993" s="68" t="s">
        <v>26572</v>
      </c>
      <c r="V993" s="68" t="s">
        <v>26573</v>
      </c>
      <c r="W993" s="68" t="s">
        <v>94</v>
      </c>
      <c r="X993" s="68">
        <v>4481</v>
      </c>
      <c r="Z993" s="68" t="s">
        <v>42966</v>
      </c>
      <c r="AA993" s="33">
        <v>6676</v>
      </c>
    </row>
    <row r="994" spans="1:27" ht="12" customHeight="1" x14ac:dyDescent="0.15">
      <c r="A994" s="10" t="s">
        <v>40813</v>
      </c>
      <c r="B994" s="100">
        <v>46</v>
      </c>
      <c r="C994" s="10" t="s">
        <v>14</v>
      </c>
      <c r="D994" s="68" t="s">
        <v>42</v>
      </c>
      <c r="E994" s="10"/>
      <c r="F994" s="67">
        <v>43497</v>
      </c>
      <c r="G994" s="10" t="s">
        <v>40814</v>
      </c>
      <c r="H994" s="10" t="s">
        <v>1212</v>
      </c>
      <c r="I994" s="10" t="s">
        <v>192</v>
      </c>
      <c r="J994" s="65">
        <v>80219</v>
      </c>
      <c r="K994" s="10" t="s">
        <v>1212</v>
      </c>
      <c r="L994" s="10" t="s">
        <v>1579</v>
      </c>
      <c r="M994" s="10" t="s">
        <v>21</v>
      </c>
      <c r="N994" s="10" t="s">
        <v>40815</v>
      </c>
      <c r="O994" s="10" t="s">
        <v>372</v>
      </c>
      <c r="P994" s="1" t="s">
        <v>30089</v>
      </c>
      <c r="Q994" s="62" t="s">
        <v>40816</v>
      </c>
      <c r="R994" s="10" t="s">
        <v>94</v>
      </c>
      <c r="S994" s="63" t="s">
        <v>351</v>
      </c>
      <c r="T994" s="68" t="s">
        <v>26867</v>
      </c>
      <c r="U994" s="68" t="s">
        <v>26572</v>
      </c>
      <c r="V994" s="68" t="s">
        <v>26571</v>
      </c>
      <c r="W994" s="68" t="s">
        <v>94</v>
      </c>
      <c r="X994" s="68">
        <v>4434</v>
      </c>
      <c r="Z994" s="68" t="s">
        <v>42966</v>
      </c>
      <c r="AA994" s="33">
        <v>6674</v>
      </c>
    </row>
    <row r="995" spans="1:27" ht="12" customHeight="1" x14ac:dyDescent="0.15">
      <c r="A995" s="10" t="s">
        <v>3002</v>
      </c>
      <c r="B995" s="100">
        <v>24</v>
      </c>
      <c r="C995" s="10" t="s">
        <v>14</v>
      </c>
      <c r="D995" s="10" t="s">
        <v>24</v>
      </c>
      <c r="E995" s="10"/>
      <c r="F995" s="67">
        <v>43496</v>
      </c>
      <c r="G995" s="10" t="s">
        <v>38869</v>
      </c>
      <c r="H995" s="10" t="s">
        <v>8605</v>
      </c>
      <c r="I995" s="10" t="s">
        <v>75</v>
      </c>
      <c r="J995" s="65">
        <v>7055</v>
      </c>
      <c r="K995" s="10" t="s">
        <v>8605</v>
      </c>
      <c r="L995" s="10" t="s">
        <v>10784</v>
      </c>
      <c r="M995" s="10" t="s">
        <v>21</v>
      </c>
      <c r="N995" s="10" t="s">
        <v>38870</v>
      </c>
      <c r="O995" s="10" t="s">
        <v>372</v>
      </c>
      <c r="P995" s="1" t="s">
        <v>30089</v>
      </c>
      <c r="Q995" s="62" t="s">
        <v>38871</v>
      </c>
      <c r="R995" s="10" t="s">
        <v>94</v>
      </c>
      <c r="S995" s="63" t="s">
        <v>22</v>
      </c>
      <c r="T995" s="68" t="s">
        <v>26781</v>
      </c>
      <c r="U995" s="68" t="s">
        <v>26570</v>
      </c>
      <c r="V995" s="68" t="s">
        <v>26574</v>
      </c>
      <c r="W995" s="68" t="s">
        <v>94</v>
      </c>
      <c r="X995" s="68">
        <v>4454</v>
      </c>
      <c r="Z995" s="68" t="s">
        <v>42966</v>
      </c>
      <c r="AA995" s="33">
        <v>6673</v>
      </c>
    </row>
    <row r="996" spans="1:27" ht="12" customHeight="1" x14ac:dyDescent="0.15">
      <c r="A996" s="10" t="s">
        <v>40499</v>
      </c>
      <c r="B996" s="100">
        <v>52</v>
      </c>
      <c r="C996" s="10" t="s">
        <v>14</v>
      </c>
      <c r="D996" s="10" t="s">
        <v>31</v>
      </c>
      <c r="E996" s="62" t="s">
        <v>40500</v>
      </c>
      <c r="F996" s="67">
        <v>43495</v>
      </c>
      <c r="G996" s="10" t="s">
        <v>40501</v>
      </c>
      <c r="H996" s="10" t="s">
        <v>1807</v>
      </c>
      <c r="I996" s="10" t="s">
        <v>67</v>
      </c>
      <c r="J996" s="65">
        <v>79706</v>
      </c>
      <c r="K996" s="10" t="s">
        <v>1807</v>
      </c>
      <c r="L996" s="10" t="s">
        <v>36486</v>
      </c>
      <c r="M996" s="10" t="s">
        <v>21</v>
      </c>
      <c r="N996" s="10" t="s">
        <v>40502</v>
      </c>
      <c r="O996" s="10" t="s">
        <v>372</v>
      </c>
      <c r="P996" s="1" t="s">
        <v>30089</v>
      </c>
      <c r="Q996" s="62" t="s">
        <v>40503</v>
      </c>
      <c r="R996" s="10" t="s">
        <v>94</v>
      </c>
      <c r="S996" s="63" t="s">
        <v>29</v>
      </c>
      <c r="T996" s="68" t="s">
        <v>26576</v>
      </c>
      <c r="U996" s="68" t="s">
        <v>26572</v>
      </c>
      <c r="V996" s="68" t="s">
        <v>26573</v>
      </c>
      <c r="W996" s="68" t="s">
        <v>94</v>
      </c>
      <c r="X996" s="68">
        <v>4512</v>
      </c>
      <c r="Z996" s="68" t="s">
        <v>42967</v>
      </c>
      <c r="AA996" s="33">
        <v>6672</v>
      </c>
    </row>
    <row r="997" spans="1:27" ht="12" customHeight="1" x14ac:dyDescent="0.15">
      <c r="A997" s="10" t="s">
        <v>38013</v>
      </c>
      <c r="B997" s="100">
        <v>47</v>
      </c>
      <c r="C997" s="10" t="s">
        <v>14</v>
      </c>
      <c r="D997" s="10" t="s">
        <v>31</v>
      </c>
      <c r="E997" s="62" t="s">
        <v>38014</v>
      </c>
      <c r="F997" s="67">
        <v>43495</v>
      </c>
      <c r="G997" s="10" t="s">
        <v>38015</v>
      </c>
      <c r="H997" s="10" t="s">
        <v>584</v>
      </c>
      <c r="I997" s="10" t="s">
        <v>112</v>
      </c>
      <c r="J997" s="65">
        <v>85020</v>
      </c>
      <c r="K997" s="10" t="s">
        <v>585</v>
      </c>
      <c r="L997" s="10" t="s">
        <v>586</v>
      </c>
      <c r="M997" s="10" t="s">
        <v>21</v>
      </c>
      <c r="N997" s="10" t="s">
        <v>38016</v>
      </c>
      <c r="O997" s="10" t="s">
        <v>372</v>
      </c>
      <c r="P997" s="1" t="s">
        <v>30089</v>
      </c>
      <c r="Q997" s="62" t="s">
        <v>38017</v>
      </c>
      <c r="R997" s="10" t="s">
        <v>94</v>
      </c>
      <c r="S997" s="63" t="s">
        <v>22</v>
      </c>
      <c r="T997" s="68" t="s">
        <v>26781</v>
      </c>
      <c r="U997" s="68" t="s">
        <v>26572</v>
      </c>
      <c r="V997" s="68" t="s">
        <v>26574</v>
      </c>
      <c r="W997" s="68" t="s">
        <v>94</v>
      </c>
      <c r="X997" s="68">
        <v>4511</v>
      </c>
      <c r="Z997" s="68" t="s">
        <v>42968</v>
      </c>
      <c r="AA997" s="33">
        <v>6671</v>
      </c>
    </row>
    <row r="998" spans="1:27" ht="12" customHeight="1" x14ac:dyDescent="0.15">
      <c r="A998" s="10" t="s">
        <v>40637</v>
      </c>
      <c r="B998" s="100">
        <v>51</v>
      </c>
      <c r="C998" s="10" t="s">
        <v>14</v>
      </c>
      <c r="D998" s="10" t="s">
        <v>885</v>
      </c>
      <c r="E998" s="62" t="s">
        <v>40638</v>
      </c>
      <c r="F998" s="67">
        <v>43494</v>
      </c>
      <c r="G998" s="10" t="s">
        <v>40639</v>
      </c>
      <c r="H998" s="10" t="s">
        <v>2196</v>
      </c>
      <c r="I998" s="10" t="s">
        <v>814</v>
      </c>
      <c r="J998" s="65">
        <v>96817</v>
      </c>
      <c r="K998" s="10" t="s">
        <v>2196</v>
      </c>
      <c r="L998" s="10" t="s">
        <v>3281</v>
      </c>
      <c r="M998" s="10" t="s">
        <v>21</v>
      </c>
      <c r="N998" s="10" t="s">
        <v>40640</v>
      </c>
      <c r="O998" s="10" t="s">
        <v>372</v>
      </c>
      <c r="P998" s="1" t="s">
        <v>30089</v>
      </c>
      <c r="Q998" s="62" t="s">
        <v>40641</v>
      </c>
      <c r="R998" s="10" t="s">
        <v>94</v>
      </c>
      <c r="S998" s="63" t="s">
        <v>351</v>
      </c>
      <c r="T998" s="68" t="s">
        <v>26867</v>
      </c>
      <c r="U998" s="68" t="s">
        <v>26572</v>
      </c>
      <c r="V998" s="68" t="s">
        <v>26571</v>
      </c>
      <c r="W998" s="68" t="s">
        <v>94</v>
      </c>
      <c r="X998" s="68">
        <v>4423</v>
      </c>
      <c r="Z998" s="68" t="s">
        <v>42968</v>
      </c>
      <c r="AA998" s="33">
        <v>6670</v>
      </c>
    </row>
    <row r="999" spans="1:27" ht="12" customHeight="1" x14ac:dyDescent="0.15">
      <c r="A999" s="10" t="s">
        <v>41124</v>
      </c>
      <c r="B999" s="100">
        <v>27</v>
      </c>
      <c r="C999" s="10" t="s">
        <v>14</v>
      </c>
      <c r="D999" s="10" t="s">
        <v>42</v>
      </c>
      <c r="E999" s="10"/>
      <c r="F999" s="67">
        <v>43494</v>
      </c>
      <c r="G999" s="10" t="s">
        <v>41125</v>
      </c>
      <c r="H999" s="10" t="s">
        <v>1227</v>
      </c>
      <c r="I999" s="10" t="s">
        <v>67</v>
      </c>
      <c r="J999" s="65">
        <v>78744</v>
      </c>
      <c r="K999" s="10" t="s">
        <v>1228</v>
      </c>
      <c r="L999" s="10" t="s">
        <v>1229</v>
      </c>
      <c r="M999" s="10" t="s">
        <v>21</v>
      </c>
      <c r="N999" s="10" t="s">
        <v>41126</v>
      </c>
      <c r="O999" s="10" t="s">
        <v>372</v>
      </c>
      <c r="P999" s="1" t="s">
        <v>30089</v>
      </c>
      <c r="Q999" s="62" t="s">
        <v>41127</v>
      </c>
      <c r="R999" s="10" t="s">
        <v>512</v>
      </c>
      <c r="S999" s="63" t="s">
        <v>22</v>
      </c>
      <c r="T999" s="68" t="s">
        <v>26781</v>
      </c>
      <c r="U999" s="68" t="s">
        <v>26572</v>
      </c>
      <c r="V999" s="68" t="s">
        <v>26571</v>
      </c>
      <c r="W999" s="68" t="s">
        <v>512</v>
      </c>
      <c r="X999" s="68">
        <v>4425</v>
      </c>
      <c r="Z999" s="68" t="s">
        <v>42968</v>
      </c>
      <c r="AA999" s="33">
        <v>6669</v>
      </c>
    </row>
    <row r="1000" spans="1:27" ht="12" customHeight="1" x14ac:dyDescent="0.15">
      <c r="A1000" s="10" t="s">
        <v>39981</v>
      </c>
      <c r="B1000" s="100">
        <v>55</v>
      </c>
      <c r="C1000" s="10" t="s">
        <v>14</v>
      </c>
      <c r="D1000" s="10" t="s">
        <v>31</v>
      </c>
      <c r="E1000" s="62" t="s">
        <v>39982</v>
      </c>
      <c r="F1000" s="67">
        <v>43493</v>
      </c>
      <c r="G1000" s="10" t="s">
        <v>39983</v>
      </c>
      <c r="H1000" s="10" t="s">
        <v>635</v>
      </c>
      <c r="I1000" s="10" t="s">
        <v>337</v>
      </c>
      <c r="J1000" s="65">
        <v>67216</v>
      </c>
      <c r="K1000" s="10" t="s">
        <v>636</v>
      </c>
      <c r="L1000" s="10" t="s">
        <v>22820</v>
      </c>
      <c r="M1000" s="10" t="s">
        <v>21</v>
      </c>
      <c r="N1000" s="10" t="s">
        <v>39984</v>
      </c>
      <c r="O1000" s="10" t="s">
        <v>372</v>
      </c>
      <c r="P1000" s="1" t="s">
        <v>30089</v>
      </c>
      <c r="Q1000" s="62" t="s">
        <v>39985</v>
      </c>
      <c r="R1000" s="10" t="s">
        <v>94</v>
      </c>
      <c r="S1000" s="63" t="s">
        <v>12</v>
      </c>
      <c r="T1000" s="68" t="s">
        <v>39971</v>
      </c>
      <c r="U1000" s="68" t="s">
        <v>26572</v>
      </c>
      <c r="V1000" s="68" t="s">
        <v>26573</v>
      </c>
      <c r="W1000" s="68" t="s">
        <v>94</v>
      </c>
      <c r="X1000" s="68">
        <v>4424</v>
      </c>
      <c r="Z1000" s="68" t="s">
        <v>42966</v>
      </c>
      <c r="AA1000" s="33">
        <v>6666</v>
      </c>
    </row>
    <row r="1001" spans="1:27" ht="12" customHeight="1" x14ac:dyDescent="0.15">
      <c r="A1001" s="10" t="s">
        <v>39717</v>
      </c>
      <c r="B1001" s="100">
        <v>46</v>
      </c>
      <c r="C1001" s="10" t="s">
        <v>14</v>
      </c>
      <c r="D1001" s="10" t="s">
        <v>24</v>
      </c>
      <c r="E1001" s="10"/>
      <c r="F1001" s="67">
        <v>43493</v>
      </c>
      <c r="G1001" s="10" t="s">
        <v>39718</v>
      </c>
      <c r="H1001" s="10" t="s">
        <v>15640</v>
      </c>
      <c r="I1001" s="10" t="s">
        <v>39</v>
      </c>
      <c r="J1001" s="65">
        <v>96080</v>
      </c>
      <c r="K1001" s="10" t="s">
        <v>2722</v>
      </c>
      <c r="L1001" s="10" t="s">
        <v>30210</v>
      </c>
      <c r="M1001" s="10" t="s">
        <v>21</v>
      </c>
      <c r="N1001" s="10" t="s">
        <v>39719</v>
      </c>
      <c r="O1001" s="10" t="s">
        <v>372</v>
      </c>
      <c r="P1001" s="1" t="s">
        <v>30089</v>
      </c>
      <c r="Q1001" s="62" t="s">
        <v>39720</v>
      </c>
      <c r="R1001" s="10" t="s">
        <v>94</v>
      </c>
      <c r="S1001" s="63" t="s">
        <v>22</v>
      </c>
      <c r="T1001" s="68" t="s">
        <v>26774</v>
      </c>
      <c r="U1001" s="68" t="s">
        <v>26570</v>
      </c>
      <c r="V1001" s="68" t="s">
        <v>19228</v>
      </c>
      <c r="W1001" s="68" t="s">
        <v>94</v>
      </c>
      <c r="X1001" s="68">
        <v>4430</v>
      </c>
      <c r="Z1001" s="68" t="s">
        <v>42967</v>
      </c>
      <c r="AA1001" s="33">
        <v>6665</v>
      </c>
    </row>
    <row r="1002" spans="1:27" ht="12" customHeight="1" x14ac:dyDescent="0.15">
      <c r="A1002" s="10" t="s">
        <v>38860</v>
      </c>
      <c r="B1002" s="100">
        <v>52</v>
      </c>
      <c r="C1002" s="10" t="s">
        <v>14</v>
      </c>
      <c r="D1002" s="10" t="s">
        <v>24</v>
      </c>
      <c r="E1002" s="10"/>
      <c r="F1002" s="67">
        <v>43493</v>
      </c>
      <c r="G1002" s="10" t="s">
        <v>38861</v>
      </c>
      <c r="H1002" s="10" t="s">
        <v>38862</v>
      </c>
      <c r="I1002" s="10" t="s">
        <v>39</v>
      </c>
      <c r="J1002" s="65">
        <v>95974</v>
      </c>
      <c r="K1002" s="10" t="s">
        <v>4807</v>
      </c>
      <c r="L1002" s="10" t="s">
        <v>8873</v>
      </c>
      <c r="M1002" s="10" t="s">
        <v>21</v>
      </c>
      <c r="N1002" s="10" t="s">
        <v>38863</v>
      </c>
      <c r="O1002" s="10" t="s">
        <v>372</v>
      </c>
      <c r="P1002" s="1" t="s">
        <v>30089</v>
      </c>
      <c r="Q1002" s="62" t="s">
        <v>38864</v>
      </c>
      <c r="R1002" s="10" t="s">
        <v>94</v>
      </c>
      <c r="S1002" s="63" t="s">
        <v>22</v>
      </c>
      <c r="T1002" s="68" t="s">
        <v>26781</v>
      </c>
      <c r="U1002" s="68" t="s">
        <v>26572</v>
      </c>
      <c r="V1002" s="68" t="s">
        <v>26571</v>
      </c>
      <c r="W1002" s="68" t="s">
        <v>94</v>
      </c>
      <c r="X1002" s="68">
        <v>4428</v>
      </c>
      <c r="Z1002" s="68" t="e">
        <v>#N/A</v>
      </c>
      <c r="AA1002" s="33">
        <v>6663</v>
      </c>
    </row>
    <row r="1003" spans="1:27" ht="12" customHeight="1" x14ac:dyDescent="0.15">
      <c r="A1003" s="10" t="s">
        <v>37931</v>
      </c>
      <c r="B1003" s="100">
        <v>59</v>
      </c>
      <c r="C1003" s="10" t="s">
        <v>14</v>
      </c>
      <c r="D1003" s="10" t="s">
        <v>31</v>
      </c>
      <c r="E1003" s="62" t="s">
        <v>37932</v>
      </c>
      <c r="F1003" s="67">
        <v>43493</v>
      </c>
      <c r="G1003" s="10" t="s">
        <v>37933</v>
      </c>
      <c r="H1003" s="10" t="s">
        <v>674</v>
      </c>
      <c r="I1003" s="10" t="s">
        <v>67</v>
      </c>
      <c r="J1003" s="65">
        <v>77012</v>
      </c>
      <c r="K1003" s="10" t="s">
        <v>515</v>
      </c>
      <c r="L1003" s="10" t="s">
        <v>675</v>
      </c>
      <c r="M1003" s="10" t="s">
        <v>21</v>
      </c>
      <c r="N1003" s="10" t="s">
        <v>37934</v>
      </c>
      <c r="O1003" s="10" t="s">
        <v>372</v>
      </c>
      <c r="P1003" s="1" t="s">
        <v>30089</v>
      </c>
      <c r="Q1003" s="62" t="s">
        <v>37935</v>
      </c>
      <c r="R1003" s="10" t="s">
        <v>94</v>
      </c>
      <c r="S1003" s="63" t="s">
        <v>22</v>
      </c>
      <c r="T1003" s="68" t="s">
        <v>26781</v>
      </c>
      <c r="U1003" s="68" t="s">
        <v>26572</v>
      </c>
      <c r="V1003" s="68" t="s">
        <v>26573</v>
      </c>
      <c r="W1003" s="68" t="s">
        <v>94</v>
      </c>
      <c r="X1003" s="68">
        <v>4421</v>
      </c>
      <c r="Z1003" s="68" t="s">
        <v>42966</v>
      </c>
      <c r="AA1003" s="33">
        <v>6661</v>
      </c>
    </row>
    <row r="1004" spans="1:27" ht="12" customHeight="1" x14ac:dyDescent="0.15">
      <c r="A1004" s="10" t="s">
        <v>40095</v>
      </c>
      <c r="B1004" s="100">
        <v>58</v>
      </c>
      <c r="C1004" s="10" t="s">
        <v>103</v>
      </c>
      <c r="D1004" s="10" t="s">
        <v>31</v>
      </c>
      <c r="E1004" s="62" t="s">
        <v>40096</v>
      </c>
      <c r="F1004" s="67">
        <v>43493</v>
      </c>
      <c r="G1004" s="10" t="s">
        <v>37933</v>
      </c>
      <c r="H1004" s="10" t="s">
        <v>674</v>
      </c>
      <c r="I1004" s="10" t="s">
        <v>67</v>
      </c>
      <c r="J1004" s="65">
        <v>77012</v>
      </c>
      <c r="K1004" s="10" t="s">
        <v>515</v>
      </c>
      <c r="L1004" s="10" t="s">
        <v>675</v>
      </c>
      <c r="M1004" s="10" t="s">
        <v>21</v>
      </c>
      <c r="N1004" s="10" t="s">
        <v>37934</v>
      </c>
      <c r="O1004" s="10" t="s">
        <v>372</v>
      </c>
      <c r="P1004" s="1" t="s">
        <v>30089</v>
      </c>
      <c r="Q1004" s="62" t="s">
        <v>37935</v>
      </c>
      <c r="R1004" s="10" t="s">
        <v>94</v>
      </c>
      <c r="S1004" s="63" t="s">
        <v>12</v>
      </c>
      <c r="T1004" s="68" t="s">
        <v>29705</v>
      </c>
      <c r="U1004" s="68" t="s">
        <v>26572</v>
      </c>
      <c r="V1004" s="68" t="s">
        <v>26573</v>
      </c>
      <c r="W1004" s="68" t="s">
        <v>94</v>
      </c>
      <c r="X1004" s="68">
        <v>4420</v>
      </c>
      <c r="Z1004" s="68" t="s">
        <v>42966</v>
      </c>
      <c r="AA1004" s="33">
        <v>6667</v>
      </c>
    </row>
    <row r="1005" spans="1:27" ht="12" customHeight="1" x14ac:dyDescent="0.15">
      <c r="A1005" s="10" t="s">
        <v>40045</v>
      </c>
      <c r="B1005" s="100">
        <v>46</v>
      </c>
      <c r="C1005" s="10" t="s">
        <v>14</v>
      </c>
      <c r="D1005" s="10" t="s">
        <v>79</v>
      </c>
      <c r="E1005" s="62" t="s">
        <v>40046</v>
      </c>
      <c r="F1005" s="67">
        <v>43493</v>
      </c>
      <c r="G1005" s="10" t="s">
        <v>40047</v>
      </c>
      <c r="H1005" s="10" t="s">
        <v>485</v>
      </c>
      <c r="I1005" s="70" t="s">
        <v>75</v>
      </c>
      <c r="J1005" s="65">
        <v>7103</v>
      </c>
      <c r="K1005" s="10" t="s">
        <v>486</v>
      </c>
      <c r="L1005" s="10" t="s">
        <v>487</v>
      </c>
      <c r="M1005" s="10" t="s">
        <v>21</v>
      </c>
      <c r="N1005" s="10" t="s">
        <v>40048</v>
      </c>
      <c r="O1005" s="10" t="s">
        <v>1084</v>
      </c>
      <c r="P1005" s="33" t="s">
        <v>23118</v>
      </c>
      <c r="Q1005" s="62" t="s">
        <v>40049</v>
      </c>
      <c r="R1005" s="10" t="s">
        <v>94</v>
      </c>
      <c r="S1005" s="63" t="s">
        <v>22</v>
      </c>
      <c r="T1005" s="54" t="s">
        <v>26781</v>
      </c>
      <c r="U1005" s="68" t="s">
        <v>26570</v>
      </c>
      <c r="V1005" s="68" t="s">
        <v>26571</v>
      </c>
      <c r="W1005" s="68" t="s">
        <v>94</v>
      </c>
      <c r="X1005" s="68">
        <v>4422</v>
      </c>
      <c r="Z1005" s="68" t="s">
        <v>42966</v>
      </c>
      <c r="AA1005" s="33">
        <v>6664</v>
      </c>
    </row>
    <row r="1006" spans="1:27" ht="12" customHeight="1" x14ac:dyDescent="0.15">
      <c r="A1006" s="10" t="s">
        <v>40483</v>
      </c>
      <c r="B1006" s="100">
        <v>27</v>
      </c>
      <c r="C1006" s="10" t="s">
        <v>14</v>
      </c>
      <c r="D1006" s="10" t="s">
        <v>79</v>
      </c>
      <c r="E1006" s="62" t="s">
        <v>40484</v>
      </c>
      <c r="F1006" s="67">
        <v>43493</v>
      </c>
      <c r="G1006" s="10" t="s">
        <v>40485</v>
      </c>
      <c r="H1006" s="10" t="s">
        <v>40486</v>
      </c>
      <c r="I1006" s="70" t="s">
        <v>250</v>
      </c>
      <c r="J1006" s="65">
        <v>89023</v>
      </c>
      <c r="K1006" s="10" t="s">
        <v>27421</v>
      </c>
      <c r="L1006" s="10" t="s">
        <v>27422</v>
      </c>
      <c r="M1006" s="10" t="s">
        <v>21</v>
      </c>
      <c r="N1006" s="10" t="s">
        <v>40487</v>
      </c>
      <c r="O1006" s="10" t="s">
        <v>372</v>
      </c>
      <c r="P1006" s="1" t="s">
        <v>30089</v>
      </c>
      <c r="Q1006" s="62" t="s">
        <v>40488</v>
      </c>
      <c r="R1006" s="10" t="s">
        <v>94</v>
      </c>
      <c r="S1006" s="63" t="s">
        <v>29</v>
      </c>
      <c r="T1006" s="68" t="s">
        <v>26576</v>
      </c>
      <c r="U1006" s="68" t="s">
        <v>26570</v>
      </c>
      <c r="V1006" s="68" t="s">
        <v>26571</v>
      </c>
      <c r="W1006" s="68" t="s">
        <v>94</v>
      </c>
      <c r="X1006" s="68">
        <v>4426</v>
      </c>
      <c r="Z1006" s="68" t="e">
        <v>#N/A</v>
      </c>
      <c r="AA1006" s="33">
        <v>6668</v>
      </c>
    </row>
    <row r="1007" spans="1:27" ht="12" customHeight="1" x14ac:dyDescent="0.15">
      <c r="A1007" s="10" t="s">
        <v>37936</v>
      </c>
      <c r="B1007" s="100">
        <v>30</v>
      </c>
      <c r="C1007" s="10" t="s">
        <v>14</v>
      </c>
      <c r="D1007" s="10" t="s">
        <v>31</v>
      </c>
      <c r="E1007" s="62" t="s">
        <v>37937</v>
      </c>
      <c r="F1007" s="67">
        <v>43493</v>
      </c>
      <c r="G1007" s="10" t="s">
        <v>37938</v>
      </c>
      <c r="H1007" s="10" t="s">
        <v>37939</v>
      </c>
      <c r="I1007" s="10" t="s">
        <v>395</v>
      </c>
      <c r="J1007" s="65">
        <v>13904</v>
      </c>
      <c r="K1007" s="10" t="s">
        <v>9772</v>
      </c>
      <c r="L1007" s="10" t="s">
        <v>20831</v>
      </c>
      <c r="M1007" s="10" t="s">
        <v>21</v>
      </c>
      <c r="N1007" s="10" t="s">
        <v>37940</v>
      </c>
      <c r="O1007" s="10" t="s">
        <v>372</v>
      </c>
      <c r="P1007" s="1" t="s">
        <v>30089</v>
      </c>
      <c r="Q1007" s="62" t="s">
        <v>37941</v>
      </c>
      <c r="R1007" s="10" t="s">
        <v>94</v>
      </c>
      <c r="S1007" s="63" t="s">
        <v>22</v>
      </c>
      <c r="T1007" s="68" t="s">
        <v>26781</v>
      </c>
      <c r="U1007" s="68" t="s">
        <v>26572</v>
      </c>
      <c r="V1007" s="68" t="s">
        <v>26571</v>
      </c>
      <c r="W1007" s="68" t="s">
        <v>94</v>
      </c>
      <c r="X1007" s="68">
        <v>4427</v>
      </c>
      <c r="Z1007" s="68" t="s">
        <v>42968</v>
      </c>
      <c r="AA1007" s="33">
        <v>6662</v>
      </c>
    </row>
    <row r="1008" spans="1:27" ht="12" customHeight="1" x14ac:dyDescent="0.15">
      <c r="A1008" s="10" t="s">
        <v>37790</v>
      </c>
      <c r="B1008" s="100">
        <v>29</v>
      </c>
      <c r="C1008" s="10" t="s">
        <v>14</v>
      </c>
      <c r="D1008" s="10" t="s">
        <v>79</v>
      </c>
      <c r="E1008" s="62" t="s">
        <v>37791</v>
      </c>
      <c r="F1008" s="67">
        <v>43493</v>
      </c>
      <c r="G1008" s="10" t="s">
        <v>37792</v>
      </c>
      <c r="H1008" s="10" t="s">
        <v>404</v>
      </c>
      <c r="I1008" s="70" t="s">
        <v>51</v>
      </c>
      <c r="J1008" s="65">
        <v>49203</v>
      </c>
      <c r="K1008" s="10" t="s">
        <v>404</v>
      </c>
      <c r="L1008" s="10" t="s">
        <v>5717</v>
      </c>
      <c r="M1008" s="10" t="s">
        <v>21</v>
      </c>
      <c r="N1008" s="10" t="s">
        <v>37793</v>
      </c>
      <c r="O1008" s="10" t="s">
        <v>372</v>
      </c>
      <c r="P1008" s="1" t="s">
        <v>30089</v>
      </c>
      <c r="Q1008" s="62" t="s">
        <v>37794</v>
      </c>
      <c r="R1008" s="10" t="s">
        <v>94</v>
      </c>
      <c r="S1008" s="63" t="s">
        <v>22</v>
      </c>
      <c r="T1008" s="68" t="s">
        <v>26781</v>
      </c>
      <c r="U1008" s="68" t="s">
        <v>26572</v>
      </c>
      <c r="V1008" s="68" t="s">
        <v>26574</v>
      </c>
      <c r="W1008" s="68" t="s">
        <v>94</v>
      </c>
      <c r="X1008" s="68">
        <v>4416</v>
      </c>
      <c r="Z1008" s="68" t="s">
        <v>42968</v>
      </c>
      <c r="AA1008" s="33">
        <v>6660</v>
      </c>
    </row>
    <row r="1009" spans="1:27" ht="12" customHeight="1" x14ac:dyDescent="0.15">
      <c r="A1009" s="10" t="s">
        <v>40776</v>
      </c>
      <c r="B1009" s="100">
        <v>25</v>
      </c>
      <c r="C1009" s="10" t="s">
        <v>14</v>
      </c>
      <c r="D1009" s="10" t="s">
        <v>128</v>
      </c>
      <c r="E1009" s="10"/>
      <c r="F1009" s="67">
        <v>43492</v>
      </c>
      <c r="G1009" s="10" t="s">
        <v>40777</v>
      </c>
      <c r="H1009" s="10" t="s">
        <v>19822</v>
      </c>
      <c r="I1009" s="10" t="s">
        <v>132</v>
      </c>
      <c r="J1009" s="65">
        <v>57570</v>
      </c>
      <c r="K1009" s="10" t="s">
        <v>19824</v>
      </c>
      <c r="L1009" s="10" t="s">
        <v>32156</v>
      </c>
      <c r="M1009" s="10" t="s">
        <v>21</v>
      </c>
      <c r="N1009" s="10" t="s">
        <v>40778</v>
      </c>
      <c r="O1009" s="10" t="s">
        <v>372</v>
      </c>
      <c r="P1009" s="1" t="s">
        <v>30089</v>
      </c>
      <c r="Q1009" s="62" t="s">
        <v>40779</v>
      </c>
      <c r="R1009" s="10" t="s">
        <v>904</v>
      </c>
      <c r="S1009" s="63" t="s">
        <v>351</v>
      </c>
      <c r="T1009" s="68" t="s">
        <v>26867</v>
      </c>
      <c r="U1009" s="68" t="s">
        <v>26572</v>
      </c>
      <c r="V1009" s="68" t="s">
        <v>26571</v>
      </c>
      <c r="W1009" s="68" t="s">
        <v>94</v>
      </c>
      <c r="X1009" s="68">
        <v>4429</v>
      </c>
      <c r="Z1009" s="68" t="s">
        <v>42967</v>
      </c>
      <c r="AA1009" s="33">
        <v>6659</v>
      </c>
    </row>
    <row r="1010" spans="1:27" ht="12" customHeight="1" x14ac:dyDescent="0.15">
      <c r="A1010" s="10" t="s">
        <v>42006</v>
      </c>
      <c r="B1010" s="99">
        <v>30</v>
      </c>
      <c r="C1010" s="10" t="s">
        <v>14</v>
      </c>
      <c r="D1010" s="10" t="s">
        <v>31</v>
      </c>
      <c r="E1010" s="64" t="s">
        <v>42007</v>
      </c>
      <c r="F1010" s="67">
        <v>43490</v>
      </c>
      <c r="G1010" s="10" t="s">
        <v>42008</v>
      </c>
      <c r="H1010" s="10" t="s">
        <v>3040</v>
      </c>
      <c r="I1010" s="10" t="s">
        <v>621</v>
      </c>
      <c r="J1010" s="65">
        <v>39073</v>
      </c>
      <c r="K1010" s="10" t="s">
        <v>5276</v>
      </c>
      <c r="L1010" s="10" t="s">
        <v>40799</v>
      </c>
      <c r="M1010" s="10" t="s">
        <v>21</v>
      </c>
      <c r="N1010" s="10" t="s">
        <v>42009</v>
      </c>
      <c r="O1010" s="10" t="s">
        <v>372</v>
      </c>
      <c r="P1010" s="1" t="s">
        <v>30089</v>
      </c>
      <c r="Q1010" s="64" t="s">
        <v>42010</v>
      </c>
      <c r="R1010" s="10" t="s">
        <v>94</v>
      </c>
      <c r="S1010" s="63" t="s">
        <v>29</v>
      </c>
      <c r="T1010" s="34" t="s">
        <v>41840</v>
      </c>
      <c r="U1010" s="34"/>
      <c r="V1010" s="68"/>
      <c r="W1010" s="68"/>
      <c r="X1010" s="68"/>
      <c r="Z1010" s="68" t="s">
        <v>42967</v>
      </c>
      <c r="AA1010" s="33">
        <v>6658</v>
      </c>
    </row>
    <row r="1011" spans="1:27" ht="12" customHeight="1" x14ac:dyDescent="0.15">
      <c r="A1011" s="10" t="s">
        <v>41143</v>
      </c>
      <c r="B1011" s="99">
        <v>48</v>
      </c>
      <c r="C1011" s="10" t="s">
        <v>14</v>
      </c>
      <c r="D1011" s="10" t="s">
        <v>24</v>
      </c>
      <c r="E1011" s="10"/>
      <c r="F1011" s="67">
        <v>43490</v>
      </c>
      <c r="G1011" s="10" t="s">
        <v>41144</v>
      </c>
      <c r="H1011" s="10" t="s">
        <v>2330</v>
      </c>
      <c r="I1011" s="10" t="s">
        <v>67</v>
      </c>
      <c r="J1011" s="65">
        <v>75041</v>
      </c>
      <c r="K1011" s="10" t="s">
        <v>266</v>
      </c>
      <c r="L1011" s="10" t="s">
        <v>2331</v>
      </c>
      <c r="M1011" s="10" t="s">
        <v>21</v>
      </c>
      <c r="N1011" s="10" t="s">
        <v>41145</v>
      </c>
      <c r="O1011" s="10" t="s">
        <v>372</v>
      </c>
      <c r="P1011" s="1" t="s">
        <v>30089</v>
      </c>
      <c r="Q1011" s="64" t="s">
        <v>41146</v>
      </c>
      <c r="R1011" s="10" t="s">
        <v>512</v>
      </c>
      <c r="S1011" s="63" t="s">
        <v>22</v>
      </c>
      <c r="T1011" s="68" t="s">
        <v>26781</v>
      </c>
      <c r="U1011" s="68" t="s">
        <v>26572</v>
      </c>
      <c r="V1011" s="68" t="s">
        <v>26573</v>
      </c>
      <c r="W1011" s="68" t="s">
        <v>94</v>
      </c>
      <c r="X1011" s="68">
        <v>4418</v>
      </c>
      <c r="Z1011" s="68" t="s">
        <v>42968</v>
      </c>
      <c r="AA1011" s="33">
        <v>6656</v>
      </c>
    </row>
    <row r="1012" spans="1:27" ht="12" customHeight="1" x14ac:dyDescent="0.15">
      <c r="A1012" s="10" t="s">
        <v>41147</v>
      </c>
      <c r="B1012" s="100">
        <v>69</v>
      </c>
      <c r="C1012" s="10" t="s">
        <v>14</v>
      </c>
      <c r="D1012" s="10" t="s">
        <v>24</v>
      </c>
      <c r="E1012" s="10"/>
      <c r="F1012" s="67">
        <v>43490</v>
      </c>
      <c r="G1012" s="10" t="s">
        <v>41148</v>
      </c>
      <c r="H1012" s="10" t="s">
        <v>41149</v>
      </c>
      <c r="I1012" s="10" t="s">
        <v>56</v>
      </c>
      <c r="J1012" s="65">
        <v>32535</v>
      </c>
      <c r="K1012" s="10" t="s">
        <v>4991</v>
      </c>
      <c r="L1012" s="10" t="s">
        <v>4992</v>
      </c>
      <c r="M1012" s="10" t="s">
        <v>21</v>
      </c>
      <c r="N1012" s="10" t="s">
        <v>41150</v>
      </c>
      <c r="O1012" s="10" t="s">
        <v>372</v>
      </c>
      <c r="P1012" s="1" t="s">
        <v>30089</v>
      </c>
      <c r="Q1012" s="64" t="s">
        <v>41151</v>
      </c>
      <c r="R1012" s="10" t="s">
        <v>512</v>
      </c>
      <c r="S1012" s="63" t="s">
        <v>22</v>
      </c>
      <c r="T1012" s="68" t="s">
        <v>26781</v>
      </c>
      <c r="U1012" s="68" t="s">
        <v>26572</v>
      </c>
      <c r="V1012" s="68" t="s">
        <v>26573</v>
      </c>
      <c r="W1012" s="68" t="s">
        <v>94</v>
      </c>
      <c r="X1012" s="68">
        <v>4419</v>
      </c>
      <c r="Z1012" s="68" t="s">
        <v>42967</v>
      </c>
      <c r="AA1012" s="33">
        <v>6657</v>
      </c>
    </row>
    <row r="1013" spans="1:27" ht="12" customHeight="1" x14ac:dyDescent="0.15">
      <c r="A1013" s="10" t="s">
        <v>38854</v>
      </c>
      <c r="B1013" s="99">
        <v>60</v>
      </c>
      <c r="C1013" s="10" t="s">
        <v>14</v>
      </c>
      <c r="D1013" s="10" t="s">
        <v>24</v>
      </c>
      <c r="E1013" s="10"/>
      <c r="F1013" s="67">
        <v>43490</v>
      </c>
      <c r="G1013" s="10" t="s">
        <v>38855</v>
      </c>
      <c r="H1013" s="10" t="s">
        <v>38856</v>
      </c>
      <c r="I1013" s="10" t="s">
        <v>298</v>
      </c>
      <c r="J1013" s="65">
        <v>38024</v>
      </c>
      <c r="K1013" s="10" t="s">
        <v>28264</v>
      </c>
      <c r="L1013" s="10" t="s">
        <v>38857</v>
      </c>
      <c r="M1013" s="10" t="s">
        <v>21</v>
      </c>
      <c r="N1013" s="10" t="s">
        <v>38858</v>
      </c>
      <c r="O1013" s="10" t="s">
        <v>372</v>
      </c>
      <c r="P1013" s="1" t="s">
        <v>30089</v>
      </c>
      <c r="Q1013" s="64" t="s">
        <v>38859</v>
      </c>
      <c r="R1013" s="10" t="s">
        <v>94</v>
      </c>
      <c r="S1013" s="63" t="s">
        <v>22</v>
      </c>
      <c r="T1013" s="68" t="s">
        <v>26781</v>
      </c>
      <c r="U1013" s="68" t="s">
        <v>26572</v>
      </c>
      <c r="V1013" s="68" t="s">
        <v>26573</v>
      </c>
      <c r="W1013" s="68" t="s">
        <v>94</v>
      </c>
      <c r="X1013" s="68">
        <v>4417</v>
      </c>
      <c r="Z1013" s="68" t="s">
        <v>42967</v>
      </c>
      <c r="AA1013" s="33">
        <v>6655</v>
      </c>
    </row>
    <row r="1014" spans="1:27" ht="12" customHeight="1" x14ac:dyDescent="0.15">
      <c r="A1014" s="1" t="s">
        <v>37094</v>
      </c>
      <c r="B1014" s="1">
        <v>24</v>
      </c>
      <c r="C1014" s="1" t="s">
        <v>103</v>
      </c>
      <c r="D1014" s="1" t="s">
        <v>31</v>
      </c>
      <c r="E1014" s="1" t="s">
        <v>37095</v>
      </c>
      <c r="F1014" s="67">
        <v>43489</v>
      </c>
      <c r="G1014" s="1" t="s">
        <v>37096</v>
      </c>
      <c r="H1014" s="1" t="s">
        <v>661</v>
      </c>
      <c r="I1014" s="1" t="s">
        <v>402</v>
      </c>
      <c r="J1014" s="1">
        <v>63111</v>
      </c>
      <c r="K1014" s="1" t="s">
        <v>37097</v>
      </c>
      <c r="L1014" s="1" t="s">
        <v>4162</v>
      </c>
      <c r="M1014" s="1" t="s">
        <v>21</v>
      </c>
      <c r="N1014" s="1" t="s">
        <v>37098</v>
      </c>
      <c r="O1014" s="1" t="s">
        <v>32706</v>
      </c>
      <c r="P1014" s="1" t="s">
        <v>1084</v>
      </c>
      <c r="Q1014" s="1" t="s">
        <v>37099</v>
      </c>
      <c r="R1014" s="1" t="s">
        <v>94</v>
      </c>
      <c r="S1014" s="63" t="s">
        <v>12</v>
      </c>
      <c r="T1014" s="68" t="s">
        <v>29705</v>
      </c>
      <c r="U1014" s="68" t="s">
        <v>26570</v>
      </c>
      <c r="V1014" s="68" t="s">
        <v>26573</v>
      </c>
      <c r="W1014" s="68" t="s">
        <v>94</v>
      </c>
      <c r="X1014" s="68">
        <v>4409</v>
      </c>
      <c r="Y1014" s="33" t="s">
        <v>42476</v>
      </c>
      <c r="Z1014" s="1" t="s">
        <v>42966</v>
      </c>
      <c r="AA1014" s="33">
        <v>6653</v>
      </c>
    </row>
    <row r="1015" spans="1:27" ht="12" customHeight="1" x14ac:dyDescent="0.15">
      <c r="A1015" s="10" t="s">
        <v>40371</v>
      </c>
      <c r="B1015" s="99">
        <v>26</v>
      </c>
      <c r="C1015" s="10" t="s">
        <v>14</v>
      </c>
      <c r="D1015" s="10" t="s">
        <v>42</v>
      </c>
      <c r="E1015" s="64" t="s">
        <v>40372</v>
      </c>
      <c r="F1015" s="67">
        <v>43489</v>
      </c>
      <c r="G1015" s="10" t="s">
        <v>40373</v>
      </c>
      <c r="H1015" s="10" t="s">
        <v>3668</v>
      </c>
      <c r="I1015" s="10" t="s">
        <v>112</v>
      </c>
      <c r="J1015" s="65">
        <v>85334</v>
      </c>
      <c r="K1015" s="10" t="s">
        <v>3670</v>
      </c>
      <c r="L1015" s="10" t="s">
        <v>40374</v>
      </c>
      <c r="M1015" s="10" t="s">
        <v>21</v>
      </c>
      <c r="N1015" s="10" t="s">
        <v>40375</v>
      </c>
      <c r="O1015" s="10" t="s">
        <v>372</v>
      </c>
      <c r="P1015" s="1" t="s">
        <v>30089</v>
      </c>
      <c r="Q1015" s="64" t="s">
        <v>40376</v>
      </c>
      <c r="R1015" s="10" t="s">
        <v>94</v>
      </c>
      <c r="S1015" s="63" t="s">
        <v>29</v>
      </c>
      <c r="T1015" s="68" t="s">
        <v>26575</v>
      </c>
      <c r="U1015" s="68" t="s">
        <v>26570</v>
      </c>
      <c r="V1015" s="68" t="s">
        <v>26571</v>
      </c>
      <c r="W1015" s="68" t="s">
        <v>94</v>
      </c>
      <c r="X1015" s="68">
        <v>4514</v>
      </c>
      <c r="Z1015" s="68" t="s">
        <v>42967</v>
      </c>
      <c r="AA1015" s="33">
        <v>6654</v>
      </c>
    </row>
    <row r="1016" spans="1:27" ht="12" customHeight="1" x14ac:dyDescent="0.15">
      <c r="A1016" s="10" t="s">
        <v>42113</v>
      </c>
      <c r="B1016" s="99">
        <v>34</v>
      </c>
      <c r="C1016" s="10" t="s">
        <v>14</v>
      </c>
      <c r="D1016" s="10" t="s">
        <v>42</v>
      </c>
      <c r="E1016" s="64" t="s">
        <v>42114</v>
      </c>
      <c r="F1016" s="67">
        <v>43489</v>
      </c>
      <c r="G1016" s="10" t="s">
        <v>42115</v>
      </c>
      <c r="H1016" s="10" t="s">
        <v>607</v>
      </c>
      <c r="I1016" s="10" t="s">
        <v>250</v>
      </c>
      <c r="J1016" s="65">
        <v>89123</v>
      </c>
      <c r="K1016" s="10" t="s">
        <v>527</v>
      </c>
      <c r="L1016" s="10" t="s">
        <v>528</v>
      </c>
      <c r="M1016" s="10" t="s">
        <v>21</v>
      </c>
      <c r="N1016" s="10" t="s">
        <v>42116</v>
      </c>
      <c r="O1016" s="10" t="s">
        <v>372</v>
      </c>
      <c r="P1016" s="1" t="s">
        <v>30089</v>
      </c>
      <c r="Q1016" s="64" t="s">
        <v>42117</v>
      </c>
      <c r="R1016" s="10" t="s">
        <v>94</v>
      </c>
      <c r="S1016" s="63" t="s">
        <v>22</v>
      </c>
      <c r="T1016" s="34" t="s">
        <v>26781</v>
      </c>
      <c r="U1016" s="34" t="s">
        <v>26572</v>
      </c>
      <c r="V1016" s="68"/>
      <c r="W1016" s="68"/>
      <c r="X1016" s="68"/>
      <c r="Z1016" s="68" t="s">
        <v>42968</v>
      </c>
      <c r="AA1016" s="33">
        <v>6652</v>
      </c>
    </row>
    <row r="1017" spans="1:27" ht="12" customHeight="1" x14ac:dyDescent="0.15">
      <c r="A1017" s="10" t="s">
        <v>38570</v>
      </c>
      <c r="B1017" s="99">
        <v>20</v>
      </c>
      <c r="C1017" s="10" t="s">
        <v>14</v>
      </c>
      <c r="D1017" s="10" t="s">
        <v>42</v>
      </c>
      <c r="E1017" s="64" t="s">
        <v>38571</v>
      </c>
      <c r="F1017" s="67">
        <v>43488</v>
      </c>
      <c r="G1017" s="10" t="s">
        <v>38572</v>
      </c>
      <c r="H1017" s="10" t="s">
        <v>6279</v>
      </c>
      <c r="I1017" s="10" t="s">
        <v>112</v>
      </c>
      <c r="J1017" s="65">
        <v>86001</v>
      </c>
      <c r="K1017" s="10" t="s">
        <v>21652</v>
      </c>
      <c r="L1017" s="10" t="s">
        <v>10122</v>
      </c>
      <c r="M1017" s="10" t="s">
        <v>21</v>
      </c>
      <c r="N1017" s="10" t="s">
        <v>38573</v>
      </c>
      <c r="O1017" s="10" t="s">
        <v>372</v>
      </c>
      <c r="P1017" s="1" t="s">
        <v>30089</v>
      </c>
      <c r="Q1017" s="64" t="s">
        <v>38574</v>
      </c>
      <c r="R1017" s="10" t="s">
        <v>94</v>
      </c>
      <c r="S1017" s="63" t="s">
        <v>22</v>
      </c>
      <c r="T1017" s="68" t="s">
        <v>26781</v>
      </c>
      <c r="U1017" s="68" t="s">
        <v>26572</v>
      </c>
      <c r="V1017" s="68" t="s">
        <v>26574</v>
      </c>
      <c r="W1017" s="68" t="s">
        <v>94</v>
      </c>
      <c r="X1017" s="68">
        <v>4414</v>
      </c>
      <c r="Z1017" s="68" t="s">
        <v>42968</v>
      </c>
      <c r="AA1017" s="33">
        <v>6647</v>
      </c>
    </row>
    <row r="1018" spans="1:27" ht="12" customHeight="1" x14ac:dyDescent="0.15">
      <c r="A1018" s="10" t="s">
        <v>40093</v>
      </c>
      <c r="B1018" s="99">
        <v>20</v>
      </c>
      <c r="C1018" s="10" t="s">
        <v>14</v>
      </c>
      <c r="D1018" s="10" t="s">
        <v>31</v>
      </c>
      <c r="E1018" s="64" t="s">
        <v>40094</v>
      </c>
      <c r="F1018" s="67">
        <v>43488</v>
      </c>
      <c r="G1018" s="10" t="s">
        <v>38572</v>
      </c>
      <c r="H1018" s="10" t="s">
        <v>6279</v>
      </c>
      <c r="I1018" s="10" t="s">
        <v>112</v>
      </c>
      <c r="J1018" s="65">
        <v>86001</v>
      </c>
      <c r="K1018" s="10" t="s">
        <v>21652</v>
      </c>
      <c r="L1018" s="10" t="s">
        <v>10122</v>
      </c>
      <c r="M1018" s="10" t="s">
        <v>21</v>
      </c>
      <c r="N1018" s="10" t="s">
        <v>38573</v>
      </c>
      <c r="O1018" s="10" t="s">
        <v>372</v>
      </c>
      <c r="P1018" s="1" t="s">
        <v>30089</v>
      </c>
      <c r="Q1018" s="64" t="s">
        <v>38574</v>
      </c>
      <c r="R1018" s="10" t="s">
        <v>94</v>
      </c>
      <c r="S1018" s="63" t="s">
        <v>12</v>
      </c>
      <c r="T1018" s="68" t="s">
        <v>29705</v>
      </c>
      <c r="U1018" s="68" t="s">
        <v>26575</v>
      </c>
      <c r="V1018" s="68" t="s">
        <v>26574</v>
      </c>
      <c r="W1018" s="68" t="s">
        <v>94</v>
      </c>
      <c r="X1018" s="68">
        <v>4405</v>
      </c>
      <c r="Z1018" s="68" t="s">
        <v>42968</v>
      </c>
      <c r="AA1018" s="33">
        <v>6650</v>
      </c>
    </row>
    <row r="1019" spans="1:27" ht="12" customHeight="1" x14ac:dyDescent="0.15">
      <c r="A1019" s="10" t="s">
        <v>3002</v>
      </c>
      <c r="B1019" s="70"/>
      <c r="C1019" s="10"/>
      <c r="D1019" s="68" t="s">
        <v>128</v>
      </c>
      <c r="E1019" s="10"/>
      <c r="F1019" s="67">
        <v>43488</v>
      </c>
      <c r="G1019" s="10" t="s">
        <v>40464</v>
      </c>
      <c r="H1019" s="10" t="s">
        <v>40465</v>
      </c>
      <c r="I1019" s="10" t="s">
        <v>178</v>
      </c>
      <c r="J1019" s="65">
        <v>87325</v>
      </c>
      <c r="K1019" s="10" t="s">
        <v>23429</v>
      </c>
      <c r="L1019" s="10" t="s">
        <v>25830</v>
      </c>
      <c r="M1019" s="10" t="s">
        <v>21</v>
      </c>
      <c r="N1019" s="10" t="s">
        <v>40466</v>
      </c>
      <c r="O1019" s="10" t="s">
        <v>372</v>
      </c>
      <c r="P1019" s="1" t="s">
        <v>30089</v>
      </c>
      <c r="Q1019" s="64" t="s">
        <v>40467</v>
      </c>
      <c r="R1019" s="10" t="s">
        <v>94</v>
      </c>
      <c r="S1019" s="63" t="s">
        <v>29</v>
      </c>
      <c r="T1019" s="68" t="s">
        <v>26575</v>
      </c>
      <c r="U1019" s="68" t="s">
        <v>26575</v>
      </c>
      <c r="V1019" s="68">
        <v>0</v>
      </c>
      <c r="W1019" s="68" t="s">
        <v>94</v>
      </c>
      <c r="X1019" s="68">
        <v>4408</v>
      </c>
      <c r="Z1019" s="68" t="s">
        <v>42967</v>
      </c>
      <c r="AA1019" s="33">
        <v>6651</v>
      </c>
    </row>
    <row r="1020" spans="1:27" ht="12" customHeight="1" x14ac:dyDescent="0.15">
      <c r="A1020" s="10" t="s">
        <v>39370</v>
      </c>
      <c r="B1020" s="99">
        <v>46</v>
      </c>
      <c r="C1020" s="10" t="s">
        <v>14</v>
      </c>
      <c r="D1020" s="10" t="s">
        <v>79</v>
      </c>
      <c r="E1020" s="64" t="s">
        <v>39371</v>
      </c>
      <c r="F1020" s="67">
        <v>43488</v>
      </c>
      <c r="G1020" s="10" t="s">
        <v>39372</v>
      </c>
      <c r="H1020" s="10" t="s">
        <v>782</v>
      </c>
      <c r="I1020" s="10" t="s">
        <v>282</v>
      </c>
      <c r="J1020" s="65">
        <v>99205</v>
      </c>
      <c r="K1020" s="10" t="s">
        <v>782</v>
      </c>
      <c r="L1020" s="10" t="s">
        <v>783</v>
      </c>
      <c r="M1020" s="10" t="s">
        <v>21</v>
      </c>
      <c r="N1020" s="10" t="s">
        <v>39373</v>
      </c>
      <c r="O1020" s="10" t="s">
        <v>372</v>
      </c>
      <c r="P1020" s="1" t="s">
        <v>30089</v>
      </c>
      <c r="Q1020" s="64" t="s">
        <v>39374</v>
      </c>
      <c r="R1020" s="10" t="s">
        <v>23</v>
      </c>
      <c r="S1020" s="63" t="s">
        <v>22</v>
      </c>
      <c r="T1020" s="68" t="s">
        <v>26774</v>
      </c>
      <c r="U1020" s="68" t="s">
        <v>26570</v>
      </c>
      <c r="V1020" s="68">
        <v>0</v>
      </c>
      <c r="W1020" s="68" t="s">
        <v>94</v>
      </c>
      <c r="X1020" s="68">
        <v>4407</v>
      </c>
      <c r="Z1020" s="68" t="s">
        <v>42968</v>
      </c>
      <c r="AA1020" s="33">
        <v>6648</v>
      </c>
    </row>
    <row r="1021" spans="1:27" ht="12" customHeight="1" x14ac:dyDescent="0.15">
      <c r="A1021" s="10" t="s">
        <v>41356</v>
      </c>
      <c r="B1021" s="99">
        <v>46</v>
      </c>
      <c r="C1021" s="10" t="s">
        <v>14</v>
      </c>
      <c r="D1021" s="10" t="s">
        <v>31</v>
      </c>
      <c r="E1021" s="64" t="s">
        <v>41357</v>
      </c>
      <c r="F1021" s="67">
        <v>43488</v>
      </c>
      <c r="G1021" s="10" t="s">
        <v>41358</v>
      </c>
      <c r="H1021" s="10" t="s">
        <v>41359</v>
      </c>
      <c r="I1021" s="10" t="s">
        <v>198</v>
      </c>
      <c r="J1021" s="65">
        <v>46385</v>
      </c>
      <c r="K1021" s="10" t="s">
        <v>19220</v>
      </c>
      <c r="L1021" s="10" t="s">
        <v>41360</v>
      </c>
      <c r="M1021" s="10" t="s">
        <v>21</v>
      </c>
      <c r="N1021" s="10" t="s">
        <v>41361</v>
      </c>
      <c r="O1021" s="10" t="s">
        <v>372</v>
      </c>
      <c r="P1021" s="1" t="s">
        <v>30089</v>
      </c>
      <c r="Q1021" s="64" t="s">
        <v>41362</v>
      </c>
      <c r="R1021" s="10" t="s">
        <v>512</v>
      </c>
      <c r="S1021" s="63" t="s">
        <v>22</v>
      </c>
      <c r="T1021" s="68" t="s">
        <v>26774</v>
      </c>
      <c r="U1021" s="68" t="s">
        <v>26572</v>
      </c>
      <c r="V1021" s="68" t="s">
        <v>26573</v>
      </c>
      <c r="W1021" s="68" t="s">
        <v>512</v>
      </c>
      <c r="X1021" s="68">
        <v>4406</v>
      </c>
      <c r="Z1021" s="68" t="s">
        <v>42968</v>
      </c>
      <c r="AA1021" s="33">
        <v>6649</v>
      </c>
    </row>
    <row r="1022" spans="1:27" ht="12" customHeight="1" x14ac:dyDescent="0.15">
      <c r="A1022" s="10" t="s">
        <v>40237</v>
      </c>
      <c r="B1022" s="99">
        <v>21</v>
      </c>
      <c r="C1022" s="10" t="s">
        <v>14</v>
      </c>
      <c r="D1022" s="10" t="s">
        <v>79</v>
      </c>
      <c r="E1022" s="64" t="s">
        <v>40238</v>
      </c>
      <c r="F1022" s="67">
        <v>43487</v>
      </c>
      <c r="G1022" s="10" t="s">
        <v>40239</v>
      </c>
      <c r="H1022" s="10" t="s">
        <v>1786</v>
      </c>
      <c r="I1022" s="10" t="s">
        <v>160</v>
      </c>
      <c r="J1022" s="65">
        <v>30311</v>
      </c>
      <c r="K1022" s="10" t="s">
        <v>1454</v>
      </c>
      <c r="L1022" s="10" t="s">
        <v>2356</v>
      </c>
      <c r="M1022" s="10" t="s">
        <v>21</v>
      </c>
      <c r="N1022" s="10" t="s">
        <v>40240</v>
      </c>
      <c r="O1022" s="10" t="s">
        <v>372</v>
      </c>
      <c r="P1022" s="1" t="s">
        <v>30089</v>
      </c>
      <c r="Q1022" s="64" t="s">
        <v>40241</v>
      </c>
      <c r="R1022" s="10" t="s">
        <v>94</v>
      </c>
      <c r="S1022" s="63" t="s">
        <v>12</v>
      </c>
      <c r="T1022" s="54" t="s">
        <v>29705</v>
      </c>
      <c r="U1022" s="68" t="s">
        <v>26575</v>
      </c>
      <c r="V1022" s="68" t="s">
        <v>26574</v>
      </c>
      <c r="W1022" s="68" t="s">
        <v>94</v>
      </c>
      <c r="X1022" s="68">
        <v>4395</v>
      </c>
      <c r="Z1022" s="68" t="s">
        <v>42968</v>
      </c>
      <c r="AA1022" s="33">
        <v>6646</v>
      </c>
    </row>
    <row r="1023" spans="1:27" ht="12" customHeight="1" x14ac:dyDescent="0.15">
      <c r="A1023" s="10" t="s">
        <v>40366</v>
      </c>
      <c r="B1023" s="99">
        <v>37</v>
      </c>
      <c r="C1023" s="10" t="s">
        <v>14</v>
      </c>
      <c r="D1023" s="10" t="s">
        <v>42</v>
      </c>
      <c r="E1023" s="64" t="s">
        <v>40367</v>
      </c>
      <c r="F1023" s="67">
        <v>43486</v>
      </c>
      <c r="G1023" s="10" t="s">
        <v>40368</v>
      </c>
      <c r="H1023" s="10" t="s">
        <v>249</v>
      </c>
      <c r="I1023" s="10" t="s">
        <v>250</v>
      </c>
      <c r="J1023" s="65">
        <v>89030</v>
      </c>
      <c r="K1023" s="10" t="s">
        <v>527</v>
      </c>
      <c r="L1023" s="10" t="s">
        <v>251</v>
      </c>
      <c r="M1023" s="10" t="s">
        <v>21</v>
      </c>
      <c r="N1023" s="10" t="s">
        <v>40369</v>
      </c>
      <c r="O1023" s="10" t="s">
        <v>372</v>
      </c>
      <c r="P1023" s="1" t="s">
        <v>30089</v>
      </c>
      <c r="Q1023" s="64" t="s">
        <v>40370</v>
      </c>
      <c r="R1023" s="10" t="s">
        <v>94</v>
      </c>
      <c r="S1023" s="63" t="s">
        <v>29</v>
      </c>
      <c r="T1023" s="68" t="s">
        <v>26575</v>
      </c>
      <c r="U1023" s="68" t="s">
        <v>26570</v>
      </c>
      <c r="V1023" s="68" t="s">
        <v>26571</v>
      </c>
      <c r="W1023" s="68" t="s">
        <v>94</v>
      </c>
      <c r="X1023" s="68">
        <v>4397</v>
      </c>
      <c r="Z1023" s="68" t="s">
        <v>42968</v>
      </c>
      <c r="AA1023" s="33">
        <v>6645</v>
      </c>
    </row>
    <row r="1024" spans="1:27" ht="12" customHeight="1" x14ac:dyDescent="0.15">
      <c r="A1024" s="10" t="s">
        <v>16586</v>
      </c>
      <c r="B1024" s="99">
        <v>56</v>
      </c>
      <c r="C1024" s="10" t="s">
        <v>14</v>
      </c>
      <c r="D1024" s="10" t="s">
        <v>24</v>
      </c>
      <c r="E1024" s="63"/>
      <c r="F1024" s="67">
        <v>43486</v>
      </c>
      <c r="G1024" s="10" t="s">
        <v>42385</v>
      </c>
      <c r="H1024" s="10" t="s">
        <v>42386</v>
      </c>
      <c r="I1024" s="10" t="s">
        <v>282</v>
      </c>
      <c r="J1024" s="65">
        <v>99350</v>
      </c>
      <c r="K1024" s="10" t="s">
        <v>2325</v>
      </c>
      <c r="L1024" s="10" t="s">
        <v>42387</v>
      </c>
      <c r="M1024" s="10" t="s">
        <v>363</v>
      </c>
      <c r="N1024" s="10" t="s">
        <v>42388</v>
      </c>
      <c r="O1024" s="10" t="s">
        <v>372</v>
      </c>
      <c r="P1024" s="1" t="s">
        <v>30089</v>
      </c>
      <c r="Q1024" s="64" t="s">
        <v>42389</v>
      </c>
      <c r="R1024" s="10" t="s">
        <v>94</v>
      </c>
      <c r="S1024" s="63" t="s">
        <v>29</v>
      </c>
      <c r="T1024" s="34" t="s">
        <v>41840</v>
      </c>
      <c r="U1024" s="34" t="s">
        <v>26575</v>
      </c>
      <c r="V1024" s="1"/>
      <c r="W1024" s="68"/>
      <c r="X1024" s="1"/>
      <c r="Z1024" s="68" t="s">
        <v>42967</v>
      </c>
      <c r="AA1024" s="33">
        <v>6644</v>
      </c>
    </row>
    <row r="1025" spans="1:27" ht="12" customHeight="1" x14ac:dyDescent="0.15">
      <c r="A1025" s="10" t="s">
        <v>37926</v>
      </c>
      <c r="B1025" s="99">
        <v>26</v>
      </c>
      <c r="C1025" s="10" t="s">
        <v>14</v>
      </c>
      <c r="D1025" s="10" t="s">
        <v>31</v>
      </c>
      <c r="E1025" s="64" t="s">
        <v>37927</v>
      </c>
      <c r="F1025" s="67">
        <v>43485</v>
      </c>
      <c r="G1025" s="10" t="s">
        <v>37928</v>
      </c>
      <c r="H1025" s="10" t="s">
        <v>4219</v>
      </c>
      <c r="I1025" s="10" t="s">
        <v>798</v>
      </c>
      <c r="J1025" s="65">
        <v>59101</v>
      </c>
      <c r="K1025" s="10" t="s">
        <v>4221</v>
      </c>
      <c r="L1025" s="10" t="s">
        <v>9485</v>
      </c>
      <c r="M1025" s="10" t="s">
        <v>21</v>
      </c>
      <c r="N1025" s="10" t="s">
        <v>37929</v>
      </c>
      <c r="O1025" s="10" t="s">
        <v>372</v>
      </c>
      <c r="P1025" s="1" t="s">
        <v>30089</v>
      </c>
      <c r="Q1025" s="64" t="s">
        <v>37930</v>
      </c>
      <c r="R1025" s="10" t="s">
        <v>94</v>
      </c>
      <c r="S1025" s="63" t="s">
        <v>22</v>
      </c>
      <c r="T1025" s="68" t="s">
        <v>26781</v>
      </c>
      <c r="U1025" s="68" t="s">
        <v>26572</v>
      </c>
      <c r="V1025" s="68" t="s">
        <v>26574</v>
      </c>
      <c r="W1025" s="68" t="s">
        <v>94</v>
      </c>
      <c r="X1025" s="68">
        <v>4394</v>
      </c>
      <c r="Z1025" s="68" t="s">
        <v>42968</v>
      </c>
      <c r="AA1025" s="33">
        <v>6642</v>
      </c>
    </row>
    <row r="1026" spans="1:27" ht="12" customHeight="1" x14ac:dyDescent="0.15">
      <c r="A1026" s="10" t="s">
        <v>42129</v>
      </c>
      <c r="B1026" s="99">
        <v>48</v>
      </c>
      <c r="C1026" s="10" t="s">
        <v>14</v>
      </c>
      <c r="D1026" s="10" t="s">
        <v>42</v>
      </c>
      <c r="E1026" s="64" t="s">
        <v>42130</v>
      </c>
      <c r="F1026" s="67">
        <v>43485</v>
      </c>
      <c r="G1026" s="10" t="s">
        <v>42131</v>
      </c>
      <c r="H1026" s="10" t="s">
        <v>2402</v>
      </c>
      <c r="I1026" s="10" t="s">
        <v>282</v>
      </c>
      <c r="J1026" s="65">
        <v>99352</v>
      </c>
      <c r="K1026" s="10" t="s">
        <v>2325</v>
      </c>
      <c r="L1026" s="10" t="s">
        <v>42132</v>
      </c>
      <c r="M1026" s="10" t="s">
        <v>2909</v>
      </c>
      <c r="N1026" s="10" t="s">
        <v>42133</v>
      </c>
      <c r="O1026" s="10" t="s">
        <v>372</v>
      </c>
      <c r="P1026" s="1" t="s">
        <v>30089</v>
      </c>
      <c r="Q1026" s="64" t="s">
        <v>42134</v>
      </c>
      <c r="R1026" s="10" t="s">
        <v>904</v>
      </c>
      <c r="S1026" s="63" t="s">
        <v>22</v>
      </c>
      <c r="T1026" s="34" t="s">
        <v>26774</v>
      </c>
      <c r="U1026" s="34" t="s">
        <v>26572</v>
      </c>
      <c r="V1026" s="68"/>
      <c r="W1026" s="68"/>
      <c r="X1026" s="68"/>
      <c r="Z1026" s="68" t="s">
        <v>42968</v>
      </c>
      <c r="AA1026" s="33">
        <v>6643</v>
      </c>
    </row>
    <row r="1027" spans="1:27" ht="12" customHeight="1" x14ac:dyDescent="0.15">
      <c r="A1027" s="10" t="s">
        <v>41577</v>
      </c>
      <c r="B1027" s="99">
        <v>35</v>
      </c>
      <c r="C1027" s="10" t="s">
        <v>14</v>
      </c>
      <c r="D1027" s="10" t="s">
        <v>31</v>
      </c>
      <c r="E1027" s="63"/>
      <c r="F1027" s="67">
        <v>43484</v>
      </c>
      <c r="G1027" s="10" t="s">
        <v>41578</v>
      </c>
      <c r="H1027" s="10" t="s">
        <v>13885</v>
      </c>
      <c r="I1027" s="10" t="s">
        <v>122</v>
      </c>
      <c r="J1027" s="65">
        <v>55426</v>
      </c>
      <c r="K1027" s="10" t="s">
        <v>1009</v>
      </c>
      <c r="L1027" s="10" t="s">
        <v>17187</v>
      </c>
      <c r="M1027" s="10" t="s">
        <v>21</v>
      </c>
      <c r="N1027" s="10" t="s">
        <v>41579</v>
      </c>
      <c r="O1027" s="10" t="s">
        <v>372</v>
      </c>
      <c r="P1027" s="1" t="s">
        <v>30089</v>
      </c>
      <c r="Q1027" s="64" t="s">
        <v>41580</v>
      </c>
      <c r="R1027" s="10" t="s">
        <v>512</v>
      </c>
      <c r="S1027" s="63" t="s">
        <v>12</v>
      </c>
      <c r="T1027" s="68" t="s">
        <v>29705</v>
      </c>
      <c r="U1027" s="68" t="s">
        <v>26575</v>
      </c>
      <c r="V1027" s="68" t="s">
        <v>26573</v>
      </c>
      <c r="W1027" s="68" t="s">
        <v>94</v>
      </c>
      <c r="X1027" s="68">
        <v>4396</v>
      </c>
      <c r="Z1027" s="68" t="s">
        <v>42968</v>
      </c>
      <c r="AA1027" s="33">
        <v>6640</v>
      </c>
    </row>
    <row r="1028" spans="1:27" ht="12" customHeight="1" x14ac:dyDescent="0.15">
      <c r="A1028" s="10" t="s">
        <v>40644</v>
      </c>
      <c r="B1028" s="99">
        <v>30</v>
      </c>
      <c r="C1028" s="10" t="s">
        <v>14</v>
      </c>
      <c r="D1028" s="10" t="s">
        <v>31</v>
      </c>
      <c r="E1028" s="64" t="s">
        <v>40645</v>
      </c>
      <c r="F1028" s="67">
        <v>43484</v>
      </c>
      <c r="G1028" s="10" t="s">
        <v>40646</v>
      </c>
      <c r="H1028" s="10" t="s">
        <v>359</v>
      </c>
      <c r="I1028" s="10" t="s">
        <v>298</v>
      </c>
      <c r="J1028" s="65">
        <v>37912</v>
      </c>
      <c r="K1028" s="10" t="s">
        <v>2476</v>
      </c>
      <c r="L1028" s="10" t="s">
        <v>7149</v>
      </c>
      <c r="M1028" s="10" t="s">
        <v>21</v>
      </c>
      <c r="N1028" s="10" t="s">
        <v>40647</v>
      </c>
      <c r="O1028" s="10" t="s">
        <v>372</v>
      </c>
      <c r="P1028" s="1" t="s">
        <v>30089</v>
      </c>
      <c r="Q1028" s="64" t="s">
        <v>40648</v>
      </c>
      <c r="R1028" s="10" t="s">
        <v>94</v>
      </c>
      <c r="S1028" s="63" t="s">
        <v>351</v>
      </c>
      <c r="T1028" s="68" t="s">
        <v>26867</v>
      </c>
      <c r="U1028" s="68" t="s">
        <v>26570</v>
      </c>
      <c r="V1028" s="68" t="s">
        <v>26571</v>
      </c>
      <c r="W1028" s="68" t="s">
        <v>94</v>
      </c>
      <c r="X1028" s="68">
        <v>4399</v>
      </c>
      <c r="Z1028" s="68" t="s">
        <v>42968</v>
      </c>
      <c r="AA1028" s="33">
        <v>6641</v>
      </c>
    </row>
    <row r="1029" spans="1:27" ht="12" customHeight="1" x14ac:dyDescent="0.15">
      <c r="A1029" s="10" t="s">
        <v>37190</v>
      </c>
      <c r="B1029" s="99">
        <v>42</v>
      </c>
      <c r="C1029" s="10" t="s">
        <v>14</v>
      </c>
      <c r="D1029" s="10" t="s">
        <v>31</v>
      </c>
      <c r="E1029" s="64" t="s">
        <v>37191</v>
      </c>
      <c r="F1029" s="67">
        <v>43484</v>
      </c>
      <c r="G1029" s="10" t="s">
        <v>37192</v>
      </c>
      <c r="H1029" s="10" t="s">
        <v>30261</v>
      </c>
      <c r="I1029" s="10" t="s">
        <v>106</v>
      </c>
      <c r="J1029" s="65">
        <v>97013</v>
      </c>
      <c r="K1029" s="10" t="s">
        <v>3919</v>
      </c>
      <c r="L1029" s="10" t="s">
        <v>3920</v>
      </c>
      <c r="M1029" s="10" t="s">
        <v>21</v>
      </c>
      <c r="N1029" s="10" t="s">
        <v>37193</v>
      </c>
      <c r="O1029" s="10" t="s">
        <v>372</v>
      </c>
      <c r="P1029" s="1" t="s">
        <v>30089</v>
      </c>
      <c r="Q1029" s="64" t="s">
        <v>37194</v>
      </c>
      <c r="R1029" s="10" t="s">
        <v>94</v>
      </c>
      <c r="S1029" s="63" t="s">
        <v>22</v>
      </c>
      <c r="T1029" s="68" t="s">
        <v>27020</v>
      </c>
      <c r="U1029" s="68" t="s">
        <v>26572</v>
      </c>
      <c r="V1029" s="68" t="s">
        <v>26573</v>
      </c>
      <c r="W1029" s="68" t="s">
        <v>94</v>
      </c>
      <c r="X1029" s="68">
        <v>4398</v>
      </c>
      <c r="Z1029" s="68" t="s">
        <v>42968</v>
      </c>
      <c r="AA1029" s="33">
        <v>6639</v>
      </c>
    </row>
    <row r="1030" spans="1:27" ht="12" customHeight="1" x14ac:dyDescent="0.15">
      <c r="A1030" s="10" t="s">
        <v>41255</v>
      </c>
      <c r="B1030" s="99">
        <v>64</v>
      </c>
      <c r="C1030" s="10" t="s">
        <v>14</v>
      </c>
      <c r="D1030" s="68" t="s">
        <v>31</v>
      </c>
      <c r="E1030" s="63"/>
      <c r="F1030" s="67">
        <v>43483</v>
      </c>
      <c r="G1030" s="10" t="s">
        <v>41256</v>
      </c>
      <c r="H1030" s="10" t="s">
        <v>10348</v>
      </c>
      <c r="I1030" s="10" t="s">
        <v>402</v>
      </c>
      <c r="J1030" s="65">
        <v>63366</v>
      </c>
      <c r="K1030" s="10" t="s">
        <v>9472</v>
      </c>
      <c r="L1030" s="10" t="s">
        <v>41257</v>
      </c>
      <c r="M1030" s="10" t="s">
        <v>21</v>
      </c>
      <c r="N1030" s="10" t="s">
        <v>41258</v>
      </c>
      <c r="O1030" s="10" t="s">
        <v>372</v>
      </c>
      <c r="P1030" s="1" t="s">
        <v>30089</v>
      </c>
      <c r="Q1030" s="64" t="s">
        <v>41259</v>
      </c>
      <c r="R1030" s="10" t="s">
        <v>512</v>
      </c>
      <c r="S1030" s="63" t="s">
        <v>22</v>
      </c>
      <c r="T1030" s="68" t="s">
        <v>26781</v>
      </c>
      <c r="U1030" s="68" t="s">
        <v>26572</v>
      </c>
      <c r="V1030" s="68" t="s">
        <v>26573</v>
      </c>
      <c r="W1030" s="68" t="s">
        <v>94</v>
      </c>
      <c r="X1030" s="68">
        <v>4400</v>
      </c>
      <c r="Z1030" s="68" t="s">
        <v>42968</v>
      </c>
      <c r="AA1030" s="33">
        <v>6638</v>
      </c>
    </row>
    <row r="1031" spans="1:27" ht="12" customHeight="1" x14ac:dyDescent="0.15">
      <c r="A1031" s="10" t="s">
        <v>31886</v>
      </c>
      <c r="B1031" s="1"/>
      <c r="C1031" s="1"/>
      <c r="D1031" s="10" t="s">
        <v>24</v>
      </c>
      <c r="E1031" s="1"/>
      <c r="F1031" s="67">
        <v>43481</v>
      </c>
      <c r="G1031" s="1"/>
      <c r="H1031" s="1" t="s">
        <v>41669</v>
      </c>
      <c r="I1031" s="1" t="s">
        <v>342</v>
      </c>
      <c r="J1031" s="1"/>
      <c r="K1031" s="10" t="s">
        <v>41670</v>
      </c>
      <c r="L1031" s="10" t="s">
        <v>41671</v>
      </c>
      <c r="M1031" s="10" t="s">
        <v>21</v>
      </c>
      <c r="N1031" s="1" t="s">
        <v>41672</v>
      </c>
      <c r="O1031" s="10" t="s">
        <v>372</v>
      </c>
      <c r="P1031" s="1" t="s">
        <v>30089</v>
      </c>
      <c r="Q1031" s="35" t="s">
        <v>41673</v>
      </c>
      <c r="R1031" s="10" t="s">
        <v>512</v>
      </c>
      <c r="S1031" s="63" t="s">
        <v>351</v>
      </c>
      <c r="T1031" s="68" t="s">
        <v>26867</v>
      </c>
      <c r="U1031" s="68" t="s">
        <v>26572</v>
      </c>
      <c r="V1031" s="68" t="s">
        <v>26571</v>
      </c>
      <c r="W1031" s="68" t="s">
        <v>94</v>
      </c>
      <c r="X1031" s="68">
        <v>4515</v>
      </c>
      <c r="Z1031" s="1" t="e">
        <v>#N/A</v>
      </c>
      <c r="AA1031" s="33">
        <v>6637</v>
      </c>
    </row>
    <row r="1032" spans="1:27" ht="12" customHeight="1" x14ac:dyDescent="0.15">
      <c r="A1032" s="10" t="s">
        <v>37317</v>
      </c>
      <c r="B1032" s="99">
        <v>31</v>
      </c>
      <c r="C1032" s="10" t="s">
        <v>14</v>
      </c>
      <c r="D1032" s="10" t="s">
        <v>79</v>
      </c>
      <c r="E1032" s="64" t="s">
        <v>37318</v>
      </c>
      <c r="F1032" s="67">
        <v>43481</v>
      </c>
      <c r="G1032" s="10" t="s">
        <v>37319</v>
      </c>
      <c r="H1032" s="10" t="s">
        <v>2189</v>
      </c>
      <c r="I1032" s="10" t="s">
        <v>46</v>
      </c>
      <c r="J1032" s="65">
        <v>20910</v>
      </c>
      <c r="K1032" s="10" t="s">
        <v>995</v>
      </c>
      <c r="L1032" s="10" t="s">
        <v>2191</v>
      </c>
      <c r="M1032" s="10" t="s">
        <v>21</v>
      </c>
      <c r="N1032" s="10" t="s">
        <v>37320</v>
      </c>
      <c r="O1032" s="10" t="s">
        <v>372</v>
      </c>
      <c r="P1032" s="1" t="s">
        <v>30089</v>
      </c>
      <c r="Q1032" s="64" t="s">
        <v>37321</v>
      </c>
      <c r="R1032" s="10" t="s">
        <v>94</v>
      </c>
      <c r="S1032" s="63" t="s">
        <v>22</v>
      </c>
      <c r="T1032" s="68" t="s">
        <v>26781</v>
      </c>
      <c r="U1032" s="68" t="s">
        <v>26570</v>
      </c>
      <c r="V1032" s="68" t="s">
        <v>26574</v>
      </c>
      <c r="W1032" s="68" t="s">
        <v>94</v>
      </c>
      <c r="X1032" s="68">
        <v>4502</v>
      </c>
      <c r="Z1032" s="68" t="s">
        <v>42966</v>
      </c>
      <c r="AA1032" s="33">
        <v>6631</v>
      </c>
    </row>
    <row r="1033" spans="1:27" ht="12" customHeight="1" x14ac:dyDescent="0.15">
      <c r="A1033" s="10" t="s">
        <v>40572</v>
      </c>
      <c r="B1033" s="99">
        <v>30</v>
      </c>
      <c r="C1033" s="10" t="s">
        <v>14</v>
      </c>
      <c r="D1033" s="10" t="s">
        <v>79</v>
      </c>
      <c r="E1033" s="64" t="s">
        <v>40573</v>
      </c>
      <c r="F1033" s="67">
        <v>43481</v>
      </c>
      <c r="G1033" s="10" t="s">
        <v>40574</v>
      </c>
      <c r="H1033" s="10" t="s">
        <v>22692</v>
      </c>
      <c r="I1033" s="10" t="s">
        <v>918</v>
      </c>
      <c r="J1033" s="65">
        <v>72301</v>
      </c>
      <c r="K1033" s="10" t="s">
        <v>5233</v>
      </c>
      <c r="L1033" s="10" t="s">
        <v>26792</v>
      </c>
      <c r="M1033" s="10" t="s">
        <v>21</v>
      </c>
      <c r="N1033" s="10" t="s">
        <v>40575</v>
      </c>
      <c r="O1033" s="10" t="s">
        <v>372</v>
      </c>
      <c r="P1033" s="1" t="s">
        <v>30089</v>
      </c>
      <c r="Q1033" s="64" t="s">
        <v>40576</v>
      </c>
      <c r="R1033" s="10" t="s">
        <v>94</v>
      </c>
      <c r="S1033" s="63" t="s">
        <v>351</v>
      </c>
      <c r="T1033" s="68" t="s">
        <v>26867</v>
      </c>
      <c r="U1033" s="68" t="s">
        <v>26570</v>
      </c>
      <c r="V1033" s="68" t="s">
        <v>26571</v>
      </c>
      <c r="W1033" s="68" t="s">
        <v>94</v>
      </c>
      <c r="X1033" s="68">
        <v>4391</v>
      </c>
      <c r="Z1033" s="68" t="s">
        <v>42968</v>
      </c>
      <c r="AA1033" s="33">
        <v>6635</v>
      </c>
    </row>
    <row r="1034" spans="1:27" ht="12" customHeight="1" x14ac:dyDescent="0.15">
      <c r="A1034" s="10" t="s">
        <v>40642</v>
      </c>
      <c r="B1034" s="99">
        <v>32</v>
      </c>
      <c r="C1034" s="10" t="s">
        <v>103</v>
      </c>
      <c r="D1034" s="10" t="s">
        <v>31</v>
      </c>
      <c r="E1034" s="64" t="s">
        <v>40643</v>
      </c>
      <c r="F1034" s="67">
        <v>43481</v>
      </c>
      <c r="G1034" s="10" t="s">
        <v>40574</v>
      </c>
      <c r="H1034" s="10" t="s">
        <v>22692</v>
      </c>
      <c r="I1034" s="10" t="s">
        <v>918</v>
      </c>
      <c r="J1034" s="65">
        <v>72301</v>
      </c>
      <c r="K1034" s="10" t="s">
        <v>5233</v>
      </c>
      <c r="L1034" s="10" t="s">
        <v>26792</v>
      </c>
      <c r="M1034" s="10" t="s">
        <v>21</v>
      </c>
      <c r="N1034" s="10" t="s">
        <v>40575</v>
      </c>
      <c r="O1034" s="10" t="s">
        <v>372</v>
      </c>
      <c r="P1034" s="1" t="s">
        <v>30089</v>
      </c>
      <c r="Q1034" s="64" t="s">
        <v>40576</v>
      </c>
      <c r="R1034" s="10" t="s">
        <v>94</v>
      </c>
      <c r="S1034" s="63" t="s">
        <v>351</v>
      </c>
      <c r="T1034" s="68" t="s">
        <v>26867</v>
      </c>
      <c r="U1034" s="68" t="s">
        <v>26570</v>
      </c>
      <c r="V1034" s="68" t="s">
        <v>26571</v>
      </c>
      <c r="W1034" s="68" t="s">
        <v>94</v>
      </c>
      <c r="X1034" s="68">
        <v>4392</v>
      </c>
      <c r="Z1034" s="68" t="s">
        <v>42968</v>
      </c>
      <c r="AA1034" s="33">
        <v>6636</v>
      </c>
    </row>
    <row r="1035" spans="1:27" ht="12" customHeight="1" x14ac:dyDescent="0.15">
      <c r="A1035" s="10" t="s">
        <v>37180</v>
      </c>
      <c r="B1035" s="99">
        <v>41</v>
      </c>
      <c r="C1035" s="10" t="s">
        <v>14</v>
      </c>
      <c r="D1035" s="10" t="s">
        <v>31</v>
      </c>
      <c r="E1035" s="64" t="s">
        <v>37181</v>
      </c>
      <c r="F1035" s="67">
        <v>43481</v>
      </c>
      <c r="G1035" s="10" t="s">
        <v>37182</v>
      </c>
      <c r="H1035" s="10" t="s">
        <v>4711</v>
      </c>
      <c r="I1035" s="10" t="s">
        <v>192</v>
      </c>
      <c r="J1035" s="65">
        <v>80620</v>
      </c>
      <c r="K1035" s="10" t="s">
        <v>1594</v>
      </c>
      <c r="L1035" s="10" t="s">
        <v>37183</v>
      </c>
      <c r="M1035" s="10" t="s">
        <v>21</v>
      </c>
      <c r="N1035" s="10" t="s">
        <v>37184</v>
      </c>
      <c r="O1035" s="10" t="s">
        <v>31972</v>
      </c>
      <c r="P1035" s="1" t="s">
        <v>30089</v>
      </c>
      <c r="Q1035" s="64" t="s">
        <v>37185</v>
      </c>
      <c r="R1035" s="10" t="s">
        <v>94</v>
      </c>
      <c r="S1035" s="63" t="s">
        <v>22</v>
      </c>
      <c r="T1035" s="68" t="s">
        <v>26781</v>
      </c>
      <c r="U1035" s="68"/>
      <c r="V1035" s="68"/>
      <c r="W1035" s="68"/>
      <c r="X1035" s="68"/>
      <c r="Y1035" s="33" t="s">
        <v>42476</v>
      </c>
      <c r="Z1035" s="68" t="s">
        <v>42968</v>
      </c>
      <c r="AA1035" s="33">
        <v>6630</v>
      </c>
    </row>
    <row r="1036" spans="1:27" ht="12" customHeight="1" x14ac:dyDescent="0.15">
      <c r="A1036" s="10" t="s">
        <v>40276</v>
      </c>
      <c r="B1036" s="99">
        <v>46</v>
      </c>
      <c r="C1036" s="10" t="s">
        <v>14</v>
      </c>
      <c r="D1036" s="10" t="s">
        <v>31</v>
      </c>
      <c r="E1036" s="63"/>
      <c r="F1036" s="67">
        <v>43481</v>
      </c>
      <c r="G1036" s="10" t="s">
        <v>40277</v>
      </c>
      <c r="H1036" s="10" t="s">
        <v>40278</v>
      </c>
      <c r="I1036" s="10" t="s">
        <v>192</v>
      </c>
      <c r="J1036" s="65">
        <v>80621</v>
      </c>
      <c r="K1036" s="10" t="s">
        <v>1594</v>
      </c>
      <c r="L1036" s="10" t="s">
        <v>40279</v>
      </c>
      <c r="M1036" s="10" t="s">
        <v>21</v>
      </c>
      <c r="N1036" s="10" t="s">
        <v>40280</v>
      </c>
      <c r="O1036" s="10" t="s">
        <v>372</v>
      </c>
      <c r="P1036" s="1" t="s">
        <v>30089</v>
      </c>
      <c r="Q1036" s="64" t="s">
        <v>40281</v>
      </c>
      <c r="R1036" s="10" t="s">
        <v>94</v>
      </c>
      <c r="S1036" s="63" t="s">
        <v>29</v>
      </c>
      <c r="T1036" s="68" t="s">
        <v>26575</v>
      </c>
      <c r="U1036" s="68" t="s">
        <v>26575</v>
      </c>
      <c r="V1036" s="68" t="s">
        <v>26571</v>
      </c>
      <c r="W1036" s="68" t="s">
        <v>94</v>
      </c>
      <c r="X1036" s="68">
        <v>4389</v>
      </c>
      <c r="Z1036" s="68" t="s">
        <v>42967</v>
      </c>
      <c r="AA1036" s="33">
        <v>6634</v>
      </c>
    </row>
    <row r="1037" spans="1:27" ht="12" customHeight="1" x14ac:dyDescent="0.15">
      <c r="A1037" s="10" t="s">
        <v>40941</v>
      </c>
      <c r="B1037" s="99">
        <v>57</v>
      </c>
      <c r="C1037" s="10" t="s">
        <v>14</v>
      </c>
      <c r="D1037" s="10" t="s">
        <v>31</v>
      </c>
      <c r="E1037" s="63"/>
      <c r="F1037" s="67">
        <v>43481</v>
      </c>
      <c r="G1037" s="10" t="s">
        <v>40942</v>
      </c>
      <c r="H1037" s="10" t="s">
        <v>40943</v>
      </c>
      <c r="I1037" s="10" t="s">
        <v>367</v>
      </c>
      <c r="J1037" s="65">
        <v>74073</v>
      </c>
      <c r="K1037" s="10" t="s">
        <v>2307</v>
      </c>
      <c r="L1037" s="10" t="s">
        <v>2875</v>
      </c>
      <c r="M1037" s="10" t="s">
        <v>21</v>
      </c>
      <c r="N1037" s="10" t="s">
        <v>40944</v>
      </c>
      <c r="O1037" s="10" t="s">
        <v>372</v>
      </c>
      <c r="P1037" s="1" t="s">
        <v>30089</v>
      </c>
      <c r="Q1037" s="64" t="s">
        <v>40945</v>
      </c>
      <c r="R1037" s="10" t="s">
        <v>512</v>
      </c>
      <c r="S1037" s="63" t="s">
        <v>22</v>
      </c>
      <c r="T1037" s="68" t="s">
        <v>26781</v>
      </c>
      <c r="U1037" s="68" t="s">
        <v>26570</v>
      </c>
      <c r="V1037" s="68" t="s">
        <v>26574</v>
      </c>
      <c r="W1037" s="68" t="s">
        <v>512</v>
      </c>
      <c r="X1037" s="68">
        <v>4393</v>
      </c>
      <c r="Z1037" s="68" t="s">
        <v>42967</v>
      </c>
      <c r="AA1037" s="33">
        <v>6632</v>
      </c>
    </row>
    <row r="1038" spans="1:27" ht="12" customHeight="1" x14ac:dyDescent="0.15">
      <c r="A1038" s="10" t="s">
        <v>39473</v>
      </c>
      <c r="B1038" s="99">
        <v>32</v>
      </c>
      <c r="C1038" s="10" t="s">
        <v>14</v>
      </c>
      <c r="D1038" s="10" t="s">
        <v>31</v>
      </c>
      <c r="E1038" s="64" t="s">
        <v>39474</v>
      </c>
      <c r="F1038" s="67">
        <v>43481</v>
      </c>
      <c r="G1038" s="10" t="s">
        <v>39475</v>
      </c>
      <c r="H1038" s="10" t="s">
        <v>3855</v>
      </c>
      <c r="I1038" s="10" t="s">
        <v>338</v>
      </c>
      <c r="J1038" s="65">
        <v>28208</v>
      </c>
      <c r="K1038" s="10" t="s">
        <v>3857</v>
      </c>
      <c r="L1038" s="10" t="s">
        <v>3858</v>
      </c>
      <c r="M1038" s="10" t="s">
        <v>21</v>
      </c>
      <c r="N1038" s="10" t="s">
        <v>39476</v>
      </c>
      <c r="O1038" s="10" t="s">
        <v>372</v>
      </c>
      <c r="P1038" s="1" t="s">
        <v>30089</v>
      </c>
      <c r="Q1038" s="64" t="s">
        <v>39477</v>
      </c>
      <c r="R1038" s="10" t="s">
        <v>94</v>
      </c>
      <c r="S1038" s="63" t="s">
        <v>22</v>
      </c>
      <c r="T1038" s="68" t="s">
        <v>26774</v>
      </c>
      <c r="U1038" s="68" t="s">
        <v>26570</v>
      </c>
      <c r="V1038" s="68" t="s">
        <v>26574</v>
      </c>
      <c r="W1038" s="68" t="s">
        <v>94</v>
      </c>
      <c r="X1038" s="68">
        <v>4401</v>
      </c>
      <c r="Z1038" s="68" t="s">
        <v>42968</v>
      </c>
      <c r="AA1038" s="33">
        <v>6633</v>
      </c>
    </row>
    <row r="1039" spans="1:27" ht="12" customHeight="1" x14ac:dyDescent="0.15">
      <c r="A1039" s="10" t="s">
        <v>40012</v>
      </c>
      <c r="B1039" s="99">
        <v>14</v>
      </c>
      <c r="C1039" s="10" t="s">
        <v>14</v>
      </c>
      <c r="D1039" s="10" t="s">
        <v>42</v>
      </c>
      <c r="E1039" s="64" t="s">
        <v>40013</v>
      </c>
      <c r="F1039" s="67">
        <v>43480</v>
      </c>
      <c r="G1039" s="10" t="s">
        <v>40014</v>
      </c>
      <c r="H1039" s="10" t="s">
        <v>3585</v>
      </c>
      <c r="I1039" s="10" t="s">
        <v>112</v>
      </c>
      <c r="J1039" s="65">
        <v>85282</v>
      </c>
      <c r="K1039" s="10" t="s">
        <v>585</v>
      </c>
      <c r="L1039" s="10" t="s">
        <v>3587</v>
      </c>
      <c r="M1039" s="10" t="s">
        <v>21</v>
      </c>
      <c r="N1039" s="10" t="s">
        <v>40015</v>
      </c>
      <c r="O1039" s="10" t="s">
        <v>372</v>
      </c>
      <c r="P1039" s="1" t="s">
        <v>30089</v>
      </c>
      <c r="Q1039" s="64" t="s">
        <v>40016</v>
      </c>
      <c r="R1039" s="10" t="s">
        <v>94</v>
      </c>
      <c r="S1039" s="63" t="s">
        <v>12</v>
      </c>
      <c r="T1039" s="68" t="s">
        <v>39971</v>
      </c>
      <c r="U1039" s="68" t="s">
        <v>26570</v>
      </c>
      <c r="V1039" s="68" t="s">
        <v>26574</v>
      </c>
      <c r="W1039" s="68" t="s">
        <v>512</v>
      </c>
      <c r="X1039" s="68">
        <v>4386</v>
      </c>
      <c r="Z1039" s="68" t="s">
        <v>42968</v>
      </c>
      <c r="AA1039" s="33">
        <v>6628</v>
      </c>
    </row>
    <row r="1040" spans="1:27" ht="12" customHeight="1" x14ac:dyDescent="0.15">
      <c r="A1040" s="10" t="s">
        <v>37921</v>
      </c>
      <c r="B1040" s="99">
        <v>48</v>
      </c>
      <c r="C1040" s="10" t="s">
        <v>14</v>
      </c>
      <c r="D1040" s="10" t="s">
        <v>31</v>
      </c>
      <c r="E1040" s="64" t="s">
        <v>37922</v>
      </c>
      <c r="F1040" s="67">
        <v>43480</v>
      </c>
      <c r="G1040" s="10" t="s">
        <v>37923</v>
      </c>
      <c r="H1040" s="10" t="s">
        <v>20531</v>
      </c>
      <c r="I1040" s="10" t="s">
        <v>39</v>
      </c>
      <c r="J1040" s="65">
        <v>95661</v>
      </c>
      <c r="K1040" s="10" t="s">
        <v>1003</v>
      </c>
      <c r="L1040" s="10" t="s">
        <v>1004</v>
      </c>
      <c r="M1040" s="10" t="s">
        <v>21</v>
      </c>
      <c r="N1040" s="10" t="s">
        <v>37924</v>
      </c>
      <c r="O1040" s="10" t="s">
        <v>372</v>
      </c>
      <c r="P1040" s="1" t="s">
        <v>30089</v>
      </c>
      <c r="Q1040" s="64" t="s">
        <v>37925</v>
      </c>
      <c r="R1040" s="10" t="s">
        <v>94</v>
      </c>
      <c r="S1040" s="63" t="s">
        <v>22</v>
      </c>
      <c r="T1040" s="68" t="s">
        <v>26781</v>
      </c>
      <c r="U1040" s="68" t="s">
        <v>26572</v>
      </c>
      <c r="V1040" s="68" t="s">
        <v>26571</v>
      </c>
      <c r="W1040" s="68" t="s">
        <v>94</v>
      </c>
      <c r="X1040" s="68">
        <v>4383</v>
      </c>
      <c r="Z1040" s="68" t="s">
        <v>42966</v>
      </c>
      <c r="AA1040" s="33">
        <v>6626</v>
      </c>
    </row>
    <row r="1041" spans="1:27" ht="12" customHeight="1" x14ac:dyDescent="0.15">
      <c r="A1041" s="10" t="s">
        <v>40040</v>
      </c>
      <c r="B1041" s="99">
        <v>18</v>
      </c>
      <c r="C1041" s="10" t="s">
        <v>14</v>
      </c>
      <c r="D1041" s="10" t="s">
        <v>79</v>
      </c>
      <c r="E1041" s="64" t="s">
        <v>40041</v>
      </c>
      <c r="F1041" s="67">
        <v>43480</v>
      </c>
      <c r="G1041" s="10" t="s">
        <v>40042</v>
      </c>
      <c r="H1041" s="10" t="s">
        <v>1786</v>
      </c>
      <c r="I1041" s="70" t="s">
        <v>160</v>
      </c>
      <c r="J1041" s="65">
        <v>30303</v>
      </c>
      <c r="K1041" s="10" t="s">
        <v>1454</v>
      </c>
      <c r="L1041" s="10" t="s">
        <v>2356</v>
      </c>
      <c r="M1041" s="10" t="s">
        <v>21</v>
      </c>
      <c r="N1041" s="10" t="s">
        <v>40043</v>
      </c>
      <c r="O1041" s="10" t="s">
        <v>372</v>
      </c>
      <c r="P1041" s="1" t="s">
        <v>30089</v>
      </c>
      <c r="Q1041" s="64" t="s">
        <v>40044</v>
      </c>
      <c r="R1041" s="10" t="s">
        <v>94</v>
      </c>
      <c r="S1041" s="63" t="s">
        <v>12</v>
      </c>
      <c r="T1041" s="68" t="s">
        <v>29705</v>
      </c>
      <c r="U1041" s="68" t="s">
        <v>26570</v>
      </c>
      <c r="V1041" s="68" t="s">
        <v>26573</v>
      </c>
      <c r="W1041" s="68" t="s">
        <v>94</v>
      </c>
      <c r="X1041" s="68">
        <v>4402</v>
      </c>
      <c r="Z1041" s="68" t="s">
        <v>42966</v>
      </c>
      <c r="AA1041" s="33">
        <v>6629</v>
      </c>
    </row>
    <row r="1042" spans="1:27" ht="12" customHeight="1" x14ac:dyDescent="0.15">
      <c r="A1042" s="10" t="s">
        <v>37322</v>
      </c>
      <c r="B1042" s="99">
        <v>22</v>
      </c>
      <c r="C1042" s="10" t="s">
        <v>14</v>
      </c>
      <c r="D1042" s="10" t="s">
        <v>79</v>
      </c>
      <c r="E1042" s="64" t="s">
        <v>37323</v>
      </c>
      <c r="F1042" s="67">
        <v>43480</v>
      </c>
      <c r="G1042" s="10" t="s">
        <v>37324</v>
      </c>
      <c r="H1042" s="10" t="s">
        <v>661</v>
      </c>
      <c r="I1042" s="10" t="s">
        <v>402</v>
      </c>
      <c r="J1042" s="65">
        <v>63115</v>
      </c>
      <c r="K1042" s="10" t="s">
        <v>29523</v>
      </c>
      <c r="L1042" s="10" t="s">
        <v>4162</v>
      </c>
      <c r="M1042" s="10" t="s">
        <v>21</v>
      </c>
      <c r="N1042" s="10" t="s">
        <v>37325</v>
      </c>
      <c r="O1042" s="10" t="s">
        <v>372</v>
      </c>
      <c r="P1042" s="1" t="s">
        <v>30089</v>
      </c>
      <c r="Q1042" s="64" t="s">
        <v>37326</v>
      </c>
      <c r="R1042" s="10" t="s">
        <v>94</v>
      </c>
      <c r="S1042" s="63" t="s">
        <v>22</v>
      </c>
      <c r="T1042" s="68" t="s">
        <v>26781</v>
      </c>
      <c r="U1042" s="68" t="s">
        <v>26572</v>
      </c>
      <c r="V1042" s="68" t="s">
        <v>26574</v>
      </c>
      <c r="W1042" s="68" t="s">
        <v>94</v>
      </c>
      <c r="X1042" s="68">
        <v>4516</v>
      </c>
      <c r="Z1042" s="68" t="s">
        <v>42966</v>
      </c>
      <c r="AA1042" s="33">
        <v>6625</v>
      </c>
    </row>
    <row r="1043" spans="1:27" ht="12" customHeight="1" x14ac:dyDescent="0.15">
      <c r="A1043" s="10" t="s">
        <v>41787</v>
      </c>
      <c r="B1043" s="99">
        <v>42</v>
      </c>
      <c r="C1043" s="10" t="s">
        <v>14</v>
      </c>
      <c r="D1043" s="10" t="s">
        <v>79</v>
      </c>
      <c r="E1043" s="64" t="s">
        <v>41788</v>
      </c>
      <c r="F1043" s="67">
        <v>43480</v>
      </c>
      <c r="G1043" s="10" t="s">
        <v>41789</v>
      </c>
      <c r="H1043" s="10" t="s">
        <v>3508</v>
      </c>
      <c r="I1043" s="70" t="s">
        <v>192</v>
      </c>
      <c r="J1043" s="65">
        <v>80012</v>
      </c>
      <c r="K1043" s="10" t="s">
        <v>3510</v>
      </c>
      <c r="L1043" s="10" t="s">
        <v>3511</v>
      </c>
      <c r="M1043" s="10" t="s">
        <v>21</v>
      </c>
      <c r="N1043" s="10" t="s">
        <v>41790</v>
      </c>
      <c r="O1043" s="10" t="s">
        <v>372</v>
      </c>
      <c r="P1043" s="1" t="s">
        <v>30089</v>
      </c>
      <c r="Q1043" s="64" t="s">
        <v>41791</v>
      </c>
      <c r="R1043" s="10" t="s">
        <v>94</v>
      </c>
      <c r="S1043" s="63" t="s">
        <v>22</v>
      </c>
      <c r="T1043" s="34" t="s">
        <v>26781</v>
      </c>
      <c r="U1043" s="34" t="s">
        <v>26572</v>
      </c>
      <c r="V1043" s="68"/>
      <c r="W1043" s="68"/>
      <c r="X1043" s="68"/>
      <c r="Z1043" s="68" t="s">
        <v>42966</v>
      </c>
      <c r="AA1043" s="33">
        <v>6627</v>
      </c>
    </row>
    <row r="1044" spans="1:27" ht="12" customHeight="1" x14ac:dyDescent="0.15">
      <c r="A1044" s="10" t="s">
        <v>38850</v>
      </c>
      <c r="B1044" s="99">
        <v>62</v>
      </c>
      <c r="C1044" s="10" t="s">
        <v>14</v>
      </c>
      <c r="D1044" s="10" t="s">
        <v>24</v>
      </c>
      <c r="E1044" s="10"/>
      <c r="F1044" s="67">
        <v>43479</v>
      </c>
      <c r="G1044" s="10" t="s">
        <v>38851</v>
      </c>
      <c r="H1044" s="10" t="s">
        <v>10316</v>
      </c>
      <c r="I1044" s="10" t="s">
        <v>160</v>
      </c>
      <c r="J1044" s="65">
        <v>30501</v>
      </c>
      <c r="K1044" s="10" t="s">
        <v>18981</v>
      </c>
      <c r="L1044" s="10" t="s">
        <v>10318</v>
      </c>
      <c r="M1044" s="10" t="s">
        <v>21</v>
      </c>
      <c r="N1044" s="10" t="s">
        <v>38852</v>
      </c>
      <c r="O1044" s="10" t="s">
        <v>372</v>
      </c>
      <c r="P1044" s="1" t="s">
        <v>30089</v>
      </c>
      <c r="Q1044" s="64" t="s">
        <v>38853</v>
      </c>
      <c r="R1044" s="10" t="s">
        <v>94</v>
      </c>
      <c r="S1044" s="63" t="s">
        <v>22</v>
      </c>
      <c r="T1044" s="68" t="s">
        <v>26781</v>
      </c>
      <c r="U1044" s="68" t="s">
        <v>26570</v>
      </c>
      <c r="V1044" s="68" t="s">
        <v>26573</v>
      </c>
      <c r="W1044" s="68" t="s">
        <v>94</v>
      </c>
      <c r="X1044" s="68">
        <v>4371</v>
      </c>
      <c r="Z1044" s="68" t="s">
        <v>42968</v>
      </c>
      <c r="AA1044" s="33">
        <v>6622</v>
      </c>
    </row>
    <row r="1045" spans="1:27" ht="12" customHeight="1" x14ac:dyDescent="0.15">
      <c r="A1045" s="10" t="s">
        <v>37276</v>
      </c>
      <c r="B1045" s="99">
        <v>45</v>
      </c>
      <c r="C1045" s="10" t="s">
        <v>14</v>
      </c>
      <c r="D1045" s="10" t="s">
        <v>79</v>
      </c>
      <c r="E1045" s="64" t="s">
        <v>37277</v>
      </c>
      <c r="F1045" s="67">
        <v>43479</v>
      </c>
      <c r="G1045" s="10" t="s">
        <v>37278</v>
      </c>
      <c r="H1045" s="10" t="s">
        <v>281</v>
      </c>
      <c r="I1045" s="10" t="s">
        <v>39</v>
      </c>
      <c r="J1045" s="65">
        <v>95901</v>
      </c>
      <c r="K1045" s="10" t="s">
        <v>1245</v>
      </c>
      <c r="L1045" s="10" t="s">
        <v>1246</v>
      </c>
      <c r="M1045" s="10" t="s">
        <v>21</v>
      </c>
      <c r="N1045" s="10" t="s">
        <v>37279</v>
      </c>
      <c r="O1045" s="10" t="s">
        <v>372</v>
      </c>
      <c r="P1045" s="1" t="s">
        <v>30089</v>
      </c>
      <c r="Q1045" s="64" t="s">
        <v>37280</v>
      </c>
      <c r="R1045" s="10" t="s">
        <v>94</v>
      </c>
      <c r="S1045" s="63" t="s">
        <v>22</v>
      </c>
      <c r="T1045" s="68" t="s">
        <v>26781</v>
      </c>
      <c r="U1045" s="68" t="s">
        <v>26572</v>
      </c>
      <c r="V1045" s="68" t="s">
        <v>26573</v>
      </c>
      <c r="W1045" s="68" t="s">
        <v>94</v>
      </c>
      <c r="X1045" s="68">
        <v>4370</v>
      </c>
      <c r="Z1045" s="68" t="s">
        <v>42968</v>
      </c>
      <c r="AA1045" s="33">
        <v>6618</v>
      </c>
    </row>
    <row r="1046" spans="1:27" ht="12" customHeight="1" x14ac:dyDescent="0.15">
      <c r="A1046" s="10" t="s">
        <v>39381</v>
      </c>
      <c r="B1046" s="99">
        <v>38</v>
      </c>
      <c r="C1046" s="10" t="s">
        <v>14</v>
      </c>
      <c r="D1046" s="10" t="s">
        <v>79</v>
      </c>
      <c r="E1046" s="64" t="s">
        <v>39382</v>
      </c>
      <c r="F1046" s="67">
        <v>43479</v>
      </c>
      <c r="G1046" s="10" t="s">
        <v>39383</v>
      </c>
      <c r="H1046" s="10" t="s">
        <v>13845</v>
      </c>
      <c r="I1046" s="10" t="s">
        <v>39</v>
      </c>
      <c r="J1046" s="65">
        <v>95688</v>
      </c>
      <c r="K1046" s="10" t="s">
        <v>3145</v>
      </c>
      <c r="L1046" s="10" t="s">
        <v>13847</v>
      </c>
      <c r="M1046" s="10" t="s">
        <v>21</v>
      </c>
      <c r="N1046" s="10" t="s">
        <v>39384</v>
      </c>
      <c r="O1046" s="10" t="s">
        <v>372</v>
      </c>
      <c r="P1046" s="1" t="s">
        <v>30089</v>
      </c>
      <c r="Q1046" s="64" t="s">
        <v>39385</v>
      </c>
      <c r="R1046" s="10" t="s">
        <v>94</v>
      </c>
      <c r="S1046" s="63" t="s">
        <v>22</v>
      </c>
      <c r="T1046" s="68" t="s">
        <v>26774</v>
      </c>
      <c r="U1046" s="68" t="s">
        <v>26572</v>
      </c>
      <c r="V1046" s="68" t="s">
        <v>26574</v>
      </c>
      <c r="W1046" s="68" t="s">
        <v>94</v>
      </c>
      <c r="X1046" s="68">
        <v>4517</v>
      </c>
      <c r="Z1046" s="68" t="s">
        <v>42968</v>
      </c>
      <c r="AA1046" s="33">
        <v>6623</v>
      </c>
    </row>
    <row r="1047" spans="1:27" ht="12" customHeight="1" x14ac:dyDescent="0.15">
      <c r="A1047" s="10" t="s">
        <v>40139</v>
      </c>
      <c r="B1047" s="99">
        <v>18</v>
      </c>
      <c r="C1047" s="10" t="s">
        <v>14</v>
      </c>
      <c r="D1047" s="10" t="s">
        <v>42</v>
      </c>
      <c r="E1047" s="64" t="s">
        <v>40140</v>
      </c>
      <c r="F1047" s="67">
        <v>43479</v>
      </c>
      <c r="G1047" s="10" t="s">
        <v>40141</v>
      </c>
      <c r="H1047" s="10" t="s">
        <v>4307</v>
      </c>
      <c r="I1047" s="10" t="s">
        <v>192</v>
      </c>
      <c r="J1047" s="65">
        <v>81007</v>
      </c>
      <c r="K1047" s="10" t="s">
        <v>4307</v>
      </c>
      <c r="L1047" s="10" t="s">
        <v>28141</v>
      </c>
      <c r="M1047" s="10" t="s">
        <v>21</v>
      </c>
      <c r="N1047" s="10" t="s">
        <v>40142</v>
      </c>
      <c r="O1047" s="10" t="s">
        <v>31972</v>
      </c>
      <c r="P1047" s="1" t="s">
        <v>30089</v>
      </c>
      <c r="Q1047" s="64" t="s">
        <v>40143</v>
      </c>
      <c r="R1047" s="10" t="s">
        <v>94</v>
      </c>
      <c r="S1047" s="63" t="s">
        <v>12</v>
      </c>
      <c r="T1047" s="68" t="s">
        <v>29705</v>
      </c>
      <c r="U1047" s="68" t="s">
        <v>26570</v>
      </c>
      <c r="V1047" s="68" t="s">
        <v>26571</v>
      </c>
      <c r="W1047" s="68" t="s">
        <v>94</v>
      </c>
      <c r="X1047" s="68">
        <v>4372</v>
      </c>
      <c r="Z1047" s="68" t="s">
        <v>42968</v>
      </c>
      <c r="AA1047" s="33">
        <v>6624</v>
      </c>
    </row>
    <row r="1048" spans="1:27" ht="12" customHeight="1" x14ac:dyDescent="0.15">
      <c r="A1048" s="10" t="s">
        <v>38565</v>
      </c>
      <c r="B1048" s="99">
        <v>25</v>
      </c>
      <c r="C1048" s="10" t="s">
        <v>14</v>
      </c>
      <c r="D1048" s="10" t="s">
        <v>42</v>
      </c>
      <c r="E1048" s="64" t="s">
        <v>38566</v>
      </c>
      <c r="F1048" s="67">
        <v>43479</v>
      </c>
      <c r="G1048" s="10" t="s">
        <v>38567</v>
      </c>
      <c r="H1048" s="10" t="s">
        <v>801</v>
      </c>
      <c r="I1048" s="10" t="s">
        <v>67</v>
      </c>
      <c r="J1048" s="65">
        <v>79936</v>
      </c>
      <c r="K1048" s="10" t="s">
        <v>801</v>
      </c>
      <c r="L1048" s="10" t="s">
        <v>802</v>
      </c>
      <c r="M1048" s="10" t="s">
        <v>21</v>
      </c>
      <c r="N1048" s="10" t="s">
        <v>38568</v>
      </c>
      <c r="O1048" s="10" t="s">
        <v>372</v>
      </c>
      <c r="P1048" s="1" t="s">
        <v>30089</v>
      </c>
      <c r="Q1048" s="64" t="s">
        <v>38569</v>
      </c>
      <c r="R1048" s="10" t="s">
        <v>94</v>
      </c>
      <c r="S1048" s="63" t="s">
        <v>22</v>
      </c>
      <c r="T1048" s="68" t="s">
        <v>26781</v>
      </c>
      <c r="U1048" s="68" t="s">
        <v>26570</v>
      </c>
      <c r="V1048" s="68" t="s">
        <v>26574</v>
      </c>
      <c r="W1048" s="68" t="s">
        <v>94</v>
      </c>
      <c r="X1048" s="68">
        <v>4387</v>
      </c>
      <c r="Z1048" s="68" t="s">
        <v>42968</v>
      </c>
      <c r="AA1048" s="33">
        <v>6621</v>
      </c>
    </row>
    <row r="1049" spans="1:27" ht="12" customHeight="1" x14ac:dyDescent="0.15">
      <c r="A1049" s="10" t="s">
        <v>37327</v>
      </c>
      <c r="B1049" s="99">
        <v>39</v>
      </c>
      <c r="C1049" s="10" t="s">
        <v>14</v>
      </c>
      <c r="D1049" s="10" t="s">
        <v>79</v>
      </c>
      <c r="E1049" s="64" t="s">
        <v>37328</v>
      </c>
      <c r="F1049" s="67">
        <v>43479</v>
      </c>
      <c r="G1049" s="10" t="s">
        <v>37329</v>
      </c>
      <c r="H1049" s="10" t="s">
        <v>37330</v>
      </c>
      <c r="I1049" s="10" t="s">
        <v>75</v>
      </c>
      <c r="J1049" s="65">
        <v>8085</v>
      </c>
      <c r="K1049" s="10" t="s">
        <v>16839</v>
      </c>
      <c r="L1049" s="10" t="s">
        <v>37331</v>
      </c>
      <c r="M1049" s="10" t="s">
        <v>21</v>
      </c>
      <c r="N1049" s="10" t="s">
        <v>37332</v>
      </c>
      <c r="O1049" s="10" t="s">
        <v>372</v>
      </c>
      <c r="P1049" s="1" t="s">
        <v>30089</v>
      </c>
      <c r="Q1049" s="64" t="s">
        <v>37333</v>
      </c>
      <c r="R1049" s="10" t="s">
        <v>94</v>
      </c>
      <c r="S1049" s="63" t="s">
        <v>22</v>
      </c>
      <c r="T1049" s="68" t="s">
        <v>26781</v>
      </c>
      <c r="U1049" s="68" t="s">
        <v>26572</v>
      </c>
      <c r="V1049" s="68" t="s">
        <v>26573</v>
      </c>
      <c r="W1049" s="68" t="s">
        <v>94</v>
      </c>
      <c r="X1049" s="68">
        <v>4519</v>
      </c>
      <c r="Z1049" s="68" t="s">
        <v>42968</v>
      </c>
      <c r="AA1049" s="33">
        <v>6619</v>
      </c>
    </row>
    <row r="1050" spans="1:27" ht="12" customHeight="1" x14ac:dyDescent="0.15">
      <c r="A1050" s="10" t="s">
        <v>38018</v>
      </c>
      <c r="B1050" s="99">
        <v>33</v>
      </c>
      <c r="C1050" s="10" t="s">
        <v>14</v>
      </c>
      <c r="D1050" s="10" t="s">
        <v>31</v>
      </c>
      <c r="E1050" s="64" t="s">
        <v>38019</v>
      </c>
      <c r="F1050" s="67">
        <v>43479</v>
      </c>
      <c r="G1050" s="10" t="s">
        <v>38020</v>
      </c>
      <c r="H1050" s="10" t="s">
        <v>739</v>
      </c>
      <c r="I1050" s="10" t="s">
        <v>67</v>
      </c>
      <c r="J1050" s="65">
        <v>79764</v>
      </c>
      <c r="K1050" s="10" t="s">
        <v>740</v>
      </c>
      <c r="L1050" s="10" t="s">
        <v>17035</v>
      </c>
      <c r="M1050" s="10" t="s">
        <v>21</v>
      </c>
      <c r="N1050" s="10" t="s">
        <v>38021</v>
      </c>
      <c r="O1050" s="10" t="s">
        <v>372</v>
      </c>
      <c r="P1050" s="1" t="s">
        <v>30089</v>
      </c>
      <c r="Q1050" s="64" t="s">
        <v>38022</v>
      </c>
      <c r="R1050" s="10" t="s">
        <v>94</v>
      </c>
      <c r="S1050" s="63" t="s">
        <v>22</v>
      </c>
      <c r="T1050" s="68" t="s">
        <v>26781</v>
      </c>
      <c r="U1050" s="68" t="s">
        <v>26572</v>
      </c>
      <c r="V1050" s="68" t="s">
        <v>26573</v>
      </c>
      <c r="W1050" s="68" t="s">
        <v>94</v>
      </c>
      <c r="X1050" s="68">
        <v>4518</v>
      </c>
      <c r="Z1050" s="68" t="s">
        <v>42968</v>
      </c>
      <c r="AA1050" s="33">
        <v>6620</v>
      </c>
    </row>
    <row r="1051" spans="1:27" ht="12" customHeight="1" x14ac:dyDescent="0.15">
      <c r="A1051" s="10" t="s">
        <v>41434</v>
      </c>
      <c r="B1051" s="99">
        <v>43</v>
      </c>
      <c r="C1051" s="10" t="s">
        <v>14</v>
      </c>
      <c r="D1051" s="10" t="s">
        <v>24</v>
      </c>
      <c r="E1051" s="10"/>
      <c r="F1051" s="67">
        <v>43478</v>
      </c>
      <c r="G1051" s="10" t="s">
        <v>41435</v>
      </c>
      <c r="H1051" s="10" t="s">
        <v>1342</v>
      </c>
      <c r="I1051" s="10" t="s">
        <v>282</v>
      </c>
      <c r="J1051" s="65">
        <v>98499</v>
      </c>
      <c r="K1051" s="10" t="s">
        <v>827</v>
      </c>
      <c r="L1051" s="10" t="s">
        <v>2530</v>
      </c>
      <c r="M1051" s="10" t="s">
        <v>21</v>
      </c>
      <c r="N1051" s="10" t="s">
        <v>41436</v>
      </c>
      <c r="O1051" s="10" t="s">
        <v>372</v>
      </c>
      <c r="P1051" s="1" t="s">
        <v>30089</v>
      </c>
      <c r="Q1051" s="64" t="s">
        <v>41437</v>
      </c>
      <c r="R1051" s="10" t="s">
        <v>512</v>
      </c>
      <c r="S1051" s="63" t="s">
        <v>22</v>
      </c>
      <c r="T1051" s="68" t="s">
        <v>26774</v>
      </c>
      <c r="U1051" s="68" t="s">
        <v>26572</v>
      </c>
      <c r="V1051" s="68" t="s">
        <v>26573</v>
      </c>
      <c r="W1051" s="68" t="s">
        <v>94</v>
      </c>
      <c r="X1051" s="68">
        <v>4403</v>
      </c>
      <c r="Z1051" s="68" t="s">
        <v>42968</v>
      </c>
      <c r="AA1051" s="33">
        <v>6615</v>
      </c>
    </row>
    <row r="1052" spans="1:27" ht="12" customHeight="1" x14ac:dyDescent="0.15">
      <c r="A1052" s="10" t="s">
        <v>40295</v>
      </c>
      <c r="B1052" s="99">
        <v>34</v>
      </c>
      <c r="C1052" s="10" t="s">
        <v>14</v>
      </c>
      <c r="D1052" s="10" t="s">
        <v>31</v>
      </c>
      <c r="E1052" s="64" t="s">
        <v>40296</v>
      </c>
      <c r="F1052" s="67">
        <v>43478</v>
      </c>
      <c r="G1052" s="10" t="s">
        <v>40297</v>
      </c>
      <c r="H1052" s="10" t="s">
        <v>40298</v>
      </c>
      <c r="I1052" s="70" t="s">
        <v>132</v>
      </c>
      <c r="J1052" s="65">
        <v>57383</v>
      </c>
      <c r="K1052" s="10" t="s">
        <v>3508</v>
      </c>
      <c r="L1052" s="10" t="s">
        <v>5161</v>
      </c>
      <c r="M1052" s="10" t="s">
        <v>21</v>
      </c>
      <c r="N1052" s="10" t="s">
        <v>40299</v>
      </c>
      <c r="O1052" s="10" t="s">
        <v>372</v>
      </c>
      <c r="P1052" s="1" t="s">
        <v>30089</v>
      </c>
      <c r="Q1052" s="64" t="s">
        <v>40300</v>
      </c>
      <c r="R1052" s="10" t="s">
        <v>94</v>
      </c>
      <c r="S1052" s="63" t="s">
        <v>29</v>
      </c>
      <c r="T1052" s="68" t="s">
        <v>26575</v>
      </c>
      <c r="U1052" s="68" t="s">
        <v>26575</v>
      </c>
      <c r="V1052" s="68">
        <v>0</v>
      </c>
      <c r="W1052" s="68" t="s">
        <v>94</v>
      </c>
      <c r="X1052" s="68">
        <v>4385</v>
      </c>
      <c r="Z1052" s="68" t="s">
        <v>42967</v>
      </c>
      <c r="AA1052" s="33">
        <v>6617</v>
      </c>
    </row>
    <row r="1053" spans="1:27" ht="12" customHeight="1" x14ac:dyDescent="0.15">
      <c r="A1053" s="1" t="s">
        <v>37105</v>
      </c>
      <c r="B1053" s="1">
        <v>62</v>
      </c>
      <c r="C1053" s="1" t="s">
        <v>14</v>
      </c>
      <c r="D1053" s="1" t="s">
        <v>79</v>
      </c>
      <c r="E1053" s="1"/>
      <c r="F1053" s="67">
        <v>43478</v>
      </c>
      <c r="G1053" s="1" t="s">
        <v>37106</v>
      </c>
      <c r="H1053" s="1" t="s">
        <v>404</v>
      </c>
      <c r="I1053" s="1" t="s">
        <v>621</v>
      </c>
      <c r="J1053" s="1">
        <v>39204</v>
      </c>
      <c r="K1053" s="1" t="s">
        <v>9141</v>
      </c>
      <c r="L1053" s="1" t="s">
        <v>5717</v>
      </c>
      <c r="M1053" s="33" t="s">
        <v>2909</v>
      </c>
      <c r="N1053" s="1" t="s">
        <v>37108</v>
      </c>
      <c r="O1053" s="1" t="s">
        <v>37069</v>
      </c>
      <c r="P1053" s="1" t="s">
        <v>30089</v>
      </c>
      <c r="Q1053" s="1" t="s">
        <v>37109</v>
      </c>
      <c r="R1053" s="1" t="s">
        <v>94</v>
      </c>
      <c r="S1053" s="1" t="s">
        <v>12</v>
      </c>
      <c r="T1053" s="54" t="s">
        <v>29705</v>
      </c>
      <c r="U1053" s="68"/>
      <c r="V1053" s="68"/>
      <c r="W1053" s="68"/>
      <c r="X1053" s="68"/>
      <c r="Z1053" s="1" t="s">
        <v>42968</v>
      </c>
      <c r="AA1053" s="33">
        <v>6616</v>
      </c>
    </row>
    <row r="1054" spans="1:27" ht="12" customHeight="1" x14ac:dyDescent="0.15">
      <c r="A1054" s="1" t="s">
        <v>37136</v>
      </c>
      <c r="B1054" s="1">
        <v>23</v>
      </c>
      <c r="C1054" s="1" t="s">
        <v>103</v>
      </c>
      <c r="D1054" s="1" t="s">
        <v>42</v>
      </c>
      <c r="E1054" s="1"/>
      <c r="F1054" s="67">
        <v>43478</v>
      </c>
      <c r="G1054" s="1" t="s">
        <v>37137</v>
      </c>
      <c r="H1054" s="1" t="s">
        <v>16975</v>
      </c>
      <c r="I1054" s="1" t="s">
        <v>39</v>
      </c>
      <c r="J1054" s="1">
        <v>92234</v>
      </c>
      <c r="K1054" s="1" t="s">
        <v>728</v>
      </c>
      <c r="L1054" s="1" t="s">
        <v>16976</v>
      </c>
      <c r="M1054" s="1" t="s">
        <v>21</v>
      </c>
      <c r="N1054" s="1" t="s">
        <v>37138</v>
      </c>
      <c r="O1054" s="1" t="s">
        <v>32706</v>
      </c>
      <c r="P1054" s="1" t="s">
        <v>30089</v>
      </c>
      <c r="Q1054" s="1" t="s">
        <v>37139</v>
      </c>
      <c r="R1054" s="1" t="s">
        <v>94</v>
      </c>
      <c r="S1054" s="1" t="s">
        <v>22</v>
      </c>
      <c r="T1054" s="68" t="s">
        <v>26781</v>
      </c>
      <c r="U1054" s="68"/>
      <c r="V1054" s="68"/>
      <c r="W1054" s="68"/>
      <c r="X1054" s="68"/>
      <c r="Z1054" s="1" t="s">
        <v>42968</v>
      </c>
      <c r="AA1054" s="33">
        <v>6613</v>
      </c>
    </row>
    <row r="1055" spans="1:27" ht="12" customHeight="1" x14ac:dyDescent="0.15">
      <c r="A1055" s="10" t="s">
        <v>38559</v>
      </c>
      <c r="B1055" s="100">
        <v>28</v>
      </c>
      <c r="C1055" s="10" t="s">
        <v>14</v>
      </c>
      <c r="D1055" s="10" t="s">
        <v>42</v>
      </c>
      <c r="E1055" s="10"/>
      <c r="F1055" s="67">
        <v>43478</v>
      </c>
      <c r="G1055" s="10" t="s">
        <v>37137</v>
      </c>
      <c r="H1055" s="10" t="s">
        <v>16975</v>
      </c>
      <c r="I1055" s="10" t="s">
        <v>39</v>
      </c>
      <c r="J1055" s="65">
        <v>92234</v>
      </c>
      <c r="K1055" s="10" t="s">
        <v>728</v>
      </c>
      <c r="L1055" s="10" t="s">
        <v>16976</v>
      </c>
      <c r="M1055" s="10" t="s">
        <v>21</v>
      </c>
      <c r="N1055" s="10" t="s">
        <v>37138</v>
      </c>
      <c r="O1055" s="10" t="s">
        <v>372</v>
      </c>
      <c r="P1055" s="1" t="s">
        <v>30089</v>
      </c>
      <c r="Q1055" s="64" t="s">
        <v>37139</v>
      </c>
      <c r="R1055" s="10" t="s">
        <v>94</v>
      </c>
      <c r="S1055" s="63" t="s">
        <v>22</v>
      </c>
      <c r="T1055" s="68" t="s">
        <v>26781</v>
      </c>
      <c r="U1055" s="68" t="s">
        <v>26572</v>
      </c>
      <c r="V1055" s="68" t="s">
        <v>26573</v>
      </c>
      <c r="W1055" s="68" t="s">
        <v>94</v>
      </c>
      <c r="X1055" s="68">
        <v>4376</v>
      </c>
      <c r="Z1055" s="68" t="s">
        <v>42968</v>
      </c>
      <c r="AA1055" s="33">
        <v>6614</v>
      </c>
    </row>
    <row r="1056" spans="1:27" ht="12" customHeight="1" x14ac:dyDescent="0.15">
      <c r="A1056" s="10" t="s">
        <v>41561</v>
      </c>
      <c r="B1056" s="99">
        <v>58</v>
      </c>
      <c r="C1056" s="10" t="s">
        <v>14</v>
      </c>
      <c r="D1056" s="68" t="s">
        <v>31</v>
      </c>
      <c r="E1056" s="10"/>
      <c r="F1056" s="67">
        <v>43477</v>
      </c>
      <c r="G1056" s="10" t="s">
        <v>41562</v>
      </c>
      <c r="H1056" s="10" t="s">
        <v>41563</v>
      </c>
      <c r="I1056" s="10" t="s">
        <v>198</v>
      </c>
      <c r="J1056" s="65">
        <v>47041</v>
      </c>
      <c r="K1056" s="10" t="s">
        <v>41564</v>
      </c>
      <c r="L1056" s="10" t="s">
        <v>41565</v>
      </c>
      <c r="M1056" s="10" t="s">
        <v>21</v>
      </c>
      <c r="N1056" s="10" t="s">
        <v>41566</v>
      </c>
      <c r="O1056" s="10" t="s">
        <v>372</v>
      </c>
      <c r="P1056" s="1" t="s">
        <v>30089</v>
      </c>
      <c r="Q1056" s="64" t="s">
        <v>41567</v>
      </c>
      <c r="R1056" s="10" t="s">
        <v>512</v>
      </c>
      <c r="S1056" s="63" t="s">
        <v>12</v>
      </c>
      <c r="T1056" s="68" t="s">
        <v>39971</v>
      </c>
      <c r="U1056" s="68" t="s">
        <v>26572</v>
      </c>
      <c r="V1056" s="68" t="s">
        <v>26573</v>
      </c>
      <c r="W1056" s="68" t="s">
        <v>94</v>
      </c>
      <c r="X1056" s="68">
        <v>4382</v>
      </c>
      <c r="Z1056" s="68" t="s">
        <v>42967</v>
      </c>
      <c r="AA1056" s="33">
        <v>6611</v>
      </c>
    </row>
    <row r="1057" spans="1:27" ht="12" customHeight="1" x14ac:dyDescent="0.15">
      <c r="A1057" s="10" t="s">
        <v>39355</v>
      </c>
      <c r="B1057" s="100">
        <v>48</v>
      </c>
      <c r="C1057" s="10" t="s">
        <v>14</v>
      </c>
      <c r="D1057" s="10" t="s">
        <v>31</v>
      </c>
      <c r="E1057" s="62" t="s">
        <v>39356</v>
      </c>
      <c r="F1057" s="67">
        <v>43477</v>
      </c>
      <c r="G1057" s="10" t="s">
        <v>39357</v>
      </c>
      <c r="H1057" s="10" t="s">
        <v>18214</v>
      </c>
      <c r="I1057" s="10" t="s">
        <v>192</v>
      </c>
      <c r="J1057" s="65">
        <v>80905</v>
      </c>
      <c r="K1057" s="10" t="s">
        <v>801</v>
      </c>
      <c r="L1057" s="10" t="s">
        <v>18216</v>
      </c>
      <c r="M1057" s="10" t="s">
        <v>21</v>
      </c>
      <c r="N1057" s="10" t="s">
        <v>39358</v>
      </c>
      <c r="O1057" s="10" t="s">
        <v>372</v>
      </c>
      <c r="P1057" s="1" t="s">
        <v>30089</v>
      </c>
      <c r="Q1057" s="64" t="s">
        <v>39359</v>
      </c>
      <c r="R1057" s="10" t="s">
        <v>94</v>
      </c>
      <c r="S1057" s="63" t="s">
        <v>22</v>
      </c>
      <c r="T1057" s="68" t="s">
        <v>26585</v>
      </c>
      <c r="U1057" s="68" t="s">
        <v>26570</v>
      </c>
      <c r="V1057" s="68" t="s">
        <v>26573</v>
      </c>
      <c r="W1057" s="68" t="s">
        <v>94</v>
      </c>
      <c r="X1057" s="68">
        <v>4378</v>
      </c>
      <c r="Z1057" s="68" t="s">
        <v>42966</v>
      </c>
      <c r="AA1057" s="33">
        <v>6610</v>
      </c>
    </row>
    <row r="1058" spans="1:27" ht="12" customHeight="1" x14ac:dyDescent="0.15">
      <c r="A1058" s="10" t="s">
        <v>40169</v>
      </c>
      <c r="B1058" s="99">
        <v>43</v>
      </c>
      <c r="C1058" s="10" t="s">
        <v>14</v>
      </c>
      <c r="D1058" s="68" t="s">
        <v>42</v>
      </c>
      <c r="E1058" s="10"/>
      <c r="F1058" s="67">
        <v>43477</v>
      </c>
      <c r="G1058" s="10" t="s">
        <v>40170</v>
      </c>
      <c r="H1058" s="10" t="s">
        <v>40171</v>
      </c>
      <c r="I1058" s="10" t="s">
        <v>39</v>
      </c>
      <c r="J1058" s="65">
        <v>91302</v>
      </c>
      <c r="K1058" s="10" t="s">
        <v>92</v>
      </c>
      <c r="L1058" s="10" t="s">
        <v>40172</v>
      </c>
      <c r="M1058" s="10" t="s">
        <v>21</v>
      </c>
      <c r="N1058" s="10" t="s">
        <v>40173</v>
      </c>
      <c r="O1058" s="10" t="s">
        <v>372</v>
      </c>
      <c r="P1058" s="1" t="s">
        <v>30089</v>
      </c>
      <c r="Q1058" s="64" t="s">
        <v>40174</v>
      </c>
      <c r="R1058" s="10" t="s">
        <v>94</v>
      </c>
      <c r="S1058" s="63" t="s">
        <v>12</v>
      </c>
      <c r="T1058" s="68" t="s">
        <v>29705</v>
      </c>
      <c r="U1058" s="68" t="s">
        <v>26570</v>
      </c>
      <c r="V1058" s="68" t="s">
        <v>26571</v>
      </c>
      <c r="W1058" s="68" t="s">
        <v>94</v>
      </c>
      <c r="X1058" s="68">
        <v>4375</v>
      </c>
      <c r="Z1058" s="68" t="s">
        <v>42968</v>
      </c>
      <c r="AA1058" s="33">
        <v>6612</v>
      </c>
    </row>
    <row r="1059" spans="1:27" ht="12" customHeight="1" x14ac:dyDescent="0.15">
      <c r="A1059" s="10" t="s">
        <v>37266</v>
      </c>
      <c r="B1059" s="99">
        <v>26</v>
      </c>
      <c r="C1059" s="10" t="s">
        <v>14</v>
      </c>
      <c r="D1059" s="10" t="s">
        <v>79</v>
      </c>
      <c r="E1059" s="10"/>
      <c r="F1059" s="67">
        <v>43476</v>
      </c>
      <c r="G1059" s="10" t="s">
        <v>37267</v>
      </c>
      <c r="H1059" s="10" t="s">
        <v>18</v>
      </c>
      <c r="I1059" s="10" t="s">
        <v>19</v>
      </c>
      <c r="J1059" s="65">
        <v>70601</v>
      </c>
      <c r="K1059" s="10" t="s">
        <v>37268</v>
      </c>
      <c r="L1059" s="10" t="s">
        <v>20</v>
      </c>
      <c r="M1059" s="10" t="s">
        <v>21</v>
      </c>
      <c r="N1059" s="10" t="s">
        <v>37269</v>
      </c>
      <c r="O1059" s="10" t="s">
        <v>372</v>
      </c>
      <c r="P1059" s="1" t="s">
        <v>30089</v>
      </c>
      <c r="Q1059" s="64" t="s">
        <v>37270</v>
      </c>
      <c r="R1059" s="10" t="s">
        <v>94</v>
      </c>
      <c r="S1059" s="63" t="s">
        <v>22</v>
      </c>
      <c r="T1059" s="68" t="s">
        <v>26781</v>
      </c>
      <c r="U1059" s="68" t="s">
        <v>26570</v>
      </c>
      <c r="V1059" s="68" t="s">
        <v>19228</v>
      </c>
      <c r="W1059" s="68" t="s">
        <v>94</v>
      </c>
      <c r="X1059" s="68">
        <v>4366</v>
      </c>
      <c r="Z1059" s="68" t="s">
        <v>42966</v>
      </c>
      <c r="AA1059" s="33">
        <v>6606</v>
      </c>
    </row>
    <row r="1060" spans="1:27" ht="12" customHeight="1" x14ac:dyDescent="0.15">
      <c r="A1060" s="10" t="s">
        <v>3002</v>
      </c>
      <c r="B1060" s="70"/>
      <c r="C1060" s="10" t="s">
        <v>14</v>
      </c>
      <c r="D1060" s="10" t="s">
        <v>24</v>
      </c>
      <c r="E1060" s="10"/>
      <c r="F1060" s="67">
        <v>43476</v>
      </c>
      <c r="G1060" s="10" t="s">
        <v>37208</v>
      </c>
      <c r="H1060" s="10" t="s">
        <v>2012</v>
      </c>
      <c r="I1060" s="10" t="s">
        <v>67</v>
      </c>
      <c r="J1060" s="65">
        <v>77340</v>
      </c>
      <c r="K1060" s="10" t="s">
        <v>161</v>
      </c>
      <c r="L1060" s="10" t="s">
        <v>2015</v>
      </c>
      <c r="M1060" s="10" t="s">
        <v>21</v>
      </c>
      <c r="N1060" s="10" t="s">
        <v>37209</v>
      </c>
      <c r="O1060" s="10" t="s">
        <v>372</v>
      </c>
      <c r="P1060" s="1" t="s">
        <v>30089</v>
      </c>
      <c r="Q1060" s="64" t="s">
        <v>37210</v>
      </c>
      <c r="R1060" s="10" t="s">
        <v>94</v>
      </c>
      <c r="S1060" s="63" t="s">
        <v>22</v>
      </c>
      <c r="T1060" s="68" t="s">
        <v>27020</v>
      </c>
      <c r="U1060" s="68" t="s">
        <v>26570</v>
      </c>
      <c r="V1060" s="68" t="s">
        <v>26573</v>
      </c>
      <c r="W1060" s="68" t="s">
        <v>94</v>
      </c>
      <c r="X1060" s="68">
        <v>4522</v>
      </c>
      <c r="Z1060" s="68" t="s">
        <v>42968</v>
      </c>
      <c r="AA1060" s="33">
        <v>6605</v>
      </c>
    </row>
    <row r="1061" spans="1:27" ht="12" customHeight="1" x14ac:dyDescent="0.15">
      <c r="A1061" s="10" t="s">
        <v>39123</v>
      </c>
      <c r="B1061" s="99">
        <v>19</v>
      </c>
      <c r="C1061" s="10" t="s">
        <v>14</v>
      </c>
      <c r="D1061" s="68" t="s">
        <v>79</v>
      </c>
      <c r="E1061" s="10"/>
      <c r="F1061" s="67">
        <v>43476</v>
      </c>
      <c r="G1061" s="10" t="s">
        <v>39124</v>
      </c>
      <c r="H1061" s="10" t="s">
        <v>584</v>
      </c>
      <c r="I1061" s="10" t="s">
        <v>112</v>
      </c>
      <c r="J1061" s="65">
        <v>85037</v>
      </c>
      <c r="K1061" s="10" t="s">
        <v>585</v>
      </c>
      <c r="L1061" s="10" t="s">
        <v>586</v>
      </c>
      <c r="M1061" s="10" t="s">
        <v>21</v>
      </c>
      <c r="N1061" s="10" t="s">
        <v>39125</v>
      </c>
      <c r="O1061" s="10" t="s">
        <v>372</v>
      </c>
      <c r="P1061" s="1" t="s">
        <v>30089</v>
      </c>
      <c r="Q1061" s="64" t="s">
        <v>39126</v>
      </c>
      <c r="R1061" s="10" t="s">
        <v>94</v>
      </c>
      <c r="S1061" s="63" t="s">
        <v>22</v>
      </c>
      <c r="T1061" s="68" t="s">
        <v>26781</v>
      </c>
      <c r="U1061" s="68" t="s">
        <v>26570</v>
      </c>
      <c r="V1061" s="68" t="s">
        <v>26573</v>
      </c>
      <c r="W1061" s="68" t="s">
        <v>94</v>
      </c>
      <c r="X1061" s="68">
        <v>4390</v>
      </c>
      <c r="Z1061" s="68" t="s">
        <v>42968</v>
      </c>
      <c r="AA1061" s="33">
        <v>6609</v>
      </c>
    </row>
    <row r="1062" spans="1:27" ht="12" customHeight="1" x14ac:dyDescent="0.15">
      <c r="A1062" s="10" t="s">
        <v>38560</v>
      </c>
      <c r="B1062" s="99">
        <v>30</v>
      </c>
      <c r="C1062" s="10" t="s">
        <v>14</v>
      </c>
      <c r="D1062" s="10" t="s">
        <v>42</v>
      </c>
      <c r="E1062" s="64" t="s">
        <v>38561</v>
      </c>
      <c r="F1062" s="67">
        <v>43476</v>
      </c>
      <c r="G1062" s="10" t="s">
        <v>38562</v>
      </c>
      <c r="H1062" s="10" t="s">
        <v>2944</v>
      </c>
      <c r="I1062" s="10" t="s">
        <v>106</v>
      </c>
      <c r="J1062" s="65">
        <v>97402</v>
      </c>
      <c r="K1062" s="10" t="s">
        <v>2946</v>
      </c>
      <c r="L1062" s="10" t="s">
        <v>2947</v>
      </c>
      <c r="M1062" s="10" t="s">
        <v>21</v>
      </c>
      <c r="N1062" s="10" t="s">
        <v>38563</v>
      </c>
      <c r="O1062" s="10" t="s">
        <v>372</v>
      </c>
      <c r="P1062" s="1" t="s">
        <v>30089</v>
      </c>
      <c r="Q1062" s="64" t="s">
        <v>38564</v>
      </c>
      <c r="R1062" s="10" t="s">
        <v>94</v>
      </c>
      <c r="S1062" s="63" t="s">
        <v>22</v>
      </c>
      <c r="T1062" s="68" t="s">
        <v>26781</v>
      </c>
      <c r="U1062" s="68" t="s">
        <v>26572</v>
      </c>
      <c r="V1062" s="68" t="s">
        <v>26573</v>
      </c>
      <c r="W1062" s="68" t="s">
        <v>512</v>
      </c>
      <c r="X1062" s="68">
        <v>4381</v>
      </c>
      <c r="Z1062" s="68" t="s">
        <v>42968</v>
      </c>
      <c r="AA1062" s="33">
        <v>6608</v>
      </c>
    </row>
    <row r="1063" spans="1:27" ht="12" customHeight="1" x14ac:dyDescent="0.15">
      <c r="A1063" s="10" t="s">
        <v>37281</v>
      </c>
      <c r="B1063" s="99">
        <v>20</v>
      </c>
      <c r="C1063" s="10" t="s">
        <v>14</v>
      </c>
      <c r="D1063" s="10" t="s">
        <v>79</v>
      </c>
      <c r="E1063" s="10"/>
      <c r="F1063" s="67">
        <v>43476</v>
      </c>
      <c r="G1063" s="10" t="s">
        <v>37282</v>
      </c>
      <c r="H1063" s="10" t="s">
        <v>787</v>
      </c>
      <c r="I1063" s="10" t="s">
        <v>67</v>
      </c>
      <c r="J1063" s="65">
        <v>76012</v>
      </c>
      <c r="K1063" s="10" t="s">
        <v>68</v>
      </c>
      <c r="L1063" s="10" t="s">
        <v>788</v>
      </c>
      <c r="M1063" s="10" t="s">
        <v>21</v>
      </c>
      <c r="N1063" s="10" t="s">
        <v>37283</v>
      </c>
      <c r="O1063" s="10" t="s">
        <v>372</v>
      </c>
      <c r="P1063" s="1" t="s">
        <v>30089</v>
      </c>
      <c r="Q1063" s="64" t="s">
        <v>37284</v>
      </c>
      <c r="R1063" s="10" t="s">
        <v>94</v>
      </c>
      <c r="S1063" s="63" t="s">
        <v>22</v>
      </c>
      <c r="T1063" s="68" t="s">
        <v>26781</v>
      </c>
      <c r="U1063" s="68" t="s">
        <v>26572</v>
      </c>
      <c r="V1063" s="68" t="s">
        <v>26574</v>
      </c>
      <c r="W1063" s="68" t="s">
        <v>94</v>
      </c>
      <c r="X1063" s="68">
        <v>4379</v>
      </c>
      <c r="Z1063" s="68" t="s">
        <v>42968</v>
      </c>
      <c r="AA1063" s="33">
        <v>6607</v>
      </c>
    </row>
    <row r="1064" spans="1:27" ht="12" customHeight="1" x14ac:dyDescent="0.15">
      <c r="A1064" s="10" t="s">
        <v>35281</v>
      </c>
      <c r="B1064" s="99">
        <v>26</v>
      </c>
      <c r="C1064" s="10" t="s">
        <v>14</v>
      </c>
      <c r="D1064" s="10" t="s">
        <v>24</v>
      </c>
      <c r="E1064" s="10"/>
      <c r="F1064" s="67">
        <v>43475</v>
      </c>
      <c r="G1064" s="10" t="s">
        <v>42367</v>
      </c>
      <c r="H1064" s="10" t="s">
        <v>35284</v>
      </c>
      <c r="I1064" s="10" t="s">
        <v>1020</v>
      </c>
      <c r="J1064" s="65">
        <v>82501</v>
      </c>
      <c r="K1064" s="10" t="s">
        <v>1066</v>
      </c>
      <c r="L1064" s="10" t="s">
        <v>42184</v>
      </c>
      <c r="M1064" s="10" t="s">
        <v>21</v>
      </c>
      <c r="N1064" s="10" t="s">
        <v>42368</v>
      </c>
      <c r="O1064" s="10" t="s">
        <v>372</v>
      </c>
      <c r="P1064" s="1" t="s">
        <v>30089</v>
      </c>
      <c r="Q1064" s="64" t="s">
        <v>42369</v>
      </c>
      <c r="R1064" s="10" t="s">
        <v>94</v>
      </c>
      <c r="S1064" s="63" t="s">
        <v>22</v>
      </c>
      <c r="T1064" s="34" t="s">
        <v>26781</v>
      </c>
      <c r="U1064" s="34" t="s">
        <v>26572</v>
      </c>
      <c r="V1064" s="68"/>
      <c r="W1064" s="68"/>
      <c r="X1064" s="68"/>
      <c r="Z1064" s="68" t="s">
        <v>42967</v>
      </c>
      <c r="AA1064" s="33">
        <v>6603</v>
      </c>
    </row>
    <row r="1065" spans="1:27" ht="12" customHeight="1" x14ac:dyDescent="0.15">
      <c r="A1065" s="10" t="s">
        <v>39333</v>
      </c>
      <c r="B1065" s="99">
        <v>29</v>
      </c>
      <c r="C1065" s="10" t="s">
        <v>14</v>
      </c>
      <c r="D1065" s="10" t="s">
        <v>31</v>
      </c>
      <c r="E1065" s="64" t="s">
        <v>39334</v>
      </c>
      <c r="F1065" s="67">
        <v>43475</v>
      </c>
      <c r="G1065" s="10" t="s">
        <v>39335</v>
      </c>
      <c r="H1065" s="10" t="s">
        <v>635</v>
      </c>
      <c r="I1065" s="10" t="s">
        <v>337</v>
      </c>
      <c r="J1065" s="65">
        <v>67203</v>
      </c>
      <c r="K1065" s="10" t="s">
        <v>636</v>
      </c>
      <c r="L1065" s="10" t="s">
        <v>637</v>
      </c>
      <c r="M1065" s="10" t="s">
        <v>21</v>
      </c>
      <c r="N1065" s="10" t="s">
        <v>39336</v>
      </c>
      <c r="O1065" s="10" t="s">
        <v>372</v>
      </c>
      <c r="P1065" s="1" t="s">
        <v>30089</v>
      </c>
      <c r="Q1065" s="64" t="s">
        <v>39337</v>
      </c>
      <c r="R1065" s="10" t="s">
        <v>94</v>
      </c>
      <c r="S1065" s="63" t="s">
        <v>22</v>
      </c>
      <c r="T1065" s="68" t="s">
        <v>34228</v>
      </c>
      <c r="U1065" s="68" t="s">
        <v>26572</v>
      </c>
      <c r="V1065" s="68" t="s">
        <v>26571</v>
      </c>
      <c r="W1065" s="68" t="s">
        <v>94</v>
      </c>
      <c r="X1065" s="68">
        <v>4374</v>
      </c>
      <c r="Z1065" s="68" t="s">
        <v>42966</v>
      </c>
      <c r="AA1065" s="33">
        <v>6604</v>
      </c>
    </row>
    <row r="1066" spans="1:27" ht="12" customHeight="1" x14ac:dyDescent="0.15">
      <c r="A1066" s="10" t="s">
        <v>37271</v>
      </c>
      <c r="B1066" s="99">
        <v>71</v>
      </c>
      <c r="C1066" s="10" t="s">
        <v>14</v>
      </c>
      <c r="D1066" s="10" t="s">
        <v>79</v>
      </c>
      <c r="E1066" s="10"/>
      <c r="F1066" s="67">
        <v>43475</v>
      </c>
      <c r="G1066" s="10" t="s">
        <v>37272</v>
      </c>
      <c r="H1066" s="10" t="s">
        <v>37273</v>
      </c>
      <c r="I1066" s="70" t="s">
        <v>88</v>
      </c>
      <c r="J1066" s="65">
        <v>36024</v>
      </c>
      <c r="K1066" s="10" t="s">
        <v>3736</v>
      </c>
      <c r="L1066" s="10" t="s">
        <v>23268</v>
      </c>
      <c r="M1066" s="10" t="s">
        <v>21</v>
      </c>
      <c r="N1066" s="10" t="s">
        <v>37274</v>
      </c>
      <c r="O1066" s="10" t="s">
        <v>372</v>
      </c>
      <c r="P1066" s="1" t="s">
        <v>30089</v>
      </c>
      <c r="Q1066" s="64" t="s">
        <v>37275</v>
      </c>
      <c r="R1066" s="10" t="s">
        <v>94</v>
      </c>
      <c r="S1066" s="63" t="s">
        <v>22</v>
      </c>
      <c r="T1066" s="68" t="s">
        <v>26781</v>
      </c>
      <c r="U1066" s="68" t="s">
        <v>26570</v>
      </c>
      <c r="V1066" s="68" t="s">
        <v>26573</v>
      </c>
      <c r="W1066" s="68" t="s">
        <v>94</v>
      </c>
      <c r="X1066" s="68">
        <v>4368</v>
      </c>
      <c r="Z1066" s="68" t="s">
        <v>42967</v>
      </c>
      <c r="AA1066" s="33">
        <v>6602</v>
      </c>
    </row>
    <row r="1067" spans="1:27" ht="12" customHeight="1" x14ac:dyDescent="0.15">
      <c r="A1067" s="10" t="s">
        <v>37230</v>
      </c>
      <c r="B1067" s="99">
        <v>33</v>
      </c>
      <c r="C1067" s="10" t="s">
        <v>14</v>
      </c>
      <c r="D1067" s="10" t="s">
        <v>24</v>
      </c>
      <c r="E1067" s="10"/>
      <c r="F1067" s="67">
        <v>43473</v>
      </c>
      <c r="G1067" s="10" t="s">
        <v>37231</v>
      </c>
      <c r="H1067" s="10" t="s">
        <v>1807</v>
      </c>
      <c r="I1067" s="10" t="s">
        <v>67</v>
      </c>
      <c r="J1067" s="65">
        <v>79706</v>
      </c>
      <c r="K1067" s="10" t="s">
        <v>1807</v>
      </c>
      <c r="L1067" s="10" t="s">
        <v>36486</v>
      </c>
      <c r="M1067" s="10" t="s">
        <v>21</v>
      </c>
      <c r="N1067" s="10" t="s">
        <v>37232</v>
      </c>
      <c r="O1067" s="10" t="s">
        <v>372</v>
      </c>
      <c r="P1067" s="1" t="s">
        <v>30089</v>
      </c>
      <c r="Q1067" s="64" t="s">
        <v>37233</v>
      </c>
      <c r="R1067" s="10" t="s">
        <v>23</v>
      </c>
      <c r="S1067" s="63" t="s">
        <v>22</v>
      </c>
      <c r="T1067" s="68" t="s">
        <v>26583</v>
      </c>
      <c r="U1067" s="68" t="s">
        <v>26572</v>
      </c>
      <c r="V1067" s="68" t="s">
        <v>26573</v>
      </c>
      <c r="W1067" s="68" t="s">
        <v>94</v>
      </c>
      <c r="X1067" s="68">
        <v>4520</v>
      </c>
      <c r="Z1067" s="68" t="s">
        <v>42967</v>
      </c>
      <c r="AA1067" s="33">
        <v>6600</v>
      </c>
    </row>
    <row r="1068" spans="1:27" ht="12" customHeight="1" x14ac:dyDescent="0.15">
      <c r="A1068" s="10" t="s">
        <v>38845</v>
      </c>
      <c r="B1068" s="99">
        <v>53</v>
      </c>
      <c r="C1068" s="10" t="s">
        <v>14</v>
      </c>
      <c r="D1068" s="10" t="s">
        <v>24</v>
      </c>
      <c r="E1068" s="10"/>
      <c r="F1068" s="67">
        <v>43473</v>
      </c>
      <c r="G1068" s="10"/>
      <c r="H1068" s="10" t="s">
        <v>38846</v>
      </c>
      <c r="I1068" s="10" t="s">
        <v>402</v>
      </c>
      <c r="J1068" s="65">
        <v>63653</v>
      </c>
      <c r="K1068" s="10" t="s">
        <v>38847</v>
      </c>
      <c r="L1068" s="10" t="s">
        <v>8998</v>
      </c>
      <c r="M1068" s="10" t="s">
        <v>21</v>
      </c>
      <c r="N1068" s="10" t="s">
        <v>38848</v>
      </c>
      <c r="O1068" s="10" t="s">
        <v>372</v>
      </c>
      <c r="P1068" s="1" t="s">
        <v>30089</v>
      </c>
      <c r="Q1068" s="64" t="s">
        <v>38849</v>
      </c>
      <c r="R1068" s="10" t="s">
        <v>94</v>
      </c>
      <c r="S1068" s="63" t="s">
        <v>22</v>
      </c>
      <c r="T1068" s="68" t="s">
        <v>26781</v>
      </c>
      <c r="U1068" s="68" t="s">
        <v>26572</v>
      </c>
      <c r="V1068" s="68" t="s">
        <v>26573</v>
      </c>
      <c r="W1068" s="68" t="s">
        <v>94</v>
      </c>
      <c r="X1068" s="68">
        <v>4364</v>
      </c>
      <c r="Z1068" s="68" t="s">
        <v>42968</v>
      </c>
      <c r="AA1068" s="33">
        <v>6601</v>
      </c>
    </row>
    <row r="1069" spans="1:27" ht="12" customHeight="1" x14ac:dyDescent="0.15">
      <c r="A1069" s="10" t="s">
        <v>37211</v>
      </c>
      <c r="B1069" s="99">
        <v>35</v>
      </c>
      <c r="C1069" s="10" t="s">
        <v>14</v>
      </c>
      <c r="D1069" s="10" t="s">
        <v>31</v>
      </c>
      <c r="E1069" s="10"/>
      <c r="F1069" s="67">
        <v>43472</v>
      </c>
      <c r="G1069" s="10" t="s">
        <v>37212</v>
      </c>
      <c r="H1069" s="10" t="s">
        <v>782</v>
      </c>
      <c r="I1069" s="10" t="s">
        <v>282</v>
      </c>
      <c r="J1069" s="65">
        <v>99205</v>
      </c>
      <c r="K1069" s="10" t="s">
        <v>782</v>
      </c>
      <c r="L1069" s="10" t="s">
        <v>783</v>
      </c>
      <c r="M1069" s="10" t="s">
        <v>21</v>
      </c>
      <c r="N1069" s="10" t="s">
        <v>37213</v>
      </c>
      <c r="O1069" s="10" t="s">
        <v>372</v>
      </c>
      <c r="P1069" s="1" t="s">
        <v>30089</v>
      </c>
      <c r="Q1069" s="64" t="s">
        <v>37214</v>
      </c>
      <c r="R1069" s="10" t="s">
        <v>23</v>
      </c>
      <c r="S1069" s="63" t="s">
        <v>22</v>
      </c>
      <c r="T1069" s="68" t="s">
        <v>26580</v>
      </c>
      <c r="U1069" s="68" t="s">
        <v>26572</v>
      </c>
      <c r="V1069" s="68" t="s">
        <v>26573</v>
      </c>
      <c r="W1069" s="68" t="s">
        <v>512</v>
      </c>
      <c r="X1069" s="68">
        <v>4362</v>
      </c>
      <c r="Z1069" s="68" t="s">
        <v>42968</v>
      </c>
      <c r="AA1069" s="33">
        <v>6594</v>
      </c>
    </row>
    <row r="1070" spans="1:27" ht="12" customHeight="1" x14ac:dyDescent="0.15">
      <c r="A1070" s="10" t="s">
        <v>42370</v>
      </c>
      <c r="B1070" s="99">
        <v>35</v>
      </c>
      <c r="C1070" s="10" t="s">
        <v>14</v>
      </c>
      <c r="D1070" s="10" t="s">
        <v>24</v>
      </c>
      <c r="E1070" s="10"/>
      <c r="F1070" s="67">
        <v>43472</v>
      </c>
      <c r="G1070" s="10" t="s">
        <v>42371</v>
      </c>
      <c r="H1070" s="10" t="s">
        <v>32225</v>
      </c>
      <c r="I1070" s="10" t="s">
        <v>395</v>
      </c>
      <c r="J1070" s="65">
        <v>13502</v>
      </c>
      <c r="K1070" s="10" t="s">
        <v>27348</v>
      </c>
      <c r="L1070" s="10" t="s">
        <v>22726</v>
      </c>
      <c r="M1070" s="10" t="s">
        <v>21</v>
      </c>
      <c r="N1070" s="10" t="s">
        <v>42372</v>
      </c>
      <c r="O1070" s="10" t="s">
        <v>372</v>
      </c>
      <c r="P1070" s="1" t="s">
        <v>30089</v>
      </c>
      <c r="Q1070" s="64" t="s">
        <v>42373</v>
      </c>
      <c r="R1070" s="10" t="s">
        <v>94</v>
      </c>
      <c r="S1070" s="63" t="s">
        <v>22</v>
      </c>
      <c r="T1070" s="34" t="s">
        <v>26774</v>
      </c>
      <c r="U1070" s="34" t="s">
        <v>26572</v>
      </c>
      <c r="V1070" s="68"/>
      <c r="W1070" s="68"/>
      <c r="X1070" s="68"/>
      <c r="Y1070" s="33" t="s">
        <v>42476</v>
      </c>
      <c r="Z1070" s="68" t="s">
        <v>42966</v>
      </c>
      <c r="AA1070" s="33">
        <v>6598</v>
      </c>
    </row>
    <row r="1071" spans="1:27" ht="12" customHeight="1" x14ac:dyDescent="0.15">
      <c r="A1071" s="10" t="s">
        <v>42169</v>
      </c>
      <c r="B1071" s="99">
        <v>42</v>
      </c>
      <c r="C1071" s="10" t="s">
        <v>14</v>
      </c>
      <c r="D1071" s="10" t="s">
        <v>42</v>
      </c>
      <c r="E1071" s="63"/>
      <c r="F1071" s="67">
        <v>43472</v>
      </c>
      <c r="G1071" s="10" t="s">
        <v>42170</v>
      </c>
      <c r="H1071" s="10" t="s">
        <v>518</v>
      </c>
      <c r="I1071" s="10" t="s">
        <v>112</v>
      </c>
      <c r="J1071" s="65">
        <v>85756</v>
      </c>
      <c r="K1071" s="10" t="s">
        <v>519</v>
      </c>
      <c r="L1071" s="10" t="s">
        <v>11583</v>
      </c>
      <c r="M1071" s="10" t="s">
        <v>363</v>
      </c>
      <c r="N1071" s="10" t="s">
        <v>42171</v>
      </c>
      <c r="O1071" s="10" t="s">
        <v>372</v>
      </c>
      <c r="P1071" s="1" t="s">
        <v>30089</v>
      </c>
      <c r="Q1071" s="64" t="s">
        <v>42172</v>
      </c>
      <c r="R1071" s="10" t="s">
        <v>23</v>
      </c>
      <c r="S1071" s="63" t="s">
        <v>29</v>
      </c>
      <c r="T1071" s="34" t="s">
        <v>41840</v>
      </c>
      <c r="U1071" s="34" t="s">
        <v>26570</v>
      </c>
      <c r="V1071" s="1"/>
      <c r="W1071" s="68"/>
      <c r="X1071" s="1"/>
      <c r="Z1071" s="68" t="s">
        <v>42968</v>
      </c>
      <c r="AA1071" s="33">
        <v>6599</v>
      </c>
    </row>
    <row r="1072" spans="1:27" ht="12" customHeight="1" x14ac:dyDescent="0.15">
      <c r="A1072" s="10" t="s">
        <v>37175</v>
      </c>
      <c r="B1072" s="100">
        <v>26</v>
      </c>
      <c r="C1072" s="10" t="s">
        <v>14</v>
      </c>
      <c r="D1072" s="10" t="s">
        <v>79</v>
      </c>
      <c r="E1072" s="10"/>
      <c r="F1072" s="67">
        <v>43472</v>
      </c>
      <c r="G1072" s="10" t="s">
        <v>37176</v>
      </c>
      <c r="H1072" s="10" t="s">
        <v>974</v>
      </c>
      <c r="I1072" s="10" t="s">
        <v>160</v>
      </c>
      <c r="J1072" s="65">
        <v>30032</v>
      </c>
      <c r="K1072" s="10" t="s">
        <v>805</v>
      </c>
      <c r="L1072" s="10" t="s">
        <v>37177</v>
      </c>
      <c r="M1072" s="10" t="s">
        <v>21</v>
      </c>
      <c r="N1072" s="10" t="s">
        <v>37178</v>
      </c>
      <c r="O1072" s="10" t="s">
        <v>372</v>
      </c>
      <c r="P1072" s="1" t="s">
        <v>30089</v>
      </c>
      <c r="Q1072" s="64" t="s">
        <v>37179</v>
      </c>
      <c r="R1072" s="10" t="s">
        <v>94</v>
      </c>
      <c r="S1072" s="63" t="s">
        <v>22</v>
      </c>
      <c r="T1072" s="68" t="s">
        <v>26781</v>
      </c>
      <c r="U1072" s="68"/>
      <c r="V1072" s="68"/>
      <c r="W1072" s="68"/>
      <c r="X1072" s="68"/>
      <c r="Y1072" s="33" t="s">
        <v>42476</v>
      </c>
      <c r="Z1072" s="68" t="s">
        <v>42968</v>
      </c>
      <c r="AA1072" s="33">
        <v>6595</v>
      </c>
    </row>
    <row r="1073" spans="1:27" ht="12" customHeight="1" x14ac:dyDescent="0.15">
      <c r="A1073" s="10" t="s">
        <v>38551</v>
      </c>
      <c r="B1073" s="99">
        <v>37</v>
      </c>
      <c r="C1073" s="10" t="s">
        <v>14</v>
      </c>
      <c r="D1073" s="10" t="s">
        <v>42</v>
      </c>
      <c r="E1073" s="10"/>
      <c r="F1073" s="67">
        <v>43472</v>
      </c>
      <c r="G1073" s="10" t="s">
        <v>38552</v>
      </c>
      <c r="H1073" s="10" t="s">
        <v>2350</v>
      </c>
      <c r="I1073" s="10" t="s">
        <v>282</v>
      </c>
      <c r="J1073" s="65">
        <v>98030</v>
      </c>
      <c r="K1073" s="10" t="s">
        <v>1133</v>
      </c>
      <c r="L1073" s="10" t="s">
        <v>3181</v>
      </c>
      <c r="M1073" s="10" t="s">
        <v>21</v>
      </c>
      <c r="N1073" s="10" t="s">
        <v>38553</v>
      </c>
      <c r="O1073" s="10" t="s">
        <v>372</v>
      </c>
      <c r="P1073" s="1" t="s">
        <v>30089</v>
      </c>
      <c r="Q1073" s="64" t="s">
        <v>38554</v>
      </c>
      <c r="R1073" s="10" t="s">
        <v>94</v>
      </c>
      <c r="S1073" s="63" t="s">
        <v>22</v>
      </c>
      <c r="T1073" s="68" t="s">
        <v>26781</v>
      </c>
      <c r="U1073" s="68" t="s">
        <v>26572</v>
      </c>
      <c r="V1073" s="68" t="s">
        <v>26571</v>
      </c>
      <c r="W1073" s="68" t="s">
        <v>94</v>
      </c>
      <c r="X1073" s="68">
        <v>4351</v>
      </c>
      <c r="Z1073" s="68" t="s">
        <v>42968</v>
      </c>
      <c r="AA1073" s="33">
        <v>6596</v>
      </c>
    </row>
    <row r="1074" spans="1:27" ht="12" customHeight="1" x14ac:dyDescent="0.15">
      <c r="A1074" s="10" t="s">
        <v>39483</v>
      </c>
      <c r="B1074" s="99">
        <v>42</v>
      </c>
      <c r="C1074" s="10" t="s">
        <v>14</v>
      </c>
      <c r="D1074" s="10" t="s">
        <v>31</v>
      </c>
      <c r="E1074" s="10"/>
      <c r="F1074" s="67">
        <v>43472</v>
      </c>
      <c r="G1074" s="10" t="s">
        <v>39484</v>
      </c>
      <c r="H1074" s="10" t="s">
        <v>2307</v>
      </c>
      <c r="I1074" s="10" t="s">
        <v>367</v>
      </c>
      <c r="J1074" s="65">
        <v>74115</v>
      </c>
      <c r="K1074" s="10" t="s">
        <v>2307</v>
      </c>
      <c r="L1074" s="10" t="s">
        <v>5161</v>
      </c>
      <c r="M1074" s="10" t="s">
        <v>21</v>
      </c>
      <c r="N1074" s="10" t="s">
        <v>39485</v>
      </c>
      <c r="O1074" s="10" t="s">
        <v>372</v>
      </c>
      <c r="P1074" s="1" t="s">
        <v>30089</v>
      </c>
      <c r="Q1074" s="64" t="s">
        <v>39486</v>
      </c>
      <c r="R1074" s="10" t="s">
        <v>94</v>
      </c>
      <c r="S1074" s="63" t="s">
        <v>22</v>
      </c>
      <c r="T1074" s="68" t="s">
        <v>26774</v>
      </c>
      <c r="U1074" s="68" t="s">
        <v>26572</v>
      </c>
      <c r="V1074" s="68" t="s">
        <v>26573</v>
      </c>
      <c r="W1074" s="68" t="s">
        <v>94</v>
      </c>
      <c r="X1074" s="68">
        <v>4510</v>
      </c>
      <c r="Z1074" s="68" t="s">
        <v>42966</v>
      </c>
      <c r="AA1074" s="33">
        <v>6597</v>
      </c>
    </row>
    <row r="1075" spans="1:27" ht="12" customHeight="1" x14ac:dyDescent="0.15">
      <c r="A1075" s="10" t="s">
        <v>38840</v>
      </c>
      <c r="B1075" s="70"/>
      <c r="C1075" s="10" t="s">
        <v>14</v>
      </c>
      <c r="D1075" s="10" t="s">
        <v>24</v>
      </c>
      <c r="E1075" s="10"/>
      <c r="F1075" s="67">
        <v>43471</v>
      </c>
      <c r="G1075" s="10" t="s">
        <v>38841</v>
      </c>
      <c r="H1075" s="10" t="s">
        <v>931</v>
      </c>
      <c r="I1075" s="10" t="s">
        <v>367</v>
      </c>
      <c r="J1075" s="65">
        <v>73527</v>
      </c>
      <c r="K1075" s="10" t="s">
        <v>10042</v>
      </c>
      <c r="L1075" s="10" t="s">
        <v>38842</v>
      </c>
      <c r="M1075" s="10" t="s">
        <v>21</v>
      </c>
      <c r="N1075" s="10" t="s">
        <v>38843</v>
      </c>
      <c r="O1075" s="10" t="s">
        <v>372</v>
      </c>
      <c r="P1075" s="1" t="s">
        <v>30089</v>
      </c>
      <c r="Q1075" s="64" t="s">
        <v>38844</v>
      </c>
      <c r="R1075" s="10" t="s">
        <v>94</v>
      </c>
      <c r="S1075" s="63" t="s">
        <v>22</v>
      </c>
      <c r="T1075" s="68" t="s">
        <v>26781</v>
      </c>
      <c r="U1075" s="68" t="s">
        <v>26572</v>
      </c>
      <c r="V1075" s="68" t="s">
        <v>26573</v>
      </c>
      <c r="W1075" s="68" t="s">
        <v>94</v>
      </c>
      <c r="X1075" s="68">
        <v>4359</v>
      </c>
      <c r="Z1075" s="68" t="s">
        <v>42967</v>
      </c>
      <c r="AA1075" s="33">
        <v>6591</v>
      </c>
    </row>
    <row r="1076" spans="1:27" ht="12" customHeight="1" x14ac:dyDescent="0.15">
      <c r="A1076" s="10" t="s">
        <v>41306</v>
      </c>
      <c r="B1076" s="99">
        <v>36</v>
      </c>
      <c r="C1076" s="10" t="s">
        <v>14</v>
      </c>
      <c r="D1076" s="10" t="s">
        <v>79</v>
      </c>
      <c r="E1076" s="64" t="s">
        <v>41307</v>
      </c>
      <c r="F1076" s="67">
        <v>43471</v>
      </c>
      <c r="G1076" s="10" t="s">
        <v>41308</v>
      </c>
      <c r="H1076" s="10" t="s">
        <v>1459</v>
      </c>
      <c r="I1076" s="10" t="s">
        <v>106</v>
      </c>
      <c r="J1076" s="65">
        <v>97216</v>
      </c>
      <c r="K1076" s="10" t="s">
        <v>1461</v>
      </c>
      <c r="L1076" s="10" t="s">
        <v>16039</v>
      </c>
      <c r="M1076" s="10" t="s">
        <v>21</v>
      </c>
      <c r="N1076" s="10" t="s">
        <v>41309</v>
      </c>
      <c r="O1076" s="10" t="s">
        <v>372</v>
      </c>
      <c r="P1076" s="1" t="s">
        <v>30089</v>
      </c>
      <c r="Q1076" s="64" t="s">
        <v>41310</v>
      </c>
      <c r="R1076" s="10" t="s">
        <v>512</v>
      </c>
      <c r="S1076" s="63" t="s">
        <v>22</v>
      </c>
      <c r="T1076" s="68" t="s">
        <v>26774</v>
      </c>
      <c r="U1076" s="68" t="s">
        <v>26570</v>
      </c>
      <c r="V1076" s="68" t="s">
        <v>26573</v>
      </c>
      <c r="W1076" s="68" t="s">
        <v>94</v>
      </c>
      <c r="X1076" s="68">
        <v>4353</v>
      </c>
      <c r="Z1076" s="68" t="s">
        <v>42966</v>
      </c>
      <c r="AA1076" s="33">
        <v>6593</v>
      </c>
    </row>
    <row r="1077" spans="1:27" ht="12" customHeight="1" x14ac:dyDescent="0.15">
      <c r="A1077" s="63" t="s">
        <v>41820</v>
      </c>
      <c r="B1077" s="101">
        <v>32</v>
      </c>
      <c r="C1077" s="10" t="s">
        <v>14</v>
      </c>
      <c r="D1077" s="1" t="s">
        <v>15</v>
      </c>
      <c r="E1077" s="10"/>
      <c r="F1077" s="67">
        <v>43471</v>
      </c>
      <c r="G1077" s="10" t="s">
        <v>41821</v>
      </c>
      <c r="H1077" s="10" t="s">
        <v>674</v>
      </c>
      <c r="I1077" s="10" t="s">
        <v>67</v>
      </c>
      <c r="J1077" s="65">
        <v>77086</v>
      </c>
      <c r="K1077" s="10" t="s">
        <v>515</v>
      </c>
      <c r="L1077" s="10" t="s">
        <v>516</v>
      </c>
      <c r="M1077" s="10" t="s">
        <v>21</v>
      </c>
      <c r="N1077" s="10" t="s">
        <v>41822</v>
      </c>
      <c r="O1077" s="10" t="s">
        <v>372</v>
      </c>
      <c r="P1077" s="1" t="s">
        <v>30089</v>
      </c>
      <c r="Q1077" s="64" t="s">
        <v>41823</v>
      </c>
      <c r="R1077" s="10" t="s">
        <v>94</v>
      </c>
      <c r="S1077" s="63" t="s">
        <v>22</v>
      </c>
      <c r="T1077" s="34" t="s">
        <v>26781</v>
      </c>
      <c r="U1077" s="34" t="s">
        <v>26572</v>
      </c>
      <c r="V1077" s="68"/>
      <c r="W1077" s="68"/>
      <c r="X1077" s="68"/>
      <c r="Z1077" s="68" t="s">
        <v>42968</v>
      </c>
      <c r="AA1077" s="33">
        <v>6592</v>
      </c>
    </row>
    <row r="1078" spans="1:27" ht="12" customHeight="1" x14ac:dyDescent="0.15">
      <c r="A1078" s="63" t="s">
        <v>38830</v>
      </c>
      <c r="B1078" s="101">
        <v>42</v>
      </c>
      <c r="C1078" s="10" t="s">
        <v>14</v>
      </c>
      <c r="D1078" s="10" t="s">
        <v>24</v>
      </c>
      <c r="E1078" s="10"/>
      <c r="F1078" s="67">
        <v>43471</v>
      </c>
      <c r="G1078" s="10" t="s">
        <v>38831</v>
      </c>
      <c r="H1078" s="10" t="s">
        <v>38832</v>
      </c>
      <c r="I1078" s="10" t="s">
        <v>139</v>
      </c>
      <c r="J1078" s="65">
        <v>25526</v>
      </c>
      <c r="K1078" s="10" t="s">
        <v>1950</v>
      </c>
      <c r="L1078" s="10" t="s">
        <v>38833</v>
      </c>
      <c r="M1078" s="10" t="s">
        <v>21</v>
      </c>
      <c r="N1078" s="10" t="s">
        <v>38834</v>
      </c>
      <c r="O1078" s="10" t="s">
        <v>372</v>
      </c>
      <c r="P1078" s="1" t="s">
        <v>30089</v>
      </c>
      <c r="Q1078" s="64" t="s">
        <v>38835</v>
      </c>
      <c r="R1078" s="10" t="s">
        <v>94</v>
      </c>
      <c r="S1078" s="63" t="s">
        <v>22</v>
      </c>
      <c r="T1078" s="68" t="s">
        <v>26781</v>
      </c>
      <c r="U1078" s="68" t="s">
        <v>26572</v>
      </c>
      <c r="V1078" s="68" t="s">
        <v>26571</v>
      </c>
      <c r="W1078" s="68" t="s">
        <v>94</v>
      </c>
      <c r="X1078" s="68">
        <v>4352</v>
      </c>
      <c r="Z1078" s="68" t="s">
        <v>42967</v>
      </c>
      <c r="AA1078" s="33">
        <v>6590</v>
      </c>
    </row>
    <row r="1079" spans="1:27" ht="12" customHeight="1" x14ac:dyDescent="0.15">
      <c r="A1079" s="10" t="s">
        <v>38555</v>
      </c>
      <c r="B1079" s="100">
        <v>28</v>
      </c>
      <c r="C1079" s="10" t="s">
        <v>14</v>
      </c>
      <c r="D1079" s="10" t="s">
        <v>42</v>
      </c>
      <c r="E1079" s="10"/>
      <c r="F1079" s="67">
        <v>43470</v>
      </c>
      <c r="G1079" s="10" t="s">
        <v>38556</v>
      </c>
      <c r="H1079" s="10" t="s">
        <v>27461</v>
      </c>
      <c r="I1079" s="10" t="s">
        <v>39</v>
      </c>
      <c r="J1079" s="65">
        <v>91945</v>
      </c>
      <c r="K1079" s="10" t="s">
        <v>143</v>
      </c>
      <c r="L1079" s="10" t="s">
        <v>1970</v>
      </c>
      <c r="M1079" s="10" t="s">
        <v>21</v>
      </c>
      <c r="N1079" s="10" t="s">
        <v>38557</v>
      </c>
      <c r="O1079" s="10" t="s">
        <v>372</v>
      </c>
      <c r="P1079" s="1" t="s">
        <v>30089</v>
      </c>
      <c r="Q1079" s="64" t="s">
        <v>38558</v>
      </c>
      <c r="R1079" s="10" t="s">
        <v>94</v>
      </c>
      <c r="S1079" s="63" t="s">
        <v>22</v>
      </c>
      <c r="T1079" s="68" t="s">
        <v>26781</v>
      </c>
      <c r="U1079" s="68" t="s">
        <v>26570</v>
      </c>
      <c r="V1079" s="68" t="s">
        <v>26573</v>
      </c>
      <c r="W1079" s="68" t="s">
        <v>94</v>
      </c>
      <c r="X1079" s="68">
        <v>4357</v>
      </c>
      <c r="Z1079" s="68" t="s">
        <v>42968</v>
      </c>
      <c r="AA1079" s="33">
        <v>6587</v>
      </c>
    </row>
    <row r="1080" spans="1:27" ht="12" customHeight="1" x14ac:dyDescent="0.15">
      <c r="A1080" s="10" t="s">
        <v>3002</v>
      </c>
      <c r="B1080" s="70"/>
      <c r="C1080" s="10" t="s">
        <v>14</v>
      </c>
      <c r="D1080" s="10" t="s">
        <v>24</v>
      </c>
      <c r="E1080" s="10"/>
      <c r="F1080" s="67">
        <v>43470</v>
      </c>
      <c r="G1080" s="10" t="s">
        <v>39714</v>
      </c>
      <c r="H1080" s="10" t="s">
        <v>728</v>
      </c>
      <c r="I1080" s="10" t="s">
        <v>39</v>
      </c>
      <c r="J1080" s="65">
        <v>92508</v>
      </c>
      <c r="K1080" s="10" t="s">
        <v>728</v>
      </c>
      <c r="L1080" s="10" t="s">
        <v>729</v>
      </c>
      <c r="M1080" s="10" t="s">
        <v>21</v>
      </c>
      <c r="N1080" s="10" t="s">
        <v>39715</v>
      </c>
      <c r="O1080" s="10" t="s">
        <v>372</v>
      </c>
      <c r="P1080" s="1" t="s">
        <v>30089</v>
      </c>
      <c r="Q1080" s="64" t="s">
        <v>39716</v>
      </c>
      <c r="R1080" s="10" t="s">
        <v>94</v>
      </c>
      <c r="S1080" s="63" t="s">
        <v>22</v>
      </c>
      <c r="T1080" s="68" t="s">
        <v>26774</v>
      </c>
      <c r="U1080" s="68" t="s">
        <v>26570</v>
      </c>
      <c r="V1080" s="68" t="s">
        <v>26573</v>
      </c>
      <c r="W1080" s="68" t="s">
        <v>94</v>
      </c>
      <c r="X1080" s="68">
        <v>4358</v>
      </c>
      <c r="Z1080" s="68" t="s">
        <v>42968</v>
      </c>
      <c r="AA1080" s="33">
        <v>6589</v>
      </c>
    </row>
    <row r="1081" spans="1:27" ht="12" customHeight="1" x14ac:dyDescent="0.15">
      <c r="A1081" s="63" t="s">
        <v>37917</v>
      </c>
      <c r="B1081" s="99">
        <v>55</v>
      </c>
      <c r="C1081" s="10" t="s">
        <v>14</v>
      </c>
      <c r="D1081" s="10" t="s">
        <v>31</v>
      </c>
      <c r="E1081" s="10"/>
      <c r="F1081" s="67">
        <v>43470</v>
      </c>
      <c r="G1081" s="10" t="s">
        <v>37918</v>
      </c>
      <c r="H1081" s="10" t="s">
        <v>561</v>
      </c>
      <c r="I1081" s="10" t="s">
        <v>39</v>
      </c>
      <c r="J1081" s="65">
        <v>95054</v>
      </c>
      <c r="K1081" s="10" t="s">
        <v>561</v>
      </c>
      <c r="L1081" s="10" t="s">
        <v>3097</v>
      </c>
      <c r="M1081" s="10" t="s">
        <v>21</v>
      </c>
      <c r="N1081" s="10" t="s">
        <v>37919</v>
      </c>
      <c r="O1081" s="10" t="s">
        <v>372</v>
      </c>
      <c r="P1081" s="1" t="s">
        <v>30089</v>
      </c>
      <c r="Q1081" s="64" t="s">
        <v>37920</v>
      </c>
      <c r="R1081" s="10" t="s">
        <v>94</v>
      </c>
      <c r="S1081" s="63" t="s">
        <v>22</v>
      </c>
      <c r="T1081" s="68" t="s">
        <v>26781</v>
      </c>
      <c r="U1081" s="68" t="s">
        <v>26572</v>
      </c>
      <c r="V1081" s="68" t="s">
        <v>26573</v>
      </c>
      <c r="W1081" s="68" t="s">
        <v>94</v>
      </c>
      <c r="X1081" s="68">
        <v>4361</v>
      </c>
      <c r="Z1081" s="68" t="s">
        <v>42968</v>
      </c>
      <c r="AA1081" s="33">
        <v>6586</v>
      </c>
    </row>
    <row r="1082" spans="1:27" ht="12" customHeight="1" x14ac:dyDescent="0.15">
      <c r="A1082" s="10" t="s">
        <v>37204</v>
      </c>
      <c r="B1082" s="99">
        <v>29</v>
      </c>
      <c r="C1082" s="10" t="s">
        <v>14</v>
      </c>
      <c r="D1082" s="10" t="s">
        <v>42</v>
      </c>
      <c r="E1082" s="10"/>
      <c r="F1082" s="67">
        <v>43470</v>
      </c>
      <c r="G1082" s="10" t="s">
        <v>37205</v>
      </c>
      <c r="H1082" s="10" t="s">
        <v>183</v>
      </c>
      <c r="I1082" s="10" t="s">
        <v>39</v>
      </c>
      <c r="J1082" s="65">
        <v>93710</v>
      </c>
      <c r="K1082" s="10" t="s">
        <v>183</v>
      </c>
      <c r="L1082" s="10" t="s">
        <v>184</v>
      </c>
      <c r="M1082" s="10" t="s">
        <v>21</v>
      </c>
      <c r="N1082" s="10" t="s">
        <v>37206</v>
      </c>
      <c r="O1082" s="10" t="s">
        <v>372</v>
      </c>
      <c r="P1082" s="1" t="s">
        <v>30089</v>
      </c>
      <c r="Q1082" s="64" t="s">
        <v>37207</v>
      </c>
      <c r="R1082" s="10" t="s">
        <v>904</v>
      </c>
      <c r="S1082" s="63" t="s">
        <v>22</v>
      </c>
      <c r="T1082" s="68" t="s">
        <v>27020</v>
      </c>
      <c r="U1082" s="68" t="s">
        <v>26570</v>
      </c>
      <c r="V1082" s="68" t="s">
        <v>26573</v>
      </c>
      <c r="W1082" s="68" t="s">
        <v>94</v>
      </c>
      <c r="X1082" s="68">
        <v>4355</v>
      </c>
      <c r="Z1082" s="68" t="s">
        <v>42968</v>
      </c>
      <c r="AA1082" s="33">
        <v>6584</v>
      </c>
    </row>
    <row r="1083" spans="1:27" ht="12" customHeight="1" x14ac:dyDescent="0.15">
      <c r="A1083" s="10" t="s">
        <v>37912</v>
      </c>
      <c r="B1083" s="99">
        <v>50</v>
      </c>
      <c r="C1083" s="10" t="s">
        <v>14</v>
      </c>
      <c r="D1083" s="10" t="s">
        <v>31</v>
      </c>
      <c r="E1083" s="64" t="s">
        <v>37913</v>
      </c>
      <c r="F1083" s="67">
        <v>43470</v>
      </c>
      <c r="G1083" s="10" t="s">
        <v>37914</v>
      </c>
      <c r="H1083" s="10" t="s">
        <v>19448</v>
      </c>
      <c r="I1083" s="10" t="s">
        <v>106</v>
      </c>
      <c r="J1083" s="65">
        <v>97267</v>
      </c>
      <c r="K1083" s="10" t="s">
        <v>3919</v>
      </c>
      <c r="L1083" s="10" t="s">
        <v>3920</v>
      </c>
      <c r="M1083" s="10" t="s">
        <v>21</v>
      </c>
      <c r="N1083" s="10" t="s">
        <v>37915</v>
      </c>
      <c r="O1083" s="10" t="s">
        <v>372</v>
      </c>
      <c r="P1083" s="1" t="s">
        <v>30089</v>
      </c>
      <c r="Q1083" s="64" t="s">
        <v>37916</v>
      </c>
      <c r="R1083" s="10" t="s">
        <v>94</v>
      </c>
      <c r="S1083" s="63" t="s">
        <v>22</v>
      </c>
      <c r="T1083" s="68" t="s">
        <v>26781</v>
      </c>
      <c r="U1083" s="68" t="s">
        <v>26572</v>
      </c>
      <c r="V1083" s="68" t="s">
        <v>26573</v>
      </c>
      <c r="W1083" s="68" t="s">
        <v>94</v>
      </c>
      <c r="X1083" s="68">
        <v>4360</v>
      </c>
      <c r="Z1083" s="68" t="s">
        <v>42968</v>
      </c>
      <c r="AA1083" s="33">
        <v>6585</v>
      </c>
    </row>
    <row r="1084" spans="1:27" ht="12" customHeight="1" x14ac:dyDescent="0.15">
      <c r="A1084" s="10" t="s">
        <v>38836</v>
      </c>
      <c r="B1084" s="99">
        <v>81</v>
      </c>
      <c r="C1084" s="10" t="s">
        <v>14</v>
      </c>
      <c r="D1084" s="10" t="s">
        <v>24</v>
      </c>
      <c r="E1084" s="10"/>
      <c r="F1084" s="67">
        <v>43470</v>
      </c>
      <c r="G1084" s="10" t="s">
        <v>38837</v>
      </c>
      <c r="H1084" s="10" t="s">
        <v>622</v>
      </c>
      <c r="I1084" s="10" t="s">
        <v>26</v>
      </c>
      <c r="J1084" s="65">
        <v>29379</v>
      </c>
      <c r="K1084" s="10" t="s">
        <v>622</v>
      </c>
      <c r="L1084" s="10" t="s">
        <v>4611</v>
      </c>
      <c r="M1084" s="10" t="s">
        <v>21</v>
      </c>
      <c r="N1084" s="10" t="s">
        <v>38838</v>
      </c>
      <c r="O1084" s="10" t="s">
        <v>372</v>
      </c>
      <c r="P1084" s="1" t="s">
        <v>30089</v>
      </c>
      <c r="Q1084" s="64" t="s">
        <v>38839</v>
      </c>
      <c r="R1084" s="10" t="s">
        <v>94</v>
      </c>
      <c r="S1084" s="63" t="s">
        <v>22</v>
      </c>
      <c r="T1084" s="68" t="s">
        <v>26781</v>
      </c>
      <c r="U1084" s="68" t="s">
        <v>26572</v>
      </c>
      <c r="V1084" s="68" t="s">
        <v>26573</v>
      </c>
      <c r="W1084" s="68" t="s">
        <v>94</v>
      </c>
      <c r="X1084" s="68">
        <v>4356</v>
      </c>
      <c r="Z1084" s="68" t="s">
        <v>42967</v>
      </c>
      <c r="AA1084" s="33">
        <v>6588</v>
      </c>
    </row>
    <row r="1085" spans="1:27" ht="12" customHeight="1" x14ac:dyDescent="0.15">
      <c r="A1085" s="10" t="s">
        <v>40886</v>
      </c>
      <c r="B1085" s="99">
        <v>32</v>
      </c>
      <c r="C1085" s="10" t="s">
        <v>14</v>
      </c>
      <c r="D1085" s="10" t="s">
        <v>79</v>
      </c>
      <c r="E1085" s="62" t="s">
        <v>40887</v>
      </c>
      <c r="F1085" s="67">
        <v>43469</v>
      </c>
      <c r="G1085" s="10" t="s">
        <v>40888</v>
      </c>
      <c r="H1085" s="10" t="s">
        <v>674</v>
      </c>
      <c r="I1085" s="10" t="s">
        <v>67</v>
      </c>
      <c r="J1085" s="65">
        <v>77018</v>
      </c>
      <c r="K1085" s="10" t="s">
        <v>515</v>
      </c>
      <c r="L1085" s="10" t="s">
        <v>675</v>
      </c>
      <c r="M1085" s="10" t="s">
        <v>21</v>
      </c>
      <c r="N1085" s="10" t="s">
        <v>40889</v>
      </c>
      <c r="O1085" s="10" t="s">
        <v>372</v>
      </c>
      <c r="P1085" s="1" t="s">
        <v>30089</v>
      </c>
      <c r="Q1085" s="64" t="s">
        <v>40890</v>
      </c>
      <c r="R1085" s="10" t="s">
        <v>512</v>
      </c>
      <c r="S1085" s="63" t="s">
        <v>22</v>
      </c>
      <c r="T1085" s="68" t="s">
        <v>26781</v>
      </c>
      <c r="U1085" s="68" t="s">
        <v>26572</v>
      </c>
      <c r="V1085" s="68" t="s">
        <v>26573</v>
      </c>
      <c r="W1085" s="68" t="s">
        <v>94</v>
      </c>
      <c r="X1085" s="68">
        <v>4508</v>
      </c>
      <c r="Z1085" s="68" t="s">
        <v>42968</v>
      </c>
      <c r="AA1085" s="33">
        <v>6581</v>
      </c>
    </row>
    <row r="1086" spans="1:27" ht="12" customHeight="1" x14ac:dyDescent="0.15">
      <c r="A1086" s="10" t="s">
        <v>40865</v>
      </c>
      <c r="B1086" s="99">
        <v>33</v>
      </c>
      <c r="C1086" s="10" t="s">
        <v>14</v>
      </c>
      <c r="D1086" s="10" t="s">
        <v>79</v>
      </c>
      <c r="E1086" s="64" t="s">
        <v>40866</v>
      </c>
      <c r="F1086" s="67">
        <v>43469</v>
      </c>
      <c r="G1086" s="10" t="s">
        <v>40867</v>
      </c>
      <c r="H1086" s="10" t="s">
        <v>979</v>
      </c>
      <c r="I1086" s="10" t="s">
        <v>19</v>
      </c>
      <c r="J1086" s="65">
        <v>70119</v>
      </c>
      <c r="K1086" s="10" t="s">
        <v>2393</v>
      </c>
      <c r="L1086" s="10" t="s">
        <v>980</v>
      </c>
      <c r="M1086" s="10" t="s">
        <v>21</v>
      </c>
      <c r="N1086" s="10" t="s">
        <v>40868</v>
      </c>
      <c r="O1086" s="10" t="s">
        <v>372</v>
      </c>
      <c r="P1086" s="1" t="s">
        <v>30089</v>
      </c>
      <c r="Q1086" s="64" t="s">
        <v>40869</v>
      </c>
      <c r="R1086" s="10" t="s">
        <v>512</v>
      </c>
      <c r="S1086" s="63" t="s">
        <v>22</v>
      </c>
      <c r="T1086" s="68" t="s">
        <v>26781</v>
      </c>
      <c r="U1086" s="68" t="s">
        <v>26572</v>
      </c>
      <c r="V1086" s="68" t="s">
        <v>26573</v>
      </c>
      <c r="W1086" s="68" t="s">
        <v>512</v>
      </c>
      <c r="X1086" s="68">
        <v>4367</v>
      </c>
      <c r="Z1086" s="68" t="s">
        <v>42966</v>
      </c>
      <c r="AA1086" s="33">
        <v>6580</v>
      </c>
    </row>
    <row r="1087" spans="1:27" ht="12" customHeight="1" x14ac:dyDescent="0.15">
      <c r="A1087" s="10" t="s">
        <v>40827</v>
      </c>
      <c r="B1087" s="99">
        <v>39</v>
      </c>
      <c r="C1087" s="10" t="s">
        <v>14</v>
      </c>
      <c r="D1087" s="68" t="s">
        <v>31</v>
      </c>
      <c r="E1087" s="10"/>
      <c r="F1087" s="67">
        <v>43469</v>
      </c>
      <c r="G1087" s="10" t="s">
        <v>40828</v>
      </c>
      <c r="H1087" s="10" t="s">
        <v>116</v>
      </c>
      <c r="I1087" s="10" t="s">
        <v>67</v>
      </c>
      <c r="J1087" s="65">
        <v>79110</v>
      </c>
      <c r="K1087" s="10" t="s">
        <v>14029</v>
      </c>
      <c r="L1087" s="10" t="s">
        <v>14030</v>
      </c>
      <c r="M1087" s="10" t="s">
        <v>21</v>
      </c>
      <c r="N1087" s="10" t="s">
        <v>40829</v>
      </c>
      <c r="O1087" s="10" t="s">
        <v>372</v>
      </c>
      <c r="P1087" s="1" t="s">
        <v>30089</v>
      </c>
      <c r="Q1087" s="64" t="s">
        <v>40830</v>
      </c>
      <c r="R1087" s="10" t="s">
        <v>94</v>
      </c>
      <c r="S1087" s="63" t="s">
        <v>351</v>
      </c>
      <c r="T1087" s="68" t="s">
        <v>26867</v>
      </c>
      <c r="U1087" s="68" t="s">
        <v>26572</v>
      </c>
      <c r="V1087" s="68" t="s">
        <v>26571</v>
      </c>
      <c r="W1087" s="68" t="s">
        <v>94</v>
      </c>
      <c r="X1087" s="68">
        <v>4506</v>
      </c>
      <c r="Z1087" s="68" t="s">
        <v>42968</v>
      </c>
      <c r="AA1087" s="33">
        <v>6583</v>
      </c>
    </row>
    <row r="1088" spans="1:27" ht="12" customHeight="1" x14ac:dyDescent="0.15">
      <c r="A1088" s="10" t="s">
        <v>39986</v>
      </c>
      <c r="B1088" s="99">
        <v>27</v>
      </c>
      <c r="C1088" s="10" t="s">
        <v>14</v>
      </c>
      <c r="D1088" s="10" t="s">
        <v>31</v>
      </c>
      <c r="E1088" s="64" t="s">
        <v>39987</v>
      </c>
      <c r="F1088" s="67">
        <v>43469</v>
      </c>
      <c r="G1088" s="10" t="s">
        <v>39988</v>
      </c>
      <c r="H1088" s="10" t="s">
        <v>13165</v>
      </c>
      <c r="I1088" s="10" t="s">
        <v>67</v>
      </c>
      <c r="J1088" s="65">
        <v>78666</v>
      </c>
      <c r="K1088" s="10" t="s">
        <v>11615</v>
      </c>
      <c r="L1088" s="10" t="s">
        <v>39989</v>
      </c>
      <c r="M1088" s="10" t="s">
        <v>21</v>
      </c>
      <c r="N1088" s="10" t="s">
        <v>39990</v>
      </c>
      <c r="O1088" s="10" t="s">
        <v>372</v>
      </c>
      <c r="P1088" s="1" t="s">
        <v>30089</v>
      </c>
      <c r="Q1088" s="64" t="s">
        <v>39991</v>
      </c>
      <c r="R1088" s="10" t="s">
        <v>94</v>
      </c>
      <c r="S1088" s="63" t="s">
        <v>12</v>
      </c>
      <c r="T1088" s="68" t="s">
        <v>39971</v>
      </c>
      <c r="U1088" s="68" t="s">
        <v>26570</v>
      </c>
      <c r="V1088" s="68" t="s">
        <v>26571</v>
      </c>
      <c r="W1088" s="68" t="s">
        <v>94</v>
      </c>
      <c r="X1088" s="68">
        <v>4507</v>
      </c>
      <c r="Z1088" s="68" t="s">
        <v>42968</v>
      </c>
      <c r="AA1088" s="33">
        <v>6582</v>
      </c>
    </row>
    <row r="1089" spans="1:64" ht="12" customHeight="1" x14ac:dyDescent="0.15">
      <c r="A1089" s="10" t="s">
        <v>40934</v>
      </c>
      <c r="B1089" s="99">
        <v>63</v>
      </c>
      <c r="C1089" s="10" t="s">
        <v>14</v>
      </c>
      <c r="D1089" s="10" t="s">
        <v>31</v>
      </c>
      <c r="E1089" s="64" t="s">
        <v>40935</v>
      </c>
      <c r="F1089" s="67">
        <v>43468</v>
      </c>
      <c r="G1089" s="10" t="s">
        <v>40936</v>
      </c>
      <c r="H1089" s="10" t="s">
        <v>40937</v>
      </c>
      <c r="I1089" s="10" t="s">
        <v>395</v>
      </c>
      <c r="J1089" s="65">
        <v>11971</v>
      </c>
      <c r="K1089" s="10" t="s">
        <v>1588</v>
      </c>
      <c r="L1089" s="10" t="s">
        <v>40938</v>
      </c>
      <c r="M1089" s="10" t="s">
        <v>21</v>
      </c>
      <c r="N1089" s="10" t="s">
        <v>40939</v>
      </c>
      <c r="O1089" s="10" t="s">
        <v>372</v>
      </c>
      <c r="P1089" s="1" t="s">
        <v>30089</v>
      </c>
      <c r="Q1089" s="64" t="s">
        <v>40940</v>
      </c>
      <c r="R1089" s="10" t="s">
        <v>512</v>
      </c>
      <c r="S1089" s="63" t="s">
        <v>22</v>
      </c>
      <c r="T1089" s="68" t="s">
        <v>26781</v>
      </c>
      <c r="U1089" s="68" t="s">
        <v>26572</v>
      </c>
      <c r="V1089" s="68" t="s">
        <v>26573</v>
      </c>
      <c r="W1089" s="68" t="s">
        <v>94</v>
      </c>
      <c r="X1089" s="68">
        <v>4347</v>
      </c>
      <c r="Z1089" s="68" t="s">
        <v>42968</v>
      </c>
      <c r="AA1089" s="33">
        <v>6577</v>
      </c>
    </row>
    <row r="1090" spans="1:64" ht="12" customHeight="1" x14ac:dyDescent="0.15">
      <c r="A1090" s="10" t="s">
        <v>38825</v>
      </c>
      <c r="B1090" s="99">
        <v>27</v>
      </c>
      <c r="C1090" s="10" t="s">
        <v>14</v>
      </c>
      <c r="D1090" s="10" t="s">
        <v>24</v>
      </c>
      <c r="E1090" s="10"/>
      <c r="F1090" s="67">
        <v>43468</v>
      </c>
      <c r="G1090" s="10" t="s">
        <v>38826</v>
      </c>
      <c r="H1090" s="10" t="s">
        <v>3734</v>
      </c>
      <c r="I1090" s="10" t="s">
        <v>88</v>
      </c>
      <c r="J1090" s="65">
        <v>36054</v>
      </c>
      <c r="K1090" s="10" t="s">
        <v>3736</v>
      </c>
      <c r="L1090" s="10" t="s">
        <v>38827</v>
      </c>
      <c r="M1090" s="10" t="s">
        <v>21</v>
      </c>
      <c r="N1090" s="10" t="s">
        <v>38828</v>
      </c>
      <c r="O1090" s="10" t="s">
        <v>372</v>
      </c>
      <c r="P1090" s="1" t="s">
        <v>30089</v>
      </c>
      <c r="Q1090" s="64" t="s">
        <v>38829</v>
      </c>
      <c r="R1090" s="10" t="s">
        <v>94</v>
      </c>
      <c r="S1090" s="63" t="s">
        <v>22</v>
      </c>
      <c r="T1090" s="68" t="s">
        <v>26781</v>
      </c>
      <c r="U1090" s="68" t="s">
        <v>26570</v>
      </c>
      <c r="V1090" s="68" t="s">
        <v>26571</v>
      </c>
      <c r="W1090" s="68" t="s">
        <v>94</v>
      </c>
      <c r="X1090" s="68">
        <v>4350</v>
      </c>
      <c r="Z1090" s="68" t="s">
        <v>42968</v>
      </c>
      <c r="AA1090" s="33">
        <v>6575</v>
      </c>
    </row>
    <row r="1091" spans="1:64" ht="12" customHeight="1" x14ac:dyDescent="0.15">
      <c r="A1091" s="10" t="s">
        <v>39220</v>
      </c>
      <c r="B1091" s="99">
        <v>31</v>
      </c>
      <c r="C1091" s="10" t="s">
        <v>14</v>
      </c>
      <c r="D1091" s="68" t="s">
        <v>31</v>
      </c>
      <c r="E1091" s="10"/>
      <c r="F1091" s="67">
        <v>43468</v>
      </c>
      <c r="G1091" s="10" t="s">
        <v>39221</v>
      </c>
      <c r="H1091" s="10" t="s">
        <v>39222</v>
      </c>
      <c r="I1091" s="10" t="s">
        <v>798</v>
      </c>
      <c r="J1091" s="65">
        <v>59715</v>
      </c>
      <c r="K1091" s="10" t="s">
        <v>9569</v>
      </c>
      <c r="L1091" s="10" t="s">
        <v>39223</v>
      </c>
      <c r="M1091" s="10" t="s">
        <v>21</v>
      </c>
      <c r="N1091" s="10" t="s">
        <v>39224</v>
      </c>
      <c r="O1091" s="10" t="s">
        <v>372</v>
      </c>
      <c r="P1091" s="1" t="s">
        <v>30089</v>
      </c>
      <c r="Q1091" s="64" t="s">
        <v>39225</v>
      </c>
      <c r="R1091" s="10" t="s">
        <v>904</v>
      </c>
      <c r="S1091" s="63" t="s">
        <v>22</v>
      </c>
      <c r="T1091" s="68" t="s">
        <v>26781</v>
      </c>
      <c r="U1091" s="68" t="s">
        <v>26570</v>
      </c>
      <c r="V1091" s="68" t="s">
        <v>26573</v>
      </c>
      <c r="W1091" s="68" t="s">
        <v>94</v>
      </c>
      <c r="X1091" s="68">
        <v>4505</v>
      </c>
      <c r="Z1091" s="68" t="s">
        <v>42968</v>
      </c>
      <c r="AA1091" s="33">
        <v>6576</v>
      </c>
    </row>
    <row r="1092" spans="1:64" ht="12" customHeight="1" x14ac:dyDescent="0.15">
      <c r="A1092" s="10" t="s">
        <v>41349</v>
      </c>
      <c r="B1092" s="99">
        <v>25</v>
      </c>
      <c r="C1092" s="10" t="s">
        <v>14</v>
      </c>
      <c r="D1092" s="10" t="s">
        <v>31</v>
      </c>
      <c r="E1092" s="10"/>
      <c r="F1092" s="67">
        <v>43468</v>
      </c>
      <c r="G1092" s="10" t="s">
        <v>41350</v>
      </c>
      <c r="H1092" s="10" t="s">
        <v>41351</v>
      </c>
      <c r="I1092" s="10" t="s">
        <v>122</v>
      </c>
      <c r="J1092" s="65">
        <v>56007</v>
      </c>
      <c r="K1092" s="10" t="s">
        <v>41352</v>
      </c>
      <c r="L1092" s="10" t="s">
        <v>41353</v>
      </c>
      <c r="M1092" s="10" t="s">
        <v>21</v>
      </c>
      <c r="N1092" s="10" t="s">
        <v>41354</v>
      </c>
      <c r="O1092" s="10" t="s">
        <v>372</v>
      </c>
      <c r="P1092" s="1" t="s">
        <v>30089</v>
      </c>
      <c r="Q1092" s="64" t="s">
        <v>41355</v>
      </c>
      <c r="R1092" s="10" t="s">
        <v>512</v>
      </c>
      <c r="S1092" s="63" t="s">
        <v>22</v>
      </c>
      <c r="T1092" s="68" t="s">
        <v>26774</v>
      </c>
      <c r="U1092" s="68" t="s">
        <v>26572</v>
      </c>
      <c r="V1092" s="68">
        <v>0</v>
      </c>
      <c r="W1092" s="68" t="s">
        <v>94</v>
      </c>
      <c r="X1092" s="68">
        <v>4348</v>
      </c>
      <c r="Z1092" s="68" t="s">
        <v>42968</v>
      </c>
      <c r="AA1092" s="33">
        <v>6579</v>
      </c>
    </row>
    <row r="1093" spans="1:64" ht="12" customHeight="1" x14ac:dyDescent="0.15">
      <c r="A1093" s="10" t="s">
        <v>41119</v>
      </c>
      <c r="B1093" s="99">
        <v>33</v>
      </c>
      <c r="C1093" s="10" t="s">
        <v>14</v>
      </c>
      <c r="D1093" s="10" t="s">
        <v>42</v>
      </c>
      <c r="E1093" s="64" t="s">
        <v>41120</v>
      </c>
      <c r="F1093" s="67">
        <v>43468</v>
      </c>
      <c r="G1093" s="10" t="s">
        <v>41121</v>
      </c>
      <c r="H1093" s="10" t="s">
        <v>1632</v>
      </c>
      <c r="I1093" s="10" t="s">
        <v>39</v>
      </c>
      <c r="J1093" s="65">
        <v>93291</v>
      </c>
      <c r="K1093" s="10" t="s">
        <v>1088</v>
      </c>
      <c r="L1093" s="10" t="s">
        <v>1634</v>
      </c>
      <c r="M1093" s="10" t="s">
        <v>21</v>
      </c>
      <c r="N1093" s="10" t="s">
        <v>41122</v>
      </c>
      <c r="O1093" s="10" t="s">
        <v>372</v>
      </c>
      <c r="P1093" s="1" t="s">
        <v>30089</v>
      </c>
      <c r="Q1093" s="64" t="s">
        <v>41123</v>
      </c>
      <c r="R1093" s="10" t="s">
        <v>512</v>
      </c>
      <c r="S1093" s="63" t="s">
        <v>22</v>
      </c>
      <c r="T1093" s="68" t="s">
        <v>26781</v>
      </c>
      <c r="U1093" s="68" t="s">
        <v>26572</v>
      </c>
      <c r="V1093" s="68" t="s">
        <v>26573</v>
      </c>
      <c r="W1093" s="68" t="s">
        <v>94</v>
      </c>
      <c r="X1093" s="68">
        <v>4349</v>
      </c>
      <c r="Z1093" s="68" t="s">
        <v>42966</v>
      </c>
      <c r="AA1093" s="33">
        <v>6578</v>
      </c>
    </row>
    <row r="1094" spans="1:64" ht="12" customHeight="1" x14ac:dyDescent="0.15">
      <c r="A1094" s="10" t="s">
        <v>38546</v>
      </c>
      <c r="B1094" s="99">
        <v>39</v>
      </c>
      <c r="C1094" s="10" t="s">
        <v>14</v>
      </c>
      <c r="D1094" s="10" t="s">
        <v>42</v>
      </c>
      <c r="E1094" s="64" t="s">
        <v>38547</v>
      </c>
      <c r="F1094" s="67">
        <v>43468</v>
      </c>
      <c r="G1094" s="10" t="s">
        <v>38548</v>
      </c>
      <c r="H1094" s="10" t="s">
        <v>532</v>
      </c>
      <c r="I1094" s="70" t="s">
        <v>67</v>
      </c>
      <c r="J1094" s="65">
        <v>78221</v>
      </c>
      <c r="K1094" s="10" t="s">
        <v>533</v>
      </c>
      <c r="L1094" s="10" t="s">
        <v>534</v>
      </c>
      <c r="M1094" s="10" t="s">
        <v>21</v>
      </c>
      <c r="N1094" s="10" t="s">
        <v>38549</v>
      </c>
      <c r="O1094" s="10" t="s">
        <v>372</v>
      </c>
      <c r="P1094" s="1" t="s">
        <v>30089</v>
      </c>
      <c r="Q1094" s="64" t="s">
        <v>38550</v>
      </c>
      <c r="R1094" s="10" t="s">
        <v>23</v>
      </c>
      <c r="S1094" s="63" t="s">
        <v>22</v>
      </c>
      <c r="T1094" s="68" t="s">
        <v>26781</v>
      </c>
      <c r="U1094" s="68" t="s">
        <v>26572</v>
      </c>
      <c r="V1094" s="68">
        <v>0</v>
      </c>
      <c r="W1094" s="68" t="s">
        <v>94</v>
      </c>
      <c r="X1094" s="68">
        <v>4344</v>
      </c>
      <c r="Z1094" s="68" t="s">
        <v>42968</v>
      </c>
      <c r="AA1094" s="33">
        <v>6574</v>
      </c>
    </row>
    <row r="1095" spans="1:64" ht="12" customHeight="1" x14ac:dyDescent="0.15">
      <c r="A1095" s="10" t="s">
        <v>39365</v>
      </c>
      <c r="B1095" s="99">
        <v>20</v>
      </c>
      <c r="C1095" s="10" t="s">
        <v>14</v>
      </c>
      <c r="D1095" s="10" t="s">
        <v>79</v>
      </c>
      <c r="E1095" s="64" t="s">
        <v>39366</v>
      </c>
      <c r="F1095" s="67">
        <v>43467</v>
      </c>
      <c r="G1095" s="10" t="s">
        <v>39367</v>
      </c>
      <c r="H1095" s="10" t="s">
        <v>1116</v>
      </c>
      <c r="I1095" s="10" t="s">
        <v>298</v>
      </c>
      <c r="J1095" s="65">
        <v>38116</v>
      </c>
      <c r="K1095" s="10" t="s">
        <v>1117</v>
      </c>
      <c r="L1095" s="10" t="s">
        <v>1118</v>
      </c>
      <c r="M1095" s="10" t="s">
        <v>21</v>
      </c>
      <c r="N1095" s="10" t="s">
        <v>39368</v>
      </c>
      <c r="O1095" s="10" t="s">
        <v>372</v>
      </c>
      <c r="P1095" s="1" t="s">
        <v>30089</v>
      </c>
      <c r="Q1095" s="64" t="s">
        <v>39369</v>
      </c>
      <c r="R1095" s="10" t="s">
        <v>23</v>
      </c>
      <c r="S1095" s="63" t="s">
        <v>22</v>
      </c>
      <c r="T1095" s="68" t="s">
        <v>26774</v>
      </c>
      <c r="U1095" s="68" t="s">
        <v>26570</v>
      </c>
      <c r="V1095" s="68" t="s">
        <v>26573</v>
      </c>
      <c r="W1095" s="68" t="s">
        <v>512</v>
      </c>
      <c r="X1095" s="68">
        <v>4343</v>
      </c>
      <c r="Z1095" s="68" t="s">
        <v>42968</v>
      </c>
      <c r="AA1095" s="33">
        <v>6571</v>
      </c>
    </row>
    <row r="1096" spans="1:64" ht="12" customHeight="1" x14ac:dyDescent="0.15">
      <c r="A1096" s="10" t="s">
        <v>39916</v>
      </c>
      <c r="B1096" s="99">
        <v>33</v>
      </c>
      <c r="C1096" s="10" t="s">
        <v>14</v>
      </c>
      <c r="D1096" s="10" t="s">
        <v>31</v>
      </c>
      <c r="E1096" s="64" t="s">
        <v>39917</v>
      </c>
      <c r="F1096" s="67">
        <v>43467</v>
      </c>
      <c r="G1096" s="10" t="s">
        <v>39918</v>
      </c>
      <c r="H1096" s="10" t="s">
        <v>532</v>
      </c>
      <c r="I1096" s="10" t="s">
        <v>67</v>
      </c>
      <c r="J1096" s="65">
        <v>78218</v>
      </c>
      <c r="K1096" s="10" t="s">
        <v>533</v>
      </c>
      <c r="L1096" s="10" t="s">
        <v>534</v>
      </c>
      <c r="M1096" s="10" t="s">
        <v>21</v>
      </c>
      <c r="N1096" s="10" t="s">
        <v>39919</v>
      </c>
      <c r="O1096" s="10" t="s">
        <v>372</v>
      </c>
      <c r="P1096" s="1" t="s">
        <v>30089</v>
      </c>
      <c r="Q1096" s="64" t="s">
        <v>39920</v>
      </c>
      <c r="R1096" s="10" t="s">
        <v>94</v>
      </c>
      <c r="S1096" s="63" t="s">
        <v>22</v>
      </c>
      <c r="T1096" s="68" t="s">
        <v>363</v>
      </c>
      <c r="U1096" s="68" t="s">
        <v>26572</v>
      </c>
      <c r="V1096" s="68" t="s">
        <v>19228</v>
      </c>
      <c r="W1096" s="68" t="s">
        <v>94</v>
      </c>
      <c r="X1096" s="68">
        <v>4345</v>
      </c>
      <c r="Z1096" s="68" t="s">
        <v>42968</v>
      </c>
      <c r="AA1096" s="33">
        <v>6572</v>
      </c>
    </row>
    <row r="1097" spans="1:64" ht="12" customHeight="1" x14ac:dyDescent="0.15">
      <c r="A1097" s="10" t="s">
        <v>40567</v>
      </c>
      <c r="B1097" s="99">
        <v>35</v>
      </c>
      <c r="C1097" s="10" t="s">
        <v>14</v>
      </c>
      <c r="D1097" s="10" t="s">
        <v>79</v>
      </c>
      <c r="E1097" s="64" t="s">
        <v>40568</v>
      </c>
      <c r="F1097" s="67">
        <v>43467</v>
      </c>
      <c r="G1097" s="10" t="s">
        <v>40569</v>
      </c>
      <c r="H1097" s="10" t="s">
        <v>9183</v>
      </c>
      <c r="I1097" s="10" t="s">
        <v>63</v>
      </c>
      <c r="J1097" s="65">
        <v>44446</v>
      </c>
      <c r="K1097" s="10" t="s">
        <v>1185</v>
      </c>
      <c r="L1097" s="10" t="s">
        <v>9186</v>
      </c>
      <c r="M1097" s="10" t="s">
        <v>21</v>
      </c>
      <c r="N1097" s="10" t="s">
        <v>40570</v>
      </c>
      <c r="O1097" s="10" t="s">
        <v>372</v>
      </c>
      <c r="P1097" s="1" t="s">
        <v>30089</v>
      </c>
      <c r="Q1097" s="64" t="s">
        <v>40571</v>
      </c>
      <c r="R1097" s="10" t="s">
        <v>94</v>
      </c>
      <c r="S1097" s="63" t="s">
        <v>351</v>
      </c>
      <c r="T1097" s="68" t="s">
        <v>26867</v>
      </c>
      <c r="U1097" s="68" t="s">
        <v>26572</v>
      </c>
      <c r="V1097" s="68" t="s">
        <v>26574</v>
      </c>
      <c r="W1097" s="68" t="s">
        <v>94</v>
      </c>
      <c r="X1097" s="68">
        <v>4342</v>
      </c>
      <c r="Z1097" s="68" t="s">
        <v>42968</v>
      </c>
      <c r="AA1097" s="33">
        <v>6573</v>
      </c>
    </row>
    <row r="1098" spans="1:64" ht="12" customHeight="1" x14ac:dyDescent="0.15">
      <c r="A1098" s="10" t="s">
        <v>40583</v>
      </c>
      <c r="B1098" s="99">
        <v>28</v>
      </c>
      <c r="C1098" s="10" t="s">
        <v>14</v>
      </c>
      <c r="D1098" s="10" t="s">
        <v>79</v>
      </c>
      <c r="E1098" s="64" t="s">
        <v>40584</v>
      </c>
      <c r="F1098" s="67">
        <v>43466</v>
      </c>
      <c r="G1098" s="10" t="s">
        <v>40585</v>
      </c>
      <c r="H1098" s="10" t="s">
        <v>40586</v>
      </c>
      <c r="I1098" s="70" t="s">
        <v>338</v>
      </c>
      <c r="J1098" s="65">
        <v>28462</v>
      </c>
      <c r="K1098" s="10" t="s">
        <v>11083</v>
      </c>
      <c r="L1098" s="10" t="s">
        <v>14794</v>
      </c>
      <c r="M1098" s="10" t="s">
        <v>21</v>
      </c>
      <c r="N1098" s="10" t="s">
        <v>40587</v>
      </c>
      <c r="O1098" s="10" t="s">
        <v>372</v>
      </c>
      <c r="P1098" s="1" t="s">
        <v>30089</v>
      </c>
      <c r="Q1098" s="64" t="s">
        <v>40588</v>
      </c>
      <c r="R1098" s="10" t="s">
        <v>94</v>
      </c>
      <c r="S1098" s="63" t="s">
        <v>351</v>
      </c>
      <c r="T1098" s="68" t="s">
        <v>26867</v>
      </c>
      <c r="U1098" s="68" t="s">
        <v>26570</v>
      </c>
      <c r="V1098" s="68" t="s">
        <v>26571</v>
      </c>
      <c r="W1098" s="68" t="s">
        <v>94</v>
      </c>
      <c r="X1098" s="68">
        <v>4504</v>
      </c>
      <c r="Z1098" s="68" t="s">
        <v>42967</v>
      </c>
      <c r="AA1098" s="33">
        <v>6570</v>
      </c>
    </row>
    <row r="1099" spans="1:64" ht="12" customHeight="1" x14ac:dyDescent="0.15">
      <c r="A1099" s="10" t="s">
        <v>37907</v>
      </c>
      <c r="B1099" s="99">
        <v>26</v>
      </c>
      <c r="C1099" s="10" t="s">
        <v>14</v>
      </c>
      <c r="D1099" s="10" t="s">
        <v>31</v>
      </c>
      <c r="E1099" s="64" t="s">
        <v>37908</v>
      </c>
      <c r="F1099" s="67">
        <v>43466</v>
      </c>
      <c r="G1099" s="10" t="s">
        <v>37909</v>
      </c>
      <c r="H1099" s="10" t="s">
        <v>11247</v>
      </c>
      <c r="I1099" s="70" t="s">
        <v>338</v>
      </c>
      <c r="J1099" s="65">
        <v>28127</v>
      </c>
      <c r="K1099" s="10" t="s">
        <v>24725</v>
      </c>
      <c r="L1099" s="10" t="s">
        <v>5897</v>
      </c>
      <c r="M1099" s="10" t="s">
        <v>21</v>
      </c>
      <c r="N1099" s="10" t="s">
        <v>37910</v>
      </c>
      <c r="O1099" s="10" t="s">
        <v>372</v>
      </c>
      <c r="P1099" s="1" t="s">
        <v>30089</v>
      </c>
      <c r="Q1099" s="64" t="s">
        <v>37911</v>
      </c>
      <c r="R1099" s="10" t="s">
        <v>94</v>
      </c>
      <c r="S1099" s="63" t="s">
        <v>22</v>
      </c>
      <c r="T1099" s="68" t="s">
        <v>26781</v>
      </c>
      <c r="U1099" s="68" t="s">
        <v>26572</v>
      </c>
      <c r="V1099" s="68" t="s">
        <v>26574</v>
      </c>
      <c r="W1099" s="68" t="s">
        <v>94</v>
      </c>
      <c r="X1099" s="68">
        <v>4334</v>
      </c>
      <c r="Z1099" s="68" t="s">
        <v>42967</v>
      </c>
      <c r="AA1099" s="33">
        <v>6569</v>
      </c>
    </row>
    <row r="1100" spans="1:64" ht="12" customHeight="1" x14ac:dyDescent="0.2">
      <c r="A1100" s="34" t="s">
        <v>3002</v>
      </c>
      <c r="B1100" s="34" t="s">
        <v>23</v>
      </c>
      <c r="C1100" s="34" t="s">
        <v>14</v>
      </c>
      <c r="D1100" s="34" t="s">
        <v>24</v>
      </c>
      <c r="E1100" s="34"/>
      <c r="F1100" s="67">
        <v>43465</v>
      </c>
      <c r="G1100" s="34" t="s">
        <v>36322</v>
      </c>
      <c r="H1100" s="34" t="s">
        <v>5656</v>
      </c>
      <c r="I1100" s="34" t="s">
        <v>39</v>
      </c>
      <c r="J1100" s="34">
        <v>91405</v>
      </c>
      <c r="K1100" s="34" t="s">
        <v>92</v>
      </c>
      <c r="L1100" s="34" t="s">
        <v>93</v>
      </c>
      <c r="M1100" s="34" t="s">
        <v>21</v>
      </c>
      <c r="N1100" s="34" t="s">
        <v>36316</v>
      </c>
      <c r="O1100" s="34" t="s">
        <v>372</v>
      </c>
      <c r="P1100" s="34" t="s">
        <v>30089</v>
      </c>
      <c r="Q1100" s="35" t="s">
        <v>36315</v>
      </c>
      <c r="R1100" s="34" t="s">
        <v>94</v>
      </c>
      <c r="S1100" s="34" t="s">
        <v>22</v>
      </c>
      <c r="T1100" s="43" t="s">
        <v>26774</v>
      </c>
      <c r="U1100" s="43" t="s">
        <v>26570</v>
      </c>
      <c r="V1100" s="43" t="s">
        <v>26573</v>
      </c>
      <c r="W1100" s="43" t="s">
        <v>512</v>
      </c>
      <c r="X1100" s="43">
        <v>4340</v>
      </c>
      <c r="Y1100" s="34"/>
      <c r="Z1100" s="34" t="s">
        <v>42966</v>
      </c>
      <c r="AA1100" s="33">
        <v>6567</v>
      </c>
      <c r="AG1100" s="34"/>
      <c r="AK1100" s="34"/>
      <c r="AL1100" s="34"/>
      <c r="AM1100" s="34"/>
      <c r="AN1100" s="34"/>
      <c r="AO1100" s="34"/>
      <c r="AP1100" s="34"/>
      <c r="AQ1100" s="34"/>
      <c r="AR1100" s="34"/>
      <c r="AS1100" s="1"/>
      <c r="AT1100" s="1"/>
      <c r="AU1100" s="1"/>
      <c r="AV1100" s="1"/>
      <c r="AW1100" s="1"/>
      <c r="AX1100" s="1"/>
      <c r="AY1100" s="1"/>
      <c r="AZ1100" s="1"/>
      <c r="BA1100" s="1"/>
      <c r="BB1100" s="1"/>
      <c r="BC1100" s="1"/>
      <c r="BD1100" s="1"/>
      <c r="BE1100" s="1"/>
      <c r="BF1100" s="1"/>
      <c r="BG1100" s="1"/>
      <c r="BH1100" s="1"/>
      <c r="BI1100" s="1"/>
      <c r="BJ1100" s="1"/>
      <c r="BK1100" s="1"/>
      <c r="BL1100" s="1"/>
    </row>
    <row r="1101" spans="1:64" ht="12" customHeight="1" x14ac:dyDescent="0.2">
      <c r="A1101" s="34" t="s">
        <v>36997</v>
      </c>
      <c r="B1101" s="34">
        <v>34</v>
      </c>
      <c r="C1101" s="34" t="s">
        <v>14</v>
      </c>
      <c r="D1101" s="34" t="s">
        <v>42</v>
      </c>
      <c r="E1101" s="35" t="s">
        <v>36314</v>
      </c>
      <c r="F1101" s="67">
        <v>43465</v>
      </c>
      <c r="G1101" s="34" t="s">
        <v>36313</v>
      </c>
      <c r="H1101" s="34" t="s">
        <v>11253</v>
      </c>
      <c r="I1101" s="34" t="s">
        <v>192</v>
      </c>
      <c r="J1101" s="34">
        <v>80501</v>
      </c>
      <c r="K1101" s="34" t="s">
        <v>936</v>
      </c>
      <c r="L1101" s="34" t="s">
        <v>35695</v>
      </c>
      <c r="M1101" s="34" t="s">
        <v>21</v>
      </c>
      <c r="N1101" s="34" t="s">
        <v>36312</v>
      </c>
      <c r="O1101" s="34" t="s">
        <v>372</v>
      </c>
      <c r="P1101" s="34" t="s">
        <v>30089</v>
      </c>
      <c r="Q1101" s="35" t="s">
        <v>36311</v>
      </c>
      <c r="R1101" s="34" t="s">
        <v>94</v>
      </c>
      <c r="S1101" s="34" t="s">
        <v>29</v>
      </c>
      <c r="T1101" s="33" t="s">
        <v>41840</v>
      </c>
      <c r="U1101" s="43"/>
      <c r="V1101" s="43"/>
      <c r="W1101" s="43"/>
      <c r="X1101" s="34">
        <v>4337</v>
      </c>
      <c r="Y1101" s="34"/>
      <c r="Z1101" s="34" t="s">
        <v>42968</v>
      </c>
      <c r="AA1101" s="33">
        <v>6568</v>
      </c>
      <c r="AG1101" s="34"/>
      <c r="AK1101" s="34"/>
      <c r="AL1101" s="34"/>
      <c r="AM1101" s="34"/>
      <c r="AN1101" s="34"/>
      <c r="AO1101" s="34"/>
      <c r="AP1101" s="34"/>
      <c r="AQ1101" s="34"/>
      <c r="AR1101" s="34"/>
      <c r="AS1101" s="1"/>
      <c r="AT1101" s="1"/>
      <c r="AU1101" s="1"/>
      <c r="AV1101" s="1"/>
      <c r="AW1101" s="1"/>
      <c r="AX1101" s="1"/>
      <c r="AY1101" s="1"/>
      <c r="AZ1101" s="1"/>
      <c r="BA1101" s="1"/>
      <c r="BB1101" s="1"/>
      <c r="BC1101" s="1"/>
      <c r="BD1101" s="1"/>
      <c r="BE1101" s="1"/>
      <c r="BF1101" s="1"/>
      <c r="BG1101" s="1"/>
      <c r="BH1101" s="1"/>
      <c r="BI1101" s="1"/>
      <c r="BJ1101" s="1"/>
      <c r="BK1101" s="1"/>
      <c r="BL1101" s="1"/>
    </row>
    <row r="1102" spans="1:64" ht="12" customHeight="1" x14ac:dyDescent="0.2">
      <c r="A1102" s="34" t="s">
        <v>3002</v>
      </c>
      <c r="B1102" s="34" t="s">
        <v>23</v>
      </c>
      <c r="C1102" s="34" t="s">
        <v>14</v>
      </c>
      <c r="D1102" s="34" t="s">
        <v>24</v>
      </c>
      <c r="E1102" s="34"/>
      <c r="F1102" s="67">
        <v>43465</v>
      </c>
      <c r="G1102" s="34" t="s">
        <v>36310</v>
      </c>
      <c r="H1102" s="34" t="s">
        <v>1217</v>
      </c>
      <c r="I1102" s="34" t="s">
        <v>160</v>
      </c>
      <c r="J1102" s="34">
        <v>30083</v>
      </c>
      <c r="K1102" s="34" t="s">
        <v>805</v>
      </c>
      <c r="L1102" s="34" t="s">
        <v>36309</v>
      </c>
      <c r="M1102" s="34" t="s">
        <v>21</v>
      </c>
      <c r="N1102" s="34" t="s">
        <v>36392</v>
      </c>
      <c r="O1102" s="34" t="s">
        <v>372</v>
      </c>
      <c r="P1102" s="34" t="s">
        <v>30089</v>
      </c>
      <c r="Q1102" s="35" t="s">
        <v>36308</v>
      </c>
      <c r="R1102" s="34" t="s">
        <v>94</v>
      </c>
      <c r="S1102" s="34" t="s">
        <v>22</v>
      </c>
      <c r="T1102" s="43" t="s">
        <v>26781</v>
      </c>
      <c r="U1102" s="43" t="s">
        <v>26572</v>
      </c>
      <c r="V1102" s="43"/>
      <c r="W1102" s="43"/>
      <c r="X1102" s="43"/>
      <c r="Y1102" s="33" t="s">
        <v>42476</v>
      </c>
      <c r="Z1102" s="34" t="s">
        <v>42968</v>
      </c>
      <c r="AA1102" s="33">
        <v>6566</v>
      </c>
      <c r="AG1102" s="34"/>
      <c r="AK1102" s="34"/>
      <c r="AL1102" s="34"/>
      <c r="AM1102" s="34"/>
      <c r="AN1102" s="34"/>
      <c r="AO1102" s="34"/>
      <c r="AP1102" s="34"/>
      <c r="AQ1102" s="34"/>
      <c r="AR1102" s="34"/>
      <c r="AS1102" s="1"/>
      <c r="AT1102" s="1"/>
      <c r="AU1102" s="1"/>
      <c r="AV1102" s="1"/>
      <c r="AW1102" s="1"/>
      <c r="AX1102" s="1"/>
      <c r="AY1102" s="1"/>
      <c r="AZ1102" s="1"/>
      <c r="BA1102" s="1"/>
      <c r="BB1102" s="1"/>
      <c r="BC1102" s="1"/>
      <c r="BD1102" s="1"/>
      <c r="BE1102" s="1"/>
      <c r="BF1102" s="1"/>
      <c r="BG1102" s="1"/>
      <c r="BH1102" s="1"/>
      <c r="BI1102" s="1"/>
      <c r="BJ1102" s="1"/>
      <c r="BK1102" s="1"/>
      <c r="BL1102" s="1"/>
    </row>
    <row r="1103" spans="1:64" ht="12" customHeight="1" x14ac:dyDescent="0.2">
      <c r="A1103" s="34" t="s">
        <v>36337</v>
      </c>
      <c r="B1103" s="34">
        <v>45</v>
      </c>
      <c r="C1103" s="34" t="s">
        <v>14</v>
      </c>
      <c r="D1103" s="34" t="s">
        <v>31</v>
      </c>
      <c r="E1103" s="34"/>
      <c r="F1103" s="67">
        <v>43465</v>
      </c>
      <c r="G1103" s="34" t="s">
        <v>36307</v>
      </c>
      <c r="H1103" s="34" t="s">
        <v>994</v>
      </c>
      <c r="I1103" s="34" t="s">
        <v>342</v>
      </c>
      <c r="J1103" s="34">
        <v>50544</v>
      </c>
      <c r="K1103" s="34" t="s">
        <v>3011</v>
      </c>
      <c r="L1103" s="34" t="s">
        <v>36390</v>
      </c>
      <c r="M1103" s="34" t="s">
        <v>21</v>
      </c>
      <c r="N1103" s="34" t="s">
        <v>36391</v>
      </c>
      <c r="O1103" s="34" t="s">
        <v>372</v>
      </c>
      <c r="P1103" s="34" t="s">
        <v>30089</v>
      </c>
      <c r="Q1103" s="35" t="s">
        <v>36306</v>
      </c>
      <c r="R1103" s="34" t="s">
        <v>94</v>
      </c>
      <c r="S1103" s="34" t="s">
        <v>22</v>
      </c>
      <c r="T1103" s="43" t="s">
        <v>26781</v>
      </c>
      <c r="U1103" s="43" t="s">
        <v>26572</v>
      </c>
      <c r="V1103" s="43" t="s">
        <v>26571</v>
      </c>
      <c r="W1103" s="43" t="s">
        <v>94</v>
      </c>
      <c r="X1103" s="43">
        <v>4335</v>
      </c>
      <c r="Y1103" s="34"/>
      <c r="Z1103" s="34" t="s">
        <v>42967</v>
      </c>
      <c r="AA1103" s="33">
        <v>6564</v>
      </c>
      <c r="AG1103" s="34"/>
      <c r="AK1103" s="34"/>
      <c r="AL1103" s="34"/>
      <c r="AM1103" s="34"/>
      <c r="AN1103" s="34"/>
      <c r="AO1103" s="34"/>
      <c r="AP1103" s="34"/>
      <c r="AQ1103" s="34"/>
      <c r="AR1103" s="34"/>
      <c r="AS1103" s="1"/>
      <c r="AT1103" s="1"/>
      <c r="AU1103" s="1"/>
      <c r="AV1103" s="1"/>
      <c r="AW1103" s="1"/>
      <c r="AX1103" s="1"/>
      <c r="AY1103" s="1"/>
      <c r="AZ1103" s="1"/>
      <c r="BA1103" s="1"/>
      <c r="BB1103" s="1"/>
      <c r="BC1103" s="1"/>
      <c r="BD1103" s="1"/>
      <c r="BE1103" s="1"/>
      <c r="BF1103" s="1"/>
      <c r="BG1103" s="1"/>
      <c r="BH1103" s="1"/>
      <c r="BI1103" s="1"/>
      <c r="BJ1103" s="1"/>
      <c r="BK1103" s="1"/>
      <c r="BL1103" s="1"/>
    </row>
    <row r="1104" spans="1:64" ht="12" customHeight="1" x14ac:dyDescent="0.2">
      <c r="A1104" s="34" t="s">
        <v>36305</v>
      </c>
      <c r="B1104" s="34">
        <v>62</v>
      </c>
      <c r="C1104" s="34" t="s">
        <v>14</v>
      </c>
      <c r="D1104" s="34" t="s">
        <v>24</v>
      </c>
      <c r="E1104" s="34"/>
      <c r="F1104" s="67">
        <v>43465</v>
      </c>
      <c r="G1104" s="34" t="s">
        <v>36304</v>
      </c>
      <c r="H1104" s="34" t="s">
        <v>36303</v>
      </c>
      <c r="I1104" s="34" t="s">
        <v>376</v>
      </c>
      <c r="J1104" s="34">
        <v>17776</v>
      </c>
      <c r="K1104" s="34" t="s">
        <v>36302</v>
      </c>
      <c r="L1104" s="34" t="s">
        <v>473</v>
      </c>
      <c r="M1104" s="34" t="s">
        <v>21</v>
      </c>
      <c r="N1104" s="34" t="s">
        <v>36301</v>
      </c>
      <c r="O1104" s="34" t="s">
        <v>372</v>
      </c>
      <c r="P1104" s="34" t="s">
        <v>30089</v>
      </c>
      <c r="Q1104" s="35" t="s">
        <v>36300</v>
      </c>
      <c r="R1104" s="34" t="s">
        <v>23</v>
      </c>
      <c r="S1104" s="34" t="s">
        <v>22</v>
      </c>
      <c r="T1104" s="43" t="s">
        <v>26781</v>
      </c>
      <c r="U1104" s="43" t="s">
        <v>26572</v>
      </c>
      <c r="V1104" s="43"/>
      <c r="W1104" s="43"/>
      <c r="X1104" s="43"/>
      <c r="Y1104" s="34"/>
      <c r="Z1104" s="34" t="s">
        <v>42967</v>
      </c>
      <c r="AA1104" s="33">
        <v>6565</v>
      </c>
      <c r="AG1104" s="34"/>
      <c r="AK1104" s="34"/>
      <c r="AL1104" s="34"/>
      <c r="AM1104" s="34"/>
      <c r="AN1104" s="34"/>
      <c r="AO1104" s="34"/>
      <c r="AP1104" s="34"/>
      <c r="AQ1104" s="34"/>
      <c r="AR1104" s="34"/>
      <c r="AS1104" s="1"/>
      <c r="AT1104" s="1"/>
      <c r="AU1104" s="1"/>
      <c r="AV1104" s="1"/>
      <c r="AW1104" s="1"/>
      <c r="AX1104" s="1"/>
      <c r="AY1104" s="1"/>
      <c r="AZ1104" s="1"/>
      <c r="BA1104" s="1"/>
      <c r="BB1104" s="1"/>
      <c r="BC1104" s="1"/>
      <c r="BD1104" s="1"/>
      <c r="BE1104" s="1"/>
      <c r="BF1104" s="1"/>
      <c r="BG1104" s="1"/>
      <c r="BH1104" s="1"/>
      <c r="BI1104" s="1"/>
      <c r="BJ1104" s="1"/>
      <c r="BK1104" s="1"/>
      <c r="BL1104" s="1"/>
    </row>
    <row r="1105" spans="1:64" ht="12" customHeight="1" x14ac:dyDescent="0.2">
      <c r="A1105" s="34" t="s">
        <v>36334</v>
      </c>
      <c r="B1105" s="34">
        <v>30</v>
      </c>
      <c r="C1105" s="34" t="s">
        <v>14</v>
      </c>
      <c r="D1105" s="34" t="s">
        <v>885</v>
      </c>
      <c r="E1105" s="34"/>
      <c r="F1105" s="67">
        <v>43465</v>
      </c>
      <c r="G1105" s="34" t="s">
        <v>36323</v>
      </c>
      <c r="H1105" s="34" t="s">
        <v>1132</v>
      </c>
      <c r="I1105" s="34" t="s">
        <v>282</v>
      </c>
      <c r="J1105" s="34">
        <v>98103</v>
      </c>
      <c r="K1105" s="34" t="s">
        <v>1133</v>
      </c>
      <c r="L1105" s="34" t="s">
        <v>1134</v>
      </c>
      <c r="M1105" s="34" t="s">
        <v>21</v>
      </c>
      <c r="N1105" s="34" t="s">
        <v>36299</v>
      </c>
      <c r="O1105" s="34" t="s">
        <v>372</v>
      </c>
      <c r="P1105" s="34" t="s">
        <v>30089</v>
      </c>
      <c r="Q1105" s="35" t="s">
        <v>36298</v>
      </c>
      <c r="R1105" s="34" t="s">
        <v>94</v>
      </c>
      <c r="S1105" s="34" t="s">
        <v>22</v>
      </c>
      <c r="T1105" s="43" t="s">
        <v>26781</v>
      </c>
      <c r="U1105" s="43" t="s">
        <v>26572</v>
      </c>
      <c r="V1105" s="43" t="s">
        <v>26574</v>
      </c>
      <c r="W1105" s="43" t="s">
        <v>94</v>
      </c>
      <c r="X1105" s="1">
        <v>4332</v>
      </c>
      <c r="Y1105" s="34"/>
      <c r="Z1105" s="34" t="s">
        <v>42966</v>
      </c>
      <c r="AA1105" s="33">
        <v>6563</v>
      </c>
      <c r="AG1105" s="34"/>
      <c r="AK1105" s="34"/>
      <c r="AL1105" s="34"/>
      <c r="AM1105" s="34"/>
      <c r="AN1105" s="34"/>
      <c r="AO1105" s="34"/>
      <c r="AP1105" s="34"/>
      <c r="AQ1105" s="34"/>
      <c r="AR1105" s="34"/>
      <c r="AS1105" s="1"/>
      <c r="AT1105" s="1"/>
      <c r="AU1105" s="1"/>
      <c r="AV1105" s="1"/>
      <c r="AW1105" s="1"/>
      <c r="AX1105" s="1"/>
      <c r="AY1105" s="1"/>
      <c r="AZ1105" s="1"/>
      <c r="BA1105" s="1"/>
      <c r="BB1105" s="1"/>
      <c r="BC1105" s="1"/>
      <c r="BD1105" s="1"/>
      <c r="BE1105" s="1"/>
      <c r="BF1105" s="1"/>
      <c r="BG1105" s="1"/>
      <c r="BH1105" s="1"/>
      <c r="BI1105" s="1"/>
      <c r="BJ1105" s="1"/>
      <c r="BK1105" s="1"/>
      <c r="BL1105" s="1"/>
    </row>
    <row r="1106" spans="1:64" ht="12" customHeight="1" x14ac:dyDescent="0.2">
      <c r="A1106" s="34" t="s">
        <v>36335</v>
      </c>
      <c r="B1106" s="34">
        <v>49</v>
      </c>
      <c r="C1106" s="34" t="s">
        <v>14</v>
      </c>
      <c r="D1106" s="34" t="s">
        <v>31</v>
      </c>
      <c r="E1106" s="34"/>
      <c r="F1106" s="67">
        <v>43464</v>
      </c>
      <c r="G1106" s="34" t="s">
        <v>36294</v>
      </c>
      <c r="H1106" s="34" t="s">
        <v>21166</v>
      </c>
      <c r="I1106" s="34" t="s">
        <v>67</v>
      </c>
      <c r="J1106" s="34">
        <v>78643</v>
      </c>
      <c r="K1106" s="34" t="s">
        <v>21166</v>
      </c>
      <c r="L1106" s="34" t="s">
        <v>262</v>
      </c>
      <c r="M1106" s="34" t="s">
        <v>21</v>
      </c>
      <c r="N1106" s="34" t="s">
        <v>36293</v>
      </c>
      <c r="O1106" s="34" t="s">
        <v>372</v>
      </c>
      <c r="P1106" s="34" t="s">
        <v>30089</v>
      </c>
      <c r="Q1106" s="35" t="s">
        <v>36292</v>
      </c>
      <c r="R1106" s="34" t="s">
        <v>94</v>
      </c>
      <c r="S1106" s="34" t="s">
        <v>22</v>
      </c>
      <c r="T1106" s="43" t="s">
        <v>26593</v>
      </c>
      <c r="U1106" s="43" t="s">
        <v>26570</v>
      </c>
      <c r="V1106" s="43" t="s">
        <v>26573</v>
      </c>
      <c r="W1106" s="43" t="s">
        <v>94</v>
      </c>
      <c r="X1106" s="43">
        <v>4339</v>
      </c>
      <c r="Y1106" s="34"/>
      <c r="Z1106" s="34" t="s">
        <v>42967</v>
      </c>
      <c r="AA1106" s="33">
        <v>6561</v>
      </c>
      <c r="AG1106" s="34"/>
      <c r="AK1106" s="34"/>
      <c r="AL1106" s="34"/>
      <c r="AM1106" s="34"/>
      <c r="AN1106" s="34"/>
      <c r="AO1106" s="34"/>
      <c r="AP1106" s="34"/>
      <c r="AQ1106" s="34"/>
      <c r="AR1106" s="34"/>
      <c r="AS1106" s="1"/>
      <c r="AT1106" s="1"/>
      <c r="AU1106" s="1"/>
      <c r="AV1106" s="1"/>
      <c r="AW1106" s="1"/>
      <c r="AX1106" s="1"/>
      <c r="AY1106" s="1"/>
      <c r="AZ1106" s="1"/>
      <c r="BA1106" s="1"/>
      <c r="BB1106" s="1"/>
      <c r="BC1106" s="1"/>
      <c r="BD1106" s="1"/>
      <c r="BE1106" s="1"/>
      <c r="BF1106" s="1"/>
      <c r="BG1106" s="1"/>
      <c r="BH1106" s="1"/>
      <c r="BI1106" s="1"/>
      <c r="BJ1106" s="1"/>
      <c r="BK1106" s="1"/>
      <c r="BL1106" s="1"/>
    </row>
    <row r="1107" spans="1:64" ht="12" customHeight="1" x14ac:dyDescent="0.2">
      <c r="A1107" s="34" t="s">
        <v>36996</v>
      </c>
      <c r="B1107" s="34">
        <v>44</v>
      </c>
      <c r="C1107" s="34" t="s">
        <v>14</v>
      </c>
      <c r="D1107" s="34" t="s">
        <v>79</v>
      </c>
      <c r="E1107" s="34"/>
      <c r="F1107" s="67">
        <v>43464</v>
      </c>
      <c r="G1107" s="34" t="s">
        <v>36297</v>
      </c>
      <c r="H1107" s="34" t="s">
        <v>2171</v>
      </c>
      <c r="I1107" s="34" t="s">
        <v>38</v>
      </c>
      <c r="J1107" s="34">
        <v>61102</v>
      </c>
      <c r="K1107" s="34" t="s">
        <v>2173</v>
      </c>
      <c r="L1107" s="34" t="s">
        <v>2174</v>
      </c>
      <c r="M1107" s="34" t="s">
        <v>21</v>
      </c>
      <c r="N1107" s="34" t="s">
        <v>36296</v>
      </c>
      <c r="O1107" s="34" t="s">
        <v>372</v>
      </c>
      <c r="P1107" s="34" t="s">
        <v>30089</v>
      </c>
      <c r="Q1107" s="35" t="s">
        <v>36295</v>
      </c>
      <c r="R1107" s="34" t="s">
        <v>23</v>
      </c>
      <c r="S1107" s="34" t="s">
        <v>22</v>
      </c>
      <c r="T1107" s="43" t="s">
        <v>28239</v>
      </c>
      <c r="U1107" s="43" t="s">
        <v>26572</v>
      </c>
      <c r="V1107" s="43"/>
      <c r="W1107" s="43"/>
      <c r="X1107" s="34">
        <v>4341</v>
      </c>
      <c r="Y1107" s="34"/>
      <c r="Z1107" s="34" t="s">
        <v>42966</v>
      </c>
      <c r="AA1107" s="33">
        <v>6562</v>
      </c>
      <c r="AG1107" s="34"/>
      <c r="AK1107" s="34"/>
      <c r="AL1107" s="34"/>
      <c r="AM1107" s="34"/>
      <c r="AN1107" s="34"/>
      <c r="AO1107" s="34"/>
      <c r="AP1107" s="34"/>
      <c r="AQ1107" s="34"/>
      <c r="AR1107" s="34"/>
      <c r="AS1107" s="1"/>
      <c r="AT1107" s="1"/>
      <c r="AU1107" s="1"/>
      <c r="AV1107" s="1"/>
      <c r="AW1107" s="1"/>
      <c r="AX1107" s="1"/>
      <c r="AY1107" s="1"/>
      <c r="AZ1107" s="1"/>
      <c r="BA1107" s="1"/>
      <c r="BB1107" s="1"/>
      <c r="BC1107" s="1"/>
      <c r="BD1107" s="1"/>
      <c r="BE1107" s="1"/>
      <c r="BF1107" s="1"/>
      <c r="BG1107" s="1"/>
      <c r="BH1107" s="1"/>
      <c r="BI1107" s="1"/>
      <c r="BJ1107" s="1"/>
      <c r="BK1107" s="1"/>
      <c r="BL1107" s="1"/>
    </row>
    <row r="1108" spans="1:64" ht="12" customHeight="1" x14ac:dyDescent="0.2">
      <c r="A1108" s="34" t="s">
        <v>36286</v>
      </c>
      <c r="B1108" s="34">
        <v>42</v>
      </c>
      <c r="C1108" s="34" t="s">
        <v>14</v>
      </c>
      <c r="D1108" s="34" t="s">
        <v>31</v>
      </c>
      <c r="E1108" s="34"/>
      <c r="F1108" s="67">
        <v>43463</v>
      </c>
      <c r="G1108" s="34" t="s">
        <v>36285</v>
      </c>
      <c r="H1108" s="34" t="s">
        <v>10132</v>
      </c>
      <c r="I1108" s="34" t="s">
        <v>402</v>
      </c>
      <c r="J1108" s="34">
        <v>64503</v>
      </c>
      <c r="K1108" s="34" t="s">
        <v>10134</v>
      </c>
      <c r="L1108" s="34" t="s">
        <v>10135</v>
      </c>
      <c r="M1108" s="34" t="s">
        <v>21</v>
      </c>
      <c r="N1108" s="34" t="s">
        <v>36284</v>
      </c>
      <c r="O1108" s="34" t="s">
        <v>372</v>
      </c>
      <c r="P1108" s="34" t="s">
        <v>30089</v>
      </c>
      <c r="Q1108" s="35" t="s">
        <v>36283</v>
      </c>
      <c r="R1108" s="34" t="s">
        <v>94</v>
      </c>
      <c r="S1108" s="34" t="s">
        <v>22</v>
      </c>
      <c r="T1108" s="43" t="s">
        <v>26781</v>
      </c>
      <c r="U1108" s="43" t="s">
        <v>26572</v>
      </c>
      <c r="V1108" s="43" t="s">
        <v>26573</v>
      </c>
      <c r="W1108" s="43" t="s">
        <v>94</v>
      </c>
      <c r="X1108" s="43">
        <v>4412</v>
      </c>
      <c r="Y1108" s="34"/>
      <c r="Z1108" s="34" t="s">
        <v>42968</v>
      </c>
      <c r="AA1108" s="33">
        <v>6557</v>
      </c>
      <c r="AG1108" s="34"/>
      <c r="AK1108" s="34"/>
      <c r="AL1108" s="34"/>
      <c r="AM1108" s="34"/>
      <c r="AN1108" s="34"/>
      <c r="AO1108" s="34"/>
      <c r="AP1108" s="34"/>
      <c r="AQ1108" s="34"/>
      <c r="AR1108" s="34"/>
      <c r="AS1108" s="1"/>
      <c r="AT1108" s="1"/>
      <c r="AU1108" s="1"/>
      <c r="AV1108" s="1"/>
      <c r="AW1108" s="1"/>
      <c r="AX1108" s="1"/>
      <c r="AY1108" s="1"/>
      <c r="AZ1108" s="1"/>
      <c r="BA1108" s="1"/>
      <c r="BB1108" s="1"/>
      <c r="BC1108" s="1"/>
      <c r="BD1108" s="1"/>
      <c r="BE1108" s="1"/>
      <c r="BF1108" s="1"/>
      <c r="BG1108" s="1"/>
      <c r="BH1108" s="1"/>
      <c r="BI1108" s="1"/>
      <c r="BJ1108" s="1"/>
      <c r="BK1108" s="1"/>
      <c r="BL1108" s="1"/>
    </row>
    <row r="1109" spans="1:64" ht="12" customHeight="1" x14ac:dyDescent="0.2">
      <c r="A1109" s="34" t="s">
        <v>36282</v>
      </c>
      <c r="B1109" s="34" t="s">
        <v>23</v>
      </c>
      <c r="C1109" s="34" t="s">
        <v>14</v>
      </c>
      <c r="D1109" s="34" t="s">
        <v>24</v>
      </c>
      <c r="E1109" s="34"/>
      <c r="F1109" s="67">
        <v>43463</v>
      </c>
      <c r="G1109" s="34" t="s">
        <v>36281</v>
      </c>
      <c r="H1109" s="34" t="s">
        <v>29482</v>
      </c>
      <c r="I1109" s="34" t="s">
        <v>621</v>
      </c>
      <c r="J1109" s="34">
        <v>38847</v>
      </c>
      <c r="K1109" s="34" t="s">
        <v>36280</v>
      </c>
      <c r="L1109" s="34" t="s">
        <v>36393</v>
      </c>
      <c r="M1109" s="34" t="s">
        <v>21</v>
      </c>
      <c r="N1109" s="34" t="s">
        <v>36279</v>
      </c>
      <c r="O1109" s="34" t="s">
        <v>372</v>
      </c>
      <c r="P1109" s="34" t="s">
        <v>30089</v>
      </c>
      <c r="Q1109" s="35" t="s">
        <v>36278</v>
      </c>
      <c r="R1109" s="34" t="s">
        <v>94</v>
      </c>
      <c r="S1109" s="33" t="s">
        <v>29</v>
      </c>
      <c r="T1109" s="1" t="s">
        <v>41840</v>
      </c>
      <c r="U1109" s="43"/>
      <c r="V1109" s="43"/>
      <c r="W1109" s="43"/>
      <c r="X1109" s="43"/>
      <c r="Y1109" s="34"/>
      <c r="Z1109" s="34" t="s">
        <v>42967</v>
      </c>
      <c r="AA1109" s="33">
        <v>6559</v>
      </c>
      <c r="AG1109" s="34"/>
      <c r="AK1109" s="34"/>
      <c r="AL1109" s="34"/>
      <c r="AM1109" s="34"/>
      <c r="AN1109" s="34"/>
      <c r="AO1109" s="34"/>
      <c r="AP1109" s="34"/>
      <c r="AQ1109" s="34"/>
      <c r="AR1109" s="34"/>
      <c r="AS1109" s="1"/>
      <c r="AT1109" s="1"/>
      <c r="AU1109" s="1"/>
      <c r="AV1109" s="1"/>
      <c r="AW1109" s="1"/>
      <c r="AX1109" s="1"/>
      <c r="AY1109" s="1"/>
      <c r="AZ1109" s="1"/>
      <c r="BA1109" s="1"/>
      <c r="BB1109" s="1"/>
      <c r="BC1109" s="1"/>
      <c r="BD1109" s="1"/>
      <c r="BE1109" s="1"/>
      <c r="BF1109" s="1"/>
      <c r="BG1109" s="1"/>
      <c r="BH1109" s="1"/>
      <c r="BI1109" s="1"/>
      <c r="BJ1109" s="1"/>
      <c r="BK1109" s="1"/>
      <c r="BL1109" s="1"/>
    </row>
    <row r="1110" spans="1:64" ht="12" customHeight="1" x14ac:dyDescent="0.2">
      <c r="A1110" s="34" t="s">
        <v>36277</v>
      </c>
      <c r="B1110" s="34">
        <v>33</v>
      </c>
      <c r="C1110" s="34" t="s">
        <v>14</v>
      </c>
      <c r="D1110" s="34" t="s">
        <v>24</v>
      </c>
      <c r="E1110" s="34"/>
      <c r="F1110" s="67">
        <v>43463</v>
      </c>
      <c r="G1110" s="34" t="s">
        <v>36324</v>
      </c>
      <c r="H1110" s="34" t="s">
        <v>36276</v>
      </c>
      <c r="I1110" s="34" t="s">
        <v>106</v>
      </c>
      <c r="J1110" s="34">
        <v>97621</v>
      </c>
      <c r="K1110" s="34" t="s">
        <v>5520</v>
      </c>
      <c r="L1110" s="34" t="s">
        <v>17521</v>
      </c>
      <c r="M1110" s="34" t="s">
        <v>21</v>
      </c>
      <c r="N1110" s="34" t="s">
        <v>36275</v>
      </c>
      <c r="O1110" s="34" t="s">
        <v>372</v>
      </c>
      <c r="P1110" s="34" t="s">
        <v>30089</v>
      </c>
      <c r="Q1110" s="35" t="s">
        <v>36274</v>
      </c>
      <c r="R1110" s="34" t="s">
        <v>512</v>
      </c>
      <c r="S1110" s="34" t="s">
        <v>22</v>
      </c>
      <c r="T1110" s="1" t="s">
        <v>26576</v>
      </c>
      <c r="U1110" s="43"/>
      <c r="V1110" s="43"/>
      <c r="W1110" s="43"/>
      <c r="X1110" s="43"/>
      <c r="Y1110" s="34"/>
      <c r="Z1110" s="34" t="s">
        <v>42967</v>
      </c>
      <c r="AA1110" s="33">
        <v>6560</v>
      </c>
      <c r="AG1110" s="34"/>
      <c r="AK1110" s="34"/>
      <c r="AL1110" s="34"/>
      <c r="AM1110" s="34"/>
      <c r="AN1110" s="34"/>
      <c r="AO1110" s="34"/>
      <c r="AP1110" s="34"/>
      <c r="AQ1110" s="34"/>
      <c r="AR1110" s="34"/>
      <c r="AS1110" s="1"/>
      <c r="AT1110" s="1"/>
      <c r="AU1110" s="1"/>
      <c r="AV1110" s="1"/>
      <c r="AW1110" s="1"/>
      <c r="AX1110" s="1"/>
      <c r="AY1110" s="1"/>
      <c r="AZ1110" s="1"/>
      <c r="BA1110" s="1"/>
      <c r="BB1110" s="1"/>
      <c r="BC1110" s="1"/>
      <c r="BD1110" s="1"/>
      <c r="BE1110" s="1"/>
      <c r="BF1110" s="1"/>
      <c r="BG1110" s="1"/>
      <c r="BH1110" s="1"/>
      <c r="BI1110" s="1"/>
      <c r="BJ1110" s="1"/>
      <c r="BK1110" s="1"/>
      <c r="BL1110" s="1"/>
    </row>
    <row r="1111" spans="1:64" ht="12" customHeight="1" x14ac:dyDescent="0.2">
      <c r="A1111" s="34" t="s">
        <v>36336</v>
      </c>
      <c r="B1111" s="34">
        <v>45</v>
      </c>
      <c r="C1111" s="34" t="s">
        <v>14</v>
      </c>
      <c r="D1111" s="34" t="s">
        <v>31</v>
      </c>
      <c r="E1111" s="34"/>
      <c r="F1111" s="67">
        <v>43463</v>
      </c>
      <c r="G1111" s="34" t="s">
        <v>36291</v>
      </c>
      <c r="H1111" s="34" t="s">
        <v>36290</v>
      </c>
      <c r="I1111" s="34" t="s">
        <v>35</v>
      </c>
      <c r="J1111" s="34">
        <v>6810</v>
      </c>
      <c r="K1111" s="34" t="s">
        <v>4499</v>
      </c>
      <c r="L1111" s="34" t="s">
        <v>36289</v>
      </c>
      <c r="M1111" s="34" t="s">
        <v>4966</v>
      </c>
      <c r="N1111" s="34" t="s">
        <v>36288</v>
      </c>
      <c r="O1111" s="34" t="s">
        <v>372</v>
      </c>
      <c r="P1111" s="34" t="s">
        <v>30089</v>
      </c>
      <c r="Q1111" s="35" t="s">
        <v>36287</v>
      </c>
      <c r="R1111" s="34" t="s">
        <v>94</v>
      </c>
      <c r="S1111" s="34" t="s">
        <v>22</v>
      </c>
      <c r="T1111" s="43" t="s">
        <v>26774</v>
      </c>
      <c r="U1111" s="43" t="s">
        <v>26570</v>
      </c>
      <c r="V1111" s="43" t="s">
        <v>26573</v>
      </c>
      <c r="W1111" s="43" t="s">
        <v>94</v>
      </c>
      <c r="X1111" s="43">
        <v>4411</v>
      </c>
      <c r="Y1111" s="34"/>
      <c r="Z1111" s="34" t="s">
        <v>42968</v>
      </c>
      <c r="AA1111" s="33">
        <v>6558</v>
      </c>
      <c r="AG1111" s="34"/>
      <c r="AK1111" s="34"/>
      <c r="AL1111" s="34"/>
      <c r="AM1111" s="34"/>
      <c r="AN1111" s="34"/>
      <c r="AO1111" s="34"/>
      <c r="AP1111" s="34"/>
      <c r="AQ1111" s="34"/>
      <c r="AR1111" s="34"/>
      <c r="AS1111" s="1"/>
      <c r="AT1111" s="1"/>
      <c r="AU1111" s="1"/>
      <c r="AV1111" s="1"/>
      <c r="AW1111" s="1"/>
      <c r="AX1111" s="1"/>
      <c r="AY1111" s="1"/>
      <c r="AZ1111" s="1"/>
      <c r="BA1111" s="1"/>
      <c r="BB1111" s="1"/>
      <c r="BC1111" s="1"/>
      <c r="BD1111" s="1"/>
      <c r="BE1111" s="1"/>
      <c r="BF1111" s="1"/>
      <c r="BG1111" s="1"/>
      <c r="BH1111" s="1"/>
      <c r="BI1111" s="1"/>
      <c r="BJ1111" s="1"/>
      <c r="BK1111" s="1"/>
      <c r="BL1111" s="1"/>
    </row>
    <row r="1112" spans="1:64" ht="12" customHeight="1" x14ac:dyDescent="0.2">
      <c r="A1112" s="34" t="s">
        <v>36273</v>
      </c>
      <c r="B1112" s="34">
        <v>46</v>
      </c>
      <c r="C1112" s="34" t="s">
        <v>14</v>
      </c>
      <c r="D1112" s="34" t="s">
        <v>31</v>
      </c>
      <c r="E1112" s="35" t="s">
        <v>36272</v>
      </c>
      <c r="F1112" s="67">
        <v>43462</v>
      </c>
      <c r="G1112" s="34" t="s">
        <v>36271</v>
      </c>
      <c r="H1112" s="34" t="s">
        <v>584</v>
      </c>
      <c r="I1112" s="34" t="s">
        <v>112</v>
      </c>
      <c r="J1112" s="34">
        <v>85254</v>
      </c>
      <c r="K1112" s="34" t="s">
        <v>585</v>
      </c>
      <c r="L1112" s="34" t="s">
        <v>586</v>
      </c>
      <c r="M1112" s="34" t="s">
        <v>21</v>
      </c>
      <c r="N1112" s="34" t="s">
        <v>36270</v>
      </c>
      <c r="O1112" s="34" t="s">
        <v>372</v>
      </c>
      <c r="P1112" s="34" t="s">
        <v>30089</v>
      </c>
      <c r="Q1112" s="35" t="s">
        <v>36269</v>
      </c>
      <c r="R1112" s="34" t="s">
        <v>94</v>
      </c>
      <c r="S1112" s="34" t="s">
        <v>22</v>
      </c>
      <c r="T1112" s="43" t="s">
        <v>26781</v>
      </c>
      <c r="U1112" s="43"/>
      <c r="V1112" s="43"/>
      <c r="W1112" s="43"/>
      <c r="X1112" s="33">
        <v>4346</v>
      </c>
      <c r="Y1112" s="34"/>
      <c r="Z1112" s="34" t="s">
        <v>42968</v>
      </c>
      <c r="AA1112" s="33">
        <v>6554</v>
      </c>
      <c r="AG1112" s="34"/>
      <c r="AK1112" s="34"/>
      <c r="AL1112" s="34"/>
      <c r="AM1112" s="34"/>
      <c r="AN1112" s="34"/>
      <c r="AO1112" s="34"/>
      <c r="AP1112" s="34"/>
      <c r="AQ1112" s="34"/>
      <c r="AR1112" s="34"/>
      <c r="AS1112" s="1"/>
      <c r="AT1112" s="1"/>
      <c r="AU1112" s="1"/>
      <c r="AV1112" s="1"/>
      <c r="AW1112" s="1"/>
      <c r="AX1112" s="1"/>
      <c r="AY1112" s="1"/>
      <c r="AZ1112" s="1"/>
      <c r="BA1112" s="1"/>
      <c r="BB1112" s="1"/>
      <c r="BC1112" s="1"/>
      <c r="BD1112" s="1"/>
      <c r="BE1112" s="1"/>
      <c r="BF1112" s="1"/>
      <c r="BG1112" s="1"/>
      <c r="BH1112" s="1"/>
      <c r="BI1112" s="1"/>
      <c r="BJ1112" s="1"/>
      <c r="BK1112" s="1"/>
      <c r="BL1112" s="1"/>
    </row>
    <row r="1113" spans="1:64" ht="12" customHeight="1" x14ac:dyDescent="0.2">
      <c r="A1113" s="34" t="s">
        <v>36995</v>
      </c>
      <c r="B1113" s="34">
        <v>35</v>
      </c>
      <c r="C1113" s="34" t="s">
        <v>14</v>
      </c>
      <c r="D1113" s="34" t="s">
        <v>79</v>
      </c>
      <c r="E1113" s="34"/>
      <c r="F1113" s="67">
        <v>43462</v>
      </c>
      <c r="G1113" s="34" t="s">
        <v>36319</v>
      </c>
      <c r="H1113" s="34" t="s">
        <v>7234</v>
      </c>
      <c r="I1113" s="34" t="s">
        <v>67</v>
      </c>
      <c r="J1113" s="34">
        <v>77640</v>
      </c>
      <c r="K1113" s="34" t="s">
        <v>1659</v>
      </c>
      <c r="L1113" s="34" t="s">
        <v>7235</v>
      </c>
      <c r="M1113" s="34" t="s">
        <v>21</v>
      </c>
      <c r="N1113" s="34" t="s">
        <v>36394</v>
      </c>
      <c r="O1113" s="34" t="s">
        <v>372</v>
      </c>
      <c r="P1113" s="34" t="s">
        <v>30089</v>
      </c>
      <c r="Q1113" s="35" t="s">
        <v>36250</v>
      </c>
      <c r="R1113" s="34" t="s">
        <v>94</v>
      </c>
      <c r="S1113" s="34" t="s">
        <v>22</v>
      </c>
      <c r="T1113" s="1" t="s">
        <v>26576</v>
      </c>
      <c r="U1113" s="43"/>
      <c r="V1113" s="43"/>
      <c r="W1113" s="43"/>
      <c r="X1113" s="34">
        <v>4338</v>
      </c>
      <c r="Y1113" s="34"/>
      <c r="Z1113" s="34" t="s">
        <v>42966</v>
      </c>
      <c r="AA1113" s="33">
        <v>6556</v>
      </c>
      <c r="AG1113" s="34"/>
      <c r="AK1113" s="34"/>
      <c r="AL1113" s="34"/>
      <c r="AM1113" s="34"/>
      <c r="AN1113" s="34"/>
      <c r="AO1113" s="34"/>
      <c r="AP1113" s="34"/>
      <c r="AQ1113" s="34"/>
      <c r="AR1113" s="34"/>
      <c r="AS1113" s="1"/>
      <c r="AT1113" s="1"/>
      <c r="AU1113" s="1"/>
      <c r="AV1113" s="1"/>
      <c r="AW1113" s="1"/>
      <c r="AX1113" s="1"/>
      <c r="AY1113" s="1"/>
      <c r="AZ1113" s="1"/>
      <c r="BA1113" s="1"/>
      <c r="BB1113" s="1"/>
      <c r="BC1113" s="1"/>
      <c r="BD1113" s="1"/>
      <c r="BE1113" s="1"/>
      <c r="BF1113" s="1"/>
      <c r="BG1113" s="1"/>
      <c r="BH1113" s="1"/>
      <c r="BI1113" s="1"/>
      <c r="BJ1113" s="1"/>
      <c r="BK1113" s="1"/>
      <c r="BL1113" s="1"/>
    </row>
    <row r="1114" spans="1:64" ht="12" customHeight="1" x14ac:dyDescent="0.2">
      <c r="A1114" s="34" t="s">
        <v>36268</v>
      </c>
      <c r="B1114" s="34">
        <v>43</v>
      </c>
      <c r="C1114" s="34" t="s">
        <v>14</v>
      </c>
      <c r="D1114" s="34" t="s">
        <v>31</v>
      </c>
      <c r="E1114" s="35" t="s">
        <v>36267</v>
      </c>
      <c r="F1114" s="67">
        <v>43462</v>
      </c>
      <c r="G1114" s="34" t="s">
        <v>36331</v>
      </c>
      <c r="H1114" s="34" t="s">
        <v>36266</v>
      </c>
      <c r="I1114" s="34" t="s">
        <v>39</v>
      </c>
      <c r="J1114" s="34">
        <v>93455</v>
      </c>
      <c r="K1114" s="34" t="s">
        <v>1819</v>
      </c>
      <c r="L1114" s="34" t="s">
        <v>36265</v>
      </c>
      <c r="M1114" s="34" t="s">
        <v>21</v>
      </c>
      <c r="N1114" s="34" t="s">
        <v>36264</v>
      </c>
      <c r="O1114" s="34" t="s">
        <v>372</v>
      </c>
      <c r="P1114" s="34" t="s">
        <v>30089</v>
      </c>
      <c r="Q1114" s="35" t="s">
        <v>36263</v>
      </c>
      <c r="R1114" s="34" t="s">
        <v>23</v>
      </c>
      <c r="S1114" s="34" t="s">
        <v>22</v>
      </c>
      <c r="T1114" s="43" t="s">
        <v>26781</v>
      </c>
      <c r="U1114" s="43"/>
      <c r="V1114" s="43"/>
      <c r="W1114" s="43"/>
      <c r="X1114" s="43"/>
      <c r="Y1114" s="34"/>
      <c r="Z1114" s="34" t="s">
        <v>42968</v>
      </c>
      <c r="AA1114" s="33">
        <v>6555</v>
      </c>
      <c r="AG1114" s="34"/>
      <c r="AK1114" s="34"/>
      <c r="AL1114" s="34"/>
      <c r="AM1114" s="34"/>
      <c r="AN1114" s="34"/>
      <c r="AO1114" s="34"/>
      <c r="AP1114" s="34"/>
      <c r="AQ1114" s="34"/>
      <c r="AR1114" s="34"/>
      <c r="AS1114" s="1"/>
      <c r="AT1114" s="1"/>
      <c r="AU1114" s="1"/>
      <c r="AV1114" s="1"/>
      <c r="AW1114" s="1"/>
      <c r="AX1114" s="1"/>
      <c r="AY1114" s="1"/>
      <c r="AZ1114" s="1"/>
      <c r="BA1114" s="1"/>
      <c r="BB1114" s="1"/>
      <c r="BC1114" s="1"/>
      <c r="BD1114" s="1"/>
      <c r="BE1114" s="1"/>
      <c r="BF1114" s="1"/>
      <c r="BG1114" s="1"/>
      <c r="BH1114" s="1"/>
      <c r="BI1114" s="1"/>
      <c r="BJ1114" s="1"/>
      <c r="BK1114" s="1"/>
      <c r="BL1114" s="1"/>
    </row>
    <row r="1115" spans="1:64" ht="12" customHeight="1" x14ac:dyDescent="0.2">
      <c r="A1115" s="34" t="s">
        <v>36262</v>
      </c>
      <c r="B1115" s="34">
        <v>56</v>
      </c>
      <c r="C1115" s="34" t="s">
        <v>14</v>
      </c>
      <c r="D1115" s="34" t="s">
        <v>31</v>
      </c>
      <c r="E1115" s="35" t="s">
        <v>36261</v>
      </c>
      <c r="F1115" s="67">
        <v>43462</v>
      </c>
      <c r="G1115" s="34" t="s">
        <v>36260</v>
      </c>
      <c r="H1115" s="34" t="s">
        <v>36259</v>
      </c>
      <c r="I1115" s="34" t="s">
        <v>198</v>
      </c>
      <c r="J1115" s="34">
        <v>47933</v>
      </c>
      <c r="K1115" s="34" t="s">
        <v>995</v>
      </c>
      <c r="L1115" s="34" t="s">
        <v>18119</v>
      </c>
      <c r="M1115" s="34" t="s">
        <v>21</v>
      </c>
      <c r="N1115" s="34" t="s">
        <v>36258</v>
      </c>
      <c r="O1115" s="34" t="s">
        <v>372</v>
      </c>
      <c r="P1115" s="34" t="s">
        <v>30089</v>
      </c>
      <c r="Q1115" s="35" t="s">
        <v>36257</v>
      </c>
      <c r="R1115" s="34" t="s">
        <v>94</v>
      </c>
      <c r="S1115" s="34" t="s">
        <v>22</v>
      </c>
      <c r="T1115" s="43" t="s">
        <v>26781</v>
      </c>
      <c r="U1115" s="43"/>
      <c r="V1115" s="43"/>
      <c r="W1115" s="43"/>
      <c r="X1115" s="33">
        <v>4336</v>
      </c>
      <c r="Y1115" s="34"/>
      <c r="Z1115" s="34" t="s">
        <v>42967</v>
      </c>
      <c r="AA1115" s="33">
        <v>6553</v>
      </c>
      <c r="AG1115" s="34"/>
      <c r="AK1115" s="34"/>
      <c r="AL1115" s="34"/>
      <c r="AM1115" s="34"/>
      <c r="AN1115" s="34"/>
      <c r="AO1115" s="34"/>
      <c r="AP1115" s="34"/>
      <c r="AQ1115" s="34"/>
      <c r="AR1115" s="34"/>
      <c r="AS1115" s="1"/>
      <c r="AT1115" s="1"/>
      <c r="AU1115" s="1"/>
      <c r="AV1115" s="1"/>
      <c r="AW1115" s="1"/>
      <c r="AX1115" s="1"/>
      <c r="AY1115" s="1"/>
      <c r="AZ1115" s="1"/>
      <c r="BA1115" s="1"/>
      <c r="BB1115" s="1"/>
      <c r="BC1115" s="1"/>
      <c r="BD1115" s="1"/>
      <c r="BE1115" s="1"/>
      <c r="BF1115" s="1"/>
      <c r="BG1115" s="1"/>
      <c r="BH1115" s="1"/>
      <c r="BI1115" s="1"/>
      <c r="BJ1115" s="1"/>
      <c r="BK1115" s="1"/>
      <c r="BL1115" s="1"/>
    </row>
    <row r="1116" spans="1:64" ht="12" customHeight="1" x14ac:dyDescent="0.2">
      <c r="A1116" s="34" t="s">
        <v>36256</v>
      </c>
      <c r="B1116" s="34">
        <v>34</v>
      </c>
      <c r="C1116" s="34" t="s">
        <v>14</v>
      </c>
      <c r="D1116" s="34" t="s">
        <v>31</v>
      </c>
      <c r="E1116" s="34"/>
      <c r="F1116" s="67">
        <v>43462</v>
      </c>
      <c r="G1116" s="34" t="s">
        <v>36255</v>
      </c>
      <c r="H1116" s="34" t="s">
        <v>36254</v>
      </c>
      <c r="I1116" s="34" t="s">
        <v>298</v>
      </c>
      <c r="J1116" s="34">
        <v>37388</v>
      </c>
      <c r="K1116" s="34" t="s">
        <v>4174</v>
      </c>
      <c r="L1116" s="34" t="s">
        <v>36253</v>
      </c>
      <c r="M1116" s="34" t="s">
        <v>21</v>
      </c>
      <c r="N1116" s="34" t="s">
        <v>36252</v>
      </c>
      <c r="O1116" s="34" t="s">
        <v>372</v>
      </c>
      <c r="P1116" s="34" t="s">
        <v>30089</v>
      </c>
      <c r="Q1116" s="35" t="s">
        <v>36251</v>
      </c>
      <c r="R1116" s="34" t="s">
        <v>94</v>
      </c>
      <c r="S1116" s="34" t="s">
        <v>22</v>
      </c>
      <c r="T1116" s="43" t="s">
        <v>26781</v>
      </c>
      <c r="U1116" s="43" t="s">
        <v>26572</v>
      </c>
      <c r="V1116" s="43" t="s">
        <v>26573</v>
      </c>
      <c r="W1116" s="43" t="s">
        <v>94</v>
      </c>
      <c r="X1116" s="43">
        <v>4333</v>
      </c>
      <c r="Y1116" s="34"/>
      <c r="Z1116" s="34" t="s">
        <v>42968</v>
      </c>
      <c r="AA1116" s="33">
        <v>6552</v>
      </c>
      <c r="AG1116" s="34"/>
      <c r="AK1116" s="34"/>
      <c r="AL1116" s="34"/>
      <c r="AM1116" s="34"/>
      <c r="AN1116" s="34"/>
      <c r="AO1116" s="34"/>
      <c r="AP1116" s="34"/>
      <c r="AQ1116" s="34"/>
      <c r="AR1116" s="34"/>
      <c r="AS1116" s="1"/>
      <c r="AT1116" s="1"/>
      <c r="AU1116" s="1"/>
      <c r="AV1116" s="1"/>
      <c r="AW1116" s="1"/>
      <c r="AX1116" s="1"/>
      <c r="AY1116" s="1"/>
      <c r="AZ1116" s="1"/>
      <c r="BA1116" s="1"/>
      <c r="BB1116" s="1"/>
      <c r="BC1116" s="1"/>
      <c r="BD1116" s="1"/>
      <c r="BE1116" s="1"/>
      <c r="BF1116" s="1"/>
      <c r="BG1116" s="1"/>
      <c r="BH1116" s="1"/>
      <c r="BI1116" s="1"/>
      <c r="BJ1116" s="1"/>
      <c r="BK1116" s="1"/>
      <c r="BL1116" s="1"/>
    </row>
    <row r="1117" spans="1:64" ht="12" customHeight="1" x14ac:dyDescent="0.2">
      <c r="A1117" s="34" t="s">
        <v>36249</v>
      </c>
      <c r="B1117" s="34">
        <v>25</v>
      </c>
      <c r="C1117" s="34" t="s">
        <v>14</v>
      </c>
      <c r="D1117" s="34" t="s">
        <v>31</v>
      </c>
      <c r="E1117" s="35" t="s">
        <v>36248</v>
      </c>
      <c r="F1117" s="67">
        <v>43461</v>
      </c>
      <c r="G1117" s="34" t="s">
        <v>36247</v>
      </c>
      <c r="H1117" s="34" t="s">
        <v>625</v>
      </c>
      <c r="I1117" s="34" t="s">
        <v>40</v>
      </c>
      <c r="J1117" s="34">
        <v>2025</v>
      </c>
      <c r="K1117" s="34" t="s">
        <v>3060</v>
      </c>
      <c r="L1117" s="34" t="s">
        <v>36246</v>
      </c>
      <c r="M1117" s="34" t="s">
        <v>363</v>
      </c>
      <c r="N1117" s="34" t="s">
        <v>36245</v>
      </c>
      <c r="O1117" s="34" t="s">
        <v>372</v>
      </c>
      <c r="P1117" s="34" t="s">
        <v>30089</v>
      </c>
      <c r="Q1117" s="35" t="s">
        <v>36244</v>
      </c>
      <c r="R1117" s="34" t="s">
        <v>94</v>
      </c>
      <c r="S1117" s="34" t="s">
        <v>22</v>
      </c>
      <c r="T1117" s="43" t="s">
        <v>26774</v>
      </c>
      <c r="U1117" s="1"/>
      <c r="V1117" s="1"/>
      <c r="W1117" s="1"/>
      <c r="X1117" s="1"/>
      <c r="Y1117" s="34"/>
      <c r="Z1117" s="34" t="s">
        <v>42968</v>
      </c>
      <c r="AA1117" s="33">
        <v>6551</v>
      </c>
      <c r="AG1117" s="34"/>
      <c r="AK1117" s="34"/>
      <c r="AL1117" s="34"/>
      <c r="AM1117" s="34"/>
      <c r="AN1117" s="34"/>
      <c r="AO1117" s="34"/>
      <c r="AP1117" s="34"/>
      <c r="AQ1117" s="34"/>
      <c r="AR1117" s="34"/>
      <c r="AS1117" s="1"/>
      <c r="AT1117" s="1"/>
      <c r="AU1117" s="1"/>
      <c r="AV1117" s="1"/>
      <c r="AW1117" s="1"/>
      <c r="AX1117" s="1"/>
      <c r="AY1117" s="1"/>
      <c r="AZ1117" s="1"/>
      <c r="BA1117" s="1"/>
      <c r="BB1117" s="1"/>
      <c r="BC1117" s="1"/>
      <c r="BD1117" s="1"/>
      <c r="BE1117" s="1"/>
      <c r="BF1117" s="1"/>
      <c r="BG1117" s="1"/>
      <c r="BH1117" s="1"/>
      <c r="BI1117" s="1"/>
      <c r="BJ1117" s="1"/>
      <c r="BK1117" s="1"/>
      <c r="BL1117" s="1"/>
    </row>
    <row r="1118" spans="1:64" ht="12" customHeight="1" x14ac:dyDescent="0.2">
      <c r="A1118" s="34" t="s">
        <v>36243</v>
      </c>
      <c r="B1118" s="34">
        <v>21</v>
      </c>
      <c r="C1118" s="34" t="s">
        <v>14</v>
      </c>
      <c r="D1118" s="34" t="s">
        <v>31</v>
      </c>
      <c r="E1118" s="34"/>
      <c r="F1118" s="67">
        <v>43460</v>
      </c>
      <c r="G1118" s="34" t="s">
        <v>36242</v>
      </c>
      <c r="H1118" s="34" t="s">
        <v>23893</v>
      </c>
      <c r="I1118" s="34" t="s">
        <v>918</v>
      </c>
      <c r="J1118" s="34">
        <v>72461</v>
      </c>
      <c r="K1118" s="34" t="s">
        <v>3117</v>
      </c>
      <c r="L1118" s="34" t="s">
        <v>36241</v>
      </c>
      <c r="M1118" s="34" t="s">
        <v>21</v>
      </c>
      <c r="N1118" s="34" t="s">
        <v>36240</v>
      </c>
      <c r="O1118" s="34" t="s">
        <v>372</v>
      </c>
      <c r="P1118" s="34" t="s">
        <v>30089</v>
      </c>
      <c r="Q1118" s="35" t="s">
        <v>36239</v>
      </c>
      <c r="R1118" s="34" t="s">
        <v>23</v>
      </c>
      <c r="S1118" s="34" t="s">
        <v>22</v>
      </c>
      <c r="T1118" s="43" t="s">
        <v>26781</v>
      </c>
      <c r="U1118" s="43" t="s">
        <v>26572</v>
      </c>
      <c r="V1118" s="43" t="s">
        <v>26573</v>
      </c>
      <c r="W1118" s="43" t="s">
        <v>94</v>
      </c>
      <c r="X1118" s="43">
        <v>4323</v>
      </c>
      <c r="Y1118" s="34"/>
      <c r="Z1118" s="34" t="s">
        <v>42967</v>
      </c>
      <c r="AA1118" s="33">
        <v>6548</v>
      </c>
      <c r="AG1118" s="34"/>
      <c r="AK1118" s="34"/>
      <c r="AL1118" s="34"/>
      <c r="AM1118" s="34"/>
      <c r="AN1118" s="34"/>
      <c r="AO1118" s="34"/>
      <c r="AP1118" s="34"/>
      <c r="AQ1118" s="34"/>
      <c r="AR1118" s="34"/>
      <c r="AS1118" s="1"/>
      <c r="AT1118" s="1"/>
      <c r="AU1118" s="1"/>
      <c r="AV1118" s="1"/>
      <c r="AW1118" s="1"/>
      <c r="AX1118" s="1"/>
      <c r="AY1118" s="1"/>
      <c r="AZ1118" s="1"/>
      <c r="BA1118" s="1"/>
      <c r="BB1118" s="1"/>
      <c r="BC1118" s="1"/>
      <c r="BD1118" s="1"/>
      <c r="BE1118" s="1"/>
      <c r="BF1118" s="1"/>
      <c r="BG1118" s="1"/>
      <c r="BH1118" s="1"/>
      <c r="BI1118" s="1"/>
      <c r="BJ1118" s="1"/>
      <c r="BK1118" s="1"/>
      <c r="BL1118" s="1"/>
    </row>
    <row r="1119" spans="1:64" ht="12" customHeight="1" x14ac:dyDescent="0.2">
      <c r="A1119" s="34" t="s">
        <v>36238</v>
      </c>
      <c r="B1119" s="34">
        <v>17</v>
      </c>
      <c r="C1119" s="34" t="s">
        <v>14</v>
      </c>
      <c r="D1119" s="34" t="s">
        <v>79</v>
      </c>
      <c r="E1119" s="35" t="s">
        <v>36237</v>
      </c>
      <c r="F1119" s="67">
        <v>43460</v>
      </c>
      <c r="G1119" s="34" t="s">
        <v>36236</v>
      </c>
      <c r="H1119" s="34" t="s">
        <v>3692</v>
      </c>
      <c r="I1119" s="34" t="s">
        <v>56</v>
      </c>
      <c r="J1119" s="34">
        <v>33801</v>
      </c>
      <c r="K1119" s="34" t="s">
        <v>1736</v>
      </c>
      <c r="L1119" s="34" t="s">
        <v>3694</v>
      </c>
      <c r="M1119" s="34" t="s">
        <v>21</v>
      </c>
      <c r="N1119" s="34" t="s">
        <v>36395</v>
      </c>
      <c r="O1119" s="34" t="s">
        <v>372</v>
      </c>
      <c r="P1119" s="34" t="s">
        <v>30089</v>
      </c>
      <c r="Q1119" s="35" t="s">
        <v>36235</v>
      </c>
      <c r="R1119" s="34" t="s">
        <v>94</v>
      </c>
      <c r="S1119" s="34" t="s">
        <v>351</v>
      </c>
      <c r="T1119" s="43" t="s">
        <v>26867</v>
      </c>
      <c r="U1119" s="43" t="s">
        <v>26572</v>
      </c>
      <c r="V1119" s="43" t="s">
        <v>26571</v>
      </c>
      <c r="W1119" s="43" t="s">
        <v>94</v>
      </c>
      <c r="X1119" s="43">
        <v>4322</v>
      </c>
      <c r="Y1119" s="34"/>
      <c r="Z1119" s="34" t="s">
        <v>42968</v>
      </c>
      <c r="AA1119" s="33">
        <v>6550</v>
      </c>
      <c r="AG1119" s="34"/>
      <c r="AK1119" s="34"/>
      <c r="AL1119" s="34"/>
      <c r="AM1119" s="34"/>
      <c r="AN1119" s="34"/>
      <c r="AO1119" s="34"/>
      <c r="AP1119" s="34"/>
      <c r="AQ1119" s="34"/>
      <c r="AR1119" s="34"/>
      <c r="AS1119" s="1"/>
      <c r="AT1119" s="1"/>
      <c r="AU1119" s="1"/>
      <c r="AV1119" s="1"/>
      <c r="AW1119" s="1"/>
      <c r="AX1119" s="1"/>
      <c r="AY1119" s="1"/>
      <c r="AZ1119" s="1"/>
      <c r="BA1119" s="1"/>
      <c r="BB1119" s="1"/>
      <c r="BC1119" s="1"/>
      <c r="BD1119" s="1"/>
      <c r="BE1119" s="1"/>
      <c r="BF1119" s="1"/>
      <c r="BG1119" s="1"/>
      <c r="BH1119" s="1"/>
      <c r="BI1119" s="1"/>
      <c r="BJ1119" s="1"/>
      <c r="BK1119" s="1"/>
      <c r="BL1119" s="1"/>
    </row>
    <row r="1120" spans="1:64" ht="12" customHeight="1" x14ac:dyDescent="0.2">
      <c r="A1120" s="34" t="s">
        <v>36234</v>
      </c>
      <c r="B1120" s="34">
        <v>35</v>
      </c>
      <c r="C1120" s="34" t="s">
        <v>14</v>
      </c>
      <c r="D1120" s="34" t="s">
        <v>79</v>
      </c>
      <c r="E1120" s="35" t="s">
        <v>36233</v>
      </c>
      <c r="F1120" s="67">
        <v>43460</v>
      </c>
      <c r="G1120" s="34" t="s">
        <v>36232</v>
      </c>
      <c r="H1120" s="34" t="s">
        <v>8929</v>
      </c>
      <c r="I1120" s="34" t="s">
        <v>56</v>
      </c>
      <c r="J1120" s="34">
        <v>33755</v>
      </c>
      <c r="K1120" s="34" t="s">
        <v>2152</v>
      </c>
      <c r="L1120" s="34" t="s">
        <v>12189</v>
      </c>
      <c r="M1120" s="34" t="s">
        <v>21</v>
      </c>
      <c r="N1120" s="34" t="s">
        <v>36231</v>
      </c>
      <c r="O1120" s="34" t="s">
        <v>372</v>
      </c>
      <c r="P1120" s="34" t="s">
        <v>30089</v>
      </c>
      <c r="Q1120" s="35" t="s">
        <v>36230</v>
      </c>
      <c r="R1120" s="34" t="s">
        <v>512</v>
      </c>
      <c r="S1120" s="34" t="s">
        <v>22</v>
      </c>
      <c r="T1120" s="43" t="s">
        <v>26781</v>
      </c>
      <c r="U1120" s="43" t="s">
        <v>26572</v>
      </c>
      <c r="V1120" s="43" t="s">
        <v>26573</v>
      </c>
      <c r="W1120" s="43" t="s">
        <v>94</v>
      </c>
      <c r="X1120" s="43">
        <v>4328</v>
      </c>
      <c r="Y1120" s="34"/>
      <c r="Z1120" s="34" t="s">
        <v>42968</v>
      </c>
      <c r="AA1120" s="33">
        <v>6549</v>
      </c>
      <c r="AG1120" s="34"/>
      <c r="AK1120" s="34"/>
      <c r="AL1120" s="34"/>
      <c r="AM1120" s="34"/>
      <c r="AN1120" s="34"/>
      <c r="AO1120" s="34"/>
      <c r="AP1120" s="34"/>
      <c r="AQ1120" s="34"/>
      <c r="AR1120" s="34"/>
      <c r="AS1120" s="1"/>
      <c r="AT1120" s="1"/>
      <c r="AU1120" s="1"/>
      <c r="AV1120" s="1"/>
      <c r="AW1120" s="1"/>
      <c r="AX1120" s="1"/>
      <c r="AY1120" s="1"/>
      <c r="AZ1120" s="1"/>
      <c r="BA1120" s="1"/>
      <c r="BB1120" s="1"/>
      <c r="BC1120" s="1"/>
      <c r="BD1120" s="1"/>
      <c r="BE1120" s="1"/>
      <c r="BF1120" s="1"/>
      <c r="BG1120" s="1"/>
      <c r="BH1120" s="1"/>
      <c r="BI1120" s="1"/>
      <c r="BJ1120" s="1"/>
      <c r="BK1120" s="1"/>
      <c r="BL1120" s="1"/>
    </row>
    <row r="1121" spans="1:64" ht="12" customHeight="1" x14ac:dyDescent="0.2">
      <c r="A1121" s="34" t="s">
        <v>36229</v>
      </c>
      <c r="B1121" s="34">
        <v>34</v>
      </c>
      <c r="C1121" s="34" t="s">
        <v>14</v>
      </c>
      <c r="D1121" s="34" t="s">
        <v>42</v>
      </c>
      <c r="E1121" s="34"/>
      <c r="F1121" s="67">
        <v>43459</v>
      </c>
      <c r="G1121" s="34" t="s">
        <v>36321</v>
      </c>
      <c r="H1121" s="34" t="s">
        <v>16627</v>
      </c>
      <c r="I1121" s="34" t="s">
        <v>112</v>
      </c>
      <c r="J1121" s="34">
        <v>85326</v>
      </c>
      <c r="K1121" s="34" t="s">
        <v>585</v>
      </c>
      <c r="L1121" s="34" t="s">
        <v>16628</v>
      </c>
      <c r="M1121" s="34" t="s">
        <v>21</v>
      </c>
      <c r="N1121" s="34" t="s">
        <v>36228</v>
      </c>
      <c r="O1121" s="34" t="s">
        <v>372</v>
      </c>
      <c r="P1121" s="34" t="s">
        <v>30089</v>
      </c>
      <c r="Q1121" s="35" t="s">
        <v>36227</v>
      </c>
      <c r="R1121" s="34" t="s">
        <v>94</v>
      </c>
      <c r="S1121" s="34" t="s">
        <v>22</v>
      </c>
      <c r="T1121" s="43" t="s">
        <v>26781</v>
      </c>
      <c r="U1121" s="43" t="s">
        <v>26572</v>
      </c>
      <c r="V1121" s="43" t="s">
        <v>26573</v>
      </c>
      <c r="W1121" s="43" t="s">
        <v>94</v>
      </c>
      <c r="X1121" s="43">
        <v>4325</v>
      </c>
      <c r="Y1121" s="34"/>
      <c r="Z1121" s="34" t="s">
        <v>42968</v>
      </c>
      <c r="AA1121" s="33">
        <v>6546</v>
      </c>
      <c r="AG1121" s="34"/>
      <c r="AK1121" s="34"/>
      <c r="AL1121" s="34"/>
      <c r="AM1121" s="34"/>
      <c r="AN1121" s="34"/>
      <c r="AO1121" s="34"/>
      <c r="AP1121" s="34"/>
      <c r="AQ1121" s="34"/>
      <c r="AR1121" s="34"/>
      <c r="AS1121" s="1"/>
      <c r="AT1121" s="1"/>
      <c r="AU1121" s="1"/>
      <c r="AV1121" s="1"/>
      <c r="AW1121" s="1"/>
      <c r="AX1121" s="1"/>
      <c r="AY1121" s="1"/>
      <c r="AZ1121" s="1"/>
      <c r="BA1121" s="1"/>
      <c r="BB1121" s="1"/>
      <c r="BC1121" s="1"/>
      <c r="BD1121" s="1"/>
      <c r="BE1121" s="1"/>
      <c r="BF1121" s="1"/>
      <c r="BG1121" s="1"/>
      <c r="BH1121" s="1"/>
      <c r="BI1121" s="1"/>
      <c r="BJ1121" s="1"/>
      <c r="BK1121" s="1"/>
      <c r="BL1121" s="1"/>
    </row>
    <row r="1122" spans="1:64" ht="12" customHeight="1" x14ac:dyDescent="0.2">
      <c r="A1122" s="34" t="s">
        <v>36226</v>
      </c>
      <c r="B1122" s="34">
        <v>24</v>
      </c>
      <c r="C1122" s="34" t="s">
        <v>103</v>
      </c>
      <c r="D1122" s="34" t="s">
        <v>42</v>
      </c>
      <c r="E1122" s="35" t="s">
        <v>36225</v>
      </c>
      <c r="F1122" s="67">
        <v>43459</v>
      </c>
      <c r="G1122" s="34" t="s">
        <v>36224</v>
      </c>
      <c r="H1122" s="34" t="s">
        <v>560</v>
      </c>
      <c r="I1122" s="34" t="s">
        <v>39</v>
      </c>
      <c r="J1122" s="34">
        <v>95128</v>
      </c>
      <c r="K1122" s="34" t="s">
        <v>561</v>
      </c>
      <c r="L1122" s="34" t="s">
        <v>678</v>
      </c>
      <c r="M1122" s="34" t="s">
        <v>21</v>
      </c>
      <c r="N1122" s="34" t="s">
        <v>36223</v>
      </c>
      <c r="O1122" s="34" t="s">
        <v>372</v>
      </c>
      <c r="P1122" s="34" t="s">
        <v>30089</v>
      </c>
      <c r="Q1122" s="35" t="s">
        <v>36222</v>
      </c>
      <c r="R1122" s="34" t="s">
        <v>94</v>
      </c>
      <c r="S1122" s="34" t="s">
        <v>351</v>
      </c>
      <c r="T1122" s="43" t="s">
        <v>26867</v>
      </c>
      <c r="U1122" s="43" t="s">
        <v>26572</v>
      </c>
      <c r="V1122" s="43" t="s">
        <v>26571</v>
      </c>
      <c r="W1122" s="43" t="s">
        <v>94</v>
      </c>
      <c r="X1122" s="43">
        <v>4324</v>
      </c>
      <c r="Y1122" s="34"/>
      <c r="Z1122" s="34" t="s">
        <v>42966</v>
      </c>
      <c r="AA1122" s="33">
        <v>6547</v>
      </c>
      <c r="AG1122" s="34"/>
      <c r="AK1122" s="34"/>
      <c r="AL1122" s="34"/>
      <c r="AM1122" s="34"/>
      <c r="AN1122" s="34"/>
      <c r="AO1122" s="34"/>
      <c r="AP1122" s="34"/>
      <c r="AQ1122" s="34"/>
      <c r="AR1122" s="34"/>
      <c r="AS1122" s="1"/>
      <c r="AT1122" s="1"/>
      <c r="AU1122" s="1"/>
      <c r="AV1122" s="1"/>
      <c r="AW1122" s="1"/>
      <c r="AX1122" s="1"/>
      <c r="AY1122" s="1"/>
      <c r="AZ1122" s="1"/>
      <c r="BA1122" s="1"/>
      <c r="BB1122" s="1"/>
      <c r="BC1122" s="1"/>
      <c r="BD1122" s="1"/>
      <c r="BE1122" s="1"/>
      <c r="BF1122" s="1"/>
      <c r="BG1122" s="1"/>
      <c r="BH1122" s="1"/>
      <c r="BI1122" s="1"/>
      <c r="BJ1122" s="1"/>
      <c r="BK1122" s="1"/>
      <c r="BL1122" s="1"/>
    </row>
    <row r="1123" spans="1:64" ht="12" customHeight="1" x14ac:dyDescent="0.2">
      <c r="A1123" s="34" t="s">
        <v>36221</v>
      </c>
      <c r="B1123" s="34">
        <v>35</v>
      </c>
      <c r="C1123" s="34" t="s">
        <v>14</v>
      </c>
      <c r="D1123" s="34" t="s">
        <v>42</v>
      </c>
      <c r="E1123" s="34"/>
      <c r="F1123" s="67">
        <v>43458</v>
      </c>
      <c r="G1123" s="34" t="s">
        <v>36220</v>
      </c>
      <c r="H1123" s="34" t="s">
        <v>866</v>
      </c>
      <c r="I1123" s="34" t="s">
        <v>178</v>
      </c>
      <c r="J1123" s="34">
        <v>87107</v>
      </c>
      <c r="K1123" s="34" t="s">
        <v>433</v>
      </c>
      <c r="L1123" s="34" t="s">
        <v>4562</v>
      </c>
      <c r="M1123" s="34" t="s">
        <v>21</v>
      </c>
      <c r="N1123" s="34" t="s">
        <v>36219</v>
      </c>
      <c r="O1123" s="34" t="s">
        <v>372</v>
      </c>
      <c r="P1123" s="34" t="s">
        <v>30089</v>
      </c>
      <c r="Q1123" s="35" t="s">
        <v>36218</v>
      </c>
      <c r="R1123" s="34" t="s">
        <v>94</v>
      </c>
      <c r="S1123" s="34" t="s">
        <v>22</v>
      </c>
      <c r="T1123" s="43" t="s">
        <v>26781</v>
      </c>
      <c r="U1123" s="43" t="s">
        <v>26572</v>
      </c>
      <c r="V1123" s="43" t="s">
        <v>26573</v>
      </c>
      <c r="W1123" s="43" t="s">
        <v>94</v>
      </c>
      <c r="X1123" s="43">
        <v>4327</v>
      </c>
      <c r="Y1123" s="34"/>
      <c r="Z1123" s="34" t="s">
        <v>42968</v>
      </c>
      <c r="AA1123" s="33">
        <v>6545</v>
      </c>
      <c r="AG1123" s="34"/>
      <c r="AK1123" s="34"/>
      <c r="AL1123" s="34"/>
      <c r="AM1123" s="34"/>
      <c r="AN1123" s="34"/>
      <c r="AO1123" s="34"/>
      <c r="AP1123" s="34"/>
      <c r="AQ1123" s="34"/>
      <c r="AR1123" s="34"/>
      <c r="AS1123" s="1"/>
      <c r="AT1123" s="1"/>
      <c r="AU1123" s="1"/>
      <c r="AV1123" s="1"/>
      <c r="AW1123" s="1"/>
      <c r="AX1123" s="1"/>
      <c r="AY1123" s="1"/>
      <c r="AZ1123" s="1"/>
      <c r="BA1123" s="1"/>
      <c r="BB1123" s="1"/>
      <c r="BC1123" s="1"/>
      <c r="BD1123" s="1"/>
      <c r="BE1123" s="1"/>
      <c r="BF1123" s="1"/>
      <c r="BG1123" s="1"/>
      <c r="BH1123" s="1"/>
      <c r="BI1123" s="1"/>
      <c r="BJ1123" s="1"/>
      <c r="BK1123" s="1"/>
      <c r="BL1123" s="1"/>
    </row>
    <row r="1124" spans="1:64" ht="12" customHeight="1" x14ac:dyDescent="0.2">
      <c r="A1124" s="34" t="s">
        <v>36217</v>
      </c>
      <c r="B1124" s="34">
        <v>26</v>
      </c>
      <c r="C1124" s="34" t="s">
        <v>14</v>
      </c>
      <c r="D1124" s="34" t="s">
        <v>885</v>
      </c>
      <c r="E1124" s="35" t="s">
        <v>36216</v>
      </c>
      <c r="F1124" s="67">
        <v>43457</v>
      </c>
      <c r="G1124" s="34" t="s">
        <v>36215</v>
      </c>
      <c r="H1124" s="34" t="s">
        <v>36214</v>
      </c>
      <c r="I1124" s="34" t="s">
        <v>814</v>
      </c>
      <c r="J1124" s="34">
        <v>96793</v>
      </c>
      <c r="K1124" s="34" t="s">
        <v>815</v>
      </c>
      <c r="L1124" s="34" t="s">
        <v>816</v>
      </c>
      <c r="M1124" s="34" t="s">
        <v>21</v>
      </c>
      <c r="N1124" s="34" t="s">
        <v>36213</v>
      </c>
      <c r="O1124" s="34" t="s">
        <v>372</v>
      </c>
      <c r="P1124" s="34" t="s">
        <v>30089</v>
      </c>
      <c r="Q1124" s="35" t="s">
        <v>36212</v>
      </c>
      <c r="R1124" s="34" t="s">
        <v>94</v>
      </c>
      <c r="S1124" s="34" t="s">
        <v>22</v>
      </c>
      <c r="T1124" s="43" t="s">
        <v>26781</v>
      </c>
      <c r="U1124" s="43" t="s">
        <v>26572</v>
      </c>
      <c r="V1124" s="43" t="s">
        <v>26571</v>
      </c>
      <c r="W1124" s="43" t="s">
        <v>512</v>
      </c>
      <c r="X1124" s="43">
        <v>4329</v>
      </c>
      <c r="Y1124" s="34"/>
      <c r="Z1124" s="34" t="s">
        <v>42968</v>
      </c>
      <c r="AA1124" s="33">
        <v>6544</v>
      </c>
      <c r="AG1124" s="34"/>
      <c r="AK1124" s="34"/>
      <c r="AL1124" s="34"/>
      <c r="AM1124" s="34"/>
      <c r="AN1124" s="34"/>
      <c r="AO1124" s="34"/>
      <c r="AP1124" s="34"/>
      <c r="AQ1124" s="34"/>
      <c r="AR1124" s="34"/>
      <c r="AS1124" s="1"/>
      <c r="AT1124" s="1"/>
      <c r="AU1124" s="1"/>
      <c r="AV1124" s="1"/>
      <c r="AW1124" s="1"/>
      <c r="AX1124" s="1"/>
      <c r="AY1124" s="1"/>
      <c r="AZ1124" s="1"/>
      <c r="BA1124" s="1"/>
      <c r="BB1124" s="1"/>
      <c r="BC1124" s="1"/>
      <c r="BD1124" s="1"/>
      <c r="BE1124" s="1"/>
      <c r="BF1124" s="1"/>
      <c r="BG1124" s="1"/>
      <c r="BH1124" s="1"/>
      <c r="BI1124" s="1"/>
      <c r="BJ1124" s="1"/>
      <c r="BK1124" s="1"/>
      <c r="BL1124" s="1"/>
    </row>
    <row r="1125" spans="1:64" ht="12" customHeight="1" x14ac:dyDescent="0.2">
      <c r="A1125" s="34" t="s">
        <v>36211</v>
      </c>
      <c r="B1125" s="34">
        <v>36</v>
      </c>
      <c r="C1125" s="34" t="s">
        <v>14</v>
      </c>
      <c r="D1125" s="34" t="s">
        <v>42</v>
      </c>
      <c r="E1125" s="34"/>
      <c r="F1125" s="67">
        <v>43457</v>
      </c>
      <c r="G1125" s="34" t="s">
        <v>36210</v>
      </c>
      <c r="H1125" s="34" t="s">
        <v>866</v>
      </c>
      <c r="I1125" s="34" t="s">
        <v>178</v>
      </c>
      <c r="J1125" s="34">
        <v>87108</v>
      </c>
      <c r="K1125" s="34" t="s">
        <v>433</v>
      </c>
      <c r="L1125" s="34" t="s">
        <v>4562</v>
      </c>
      <c r="M1125" s="34" t="s">
        <v>21</v>
      </c>
      <c r="N1125" s="34" t="s">
        <v>36209</v>
      </c>
      <c r="O1125" s="34" t="s">
        <v>372</v>
      </c>
      <c r="P1125" s="34" t="s">
        <v>30089</v>
      </c>
      <c r="Q1125" s="35" t="s">
        <v>36208</v>
      </c>
      <c r="R1125" s="34" t="s">
        <v>512</v>
      </c>
      <c r="S1125" s="34" t="s">
        <v>22</v>
      </c>
      <c r="T1125" s="43" t="s">
        <v>26781</v>
      </c>
      <c r="U1125" s="43" t="s">
        <v>26572</v>
      </c>
      <c r="V1125" s="43" t="s">
        <v>26573</v>
      </c>
      <c r="W1125" s="43" t="s">
        <v>94</v>
      </c>
      <c r="X1125" s="43">
        <v>4326</v>
      </c>
      <c r="Y1125" s="34"/>
      <c r="Z1125" s="34" t="s">
        <v>42966</v>
      </c>
      <c r="AA1125" s="33">
        <v>6543</v>
      </c>
      <c r="AG1125" s="34"/>
      <c r="AK1125" s="34"/>
      <c r="AL1125" s="34"/>
      <c r="AM1125" s="34"/>
      <c r="AN1125" s="34"/>
      <c r="AO1125" s="34"/>
      <c r="AP1125" s="34"/>
      <c r="AQ1125" s="34"/>
      <c r="AR1125" s="34"/>
      <c r="AS1125" s="1"/>
      <c r="AT1125" s="1"/>
      <c r="AU1125" s="1"/>
      <c r="AV1125" s="1"/>
      <c r="AW1125" s="1"/>
      <c r="AX1125" s="1"/>
      <c r="AY1125" s="1"/>
      <c r="AZ1125" s="1"/>
      <c r="BA1125" s="1"/>
      <c r="BB1125" s="1"/>
      <c r="BC1125" s="1"/>
      <c r="BD1125" s="1"/>
      <c r="BE1125" s="1"/>
      <c r="BF1125" s="1"/>
      <c r="BG1125" s="1"/>
      <c r="BH1125" s="1"/>
      <c r="BI1125" s="1"/>
      <c r="BJ1125" s="1"/>
      <c r="BK1125" s="1"/>
      <c r="BL1125" s="1"/>
    </row>
    <row r="1126" spans="1:64" ht="12" customHeight="1" x14ac:dyDescent="0.2">
      <c r="A1126" s="34" t="s">
        <v>36203</v>
      </c>
      <c r="B1126" s="34">
        <v>55</v>
      </c>
      <c r="C1126" s="34" t="s">
        <v>14</v>
      </c>
      <c r="D1126" s="34" t="s">
        <v>24</v>
      </c>
      <c r="E1126" s="34"/>
      <c r="F1126" s="67">
        <v>43455</v>
      </c>
      <c r="G1126" s="34" t="s">
        <v>36325</v>
      </c>
      <c r="H1126" s="34" t="s">
        <v>947</v>
      </c>
      <c r="I1126" s="34" t="s">
        <v>26</v>
      </c>
      <c r="J1126" s="34">
        <v>29073</v>
      </c>
      <c r="K1126" s="34" t="s">
        <v>947</v>
      </c>
      <c r="L1126" s="34" t="s">
        <v>2514</v>
      </c>
      <c r="M1126" s="34" t="s">
        <v>21</v>
      </c>
      <c r="N1126" s="34" t="s">
        <v>36202</v>
      </c>
      <c r="O1126" s="34" t="s">
        <v>372</v>
      </c>
      <c r="P1126" s="34" t="s">
        <v>30089</v>
      </c>
      <c r="Q1126" s="35" t="s">
        <v>36201</v>
      </c>
      <c r="R1126" s="34" t="s">
        <v>512</v>
      </c>
      <c r="S1126" s="34" t="s">
        <v>22</v>
      </c>
      <c r="T1126" s="43" t="s">
        <v>26781</v>
      </c>
      <c r="U1126" s="43" t="s">
        <v>26572</v>
      </c>
      <c r="V1126" s="43" t="s">
        <v>26573</v>
      </c>
      <c r="W1126" s="43"/>
      <c r="X1126" s="43"/>
      <c r="Y1126" s="34"/>
      <c r="Z1126" s="34" t="s">
        <v>42968</v>
      </c>
      <c r="AA1126" s="33">
        <v>6542</v>
      </c>
      <c r="AG1126" s="34"/>
      <c r="AK1126" s="34"/>
      <c r="AL1126" s="34"/>
      <c r="AM1126" s="34"/>
      <c r="AN1126" s="34"/>
      <c r="AO1126" s="34"/>
      <c r="AP1126" s="34"/>
      <c r="AQ1126" s="34"/>
      <c r="AR1126" s="34"/>
      <c r="AS1126" s="1"/>
      <c r="AT1126" s="1"/>
      <c r="AU1126" s="1"/>
      <c r="AV1126" s="1"/>
      <c r="AW1126" s="1"/>
      <c r="AX1126" s="1"/>
      <c r="AY1126" s="1"/>
      <c r="AZ1126" s="1"/>
      <c r="BA1126" s="1"/>
      <c r="BB1126" s="1"/>
      <c r="BC1126" s="1"/>
      <c r="BD1126" s="1"/>
      <c r="BE1126" s="1"/>
      <c r="BF1126" s="1"/>
      <c r="BG1126" s="1"/>
      <c r="BH1126" s="1"/>
      <c r="BI1126" s="1"/>
      <c r="BJ1126" s="1"/>
      <c r="BK1126" s="1"/>
      <c r="BL1126" s="1"/>
    </row>
    <row r="1127" spans="1:64" ht="12" customHeight="1" x14ac:dyDescent="0.2">
      <c r="A1127" s="34" t="s">
        <v>36207</v>
      </c>
      <c r="B1127" s="34">
        <v>57</v>
      </c>
      <c r="C1127" s="34" t="s">
        <v>14</v>
      </c>
      <c r="D1127" s="34" t="s">
        <v>42</v>
      </c>
      <c r="E1127" s="34"/>
      <c r="F1127" s="67">
        <v>43455</v>
      </c>
      <c r="G1127" s="34" t="s">
        <v>36206</v>
      </c>
      <c r="H1127" s="34" t="s">
        <v>1558</v>
      </c>
      <c r="I1127" s="34" t="s">
        <v>39</v>
      </c>
      <c r="J1127" s="34">
        <v>91702</v>
      </c>
      <c r="K1127" s="34" t="s">
        <v>92</v>
      </c>
      <c r="L1127" s="34" t="s">
        <v>1560</v>
      </c>
      <c r="M1127" s="34" t="s">
        <v>21</v>
      </c>
      <c r="N1127" s="34" t="s">
        <v>36205</v>
      </c>
      <c r="O1127" s="34" t="s">
        <v>372</v>
      </c>
      <c r="P1127" s="34" t="s">
        <v>30089</v>
      </c>
      <c r="Q1127" s="35" t="s">
        <v>36204</v>
      </c>
      <c r="R1127" s="34" t="s">
        <v>94</v>
      </c>
      <c r="S1127" s="34" t="s">
        <v>22</v>
      </c>
      <c r="T1127" s="43" t="s">
        <v>26781</v>
      </c>
      <c r="U1127" s="43" t="s">
        <v>26572</v>
      </c>
      <c r="V1127" s="43" t="s">
        <v>26573</v>
      </c>
      <c r="W1127" s="43" t="s">
        <v>94</v>
      </c>
      <c r="X1127" s="43">
        <v>4330</v>
      </c>
      <c r="Y1127" s="34"/>
      <c r="Z1127" s="34" t="s">
        <v>42968</v>
      </c>
      <c r="AA1127" s="33">
        <v>6541</v>
      </c>
      <c r="AG1127" s="34"/>
      <c r="AK1127" s="34"/>
      <c r="AL1127" s="34"/>
      <c r="AM1127" s="34"/>
      <c r="AN1127" s="34"/>
      <c r="AO1127" s="34"/>
      <c r="AP1127" s="34"/>
      <c r="AQ1127" s="34"/>
      <c r="AR1127" s="34"/>
      <c r="AS1127" s="1"/>
      <c r="AT1127" s="1"/>
      <c r="AU1127" s="1"/>
      <c r="AV1127" s="1"/>
      <c r="AW1127" s="1"/>
      <c r="AX1127" s="1"/>
      <c r="AY1127" s="1"/>
      <c r="AZ1127" s="1"/>
      <c r="BA1127" s="1"/>
      <c r="BB1127" s="1"/>
      <c r="BC1127" s="1"/>
      <c r="BD1127" s="1"/>
      <c r="BE1127" s="1"/>
      <c r="BF1127" s="1"/>
      <c r="BG1127" s="1"/>
      <c r="BH1127" s="1"/>
      <c r="BI1127" s="1"/>
      <c r="BJ1127" s="1"/>
      <c r="BK1127" s="1"/>
      <c r="BL1127" s="1"/>
    </row>
    <row r="1128" spans="1:64" ht="12" customHeight="1" x14ac:dyDescent="0.2">
      <c r="A1128" s="34" t="s">
        <v>36193</v>
      </c>
      <c r="B1128" s="34">
        <v>23</v>
      </c>
      <c r="C1128" s="34" t="s">
        <v>14</v>
      </c>
      <c r="D1128" s="34" t="s">
        <v>31</v>
      </c>
      <c r="E1128" s="35" t="s">
        <v>36192</v>
      </c>
      <c r="F1128" s="67">
        <v>43454</v>
      </c>
      <c r="G1128" s="34" t="s">
        <v>36191</v>
      </c>
      <c r="H1128" s="34" t="s">
        <v>720</v>
      </c>
      <c r="I1128" s="34" t="s">
        <v>63</v>
      </c>
      <c r="J1128" s="34">
        <v>43604</v>
      </c>
      <c r="K1128" s="34" t="s">
        <v>721</v>
      </c>
      <c r="L1128" s="34" t="s">
        <v>722</v>
      </c>
      <c r="M1128" s="34" t="s">
        <v>21</v>
      </c>
      <c r="N1128" s="34" t="s">
        <v>36396</v>
      </c>
      <c r="O1128" s="34" t="s">
        <v>372</v>
      </c>
      <c r="P1128" s="34" t="s">
        <v>30089</v>
      </c>
      <c r="Q1128" s="35" t="s">
        <v>36190</v>
      </c>
      <c r="R1128" s="34" t="s">
        <v>94</v>
      </c>
      <c r="S1128" s="34" t="s">
        <v>22</v>
      </c>
      <c r="T1128" s="43" t="s">
        <v>363</v>
      </c>
      <c r="U1128" s="43" t="s">
        <v>26572</v>
      </c>
      <c r="V1128" s="43" t="s">
        <v>26573</v>
      </c>
      <c r="W1128" s="43" t="s">
        <v>94</v>
      </c>
      <c r="X1128" s="43">
        <v>4320</v>
      </c>
      <c r="Y1128" s="34"/>
      <c r="Z1128" s="34" t="s">
        <v>42966</v>
      </c>
      <c r="AA1128" s="33">
        <v>6540</v>
      </c>
      <c r="AG1128" s="34"/>
      <c r="AK1128" s="34"/>
      <c r="AL1128" s="34"/>
      <c r="AM1128" s="34"/>
      <c r="AN1128" s="34"/>
      <c r="AO1128" s="34"/>
      <c r="AP1128" s="34"/>
      <c r="AQ1128" s="34"/>
      <c r="AR1128" s="34"/>
      <c r="AS1128" s="1"/>
      <c r="AT1128" s="1"/>
      <c r="AU1128" s="1"/>
      <c r="AV1128" s="1"/>
      <c r="AW1128" s="1"/>
      <c r="AX1128" s="1"/>
      <c r="AY1128" s="1"/>
      <c r="AZ1128" s="1"/>
      <c r="BA1128" s="1"/>
      <c r="BB1128" s="1"/>
      <c r="BC1128" s="1"/>
      <c r="BD1128" s="1"/>
      <c r="BE1128" s="1"/>
      <c r="BF1128" s="1"/>
      <c r="BG1128" s="1"/>
      <c r="BH1128" s="1"/>
      <c r="BI1128" s="1"/>
      <c r="BJ1128" s="1"/>
      <c r="BK1128" s="1"/>
      <c r="BL1128" s="1"/>
    </row>
    <row r="1129" spans="1:64" ht="12" customHeight="1" x14ac:dyDescent="0.2">
      <c r="A1129" s="34" t="s">
        <v>3002</v>
      </c>
      <c r="B1129" s="34" t="s">
        <v>23</v>
      </c>
      <c r="C1129" s="34" t="s">
        <v>14</v>
      </c>
      <c r="D1129" s="34" t="s">
        <v>24</v>
      </c>
      <c r="E1129" s="34"/>
      <c r="F1129" s="67">
        <v>43454</v>
      </c>
      <c r="G1129" s="34" t="s">
        <v>36200</v>
      </c>
      <c r="H1129" s="34" t="s">
        <v>10945</v>
      </c>
      <c r="I1129" s="34" t="s">
        <v>39</v>
      </c>
      <c r="J1129" s="34">
        <v>92530</v>
      </c>
      <c r="K1129" s="34" t="s">
        <v>728</v>
      </c>
      <c r="L1129" s="34" t="s">
        <v>729</v>
      </c>
      <c r="M1129" s="34" t="s">
        <v>21</v>
      </c>
      <c r="N1129" s="34" t="s">
        <v>36199</v>
      </c>
      <c r="O1129" s="34" t="s">
        <v>372</v>
      </c>
      <c r="P1129" s="34" t="s">
        <v>30089</v>
      </c>
      <c r="Q1129" s="35" t="s">
        <v>36198</v>
      </c>
      <c r="R1129" s="34" t="s">
        <v>94</v>
      </c>
      <c r="S1129" s="34" t="s">
        <v>22</v>
      </c>
      <c r="T1129" s="43" t="s">
        <v>26781</v>
      </c>
      <c r="U1129" s="43" t="s">
        <v>26572</v>
      </c>
      <c r="V1129" s="43" t="s">
        <v>26571</v>
      </c>
      <c r="W1129" s="43" t="s">
        <v>94</v>
      </c>
      <c r="X1129" s="43">
        <v>4319</v>
      </c>
      <c r="Y1129" s="34"/>
      <c r="Z1129" s="34" t="s">
        <v>42968</v>
      </c>
      <c r="AA1129" s="33">
        <v>6538</v>
      </c>
      <c r="AG1129" s="34"/>
      <c r="AK1129" s="34"/>
      <c r="AL1129" s="34"/>
      <c r="AM1129" s="34"/>
      <c r="AN1129" s="34"/>
      <c r="AO1129" s="34"/>
      <c r="AP1129" s="34"/>
      <c r="AQ1129" s="34"/>
      <c r="AR1129" s="34"/>
      <c r="AS1129" s="1"/>
      <c r="AT1129" s="1"/>
      <c r="AU1129" s="1"/>
      <c r="AV1129" s="1"/>
      <c r="AW1129" s="1"/>
      <c r="AX1129" s="1"/>
      <c r="AY1129" s="1"/>
      <c r="AZ1129" s="1"/>
      <c r="BA1129" s="1"/>
      <c r="BB1129" s="1"/>
      <c r="BC1129" s="1"/>
      <c r="BD1129" s="1"/>
      <c r="BE1129" s="1"/>
      <c r="BF1129" s="1"/>
      <c r="BG1129" s="1"/>
      <c r="BH1129" s="1"/>
      <c r="BI1129" s="1"/>
      <c r="BJ1129" s="1"/>
      <c r="BK1129" s="1"/>
      <c r="BL1129" s="1"/>
    </row>
    <row r="1130" spans="1:64" ht="12" customHeight="1" x14ac:dyDescent="0.2">
      <c r="A1130" s="34" t="s">
        <v>36197</v>
      </c>
      <c r="B1130" s="34">
        <v>56</v>
      </c>
      <c r="C1130" s="34" t="s">
        <v>14</v>
      </c>
      <c r="D1130" s="34" t="s">
        <v>31</v>
      </c>
      <c r="E1130" s="35" t="s">
        <v>36196</v>
      </c>
      <c r="F1130" s="67">
        <v>43454</v>
      </c>
      <c r="G1130" s="34" t="s">
        <v>36332</v>
      </c>
      <c r="H1130" s="34" t="s">
        <v>2595</v>
      </c>
      <c r="I1130" s="34" t="s">
        <v>56</v>
      </c>
      <c r="J1130" s="34">
        <v>32405</v>
      </c>
      <c r="K1130" s="34" t="s">
        <v>2597</v>
      </c>
      <c r="L1130" s="34" t="s">
        <v>3849</v>
      </c>
      <c r="M1130" s="34" t="s">
        <v>21</v>
      </c>
      <c r="N1130" s="34" t="s">
        <v>36195</v>
      </c>
      <c r="O1130" s="34" t="s">
        <v>372</v>
      </c>
      <c r="P1130" s="34" t="s">
        <v>30089</v>
      </c>
      <c r="Q1130" s="35" t="s">
        <v>36194</v>
      </c>
      <c r="R1130" s="34" t="s">
        <v>904</v>
      </c>
      <c r="S1130" s="34" t="s">
        <v>22</v>
      </c>
      <c r="T1130" s="43" t="s">
        <v>26774</v>
      </c>
      <c r="U1130" s="43"/>
      <c r="V1130" s="43"/>
      <c r="W1130" s="43"/>
      <c r="X1130" s="33">
        <v>4410</v>
      </c>
      <c r="Y1130" s="34"/>
      <c r="Z1130" s="34" t="s">
        <v>42966</v>
      </c>
      <c r="AA1130" s="33">
        <v>6539</v>
      </c>
      <c r="AG1130" s="34"/>
      <c r="AK1130" s="34"/>
      <c r="AL1130" s="34"/>
      <c r="AM1130" s="34"/>
      <c r="AN1130" s="34"/>
      <c r="AO1130" s="34"/>
      <c r="AP1130" s="34"/>
      <c r="AQ1130" s="34"/>
      <c r="AR1130" s="34"/>
      <c r="AS1130" s="1"/>
      <c r="AT1130" s="1"/>
      <c r="AU1130" s="1"/>
      <c r="AV1130" s="1"/>
      <c r="AW1130" s="1"/>
      <c r="AX1130" s="1"/>
      <c r="AY1130" s="1"/>
      <c r="AZ1130" s="1"/>
      <c r="BA1130" s="1"/>
      <c r="BB1130" s="1"/>
      <c r="BC1130" s="1"/>
      <c r="BD1130" s="1"/>
      <c r="BE1130" s="1"/>
      <c r="BF1130" s="1"/>
      <c r="BG1130" s="1"/>
      <c r="BH1130" s="1"/>
      <c r="BI1130" s="1"/>
      <c r="BJ1130" s="1"/>
      <c r="BK1130" s="1"/>
      <c r="BL1130" s="1"/>
    </row>
    <row r="1131" spans="1:64" ht="12" customHeight="1" x14ac:dyDescent="0.2">
      <c r="A1131" s="34" t="s">
        <v>36175</v>
      </c>
      <c r="B1131" s="34">
        <v>27</v>
      </c>
      <c r="C1131" s="34" t="s">
        <v>14</v>
      </c>
      <c r="D1131" s="34" t="s">
        <v>31</v>
      </c>
      <c r="E1131" s="35" t="s">
        <v>36174</v>
      </c>
      <c r="F1131" s="67">
        <v>43453</v>
      </c>
      <c r="G1131" s="34" t="s">
        <v>36173</v>
      </c>
      <c r="H1131" s="34" t="s">
        <v>12325</v>
      </c>
      <c r="I1131" s="34" t="s">
        <v>376</v>
      </c>
      <c r="J1131" s="34">
        <v>16438</v>
      </c>
      <c r="K1131" s="34" t="s">
        <v>10271</v>
      </c>
      <c r="L1131" s="34" t="s">
        <v>473</v>
      </c>
      <c r="M1131" s="34" t="s">
        <v>21</v>
      </c>
      <c r="N1131" s="34" t="s">
        <v>36172</v>
      </c>
      <c r="O1131" s="34" t="s">
        <v>372</v>
      </c>
      <c r="P1131" s="34" t="s">
        <v>30089</v>
      </c>
      <c r="Q1131" s="35" t="s">
        <v>36171</v>
      </c>
      <c r="R1131" s="34" t="s">
        <v>94</v>
      </c>
      <c r="S1131" s="34" t="s">
        <v>22</v>
      </c>
      <c r="T1131" s="43" t="s">
        <v>26781</v>
      </c>
      <c r="U1131" s="43" t="s">
        <v>26572</v>
      </c>
      <c r="V1131" s="43"/>
      <c r="W1131" s="43" t="s">
        <v>94</v>
      </c>
      <c r="X1131" s="43">
        <v>4314</v>
      </c>
      <c r="Y1131" s="34"/>
      <c r="Z1131" s="34" t="s">
        <v>42967</v>
      </c>
      <c r="AA1131" s="33">
        <v>6533</v>
      </c>
      <c r="AG1131" s="34"/>
      <c r="AK1131" s="34"/>
      <c r="AL1131" s="34"/>
      <c r="AM1131" s="34"/>
      <c r="AN1131" s="34"/>
      <c r="AO1131" s="34"/>
      <c r="AP1131" s="34"/>
      <c r="AQ1131" s="34"/>
      <c r="AR1131" s="34"/>
      <c r="AS1131" s="1"/>
      <c r="AT1131" s="1"/>
      <c r="AU1131" s="1"/>
      <c r="AV1131" s="1"/>
      <c r="AW1131" s="1"/>
      <c r="AX1131" s="1"/>
      <c r="AY1131" s="1"/>
      <c r="AZ1131" s="1"/>
      <c r="BA1131" s="1"/>
      <c r="BB1131" s="1"/>
      <c r="BC1131" s="1"/>
      <c r="BD1131" s="1"/>
      <c r="BE1131" s="1"/>
      <c r="BF1131" s="1"/>
      <c r="BG1131" s="1"/>
      <c r="BH1131" s="1"/>
      <c r="BI1131" s="1"/>
      <c r="BJ1131" s="1"/>
      <c r="BK1131" s="1"/>
      <c r="BL1131" s="1"/>
    </row>
    <row r="1132" spans="1:64" ht="12" customHeight="1" x14ac:dyDescent="0.2">
      <c r="A1132" s="34" t="s">
        <v>3002</v>
      </c>
      <c r="B1132" s="34" t="s">
        <v>23</v>
      </c>
      <c r="C1132" s="34" t="s">
        <v>14</v>
      </c>
      <c r="D1132" s="34" t="s">
        <v>24</v>
      </c>
      <c r="E1132" s="34"/>
      <c r="F1132" s="67">
        <v>43453</v>
      </c>
      <c r="G1132" s="34" t="s">
        <v>36189</v>
      </c>
      <c r="H1132" s="34" t="s">
        <v>584</v>
      </c>
      <c r="I1132" s="34" t="s">
        <v>112</v>
      </c>
      <c r="J1132" s="34">
        <v>85008</v>
      </c>
      <c r="K1132" s="34" t="s">
        <v>585</v>
      </c>
      <c r="L1132" s="34" t="s">
        <v>586</v>
      </c>
      <c r="M1132" s="34" t="s">
        <v>21</v>
      </c>
      <c r="N1132" s="34" t="s">
        <v>36188</v>
      </c>
      <c r="O1132" s="34" t="s">
        <v>372</v>
      </c>
      <c r="P1132" s="34" t="s">
        <v>30089</v>
      </c>
      <c r="Q1132" s="35" t="s">
        <v>36187</v>
      </c>
      <c r="R1132" s="34" t="s">
        <v>23</v>
      </c>
      <c r="S1132" s="34" t="s">
        <v>29</v>
      </c>
      <c r="T1132" s="43" t="s">
        <v>26575</v>
      </c>
      <c r="U1132" s="43" t="s">
        <v>26572</v>
      </c>
      <c r="V1132" s="43" t="s">
        <v>26573</v>
      </c>
      <c r="W1132" s="43" t="s">
        <v>94</v>
      </c>
      <c r="X1132" s="43">
        <v>4313</v>
      </c>
      <c r="Y1132" s="34"/>
      <c r="Z1132" s="34" t="s">
        <v>42968</v>
      </c>
      <c r="AA1132" s="33">
        <v>6537</v>
      </c>
      <c r="AG1132" s="34"/>
      <c r="AK1132" s="34"/>
      <c r="AL1132" s="34"/>
      <c r="AM1132" s="34"/>
      <c r="AN1132" s="34"/>
      <c r="AO1132" s="34"/>
      <c r="AP1132" s="34"/>
      <c r="AQ1132" s="34"/>
      <c r="AR1132" s="34"/>
      <c r="AS1132" s="1"/>
      <c r="AT1132" s="1"/>
      <c r="AU1132" s="1"/>
      <c r="AV1132" s="1"/>
      <c r="AW1132" s="1"/>
      <c r="AX1132" s="1"/>
      <c r="AY1132" s="1"/>
      <c r="AZ1132" s="1"/>
      <c r="BA1132" s="1"/>
      <c r="BB1132" s="1"/>
      <c r="BC1132" s="1"/>
      <c r="BD1132" s="1"/>
      <c r="BE1132" s="1"/>
      <c r="BF1132" s="1"/>
      <c r="BG1132" s="1"/>
      <c r="BH1132" s="1"/>
      <c r="BI1132" s="1"/>
      <c r="BJ1132" s="1"/>
      <c r="BK1132" s="1"/>
      <c r="BL1132" s="1"/>
    </row>
    <row r="1133" spans="1:64" ht="12" customHeight="1" x14ac:dyDescent="0.2">
      <c r="A1133" s="34" t="s">
        <v>36170</v>
      </c>
      <c r="B1133" s="34">
        <v>32</v>
      </c>
      <c r="C1133" s="34" t="s">
        <v>14</v>
      </c>
      <c r="D1133" s="34" t="s">
        <v>24</v>
      </c>
      <c r="E1133" s="34"/>
      <c r="F1133" s="67">
        <v>43453</v>
      </c>
      <c r="G1133" s="34" t="s">
        <v>36169</v>
      </c>
      <c r="H1133" s="34" t="s">
        <v>870</v>
      </c>
      <c r="I1133" s="34" t="s">
        <v>67</v>
      </c>
      <c r="J1133" s="34">
        <v>76110</v>
      </c>
      <c r="K1133" s="34" t="s">
        <v>68</v>
      </c>
      <c r="L1133" s="34" t="s">
        <v>871</v>
      </c>
      <c r="M1133" s="34" t="s">
        <v>21</v>
      </c>
      <c r="N1133" s="34" t="s">
        <v>36168</v>
      </c>
      <c r="O1133" s="34" t="s">
        <v>372</v>
      </c>
      <c r="P1133" s="34" t="s">
        <v>30089</v>
      </c>
      <c r="Q1133" s="35" t="s">
        <v>36167</v>
      </c>
      <c r="R1133" s="34" t="s">
        <v>512</v>
      </c>
      <c r="S1133" s="34" t="s">
        <v>22</v>
      </c>
      <c r="T1133" s="43" t="s">
        <v>26781</v>
      </c>
      <c r="U1133" s="43" t="s">
        <v>26572</v>
      </c>
      <c r="V1133" s="43" t="s">
        <v>26573</v>
      </c>
      <c r="W1133" s="43" t="s">
        <v>94</v>
      </c>
      <c r="X1133" s="43">
        <v>4310</v>
      </c>
      <c r="Y1133" s="34"/>
      <c r="Z1133" s="34" t="s">
        <v>42966</v>
      </c>
      <c r="AA1133" s="33">
        <v>6532</v>
      </c>
      <c r="AG1133" s="34"/>
      <c r="AK1133" s="34"/>
      <c r="AL1133" s="34"/>
      <c r="AM1133" s="34"/>
      <c r="AN1133" s="34"/>
      <c r="AO1133" s="34"/>
      <c r="AP1133" s="34"/>
      <c r="AQ1133" s="34"/>
      <c r="AR1133" s="34"/>
      <c r="AS1133" s="1"/>
      <c r="AT1133" s="1"/>
      <c r="AU1133" s="1"/>
      <c r="AV1133" s="1"/>
      <c r="AW1133" s="1"/>
      <c r="AX1133" s="1"/>
      <c r="AY1133" s="1"/>
      <c r="AZ1133" s="1"/>
      <c r="BA1133" s="1"/>
      <c r="BB1133" s="1"/>
      <c r="BC1133" s="1"/>
      <c r="BD1133" s="1"/>
      <c r="BE1133" s="1"/>
      <c r="BF1133" s="1"/>
      <c r="BG1133" s="1"/>
      <c r="BH1133" s="1"/>
      <c r="BI1133" s="1"/>
      <c r="BJ1133" s="1"/>
      <c r="BK1133" s="1"/>
      <c r="BL1133" s="1"/>
    </row>
    <row r="1134" spans="1:64" ht="12" customHeight="1" x14ac:dyDescent="0.2">
      <c r="A1134" s="34" t="s">
        <v>36186</v>
      </c>
      <c r="B1134" s="34">
        <v>32</v>
      </c>
      <c r="C1134" s="34" t="s">
        <v>103</v>
      </c>
      <c r="D1134" s="34" t="s">
        <v>31</v>
      </c>
      <c r="E1134" s="35" t="s">
        <v>36185</v>
      </c>
      <c r="F1134" s="67">
        <v>43453</v>
      </c>
      <c r="G1134" s="34" t="s">
        <v>36184</v>
      </c>
      <c r="H1134" s="34" t="s">
        <v>5610</v>
      </c>
      <c r="I1134" s="34" t="s">
        <v>56</v>
      </c>
      <c r="J1134" s="34">
        <v>33563</v>
      </c>
      <c r="K1134" s="34" t="s">
        <v>590</v>
      </c>
      <c r="L1134" s="34" t="s">
        <v>591</v>
      </c>
      <c r="M1134" s="34" t="s">
        <v>21</v>
      </c>
      <c r="N1134" s="34" t="s">
        <v>36177</v>
      </c>
      <c r="O1134" s="34" t="s">
        <v>23116</v>
      </c>
      <c r="P1134" s="34" t="s">
        <v>30089</v>
      </c>
      <c r="Q1134" s="35" t="s">
        <v>36176</v>
      </c>
      <c r="R1134" s="34" t="s">
        <v>94</v>
      </c>
      <c r="S1134" s="34" t="s">
        <v>12</v>
      </c>
      <c r="T1134" s="43" t="s">
        <v>29705</v>
      </c>
      <c r="U1134" s="43" t="s">
        <v>26570</v>
      </c>
      <c r="V1134" s="43"/>
      <c r="W1134" s="43"/>
      <c r="X1134" s="43"/>
      <c r="Y1134" s="33" t="s">
        <v>42476</v>
      </c>
      <c r="Z1134" s="34" t="s">
        <v>42968</v>
      </c>
      <c r="AA1134" s="33">
        <v>6534</v>
      </c>
      <c r="AG1134" s="34"/>
      <c r="AK1134" s="34"/>
      <c r="AL1134" s="34"/>
      <c r="AM1134" s="34"/>
      <c r="AN1134" s="34"/>
      <c r="AO1134" s="34"/>
      <c r="AP1134" s="34"/>
      <c r="AQ1134" s="34"/>
      <c r="AR1134" s="34"/>
      <c r="AS1134" s="1"/>
      <c r="AT1134" s="1"/>
      <c r="AU1134" s="1"/>
      <c r="AV1134" s="1"/>
      <c r="AW1134" s="1"/>
      <c r="AX1134" s="1"/>
      <c r="AY1134" s="1"/>
      <c r="AZ1134" s="1"/>
      <c r="BA1134" s="1"/>
      <c r="BB1134" s="1"/>
      <c r="BC1134" s="1"/>
      <c r="BD1134" s="1"/>
      <c r="BE1134" s="1"/>
      <c r="BF1134" s="1"/>
      <c r="BG1134" s="1"/>
      <c r="BH1134" s="1"/>
      <c r="BI1134" s="1"/>
      <c r="BJ1134" s="1"/>
      <c r="BK1134" s="1"/>
      <c r="BL1134" s="1"/>
    </row>
    <row r="1135" spans="1:64" ht="12" customHeight="1" x14ac:dyDescent="0.2">
      <c r="A1135" s="34" t="s">
        <v>36183</v>
      </c>
      <c r="B1135" s="34">
        <v>6</v>
      </c>
      <c r="C1135" s="34" t="s">
        <v>103</v>
      </c>
      <c r="D1135" s="34" t="s">
        <v>31</v>
      </c>
      <c r="E1135" s="35" t="s">
        <v>36182</v>
      </c>
      <c r="F1135" s="67">
        <v>43453</v>
      </c>
      <c r="G1135" s="34" t="s">
        <v>36179</v>
      </c>
      <c r="H1135" s="34" t="s">
        <v>36178</v>
      </c>
      <c r="I1135" s="34" t="s">
        <v>56</v>
      </c>
      <c r="J1135" s="34">
        <v>33594</v>
      </c>
      <c r="K1135" s="34" t="s">
        <v>590</v>
      </c>
      <c r="L1135" s="34" t="s">
        <v>591</v>
      </c>
      <c r="M1135" s="34" t="s">
        <v>21</v>
      </c>
      <c r="N1135" s="34" t="s">
        <v>36177</v>
      </c>
      <c r="O1135" s="34" t="s">
        <v>23116</v>
      </c>
      <c r="P1135" s="34" t="s">
        <v>30089</v>
      </c>
      <c r="Q1135" s="35" t="s">
        <v>36176</v>
      </c>
      <c r="R1135" s="34" t="s">
        <v>94</v>
      </c>
      <c r="S1135" s="34" t="s">
        <v>12</v>
      </c>
      <c r="T1135" s="43" t="s">
        <v>29705</v>
      </c>
      <c r="U1135" s="43" t="s">
        <v>26570</v>
      </c>
      <c r="V1135" s="43"/>
      <c r="W1135" s="43"/>
      <c r="X1135" s="43"/>
      <c r="Y1135" s="33" t="s">
        <v>42476</v>
      </c>
      <c r="Z1135" s="34" t="s">
        <v>42968</v>
      </c>
      <c r="AA1135" s="33">
        <v>6535</v>
      </c>
      <c r="AG1135" s="34"/>
      <c r="AK1135" s="34"/>
      <c r="AL1135" s="34"/>
      <c r="AM1135" s="34"/>
      <c r="AN1135" s="34"/>
      <c r="AO1135" s="34"/>
      <c r="AP1135" s="34"/>
      <c r="AQ1135" s="34"/>
      <c r="AR1135" s="34"/>
      <c r="AS1135" s="1"/>
      <c r="AT1135" s="1"/>
      <c r="AU1135" s="1"/>
      <c r="AV1135" s="1"/>
      <c r="AW1135" s="1"/>
      <c r="AX1135" s="1"/>
      <c r="AY1135" s="1"/>
      <c r="AZ1135" s="1"/>
      <c r="BA1135" s="1"/>
      <c r="BB1135" s="1"/>
      <c r="BC1135" s="1"/>
      <c r="BD1135" s="1"/>
      <c r="BE1135" s="1"/>
      <c r="BF1135" s="1"/>
      <c r="BG1135" s="1"/>
      <c r="BH1135" s="1"/>
      <c r="BI1135" s="1"/>
      <c r="BJ1135" s="1"/>
      <c r="BK1135" s="1"/>
      <c r="BL1135" s="1"/>
    </row>
    <row r="1136" spans="1:64" ht="12" customHeight="1" x14ac:dyDescent="0.2">
      <c r="A1136" s="34" t="s">
        <v>36181</v>
      </c>
      <c r="B1136" s="34">
        <v>54</v>
      </c>
      <c r="C1136" s="34" t="s">
        <v>103</v>
      </c>
      <c r="D1136" s="34" t="s">
        <v>31</v>
      </c>
      <c r="E1136" s="35" t="s">
        <v>36180</v>
      </c>
      <c r="F1136" s="67">
        <v>43453</v>
      </c>
      <c r="G1136" s="34" t="s">
        <v>36179</v>
      </c>
      <c r="H1136" s="34" t="s">
        <v>36178</v>
      </c>
      <c r="I1136" s="34" t="s">
        <v>56</v>
      </c>
      <c r="J1136" s="34">
        <v>33594</v>
      </c>
      <c r="K1136" s="34" t="s">
        <v>590</v>
      </c>
      <c r="L1136" s="34" t="s">
        <v>591</v>
      </c>
      <c r="M1136" s="34" t="s">
        <v>21</v>
      </c>
      <c r="N1136" s="34" t="s">
        <v>36177</v>
      </c>
      <c r="O1136" s="34" t="s">
        <v>23116</v>
      </c>
      <c r="P1136" s="34" t="s">
        <v>30089</v>
      </c>
      <c r="Q1136" s="35" t="s">
        <v>36176</v>
      </c>
      <c r="R1136" s="34" t="s">
        <v>94</v>
      </c>
      <c r="S1136" s="34" t="s">
        <v>12</v>
      </c>
      <c r="T1136" s="43" t="s">
        <v>29705</v>
      </c>
      <c r="U1136" s="43" t="s">
        <v>26570</v>
      </c>
      <c r="V1136" s="43"/>
      <c r="W1136" s="43"/>
      <c r="X1136" s="43"/>
      <c r="Y1136" s="33" t="s">
        <v>42476</v>
      </c>
      <c r="Z1136" s="34" t="s">
        <v>42968</v>
      </c>
      <c r="AA1136" s="33">
        <v>6536</v>
      </c>
      <c r="AG1136" s="34"/>
      <c r="AK1136" s="34"/>
      <c r="AL1136" s="34"/>
      <c r="AM1136" s="34"/>
      <c r="AN1136" s="34"/>
      <c r="AO1136" s="34"/>
      <c r="AP1136" s="34"/>
      <c r="AQ1136" s="34"/>
      <c r="AR1136" s="34"/>
      <c r="AS1136" s="1"/>
      <c r="AT1136" s="1"/>
      <c r="AU1136" s="1"/>
      <c r="AV1136" s="1"/>
      <c r="AW1136" s="1"/>
      <c r="AX1136" s="1"/>
      <c r="AY1136" s="1"/>
      <c r="AZ1136" s="1"/>
      <c r="BA1136" s="1"/>
      <c r="BB1136" s="1"/>
      <c r="BC1136" s="1"/>
      <c r="BD1136" s="1"/>
      <c r="BE1136" s="1"/>
      <c r="BF1136" s="1"/>
      <c r="BG1136" s="1"/>
      <c r="BH1136" s="1"/>
      <c r="BI1136" s="1"/>
      <c r="BJ1136" s="1"/>
      <c r="BK1136" s="1"/>
      <c r="BL1136" s="1"/>
    </row>
    <row r="1137" spans="1:64" ht="12" customHeight="1" x14ac:dyDescent="0.2">
      <c r="A1137" s="34" t="s">
        <v>36150</v>
      </c>
      <c r="B1137" s="34">
        <v>31</v>
      </c>
      <c r="C1137" s="34" t="s">
        <v>103</v>
      </c>
      <c r="D1137" s="34" t="s">
        <v>79</v>
      </c>
      <c r="E1137" s="35" t="s">
        <v>36149</v>
      </c>
      <c r="F1137" s="67">
        <v>43452</v>
      </c>
      <c r="G1137" s="34" t="s">
        <v>36320</v>
      </c>
      <c r="H1137" s="34" t="s">
        <v>6061</v>
      </c>
      <c r="I1137" s="34" t="s">
        <v>225</v>
      </c>
      <c r="J1137" s="34">
        <v>23860</v>
      </c>
      <c r="K1137" s="34" t="s">
        <v>20131</v>
      </c>
      <c r="L1137" s="34" t="s">
        <v>6063</v>
      </c>
      <c r="M1137" s="34" t="s">
        <v>21</v>
      </c>
      <c r="N1137" s="34" t="s">
        <v>36148</v>
      </c>
      <c r="O1137" s="34" t="s">
        <v>372</v>
      </c>
      <c r="P1137" s="34" t="s">
        <v>30089</v>
      </c>
      <c r="Q1137" s="35" t="s">
        <v>36147</v>
      </c>
      <c r="R1137" s="34" t="s">
        <v>94</v>
      </c>
      <c r="S1137" s="34" t="s">
        <v>22</v>
      </c>
      <c r="T1137" s="43" t="s">
        <v>26781</v>
      </c>
      <c r="U1137" s="43" t="s">
        <v>26572</v>
      </c>
      <c r="V1137" s="43" t="s">
        <v>26574</v>
      </c>
      <c r="W1137" s="43" t="s">
        <v>94</v>
      </c>
      <c r="X1137" s="43">
        <v>4302</v>
      </c>
      <c r="Y1137" s="34"/>
      <c r="Z1137" s="34" t="s">
        <v>42968</v>
      </c>
      <c r="AA1137" s="33">
        <v>6528</v>
      </c>
      <c r="AG1137" s="34"/>
      <c r="AK1137" s="34"/>
      <c r="AL1137" s="34"/>
      <c r="AM1137" s="34"/>
      <c r="AN1137" s="34"/>
      <c r="AO1137" s="34"/>
      <c r="AP1137" s="34"/>
      <c r="AQ1137" s="34"/>
      <c r="AR1137" s="34"/>
      <c r="AS1137" s="1"/>
      <c r="AT1137" s="1"/>
      <c r="AU1137" s="1"/>
      <c r="AV1137" s="1"/>
      <c r="AW1137" s="1"/>
      <c r="AX1137" s="1"/>
      <c r="AY1137" s="1"/>
      <c r="AZ1137" s="1"/>
      <c r="BA1137" s="1"/>
      <c r="BB1137" s="1"/>
      <c r="BC1137" s="1"/>
      <c r="BD1137" s="1"/>
      <c r="BE1137" s="1"/>
      <c r="BF1137" s="1"/>
      <c r="BG1137" s="1"/>
      <c r="BH1137" s="1"/>
      <c r="BI1137" s="1"/>
      <c r="BJ1137" s="1"/>
      <c r="BK1137" s="1"/>
      <c r="BL1137" s="1"/>
    </row>
    <row r="1138" spans="1:64" ht="12" customHeight="1" x14ac:dyDescent="0.2">
      <c r="A1138" s="34" t="s">
        <v>36160</v>
      </c>
      <c r="B1138" s="34">
        <v>27</v>
      </c>
      <c r="C1138" s="34" t="s">
        <v>14</v>
      </c>
      <c r="D1138" s="34" t="s">
        <v>79</v>
      </c>
      <c r="E1138" s="34"/>
      <c r="F1138" s="67">
        <v>43452</v>
      </c>
      <c r="G1138" s="34" t="s">
        <v>36159</v>
      </c>
      <c r="H1138" s="34" t="s">
        <v>36158</v>
      </c>
      <c r="I1138" s="34" t="s">
        <v>376</v>
      </c>
      <c r="J1138" s="34">
        <v>18235</v>
      </c>
      <c r="K1138" s="34" t="s">
        <v>8992</v>
      </c>
      <c r="L1138" s="34"/>
      <c r="M1138" s="34" t="s">
        <v>21</v>
      </c>
      <c r="N1138" s="34" t="s">
        <v>36157</v>
      </c>
      <c r="O1138" s="34" t="s">
        <v>372</v>
      </c>
      <c r="P1138" s="34" t="s">
        <v>30089</v>
      </c>
      <c r="Q1138" s="35" t="s">
        <v>36156</v>
      </c>
      <c r="R1138" s="34" t="s">
        <v>94</v>
      </c>
      <c r="S1138" s="34" t="s">
        <v>29</v>
      </c>
      <c r="T1138" s="43" t="s">
        <v>26575</v>
      </c>
      <c r="U1138" s="43" t="s">
        <v>26572</v>
      </c>
      <c r="V1138" s="43" t="s">
        <v>26571</v>
      </c>
      <c r="W1138" s="43" t="s">
        <v>94</v>
      </c>
      <c r="X1138" s="43">
        <v>4312</v>
      </c>
      <c r="Y1138" s="34"/>
      <c r="Z1138" s="34" t="s">
        <v>42967</v>
      </c>
      <c r="AA1138" s="33">
        <v>6531</v>
      </c>
      <c r="AG1138" s="34"/>
      <c r="AK1138" s="34"/>
      <c r="AL1138" s="34"/>
      <c r="AM1138" s="34"/>
      <c r="AN1138" s="34"/>
      <c r="AO1138" s="34"/>
      <c r="AP1138" s="34"/>
      <c r="AQ1138" s="34"/>
      <c r="AR1138" s="34"/>
      <c r="AS1138" s="1"/>
      <c r="AT1138" s="1"/>
      <c r="AU1138" s="1"/>
      <c r="AV1138" s="1"/>
      <c r="AW1138" s="1"/>
      <c r="AX1138" s="1"/>
      <c r="AY1138" s="1"/>
      <c r="AZ1138" s="1"/>
      <c r="BA1138" s="1"/>
      <c r="BB1138" s="1"/>
      <c r="BC1138" s="1"/>
      <c r="BD1138" s="1"/>
      <c r="BE1138" s="1"/>
      <c r="BF1138" s="1"/>
      <c r="BG1138" s="1"/>
      <c r="BH1138" s="1"/>
      <c r="BI1138" s="1"/>
      <c r="BJ1138" s="1"/>
      <c r="BK1138" s="1"/>
      <c r="BL1138" s="1"/>
    </row>
    <row r="1139" spans="1:64" ht="12" customHeight="1" x14ac:dyDescent="0.2">
      <c r="A1139" s="34" t="s">
        <v>36155</v>
      </c>
      <c r="B1139" s="34">
        <v>27</v>
      </c>
      <c r="C1139" s="34" t="s">
        <v>14</v>
      </c>
      <c r="D1139" s="34" t="s">
        <v>31</v>
      </c>
      <c r="E1139" s="35" t="s">
        <v>36154</v>
      </c>
      <c r="F1139" s="67">
        <v>43452</v>
      </c>
      <c r="G1139" s="34" t="s">
        <v>36153</v>
      </c>
      <c r="H1139" s="34" t="s">
        <v>845</v>
      </c>
      <c r="I1139" s="34" t="s">
        <v>376</v>
      </c>
      <c r="J1139" s="34">
        <v>17078</v>
      </c>
      <c r="K1139" s="34" t="s">
        <v>846</v>
      </c>
      <c r="L1139" s="34" t="s">
        <v>473</v>
      </c>
      <c r="M1139" s="34" t="s">
        <v>21</v>
      </c>
      <c r="N1139" s="34" t="s">
        <v>36152</v>
      </c>
      <c r="O1139" s="34" t="s">
        <v>372</v>
      </c>
      <c r="P1139" s="34" t="s">
        <v>30089</v>
      </c>
      <c r="Q1139" s="35" t="s">
        <v>36151</v>
      </c>
      <c r="R1139" s="34" t="s">
        <v>94</v>
      </c>
      <c r="S1139" s="34" t="s">
        <v>22</v>
      </c>
      <c r="T1139" s="43" t="s">
        <v>26774</v>
      </c>
      <c r="U1139" s="43"/>
      <c r="V1139" s="43"/>
      <c r="W1139" s="43"/>
      <c r="X1139" s="43"/>
      <c r="Y1139" s="34"/>
      <c r="Z1139" s="34" t="s">
        <v>42968</v>
      </c>
      <c r="AA1139" s="33">
        <v>6530</v>
      </c>
      <c r="AG1139" s="34"/>
      <c r="AK1139" s="34"/>
      <c r="AL1139" s="34"/>
      <c r="AM1139" s="34"/>
      <c r="AN1139" s="34"/>
      <c r="AO1139" s="34"/>
      <c r="AP1139" s="34"/>
      <c r="AQ1139" s="34"/>
      <c r="AR1139" s="34"/>
      <c r="AS1139" s="1"/>
      <c r="AT1139" s="1"/>
      <c r="AU1139" s="1"/>
      <c r="AV1139" s="1"/>
      <c r="AW1139" s="1"/>
      <c r="AX1139" s="1"/>
      <c r="AY1139" s="1"/>
      <c r="AZ1139" s="1"/>
      <c r="BA1139" s="1"/>
      <c r="BB1139" s="1"/>
      <c r="BC1139" s="1"/>
      <c r="BD1139" s="1"/>
      <c r="BE1139" s="1"/>
      <c r="BF1139" s="1"/>
      <c r="BG1139" s="1"/>
      <c r="BH1139" s="1"/>
      <c r="BI1139" s="1"/>
      <c r="BJ1139" s="1"/>
      <c r="BK1139" s="1"/>
      <c r="BL1139" s="1"/>
    </row>
    <row r="1140" spans="1:64" ht="12" customHeight="1" x14ac:dyDescent="0.2">
      <c r="A1140" s="34" t="s">
        <v>36166</v>
      </c>
      <c r="B1140" s="34">
        <v>24</v>
      </c>
      <c r="C1140" s="34" t="s">
        <v>14</v>
      </c>
      <c r="D1140" s="34" t="s">
        <v>31</v>
      </c>
      <c r="E1140" s="35" t="s">
        <v>36165</v>
      </c>
      <c r="F1140" s="67">
        <v>43452</v>
      </c>
      <c r="G1140" s="34" t="s">
        <v>36164</v>
      </c>
      <c r="H1140" s="34" t="s">
        <v>3721</v>
      </c>
      <c r="I1140" s="34" t="s">
        <v>198</v>
      </c>
      <c r="J1140" s="34">
        <v>47807</v>
      </c>
      <c r="K1140" s="34" t="s">
        <v>3722</v>
      </c>
      <c r="L1140" s="34" t="s">
        <v>36163</v>
      </c>
      <c r="M1140" s="34" t="s">
        <v>21</v>
      </c>
      <c r="N1140" s="34" t="s">
        <v>36162</v>
      </c>
      <c r="O1140" s="34" t="s">
        <v>372</v>
      </c>
      <c r="P1140" s="34" t="s">
        <v>30089</v>
      </c>
      <c r="Q1140" s="35" t="s">
        <v>36161</v>
      </c>
      <c r="R1140" s="34" t="s">
        <v>94</v>
      </c>
      <c r="S1140" s="34" t="s">
        <v>22</v>
      </c>
      <c r="T1140" s="43" t="s">
        <v>26781</v>
      </c>
      <c r="U1140" s="43" t="s">
        <v>26572</v>
      </c>
      <c r="V1140" s="43" t="s">
        <v>26571</v>
      </c>
      <c r="W1140" s="43" t="s">
        <v>94</v>
      </c>
      <c r="X1140" s="43">
        <v>4311</v>
      </c>
      <c r="Y1140" s="34"/>
      <c r="Z1140" s="34" t="s">
        <v>42966</v>
      </c>
      <c r="AA1140" s="33">
        <v>6529</v>
      </c>
      <c r="AG1140" s="34"/>
      <c r="AK1140" s="34"/>
      <c r="AL1140" s="34"/>
      <c r="AM1140" s="34"/>
      <c r="AN1140" s="34"/>
      <c r="AO1140" s="34"/>
      <c r="AP1140" s="34"/>
      <c r="AQ1140" s="34"/>
      <c r="AR1140" s="34"/>
      <c r="AS1140" s="1"/>
      <c r="AT1140" s="1"/>
      <c r="AU1140" s="1"/>
      <c r="AV1140" s="1"/>
      <c r="AW1140" s="1"/>
      <c r="AX1140" s="1"/>
      <c r="AY1140" s="1"/>
      <c r="AZ1140" s="1"/>
      <c r="BA1140" s="1"/>
      <c r="BB1140" s="1"/>
      <c r="BC1140" s="1"/>
      <c r="BD1140" s="1"/>
      <c r="BE1140" s="1"/>
      <c r="BF1140" s="1"/>
      <c r="BG1140" s="1"/>
      <c r="BH1140" s="1"/>
      <c r="BI1140" s="1"/>
      <c r="BJ1140" s="1"/>
      <c r="BK1140" s="1"/>
      <c r="BL1140" s="1"/>
    </row>
    <row r="1141" spans="1:64" ht="12" customHeight="1" x14ac:dyDescent="0.2">
      <c r="A1141" s="34" t="s">
        <v>36142</v>
      </c>
      <c r="B1141" s="34">
        <v>42</v>
      </c>
      <c r="C1141" s="34" t="s">
        <v>14</v>
      </c>
      <c r="D1141" s="34" t="s">
        <v>31</v>
      </c>
      <c r="E1141" s="34"/>
      <c r="F1141" s="67">
        <v>43451</v>
      </c>
      <c r="G1141" s="34" t="s">
        <v>36110</v>
      </c>
      <c r="H1141" s="34" t="s">
        <v>1537</v>
      </c>
      <c r="I1141" s="34" t="s">
        <v>39</v>
      </c>
      <c r="J1141" s="34">
        <v>95833</v>
      </c>
      <c r="K1141" s="34" t="s">
        <v>1537</v>
      </c>
      <c r="L1141" s="34" t="s">
        <v>22038</v>
      </c>
      <c r="M1141" s="34" t="s">
        <v>21</v>
      </c>
      <c r="N1141" s="34" t="s">
        <v>36111</v>
      </c>
      <c r="O1141" s="34" t="s">
        <v>372</v>
      </c>
      <c r="P1141" s="34" t="s">
        <v>30089</v>
      </c>
      <c r="Q1141" s="35" t="s">
        <v>36112</v>
      </c>
      <c r="R1141" s="34" t="s">
        <v>94</v>
      </c>
      <c r="S1141" s="34" t="s">
        <v>22</v>
      </c>
      <c r="T1141" s="43" t="s">
        <v>26781</v>
      </c>
      <c r="U1141" s="43" t="s">
        <v>26570</v>
      </c>
      <c r="V1141" s="43" t="s">
        <v>26573</v>
      </c>
      <c r="W1141" s="43" t="s">
        <v>94</v>
      </c>
      <c r="X1141" s="43">
        <v>4303</v>
      </c>
      <c r="Y1141" s="34"/>
      <c r="Z1141" s="34" t="s">
        <v>42968</v>
      </c>
      <c r="AA1141" s="33">
        <v>6526</v>
      </c>
      <c r="AG1141" s="34"/>
      <c r="AK1141" s="34"/>
      <c r="AL1141" s="34"/>
      <c r="AM1141" s="34"/>
      <c r="AN1141" s="34"/>
      <c r="AO1141" s="34"/>
      <c r="AP1141" s="34"/>
      <c r="AQ1141" s="34"/>
      <c r="AR1141" s="34"/>
      <c r="AS1141" s="1"/>
      <c r="AT1141" s="1"/>
      <c r="AU1141" s="1"/>
      <c r="AV1141" s="1"/>
      <c r="AW1141" s="1"/>
      <c r="AX1141" s="1"/>
      <c r="AY1141" s="1"/>
      <c r="AZ1141" s="1"/>
      <c r="BA1141" s="1"/>
      <c r="BB1141" s="1"/>
      <c r="BC1141" s="1"/>
      <c r="BD1141" s="1"/>
      <c r="BE1141" s="1"/>
      <c r="BF1141" s="1"/>
      <c r="BG1141" s="1"/>
      <c r="BH1141" s="1"/>
      <c r="BI1141" s="1"/>
      <c r="BJ1141" s="1"/>
      <c r="BK1141" s="1"/>
      <c r="BL1141" s="1"/>
    </row>
    <row r="1142" spans="1:64" ht="12" customHeight="1" x14ac:dyDescent="0.2">
      <c r="A1142" s="34" t="s">
        <v>36146</v>
      </c>
      <c r="B1142" s="34">
        <v>34</v>
      </c>
      <c r="C1142" s="34" t="s">
        <v>14</v>
      </c>
      <c r="D1142" s="34" t="s">
        <v>42</v>
      </c>
      <c r="E1142" s="34"/>
      <c r="F1142" s="67">
        <v>43451</v>
      </c>
      <c r="G1142" s="34" t="s">
        <v>36145</v>
      </c>
      <c r="H1142" s="34" t="s">
        <v>584</v>
      </c>
      <c r="I1142" s="34" t="s">
        <v>112</v>
      </c>
      <c r="J1142" s="34">
        <v>85019</v>
      </c>
      <c r="K1142" s="34" t="s">
        <v>585</v>
      </c>
      <c r="L1142" s="34" t="s">
        <v>586</v>
      </c>
      <c r="M1142" s="34" t="s">
        <v>21</v>
      </c>
      <c r="N1142" s="34" t="s">
        <v>36144</v>
      </c>
      <c r="O1142" s="34" t="s">
        <v>372</v>
      </c>
      <c r="P1142" s="34" t="s">
        <v>30089</v>
      </c>
      <c r="Q1142" s="35" t="s">
        <v>36143</v>
      </c>
      <c r="R1142" s="34" t="s">
        <v>94</v>
      </c>
      <c r="S1142" s="34" t="s">
        <v>22</v>
      </c>
      <c r="T1142" s="43" t="s">
        <v>26781</v>
      </c>
      <c r="U1142" s="43" t="s">
        <v>26572</v>
      </c>
      <c r="V1142" s="43" t="s">
        <v>26573</v>
      </c>
      <c r="W1142" s="43" t="s">
        <v>94</v>
      </c>
      <c r="X1142" s="43">
        <v>4301</v>
      </c>
      <c r="Y1142" s="34"/>
      <c r="Z1142" s="34" t="s">
        <v>42968</v>
      </c>
      <c r="AA1142" s="33">
        <v>6525</v>
      </c>
      <c r="AG1142" s="34"/>
      <c r="AK1142" s="34"/>
      <c r="AL1142" s="34"/>
      <c r="AM1142" s="34"/>
      <c r="AN1142" s="34"/>
      <c r="AO1142" s="34"/>
      <c r="AP1142" s="34"/>
      <c r="AQ1142" s="34"/>
      <c r="AR1142" s="34"/>
      <c r="AS1142" s="1"/>
      <c r="AT1142" s="1"/>
      <c r="AU1142" s="1"/>
      <c r="AV1142" s="1"/>
      <c r="AW1142" s="1"/>
      <c r="AX1142" s="1"/>
      <c r="AY1142" s="1"/>
      <c r="AZ1142" s="1"/>
      <c r="BA1142" s="1"/>
      <c r="BB1142" s="1"/>
      <c r="BC1142" s="1"/>
      <c r="BD1142" s="1"/>
      <c r="BE1142" s="1"/>
      <c r="BF1142" s="1"/>
      <c r="BG1142" s="1"/>
      <c r="BH1142" s="1"/>
      <c r="BI1142" s="1"/>
      <c r="BJ1142" s="1"/>
      <c r="BK1142" s="1"/>
      <c r="BL1142" s="1"/>
    </row>
    <row r="1143" spans="1:64" ht="12" customHeight="1" x14ac:dyDescent="0.2">
      <c r="A1143" s="34" t="s">
        <v>36141</v>
      </c>
      <c r="B1143" s="34">
        <v>32</v>
      </c>
      <c r="C1143" s="34" t="s">
        <v>14</v>
      </c>
      <c r="D1143" s="34" t="s">
        <v>79</v>
      </c>
      <c r="E1143" s="34"/>
      <c r="F1143" s="67">
        <v>43451</v>
      </c>
      <c r="G1143" s="34" t="s">
        <v>36140</v>
      </c>
      <c r="H1143" s="34" t="s">
        <v>3508</v>
      </c>
      <c r="I1143" s="34" t="s">
        <v>192</v>
      </c>
      <c r="J1143" s="34">
        <v>80012</v>
      </c>
      <c r="K1143" s="34" t="s">
        <v>3510</v>
      </c>
      <c r="L1143" s="34" t="s">
        <v>3511</v>
      </c>
      <c r="M1143" s="34" t="s">
        <v>363</v>
      </c>
      <c r="N1143" s="34" t="s">
        <v>36139</v>
      </c>
      <c r="O1143" s="34" t="s">
        <v>372</v>
      </c>
      <c r="P1143" s="34" t="s">
        <v>30089</v>
      </c>
      <c r="Q1143" s="35" t="s">
        <v>36138</v>
      </c>
      <c r="R1143" s="34" t="s">
        <v>94</v>
      </c>
      <c r="S1143" s="34" t="s">
        <v>29</v>
      </c>
      <c r="T1143" s="33" t="s">
        <v>41840</v>
      </c>
      <c r="U1143" s="43" t="s">
        <v>26572</v>
      </c>
      <c r="V1143" s="1"/>
      <c r="W1143" s="1"/>
      <c r="X1143" s="1"/>
      <c r="Y1143" s="34"/>
      <c r="Z1143" s="34" t="s">
        <v>42966</v>
      </c>
      <c r="AA1143" s="33">
        <v>6527</v>
      </c>
      <c r="AG1143" s="34"/>
      <c r="AK1143" s="34"/>
      <c r="AL1143" s="34"/>
      <c r="AM1143" s="34"/>
      <c r="AN1143" s="34"/>
      <c r="AO1143" s="34"/>
      <c r="AP1143" s="34"/>
      <c r="AQ1143" s="34"/>
      <c r="AR1143" s="34"/>
      <c r="AS1143" s="1"/>
      <c r="AT1143" s="1"/>
      <c r="AU1143" s="1"/>
      <c r="AV1143" s="1"/>
      <c r="AW1143" s="1"/>
      <c r="AX1143" s="1"/>
      <c r="AY1143" s="1"/>
      <c r="AZ1143" s="1"/>
      <c r="BA1143" s="1"/>
      <c r="BB1143" s="1"/>
      <c r="BC1143" s="1"/>
      <c r="BD1143" s="1"/>
      <c r="BE1143" s="1"/>
      <c r="BF1143" s="1"/>
      <c r="BG1143" s="1"/>
      <c r="BH1143" s="1"/>
      <c r="BI1143" s="1"/>
      <c r="BJ1143" s="1"/>
      <c r="BK1143" s="1"/>
      <c r="BL1143" s="1"/>
    </row>
    <row r="1144" spans="1:64" ht="12" customHeight="1" x14ac:dyDescent="0.2">
      <c r="A1144" s="34" t="s">
        <v>36105</v>
      </c>
      <c r="B1144" s="34">
        <v>35</v>
      </c>
      <c r="C1144" s="34" t="s">
        <v>14</v>
      </c>
      <c r="D1144" s="34" t="s">
        <v>31</v>
      </c>
      <c r="E1144" s="35" t="s">
        <v>36106</v>
      </c>
      <c r="F1144" s="67">
        <v>43450</v>
      </c>
      <c r="G1144" s="34" t="s">
        <v>36107</v>
      </c>
      <c r="H1144" s="34" t="s">
        <v>1027</v>
      </c>
      <c r="I1144" s="34" t="s">
        <v>367</v>
      </c>
      <c r="J1144" s="34">
        <v>73127</v>
      </c>
      <c r="K1144" s="34" t="s">
        <v>1028</v>
      </c>
      <c r="L1144" s="34" t="s">
        <v>1029</v>
      </c>
      <c r="M1144" s="34" t="s">
        <v>21</v>
      </c>
      <c r="N1144" s="34" t="s">
        <v>36108</v>
      </c>
      <c r="O1144" s="34" t="s">
        <v>372</v>
      </c>
      <c r="P1144" s="34" t="s">
        <v>30089</v>
      </c>
      <c r="Q1144" s="35" t="s">
        <v>36109</v>
      </c>
      <c r="R1144" s="34" t="s">
        <v>512</v>
      </c>
      <c r="S1144" s="34" t="s">
        <v>22</v>
      </c>
      <c r="T1144" s="43" t="s">
        <v>26774</v>
      </c>
      <c r="U1144" s="43" t="s">
        <v>26570</v>
      </c>
      <c r="V1144" s="43" t="s">
        <v>26573</v>
      </c>
      <c r="W1144" s="43" t="s">
        <v>94</v>
      </c>
      <c r="X1144" s="43">
        <v>4307</v>
      </c>
      <c r="Y1144" s="34"/>
      <c r="Z1144" s="34" t="s">
        <v>42968</v>
      </c>
      <c r="AA1144" s="33">
        <v>6523</v>
      </c>
      <c r="AG1144" s="34"/>
      <c r="AK1144" s="34"/>
      <c r="AL1144" s="34"/>
      <c r="AM1144" s="34"/>
      <c r="AN1144" s="34"/>
      <c r="AO1144" s="34"/>
      <c r="AP1144" s="34"/>
      <c r="AQ1144" s="34"/>
      <c r="AR1144" s="34"/>
      <c r="AS1144" s="1"/>
      <c r="AT1144" s="1"/>
      <c r="AU1144" s="1"/>
      <c r="AV1144" s="1"/>
      <c r="AW1144" s="1"/>
      <c r="AX1144" s="1"/>
      <c r="AY1144" s="1"/>
      <c r="AZ1144" s="1"/>
      <c r="BA1144" s="1"/>
      <c r="BB1144" s="1"/>
      <c r="BC1144" s="1"/>
      <c r="BD1144" s="1"/>
      <c r="BE1144" s="1"/>
      <c r="BF1144" s="1"/>
      <c r="BG1144" s="1"/>
      <c r="BH1144" s="1"/>
      <c r="BI1144" s="1"/>
      <c r="BJ1144" s="1"/>
      <c r="BK1144" s="1"/>
      <c r="BL1144" s="1"/>
    </row>
    <row r="1145" spans="1:64" ht="12" customHeight="1" x14ac:dyDescent="0.2">
      <c r="A1145" s="34" t="s">
        <v>36137</v>
      </c>
      <c r="B1145" s="34">
        <v>47</v>
      </c>
      <c r="C1145" s="34" t="s">
        <v>103</v>
      </c>
      <c r="D1145" s="34" t="s">
        <v>79</v>
      </c>
      <c r="E1145" s="34"/>
      <c r="F1145" s="67">
        <v>43450</v>
      </c>
      <c r="G1145" s="34" t="s">
        <v>36326</v>
      </c>
      <c r="H1145" s="34" t="s">
        <v>9746</v>
      </c>
      <c r="I1145" s="34" t="s">
        <v>26</v>
      </c>
      <c r="J1145" s="34">
        <v>29532</v>
      </c>
      <c r="K1145" s="34" t="s">
        <v>9746</v>
      </c>
      <c r="L1145" s="34" t="s">
        <v>9747</v>
      </c>
      <c r="M1145" s="34" t="s">
        <v>21</v>
      </c>
      <c r="N1145" s="34" t="s">
        <v>36113</v>
      </c>
      <c r="O1145" s="34" t="s">
        <v>372</v>
      </c>
      <c r="P1145" s="34" t="s">
        <v>30089</v>
      </c>
      <c r="Q1145" s="35" t="s">
        <v>36114</v>
      </c>
      <c r="R1145" s="34" t="s">
        <v>512</v>
      </c>
      <c r="S1145" s="34" t="s">
        <v>22</v>
      </c>
      <c r="T1145" s="43" t="s">
        <v>26774</v>
      </c>
      <c r="U1145" s="43" t="s">
        <v>26570</v>
      </c>
      <c r="V1145" s="43" t="s">
        <v>26573</v>
      </c>
      <c r="W1145" s="43" t="s">
        <v>94</v>
      </c>
      <c r="X1145" s="43">
        <v>4321</v>
      </c>
      <c r="Y1145" s="34"/>
      <c r="Z1145" s="34" t="s">
        <v>42967</v>
      </c>
      <c r="AA1145" s="33">
        <v>6524</v>
      </c>
      <c r="AG1145" s="34"/>
      <c r="AK1145" s="34"/>
      <c r="AL1145" s="34"/>
      <c r="AM1145" s="34"/>
      <c r="AN1145" s="34"/>
      <c r="AO1145" s="34"/>
      <c r="AP1145" s="34"/>
      <c r="AQ1145" s="34"/>
      <c r="AR1145" s="34"/>
      <c r="AS1145" s="1"/>
      <c r="AT1145" s="1"/>
      <c r="AU1145" s="1"/>
      <c r="AV1145" s="1"/>
      <c r="AW1145" s="1"/>
      <c r="AX1145" s="1"/>
      <c r="AY1145" s="1"/>
      <c r="AZ1145" s="1"/>
      <c r="BA1145" s="1"/>
      <c r="BB1145" s="1"/>
      <c r="BC1145" s="1"/>
      <c r="BD1145" s="1"/>
      <c r="BE1145" s="1"/>
      <c r="BF1145" s="1"/>
      <c r="BG1145" s="1"/>
      <c r="BH1145" s="1"/>
      <c r="BI1145" s="1"/>
      <c r="BJ1145" s="1"/>
      <c r="BK1145" s="1"/>
      <c r="BL1145" s="1"/>
    </row>
    <row r="1146" spans="1:64" ht="12" customHeight="1" x14ac:dyDescent="0.2">
      <c r="A1146" s="34" t="s">
        <v>36093</v>
      </c>
      <c r="B1146" s="34">
        <v>50</v>
      </c>
      <c r="C1146" s="34" t="s">
        <v>14</v>
      </c>
      <c r="D1146" s="34" t="s">
        <v>31</v>
      </c>
      <c r="E1146" s="34"/>
      <c r="F1146" s="67">
        <v>43450</v>
      </c>
      <c r="G1146" s="34" t="s">
        <v>36094</v>
      </c>
      <c r="H1146" s="34" t="s">
        <v>1337</v>
      </c>
      <c r="I1146" s="34" t="s">
        <v>112</v>
      </c>
      <c r="J1146" s="34">
        <v>85207</v>
      </c>
      <c r="K1146" s="34" t="s">
        <v>585</v>
      </c>
      <c r="L1146" s="34" t="s">
        <v>1765</v>
      </c>
      <c r="M1146" s="34" t="s">
        <v>21</v>
      </c>
      <c r="N1146" s="34" t="s">
        <v>36095</v>
      </c>
      <c r="O1146" s="34" t="s">
        <v>372</v>
      </c>
      <c r="P1146" s="34" t="s">
        <v>30089</v>
      </c>
      <c r="Q1146" s="35" t="s">
        <v>36096</v>
      </c>
      <c r="R1146" s="34" t="s">
        <v>512</v>
      </c>
      <c r="S1146" s="34" t="s">
        <v>22</v>
      </c>
      <c r="T1146" s="43" t="s">
        <v>26781</v>
      </c>
      <c r="U1146" s="43" t="s">
        <v>26572</v>
      </c>
      <c r="V1146" s="43" t="s">
        <v>26573</v>
      </c>
      <c r="W1146" s="43" t="s">
        <v>94</v>
      </c>
      <c r="X1146" s="43">
        <v>4304</v>
      </c>
      <c r="Y1146" s="34"/>
      <c r="Z1146" s="34" t="s">
        <v>42968</v>
      </c>
      <c r="AA1146" s="33">
        <v>6520</v>
      </c>
      <c r="AG1146" s="34"/>
      <c r="AK1146" s="34"/>
      <c r="AL1146" s="34"/>
      <c r="AM1146" s="34"/>
      <c r="AN1146" s="34"/>
      <c r="AO1146" s="34"/>
      <c r="AP1146" s="34"/>
      <c r="AQ1146" s="34"/>
      <c r="AR1146" s="34"/>
      <c r="AS1146" s="1"/>
      <c r="AT1146" s="1"/>
      <c r="AU1146" s="1"/>
      <c r="AV1146" s="1"/>
      <c r="AW1146" s="1"/>
      <c r="AX1146" s="1"/>
      <c r="AY1146" s="1"/>
      <c r="AZ1146" s="1"/>
      <c r="BA1146" s="1"/>
      <c r="BB1146" s="1"/>
      <c r="BC1146" s="1"/>
      <c r="BD1146" s="1"/>
      <c r="BE1146" s="1"/>
      <c r="BF1146" s="1"/>
      <c r="BG1146" s="1"/>
      <c r="BH1146" s="1"/>
      <c r="BI1146" s="1"/>
      <c r="BJ1146" s="1"/>
      <c r="BK1146" s="1"/>
      <c r="BL1146" s="1"/>
    </row>
    <row r="1147" spans="1:64" ht="12" customHeight="1" x14ac:dyDescent="0.2">
      <c r="A1147" s="34" t="s">
        <v>36099</v>
      </c>
      <c r="B1147" s="34">
        <v>60</v>
      </c>
      <c r="C1147" s="34" t="s">
        <v>14</v>
      </c>
      <c r="D1147" s="34" t="s">
        <v>31</v>
      </c>
      <c r="E1147" s="35" t="s">
        <v>36100</v>
      </c>
      <c r="F1147" s="67">
        <v>43450</v>
      </c>
      <c r="G1147" s="34" t="s">
        <v>36101</v>
      </c>
      <c r="H1147" s="34" t="s">
        <v>36102</v>
      </c>
      <c r="I1147" s="34" t="s">
        <v>63</v>
      </c>
      <c r="J1147" s="34">
        <v>44606</v>
      </c>
      <c r="K1147" s="34" t="s">
        <v>1057</v>
      </c>
      <c r="L1147" s="34" t="s">
        <v>29602</v>
      </c>
      <c r="M1147" s="34" t="s">
        <v>21</v>
      </c>
      <c r="N1147" s="34" t="s">
        <v>36103</v>
      </c>
      <c r="O1147" s="34" t="s">
        <v>372</v>
      </c>
      <c r="P1147" s="34" t="s">
        <v>30089</v>
      </c>
      <c r="Q1147" s="35" t="s">
        <v>36104</v>
      </c>
      <c r="R1147" s="34" t="s">
        <v>512</v>
      </c>
      <c r="S1147" s="34" t="s">
        <v>22</v>
      </c>
      <c r="T1147" s="43" t="s">
        <v>26781</v>
      </c>
      <c r="U1147" s="43" t="s">
        <v>26570</v>
      </c>
      <c r="V1147" s="43"/>
      <c r="W1147" s="43" t="s">
        <v>512</v>
      </c>
      <c r="X1147" s="43">
        <v>4305</v>
      </c>
      <c r="Y1147" s="34"/>
      <c r="Z1147" s="34" t="s">
        <v>42967</v>
      </c>
      <c r="AA1147" s="33">
        <v>6521</v>
      </c>
      <c r="AG1147" s="34"/>
      <c r="AK1147" s="34"/>
      <c r="AL1147" s="34"/>
      <c r="AM1147" s="34"/>
      <c r="AN1147" s="34"/>
      <c r="AO1147" s="34"/>
      <c r="AP1147" s="34"/>
      <c r="AQ1147" s="34"/>
      <c r="AR1147" s="34"/>
      <c r="AS1147" s="1"/>
      <c r="AT1147" s="1"/>
      <c r="AU1147" s="1"/>
      <c r="AV1147" s="1"/>
      <c r="AW1147" s="1"/>
      <c r="AX1147" s="1"/>
      <c r="AY1147" s="1"/>
      <c r="AZ1147" s="1"/>
      <c r="BA1147" s="1"/>
      <c r="BB1147" s="1"/>
      <c r="BC1147" s="1"/>
      <c r="BD1147" s="1"/>
      <c r="BE1147" s="1"/>
      <c r="BF1147" s="1"/>
      <c r="BG1147" s="1"/>
      <c r="BH1147" s="1"/>
      <c r="BI1147" s="1"/>
      <c r="BJ1147" s="1"/>
      <c r="BK1147" s="1"/>
      <c r="BL1147" s="1"/>
    </row>
    <row r="1148" spans="1:64" ht="12" customHeight="1" x14ac:dyDescent="0.2">
      <c r="A1148" s="34" t="s">
        <v>36097</v>
      </c>
      <c r="B1148" s="34">
        <v>46</v>
      </c>
      <c r="C1148" s="34" t="s">
        <v>14</v>
      </c>
      <c r="D1148" s="34" t="s">
        <v>24</v>
      </c>
      <c r="E1148" s="34"/>
      <c r="F1148" s="67">
        <v>43450</v>
      </c>
      <c r="G1148" s="34" t="s">
        <v>36327</v>
      </c>
      <c r="H1148" s="34" t="s">
        <v>401</v>
      </c>
      <c r="I1148" s="34" t="s">
        <v>337</v>
      </c>
      <c r="J1148" s="34">
        <v>66102</v>
      </c>
      <c r="K1148" s="34" t="s">
        <v>554</v>
      </c>
      <c r="L1148" s="34" t="s">
        <v>42466</v>
      </c>
      <c r="M1148" s="34" t="s">
        <v>21</v>
      </c>
      <c r="N1148" s="34" t="s">
        <v>36397</v>
      </c>
      <c r="O1148" s="34" t="s">
        <v>372</v>
      </c>
      <c r="P1148" s="34" t="s">
        <v>30089</v>
      </c>
      <c r="Q1148" s="35" t="s">
        <v>36098</v>
      </c>
      <c r="R1148" s="34" t="s">
        <v>94</v>
      </c>
      <c r="S1148" s="34" t="s">
        <v>22</v>
      </c>
      <c r="T1148" s="43" t="s">
        <v>26781</v>
      </c>
      <c r="U1148" s="43" t="s">
        <v>26572</v>
      </c>
      <c r="V1148" s="43" t="s">
        <v>26573</v>
      </c>
      <c r="W1148" s="43" t="s">
        <v>94</v>
      </c>
      <c r="X1148" s="43">
        <v>4316</v>
      </c>
      <c r="Y1148" s="34"/>
      <c r="Z1148" s="34" t="s">
        <v>42966</v>
      </c>
      <c r="AA1148" s="33">
        <v>6522</v>
      </c>
      <c r="AG1148" s="34"/>
      <c r="AK1148" s="34"/>
      <c r="AL1148" s="34"/>
      <c r="AM1148" s="34"/>
      <c r="AN1148" s="34"/>
      <c r="AO1148" s="34"/>
      <c r="AP1148" s="34"/>
      <c r="AQ1148" s="34"/>
      <c r="AR1148" s="34"/>
      <c r="AS1148" s="1"/>
      <c r="AT1148" s="1"/>
      <c r="AU1148" s="1"/>
      <c r="AV1148" s="1"/>
      <c r="AW1148" s="1"/>
      <c r="AX1148" s="1"/>
      <c r="AY1148" s="1"/>
      <c r="AZ1148" s="1"/>
      <c r="BA1148" s="1"/>
      <c r="BB1148" s="1"/>
      <c r="BC1148" s="1"/>
      <c r="BD1148" s="1"/>
      <c r="BE1148" s="1"/>
      <c r="BF1148" s="1"/>
      <c r="BG1148" s="1"/>
      <c r="BH1148" s="1"/>
      <c r="BI1148" s="1"/>
      <c r="BJ1148" s="1"/>
      <c r="BK1148" s="1"/>
      <c r="BL1148" s="1"/>
    </row>
    <row r="1149" spans="1:64" ht="12" customHeight="1" x14ac:dyDescent="0.2">
      <c r="A1149" s="34" t="s">
        <v>36084</v>
      </c>
      <c r="B1149" s="34">
        <v>35</v>
      </c>
      <c r="C1149" s="34" t="s">
        <v>14</v>
      </c>
      <c r="D1149" s="34" t="s">
        <v>42</v>
      </c>
      <c r="E1149" s="35" t="s">
        <v>36085</v>
      </c>
      <c r="F1149" s="67">
        <v>43449</v>
      </c>
      <c r="G1149" s="34" t="s">
        <v>36086</v>
      </c>
      <c r="H1149" s="34" t="s">
        <v>2416</v>
      </c>
      <c r="I1149" s="34" t="s">
        <v>39</v>
      </c>
      <c r="J1149" s="34">
        <v>93230</v>
      </c>
      <c r="K1149" s="34" t="s">
        <v>1601</v>
      </c>
      <c r="L1149" s="34" t="s">
        <v>2418</v>
      </c>
      <c r="M1149" s="34" t="s">
        <v>21</v>
      </c>
      <c r="N1149" s="34" t="s">
        <v>36087</v>
      </c>
      <c r="O1149" s="34" t="s">
        <v>372</v>
      </c>
      <c r="P1149" s="34" t="s">
        <v>30089</v>
      </c>
      <c r="Q1149" s="35" t="s">
        <v>36088</v>
      </c>
      <c r="R1149" s="34" t="s">
        <v>94</v>
      </c>
      <c r="S1149" s="34" t="s">
        <v>22</v>
      </c>
      <c r="T1149" s="43" t="s">
        <v>26774</v>
      </c>
      <c r="U1149" s="43" t="s">
        <v>26572</v>
      </c>
      <c r="V1149" s="43" t="s">
        <v>26573</v>
      </c>
      <c r="W1149" s="43" t="s">
        <v>94</v>
      </c>
      <c r="X1149" s="43">
        <v>4308</v>
      </c>
      <c r="Y1149" s="34"/>
      <c r="Z1149" s="34" t="s">
        <v>42968</v>
      </c>
      <c r="AA1149" s="33">
        <v>6519</v>
      </c>
      <c r="AG1149" s="34"/>
      <c r="AK1149" s="34"/>
      <c r="AL1149" s="34"/>
      <c r="AM1149" s="34"/>
      <c r="AN1149" s="34"/>
      <c r="AO1149" s="34"/>
      <c r="AP1149" s="34"/>
      <c r="AQ1149" s="34"/>
      <c r="AR1149" s="34"/>
      <c r="AS1149" s="1"/>
      <c r="AT1149" s="1"/>
      <c r="AU1149" s="1"/>
      <c r="AV1149" s="1"/>
      <c r="AW1149" s="1"/>
      <c r="AX1149" s="1"/>
      <c r="AY1149" s="1"/>
      <c r="AZ1149" s="1"/>
      <c r="BA1149" s="1"/>
      <c r="BB1149" s="1"/>
      <c r="BC1149" s="1"/>
      <c r="BD1149" s="1"/>
      <c r="BE1149" s="1"/>
      <c r="BF1149" s="1"/>
      <c r="BG1149" s="1"/>
      <c r="BH1149" s="1"/>
      <c r="BI1149" s="1"/>
      <c r="BJ1149" s="1"/>
      <c r="BK1149" s="1"/>
      <c r="BL1149" s="1"/>
    </row>
    <row r="1150" spans="1:64" ht="12" customHeight="1" x14ac:dyDescent="0.2">
      <c r="A1150" s="34" t="s">
        <v>36089</v>
      </c>
      <c r="B1150" s="34">
        <v>57</v>
      </c>
      <c r="C1150" s="34" t="s">
        <v>14</v>
      </c>
      <c r="D1150" s="34" t="s">
        <v>24</v>
      </c>
      <c r="E1150" s="34"/>
      <c r="F1150" s="67">
        <v>43449</v>
      </c>
      <c r="G1150" s="34" t="s">
        <v>36090</v>
      </c>
      <c r="H1150" s="34" t="s">
        <v>14189</v>
      </c>
      <c r="I1150" s="34" t="s">
        <v>395</v>
      </c>
      <c r="J1150" s="34">
        <v>11967</v>
      </c>
      <c r="K1150" s="34" t="s">
        <v>1588</v>
      </c>
      <c r="L1150" s="34" t="s">
        <v>3093</v>
      </c>
      <c r="M1150" s="34" t="s">
        <v>21</v>
      </c>
      <c r="N1150" s="34" t="s">
        <v>36091</v>
      </c>
      <c r="O1150" s="34" t="s">
        <v>372</v>
      </c>
      <c r="P1150" s="34" t="s">
        <v>30089</v>
      </c>
      <c r="Q1150" s="35" t="s">
        <v>36092</v>
      </c>
      <c r="R1150" s="34" t="s">
        <v>512</v>
      </c>
      <c r="S1150" s="34" t="s">
        <v>22</v>
      </c>
      <c r="T1150" s="43" t="s">
        <v>26774</v>
      </c>
      <c r="U1150" s="43" t="s">
        <v>26570</v>
      </c>
      <c r="V1150" s="43" t="s">
        <v>26573</v>
      </c>
      <c r="W1150" s="43" t="s">
        <v>94</v>
      </c>
      <c r="X1150" s="43">
        <v>4306</v>
      </c>
      <c r="Y1150" s="34"/>
      <c r="Z1150" s="34" t="s">
        <v>42968</v>
      </c>
      <c r="AA1150" s="33">
        <v>6518</v>
      </c>
      <c r="AG1150" s="34"/>
      <c r="AK1150" s="34"/>
      <c r="AL1150" s="34"/>
      <c r="AM1150" s="34"/>
      <c r="AN1150" s="34"/>
      <c r="AO1150" s="34"/>
      <c r="AP1150" s="34"/>
      <c r="AQ1150" s="34"/>
      <c r="AR1150" s="34"/>
      <c r="AS1150" s="1"/>
      <c r="AT1150" s="1"/>
      <c r="AU1150" s="1"/>
      <c r="AV1150" s="1"/>
      <c r="AW1150" s="1"/>
      <c r="AX1150" s="1"/>
      <c r="AY1150" s="1"/>
      <c r="AZ1150" s="1"/>
      <c r="BA1150" s="1"/>
      <c r="BB1150" s="1"/>
      <c r="BC1150" s="1"/>
      <c r="BD1150" s="1"/>
      <c r="BE1150" s="1"/>
      <c r="BF1150" s="1"/>
      <c r="BG1150" s="1"/>
      <c r="BH1150" s="1"/>
      <c r="BI1150" s="1"/>
      <c r="BJ1150" s="1"/>
      <c r="BK1150" s="1"/>
      <c r="BL1150" s="1"/>
    </row>
    <row r="1151" spans="1:64" ht="12" customHeight="1" x14ac:dyDescent="0.2">
      <c r="A1151" s="34" t="s">
        <v>36080</v>
      </c>
      <c r="B1151" s="34">
        <v>54</v>
      </c>
      <c r="C1151" s="34" t="s">
        <v>14</v>
      </c>
      <c r="D1151" s="34" t="s">
        <v>24</v>
      </c>
      <c r="E1151" s="34"/>
      <c r="F1151" s="67">
        <v>43448</v>
      </c>
      <c r="G1151" s="34" t="s">
        <v>36328</v>
      </c>
      <c r="H1151" s="34" t="s">
        <v>485</v>
      </c>
      <c r="I1151" s="34" t="s">
        <v>75</v>
      </c>
      <c r="J1151" s="34">
        <v>7104</v>
      </c>
      <c r="K1151" s="34" t="s">
        <v>486</v>
      </c>
      <c r="L1151" s="34" t="s">
        <v>487</v>
      </c>
      <c r="M1151" s="34" t="s">
        <v>21</v>
      </c>
      <c r="N1151" s="34" t="s">
        <v>36398</v>
      </c>
      <c r="O1151" s="34" t="s">
        <v>372</v>
      </c>
      <c r="P1151" s="34" t="s">
        <v>30089</v>
      </c>
      <c r="Q1151" s="35" t="s">
        <v>36081</v>
      </c>
      <c r="R1151" s="34" t="s">
        <v>94</v>
      </c>
      <c r="S1151" s="34" t="s">
        <v>22</v>
      </c>
      <c r="T1151" s="43" t="s">
        <v>26781</v>
      </c>
      <c r="U1151" s="43" t="s">
        <v>26572</v>
      </c>
      <c r="V1151" s="43"/>
      <c r="W1151" s="43"/>
      <c r="X1151" s="43"/>
      <c r="Y1151" s="34"/>
      <c r="Z1151" s="34" t="s">
        <v>42966</v>
      </c>
      <c r="AA1151" s="33">
        <v>6516</v>
      </c>
      <c r="AG1151" s="34"/>
      <c r="AK1151" s="34"/>
      <c r="AL1151" s="34"/>
      <c r="AM1151" s="34"/>
      <c r="AN1151" s="34"/>
      <c r="AO1151" s="34"/>
      <c r="AP1151" s="34"/>
      <c r="AQ1151" s="34"/>
      <c r="AR1151" s="34"/>
      <c r="AS1151" s="1"/>
      <c r="AT1151" s="1"/>
      <c r="AU1151" s="1"/>
      <c r="AV1151" s="1"/>
      <c r="AW1151" s="1"/>
      <c r="AX1151" s="1"/>
      <c r="AY1151" s="1"/>
      <c r="AZ1151" s="1"/>
      <c r="BA1151" s="1"/>
      <c r="BB1151" s="1"/>
      <c r="BC1151" s="1"/>
      <c r="BD1151" s="1"/>
      <c r="BE1151" s="1"/>
      <c r="BF1151" s="1"/>
      <c r="BG1151" s="1"/>
      <c r="BH1151" s="1"/>
      <c r="BI1151" s="1"/>
      <c r="BJ1151" s="1"/>
      <c r="BK1151" s="1"/>
      <c r="BL1151" s="1"/>
    </row>
    <row r="1152" spans="1:64" ht="12" customHeight="1" x14ac:dyDescent="0.2">
      <c r="A1152" s="34" t="s">
        <v>36082</v>
      </c>
      <c r="B1152" s="34">
        <v>66</v>
      </c>
      <c r="C1152" s="34" t="s">
        <v>14</v>
      </c>
      <c r="D1152" s="34" t="s">
        <v>24</v>
      </c>
      <c r="E1152" s="34"/>
      <c r="F1152" s="67">
        <v>43448</v>
      </c>
      <c r="G1152" s="34" t="s">
        <v>36329</v>
      </c>
      <c r="H1152" s="34" t="s">
        <v>5737</v>
      </c>
      <c r="I1152" s="34" t="s">
        <v>282</v>
      </c>
      <c r="J1152" s="34">
        <v>98908</v>
      </c>
      <c r="K1152" s="34" t="s">
        <v>5737</v>
      </c>
      <c r="L1152" s="34" t="s">
        <v>9555</v>
      </c>
      <c r="M1152" s="34" t="s">
        <v>21</v>
      </c>
      <c r="N1152" s="34" t="s">
        <v>36399</v>
      </c>
      <c r="O1152" s="34" t="s">
        <v>372</v>
      </c>
      <c r="P1152" s="34" t="s">
        <v>30089</v>
      </c>
      <c r="Q1152" s="35" t="s">
        <v>36083</v>
      </c>
      <c r="R1152" s="34" t="s">
        <v>23</v>
      </c>
      <c r="S1152" s="34" t="s">
        <v>351</v>
      </c>
      <c r="T1152" s="43" t="s">
        <v>26867</v>
      </c>
      <c r="U1152" s="1"/>
      <c r="V1152" s="1"/>
      <c r="W1152" s="1"/>
      <c r="X1152" s="1"/>
      <c r="Y1152" s="34"/>
      <c r="Z1152" s="34" t="s">
        <v>42968</v>
      </c>
      <c r="AA1152" s="33">
        <v>6517</v>
      </c>
      <c r="AG1152" s="34"/>
      <c r="AK1152" s="34"/>
      <c r="AL1152" s="34"/>
      <c r="AM1152" s="34"/>
      <c r="AN1152" s="34"/>
      <c r="AO1152" s="34"/>
      <c r="AP1152" s="34"/>
      <c r="AQ1152" s="34"/>
      <c r="AR1152" s="34"/>
      <c r="AS1152" s="1"/>
      <c r="AT1152" s="1"/>
      <c r="AU1152" s="1"/>
      <c r="AV1152" s="1"/>
      <c r="AW1152" s="1"/>
      <c r="AX1152" s="1"/>
      <c r="AY1152" s="1"/>
      <c r="AZ1152" s="1"/>
      <c r="BA1152" s="1"/>
      <c r="BB1152" s="1"/>
      <c r="BC1152" s="1"/>
      <c r="BD1152" s="1"/>
      <c r="BE1152" s="1"/>
      <c r="BF1152" s="1"/>
      <c r="BG1152" s="1"/>
      <c r="BH1152" s="1"/>
      <c r="BI1152" s="1"/>
      <c r="BJ1152" s="1"/>
      <c r="BK1152" s="1"/>
      <c r="BL1152" s="1"/>
    </row>
    <row r="1153" spans="1:64" ht="12" customHeight="1" x14ac:dyDescent="0.2">
      <c r="A1153" s="34" t="s">
        <v>23606</v>
      </c>
      <c r="B1153" s="34">
        <v>35</v>
      </c>
      <c r="C1153" s="34" t="s">
        <v>14</v>
      </c>
      <c r="D1153" s="34" t="s">
        <v>24</v>
      </c>
      <c r="E1153" s="34"/>
      <c r="F1153" s="67">
        <v>43447</v>
      </c>
      <c r="G1153" s="34" t="s">
        <v>36330</v>
      </c>
      <c r="H1153" s="34" t="s">
        <v>28396</v>
      </c>
      <c r="I1153" s="34" t="s">
        <v>39</v>
      </c>
      <c r="J1153" s="34">
        <v>95919</v>
      </c>
      <c r="K1153" s="34" t="s">
        <v>1245</v>
      </c>
      <c r="L1153" s="34" t="s">
        <v>1246</v>
      </c>
      <c r="M1153" s="34" t="s">
        <v>21</v>
      </c>
      <c r="N1153" s="34" t="s">
        <v>36059</v>
      </c>
      <c r="O1153" s="34" t="s">
        <v>372</v>
      </c>
      <c r="P1153" s="34" t="s">
        <v>30089</v>
      </c>
      <c r="Q1153" s="35" t="s">
        <v>36060</v>
      </c>
      <c r="R1153" s="34" t="s">
        <v>23</v>
      </c>
      <c r="S1153" s="34" t="s">
        <v>22</v>
      </c>
      <c r="T1153" s="43" t="s">
        <v>26781</v>
      </c>
      <c r="U1153" s="43" t="s">
        <v>26572</v>
      </c>
      <c r="V1153" s="43"/>
      <c r="W1153" s="43"/>
      <c r="X1153" s="43"/>
      <c r="Y1153" s="34"/>
      <c r="Z1153" s="34" t="s">
        <v>42967</v>
      </c>
      <c r="AA1153" s="33">
        <v>6511</v>
      </c>
      <c r="AG1153" s="34"/>
      <c r="AK1153" s="34"/>
      <c r="AL1153" s="34"/>
      <c r="AM1153" s="34"/>
      <c r="AN1153" s="34"/>
      <c r="AO1153" s="34"/>
      <c r="AP1153" s="34"/>
      <c r="AQ1153" s="34"/>
      <c r="AR1153" s="34"/>
      <c r="AS1153" s="1"/>
      <c r="AT1153" s="1"/>
      <c r="AU1153" s="1"/>
      <c r="AV1153" s="1"/>
      <c r="AW1153" s="1"/>
      <c r="AX1153" s="1"/>
      <c r="AY1153" s="1"/>
      <c r="AZ1153" s="1"/>
      <c r="BA1153" s="1"/>
      <c r="BB1153" s="1"/>
      <c r="BC1153" s="1"/>
      <c r="BD1153" s="1"/>
      <c r="BE1153" s="1"/>
      <c r="BF1153" s="1"/>
      <c r="BG1153" s="1"/>
      <c r="BH1153" s="1"/>
      <c r="BI1153" s="1"/>
      <c r="BJ1153" s="1"/>
      <c r="BK1153" s="1"/>
      <c r="BL1153" s="1"/>
    </row>
    <row r="1154" spans="1:64" ht="12" customHeight="1" x14ac:dyDescent="0.2">
      <c r="A1154" s="34" t="s">
        <v>36075</v>
      </c>
      <c r="B1154" s="34">
        <v>42</v>
      </c>
      <c r="C1154" s="34" t="s">
        <v>14</v>
      </c>
      <c r="D1154" s="34" t="s">
        <v>79</v>
      </c>
      <c r="E1154" s="35" t="s">
        <v>36076</v>
      </c>
      <c r="F1154" s="67">
        <v>43447</v>
      </c>
      <c r="G1154" s="34" t="s">
        <v>36077</v>
      </c>
      <c r="H1154" s="34" t="s">
        <v>1116</v>
      </c>
      <c r="I1154" s="34" t="s">
        <v>298</v>
      </c>
      <c r="J1154" s="34">
        <v>38128</v>
      </c>
      <c r="K1154" s="34" t="s">
        <v>1117</v>
      </c>
      <c r="L1154" s="34" t="s">
        <v>1118</v>
      </c>
      <c r="M1154" s="34" t="s">
        <v>21</v>
      </c>
      <c r="N1154" s="34" t="s">
        <v>36078</v>
      </c>
      <c r="O1154" s="34" t="s">
        <v>372</v>
      </c>
      <c r="P1154" s="34" t="s">
        <v>30089</v>
      </c>
      <c r="Q1154" s="35" t="s">
        <v>36079</v>
      </c>
      <c r="R1154" s="34" t="s">
        <v>23</v>
      </c>
      <c r="S1154" s="34" t="s">
        <v>12</v>
      </c>
      <c r="T1154" s="54" t="s">
        <v>29425</v>
      </c>
      <c r="U1154" s="43" t="s">
        <v>26572</v>
      </c>
      <c r="V1154" s="43"/>
      <c r="W1154" s="43"/>
      <c r="X1154" s="33">
        <v>4317</v>
      </c>
      <c r="Y1154" s="34"/>
      <c r="Z1154" s="34" t="s">
        <v>42968</v>
      </c>
      <c r="AA1154" s="33">
        <v>6514</v>
      </c>
      <c r="AG1154" s="34"/>
      <c r="AK1154" s="34"/>
      <c r="AL1154" s="34"/>
      <c r="AM1154" s="34"/>
      <c r="AN1154" s="34"/>
      <c r="AO1154" s="34"/>
      <c r="AP1154" s="34"/>
      <c r="AQ1154" s="34"/>
      <c r="AR1154" s="34"/>
      <c r="AS1154" s="1"/>
      <c r="AT1154" s="1"/>
      <c r="AU1154" s="1"/>
      <c r="AV1154" s="1"/>
      <c r="AW1154" s="1"/>
      <c r="AX1154" s="1"/>
      <c r="AY1154" s="1"/>
      <c r="AZ1154" s="1"/>
      <c r="BA1154" s="1"/>
      <c r="BB1154" s="1"/>
      <c r="BC1154" s="1"/>
      <c r="BD1154" s="1"/>
      <c r="BE1154" s="1"/>
      <c r="BF1154" s="1"/>
      <c r="BG1154" s="1"/>
      <c r="BH1154" s="1"/>
      <c r="BI1154" s="1"/>
      <c r="BJ1154" s="1"/>
      <c r="BK1154" s="1"/>
      <c r="BL1154" s="1"/>
    </row>
    <row r="1155" spans="1:64" ht="12" customHeight="1" x14ac:dyDescent="0.2">
      <c r="A1155" s="34" t="s">
        <v>36071</v>
      </c>
      <c r="B1155" s="34">
        <v>33</v>
      </c>
      <c r="C1155" s="34" t="s">
        <v>14</v>
      </c>
      <c r="D1155" s="34" t="s">
        <v>24</v>
      </c>
      <c r="E1155" s="34"/>
      <c r="F1155" s="67">
        <v>43447</v>
      </c>
      <c r="G1155" s="34" t="s">
        <v>36072</v>
      </c>
      <c r="H1155" s="34" t="s">
        <v>974</v>
      </c>
      <c r="I1155" s="34" t="s">
        <v>160</v>
      </c>
      <c r="J1155" s="34">
        <v>30032</v>
      </c>
      <c r="K1155" s="34" t="s">
        <v>805</v>
      </c>
      <c r="L1155" s="34" t="s">
        <v>806</v>
      </c>
      <c r="M1155" s="34" t="s">
        <v>21</v>
      </c>
      <c r="N1155" s="34" t="s">
        <v>36073</v>
      </c>
      <c r="O1155" s="34" t="s">
        <v>372</v>
      </c>
      <c r="P1155" s="34" t="s">
        <v>30089</v>
      </c>
      <c r="Q1155" s="35" t="s">
        <v>36074</v>
      </c>
      <c r="R1155" s="34" t="s">
        <v>94</v>
      </c>
      <c r="S1155" s="34" t="s">
        <v>22</v>
      </c>
      <c r="T1155" s="43" t="s">
        <v>26781</v>
      </c>
      <c r="U1155" s="43" t="s">
        <v>26572</v>
      </c>
      <c r="V1155" s="43"/>
      <c r="W1155" s="43"/>
      <c r="X1155" s="43"/>
      <c r="Y1155" s="34"/>
      <c r="Z1155" s="34" t="s">
        <v>42968</v>
      </c>
      <c r="AA1155" s="33">
        <v>6512</v>
      </c>
      <c r="AG1155" s="34"/>
      <c r="AK1155" s="34"/>
      <c r="AL1155" s="34"/>
      <c r="AM1155" s="34"/>
      <c r="AN1155" s="34"/>
      <c r="AO1155" s="34"/>
      <c r="AP1155" s="34"/>
      <c r="AQ1155" s="34"/>
      <c r="AR1155" s="34"/>
      <c r="AS1155" s="1"/>
      <c r="AT1155" s="1"/>
      <c r="AU1155" s="1"/>
      <c r="AV1155" s="1"/>
      <c r="AW1155" s="1"/>
      <c r="AX1155" s="1"/>
      <c r="AY1155" s="1"/>
      <c r="AZ1155" s="1"/>
      <c r="BA1155" s="1"/>
      <c r="BB1155" s="1"/>
      <c r="BC1155" s="1"/>
      <c r="BD1155" s="1"/>
      <c r="BE1155" s="1"/>
      <c r="BF1155" s="1"/>
      <c r="BG1155" s="1"/>
      <c r="BH1155" s="1"/>
      <c r="BI1155" s="1"/>
      <c r="BJ1155" s="1"/>
      <c r="BK1155" s="1"/>
      <c r="BL1155" s="1"/>
    </row>
    <row r="1156" spans="1:64" ht="12" customHeight="1" x14ac:dyDescent="0.2">
      <c r="A1156" s="34" t="s">
        <v>3002</v>
      </c>
      <c r="B1156" s="34" t="s">
        <v>23</v>
      </c>
      <c r="C1156" s="34" t="s">
        <v>14</v>
      </c>
      <c r="D1156" s="34" t="s">
        <v>42</v>
      </c>
      <c r="E1156" s="34"/>
      <c r="F1156" s="67">
        <v>43447</v>
      </c>
      <c r="G1156" s="34" t="s">
        <v>36061</v>
      </c>
      <c r="H1156" s="34" t="s">
        <v>36062</v>
      </c>
      <c r="I1156" s="34" t="s">
        <v>39</v>
      </c>
      <c r="J1156" s="34">
        <v>91786</v>
      </c>
      <c r="K1156" s="34" t="s">
        <v>288</v>
      </c>
      <c r="L1156" s="34" t="s">
        <v>36063</v>
      </c>
      <c r="M1156" s="34" t="s">
        <v>21</v>
      </c>
      <c r="N1156" s="34" t="s">
        <v>36064</v>
      </c>
      <c r="O1156" s="34" t="s">
        <v>372</v>
      </c>
      <c r="P1156" s="34" t="s">
        <v>30089</v>
      </c>
      <c r="Q1156" s="35" t="s">
        <v>36065</v>
      </c>
      <c r="R1156" s="34" t="s">
        <v>94</v>
      </c>
      <c r="S1156" s="34" t="s">
        <v>12</v>
      </c>
      <c r="T1156" s="54" t="s">
        <v>29425</v>
      </c>
      <c r="U1156" s="43" t="s">
        <v>26572</v>
      </c>
      <c r="V1156" s="43"/>
      <c r="W1156" s="43"/>
      <c r="X1156" s="43"/>
      <c r="Y1156" s="34"/>
      <c r="Z1156" s="34" t="s">
        <v>42968</v>
      </c>
      <c r="AA1156" s="33">
        <v>6515</v>
      </c>
      <c r="AG1156" s="34"/>
      <c r="AK1156" s="34"/>
      <c r="AL1156" s="34"/>
      <c r="AM1156" s="34"/>
      <c r="AN1156" s="34"/>
      <c r="AO1156" s="34"/>
      <c r="AP1156" s="34"/>
      <c r="AQ1156" s="34"/>
      <c r="AR1156" s="34"/>
      <c r="AS1156" s="1"/>
      <c r="AT1156" s="1"/>
      <c r="AU1156" s="1"/>
      <c r="AV1156" s="1"/>
      <c r="AW1156" s="1"/>
      <c r="AX1156" s="1"/>
      <c r="AY1156" s="1"/>
      <c r="AZ1156" s="1"/>
      <c r="BA1156" s="1"/>
      <c r="BB1156" s="1"/>
      <c r="BC1156" s="1"/>
      <c r="BD1156" s="1"/>
      <c r="BE1156" s="1"/>
      <c r="BF1156" s="1"/>
      <c r="BG1156" s="1"/>
      <c r="BH1156" s="1"/>
      <c r="BI1156" s="1"/>
      <c r="BJ1156" s="1"/>
      <c r="BK1156" s="1"/>
      <c r="BL1156" s="1"/>
    </row>
    <row r="1157" spans="1:64" ht="12" customHeight="1" x14ac:dyDescent="0.2">
      <c r="A1157" s="34" t="s">
        <v>36066</v>
      </c>
      <c r="B1157" s="34">
        <v>70</v>
      </c>
      <c r="C1157" s="34" t="s">
        <v>14</v>
      </c>
      <c r="D1157" s="34" t="s">
        <v>24</v>
      </c>
      <c r="E1157" s="34"/>
      <c r="F1157" s="67">
        <v>43447</v>
      </c>
      <c r="G1157" s="34" t="s">
        <v>36067</v>
      </c>
      <c r="H1157" s="34" t="s">
        <v>36068</v>
      </c>
      <c r="I1157" s="34" t="s">
        <v>56</v>
      </c>
      <c r="J1157" s="34">
        <v>34785</v>
      </c>
      <c r="K1157" s="34" t="s">
        <v>24786</v>
      </c>
      <c r="L1157" s="34" t="s">
        <v>34849</v>
      </c>
      <c r="M1157" s="34" t="s">
        <v>21</v>
      </c>
      <c r="N1157" s="34" t="s">
        <v>36069</v>
      </c>
      <c r="O1157" s="34" t="s">
        <v>372</v>
      </c>
      <c r="P1157" s="34" t="s">
        <v>30089</v>
      </c>
      <c r="Q1157" s="35" t="s">
        <v>36070</v>
      </c>
      <c r="R1157" s="34" t="s">
        <v>94</v>
      </c>
      <c r="S1157" s="34" t="s">
        <v>22</v>
      </c>
      <c r="T1157" s="43" t="s">
        <v>26781</v>
      </c>
      <c r="U1157" s="43" t="s">
        <v>26572</v>
      </c>
      <c r="V1157" s="43"/>
      <c r="W1157" s="43"/>
      <c r="X1157" s="43"/>
      <c r="Y1157" s="34"/>
      <c r="Z1157" s="34" t="s">
        <v>42967</v>
      </c>
      <c r="AA1157" s="33">
        <v>6513</v>
      </c>
      <c r="AG1157" s="34"/>
      <c r="AK1157" s="34"/>
      <c r="AL1157" s="34"/>
      <c r="AM1157" s="34"/>
      <c r="AN1157" s="34"/>
      <c r="AO1157" s="34"/>
      <c r="AP1157" s="34"/>
      <c r="AQ1157" s="34"/>
      <c r="AR1157" s="34"/>
      <c r="AS1157" s="1"/>
      <c r="AT1157" s="1"/>
      <c r="AU1157" s="1"/>
      <c r="AV1157" s="1"/>
      <c r="AW1157" s="1"/>
      <c r="AX1157" s="1"/>
      <c r="AY1157" s="1"/>
      <c r="AZ1157" s="1"/>
      <c r="BA1157" s="1"/>
      <c r="BB1157" s="1"/>
      <c r="BC1157" s="1"/>
      <c r="BD1157" s="1"/>
      <c r="BE1157" s="1"/>
      <c r="BF1157" s="1"/>
      <c r="BG1157" s="1"/>
      <c r="BH1157" s="1"/>
      <c r="BI1157" s="1"/>
      <c r="BJ1157" s="1"/>
      <c r="BK1157" s="1"/>
      <c r="BL1157" s="1"/>
    </row>
    <row r="1158" spans="1:64" ht="12" customHeight="1" x14ac:dyDescent="0.15">
      <c r="A1158" s="34" t="s">
        <v>36047</v>
      </c>
      <c r="B1158" s="34">
        <v>43</v>
      </c>
      <c r="C1158" s="34" t="s">
        <v>14</v>
      </c>
      <c r="D1158" s="34" t="s">
        <v>31</v>
      </c>
      <c r="E1158" s="35" t="s">
        <v>36048</v>
      </c>
      <c r="F1158" s="67">
        <v>43446</v>
      </c>
      <c r="G1158" s="34" t="s">
        <v>36049</v>
      </c>
      <c r="H1158" s="34" t="s">
        <v>603</v>
      </c>
      <c r="I1158" s="34" t="s">
        <v>56</v>
      </c>
      <c r="J1158" s="34">
        <v>32218</v>
      </c>
      <c r="K1158" s="34" t="s">
        <v>604</v>
      </c>
      <c r="L1158" s="34" t="s">
        <v>605</v>
      </c>
      <c r="M1158" s="34" t="s">
        <v>21</v>
      </c>
      <c r="N1158" s="34" t="s">
        <v>36050</v>
      </c>
      <c r="O1158" s="34" t="s">
        <v>372</v>
      </c>
      <c r="P1158" s="34" t="s">
        <v>30089</v>
      </c>
      <c r="Q1158" s="35" t="s">
        <v>36051</v>
      </c>
      <c r="R1158" s="34" t="s">
        <v>94</v>
      </c>
      <c r="S1158" s="34" t="s">
        <v>22</v>
      </c>
      <c r="T1158" s="36" t="s">
        <v>26781</v>
      </c>
      <c r="U1158" s="36" t="s">
        <v>26572</v>
      </c>
      <c r="V1158" s="36" t="s">
        <v>26573</v>
      </c>
      <c r="W1158" s="36" t="s">
        <v>94</v>
      </c>
      <c r="X1158" s="36">
        <v>4298</v>
      </c>
      <c r="Y1158" s="1"/>
      <c r="Z1158" s="34" t="s">
        <v>42968</v>
      </c>
      <c r="AA1158" s="33">
        <v>6507</v>
      </c>
      <c r="AG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row>
    <row r="1159" spans="1:64" ht="12" customHeight="1" x14ac:dyDescent="0.15">
      <c r="A1159" s="34" t="s">
        <v>36338</v>
      </c>
      <c r="B1159" s="34">
        <v>19</v>
      </c>
      <c r="C1159" s="34" t="s">
        <v>14</v>
      </c>
      <c r="D1159" s="34" t="s">
        <v>42</v>
      </c>
      <c r="E1159" s="35"/>
      <c r="F1159" s="67">
        <v>43446</v>
      </c>
      <c r="G1159" s="34" t="s">
        <v>36056</v>
      </c>
      <c r="H1159" s="34" t="s">
        <v>866</v>
      </c>
      <c r="I1159" s="34" t="s">
        <v>178</v>
      </c>
      <c r="J1159" s="34">
        <v>87110</v>
      </c>
      <c r="K1159" s="34" t="s">
        <v>433</v>
      </c>
      <c r="L1159" s="34" t="s">
        <v>4562</v>
      </c>
      <c r="M1159" s="34" t="s">
        <v>21</v>
      </c>
      <c r="N1159" s="34" t="s">
        <v>36057</v>
      </c>
      <c r="O1159" s="34" t="s">
        <v>372</v>
      </c>
      <c r="P1159" s="34" t="s">
        <v>30089</v>
      </c>
      <c r="Q1159" s="35" t="s">
        <v>36058</v>
      </c>
      <c r="R1159" s="34" t="s">
        <v>94</v>
      </c>
      <c r="S1159" s="34" t="s">
        <v>22</v>
      </c>
      <c r="T1159" s="36" t="s">
        <v>26781</v>
      </c>
      <c r="U1159" s="36" t="s">
        <v>26572</v>
      </c>
      <c r="V1159" s="36" t="s">
        <v>26574</v>
      </c>
      <c r="W1159" s="36" t="s">
        <v>94</v>
      </c>
      <c r="X1159" s="36">
        <v>4300</v>
      </c>
      <c r="Y1159" s="1"/>
      <c r="Z1159" s="34" t="s">
        <v>42966</v>
      </c>
      <c r="AA1159" s="33">
        <v>6508</v>
      </c>
      <c r="AG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row>
    <row r="1160" spans="1:64" ht="12" customHeight="1" x14ac:dyDescent="0.15">
      <c r="A1160" s="34" t="s">
        <v>36042</v>
      </c>
      <c r="B1160" s="34">
        <v>18</v>
      </c>
      <c r="C1160" s="34" t="s">
        <v>14</v>
      </c>
      <c r="D1160" s="34" t="s">
        <v>31</v>
      </c>
      <c r="E1160" s="35" t="s">
        <v>36043</v>
      </c>
      <c r="F1160" s="67">
        <v>43446</v>
      </c>
      <c r="G1160" s="34" t="s">
        <v>36044</v>
      </c>
      <c r="H1160" s="34" t="s">
        <v>603</v>
      </c>
      <c r="I1160" s="34" t="s">
        <v>56</v>
      </c>
      <c r="J1160" s="34">
        <v>32257</v>
      </c>
      <c r="K1160" s="34" t="s">
        <v>604</v>
      </c>
      <c r="L1160" s="34" t="s">
        <v>605</v>
      </c>
      <c r="M1160" s="34" t="s">
        <v>21</v>
      </c>
      <c r="N1160" s="34" t="s">
        <v>36045</v>
      </c>
      <c r="O1160" s="34" t="s">
        <v>372</v>
      </c>
      <c r="P1160" s="34" t="s">
        <v>30089</v>
      </c>
      <c r="Q1160" s="35" t="s">
        <v>36046</v>
      </c>
      <c r="R1160" s="34" t="s">
        <v>94</v>
      </c>
      <c r="S1160" s="34" t="s">
        <v>12</v>
      </c>
      <c r="T1160" s="36" t="s">
        <v>29425</v>
      </c>
      <c r="U1160" s="36" t="s">
        <v>26572</v>
      </c>
      <c r="V1160" s="36" t="s">
        <v>26573</v>
      </c>
      <c r="W1160" s="36" t="s">
        <v>94</v>
      </c>
      <c r="X1160" s="36">
        <v>4299</v>
      </c>
      <c r="Y1160" s="33" t="s">
        <v>42476</v>
      </c>
      <c r="Z1160" s="34" t="s">
        <v>42966</v>
      </c>
      <c r="AA1160" s="33">
        <v>6509</v>
      </c>
      <c r="AG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row>
    <row r="1161" spans="1:64" ht="12" customHeight="1" x14ac:dyDescent="0.15">
      <c r="A1161" s="34" t="s">
        <v>36052</v>
      </c>
      <c r="B1161" s="34">
        <v>29</v>
      </c>
      <c r="C1161" s="34" t="s">
        <v>14</v>
      </c>
      <c r="D1161" s="34" t="s">
        <v>79</v>
      </c>
      <c r="E1161" s="35"/>
      <c r="F1161" s="67">
        <v>43446</v>
      </c>
      <c r="G1161" s="34" t="s">
        <v>36053</v>
      </c>
      <c r="H1161" s="34" t="s">
        <v>661</v>
      </c>
      <c r="I1161" s="34" t="s">
        <v>402</v>
      </c>
      <c r="J1161" s="34">
        <v>63136</v>
      </c>
      <c r="K1161" s="34" t="s">
        <v>661</v>
      </c>
      <c r="L1161" s="34" t="s">
        <v>4162</v>
      </c>
      <c r="M1161" s="34" t="s">
        <v>21</v>
      </c>
      <c r="N1161" s="34" t="s">
        <v>36054</v>
      </c>
      <c r="O1161" s="34" t="s">
        <v>372</v>
      </c>
      <c r="P1161" s="34" t="s">
        <v>30089</v>
      </c>
      <c r="Q1161" s="35" t="s">
        <v>36055</v>
      </c>
      <c r="R1161" s="34" t="s">
        <v>94</v>
      </c>
      <c r="S1161" s="34" t="s">
        <v>351</v>
      </c>
      <c r="T1161" s="36" t="s">
        <v>26867</v>
      </c>
      <c r="U1161" s="36" t="s">
        <v>26572</v>
      </c>
      <c r="V1161" s="36" t="s">
        <v>26571</v>
      </c>
      <c r="W1161" s="36" t="s">
        <v>94</v>
      </c>
      <c r="X1161" s="36">
        <v>4297</v>
      </c>
      <c r="Y1161" s="1"/>
      <c r="Z1161" s="34" t="s">
        <v>42968</v>
      </c>
      <c r="AA1161" s="33">
        <v>6510</v>
      </c>
      <c r="AG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row>
    <row r="1162" spans="1:64" ht="12" customHeight="1" x14ac:dyDescent="0.15">
      <c r="A1162" s="34" t="s">
        <v>36026</v>
      </c>
      <c r="B1162" s="34">
        <v>27</v>
      </c>
      <c r="C1162" s="34" t="s">
        <v>103</v>
      </c>
      <c r="D1162" s="34" t="s">
        <v>79</v>
      </c>
      <c r="E1162" s="35" t="s">
        <v>36027</v>
      </c>
      <c r="F1162" s="67">
        <v>43445</v>
      </c>
      <c r="G1162" s="34" t="s">
        <v>36028</v>
      </c>
      <c r="H1162" s="34" t="s">
        <v>5619</v>
      </c>
      <c r="I1162" s="34" t="s">
        <v>160</v>
      </c>
      <c r="J1162" s="34">
        <v>30701</v>
      </c>
      <c r="K1162" s="34" t="s">
        <v>16620</v>
      </c>
      <c r="L1162" s="34" t="s">
        <v>16552</v>
      </c>
      <c r="M1162" s="34" t="s">
        <v>21</v>
      </c>
      <c r="N1162" s="34" t="s">
        <v>36029</v>
      </c>
      <c r="O1162" s="34" t="s">
        <v>372</v>
      </c>
      <c r="P1162" s="34" t="s">
        <v>30089</v>
      </c>
      <c r="Q1162" s="35" t="s">
        <v>36030</v>
      </c>
      <c r="R1162" s="34" t="s">
        <v>94</v>
      </c>
      <c r="S1162" s="34" t="s">
        <v>22</v>
      </c>
      <c r="T1162" s="36" t="s">
        <v>26781</v>
      </c>
      <c r="U1162" s="36" t="s">
        <v>26572</v>
      </c>
      <c r="V1162" s="36" t="s">
        <v>26573</v>
      </c>
      <c r="W1162" s="36" t="s">
        <v>94</v>
      </c>
      <c r="X1162" s="36">
        <v>4296</v>
      </c>
      <c r="Y1162" s="1"/>
      <c r="Z1162" s="34" t="s">
        <v>42967</v>
      </c>
      <c r="AA1162" s="33">
        <v>6502</v>
      </c>
      <c r="AG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row>
    <row r="1163" spans="1:64" ht="12" customHeight="1" x14ac:dyDescent="0.15">
      <c r="A1163" s="34" t="s">
        <v>36018</v>
      </c>
      <c r="B1163" s="34">
        <v>56</v>
      </c>
      <c r="C1163" s="34" t="s">
        <v>103</v>
      </c>
      <c r="D1163" s="34" t="s">
        <v>24</v>
      </c>
      <c r="E1163" s="35"/>
      <c r="F1163" s="67">
        <v>43445</v>
      </c>
      <c r="G1163" s="34" t="s">
        <v>36019</v>
      </c>
      <c r="H1163" s="34" t="s">
        <v>2659</v>
      </c>
      <c r="I1163" s="34" t="s">
        <v>918</v>
      </c>
      <c r="J1163" s="34">
        <v>72404</v>
      </c>
      <c r="K1163" s="34" t="s">
        <v>2660</v>
      </c>
      <c r="L1163" s="34" t="s">
        <v>2661</v>
      </c>
      <c r="M1163" s="34" t="s">
        <v>21</v>
      </c>
      <c r="N1163" s="34" t="s">
        <v>36020</v>
      </c>
      <c r="O1163" s="34" t="s">
        <v>372</v>
      </c>
      <c r="P1163" s="34" t="s">
        <v>30089</v>
      </c>
      <c r="Q1163" s="35" t="s">
        <v>36021</v>
      </c>
      <c r="R1163" s="34" t="s">
        <v>23</v>
      </c>
      <c r="S1163" s="34" t="s">
        <v>22</v>
      </c>
      <c r="T1163" s="36" t="s">
        <v>26781</v>
      </c>
      <c r="U1163" s="36" t="s">
        <v>26572</v>
      </c>
      <c r="V1163" s="36"/>
      <c r="W1163" s="36"/>
      <c r="X1163" s="36"/>
      <c r="Y1163" s="1"/>
      <c r="Z1163" s="34" t="s">
        <v>42968</v>
      </c>
      <c r="AA1163" s="33">
        <v>6503</v>
      </c>
      <c r="AG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row>
    <row r="1164" spans="1:64" ht="12" customHeight="1" x14ac:dyDescent="0.15">
      <c r="A1164" s="34" t="s">
        <v>36013</v>
      </c>
      <c r="B1164" s="34">
        <v>22</v>
      </c>
      <c r="C1164" s="34" t="s">
        <v>14</v>
      </c>
      <c r="D1164" s="34" t="s">
        <v>31</v>
      </c>
      <c r="E1164" s="35" t="s">
        <v>36014</v>
      </c>
      <c r="F1164" s="67">
        <v>43445</v>
      </c>
      <c r="G1164" s="34" t="s">
        <v>6781</v>
      </c>
      <c r="H1164" s="34" t="s">
        <v>36015</v>
      </c>
      <c r="I1164" s="34" t="s">
        <v>918</v>
      </c>
      <c r="J1164" s="34">
        <v>72823</v>
      </c>
      <c r="K1164" s="34" t="s">
        <v>29548</v>
      </c>
      <c r="L1164" s="34" t="s">
        <v>24913</v>
      </c>
      <c r="M1164" s="34" t="s">
        <v>21</v>
      </c>
      <c r="N1164" s="34" t="s">
        <v>36016</v>
      </c>
      <c r="O1164" s="34" t="s">
        <v>372</v>
      </c>
      <c r="P1164" s="34" t="s">
        <v>30089</v>
      </c>
      <c r="Q1164" s="35" t="s">
        <v>36017</v>
      </c>
      <c r="R1164" s="34" t="s">
        <v>94</v>
      </c>
      <c r="S1164" s="34" t="s">
        <v>22</v>
      </c>
      <c r="T1164" s="36" t="s">
        <v>26774</v>
      </c>
      <c r="U1164" s="36" t="s">
        <v>26570</v>
      </c>
      <c r="V1164" s="36" t="s">
        <v>26571</v>
      </c>
      <c r="W1164" s="36" t="s">
        <v>94</v>
      </c>
      <c r="X1164" s="36">
        <v>4295</v>
      </c>
      <c r="Y1164" s="1"/>
      <c r="Z1164" s="34" t="s">
        <v>42967</v>
      </c>
      <c r="AA1164" s="33">
        <v>6505</v>
      </c>
      <c r="AG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row>
    <row r="1165" spans="1:64" ht="12" customHeight="1" x14ac:dyDescent="0.15">
      <c r="A1165" s="34" t="s">
        <v>36031</v>
      </c>
      <c r="B1165" s="34">
        <v>30</v>
      </c>
      <c r="C1165" s="34" t="s">
        <v>103</v>
      </c>
      <c r="D1165" s="34" t="s">
        <v>15</v>
      </c>
      <c r="E1165" s="35" t="s">
        <v>36032</v>
      </c>
      <c r="F1165" s="67">
        <v>43445</v>
      </c>
      <c r="G1165" s="34" t="s">
        <v>36033</v>
      </c>
      <c r="H1165" s="34" t="s">
        <v>36034</v>
      </c>
      <c r="I1165" s="34" t="s">
        <v>814</v>
      </c>
      <c r="J1165" s="34">
        <v>96778</v>
      </c>
      <c r="K1165" s="34" t="s">
        <v>3619</v>
      </c>
      <c r="L1165" s="34" t="s">
        <v>10683</v>
      </c>
      <c r="M1165" s="34" t="s">
        <v>21</v>
      </c>
      <c r="N1165" s="34" t="s">
        <v>36035</v>
      </c>
      <c r="O1165" s="34" t="s">
        <v>372</v>
      </c>
      <c r="P1165" s="34" t="s">
        <v>30089</v>
      </c>
      <c r="Q1165" s="35" t="s">
        <v>36036</v>
      </c>
      <c r="R1165" s="34" t="s">
        <v>94</v>
      </c>
      <c r="S1165" s="34" t="s">
        <v>22</v>
      </c>
      <c r="T1165" s="36" t="s">
        <v>26781</v>
      </c>
      <c r="U1165" s="36" t="s">
        <v>26572</v>
      </c>
      <c r="V1165" s="36" t="s">
        <v>26573</v>
      </c>
      <c r="W1165" s="36" t="s">
        <v>94</v>
      </c>
      <c r="X1165" s="36">
        <v>4291</v>
      </c>
      <c r="Y1165" s="1"/>
      <c r="Z1165" s="34" t="s">
        <v>42967</v>
      </c>
      <c r="AA1165" s="33">
        <v>6501</v>
      </c>
      <c r="AG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row>
    <row r="1166" spans="1:64" ht="12" customHeight="1" x14ac:dyDescent="0.15">
      <c r="A1166" s="34" t="s">
        <v>36022</v>
      </c>
      <c r="B1166" s="34">
        <v>25</v>
      </c>
      <c r="C1166" s="34" t="s">
        <v>103</v>
      </c>
      <c r="D1166" s="34" t="s">
        <v>31</v>
      </c>
      <c r="E1166" s="35"/>
      <c r="F1166" s="67">
        <v>43445</v>
      </c>
      <c r="G1166" s="34" t="s">
        <v>36023</v>
      </c>
      <c r="H1166" s="34" t="s">
        <v>27147</v>
      </c>
      <c r="I1166" s="34" t="s">
        <v>160</v>
      </c>
      <c r="J1166" s="34">
        <v>31052</v>
      </c>
      <c r="K1166" s="34" t="s">
        <v>23972</v>
      </c>
      <c r="L1166" s="34" t="s">
        <v>5161</v>
      </c>
      <c r="M1166" s="34" t="s">
        <v>21</v>
      </c>
      <c r="N1166" s="34" t="s">
        <v>36024</v>
      </c>
      <c r="O1166" s="34" t="s">
        <v>372</v>
      </c>
      <c r="P1166" s="34" t="s">
        <v>30089</v>
      </c>
      <c r="Q1166" s="35" t="s">
        <v>36025</v>
      </c>
      <c r="R1166" s="34" t="s">
        <v>94</v>
      </c>
      <c r="S1166" s="34" t="s">
        <v>22</v>
      </c>
      <c r="T1166" s="36" t="s">
        <v>26781</v>
      </c>
      <c r="U1166" s="36" t="s">
        <v>26572</v>
      </c>
      <c r="V1166" s="36" t="s">
        <v>26573</v>
      </c>
      <c r="W1166" s="36" t="s">
        <v>94</v>
      </c>
      <c r="X1166" s="36">
        <v>4288</v>
      </c>
      <c r="Y1166" s="1"/>
      <c r="Z1166" s="34" t="s">
        <v>42967</v>
      </c>
      <c r="AA1166" s="33">
        <v>6500</v>
      </c>
      <c r="AG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row>
    <row r="1167" spans="1:64" ht="12" customHeight="1" x14ac:dyDescent="0.15">
      <c r="A1167" s="34" t="s">
        <v>36037</v>
      </c>
      <c r="B1167" s="34">
        <v>47</v>
      </c>
      <c r="C1167" s="34" t="s">
        <v>14</v>
      </c>
      <c r="D1167" s="34" t="s">
        <v>79</v>
      </c>
      <c r="E1167" s="35" t="s">
        <v>36038</v>
      </c>
      <c r="F1167" s="67">
        <v>43445</v>
      </c>
      <c r="G1167" s="34" t="s">
        <v>36039</v>
      </c>
      <c r="H1167" s="34" t="s">
        <v>12068</v>
      </c>
      <c r="I1167" s="34" t="s">
        <v>395</v>
      </c>
      <c r="J1167" s="34">
        <v>14207</v>
      </c>
      <c r="K1167" s="34" t="s">
        <v>7964</v>
      </c>
      <c r="L1167" s="34" t="s">
        <v>19235</v>
      </c>
      <c r="M1167" s="34" t="s">
        <v>21</v>
      </c>
      <c r="N1167" s="34" t="s">
        <v>36040</v>
      </c>
      <c r="O1167" s="34" t="s">
        <v>372</v>
      </c>
      <c r="P1167" s="34" t="s">
        <v>30089</v>
      </c>
      <c r="Q1167" s="35" t="s">
        <v>36041</v>
      </c>
      <c r="R1167" s="34" t="s">
        <v>512</v>
      </c>
      <c r="S1167" s="34" t="s">
        <v>22</v>
      </c>
      <c r="T1167" s="36" t="s">
        <v>26774</v>
      </c>
      <c r="U1167" s="36" t="s">
        <v>26572</v>
      </c>
      <c r="V1167" s="36" t="s">
        <v>26574</v>
      </c>
      <c r="W1167" s="36" t="s">
        <v>94</v>
      </c>
      <c r="X1167" s="36">
        <v>4293</v>
      </c>
      <c r="Y1167" s="1"/>
      <c r="Z1167" s="34" t="s">
        <v>42966</v>
      </c>
      <c r="AA1167" s="33">
        <v>6504</v>
      </c>
      <c r="AG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row>
    <row r="1168" spans="1:64" ht="12" customHeight="1" x14ac:dyDescent="0.15">
      <c r="A1168" s="34" t="s">
        <v>36339</v>
      </c>
      <c r="B1168" s="34">
        <v>58</v>
      </c>
      <c r="C1168" s="34" t="s">
        <v>14</v>
      </c>
      <c r="D1168" s="34" t="s">
        <v>24</v>
      </c>
      <c r="E1168" s="35"/>
      <c r="F1168" s="67">
        <v>43444</v>
      </c>
      <c r="G1168" s="34" t="s">
        <v>36004</v>
      </c>
      <c r="H1168" s="34" t="s">
        <v>36005</v>
      </c>
      <c r="I1168" s="34" t="s">
        <v>192</v>
      </c>
      <c r="J1168" s="34">
        <v>81648</v>
      </c>
      <c r="K1168" s="34" t="s">
        <v>36006</v>
      </c>
      <c r="L1168" s="34" t="s">
        <v>36400</v>
      </c>
      <c r="M1168" s="34" t="s">
        <v>21</v>
      </c>
      <c r="N1168" s="34" t="s">
        <v>36401</v>
      </c>
      <c r="O1168" s="34" t="s">
        <v>372</v>
      </c>
      <c r="P1168" s="34" t="s">
        <v>30089</v>
      </c>
      <c r="Q1168" s="35" t="s">
        <v>36007</v>
      </c>
      <c r="R1168" s="34" t="s">
        <v>94</v>
      </c>
      <c r="S1168" s="34" t="s">
        <v>29</v>
      </c>
      <c r="T1168" s="36" t="s">
        <v>26575</v>
      </c>
      <c r="U1168" s="36" t="s">
        <v>26575</v>
      </c>
      <c r="V1168" s="36" t="s">
        <v>26573</v>
      </c>
      <c r="W1168" s="36" t="s">
        <v>94</v>
      </c>
      <c r="X1168" s="36">
        <v>4292</v>
      </c>
      <c r="Y1168" s="1"/>
      <c r="Z1168" s="34" t="s">
        <v>42967</v>
      </c>
      <c r="AA1168" s="33">
        <v>6499</v>
      </c>
      <c r="AG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row>
    <row r="1169" spans="1:64" ht="12" customHeight="1" x14ac:dyDescent="0.15">
      <c r="A1169" s="34" t="s">
        <v>35999</v>
      </c>
      <c r="B1169" s="34">
        <v>33</v>
      </c>
      <c r="C1169" s="34" t="s">
        <v>14</v>
      </c>
      <c r="D1169" s="34" t="s">
        <v>31</v>
      </c>
      <c r="E1169" s="35" t="s">
        <v>36000</v>
      </c>
      <c r="F1169" s="67">
        <v>43444</v>
      </c>
      <c r="G1169" s="34" t="s">
        <v>36001</v>
      </c>
      <c r="H1169" s="34" t="s">
        <v>26438</v>
      </c>
      <c r="I1169" s="34" t="s">
        <v>39</v>
      </c>
      <c r="J1169" s="34">
        <v>94061</v>
      </c>
      <c r="K1169" s="34" t="s">
        <v>4269</v>
      </c>
      <c r="L1169" s="34" t="s">
        <v>26439</v>
      </c>
      <c r="M1169" s="34" t="s">
        <v>21</v>
      </c>
      <c r="N1169" s="34" t="s">
        <v>36002</v>
      </c>
      <c r="O1169" s="34" t="s">
        <v>372</v>
      </c>
      <c r="P1169" s="34" t="s">
        <v>30089</v>
      </c>
      <c r="Q1169" s="35" t="s">
        <v>36003</v>
      </c>
      <c r="R1169" s="34" t="s">
        <v>512</v>
      </c>
      <c r="S1169" s="34" t="s">
        <v>22</v>
      </c>
      <c r="T1169" s="36" t="s">
        <v>26774</v>
      </c>
      <c r="U1169" s="36" t="s">
        <v>26570</v>
      </c>
      <c r="V1169" s="36" t="s">
        <v>26573</v>
      </c>
      <c r="W1169" s="36" t="s">
        <v>94</v>
      </c>
      <c r="X1169" s="36">
        <v>4290</v>
      </c>
      <c r="Y1169" s="1"/>
      <c r="Z1169" s="34" t="s">
        <v>42966</v>
      </c>
      <c r="AA1169" s="33">
        <v>6498</v>
      </c>
      <c r="AG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row>
    <row r="1170" spans="1:64" ht="12" customHeight="1" x14ac:dyDescent="0.15">
      <c r="A1170" s="34" t="s">
        <v>36340</v>
      </c>
      <c r="B1170" s="34">
        <v>23</v>
      </c>
      <c r="C1170" s="34" t="s">
        <v>14</v>
      </c>
      <c r="D1170" s="34" t="s">
        <v>31</v>
      </c>
      <c r="E1170" s="35"/>
      <c r="F1170" s="67">
        <v>43444</v>
      </c>
      <c r="G1170" s="34" t="s">
        <v>36008</v>
      </c>
      <c r="H1170" s="34" t="s">
        <v>36009</v>
      </c>
      <c r="I1170" s="34" t="s">
        <v>395</v>
      </c>
      <c r="J1170" s="34">
        <v>14063</v>
      </c>
      <c r="K1170" s="34" t="s">
        <v>16246</v>
      </c>
      <c r="L1170" s="34" t="s">
        <v>36010</v>
      </c>
      <c r="M1170" s="34" t="s">
        <v>21</v>
      </c>
      <c r="N1170" s="34" t="s">
        <v>36011</v>
      </c>
      <c r="O1170" s="34" t="s">
        <v>372</v>
      </c>
      <c r="P1170" s="34" t="s">
        <v>30089</v>
      </c>
      <c r="Q1170" s="35" t="s">
        <v>36012</v>
      </c>
      <c r="R1170" s="34" t="s">
        <v>512</v>
      </c>
      <c r="S1170" s="34" t="s">
        <v>22</v>
      </c>
      <c r="T1170" s="36" t="s">
        <v>26774</v>
      </c>
      <c r="U1170" s="36" t="s">
        <v>26572</v>
      </c>
      <c r="V1170" s="36" t="s">
        <v>26573</v>
      </c>
      <c r="W1170" s="36" t="s">
        <v>94</v>
      </c>
      <c r="X1170" s="36">
        <v>4289</v>
      </c>
      <c r="Y1170" s="1"/>
      <c r="Z1170" s="34" t="s">
        <v>42968</v>
      </c>
      <c r="AA1170" s="33">
        <v>6497</v>
      </c>
      <c r="AG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row>
    <row r="1171" spans="1:64" ht="12" customHeight="1" x14ac:dyDescent="0.15">
      <c r="A1171" s="34" t="s">
        <v>35972</v>
      </c>
      <c r="B1171" s="34">
        <v>23</v>
      </c>
      <c r="C1171" s="34" t="s">
        <v>14</v>
      </c>
      <c r="D1171" s="34" t="s">
        <v>79</v>
      </c>
      <c r="E1171" s="35"/>
      <c r="F1171" s="67">
        <v>43443</v>
      </c>
      <c r="G1171" s="34" t="s">
        <v>35973</v>
      </c>
      <c r="H1171" s="34" t="s">
        <v>11060</v>
      </c>
      <c r="I1171" s="34" t="s">
        <v>39</v>
      </c>
      <c r="J1171" s="34">
        <v>90501</v>
      </c>
      <c r="K1171" s="34" t="s">
        <v>92</v>
      </c>
      <c r="L1171" s="34" t="s">
        <v>11300</v>
      </c>
      <c r="M1171" s="34" t="s">
        <v>21</v>
      </c>
      <c r="N1171" s="34" t="s">
        <v>35974</v>
      </c>
      <c r="O1171" s="34" t="s">
        <v>372</v>
      </c>
      <c r="P1171" s="34" t="s">
        <v>30089</v>
      </c>
      <c r="Q1171" s="35" t="s">
        <v>35975</v>
      </c>
      <c r="R1171" s="34" t="s">
        <v>94</v>
      </c>
      <c r="S1171" s="34" t="s">
        <v>22</v>
      </c>
      <c r="T1171" s="36" t="s">
        <v>26781</v>
      </c>
      <c r="U1171" s="36" t="s">
        <v>26575</v>
      </c>
      <c r="V1171" s="36" t="s">
        <v>26573</v>
      </c>
      <c r="W1171" s="36" t="s">
        <v>94</v>
      </c>
      <c r="X1171" s="36">
        <v>4283</v>
      </c>
      <c r="Y1171" s="1"/>
      <c r="Z1171" s="34" t="s">
        <v>42966</v>
      </c>
      <c r="AA1171" s="33">
        <v>6491</v>
      </c>
      <c r="AG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row>
    <row r="1172" spans="1:64" ht="12" customHeight="1" x14ac:dyDescent="0.15">
      <c r="A1172" s="34" t="s">
        <v>35987</v>
      </c>
      <c r="B1172" s="34">
        <v>50</v>
      </c>
      <c r="C1172" s="34" t="s">
        <v>14</v>
      </c>
      <c r="D1172" s="34" t="s">
        <v>24</v>
      </c>
      <c r="E1172" s="35"/>
      <c r="F1172" s="67">
        <v>43443</v>
      </c>
      <c r="G1172" s="34" t="s">
        <v>35988</v>
      </c>
      <c r="H1172" s="34" t="s">
        <v>35989</v>
      </c>
      <c r="I1172" s="34" t="s">
        <v>395</v>
      </c>
      <c r="J1172" s="34">
        <v>10305</v>
      </c>
      <c r="K1172" s="34" t="s">
        <v>818</v>
      </c>
      <c r="L1172" s="34" t="s">
        <v>539</v>
      </c>
      <c r="M1172" s="34" t="s">
        <v>21</v>
      </c>
      <c r="N1172" s="34" t="s">
        <v>35990</v>
      </c>
      <c r="O1172" s="34" t="s">
        <v>372</v>
      </c>
      <c r="P1172" s="34" t="s">
        <v>30089</v>
      </c>
      <c r="Q1172" s="35" t="s">
        <v>35991</v>
      </c>
      <c r="R1172" s="34" t="s">
        <v>904</v>
      </c>
      <c r="S1172" s="34" t="s">
        <v>22</v>
      </c>
      <c r="T1172" s="36" t="s">
        <v>26774</v>
      </c>
      <c r="U1172" s="36"/>
      <c r="V1172" s="36"/>
      <c r="W1172" s="36"/>
      <c r="X1172" s="36"/>
      <c r="Y1172" s="1"/>
      <c r="Z1172" s="34" t="s">
        <v>42966</v>
      </c>
      <c r="AA1172" s="33">
        <v>6495</v>
      </c>
      <c r="AG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row>
    <row r="1173" spans="1:64" ht="12" customHeight="1" x14ac:dyDescent="0.15">
      <c r="A1173" s="34" t="s">
        <v>35968</v>
      </c>
      <c r="B1173" s="34">
        <v>50</v>
      </c>
      <c r="C1173" s="34" t="s">
        <v>14</v>
      </c>
      <c r="D1173" s="34" t="s">
        <v>31</v>
      </c>
      <c r="E1173" s="35"/>
      <c r="F1173" s="67">
        <v>43443</v>
      </c>
      <c r="G1173" s="34" t="s">
        <v>35969</v>
      </c>
      <c r="H1173" s="34" t="s">
        <v>23926</v>
      </c>
      <c r="I1173" s="34" t="s">
        <v>918</v>
      </c>
      <c r="J1173" s="34">
        <v>72764</v>
      </c>
      <c r="K1173" s="34" t="s">
        <v>107</v>
      </c>
      <c r="L1173" s="34" t="s">
        <v>108</v>
      </c>
      <c r="M1173" s="34" t="s">
        <v>21</v>
      </c>
      <c r="N1173" s="34" t="s">
        <v>35970</v>
      </c>
      <c r="O1173" s="34" t="s">
        <v>372</v>
      </c>
      <c r="P1173" s="34" t="s">
        <v>30089</v>
      </c>
      <c r="Q1173" s="35" t="s">
        <v>35971</v>
      </c>
      <c r="R1173" s="34" t="s">
        <v>94</v>
      </c>
      <c r="S1173" s="34" t="s">
        <v>22</v>
      </c>
      <c r="T1173" s="36" t="s">
        <v>26781</v>
      </c>
      <c r="U1173" s="36" t="s">
        <v>26572</v>
      </c>
      <c r="V1173" s="36" t="s">
        <v>26573</v>
      </c>
      <c r="W1173" s="36" t="s">
        <v>94</v>
      </c>
      <c r="X1173" s="36">
        <v>4284</v>
      </c>
      <c r="Y1173" s="1"/>
      <c r="Z1173" s="34" t="s">
        <v>42966</v>
      </c>
      <c r="AA1173" s="33">
        <v>6492</v>
      </c>
      <c r="AG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row>
    <row r="1174" spans="1:64" ht="12" customHeight="1" x14ac:dyDescent="0.15">
      <c r="A1174" s="34" t="s">
        <v>35980</v>
      </c>
      <c r="B1174" s="34">
        <v>51</v>
      </c>
      <c r="C1174" s="34" t="s">
        <v>14</v>
      </c>
      <c r="D1174" s="34" t="s">
        <v>31</v>
      </c>
      <c r="E1174" s="35" t="s">
        <v>35981</v>
      </c>
      <c r="F1174" s="67">
        <v>43443</v>
      </c>
      <c r="G1174" s="34" t="s">
        <v>35982</v>
      </c>
      <c r="H1174" s="34" t="s">
        <v>35983</v>
      </c>
      <c r="I1174" s="34" t="s">
        <v>38</v>
      </c>
      <c r="J1174" s="34">
        <v>60067</v>
      </c>
      <c r="K1174" s="34" t="s">
        <v>82</v>
      </c>
      <c r="L1174" s="34" t="s">
        <v>35984</v>
      </c>
      <c r="M1174" s="34" t="s">
        <v>21</v>
      </c>
      <c r="N1174" s="34" t="s">
        <v>35985</v>
      </c>
      <c r="O1174" s="34" t="s">
        <v>372</v>
      </c>
      <c r="P1174" s="34" t="s">
        <v>30089</v>
      </c>
      <c r="Q1174" s="35" t="s">
        <v>35986</v>
      </c>
      <c r="R1174" s="34" t="s">
        <v>94</v>
      </c>
      <c r="S1174" s="34" t="s">
        <v>22</v>
      </c>
      <c r="T1174" s="36" t="s">
        <v>26867</v>
      </c>
      <c r="U1174" s="36" t="s">
        <v>26572</v>
      </c>
      <c r="V1174" s="36"/>
      <c r="W1174" s="36"/>
      <c r="X1174" s="36"/>
      <c r="Y1174" s="1"/>
      <c r="Z1174" s="34" t="s">
        <v>42968</v>
      </c>
      <c r="AA1174" s="33">
        <v>6496</v>
      </c>
      <c r="AG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row>
    <row r="1175" spans="1:64" ht="12" customHeight="1" x14ac:dyDescent="0.15">
      <c r="A1175" s="34" t="s">
        <v>35992</v>
      </c>
      <c r="B1175" s="34">
        <v>39</v>
      </c>
      <c r="C1175" s="34" t="s">
        <v>14</v>
      </c>
      <c r="D1175" s="34" t="s">
        <v>31</v>
      </c>
      <c r="E1175" s="35" t="s">
        <v>35993</v>
      </c>
      <c r="F1175" s="67">
        <v>43443</v>
      </c>
      <c r="G1175" s="34" t="s">
        <v>35994</v>
      </c>
      <c r="H1175" s="34" t="s">
        <v>2319</v>
      </c>
      <c r="I1175" s="34" t="s">
        <v>367</v>
      </c>
      <c r="J1175" s="34">
        <v>73077</v>
      </c>
      <c r="K1175" s="34" t="s">
        <v>35995</v>
      </c>
      <c r="L1175" s="34" t="s">
        <v>35996</v>
      </c>
      <c r="M1175" s="34" t="s">
        <v>21</v>
      </c>
      <c r="N1175" s="34" t="s">
        <v>35997</v>
      </c>
      <c r="O1175" s="34" t="s">
        <v>372</v>
      </c>
      <c r="P1175" s="34" t="s">
        <v>30089</v>
      </c>
      <c r="Q1175" s="35" t="s">
        <v>35998</v>
      </c>
      <c r="R1175" s="34" t="s">
        <v>94</v>
      </c>
      <c r="S1175" s="34" t="s">
        <v>22</v>
      </c>
      <c r="T1175" s="36" t="s">
        <v>26781</v>
      </c>
      <c r="U1175" s="36" t="s">
        <v>26572</v>
      </c>
      <c r="V1175" s="36" t="s">
        <v>26571</v>
      </c>
      <c r="W1175" s="36" t="s">
        <v>94</v>
      </c>
      <c r="X1175" s="36">
        <v>4285</v>
      </c>
      <c r="Y1175" s="1"/>
      <c r="Z1175" s="34" t="s">
        <v>42967</v>
      </c>
      <c r="AA1175" s="33">
        <v>6493</v>
      </c>
      <c r="AG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row>
    <row r="1176" spans="1:64" ht="12" customHeight="1" x14ac:dyDescent="0.15">
      <c r="A1176" s="34" t="s">
        <v>35976</v>
      </c>
      <c r="B1176" s="34">
        <v>35</v>
      </c>
      <c r="C1176" s="34" t="s">
        <v>14</v>
      </c>
      <c r="D1176" s="34" t="s">
        <v>24</v>
      </c>
      <c r="E1176" s="35"/>
      <c r="F1176" s="67">
        <v>43443</v>
      </c>
      <c r="G1176" s="34" t="s">
        <v>35977</v>
      </c>
      <c r="H1176" s="34" t="s">
        <v>1088</v>
      </c>
      <c r="I1176" s="34" t="s">
        <v>39</v>
      </c>
      <c r="J1176" s="34">
        <v>93274</v>
      </c>
      <c r="K1176" s="34" t="s">
        <v>1088</v>
      </c>
      <c r="L1176" s="34" t="s">
        <v>16589</v>
      </c>
      <c r="M1176" s="34" t="s">
        <v>21</v>
      </c>
      <c r="N1176" s="34" t="s">
        <v>35978</v>
      </c>
      <c r="O1176" s="34" t="s">
        <v>372</v>
      </c>
      <c r="P1176" s="34" t="s">
        <v>30089</v>
      </c>
      <c r="Q1176" s="35" t="s">
        <v>35979</v>
      </c>
      <c r="R1176" s="34" t="s">
        <v>94</v>
      </c>
      <c r="S1176" s="34" t="s">
        <v>22</v>
      </c>
      <c r="T1176" s="36" t="s">
        <v>26781</v>
      </c>
      <c r="U1176" s="36" t="s">
        <v>26572</v>
      </c>
      <c r="V1176" s="36"/>
      <c r="W1176" s="36"/>
      <c r="X1176" s="36"/>
      <c r="Y1176" s="1"/>
      <c r="Z1176" s="34" t="s">
        <v>42968</v>
      </c>
      <c r="AA1176" s="33">
        <v>6494</v>
      </c>
      <c r="AG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row>
    <row r="1177" spans="1:64" ht="12" customHeight="1" x14ac:dyDescent="0.15">
      <c r="A1177" s="34" t="s">
        <v>35956</v>
      </c>
      <c r="B1177" s="34">
        <v>24</v>
      </c>
      <c r="C1177" s="34" t="s">
        <v>14</v>
      </c>
      <c r="D1177" s="34" t="s">
        <v>79</v>
      </c>
      <c r="E1177" s="35" t="s">
        <v>35957</v>
      </c>
      <c r="F1177" s="67">
        <v>43442</v>
      </c>
      <c r="G1177" s="34" t="s">
        <v>35958</v>
      </c>
      <c r="H1177" s="34" t="s">
        <v>4747</v>
      </c>
      <c r="I1177" s="34" t="s">
        <v>160</v>
      </c>
      <c r="J1177" s="34">
        <v>31405</v>
      </c>
      <c r="K1177" s="34" t="s">
        <v>3428</v>
      </c>
      <c r="L1177" s="34" t="s">
        <v>35959</v>
      </c>
      <c r="M1177" s="34" t="s">
        <v>21</v>
      </c>
      <c r="N1177" s="34" t="s">
        <v>36402</v>
      </c>
      <c r="O1177" s="34" t="s">
        <v>372</v>
      </c>
      <c r="P1177" s="34" t="s">
        <v>30089</v>
      </c>
      <c r="Q1177" s="35" t="s">
        <v>35960</v>
      </c>
      <c r="R1177" s="34" t="s">
        <v>94</v>
      </c>
      <c r="S1177" s="34" t="s">
        <v>22</v>
      </c>
      <c r="T1177" s="36" t="s">
        <v>26781</v>
      </c>
      <c r="U1177" s="36" t="s">
        <v>26572</v>
      </c>
      <c r="V1177" s="36" t="s">
        <v>26573</v>
      </c>
      <c r="W1177" s="36" t="s">
        <v>94</v>
      </c>
      <c r="X1177" s="36">
        <v>4282</v>
      </c>
      <c r="Y1177" s="1"/>
      <c r="Z1177" s="34" t="s">
        <v>42968</v>
      </c>
      <c r="AA1177" s="33">
        <v>6489</v>
      </c>
      <c r="AG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row>
    <row r="1178" spans="1:64" ht="12" customHeight="1" x14ac:dyDescent="0.15">
      <c r="A1178" s="34" t="s">
        <v>35961</v>
      </c>
      <c r="B1178" s="34">
        <v>41</v>
      </c>
      <c r="C1178" s="34" t="s">
        <v>14</v>
      </c>
      <c r="D1178" s="34" t="s">
        <v>31</v>
      </c>
      <c r="E1178" s="35" t="s">
        <v>35962</v>
      </c>
      <c r="F1178" s="67">
        <v>43442</v>
      </c>
      <c r="G1178" s="34" t="s">
        <v>35963</v>
      </c>
      <c r="H1178" s="34" t="s">
        <v>35964</v>
      </c>
      <c r="I1178" s="34" t="s">
        <v>250</v>
      </c>
      <c r="J1178" s="34">
        <v>89883</v>
      </c>
      <c r="K1178" s="34" t="s">
        <v>5246</v>
      </c>
      <c r="L1178" s="34" t="s">
        <v>35965</v>
      </c>
      <c r="M1178" s="34" t="s">
        <v>21</v>
      </c>
      <c r="N1178" s="34" t="s">
        <v>35966</v>
      </c>
      <c r="O1178" s="34" t="s">
        <v>372</v>
      </c>
      <c r="P1178" s="34" t="s">
        <v>30089</v>
      </c>
      <c r="Q1178" s="35" t="s">
        <v>35967</v>
      </c>
      <c r="R1178" s="34" t="s">
        <v>23</v>
      </c>
      <c r="S1178" s="34" t="s">
        <v>22</v>
      </c>
      <c r="T1178" s="36" t="s">
        <v>26774</v>
      </c>
      <c r="U1178" s="36" t="s">
        <v>26570</v>
      </c>
      <c r="V1178" s="36" t="s">
        <v>26571</v>
      </c>
      <c r="W1178" s="36" t="s">
        <v>94</v>
      </c>
      <c r="X1178" s="36">
        <v>4286</v>
      </c>
      <c r="Y1178" s="1"/>
      <c r="Z1178" s="34" t="s">
        <v>42967</v>
      </c>
      <c r="AA1178" s="33">
        <v>6490</v>
      </c>
      <c r="AG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row>
    <row r="1179" spans="1:64" ht="12" customHeight="1" x14ac:dyDescent="0.15">
      <c r="A1179" s="34" t="s">
        <v>35945</v>
      </c>
      <c r="B1179" s="34">
        <v>16</v>
      </c>
      <c r="C1179" s="34" t="s">
        <v>14</v>
      </c>
      <c r="D1179" s="34" t="s">
        <v>79</v>
      </c>
      <c r="E1179" s="35" t="s">
        <v>35946</v>
      </c>
      <c r="F1179" s="67">
        <v>43441</v>
      </c>
      <c r="G1179" s="34" t="s">
        <v>35947</v>
      </c>
      <c r="H1179" s="34" t="s">
        <v>1202</v>
      </c>
      <c r="I1179" s="34" t="s">
        <v>63</v>
      </c>
      <c r="J1179" s="34">
        <v>43203</v>
      </c>
      <c r="K1179" s="34" t="s">
        <v>1203</v>
      </c>
      <c r="L1179" s="34" t="s">
        <v>11441</v>
      </c>
      <c r="M1179" s="34" t="s">
        <v>21</v>
      </c>
      <c r="N1179" s="34" t="s">
        <v>35948</v>
      </c>
      <c r="O1179" s="34" t="s">
        <v>372</v>
      </c>
      <c r="P1179" s="34" t="s">
        <v>30089</v>
      </c>
      <c r="Q1179" s="35" t="s">
        <v>35949</v>
      </c>
      <c r="R1179" s="34" t="s">
        <v>94</v>
      </c>
      <c r="S1179" s="34" t="s">
        <v>22</v>
      </c>
      <c r="T1179" s="36" t="s">
        <v>26781</v>
      </c>
      <c r="U1179" s="36" t="s">
        <v>26572</v>
      </c>
      <c r="V1179" s="36" t="s">
        <v>26573</v>
      </c>
      <c r="W1179" s="36" t="s">
        <v>94</v>
      </c>
      <c r="X1179" s="36">
        <v>4315</v>
      </c>
      <c r="Y1179" s="1"/>
      <c r="Z1179" s="34" t="s">
        <v>42966</v>
      </c>
      <c r="AA1179" s="33">
        <v>6486</v>
      </c>
      <c r="AG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row>
    <row r="1180" spans="1:64" ht="12" customHeight="1" x14ac:dyDescent="0.15">
      <c r="A1180" s="34" t="s">
        <v>35950</v>
      </c>
      <c r="B1180" s="34">
        <v>21</v>
      </c>
      <c r="C1180" s="34" t="s">
        <v>14</v>
      </c>
      <c r="D1180" s="34" t="s">
        <v>42</v>
      </c>
      <c r="E1180" s="35" t="s">
        <v>35951</v>
      </c>
      <c r="F1180" s="67">
        <v>43441</v>
      </c>
      <c r="G1180" s="34" t="s">
        <v>35952</v>
      </c>
      <c r="H1180" s="34" t="s">
        <v>27619</v>
      </c>
      <c r="I1180" s="34" t="s">
        <v>67</v>
      </c>
      <c r="J1180" s="34">
        <v>78586</v>
      </c>
      <c r="K1180" s="34" t="s">
        <v>1123</v>
      </c>
      <c r="L1180" s="34" t="s">
        <v>35953</v>
      </c>
      <c r="M1180" s="34" t="s">
        <v>21</v>
      </c>
      <c r="N1180" s="34" t="s">
        <v>35954</v>
      </c>
      <c r="O1180" s="34" t="s">
        <v>372</v>
      </c>
      <c r="P1180" s="34" t="s">
        <v>30089</v>
      </c>
      <c r="Q1180" s="35" t="s">
        <v>35955</v>
      </c>
      <c r="R1180" s="34" t="s">
        <v>94</v>
      </c>
      <c r="S1180" s="34" t="s">
        <v>22</v>
      </c>
      <c r="T1180" s="36" t="s">
        <v>26867</v>
      </c>
      <c r="U1180" s="36" t="s">
        <v>26572</v>
      </c>
      <c r="V1180" s="36"/>
      <c r="W1180" s="36"/>
      <c r="X1180" s="36"/>
      <c r="Y1180" s="1"/>
      <c r="Z1180" s="34" t="s">
        <v>42968</v>
      </c>
      <c r="AA1180" s="33">
        <v>6488</v>
      </c>
      <c r="AG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row>
    <row r="1181" spans="1:64" ht="12" customHeight="1" x14ac:dyDescent="0.15">
      <c r="A1181" s="34" t="s">
        <v>35941</v>
      </c>
      <c r="B1181" s="34">
        <v>51</v>
      </c>
      <c r="C1181" s="34" t="s">
        <v>14</v>
      </c>
      <c r="D1181" s="34" t="s">
        <v>42</v>
      </c>
      <c r="E1181" s="35"/>
      <c r="F1181" s="67">
        <v>43441</v>
      </c>
      <c r="G1181" s="34" t="s">
        <v>35942</v>
      </c>
      <c r="H1181" s="34" t="s">
        <v>2991</v>
      </c>
      <c r="I1181" s="34" t="s">
        <v>56</v>
      </c>
      <c r="J1181" s="34">
        <v>34950</v>
      </c>
      <c r="K1181" s="34" t="s">
        <v>2993</v>
      </c>
      <c r="L1181" s="34" t="s">
        <v>17292</v>
      </c>
      <c r="M1181" s="34" t="s">
        <v>21</v>
      </c>
      <c r="N1181" s="34" t="s">
        <v>35943</v>
      </c>
      <c r="O1181" s="34" t="s">
        <v>372</v>
      </c>
      <c r="P1181" s="34" t="s">
        <v>30089</v>
      </c>
      <c r="Q1181" s="35" t="s">
        <v>35944</v>
      </c>
      <c r="R1181" s="34" t="s">
        <v>94</v>
      </c>
      <c r="S1181" s="34" t="s">
        <v>29</v>
      </c>
      <c r="T1181" s="36" t="s">
        <v>26576</v>
      </c>
      <c r="U1181" s="36" t="s">
        <v>26572</v>
      </c>
      <c r="V1181" s="36" t="s">
        <v>26573</v>
      </c>
      <c r="W1181" s="36" t="s">
        <v>94</v>
      </c>
      <c r="X1181" s="36">
        <v>4281</v>
      </c>
      <c r="Y1181" s="1"/>
      <c r="Z1181" s="34" t="s">
        <v>42968</v>
      </c>
      <c r="AA1181" s="33">
        <v>6487</v>
      </c>
      <c r="AG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row>
    <row r="1182" spans="1:64" ht="12" customHeight="1" x14ac:dyDescent="0.15">
      <c r="A1182" s="34" t="s">
        <v>35929</v>
      </c>
      <c r="B1182" s="34">
        <v>53</v>
      </c>
      <c r="C1182" s="34" t="s">
        <v>14</v>
      </c>
      <c r="D1182" s="34" t="s">
        <v>79</v>
      </c>
      <c r="E1182" s="35"/>
      <c r="F1182" s="67">
        <v>43440</v>
      </c>
      <c r="G1182" s="34" t="s">
        <v>35930</v>
      </c>
      <c r="H1182" s="34" t="s">
        <v>35931</v>
      </c>
      <c r="I1182" s="34" t="s">
        <v>160</v>
      </c>
      <c r="J1182" s="34">
        <v>30253</v>
      </c>
      <c r="K1182" s="34" t="s">
        <v>7624</v>
      </c>
      <c r="L1182" s="34" t="s">
        <v>7625</v>
      </c>
      <c r="M1182" s="34" t="s">
        <v>21</v>
      </c>
      <c r="N1182" s="34" t="s">
        <v>35932</v>
      </c>
      <c r="O1182" s="34" t="s">
        <v>372</v>
      </c>
      <c r="P1182" s="34" t="s">
        <v>30089</v>
      </c>
      <c r="Q1182" s="35" t="s">
        <v>35933</v>
      </c>
      <c r="R1182" s="34" t="s">
        <v>94</v>
      </c>
      <c r="S1182" s="34" t="s">
        <v>22</v>
      </c>
      <c r="T1182" s="36" t="s">
        <v>26781</v>
      </c>
      <c r="U1182" s="36" t="s">
        <v>26572</v>
      </c>
      <c r="V1182" s="36" t="s">
        <v>26573</v>
      </c>
      <c r="W1182" s="36" t="s">
        <v>94</v>
      </c>
      <c r="X1182" s="36">
        <v>4275</v>
      </c>
      <c r="Y1182" s="1"/>
      <c r="Z1182" s="34" t="s">
        <v>42968</v>
      </c>
      <c r="AA1182" s="33">
        <v>6482</v>
      </c>
      <c r="AG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row>
    <row r="1183" spans="1:64" ht="12" customHeight="1" x14ac:dyDescent="0.15">
      <c r="A1183" s="34" t="s">
        <v>36403</v>
      </c>
      <c r="B1183" s="34">
        <v>46</v>
      </c>
      <c r="C1183" s="34" t="s">
        <v>14</v>
      </c>
      <c r="D1183" s="34" t="s">
        <v>31</v>
      </c>
      <c r="E1183" s="35" t="s">
        <v>35938</v>
      </c>
      <c r="F1183" s="67">
        <v>43440</v>
      </c>
      <c r="G1183" s="34" t="s">
        <v>35939</v>
      </c>
      <c r="H1183" s="34" t="s">
        <v>27420</v>
      </c>
      <c r="I1183" s="34" t="s">
        <v>250</v>
      </c>
      <c r="J1183" s="34">
        <v>89060</v>
      </c>
      <c r="K1183" s="34" t="s">
        <v>27421</v>
      </c>
      <c r="L1183" s="34" t="s">
        <v>27422</v>
      </c>
      <c r="M1183" s="34" t="s">
        <v>21</v>
      </c>
      <c r="N1183" s="34" t="s">
        <v>36404</v>
      </c>
      <c r="O1183" s="34" t="s">
        <v>372</v>
      </c>
      <c r="P1183" s="34" t="s">
        <v>30089</v>
      </c>
      <c r="Q1183" s="35" t="s">
        <v>35940</v>
      </c>
      <c r="R1183" s="34" t="s">
        <v>512</v>
      </c>
      <c r="S1183" s="34" t="s">
        <v>22</v>
      </c>
      <c r="T1183" s="36" t="s">
        <v>26781</v>
      </c>
      <c r="U1183" s="36" t="s">
        <v>26572</v>
      </c>
      <c r="V1183" s="36" t="s">
        <v>26573</v>
      </c>
      <c r="W1183" s="36" t="s">
        <v>512</v>
      </c>
      <c r="X1183" s="36">
        <v>4287</v>
      </c>
      <c r="Y1183" s="1"/>
      <c r="Z1183" s="34" t="s">
        <v>42968</v>
      </c>
      <c r="AA1183" s="33">
        <v>6484</v>
      </c>
      <c r="AG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row>
    <row r="1184" spans="1:64" ht="12" customHeight="1" x14ac:dyDescent="0.15">
      <c r="A1184" s="34" t="s">
        <v>3002</v>
      </c>
      <c r="B1184" s="34"/>
      <c r="C1184" s="34" t="s">
        <v>14</v>
      </c>
      <c r="D1184" s="34" t="s">
        <v>24</v>
      </c>
      <c r="E1184" s="35"/>
      <c r="F1184" s="67">
        <v>43440</v>
      </c>
      <c r="G1184" s="34"/>
      <c r="H1184" s="34" t="s">
        <v>35934</v>
      </c>
      <c r="I1184" s="34" t="s">
        <v>178</v>
      </c>
      <c r="J1184" s="34">
        <v>87005</v>
      </c>
      <c r="K1184" s="34" t="s">
        <v>22531</v>
      </c>
      <c r="L1184" s="34" t="s">
        <v>35935</v>
      </c>
      <c r="M1184" s="34" t="s">
        <v>21</v>
      </c>
      <c r="N1184" s="34" t="s">
        <v>35936</v>
      </c>
      <c r="O1184" s="34" t="s">
        <v>372</v>
      </c>
      <c r="P1184" s="34" t="s">
        <v>30089</v>
      </c>
      <c r="Q1184" s="35" t="s">
        <v>35937</v>
      </c>
      <c r="R1184" s="34" t="s">
        <v>94</v>
      </c>
      <c r="S1184" s="34" t="s">
        <v>29</v>
      </c>
      <c r="T1184" s="33" t="s">
        <v>41840</v>
      </c>
      <c r="U1184" s="36"/>
      <c r="V1184" s="36"/>
      <c r="W1184" s="36"/>
      <c r="X1184" s="36"/>
      <c r="Y1184" s="1"/>
      <c r="Z1184" s="34" t="s">
        <v>42967</v>
      </c>
      <c r="AA1184" s="33">
        <v>6485</v>
      </c>
      <c r="AG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row>
    <row r="1185" spans="1:64" ht="12" customHeight="1" x14ac:dyDescent="0.15">
      <c r="A1185" s="34" t="s">
        <v>35923</v>
      </c>
      <c r="B1185" s="34">
        <v>42</v>
      </c>
      <c r="C1185" s="34" t="s">
        <v>14</v>
      </c>
      <c r="D1185" s="34" t="s">
        <v>31</v>
      </c>
      <c r="E1185" s="35" t="s">
        <v>35924</v>
      </c>
      <c r="F1185" s="67">
        <v>43440</v>
      </c>
      <c r="G1185" s="34" t="s">
        <v>35925</v>
      </c>
      <c r="H1185" s="34" t="s">
        <v>35926</v>
      </c>
      <c r="I1185" s="34" t="s">
        <v>39</v>
      </c>
      <c r="J1185" s="34">
        <v>96002</v>
      </c>
      <c r="K1185" s="34" t="s">
        <v>6887</v>
      </c>
      <c r="L1185" s="34" t="s">
        <v>6888</v>
      </c>
      <c r="M1185" s="34" t="s">
        <v>21</v>
      </c>
      <c r="N1185" s="34" t="s">
        <v>35927</v>
      </c>
      <c r="O1185" s="34" t="s">
        <v>372</v>
      </c>
      <c r="P1185" s="34" t="s">
        <v>30089</v>
      </c>
      <c r="Q1185" s="35" t="s">
        <v>35928</v>
      </c>
      <c r="R1185" s="34" t="s">
        <v>94</v>
      </c>
      <c r="S1185" s="34" t="s">
        <v>22</v>
      </c>
      <c r="T1185" s="36" t="s">
        <v>26781</v>
      </c>
      <c r="U1185" s="36" t="s">
        <v>26572</v>
      </c>
      <c r="V1185" s="36" t="s">
        <v>26571</v>
      </c>
      <c r="W1185" s="36" t="s">
        <v>94</v>
      </c>
      <c r="X1185" s="36">
        <v>4277</v>
      </c>
      <c r="Y1185" s="1"/>
      <c r="Z1185" s="34" t="s">
        <v>42966</v>
      </c>
      <c r="AA1185" s="33">
        <v>6483</v>
      </c>
      <c r="AG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row>
    <row r="1186" spans="1:64" ht="12" customHeight="1" x14ac:dyDescent="0.15">
      <c r="A1186" s="34" t="s">
        <v>35919</v>
      </c>
      <c r="B1186" s="34">
        <v>33</v>
      </c>
      <c r="C1186" s="34" t="s">
        <v>14</v>
      </c>
      <c r="D1186" s="34" t="s">
        <v>79</v>
      </c>
      <c r="E1186" s="35"/>
      <c r="F1186" s="67">
        <v>43439</v>
      </c>
      <c r="G1186" s="34" t="s">
        <v>35920</v>
      </c>
      <c r="H1186" s="34" t="s">
        <v>818</v>
      </c>
      <c r="I1186" s="34" t="s">
        <v>225</v>
      </c>
      <c r="J1186" s="34">
        <v>23220</v>
      </c>
      <c r="K1186" s="34" t="s">
        <v>17195</v>
      </c>
      <c r="L1186" s="34" t="s">
        <v>819</v>
      </c>
      <c r="M1186" s="34" t="s">
        <v>21</v>
      </c>
      <c r="N1186" s="34" t="s">
        <v>35921</v>
      </c>
      <c r="O1186" s="34" t="s">
        <v>372</v>
      </c>
      <c r="P1186" s="34" t="s">
        <v>30089</v>
      </c>
      <c r="Q1186" s="35" t="s">
        <v>35922</v>
      </c>
      <c r="R1186" s="34" t="s">
        <v>94</v>
      </c>
      <c r="S1186" s="34" t="s">
        <v>22</v>
      </c>
      <c r="T1186" s="36" t="s">
        <v>26774</v>
      </c>
      <c r="U1186" s="36" t="s">
        <v>26572</v>
      </c>
      <c r="V1186" s="36" t="s">
        <v>26573</v>
      </c>
      <c r="W1186" s="36" t="s">
        <v>94</v>
      </c>
      <c r="X1186" s="36">
        <v>4279</v>
      </c>
      <c r="Y1186" s="1"/>
      <c r="Z1186" s="34" t="s">
        <v>42966</v>
      </c>
      <c r="AA1186" s="33">
        <v>6479</v>
      </c>
      <c r="AG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row>
    <row r="1187" spans="1:64" ht="12" customHeight="1" x14ac:dyDescent="0.15">
      <c r="A1187" s="34" t="s">
        <v>35916</v>
      </c>
      <c r="B1187" s="34">
        <v>41</v>
      </c>
      <c r="C1187" s="34" t="s">
        <v>14</v>
      </c>
      <c r="D1187" s="34" t="s">
        <v>31</v>
      </c>
      <c r="E1187" s="35"/>
      <c r="F1187" s="67">
        <v>43439</v>
      </c>
      <c r="G1187" s="34" t="s">
        <v>35917</v>
      </c>
      <c r="H1187" s="34" t="s">
        <v>1033</v>
      </c>
      <c r="I1187" s="34" t="s">
        <v>376</v>
      </c>
      <c r="J1187" s="34">
        <v>19134</v>
      </c>
      <c r="K1187" s="34" t="s">
        <v>1033</v>
      </c>
      <c r="L1187" s="34" t="s">
        <v>1034</v>
      </c>
      <c r="M1187" s="34" t="s">
        <v>21</v>
      </c>
      <c r="N1187" s="34" t="s">
        <v>36405</v>
      </c>
      <c r="O1187" s="34" t="s">
        <v>372</v>
      </c>
      <c r="P1187" s="34" t="s">
        <v>30089</v>
      </c>
      <c r="Q1187" s="35" t="s">
        <v>35918</v>
      </c>
      <c r="R1187" s="34" t="s">
        <v>23</v>
      </c>
      <c r="S1187" s="34" t="s">
        <v>22</v>
      </c>
      <c r="T1187" s="36" t="s">
        <v>26774</v>
      </c>
      <c r="U1187" s="36" t="s">
        <v>26572</v>
      </c>
      <c r="V1187" s="36" t="s">
        <v>26573</v>
      </c>
      <c r="W1187" s="36" t="s">
        <v>94</v>
      </c>
      <c r="X1187" s="36">
        <v>4271</v>
      </c>
      <c r="Y1187" s="1"/>
      <c r="Z1187" s="34" t="s">
        <v>42966</v>
      </c>
      <c r="AA1187" s="33">
        <v>6478</v>
      </c>
      <c r="AG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row>
    <row r="1188" spans="1:64" ht="12" customHeight="1" x14ac:dyDescent="0.15">
      <c r="A1188" s="34" t="s">
        <v>35912</v>
      </c>
      <c r="B1188" s="34">
        <v>23</v>
      </c>
      <c r="C1188" s="34" t="s">
        <v>14</v>
      </c>
      <c r="D1188" s="34" t="s">
        <v>79</v>
      </c>
      <c r="E1188" s="35"/>
      <c r="F1188" s="67">
        <v>43439</v>
      </c>
      <c r="G1188" s="34" t="s">
        <v>35913</v>
      </c>
      <c r="H1188" s="34" t="s">
        <v>661</v>
      </c>
      <c r="I1188" s="34" t="s">
        <v>402</v>
      </c>
      <c r="J1188" s="34">
        <v>63121</v>
      </c>
      <c r="K1188" s="34" t="s">
        <v>29523</v>
      </c>
      <c r="L1188" s="34" t="s">
        <v>4162</v>
      </c>
      <c r="M1188" s="34" t="s">
        <v>21</v>
      </c>
      <c r="N1188" s="34" t="s">
        <v>35914</v>
      </c>
      <c r="O1188" s="34" t="s">
        <v>372</v>
      </c>
      <c r="P1188" s="34" t="s">
        <v>30089</v>
      </c>
      <c r="Q1188" s="35" t="s">
        <v>35915</v>
      </c>
      <c r="R1188" s="34" t="s">
        <v>94</v>
      </c>
      <c r="S1188" s="34" t="s">
        <v>22</v>
      </c>
      <c r="T1188" s="36" t="s">
        <v>26781</v>
      </c>
      <c r="U1188" s="36" t="s">
        <v>26572</v>
      </c>
      <c r="V1188" s="36"/>
      <c r="W1188" s="36"/>
      <c r="X1188" s="36"/>
      <c r="Y1188" s="1"/>
      <c r="Z1188" s="34" t="s">
        <v>42968</v>
      </c>
      <c r="AA1188" s="33">
        <v>6477</v>
      </c>
      <c r="AG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row>
    <row r="1189" spans="1:64" ht="12" customHeight="1" x14ac:dyDescent="0.15">
      <c r="A1189" s="34" t="s">
        <v>35903</v>
      </c>
      <c r="B1189" s="34">
        <v>27</v>
      </c>
      <c r="C1189" s="34" t="s">
        <v>14</v>
      </c>
      <c r="D1189" s="34" t="s">
        <v>42</v>
      </c>
      <c r="E1189" s="35"/>
      <c r="F1189" s="67">
        <v>43439</v>
      </c>
      <c r="G1189" s="34" t="s">
        <v>35904</v>
      </c>
      <c r="H1189" s="34" t="s">
        <v>3332</v>
      </c>
      <c r="I1189" s="34" t="s">
        <v>39</v>
      </c>
      <c r="J1189" s="34">
        <v>94558</v>
      </c>
      <c r="K1189" s="34" t="s">
        <v>3332</v>
      </c>
      <c r="L1189" s="34" t="s">
        <v>3334</v>
      </c>
      <c r="M1189" s="34" t="s">
        <v>21</v>
      </c>
      <c r="N1189" s="34" t="s">
        <v>35905</v>
      </c>
      <c r="O1189" s="34" t="s">
        <v>372</v>
      </c>
      <c r="P1189" s="34" t="s">
        <v>30089</v>
      </c>
      <c r="Q1189" s="35" t="s">
        <v>35906</v>
      </c>
      <c r="R1189" s="34" t="s">
        <v>94</v>
      </c>
      <c r="S1189" s="34" t="s">
        <v>22</v>
      </c>
      <c r="T1189" s="36" t="s">
        <v>26781</v>
      </c>
      <c r="U1189" s="36" t="s">
        <v>26572</v>
      </c>
      <c r="V1189" s="36" t="s">
        <v>26574</v>
      </c>
      <c r="W1189" s="36" t="s">
        <v>94</v>
      </c>
      <c r="X1189" s="36">
        <v>4270</v>
      </c>
      <c r="Y1189" s="1"/>
      <c r="Z1189" s="34" t="s">
        <v>42968</v>
      </c>
      <c r="AA1189" s="33">
        <v>6475</v>
      </c>
      <c r="AG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row>
    <row r="1190" spans="1:64" ht="12" customHeight="1" x14ac:dyDescent="0.15">
      <c r="A1190" s="34" t="s">
        <v>35907</v>
      </c>
      <c r="B1190" s="34">
        <v>41</v>
      </c>
      <c r="C1190" s="34" t="s">
        <v>14</v>
      </c>
      <c r="D1190" s="34" t="s">
        <v>31</v>
      </c>
      <c r="E1190" s="35"/>
      <c r="F1190" s="67">
        <v>43439</v>
      </c>
      <c r="G1190" s="34" t="s">
        <v>35908</v>
      </c>
      <c r="H1190" s="34" t="s">
        <v>35909</v>
      </c>
      <c r="I1190" s="34" t="s">
        <v>39</v>
      </c>
      <c r="J1190" s="34">
        <v>94553</v>
      </c>
      <c r="K1190" s="34" t="s">
        <v>4146</v>
      </c>
      <c r="L1190" s="34" t="s">
        <v>4147</v>
      </c>
      <c r="M1190" s="34" t="s">
        <v>21</v>
      </c>
      <c r="N1190" s="34" t="s">
        <v>35910</v>
      </c>
      <c r="O1190" s="34" t="s">
        <v>372</v>
      </c>
      <c r="P1190" s="34" t="s">
        <v>30089</v>
      </c>
      <c r="Q1190" s="35" t="s">
        <v>35911</v>
      </c>
      <c r="R1190" s="34" t="s">
        <v>94</v>
      </c>
      <c r="S1190" s="34" t="s">
        <v>22</v>
      </c>
      <c r="T1190" s="36" t="s">
        <v>26781</v>
      </c>
      <c r="U1190" s="36" t="s">
        <v>26572</v>
      </c>
      <c r="V1190" s="36" t="s">
        <v>26574</v>
      </c>
      <c r="W1190" s="36" t="s">
        <v>94</v>
      </c>
      <c r="X1190" s="36">
        <v>4276</v>
      </c>
      <c r="Y1190" s="1"/>
      <c r="Z1190" s="34" t="s">
        <v>42968</v>
      </c>
      <c r="AA1190" s="33">
        <v>6476</v>
      </c>
      <c r="AG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row>
    <row r="1191" spans="1:64" ht="12" customHeight="1" x14ac:dyDescent="0.15">
      <c r="A1191" s="34" t="s">
        <v>3002</v>
      </c>
      <c r="B1191" s="34"/>
      <c r="C1191" s="34" t="s">
        <v>14</v>
      </c>
      <c r="D1191" s="34" t="s">
        <v>24</v>
      </c>
      <c r="E1191" s="35"/>
      <c r="F1191" s="67">
        <v>43439</v>
      </c>
      <c r="G1191" s="34" t="s">
        <v>36120</v>
      </c>
      <c r="H1191" s="34" t="s">
        <v>266</v>
      </c>
      <c r="I1191" s="34" t="s">
        <v>67</v>
      </c>
      <c r="J1191" s="34">
        <v>75217</v>
      </c>
      <c r="K1191" s="34" t="s">
        <v>266</v>
      </c>
      <c r="L1191" s="34" t="s">
        <v>267</v>
      </c>
      <c r="M1191" s="34" t="s">
        <v>363</v>
      </c>
      <c r="N1191" s="34" t="s">
        <v>36121</v>
      </c>
      <c r="O1191" s="34" t="s">
        <v>372</v>
      </c>
      <c r="P1191" s="34" t="s">
        <v>30089</v>
      </c>
      <c r="Q1191" s="35" t="s">
        <v>36122</v>
      </c>
      <c r="R1191" s="34" t="s">
        <v>94</v>
      </c>
      <c r="S1191" s="34" t="s">
        <v>22</v>
      </c>
      <c r="T1191" s="36" t="s">
        <v>26593</v>
      </c>
      <c r="U1191" s="36"/>
      <c r="V1191" s="36"/>
      <c r="W1191" s="36"/>
      <c r="X1191" s="36"/>
      <c r="Y1191" s="1"/>
      <c r="Z1191" s="34" t="s">
        <v>42968</v>
      </c>
      <c r="AA1191" s="33">
        <v>6481</v>
      </c>
      <c r="AG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row>
    <row r="1192" spans="1:64" ht="12" customHeight="1" x14ac:dyDescent="0.15">
      <c r="A1192" s="34" t="s">
        <v>35897</v>
      </c>
      <c r="B1192" s="34">
        <v>26</v>
      </c>
      <c r="C1192" s="34" t="s">
        <v>14</v>
      </c>
      <c r="D1192" s="34" t="s">
        <v>42</v>
      </c>
      <c r="E1192" s="35"/>
      <c r="F1192" s="67">
        <v>43439</v>
      </c>
      <c r="G1192" s="34" t="s">
        <v>35898</v>
      </c>
      <c r="H1192" s="34" t="s">
        <v>35899</v>
      </c>
      <c r="I1192" s="34" t="s">
        <v>39</v>
      </c>
      <c r="J1192" s="34">
        <v>93203</v>
      </c>
      <c r="K1192" s="34" t="s">
        <v>632</v>
      </c>
      <c r="L1192" s="34" t="s">
        <v>35900</v>
      </c>
      <c r="M1192" s="34" t="s">
        <v>21</v>
      </c>
      <c r="N1192" s="34" t="s">
        <v>35901</v>
      </c>
      <c r="O1192" s="34" t="s">
        <v>372</v>
      </c>
      <c r="P1192" s="34" t="s">
        <v>30089</v>
      </c>
      <c r="Q1192" s="35" t="s">
        <v>35902</v>
      </c>
      <c r="R1192" s="34" t="s">
        <v>94</v>
      </c>
      <c r="S1192" s="34" t="s">
        <v>22</v>
      </c>
      <c r="T1192" s="36" t="s">
        <v>26774</v>
      </c>
      <c r="U1192" s="36"/>
      <c r="V1192" s="36"/>
      <c r="W1192" s="36"/>
      <c r="X1192" s="36"/>
      <c r="Y1192" s="1"/>
      <c r="Z1192" s="34" t="s">
        <v>42968</v>
      </c>
      <c r="AA1192" s="33">
        <v>6480</v>
      </c>
      <c r="AG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row>
    <row r="1193" spans="1:64" ht="12" customHeight="1" x14ac:dyDescent="0.15">
      <c r="A1193" s="34" t="s">
        <v>35892</v>
      </c>
      <c r="B1193" s="34">
        <v>18</v>
      </c>
      <c r="C1193" s="34" t="s">
        <v>14</v>
      </c>
      <c r="D1193" s="34" t="s">
        <v>42</v>
      </c>
      <c r="E1193" s="35" t="s">
        <v>35893</v>
      </c>
      <c r="F1193" s="67">
        <v>43438</v>
      </c>
      <c r="G1193" s="34" t="s">
        <v>35894</v>
      </c>
      <c r="H1193" s="34" t="s">
        <v>1355</v>
      </c>
      <c r="I1193" s="34" t="s">
        <v>221</v>
      </c>
      <c r="J1193" s="34">
        <v>84404</v>
      </c>
      <c r="K1193" s="34" t="s">
        <v>1356</v>
      </c>
      <c r="L1193" s="34" t="s">
        <v>6688</v>
      </c>
      <c r="M1193" s="34" t="s">
        <v>21</v>
      </c>
      <c r="N1193" s="34" t="s">
        <v>35895</v>
      </c>
      <c r="O1193" s="34" t="s">
        <v>372</v>
      </c>
      <c r="P1193" s="34" t="s">
        <v>30089</v>
      </c>
      <c r="Q1193" s="35" t="s">
        <v>35896</v>
      </c>
      <c r="R1193" s="34" t="s">
        <v>94</v>
      </c>
      <c r="S1193" s="34" t="s">
        <v>12</v>
      </c>
      <c r="T1193" s="36" t="s">
        <v>29425</v>
      </c>
      <c r="U1193" s="36" t="s">
        <v>26572</v>
      </c>
      <c r="V1193" s="36" t="s">
        <v>26573</v>
      </c>
      <c r="W1193" s="36" t="s">
        <v>512</v>
      </c>
      <c r="X1193" s="36">
        <v>4269</v>
      </c>
      <c r="Y1193" s="1"/>
      <c r="Z1193" s="34" t="s">
        <v>42968</v>
      </c>
      <c r="AA1193" s="33">
        <v>6474</v>
      </c>
      <c r="AG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row>
    <row r="1194" spans="1:64" ht="12" customHeight="1" x14ac:dyDescent="0.15">
      <c r="A1194" s="34" t="s">
        <v>3002</v>
      </c>
      <c r="B1194" s="34"/>
      <c r="C1194" s="34" t="s">
        <v>14</v>
      </c>
      <c r="D1194" s="34" t="s">
        <v>24</v>
      </c>
      <c r="E1194" s="35"/>
      <c r="F1194" s="67">
        <v>43436</v>
      </c>
      <c r="G1194" s="34" t="s">
        <v>35889</v>
      </c>
      <c r="H1194" s="34" t="s">
        <v>266</v>
      </c>
      <c r="I1194" s="34" t="s">
        <v>67</v>
      </c>
      <c r="J1194" s="34">
        <v>75253</v>
      </c>
      <c r="K1194" s="34" t="s">
        <v>266</v>
      </c>
      <c r="L1194" s="34" t="s">
        <v>25896</v>
      </c>
      <c r="M1194" s="34" t="s">
        <v>21</v>
      </c>
      <c r="N1194" s="34" t="s">
        <v>35890</v>
      </c>
      <c r="O1194" s="34" t="s">
        <v>372</v>
      </c>
      <c r="P1194" s="34" t="s">
        <v>30089</v>
      </c>
      <c r="Q1194" s="35" t="s">
        <v>35891</v>
      </c>
      <c r="R1194" s="34" t="s">
        <v>94</v>
      </c>
      <c r="S1194" s="34" t="s">
        <v>22</v>
      </c>
      <c r="T1194" s="36" t="s">
        <v>26867</v>
      </c>
      <c r="U1194" s="36"/>
      <c r="V1194" s="36"/>
      <c r="W1194" s="36"/>
      <c r="X1194" s="36"/>
      <c r="Y1194" s="1"/>
      <c r="Z1194" s="34" t="s">
        <v>42968</v>
      </c>
      <c r="AA1194" s="33">
        <v>6473</v>
      </c>
      <c r="AG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row>
    <row r="1195" spans="1:64" ht="12" customHeight="1" x14ac:dyDescent="0.15">
      <c r="A1195" s="34" t="s">
        <v>35885</v>
      </c>
      <c r="B1195" s="34">
        <v>28</v>
      </c>
      <c r="C1195" s="34" t="s">
        <v>14</v>
      </c>
      <c r="D1195" s="34" t="s">
        <v>42</v>
      </c>
      <c r="E1195" s="35" t="s">
        <v>35886</v>
      </c>
      <c r="F1195" s="67">
        <v>43436</v>
      </c>
      <c r="G1195" s="34"/>
      <c r="H1195" s="34" t="s">
        <v>9151</v>
      </c>
      <c r="I1195" s="34" t="s">
        <v>67</v>
      </c>
      <c r="J1195" s="34">
        <v>75935</v>
      </c>
      <c r="K1195" s="34" t="s">
        <v>1117</v>
      </c>
      <c r="L1195" s="34" t="s">
        <v>262</v>
      </c>
      <c r="M1195" s="34" t="s">
        <v>21</v>
      </c>
      <c r="N1195" s="34" t="s">
        <v>35887</v>
      </c>
      <c r="O1195" s="34" t="s">
        <v>372</v>
      </c>
      <c r="P1195" s="34" t="s">
        <v>30089</v>
      </c>
      <c r="Q1195" s="35" t="s">
        <v>35888</v>
      </c>
      <c r="R1195" s="34" t="s">
        <v>94</v>
      </c>
      <c r="S1195" s="34" t="s">
        <v>22</v>
      </c>
      <c r="T1195" s="36" t="s">
        <v>26781</v>
      </c>
      <c r="U1195" s="36" t="s">
        <v>26572</v>
      </c>
      <c r="V1195" s="36" t="s">
        <v>26573</v>
      </c>
      <c r="W1195" s="36"/>
      <c r="X1195" s="36"/>
      <c r="Y1195" s="1"/>
      <c r="Z1195" s="34" t="s">
        <v>42967</v>
      </c>
      <c r="AA1195" s="33">
        <v>6472</v>
      </c>
      <c r="AG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row>
    <row r="1196" spans="1:64" ht="12" customHeight="1" x14ac:dyDescent="0.15">
      <c r="A1196" s="34" t="s">
        <v>35872</v>
      </c>
      <c r="B1196" s="34">
        <v>65</v>
      </c>
      <c r="C1196" s="34" t="s">
        <v>14</v>
      </c>
      <c r="D1196" s="34" t="s">
        <v>79</v>
      </c>
      <c r="E1196" s="35"/>
      <c r="F1196" s="67">
        <v>43435</v>
      </c>
      <c r="G1196" s="34" t="s">
        <v>35873</v>
      </c>
      <c r="H1196" s="34" t="s">
        <v>4990</v>
      </c>
      <c r="I1196" s="34" t="s">
        <v>56</v>
      </c>
      <c r="J1196" s="34">
        <v>32505</v>
      </c>
      <c r="K1196" s="34" t="s">
        <v>4991</v>
      </c>
      <c r="L1196" s="34" t="s">
        <v>4992</v>
      </c>
      <c r="M1196" s="34" t="s">
        <v>21</v>
      </c>
      <c r="N1196" s="34" t="s">
        <v>35874</v>
      </c>
      <c r="O1196" s="34" t="s">
        <v>372</v>
      </c>
      <c r="P1196" s="34" t="s">
        <v>30089</v>
      </c>
      <c r="Q1196" s="35" t="s">
        <v>35875</v>
      </c>
      <c r="R1196" s="34" t="s">
        <v>94</v>
      </c>
      <c r="S1196" s="34" t="s">
        <v>22</v>
      </c>
      <c r="T1196" s="36" t="s">
        <v>26606</v>
      </c>
      <c r="U1196" s="36" t="s">
        <v>26572</v>
      </c>
      <c r="V1196" s="36" t="s">
        <v>26573</v>
      </c>
      <c r="W1196" s="36" t="s">
        <v>94</v>
      </c>
      <c r="X1196" s="36">
        <v>4240</v>
      </c>
      <c r="Y1196" s="1"/>
      <c r="Z1196" s="34" t="s">
        <v>42968</v>
      </c>
      <c r="AA1196" s="33">
        <v>6470</v>
      </c>
      <c r="AG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row>
    <row r="1197" spans="1:64" ht="12" customHeight="1" x14ac:dyDescent="0.15">
      <c r="A1197" s="34" t="s">
        <v>35867</v>
      </c>
      <c r="B1197" s="34">
        <v>30</v>
      </c>
      <c r="C1197" s="34" t="s">
        <v>14</v>
      </c>
      <c r="D1197" s="34" t="s">
        <v>79</v>
      </c>
      <c r="E1197" s="35" t="s">
        <v>35868</v>
      </c>
      <c r="F1197" s="67">
        <v>43435</v>
      </c>
      <c r="G1197" s="34" t="s">
        <v>35869</v>
      </c>
      <c r="H1197" s="34" t="s">
        <v>16772</v>
      </c>
      <c r="I1197" s="34" t="s">
        <v>56</v>
      </c>
      <c r="J1197" s="34">
        <v>33321</v>
      </c>
      <c r="K1197" s="34" t="s">
        <v>1052</v>
      </c>
      <c r="L1197" s="34" t="s">
        <v>4045</v>
      </c>
      <c r="M1197" s="34" t="s">
        <v>21</v>
      </c>
      <c r="N1197" s="34" t="s">
        <v>35870</v>
      </c>
      <c r="O1197" s="34" t="s">
        <v>372</v>
      </c>
      <c r="P1197" s="34" t="s">
        <v>30089</v>
      </c>
      <c r="Q1197" s="35" t="s">
        <v>35871</v>
      </c>
      <c r="R1197" s="34" t="s">
        <v>512</v>
      </c>
      <c r="S1197" s="34" t="s">
        <v>29</v>
      </c>
      <c r="T1197" s="36" t="s">
        <v>26610</v>
      </c>
      <c r="U1197" s="36" t="s">
        <v>26572</v>
      </c>
      <c r="V1197" s="36" t="s">
        <v>26573</v>
      </c>
      <c r="W1197" s="36" t="s">
        <v>94</v>
      </c>
      <c r="X1197" s="36">
        <v>4272</v>
      </c>
      <c r="Y1197" s="1"/>
      <c r="Z1197" s="34" t="s">
        <v>42966</v>
      </c>
      <c r="AA1197" s="33">
        <v>6471</v>
      </c>
      <c r="AG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row>
    <row r="1198" spans="1:64" ht="12" customHeight="1" x14ac:dyDescent="0.15">
      <c r="A1198" s="34" t="s">
        <v>35881</v>
      </c>
      <c r="B1198" s="34">
        <v>43</v>
      </c>
      <c r="C1198" s="34" t="s">
        <v>14</v>
      </c>
      <c r="D1198" s="34" t="s">
        <v>79</v>
      </c>
      <c r="E1198" s="35"/>
      <c r="F1198" s="67">
        <v>43435</v>
      </c>
      <c r="G1198" s="34" t="s">
        <v>35882</v>
      </c>
      <c r="H1198" s="34" t="s">
        <v>607</v>
      </c>
      <c r="I1198" s="34" t="s">
        <v>250</v>
      </c>
      <c r="J1198" s="34">
        <v>89101</v>
      </c>
      <c r="K1198" s="34" t="s">
        <v>527</v>
      </c>
      <c r="L1198" s="34" t="s">
        <v>528</v>
      </c>
      <c r="M1198" s="34" t="s">
        <v>4966</v>
      </c>
      <c r="N1198" s="34" t="s">
        <v>35883</v>
      </c>
      <c r="O1198" s="34" t="s">
        <v>372</v>
      </c>
      <c r="P1198" s="34" t="s">
        <v>30089</v>
      </c>
      <c r="Q1198" s="35" t="s">
        <v>35884</v>
      </c>
      <c r="R1198" s="34" t="s">
        <v>94</v>
      </c>
      <c r="S1198" s="34" t="s">
        <v>22</v>
      </c>
      <c r="T1198" s="36" t="s">
        <v>26774</v>
      </c>
      <c r="U1198" s="36" t="s">
        <v>26572</v>
      </c>
      <c r="V1198" s="36" t="s">
        <v>26573</v>
      </c>
      <c r="W1198" s="36" t="s">
        <v>512</v>
      </c>
      <c r="X1198" s="36">
        <v>4239</v>
      </c>
      <c r="Y1198" s="1"/>
      <c r="Z1198" s="34" t="s">
        <v>42966</v>
      </c>
      <c r="AA1198" s="33">
        <v>6469</v>
      </c>
      <c r="AG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row>
    <row r="1199" spans="1:64" ht="12" customHeight="1" x14ac:dyDescent="0.15">
      <c r="A1199" s="34" t="s">
        <v>35876</v>
      </c>
      <c r="B1199" s="34"/>
      <c r="C1199" s="34" t="s">
        <v>14</v>
      </c>
      <c r="D1199" s="34" t="s">
        <v>31</v>
      </c>
      <c r="E1199" s="35" t="s">
        <v>35877</v>
      </c>
      <c r="F1199" s="67">
        <v>43435</v>
      </c>
      <c r="G1199" s="34" t="s">
        <v>35878</v>
      </c>
      <c r="H1199" s="34" t="s">
        <v>27891</v>
      </c>
      <c r="I1199" s="34" t="s">
        <v>621</v>
      </c>
      <c r="J1199" s="34">
        <v>38965</v>
      </c>
      <c r="K1199" s="34" t="s">
        <v>12341</v>
      </c>
      <c r="L1199" s="34" t="s">
        <v>27890</v>
      </c>
      <c r="M1199" s="34" t="s">
        <v>21</v>
      </c>
      <c r="N1199" s="34" t="s">
        <v>35879</v>
      </c>
      <c r="O1199" s="34" t="s">
        <v>372</v>
      </c>
      <c r="P1199" s="34" t="s">
        <v>30089</v>
      </c>
      <c r="Q1199" s="35" t="s">
        <v>35880</v>
      </c>
      <c r="R1199" s="34" t="s">
        <v>94</v>
      </c>
      <c r="S1199" s="34" t="s">
        <v>22</v>
      </c>
      <c r="T1199" s="36" t="s">
        <v>26781</v>
      </c>
      <c r="U1199" s="36" t="s">
        <v>26572</v>
      </c>
      <c r="V1199" s="36" t="s">
        <v>26573</v>
      </c>
      <c r="W1199" s="36"/>
      <c r="X1199" s="36"/>
      <c r="Y1199" s="1"/>
      <c r="Z1199" s="34" t="s">
        <v>42967</v>
      </c>
      <c r="AA1199" s="33">
        <v>6468</v>
      </c>
      <c r="AG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row>
    <row r="1200" spans="1:64" ht="12" customHeight="1" x14ac:dyDescent="0.15">
      <c r="A1200" s="34" t="s">
        <v>36994</v>
      </c>
      <c r="B1200" s="34">
        <v>18</v>
      </c>
      <c r="C1200" s="34" t="s">
        <v>14</v>
      </c>
      <c r="D1200" s="34" t="s">
        <v>24</v>
      </c>
      <c r="E1200" s="35"/>
      <c r="F1200" s="67">
        <v>43434</v>
      </c>
      <c r="G1200" s="34" t="s">
        <v>35858</v>
      </c>
      <c r="H1200" s="34" t="s">
        <v>35859</v>
      </c>
      <c r="I1200" s="34" t="s">
        <v>132</v>
      </c>
      <c r="J1200" s="34">
        <v>57761</v>
      </c>
      <c r="K1200" s="34" t="s">
        <v>133</v>
      </c>
      <c r="L1200" s="34" t="s">
        <v>4941</v>
      </c>
      <c r="M1200" s="34" t="s">
        <v>21</v>
      </c>
      <c r="N1200" s="34" t="s">
        <v>35860</v>
      </c>
      <c r="O1200" s="34" t="s">
        <v>372</v>
      </c>
      <c r="P1200" s="34" t="s">
        <v>30089</v>
      </c>
      <c r="Q1200" s="35" t="s">
        <v>35861</v>
      </c>
      <c r="R1200" s="34" t="s">
        <v>94</v>
      </c>
      <c r="S1200" s="34" t="s">
        <v>22</v>
      </c>
      <c r="T1200" s="36" t="s">
        <v>26781</v>
      </c>
      <c r="U1200" s="36" t="s">
        <v>26570</v>
      </c>
      <c r="V1200" s="36" t="s">
        <v>26571</v>
      </c>
      <c r="W1200" s="36"/>
      <c r="X1200" s="34">
        <v>4331</v>
      </c>
      <c r="Y1200" s="1"/>
      <c r="Z1200" s="34" t="s">
        <v>42967</v>
      </c>
      <c r="AA1200" s="33">
        <v>6467</v>
      </c>
      <c r="AG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row>
    <row r="1201" spans="1:64" ht="12" customHeight="1" x14ac:dyDescent="0.15">
      <c r="A1201" s="34" t="s">
        <v>35862</v>
      </c>
      <c r="B1201" s="34">
        <v>37</v>
      </c>
      <c r="C1201" s="34" t="s">
        <v>14</v>
      </c>
      <c r="D1201" s="34" t="s">
        <v>42</v>
      </c>
      <c r="E1201" s="35" t="s">
        <v>35863</v>
      </c>
      <c r="F1201" s="67">
        <v>43434</v>
      </c>
      <c r="G1201" s="34" t="s">
        <v>35864</v>
      </c>
      <c r="H1201" s="34" t="s">
        <v>1355</v>
      </c>
      <c r="I1201" s="34" t="s">
        <v>221</v>
      </c>
      <c r="J1201" s="34">
        <v>84401</v>
      </c>
      <c r="K1201" s="34" t="s">
        <v>1356</v>
      </c>
      <c r="L1201" s="34" t="s">
        <v>6688</v>
      </c>
      <c r="M1201" s="34" t="s">
        <v>21</v>
      </c>
      <c r="N1201" s="34" t="s">
        <v>35865</v>
      </c>
      <c r="O1201" s="34" t="s">
        <v>372</v>
      </c>
      <c r="P1201" s="34" t="s">
        <v>30089</v>
      </c>
      <c r="Q1201" s="35" t="s">
        <v>35866</v>
      </c>
      <c r="R1201" s="34" t="s">
        <v>94</v>
      </c>
      <c r="S1201" s="34" t="s">
        <v>22</v>
      </c>
      <c r="T1201" s="36" t="s">
        <v>26781</v>
      </c>
      <c r="U1201" s="36" t="s">
        <v>26572</v>
      </c>
      <c r="V1201" s="36" t="s">
        <v>26573</v>
      </c>
      <c r="W1201" s="36" t="s">
        <v>512</v>
      </c>
      <c r="X1201" s="36">
        <v>4241</v>
      </c>
      <c r="Y1201" s="1"/>
      <c r="Z1201" s="34" t="s">
        <v>42968</v>
      </c>
      <c r="AA1201" s="33">
        <v>6466</v>
      </c>
      <c r="AG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row>
    <row r="1202" spans="1:64" ht="12" customHeight="1" x14ac:dyDescent="0.15">
      <c r="A1202" s="34" t="s">
        <v>34910</v>
      </c>
      <c r="B1202" s="34">
        <v>37</v>
      </c>
      <c r="C1202" s="34" t="s">
        <v>14</v>
      </c>
      <c r="D1202" s="34" t="s">
        <v>31</v>
      </c>
      <c r="E1202" s="35"/>
      <c r="F1202" s="67">
        <v>43433</v>
      </c>
      <c r="G1202" s="34" t="s">
        <v>35855</v>
      </c>
      <c r="H1202" s="34" t="s">
        <v>12531</v>
      </c>
      <c r="I1202" s="34" t="s">
        <v>4034</v>
      </c>
      <c r="J1202" s="34">
        <v>4468</v>
      </c>
      <c r="K1202" s="34" t="s">
        <v>6374</v>
      </c>
      <c r="L1202" s="34" t="s">
        <v>35856</v>
      </c>
      <c r="M1202" s="34" t="s">
        <v>21</v>
      </c>
      <c r="N1202" s="34" t="s">
        <v>36406</v>
      </c>
      <c r="O1202" s="34" t="s">
        <v>372</v>
      </c>
      <c r="P1202" s="34" t="s">
        <v>30089</v>
      </c>
      <c r="Q1202" s="35" t="s">
        <v>35857</v>
      </c>
      <c r="R1202" s="34" t="s">
        <v>94</v>
      </c>
      <c r="S1202" s="34" t="s">
        <v>29</v>
      </c>
      <c r="T1202" s="36" t="s">
        <v>26575</v>
      </c>
      <c r="U1202" s="36" t="s">
        <v>26575</v>
      </c>
      <c r="V1202" s="36" t="s">
        <v>26573</v>
      </c>
      <c r="W1202" s="36" t="s">
        <v>94</v>
      </c>
      <c r="X1202" s="36">
        <v>4222</v>
      </c>
      <c r="Y1202" s="1"/>
      <c r="Z1202" s="34" t="s">
        <v>42967</v>
      </c>
      <c r="AA1202" s="33">
        <v>6464</v>
      </c>
      <c r="AG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row>
    <row r="1203" spans="1:64" ht="12" customHeight="1" x14ac:dyDescent="0.15">
      <c r="A1203" s="34" t="s">
        <v>35851</v>
      </c>
      <c r="B1203" s="34">
        <v>46</v>
      </c>
      <c r="C1203" s="34" t="s">
        <v>14</v>
      </c>
      <c r="D1203" s="34" t="s">
        <v>42</v>
      </c>
      <c r="E1203" s="35"/>
      <c r="F1203" s="67">
        <v>43433</v>
      </c>
      <c r="G1203" s="34" t="s">
        <v>35852</v>
      </c>
      <c r="H1203" s="34" t="s">
        <v>584</v>
      </c>
      <c r="I1203" s="34" t="s">
        <v>112</v>
      </c>
      <c r="J1203" s="34">
        <v>85009</v>
      </c>
      <c r="K1203" s="34" t="s">
        <v>585</v>
      </c>
      <c r="L1203" s="34" t="s">
        <v>586</v>
      </c>
      <c r="M1203" s="34" t="s">
        <v>21</v>
      </c>
      <c r="N1203" s="34" t="s">
        <v>35853</v>
      </c>
      <c r="O1203" s="34" t="s">
        <v>372</v>
      </c>
      <c r="P1203" s="34" t="s">
        <v>30089</v>
      </c>
      <c r="Q1203" s="35" t="s">
        <v>35854</v>
      </c>
      <c r="R1203" s="34" t="s">
        <v>94</v>
      </c>
      <c r="S1203" s="34" t="s">
        <v>22</v>
      </c>
      <c r="T1203" s="36" t="s">
        <v>26781</v>
      </c>
      <c r="U1203" s="36" t="s">
        <v>26572</v>
      </c>
      <c r="V1203" s="36" t="s">
        <v>26573</v>
      </c>
      <c r="W1203" s="36" t="s">
        <v>94</v>
      </c>
      <c r="X1203" s="36">
        <v>4227</v>
      </c>
      <c r="Y1203" s="1"/>
      <c r="Z1203" s="34" t="s">
        <v>42966</v>
      </c>
      <c r="AA1203" s="33">
        <v>6461</v>
      </c>
      <c r="AG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row>
    <row r="1204" spans="1:64" ht="12" customHeight="1" x14ac:dyDescent="0.15">
      <c r="A1204" s="34" t="s">
        <v>3002</v>
      </c>
      <c r="B1204" s="34"/>
      <c r="C1204" s="34" t="s">
        <v>103</v>
      </c>
      <c r="D1204" s="34" t="s">
        <v>42</v>
      </c>
      <c r="E1204" s="35"/>
      <c r="F1204" s="67">
        <v>43433</v>
      </c>
      <c r="G1204" s="34" t="s">
        <v>36123</v>
      </c>
      <c r="H1204" s="34" t="s">
        <v>36124</v>
      </c>
      <c r="I1204" s="34" t="s">
        <v>39</v>
      </c>
      <c r="J1204" s="34">
        <v>91905</v>
      </c>
      <c r="K1204" s="34" t="s">
        <v>143</v>
      </c>
      <c r="L1204" s="34" t="s">
        <v>4359</v>
      </c>
      <c r="M1204" s="34" t="s">
        <v>351</v>
      </c>
      <c r="N1204" s="34" t="s">
        <v>36125</v>
      </c>
      <c r="O1204" s="34" t="s">
        <v>372</v>
      </c>
      <c r="P1204" s="34" t="s">
        <v>30089</v>
      </c>
      <c r="Q1204" s="35" t="s">
        <v>36126</v>
      </c>
      <c r="R1204" s="34" t="s">
        <v>94</v>
      </c>
      <c r="S1204" s="33" t="s">
        <v>351</v>
      </c>
      <c r="T1204" s="36" t="s">
        <v>29705</v>
      </c>
      <c r="U1204" s="36"/>
      <c r="V1204" s="36"/>
      <c r="W1204" s="36"/>
      <c r="X1204" s="36"/>
      <c r="Y1204" s="1"/>
      <c r="Z1204" s="33" t="s">
        <v>42967</v>
      </c>
      <c r="AA1204" s="33">
        <v>6462</v>
      </c>
      <c r="AG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row>
    <row r="1205" spans="1:64" ht="12" customHeight="1" x14ac:dyDescent="0.15">
      <c r="A1205" s="34" t="s">
        <v>3002</v>
      </c>
      <c r="B1205" s="34"/>
      <c r="C1205" s="34" t="s">
        <v>14</v>
      </c>
      <c r="D1205" s="34" t="s">
        <v>42</v>
      </c>
      <c r="E1205" s="35"/>
      <c r="F1205" s="67">
        <v>43433</v>
      </c>
      <c r="G1205" s="34" t="s">
        <v>36123</v>
      </c>
      <c r="H1205" s="34" t="s">
        <v>36124</v>
      </c>
      <c r="I1205" s="34" t="s">
        <v>39</v>
      </c>
      <c r="J1205" s="34">
        <v>91905</v>
      </c>
      <c r="K1205" s="34" t="s">
        <v>143</v>
      </c>
      <c r="L1205" s="34" t="s">
        <v>4359</v>
      </c>
      <c r="M1205" s="34" t="s">
        <v>351</v>
      </c>
      <c r="N1205" s="34" t="s">
        <v>36125</v>
      </c>
      <c r="O1205" s="34" t="s">
        <v>372</v>
      </c>
      <c r="P1205" s="34" t="s">
        <v>30089</v>
      </c>
      <c r="Q1205" s="35" t="s">
        <v>36126</v>
      </c>
      <c r="R1205" s="34" t="s">
        <v>94</v>
      </c>
      <c r="S1205" s="33" t="s">
        <v>351</v>
      </c>
      <c r="T1205" s="36" t="s">
        <v>29705</v>
      </c>
      <c r="U1205" s="36"/>
      <c r="V1205" s="36"/>
      <c r="W1205" s="36"/>
      <c r="X1205" s="36"/>
      <c r="Y1205" s="1"/>
      <c r="Z1205" s="33" t="s">
        <v>42967</v>
      </c>
      <c r="AA1205" s="33">
        <v>6463</v>
      </c>
      <c r="AG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row>
    <row r="1206" spans="1:64" ht="12" customHeight="1" x14ac:dyDescent="0.15">
      <c r="A1206" s="34" t="s">
        <v>3002</v>
      </c>
      <c r="B1206" s="34"/>
      <c r="C1206" s="34" t="s">
        <v>14</v>
      </c>
      <c r="D1206" s="34" t="s">
        <v>42</v>
      </c>
      <c r="E1206" s="35"/>
      <c r="F1206" s="67">
        <v>43433</v>
      </c>
      <c r="G1206" s="34" t="s">
        <v>36123</v>
      </c>
      <c r="H1206" s="34" t="s">
        <v>36124</v>
      </c>
      <c r="I1206" s="34" t="s">
        <v>39</v>
      </c>
      <c r="J1206" s="34">
        <v>91905</v>
      </c>
      <c r="K1206" s="34" t="s">
        <v>143</v>
      </c>
      <c r="L1206" s="34" t="s">
        <v>4359</v>
      </c>
      <c r="M1206" s="34" t="s">
        <v>351</v>
      </c>
      <c r="N1206" s="34" t="s">
        <v>36125</v>
      </c>
      <c r="O1206" s="34" t="s">
        <v>372</v>
      </c>
      <c r="P1206" s="34" t="s">
        <v>30089</v>
      </c>
      <c r="Q1206" s="35" t="s">
        <v>36126</v>
      </c>
      <c r="R1206" s="34" t="s">
        <v>94</v>
      </c>
      <c r="S1206" s="33" t="s">
        <v>351</v>
      </c>
      <c r="T1206" s="36" t="s">
        <v>26867</v>
      </c>
      <c r="U1206" s="36"/>
      <c r="V1206" s="36"/>
      <c r="W1206" s="36"/>
      <c r="X1206" s="36"/>
      <c r="Y1206" s="1"/>
      <c r="Z1206" s="33" t="s">
        <v>42967</v>
      </c>
      <c r="AA1206" s="33">
        <v>6465</v>
      </c>
      <c r="AG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row>
    <row r="1207" spans="1:64" ht="12" customHeight="1" x14ac:dyDescent="0.15">
      <c r="A1207" s="34" t="s">
        <v>35828</v>
      </c>
      <c r="B1207" s="34">
        <v>78</v>
      </c>
      <c r="C1207" s="34" t="s">
        <v>14</v>
      </c>
      <c r="D1207" s="34" t="s">
        <v>24</v>
      </c>
      <c r="E1207" s="35"/>
      <c r="F1207" s="67">
        <v>43432</v>
      </c>
      <c r="G1207" s="34" t="s">
        <v>35829</v>
      </c>
      <c r="H1207" s="34" t="s">
        <v>1517</v>
      </c>
      <c r="I1207" s="34" t="s">
        <v>112</v>
      </c>
      <c r="J1207" s="34">
        <v>85344</v>
      </c>
      <c r="K1207" s="34" t="s">
        <v>3670</v>
      </c>
      <c r="L1207" s="34" t="s">
        <v>36409</v>
      </c>
      <c r="M1207" s="34" t="s">
        <v>4966</v>
      </c>
      <c r="N1207" s="34" t="s">
        <v>35830</v>
      </c>
      <c r="O1207" s="34" t="s">
        <v>372</v>
      </c>
      <c r="P1207" s="34" t="s">
        <v>30089</v>
      </c>
      <c r="Q1207" s="35" t="s">
        <v>35831</v>
      </c>
      <c r="R1207" s="34" t="s">
        <v>512</v>
      </c>
      <c r="S1207" s="34" t="s">
        <v>22</v>
      </c>
      <c r="T1207" s="36" t="s">
        <v>26781</v>
      </c>
      <c r="U1207" s="36" t="s">
        <v>26572</v>
      </c>
      <c r="V1207" s="36" t="s">
        <v>26573</v>
      </c>
      <c r="W1207" s="36"/>
      <c r="X1207" s="36"/>
      <c r="Y1207" s="1"/>
      <c r="Z1207" s="34" t="s">
        <v>42967</v>
      </c>
      <c r="AA1207" s="33">
        <v>6459</v>
      </c>
      <c r="AG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row>
    <row r="1208" spans="1:64" ht="12" customHeight="1" x14ac:dyDescent="0.15">
      <c r="A1208" s="34" t="s">
        <v>34911</v>
      </c>
      <c r="B1208" s="34">
        <v>33</v>
      </c>
      <c r="C1208" s="34" t="s">
        <v>14</v>
      </c>
      <c r="D1208" s="34" t="s">
        <v>42</v>
      </c>
      <c r="E1208" s="35" t="s">
        <v>35848</v>
      </c>
      <c r="F1208" s="67">
        <v>43432</v>
      </c>
      <c r="G1208" s="34" t="s">
        <v>35849</v>
      </c>
      <c r="H1208" s="34" t="s">
        <v>3086</v>
      </c>
      <c r="I1208" s="34" t="s">
        <v>282</v>
      </c>
      <c r="J1208" s="34">
        <v>98662</v>
      </c>
      <c r="K1208" s="34" t="s">
        <v>527</v>
      </c>
      <c r="L1208" s="34" t="s">
        <v>3087</v>
      </c>
      <c r="M1208" s="34" t="s">
        <v>21</v>
      </c>
      <c r="N1208" s="34" t="s">
        <v>36410</v>
      </c>
      <c r="O1208" s="34" t="s">
        <v>372</v>
      </c>
      <c r="P1208" s="34" t="s">
        <v>30089</v>
      </c>
      <c r="Q1208" s="35" t="s">
        <v>35850</v>
      </c>
      <c r="R1208" s="34" t="s">
        <v>94</v>
      </c>
      <c r="S1208" s="34" t="s">
        <v>351</v>
      </c>
      <c r="T1208" s="36" t="s">
        <v>26867</v>
      </c>
      <c r="U1208" s="36" t="s">
        <v>26572</v>
      </c>
      <c r="V1208" s="36" t="s">
        <v>26571</v>
      </c>
      <c r="W1208" s="36" t="s">
        <v>94</v>
      </c>
      <c r="X1208" s="36">
        <v>4221</v>
      </c>
      <c r="Y1208" s="1"/>
      <c r="Z1208" s="34" t="s">
        <v>42968</v>
      </c>
      <c r="AA1208" s="33">
        <v>6460</v>
      </c>
      <c r="AG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row>
    <row r="1209" spans="1:64" ht="12" customHeight="1" x14ac:dyDescent="0.15">
      <c r="A1209" s="34" t="s">
        <v>35844</v>
      </c>
      <c r="B1209" s="34">
        <v>30</v>
      </c>
      <c r="C1209" s="34" t="s">
        <v>14</v>
      </c>
      <c r="D1209" s="34" t="s">
        <v>24</v>
      </c>
      <c r="E1209" s="35"/>
      <c r="F1209" s="67">
        <v>43432</v>
      </c>
      <c r="G1209" s="34" t="s">
        <v>35845</v>
      </c>
      <c r="H1209" s="34" t="s">
        <v>674</v>
      </c>
      <c r="I1209" s="34" t="s">
        <v>67</v>
      </c>
      <c r="J1209" s="34">
        <v>77012</v>
      </c>
      <c r="K1209" s="34" t="s">
        <v>515</v>
      </c>
      <c r="L1209" s="34" t="s">
        <v>675</v>
      </c>
      <c r="M1209" s="34" t="s">
        <v>21</v>
      </c>
      <c r="N1209" s="34" t="s">
        <v>35846</v>
      </c>
      <c r="O1209" s="34" t="s">
        <v>372</v>
      </c>
      <c r="P1209" s="34" t="s">
        <v>30089</v>
      </c>
      <c r="Q1209" s="35" t="s">
        <v>35847</v>
      </c>
      <c r="R1209" s="34" t="s">
        <v>94</v>
      </c>
      <c r="S1209" s="34" t="s">
        <v>22</v>
      </c>
      <c r="T1209" s="36" t="s">
        <v>26781</v>
      </c>
      <c r="U1209" s="36" t="s">
        <v>26572</v>
      </c>
      <c r="V1209" s="36" t="s">
        <v>26573</v>
      </c>
      <c r="W1209" s="36"/>
      <c r="X1209" s="36"/>
      <c r="Y1209" s="1"/>
      <c r="Z1209" s="34" t="s">
        <v>42966</v>
      </c>
      <c r="AA1209" s="33">
        <v>6458</v>
      </c>
      <c r="AG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row>
    <row r="1210" spans="1:64" ht="12" customHeight="1" x14ac:dyDescent="0.15">
      <c r="A1210" s="34" t="s">
        <v>35836</v>
      </c>
      <c r="B1210" s="34">
        <v>35</v>
      </c>
      <c r="C1210" s="34" t="s">
        <v>14</v>
      </c>
      <c r="D1210" s="34" t="s">
        <v>31</v>
      </c>
      <c r="E1210" s="35" t="s">
        <v>35837</v>
      </c>
      <c r="F1210" s="67">
        <v>43432</v>
      </c>
      <c r="G1210" s="34" t="s">
        <v>35838</v>
      </c>
      <c r="H1210" s="34" t="s">
        <v>834</v>
      </c>
      <c r="I1210" s="34" t="s">
        <v>294</v>
      </c>
      <c r="J1210" s="34">
        <v>40291</v>
      </c>
      <c r="K1210" s="34" t="s">
        <v>1659</v>
      </c>
      <c r="L1210" s="34" t="s">
        <v>835</v>
      </c>
      <c r="M1210" s="34" t="s">
        <v>21</v>
      </c>
      <c r="N1210" s="34" t="s">
        <v>35839</v>
      </c>
      <c r="O1210" s="34" t="s">
        <v>372</v>
      </c>
      <c r="P1210" s="34" t="s">
        <v>30089</v>
      </c>
      <c r="Q1210" s="35" t="s">
        <v>35840</v>
      </c>
      <c r="R1210" s="34" t="s">
        <v>94</v>
      </c>
      <c r="S1210" s="34" t="s">
        <v>22</v>
      </c>
      <c r="T1210" s="36" t="s">
        <v>26781</v>
      </c>
      <c r="U1210" s="36" t="s">
        <v>26572</v>
      </c>
      <c r="V1210" s="36"/>
      <c r="W1210" s="36" t="s">
        <v>512</v>
      </c>
      <c r="X1210" s="36">
        <v>4219</v>
      </c>
      <c r="Y1210" s="1"/>
      <c r="Z1210" s="34" t="s">
        <v>42968</v>
      </c>
      <c r="AA1210" s="33">
        <v>6457</v>
      </c>
      <c r="AG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row>
    <row r="1211" spans="1:64" ht="12" customHeight="1" x14ac:dyDescent="0.15">
      <c r="A1211" s="34" t="s">
        <v>35832</v>
      </c>
      <c r="B1211" s="34">
        <v>39</v>
      </c>
      <c r="C1211" s="34" t="s">
        <v>14</v>
      </c>
      <c r="D1211" s="34" t="s">
        <v>24</v>
      </c>
      <c r="E1211" s="35"/>
      <c r="F1211" s="67">
        <v>43432</v>
      </c>
      <c r="G1211" s="34" t="s">
        <v>35833</v>
      </c>
      <c r="H1211" s="34" t="s">
        <v>1342</v>
      </c>
      <c r="I1211" s="34" t="s">
        <v>192</v>
      </c>
      <c r="J1211" s="34">
        <v>80214</v>
      </c>
      <c r="K1211" s="34" t="s">
        <v>1659</v>
      </c>
      <c r="L1211" s="34" t="s">
        <v>2530</v>
      </c>
      <c r="M1211" s="34" t="s">
        <v>21</v>
      </c>
      <c r="N1211" s="34" t="s">
        <v>35834</v>
      </c>
      <c r="O1211" s="34" t="s">
        <v>372</v>
      </c>
      <c r="P1211" s="34" t="s">
        <v>30089</v>
      </c>
      <c r="Q1211" s="35" t="s">
        <v>35835</v>
      </c>
      <c r="R1211" s="34" t="s">
        <v>94</v>
      </c>
      <c r="S1211" s="34" t="s">
        <v>22</v>
      </c>
      <c r="T1211" s="36" t="s">
        <v>26781</v>
      </c>
      <c r="U1211" s="36" t="s">
        <v>26572</v>
      </c>
      <c r="V1211" s="36" t="s">
        <v>26574</v>
      </c>
      <c r="W1211" s="36" t="s">
        <v>94</v>
      </c>
      <c r="X1211" s="36">
        <v>4217</v>
      </c>
      <c r="Y1211" s="1"/>
      <c r="Z1211" s="34" t="s">
        <v>42966</v>
      </c>
      <c r="AA1211" s="33">
        <v>6455</v>
      </c>
      <c r="AG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row>
    <row r="1212" spans="1:64" ht="12" customHeight="1" x14ac:dyDescent="0.15">
      <c r="A1212" s="34" t="s">
        <v>35841</v>
      </c>
      <c r="B1212" s="34">
        <v>32</v>
      </c>
      <c r="C1212" s="34" t="s">
        <v>14</v>
      </c>
      <c r="D1212" s="34" t="s">
        <v>128</v>
      </c>
      <c r="E1212" s="35"/>
      <c r="F1212" s="67">
        <v>43432</v>
      </c>
      <c r="G1212" s="34" t="s">
        <v>35842</v>
      </c>
      <c r="H1212" s="34" t="s">
        <v>34909</v>
      </c>
      <c r="I1212" s="34" t="s">
        <v>122</v>
      </c>
      <c r="J1212" s="34">
        <v>77012</v>
      </c>
      <c r="K1212" s="34" t="s">
        <v>515</v>
      </c>
      <c r="L1212" s="34" t="s">
        <v>36407</v>
      </c>
      <c r="M1212" s="34" t="s">
        <v>21</v>
      </c>
      <c r="N1212" s="34" t="s">
        <v>36408</v>
      </c>
      <c r="O1212" s="34" t="s">
        <v>372</v>
      </c>
      <c r="P1212" s="34" t="s">
        <v>30089</v>
      </c>
      <c r="Q1212" s="35" t="s">
        <v>35843</v>
      </c>
      <c r="R1212" s="34" t="s">
        <v>94</v>
      </c>
      <c r="S1212" s="34" t="s">
        <v>22</v>
      </c>
      <c r="T1212" s="36" t="s">
        <v>26781</v>
      </c>
      <c r="U1212" s="36" t="s">
        <v>26570</v>
      </c>
      <c r="V1212" s="36" t="s">
        <v>26573</v>
      </c>
      <c r="W1212" s="36" t="s">
        <v>512</v>
      </c>
      <c r="X1212" s="36">
        <v>4218</v>
      </c>
      <c r="Y1212" s="1"/>
      <c r="Z1212" s="34" t="s">
        <v>42966</v>
      </c>
      <c r="AA1212" s="33">
        <v>6456</v>
      </c>
      <c r="AG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row>
    <row r="1213" spans="1:64" ht="12" customHeight="1" x14ac:dyDescent="0.15">
      <c r="A1213" s="34" t="s">
        <v>34912</v>
      </c>
      <c r="B1213" s="34">
        <v>19</v>
      </c>
      <c r="C1213" s="34" t="s">
        <v>14</v>
      </c>
      <c r="D1213" s="34" t="s">
        <v>31</v>
      </c>
      <c r="E1213" s="35" t="s">
        <v>35811</v>
      </c>
      <c r="F1213" s="67">
        <v>43431</v>
      </c>
      <c r="G1213" s="34" t="s">
        <v>35812</v>
      </c>
      <c r="H1213" s="34" t="s">
        <v>27738</v>
      </c>
      <c r="I1213" s="34" t="s">
        <v>192</v>
      </c>
      <c r="J1213" s="34">
        <v>80112</v>
      </c>
      <c r="K1213" s="34" t="s">
        <v>3510</v>
      </c>
      <c r="L1213" s="34" t="s">
        <v>1524</v>
      </c>
      <c r="M1213" s="34" t="s">
        <v>21</v>
      </c>
      <c r="N1213" s="34" t="s">
        <v>35813</v>
      </c>
      <c r="O1213" s="34" t="s">
        <v>372</v>
      </c>
      <c r="P1213" s="34" t="s">
        <v>30089</v>
      </c>
      <c r="Q1213" s="35" t="s">
        <v>35814</v>
      </c>
      <c r="R1213" s="34" t="s">
        <v>94</v>
      </c>
      <c r="S1213" s="34" t="s">
        <v>22</v>
      </c>
      <c r="T1213" s="36" t="s">
        <v>26781</v>
      </c>
      <c r="U1213" s="36" t="s">
        <v>26572</v>
      </c>
      <c r="V1213" s="36" t="s">
        <v>26571</v>
      </c>
      <c r="W1213" s="36" t="s">
        <v>512</v>
      </c>
      <c r="X1213" s="36">
        <v>4206</v>
      </c>
      <c r="Y1213" s="1"/>
      <c r="Z1213" s="34" t="s">
        <v>42968</v>
      </c>
      <c r="AA1213" s="33">
        <v>6451</v>
      </c>
      <c r="AG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row>
    <row r="1214" spans="1:64" ht="12" customHeight="1" x14ac:dyDescent="0.15">
      <c r="A1214" s="34" t="s">
        <v>35824</v>
      </c>
      <c r="B1214" s="34">
        <v>41</v>
      </c>
      <c r="C1214" s="34" t="s">
        <v>14</v>
      </c>
      <c r="D1214" s="34" t="s">
        <v>31</v>
      </c>
      <c r="E1214" s="35"/>
      <c r="F1214" s="67">
        <v>43431</v>
      </c>
      <c r="G1214" s="34" t="s">
        <v>35825</v>
      </c>
      <c r="H1214" s="34" t="s">
        <v>18675</v>
      </c>
      <c r="I1214" s="34" t="s">
        <v>122</v>
      </c>
      <c r="J1214" s="34">
        <v>55792</v>
      </c>
      <c r="K1214" s="34" t="s">
        <v>661</v>
      </c>
      <c r="L1214" s="34" t="s">
        <v>36411</v>
      </c>
      <c r="M1214" s="34" t="s">
        <v>21</v>
      </c>
      <c r="N1214" s="34" t="s">
        <v>35826</v>
      </c>
      <c r="O1214" s="34" t="s">
        <v>372</v>
      </c>
      <c r="P1214" s="34" t="s">
        <v>30089</v>
      </c>
      <c r="Q1214" s="35" t="s">
        <v>35827</v>
      </c>
      <c r="R1214" s="34" t="s">
        <v>94</v>
      </c>
      <c r="S1214" s="34" t="s">
        <v>22</v>
      </c>
      <c r="T1214" s="36" t="s">
        <v>26774</v>
      </c>
      <c r="U1214" s="36" t="s">
        <v>26572</v>
      </c>
      <c r="V1214" s="36"/>
      <c r="W1214" s="36" t="s">
        <v>94</v>
      </c>
      <c r="X1214" s="36">
        <v>4216</v>
      </c>
      <c r="Y1214" s="1"/>
      <c r="Z1214" s="34" t="s">
        <v>42967</v>
      </c>
      <c r="AA1214" s="33">
        <v>6453</v>
      </c>
      <c r="AG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row>
    <row r="1215" spans="1:64" ht="12" customHeight="1" x14ac:dyDescent="0.15">
      <c r="A1215" s="34" t="s">
        <v>35820</v>
      </c>
      <c r="B1215" s="34">
        <v>35</v>
      </c>
      <c r="C1215" s="34" t="s">
        <v>14</v>
      </c>
      <c r="D1215" s="34" t="s">
        <v>79</v>
      </c>
      <c r="E1215" s="35" t="s">
        <v>35821</v>
      </c>
      <c r="F1215" s="67">
        <v>43431</v>
      </c>
      <c r="G1215" s="34" t="s">
        <v>35822</v>
      </c>
      <c r="H1215" s="34" t="s">
        <v>2574</v>
      </c>
      <c r="I1215" s="34" t="s">
        <v>337</v>
      </c>
      <c r="J1215" s="34">
        <v>66608</v>
      </c>
      <c r="K1215" s="34" t="s">
        <v>2576</v>
      </c>
      <c r="L1215" s="34" t="s">
        <v>6829</v>
      </c>
      <c r="M1215" s="34" t="s">
        <v>21</v>
      </c>
      <c r="N1215" s="34" t="s">
        <v>36412</v>
      </c>
      <c r="O1215" s="34" t="s">
        <v>372</v>
      </c>
      <c r="P1215" s="34" t="s">
        <v>30089</v>
      </c>
      <c r="Q1215" s="35" t="s">
        <v>35823</v>
      </c>
      <c r="R1215" s="34" t="s">
        <v>94</v>
      </c>
      <c r="S1215" s="34" t="s">
        <v>351</v>
      </c>
      <c r="T1215" s="36" t="s">
        <v>26867</v>
      </c>
      <c r="U1215" s="36" t="s">
        <v>26572</v>
      </c>
      <c r="V1215" s="36" t="s">
        <v>26571</v>
      </c>
      <c r="W1215" s="36" t="s">
        <v>94</v>
      </c>
      <c r="X1215" s="36">
        <v>4210</v>
      </c>
      <c r="Y1215" s="1"/>
      <c r="Z1215" s="34" t="s">
        <v>42966</v>
      </c>
      <c r="AA1215" s="33">
        <v>6454</v>
      </c>
      <c r="AG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row>
    <row r="1216" spans="1:64" ht="12" customHeight="1" x14ac:dyDescent="0.15">
      <c r="A1216" s="34" t="s">
        <v>34913</v>
      </c>
      <c r="B1216" s="34">
        <v>42</v>
      </c>
      <c r="C1216" s="34" t="s">
        <v>14</v>
      </c>
      <c r="D1216" s="34" t="s">
        <v>885</v>
      </c>
      <c r="E1216" s="35" t="s">
        <v>35815</v>
      </c>
      <c r="F1216" s="67">
        <v>43431</v>
      </c>
      <c r="G1216" s="34" t="s">
        <v>35816</v>
      </c>
      <c r="H1216" s="34" t="s">
        <v>35817</v>
      </c>
      <c r="I1216" s="34" t="s">
        <v>814</v>
      </c>
      <c r="J1216" s="34">
        <v>96778</v>
      </c>
      <c r="K1216" s="34" t="s">
        <v>3619</v>
      </c>
      <c r="L1216" s="34" t="s">
        <v>3620</v>
      </c>
      <c r="M1216" s="34" t="s">
        <v>21</v>
      </c>
      <c r="N1216" s="34" t="s">
        <v>35818</v>
      </c>
      <c r="O1216" s="34" t="s">
        <v>372</v>
      </c>
      <c r="P1216" s="34" t="s">
        <v>30089</v>
      </c>
      <c r="Q1216" s="35" t="s">
        <v>35819</v>
      </c>
      <c r="R1216" s="34" t="s">
        <v>512</v>
      </c>
      <c r="S1216" s="34" t="s">
        <v>22</v>
      </c>
      <c r="T1216" s="36" t="s">
        <v>26781</v>
      </c>
      <c r="U1216" s="36" t="s">
        <v>26572</v>
      </c>
      <c r="V1216" s="36" t="s">
        <v>26573</v>
      </c>
      <c r="W1216" s="36" t="s">
        <v>94</v>
      </c>
      <c r="X1216" s="36">
        <v>4220</v>
      </c>
      <c r="Y1216" s="1"/>
      <c r="Z1216" s="34" t="s">
        <v>42967</v>
      </c>
      <c r="AA1216" s="33">
        <v>6452</v>
      </c>
      <c r="AG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row>
    <row r="1217" spans="1:64" ht="12" customHeight="1" x14ac:dyDescent="0.15">
      <c r="A1217" s="34" t="s">
        <v>35807</v>
      </c>
      <c r="B1217" s="34">
        <v>23</v>
      </c>
      <c r="C1217" s="34" t="s">
        <v>103</v>
      </c>
      <c r="D1217" s="34" t="s">
        <v>24</v>
      </c>
      <c r="E1217" s="35"/>
      <c r="F1217" s="67">
        <v>43430</v>
      </c>
      <c r="G1217" s="34" t="s">
        <v>35808</v>
      </c>
      <c r="H1217" s="34" t="s">
        <v>359</v>
      </c>
      <c r="I1217" s="34" t="s">
        <v>298</v>
      </c>
      <c r="J1217" s="34">
        <v>37920</v>
      </c>
      <c r="K1217" s="34" t="s">
        <v>2476</v>
      </c>
      <c r="L1217" s="34" t="s">
        <v>7149</v>
      </c>
      <c r="M1217" s="34" t="s">
        <v>21</v>
      </c>
      <c r="N1217" s="34" t="s">
        <v>35809</v>
      </c>
      <c r="O1217" s="34" t="s">
        <v>372</v>
      </c>
      <c r="P1217" s="34" t="s">
        <v>30089</v>
      </c>
      <c r="Q1217" s="35" t="s">
        <v>35810</v>
      </c>
      <c r="R1217" s="34" t="s">
        <v>512</v>
      </c>
      <c r="S1217" s="34" t="s">
        <v>22</v>
      </c>
      <c r="T1217" s="36" t="s">
        <v>26774</v>
      </c>
      <c r="U1217" s="36" t="s">
        <v>26572</v>
      </c>
      <c r="V1217" s="36" t="s">
        <v>26573</v>
      </c>
      <c r="W1217" s="36" t="s">
        <v>94</v>
      </c>
      <c r="X1217" s="36">
        <v>4223</v>
      </c>
      <c r="Y1217" s="1"/>
      <c r="Z1217" s="34" t="s">
        <v>42968</v>
      </c>
      <c r="AA1217" s="33">
        <v>6449</v>
      </c>
      <c r="AG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row>
    <row r="1218" spans="1:64" ht="12" customHeight="1" x14ac:dyDescent="0.15">
      <c r="A1218" s="34" t="s">
        <v>36115</v>
      </c>
      <c r="B1218" s="34">
        <v>43</v>
      </c>
      <c r="C1218" s="34" t="s">
        <v>14</v>
      </c>
      <c r="D1218" s="34" t="s">
        <v>31</v>
      </c>
      <c r="E1218" s="35" t="s">
        <v>36116</v>
      </c>
      <c r="F1218" s="67">
        <v>43430</v>
      </c>
      <c r="G1218" s="34" t="s">
        <v>36117</v>
      </c>
      <c r="H1218" s="34" t="s">
        <v>620</v>
      </c>
      <c r="I1218" s="34" t="s">
        <v>621</v>
      </c>
      <c r="J1218" s="34">
        <v>38652</v>
      </c>
      <c r="K1218" s="34" t="s">
        <v>622</v>
      </c>
      <c r="L1218" s="34" t="s">
        <v>623</v>
      </c>
      <c r="M1218" s="34" t="s">
        <v>363</v>
      </c>
      <c r="N1218" s="34" t="s">
        <v>36118</v>
      </c>
      <c r="O1218" s="34" t="s">
        <v>372</v>
      </c>
      <c r="P1218" s="34" t="s">
        <v>30089</v>
      </c>
      <c r="Q1218" s="35" t="s">
        <v>36119</v>
      </c>
      <c r="R1218" s="34" t="s">
        <v>512</v>
      </c>
      <c r="S1218" s="34" t="s">
        <v>12</v>
      </c>
      <c r="T1218" s="36" t="s">
        <v>29705</v>
      </c>
      <c r="U1218" s="36"/>
      <c r="V1218" s="36"/>
      <c r="W1218" s="36"/>
      <c r="X1218" s="36"/>
      <c r="Y1218" s="1"/>
      <c r="Z1218" s="34" t="s">
        <v>42967</v>
      </c>
      <c r="AA1218" s="33">
        <v>6450</v>
      </c>
      <c r="AG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row>
    <row r="1219" spans="1:64" ht="12" customHeight="1" x14ac:dyDescent="0.15">
      <c r="A1219" s="34" t="s">
        <v>34914</v>
      </c>
      <c r="B1219" s="34">
        <v>64</v>
      </c>
      <c r="C1219" s="34" t="s">
        <v>14</v>
      </c>
      <c r="D1219" s="34" t="s">
        <v>31</v>
      </c>
      <c r="E1219" s="35"/>
      <c r="F1219" s="67">
        <v>43429</v>
      </c>
      <c r="G1219" s="34" t="s">
        <v>34915</v>
      </c>
      <c r="H1219" s="34" t="s">
        <v>5836</v>
      </c>
      <c r="I1219" s="34" t="s">
        <v>221</v>
      </c>
      <c r="J1219" s="34">
        <v>84015</v>
      </c>
      <c r="K1219" s="34" t="s">
        <v>4602</v>
      </c>
      <c r="L1219" s="34" t="s">
        <v>19425</v>
      </c>
      <c r="M1219" s="34" t="s">
        <v>21</v>
      </c>
      <c r="N1219" s="34" t="s">
        <v>34916</v>
      </c>
      <c r="O1219" s="34" t="s">
        <v>372</v>
      </c>
      <c r="P1219" s="34" t="s">
        <v>30089</v>
      </c>
      <c r="Q1219" s="35" t="s">
        <v>34917</v>
      </c>
      <c r="R1219" s="34" t="s">
        <v>512</v>
      </c>
      <c r="S1219" s="34" t="s">
        <v>22</v>
      </c>
      <c r="T1219" s="36" t="s">
        <v>26781</v>
      </c>
      <c r="U1219" s="36" t="s">
        <v>26572</v>
      </c>
      <c r="V1219" s="36" t="s">
        <v>26573</v>
      </c>
      <c r="W1219" s="36" t="s">
        <v>94</v>
      </c>
      <c r="X1219" s="36">
        <v>4209</v>
      </c>
      <c r="Y1219" s="1"/>
      <c r="Z1219" s="34" t="s">
        <v>42968</v>
      </c>
      <c r="AA1219" s="33">
        <v>6448</v>
      </c>
      <c r="AG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row>
    <row r="1220" spans="1:64" ht="12" customHeight="1" x14ac:dyDescent="0.15">
      <c r="A1220" s="34" t="s">
        <v>34918</v>
      </c>
      <c r="B1220" s="34">
        <v>32</v>
      </c>
      <c r="C1220" s="34" t="s">
        <v>14</v>
      </c>
      <c r="D1220" s="34" t="s">
        <v>42</v>
      </c>
      <c r="E1220" s="35" t="s">
        <v>34919</v>
      </c>
      <c r="F1220" s="67">
        <v>43428</v>
      </c>
      <c r="G1220" s="34" t="s">
        <v>34920</v>
      </c>
      <c r="H1220" s="34" t="s">
        <v>220</v>
      </c>
      <c r="I1220" s="34" t="s">
        <v>221</v>
      </c>
      <c r="J1220" s="34">
        <v>84115</v>
      </c>
      <c r="K1220" s="34" t="s">
        <v>564</v>
      </c>
      <c r="L1220" s="34" t="s">
        <v>33534</v>
      </c>
      <c r="M1220" s="34" t="s">
        <v>21</v>
      </c>
      <c r="N1220" s="34" t="s">
        <v>34921</v>
      </c>
      <c r="O1220" s="34" t="s">
        <v>372</v>
      </c>
      <c r="P1220" s="34" t="s">
        <v>30089</v>
      </c>
      <c r="Q1220" s="35" t="s">
        <v>34922</v>
      </c>
      <c r="R1220" s="34" t="s">
        <v>94</v>
      </c>
      <c r="S1220" s="34" t="s">
        <v>351</v>
      </c>
      <c r="T1220" s="36" t="s">
        <v>26867</v>
      </c>
      <c r="U1220" s="36" t="s">
        <v>26572</v>
      </c>
      <c r="V1220" s="36" t="s">
        <v>26571</v>
      </c>
      <c r="W1220" s="36" t="s">
        <v>94</v>
      </c>
      <c r="X1220" s="36">
        <v>4202</v>
      </c>
      <c r="Y1220" s="1"/>
      <c r="Z1220" s="34" t="s">
        <v>42968</v>
      </c>
      <c r="AA1220" s="33">
        <v>6447</v>
      </c>
      <c r="AG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row>
    <row r="1221" spans="1:64" ht="12" customHeight="1" x14ac:dyDescent="0.15">
      <c r="A1221" s="34" t="s">
        <v>34923</v>
      </c>
      <c r="B1221" s="34">
        <v>46</v>
      </c>
      <c r="C1221" s="34" t="s">
        <v>14</v>
      </c>
      <c r="D1221" s="34" t="s">
        <v>31</v>
      </c>
      <c r="E1221" s="34"/>
      <c r="F1221" s="67">
        <v>43427</v>
      </c>
      <c r="G1221" s="34" t="s">
        <v>34924</v>
      </c>
      <c r="H1221" s="34" t="s">
        <v>34925</v>
      </c>
      <c r="I1221" s="34" t="s">
        <v>294</v>
      </c>
      <c r="J1221" s="34">
        <v>42330</v>
      </c>
      <c r="K1221" s="34" t="s">
        <v>34926</v>
      </c>
      <c r="L1221" s="34" t="s">
        <v>18258</v>
      </c>
      <c r="M1221" s="34" t="s">
        <v>21</v>
      </c>
      <c r="N1221" s="34" t="s">
        <v>34927</v>
      </c>
      <c r="O1221" s="34" t="s">
        <v>372</v>
      </c>
      <c r="P1221" s="34" t="s">
        <v>30089</v>
      </c>
      <c r="Q1221" s="35" t="s">
        <v>34928</v>
      </c>
      <c r="R1221" s="34" t="s">
        <v>94</v>
      </c>
      <c r="S1221" s="34" t="s">
        <v>22</v>
      </c>
      <c r="T1221" s="36" t="s">
        <v>26781</v>
      </c>
      <c r="U1221" s="36" t="s">
        <v>26572</v>
      </c>
      <c r="V1221" s="36" t="s">
        <v>26573</v>
      </c>
      <c r="W1221" s="36" t="s">
        <v>94</v>
      </c>
      <c r="X1221" s="36">
        <v>4203</v>
      </c>
      <c r="Y1221" s="1"/>
      <c r="Z1221" s="34" t="s">
        <v>42967</v>
      </c>
      <c r="AA1221" s="33">
        <v>6445</v>
      </c>
      <c r="AG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row>
    <row r="1222" spans="1:64" ht="12" customHeight="1" x14ac:dyDescent="0.15">
      <c r="A1222" s="34" t="s">
        <v>34929</v>
      </c>
      <c r="B1222" s="34">
        <v>23</v>
      </c>
      <c r="C1222" s="34" t="s">
        <v>14</v>
      </c>
      <c r="D1222" s="34" t="s">
        <v>79</v>
      </c>
      <c r="E1222" s="35" t="s">
        <v>34930</v>
      </c>
      <c r="F1222" s="67">
        <v>43427</v>
      </c>
      <c r="G1222" s="34" t="s">
        <v>34931</v>
      </c>
      <c r="H1222" s="34" t="s">
        <v>415</v>
      </c>
      <c r="I1222" s="34" t="s">
        <v>51</v>
      </c>
      <c r="J1222" s="34">
        <v>48211</v>
      </c>
      <c r="K1222" s="34" t="s">
        <v>1057</v>
      </c>
      <c r="L1222" s="34" t="s">
        <v>29602</v>
      </c>
      <c r="M1222" s="34" t="s">
        <v>21</v>
      </c>
      <c r="N1222" s="34" t="s">
        <v>34932</v>
      </c>
      <c r="O1222" s="34" t="s">
        <v>372</v>
      </c>
      <c r="P1222" s="34" t="s">
        <v>30089</v>
      </c>
      <c r="Q1222" s="35" t="s">
        <v>34933</v>
      </c>
      <c r="R1222" s="34" t="s">
        <v>94</v>
      </c>
      <c r="S1222" s="34" t="s">
        <v>29</v>
      </c>
      <c r="T1222" s="36" t="s">
        <v>26575</v>
      </c>
      <c r="U1222" s="36" t="s">
        <v>26575</v>
      </c>
      <c r="V1222" s="36" t="s">
        <v>26573</v>
      </c>
      <c r="W1222" s="36" t="s">
        <v>94</v>
      </c>
      <c r="X1222" s="36">
        <v>4225</v>
      </c>
      <c r="Y1222" s="1"/>
      <c r="Z1222" s="34" t="s">
        <v>42966</v>
      </c>
      <c r="AA1222" s="33">
        <v>6446</v>
      </c>
      <c r="AG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row>
    <row r="1223" spans="1:64" ht="12" customHeight="1" x14ac:dyDescent="0.15">
      <c r="A1223" s="34" t="s">
        <v>34950</v>
      </c>
      <c r="B1223" s="34">
        <v>16</v>
      </c>
      <c r="C1223" s="34" t="s">
        <v>14</v>
      </c>
      <c r="D1223" s="34" t="s">
        <v>24</v>
      </c>
      <c r="E1223" s="34"/>
      <c r="F1223" s="67">
        <v>43426</v>
      </c>
      <c r="G1223" s="34" t="s">
        <v>35761</v>
      </c>
      <c r="H1223" s="34" t="s">
        <v>81</v>
      </c>
      <c r="I1223" s="34" t="s">
        <v>38</v>
      </c>
      <c r="J1223" s="34">
        <v>60659</v>
      </c>
      <c r="K1223" s="34" t="s">
        <v>82</v>
      </c>
      <c r="L1223" s="34" t="s">
        <v>83</v>
      </c>
      <c r="M1223" s="34" t="s">
        <v>21</v>
      </c>
      <c r="N1223" s="34" t="s">
        <v>34951</v>
      </c>
      <c r="O1223" s="34" t="s">
        <v>372</v>
      </c>
      <c r="P1223" s="34" t="s">
        <v>30089</v>
      </c>
      <c r="Q1223" s="35" t="s">
        <v>34952</v>
      </c>
      <c r="R1223" s="34" t="s">
        <v>94</v>
      </c>
      <c r="S1223" s="34" t="s">
        <v>22</v>
      </c>
      <c r="T1223" s="36" t="s">
        <v>26781</v>
      </c>
      <c r="U1223" s="36" t="s">
        <v>26572</v>
      </c>
      <c r="V1223" s="36"/>
      <c r="W1223" s="36"/>
      <c r="X1223" s="36"/>
      <c r="Y1223" s="33" t="s">
        <v>42476</v>
      </c>
      <c r="Z1223" s="34" t="s">
        <v>42966</v>
      </c>
      <c r="AA1223" s="33">
        <v>6443</v>
      </c>
      <c r="AG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row>
    <row r="1224" spans="1:64" ht="12" customHeight="1" x14ac:dyDescent="0.15">
      <c r="A1224" s="34" t="s">
        <v>34934</v>
      </c>
      <c r="B1224" s="34">
        <v>21</v>
      </c>
      <c r="C1224" s="34" t="s">
        <v>14</v>
      </c>
      <c r="D1224" s="34" t="s">
        <v>79</v>
      </c>
      <c r="E1224" s="35" t="s">
        <v>34935</v>
      </c>
      <c r="F1224" s="67">
        <v>43426</v>
      </c>
      <c r="G1224" s="34" t="s">
        <v>34936</v>
      </c>
      <c r="H1224" s="34" t="s">
        <v>3809</v>
      </c>
      <c r="I1224" s="34" t="s">
        <v>88</v>
      </c>
      <c r="J1224" s="34">
        <v>35244</v>
      </c>
      <c r="K1224" s="34" t="s">
        <v>1659</v>
      </c>
      <c r="L1224" s="34" t="s">
        <v>3441</v>
      </c>
      <c r="M1224" s="34" t="s">
        <v>21</v>
      </c>
      <c r="N1224" s="34" t="s">
        <v>34937</v>
      </c>
      <c r="O1224" s="34" t="s">
        <v>372</v>
      </c>
      <c r="P1224" s="34" t="s">
        <v>30089</v>
      </c>
      <c r="Q1224" s="35" t="s">
        <v>34938</v>
      </c>
      <c r="R1224" s="34" t="s">
        <v>94</v>
      </c>
      <c r="S1224" s="34" t="s">
        <v>22</v>
      </c>
      <c r="T1224" s="36" t="s">
        <v>26781</v>
      </c>
      <c r="U1224" s="36" t="s">
        <v>26570</v>
      </c>
      <c r="V1224" s="36" t="s">
        <v>26573</v>
      </c>
      <c r="W1224" s="36" t="s">
        <v>94</v>
      </c>
      <c r="X1224" s="36">
        <v>4199</v>
      </c>
      <c r="Y1224" s="33" t="s">
        <v>42476</v>
      </c>
      <c r="Z1224" s="34" t="s">
        <v>42968</v>
      </c>
      <c r="AA1224" s="33">
        <v>6441</v>
      </c>
      <c r="AG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row>
    <row r="1225" spans="1:64" ht="12" customHeight="1" x14ac:dyDescent="0.15">
      <c r="A1225" s="34" t="s">
        <v>34939</v>
      </c>
      <c r="B1225" s="34">
        <v>59</v>
      </c>
      <c r="C1225" s="34" t="s">
        <v>14</v>
      </c>
      <c r="D1225" s="34" t="s">
        <v>31</v>
      </c>
      <c r="E1225" s="34"/>
      <c r="F1225" s="67">
        <v>43426</v>
      </c>
      <c r="G1225" s="34" t="s">
        <v>34940</v>
      </c>
      <c r="H1225" s="34" t="s">
        <v>34941</v>
      </c>
      <c r="I1225" s="34" t="s">
        <v>192</v>
      </c>
      <c r="J1225" s="34">
        <v>81210</v>
      </c>
      <c r="K1225" s="34" t="s">
        <v>34942</v>
      </c>
      <c r="L1225" s="34" t="s">
        <v>9078</v>
      </c>
      <c r="M1225" s="34" t="s">
        <v>21</v>
      </c>
      <c r="N1225" s="34" t="s">
        <v>34943</v>
      </c>
      <c r="O1225" s="34" t="s">
        <v>372</v>
      </c>
      <c r="P1225" s="34" t="s">
        <v>30089</v>
      </c>
      <c r="Q1225" s="35" t="s">
        <v>34944</v>
      </c>
      <c r="R1225" s="34" t="s">
        <v>94</v>
      </c>
      <c r="S1225" s="34" t="s">
        <v>22</v>
      </c>
      <c r="T1225" s="36" t="s">
        <v>26781</v>
      </c>
      <c r="U1225" s="36" t="s">
        <v>26572</v>
      </c>
      <c r="V1225" s="36" t="s">
        <v>26573</v>
      </c>
      <c r="W1225" s="36" t="s">
        <v>94</v>
      </c>
      <c r="X1225" s="36">
        <v>4205</v>
      </c>
      <c r="Y1225" s="1"/>
      <c r="Z1225" s="34" t="s">
        <v>42967</v>
      </c>
      <c r="AA1225" s="33">
        <v>6442</v>
      </c>
      <c r="AG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row>
    <row r="1226" spans="1:64" ht="12" customHeight="1" x14ac:dyDescent="0.15">
      <c r="A1226" s="34" t="s">
        <v>34945</v>
      </c>
      <c r="B1226" s="34">
        <v>20</v>
      </c>
      <c r="C1226" s="34" t="s">
        <v>14</v>
      </c>
      <c r="D1226" s="34" t="s">
        <v>31</v>
      </c>
      <c r="E1226" s="35" t="s">
        <v>34946</v>
      </c>
      <c r="F1226" s="67">
        <v>43426</v>
      </c>
      <c r="G1226" s="34" t="s">
        <v>34947</v>
      </c>
      <c r="H1226" s="34" t="s">
        <v>21818</v>
      </c>
      <c r="I1226" s="34" t="s">
        <v>309</v>
      </c>
      <c r="J1226" s="34">
        <v>99645</v>
      </c>
      <c r="K1226" s="34" t="s">
        <v>19800</v>
      </c>
      <c r="L1226" s="34" t="s">
        <v>10186</v>
      </c>
      <c r="M1226" s="34" t="s">
        <v>21</v>
      </c>
      <c r="N1226" s="34" t="s">
        <v>34948</v>
      </c>
      <c r="O1226" s="34" t="s">
        <v>372</v>
      </c>
      <c r="P1226" s="34" t="s">
        <v>30089</v>
      </c>
      <c r="Q1226" s="35" t="s">
        <v>34949</v>
      </c>
      <c r="R1226" s="34" t="s">
        <v>94</v>
      </c>
      <c r="S1226" s="34" t="s">
        <v>22</v>
      </c>
      <c r="T1226" s="36" t="s">
        <v>26593</v>
      </c>
      <c r="U1226" s="36" t="s">
        <v>26570</v>
      </c>
      <c r="V1226" s="36" t="s">
        <v>26574</v>
      </c>
      <c r="W1226" s="36" t="s">
        <v>94</v>
      </c>
      <c r="X1226" s="36">
        <v>4201</v>
      </c>
      <c r="Y1226" s="1"/>
      <c r="Z1226" s="34" t="s">
        <v>42967</v>
      </c>
      <c r="AA1226" s="33">
        <v>6444</v>
      </c>
      <c r="AG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row>
    <row r="1227" spans="1:64" ht="12" customHeight="1" x14ac:dyDescent="0.15">
      <c r="A1227" s="34" t="s">
        <v>34971</v>
      </c>
      <c r="B1227" s="34">
        <v>24</v>
      </c>
      <c r="C1227" s="34" t="s">
        <v>103</v>
      </c>
      <c r="D1227" s="34" t="s">
        <v>31</v>
      </c>
      <c r="E1227" s="35" t="s">
        <v>34972</v>
      </c>
      <c r="F1227" s="67">
        <v>43425</v>
      </c>
      <c r="G1227" s="34" t="s">
        <v>34954</v>
      </c>
      <c r="H1227" s="34" t="s">
        <v>18106</v>
      </c>
      <c r="I1227" s="34" t="s">
        <v>88</v>
      </c>
      <c r="J1227" s="34">
        <v>35160</v>
      </c>
      <c r="K1227" s="34" t="s">
        <v>18106</v>
      </c>
      <c r="L1227" s="34" t="s">
        <v>34955</v>
      </c>
      <c r="M1227" s="34" t="s">
        <v>21</v>
      </c>
      <c r="N1227" s="34" t="s">
        <v>34956</v>
      </c>
      <c r="O1227" s="34" t="s">
        <v>372</v>
      </c>
      <c r="P1227" s="34" t="s">
        <v>30089</v>
      </c>
      <c r="Q1227" s="35" t="s">
        <v>34957</v>
      </c>
      <c r="R1227" s="34" t="s">
        <v>94</v>
      </c>
      <c r="S1227" s="34" t="s">
        <v>29</v>
      </c>
      <c r="T1227" s="36" t="s">
        <v>26575</v>
      </c>
      <c r="U1227" s="36" t="s">
        <v>26575</v>
      </c>
      <c r="V1227" s="36" t="s">
        <v>26573</v>
      </c>
      <c r="W1227" s="36" t="s">
        <v>94</v>
      </c>
      <c r="X1227" s="36">
        <v>4211</v>
      </c>
      <c r="Y1227" s="1"/>
      <c r="Z1227" s="34" t="s">
        <v>42967</v>
      </c>
      <c r="AA1227" s="33">
        <v>6439</v>
      </c>
      <c r="AG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row>
    <row r="1228" spans="1:64" ht="12" customHeight="1" x14ac:dyDescent="0.15">
      <c r="A1228" s="34" t="s">
        <v>34953</v>
      </c>
      <c r="B1228" s="34">
        <v>48</v>
      </c>
      <c r="C1228" s="34" t="s">
        <v>14</v>
      </c>
      <c r="D1228" s="34" t="s">
        <v>79</v>
      </c>
      <c r="E1228" s="34"/>
      <c r="F1228" s="67">
        <v>43425</v>
      </c>
      <c r="G1228" s="34" t="s">
        <v>34954</v>
      </c>
      <c r="H1228" s="34" t="s">
        <v>18106</v>
      </c>
      <c r="I1228" s="34" t="s">
        <v>88</v>
      </c>
      <c r="J1228" s="34">
        <v>35160</v>
      </c>
      <c r="K1228" s="34" t="s">
        <v>18106</v>
      </c>
      <c r="L1228" s="34" t="s">
        <v>34955</v>
      </c>
      <c r="M1228" s="34" t="s">
        <v>21</v>
      </c>
      <c r="N1228" s="34" t="s">
        <v>34956</v>
      </c>
      <c r="O1228" s="34" t="s">
        <v>372</v>
      </c>
      <c r="P1228" s="34" t="s">
        <v>30089</v>
      </c>
      <c r="Q1228" s="35" t="s">
        <v>34957</v>
      </c>
      <c r="R1228" s="34" t="s">
        <v>94</v>
      </c>
      <c r="S1228" s="34" t="s">
        <v>22</v>
      </c>
      <c r="T1228" s="36" t="s">
        <v>26781</v>
      </c>
      <c r="U1228" s="36" t="s">
        <v>26572</v>
      </c>
      <c r="V1228" s="36" t="s">
        <v>26573</v>
      </c>
      <c r="W1228" s="36" t="s">
        <v>94</v>
      </c>
      <c r="X1228" s="36">
        <v>4212</v>
      </c>
      <c r="Y1228" s="1"/>
      <c r="Z1228" s="34" t="s">
        <v>42967</v>
      </c>
      <c r="AA1228" s="33">
        <v>6435</v>
      </c>
      <c r="AG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row>
    <row r="1229" spans="1:64" ht="12" customHeight="1" x14ac:dyDescent="0.15">
      <c r="A1229" s="34" t="s">
        <v>3002</v>
      </c>
      <c r="B1229" s="34"/>
      <c r="C1229" s="34" t="s">
        <v>14</v>
      </c>
      <c r="D1229" s="34" t="s">
        <v>24</v>
      </c>
      <c r="E1229" s="34"/>
      <c r="F1229" s="67">
        <v>43425</v>
      </c>
      <c r="G1229" s="34" t="s">
        <v>34978</v>
      </c>
      <c r="H1229" s="34" t="s">
        <v>15398</v>
      </c>
      <c r="I1229" s="34" t="s">
        <v>67</v>
      </c>
      <c r="J1229" s="34">
        <v>77503</v>
      </c>
      <c r="K1229" s="34" t="s">
        <v>515</v>
      </c>
      <c r="L1229" s="34" t="s">
        <v>23881</v>
      </c>
      <c r="M1229" s="34" t="s">
        <v>21</v>
      </c>
      <c r="N1229" s="34" t="s">
        <v>34979</v>
      </c>
      <c r="O1229" s="34" t="s">
        <v>372</v>
      </c>
      <c r="P1229" s="34" t="s">
        <v>30089</v>
      </c>
      <c r="Q1229" s="35" t="s">
        <v>34980</v>
      </c>
      <c r="R1229" s="34" t="s">
        <v>94</v>
      </c>
      <c r="S1229" s="34" t="s">
        <v>29</v>
      </c>
      <c r="T1229" s="36" t="s">
        <v>26575</v>
      </c>
      <c r="U1229" s="36" t="s">
        <v>26572</v>
      </c>
      <c r="V1229" s="36" t="s">
        <v>26574</v>
      </c>
      <c r="W1229" s="36" t="s">
        <v>94</v>
      </c>
      <c r="X1229" s="36">
        <v>4238</v>
      </c>
      <c r="Y1229" s="1"/>
      <c r="Z1229" s="34" t="s">
        <v>42968</v>
      </c>
      <c r="AA1229" s="33">
        <v>6440</v>
      </c>
      <c r="AG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row>
    <row r="1230" spans="1:64" ht="12" customHeight="1" x14ac:dyDescent="0.15">
      <c r="A1230" s="34" t="s">
        <v>34967</v>
      </c>
      <c r="B1230" s="34">
        <v>22</v>
      </c>
      <c r="C1230" s="34" t="s">
        <v>14</v>
      </c>
      <c r="D1230" s="34" t="s">
        <v>31</v>
      </c>
      <c r="E1230" s="35" t="s">
        <v>34968</v>
      </c>
      <c r="F1230" s="67">
        <v>43425</v>
      </c>
      <c r="G1230" s="34" t="s">
        <v>35764</v>
      </c>
      <c r="H1230" s="34" t="s">
        <v>4228</v>
      </c>
      <c r="I1230" s="34" t="s">
        <v>122</v>
      </c>
      <c r="J1230" s="34">
        <v>55082</v>
      </c>
      <c r="K1230" s="34" t="s">
        <v>107</v>
      </c>
      <c r="L1230" s="34" t="s">
        <v>4230</v>
      </c>
      <c r="M1230" s="34" t="s">
        <v>21</v>
      </c>
      <c r="N1230" s="34" t="s">
        <v>34969</v>
      </c>
      <c r="O1230" s="34" t="s">
        <v>372</v>
      </c>
      <c r="P1230" s="34" t="s">
        <v>30089</v>
      </c>
      <c r="Q1230" s="35" t="s">
        <v>34970</v>
      </c>
      <c r="R1230" s="34" t="s">
        <v>512</v>
      </c>
      <c r="S1230" s="34" t="s">
        <v>22</v>
      </c>
      <c r="T1230" s="36" t="s">
        <v>26774</v>
      </c>
      <c r="U1230" s="36" t="s">
        <v>26570</v>
      </c>
      <c r="V1230" s="36" t="s">
        <v>26573</v>
      </c>
      <c r="W1230" s="36" t="s">
        <v>512</v>
      </c>
      <c r="X1230" s="36">
        <v>4193</v>
      </c>
      <c r="Y1230" s="1"/>
      <c r="Z1230" s="34" t="s">
        <v>42968</v>
      </c>
      <c r="AA1230" s="33">
        <v>6436</v>
      </c>
      <c r="AG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row>
    <row r="1231" spans="1:64" ht="12" customHeight="1" x14ac:dyDescent="0.15">
      <c r="A1231" s="34" t="s">
        <v>34962</v>
      </c>
      <c r="B1231" s="34">
        <v>24</v>
      </c>
      <c r="C1231" s="34" t="s">
        <v>14</v>
      </c>
      <c r="D1231" s="34" t="s">
        <v>42</v>
      </c>
      <c r="E1231" s="34"/>
      <c r="F1231" s="67">
        <v>43425</v>
      </c>
      <c r="G1231" s="34" t="s">
        <v>35763</v>
      </c>
      <c r="H1231" s="34" t="s">
        <v>34963</v>
      </c>
      <c r="I1231" s="34" t="s">
        <v>39</v>
      </c>
      <c r="J1231" s="34">
        <v>90201</v>
      </c>
      <c r="K1231" s="34" t="s">
        <v>92</v>
      </c>
      <c r="L1231" s="34" t="s">
        <v>34964</v>
      </c>
      <c r="M1231" s="34" t="s">
        <v>21</v>
      </c>
      <c r="N1231" s="34" t="s">
        <v>34965</v>
      </c>
      <c r="O1231" s="34" t="s">
        <v>372</v>
      </c>
      <c r="P1231" s="34" t="s">
        <v>30089</v>
      </c>
      <c r="Q1231" s="35" t="s">
        <v>34966</v>
      </c>
      <c r="R1231" s="34" t="s">
        <v>94</v>
      </c>
      <c r="S1231" s="34" t="s">
        <v>22</v>
      </c>
      <c r="T1231" s="36" t="s">
        <v>26774</v>
      </c>
      <c r="U1231" s="36" t="s">
        <v>26572</v>
      </c>
      <c r="V1231" s="36" t="s">
        <v>26573</v>
      </c>
      <c r="W1231" s="36" t="s">
        <v>94</v>
      </c>
      <c r="X1231" s="36">
        <v>4214</v>
      </c>
      <c r="Y1231" s="1"/>
      <c r="Z1231" s="34" t="s">
        <v>42966</v>
      </c>
      <c r="AA1231" s="33">
        <v>6437</v>
      </c>
      <c r="AG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row>
    <row r="1232" spans="1:64" ht="12" customHeight="1" x14ac:dyDescent="0.15">
      <c r="A1232" s="34" t="s">
        <v>34958</v>
      </c>
      <c r="B1232" s="34">
        <v>52</v>
      </c>
      <c r="C1232" s="34" t="s">
        <v>14</v>
      </c>
      <c r="D1232" s="34" t="s">
        <v>31</v>
      </c>
      <c r="E1232" s="35" t="s">
        <v>34959</v>
      </c>
      <c r="F1232" s="67">
        <v>43425</v>
      </c>
      <c r="G1232" s="34" t="s">
        <v>35762</v>
      </c>
      <c r="H1232" s="34" t="s">
        <v>1202</v>
      </c>
      <c r="I1232" s="34" t="s">
        <v>63</v>
      </c>
      <c r="J1232" s="34">
        <v>43223</v>
      </c>
      <c r="K1232" s="34" t="s">
        <v>1203</v>
      </c>
      <c r="L1232" s="34" t="s">
        <v>11441</v>
      </c>
      <c r="M1232" s="34" t="s">
        <v>21</v>
      </c>
      <c r="N1232" s="34" t="s">
        <v>34960</v>
      </c>
      <c r="O1232" s="34" t="s">
        <v>372</v>
      </c>
      <c r="P1232" s="34" t="s">
        <v>30089</v>
      </c>
      <c r="Q1232" s="35" t="s">
        <v>34961</v>
      </c>
      <c r="R1232" s="34" t="s">
        <v>512</v>
      </c>
      <c r="S1232" s="34" t="s">
        <v>22</v>
      </c>
      <c r="T1232" s="36" t="s">
        <v>26781</v>
      </c>
      <c r="U1232" s="36" t="s">
        <v>26570</v>
      </c>
      <c r="V1232" s="36" t="s">
        <v>26573</v>
      </c>
      <c r="W1232" s="36" t="s">
        <v>94</v>
      </c>
      <c r="X1232" s="36">
        <v>4194</v>
      </c>
      <c r="Y1232" s="1"/>
      <c r="Z1232" s="34" t="s">
        <v>42966</v>
      </c>
      <c r="AA1232" s="33">
        <v>6434</v>
      </c>
      <c r="AG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row>
    <row r="1233" spans="1:64" ht="12" customHeight="1" x14ac:dyDescent="0.15">
      <c r="A1233" s="34" t="s">
        <v>34973</v>
      </c>
      <c r="B1233" s="34">
        <v>42</v>
      </c>
      <c r="C1233" s="34" t="s">
        <v>14</v>
      </c>
      <c r="D1233" s="34" t="s">
        <v>31</v>
      </c>
      <c r="E1233" s="34"/>
      <c r="F1233" s="67">
        <v>43425</v>
      </c>
      <c r="G1233" s="34" t="s">
        <v>35765</v>
      </c>
      <c r="H1233" s="34" t="s">
        <v>3687</v>
      </c>
      <c r="I1233" s="34" t="s">
        <v>51</v>
      </c>
      <c r="J1233" s="34">
        <v>48625</v>
      </c>
      <c r="K1233" s="34" t="s">
        <v>34974</v>
      </c>
      <c r="L1233" s="34" t="s">
        <v>34975</v>
      </c>
      <c r="M1233" s="34" t="s">
        <v>21</v>
      </c>
      <c r="N1233" s="34" t="s">
        <v>34976</v>
      </c>
      <c r="O1233" s="34" t="s">
        <v>372</v>
      </c>
      <c r="P1233" s="34" t="s">
        <v>30089</v>
      </c>
      <c r="Q1233" s="35" t="s">
        <v>34977</v>
      </c>
      <c r="R1233" s="34" t="s">
        <v>94</v>
      </c>
      <c r="S1233" s="34" t="s">
        <v>29</v>
      </c>
      <c r="T1233" s="36" t="s">
        <v>26575</v>
      </c>
      <c r="U1233" s="36" t="s">
        <v>26575</v>
      </c>
      <c r="V1233" s="36" t="s">
        <v>26573</v>
      </c>
      <c r="W1233" s="36" t="s">
        <v>94</v>
      </c>
      <c r="X1233" s="36">
        <v>4197</v>
      </c>
      <c r="Y1233" s="1"/>
      <c r="Z1233" s="34" t="s">
        <v>42967</v>
      </c>
      <c r="AA1233" s="33">
        <v>6438</v>
      </c>
      <c r="AG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row>
    <row r="1234" spans="1:64" ht="12" customHeight="1" x14ac:dyDescent="0.15">
      <c r="A1234" s="34" t="s">
        <v>36993</v>
      </c>
      <c r="B1234" s="34">
        <v>33</v>
      </c>
      <c r="C1234" s="34" t="s">
        <v>14</v>
      </c>
      <c r="D1234" s="34" t="s">
        <v>79</v>
      </c>
      <c r="E1234" s="34"/>
      <c r="F1234" s="67">
        <v>43424</v>
      </c>
      <c r="G1234" s="34" t="s">
        <v>34985</v>
      </c>
      <c r="H1234" s="34" t="s">
        <v>6444</v>
      </c>
      <c r="I1234" s="34" t="s">
        <v>918</v>
      </c>
      <c r="J1234" s="34">
        <v>71753</v>
      </c>
      <c r="K1234" s="34" t="s">
        <v>45</v>
      </c>
      <c r="L1234" s="34" t="s">
        <v>6995</v>
      </c>
      <c r="M1234" s="34" t="s">
        <v>21</v>
      </c>
      <c r="N1234" s="34" t="s">
        <v>36413</v>
      </c>
      <c r="O1234" s="34" t="s">
        <v>372</v>
      </c>
      <c r="P1234" s="34" t="s">
        <v>30089</v>
      </c>
      <c r="Q1234" s="35" t="s">
        <v>34986</v>
      </c>
      <c r="R1234" s="34" t="s">
        <v>94</v>
      </c>
      <c r="S1234" s="34" t="s">
        <v>351</v>
      </c>
      <c r="T1234" s="36" t="s">
        <v>26867</v>
      </c>
      <c r="U1234" s="36" t="s">
        <v>26572</v>
      </c>
      <c r="V1234" s="36" t="s">
        <v>26573</v>
      </c>
      <c r="W1234" s="36" t="s">
        <v>94</v>
      </c>
      <c r="X1234" s="36">
        <v>4195</v>
      </c>
      <c r="Y1234" s="1"/>
      <c r="Z1234" s="34" t="s">
        <v>42967</v>
      </c>
      <c r="AA1234" s="33">
        <v>6433</v>
      </c>
      <c r="AG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row>
    <row r="1235" spans="1:64" ht="12" customHeight="1" x14ac:dyDescent="0.15">
      <c r="A1235" s="34" t="s">
        <v>34981</v>
      </c>
      <c r="B1235" s="34">
        <v>71</v>
      </c>
      <c r="C1235" s="34" t="s">
        <v>14</v>
      </c>
      <c r="D1235" s="34" t="s">
        <v>24</v>
      </c>
      <c r="E1235" s="34"/>
      <c r="F1235" s="67">
        <v>43424</v>
      </c>
      <c r="G1235" s="34" t="s">
        <v>34982</v>
      </c>
      <c r="H1235" s="34" t="s">
        <v>584</v>
      </c>
      <c r="I1235" s="34" t="s">
        <v>112</v>
      </c>
      <c r="J1235" s="34">
        <v>85020</v>
      </c>
      <c r="K1235" s="34" t="s">
        <v>585</v>
      </c>
      <c r="L1235" s="34" t="s">
        <v>5161</v>
      </c>
      <c r="M1235" s="34" t="s">
        <v>21</v>
      </c>
      <c r="N1235" s="34" t="s">
        <v>34983</v>
      </c>
      <c r="O1235" s="34" t="s">
        <v>372</v>
      </c>
      <c r="P1235" s="34" t="s">
        <v>30089</v>
      </c>
      <c r="Q1235" s="35" t="s">
        <v>34984</v>
      </c>
      <c r="R1235" s="34" t="s">
        <v>94</v>
      </c>
      <c r="S1235" s="34" t="s">
        <v>22</v>
      </c>
      <c r="T1235" s="36" t="s">
        <v>26781</v>
      </c>
      <c r="U1235" s="36" t="s">
        <v>26572</v>
      </c>
      <c r="V1235" s="36" t="s">
        <v>26573</v>
      </c>
      <c r="W1235" s="36" t="s">
        <v>94</v>
      </c>
      <c r="X1235" s="36">
        <v>4236</v>
      </c>
      <c r="Y1235" s="1"/>
      <c r="Z1235" s="34" t="s">
        <v>42968</v>
      </c>
      <c r="AA1235" s="33">
        <v>6432</v>
      </c>
      <c r="AG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row>
    <row r="1236" spans="1:64" ht="12" customHeight="1" x14ac:dyDescent="0.15">
      <c r="A1236" s="34" t="s">
        <v>34992</v>
      </c>
      <c r="B1236" s="34">
        <v>41</v>
      </c>
      <c r="C1236" s="34" t="s">
        <v>14</v>
      </c>
      <c r="D1236" s="34" t="s">
        <v>31</v>
      </c>
      <c r="E1236" s="35" t="s">
        <v>34993</v>
      </c>
      <c r="F1236" s="67">
        <v>43423</v>
      </c>
      <c r="G1236" s="34" t="s">
        <v>34994</v>
      </c>
      <c r="H1236" s="34" t="s">
        <v>2536</v>
      </c>
      <c r="I1236" s="34" t="s">
        <v>735</v>
      </c>
      <c r="J1236" s="34">
        <v>83642</v>
      </c>
      <c r="K1236" s="34" t="s">
        <v>3903</v>
      </c>
      <c r="L1236" s="34" t="s">
        <v>14515</v>
      </c>
      <c r="M1236" s="34" t="s">
        <v>21</v>
      </c>
      <c r="N1236" s="34" t="s">
        <v>34995</v>
      </c>
      <c r="O1236" s="34" t="s">
        <v>372</v>
      </c>
      <c r="P1236" s="34" t="s">
        <v>30089</v>
      </c>
      <c r="Q1236" s="35" t="s">
        <v>34996</v>
      </c>
      <c r="R1236" s="34" t="s">
        <v>94</v>
      </c>
      <c r="S1236" s="34" t="s">
        <v>29</v>
      </c>
      <c r="T1236" s="36" t="s">
        <v>26575</v>
      </c>
      <c r="U1236" s="36" t="s">
        <v>26572</v>
      </c>
      <c r="V1236" s="36" t="s">
        <v>26571</v>
      </c>
      <c r="W1236" s="36" t="s">
        <v>94</v>
      </c>
      <c r="X1236" s="36">
        <v>4192</v>
      </c>
      <c r="Y1236" s="1"/>
      <c r="Z1236" s="34" t="s">
        <v>42968</v>
      </c>
      <c r="AA1236" s="33">
        <v>6431</v>
      </c>
      <c r="AG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row>
    <row r="1237" spans="1:64" ht="12" customHeight="1" x14ac:dyDescent="0.15">
      <c r="A1237" s="34" t="s">
        <v>34987</v>
      </c>
      <c r="B1237" s="34">
        <v>65</v>
      </c>
      <c r="C1237" s="34" t="s">
        <v>14</v>
      </c>
      <c r="D1237" s="34" t="s">
        <v>31</v>
      </c>
      <c r="E1237" s="35" t="s">
        <v>34988</v>
      </c>
      <c r="F1237" s="67">
        <v>43423</v>
      </c>
      <c r="G1237" s="34" t="s">
        <v>34989</v>
      </c>
      <c r="H1237" s="34" t="s">
        <v>197</v>
      </c>
      <c r="I1237" s="34" t="s">
        <v>198</v>
      </c>
      <c r="J1237" s="34">
        <v>46217</v>
      </c>
      <c r="K1237" s="34" t="s">
        <v>392</v>
      </c>
      <c r="L1237" s="34" t="s">
        <v>199</v>
      </c>
      <c r="M1237" s="34" t="s">
        <v>21</v>
      </c>
      <c r="N1237" s="34" t="s">
        <v>34990</v>
      </c>
      <c r="O1237" s="34" t="s">
        <v>372</v>
      </c>
      <c r="P1237" s="34" t="s">
        <v>30089</v>
      </c>
      <c r="Q1237" s="35" t="s">
        <v>34991</v>
      </c>
      <c r="R1237" s="34" t="s">
        <v>94</v>
      </c>
      <c r="S1237" s="34" t="s">
        <v>22</v>
      </c>
      <c r="T1237" s="36" t="s">
        <v>26781</v>
      </c>
      <c r="U1237" s="36" t="s">
        <v>26572</v>
      </c>
      <c r="V1237" s="36" t="s">
        <v>26573</v>
      </c>
      <c r="W1237" s="36" t="s">
        <v>94</v>
      </c>
      <c r="X1237" s="36">
        <v>4183</v>
      </c>
      <c r="Y1237" s="1"/>
      <c r="Z1237" s="34" t="s">
        <v>42968</v>
      </c>
      <c r="AA1237" s="33">
        <v>6430</v>
      </c>
      <c r="AG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row>
    <row r="1238" spans="1:64" ht="12" customHeight="1" x14ac:dyDescent="0.15">
      <c r="A1238" s="34" t="s">
        <v>34997</v>
      </c>
      <c r="B1238" s="34">
        <v>49</v>
      </c>
      <c r="C1238" s="34" t="s">
        <v>103</v>
      </c>
      <c r="D1238" s="34" t="s">
        <v>24</v>
      </c>
      <c r="E1238" s="34"/>
      <c r="F1238" s="67">
        <v>43422</v>
      </c>
      <c r="G1238" s="34" t="s">
        <v>34998</v>
      </c>
      <c r="H1238" s="34" t="s">
        <v>4771</v>
      </c>
      <c r="I1238" s="34" t="s">
        <v>798</v>
      </c>
      <c r="J1238" s="34">
        <v>59801</v>
      </c>
      <c r="K1238" s="34" t="s">
        <v>4771</v>
      </c>
      <c r="L1238" s="34" t="s">
        <v>34999</v>
      </c>
      <c r="M1238" s="34" t="s">
        <v>21</v>
      </c>
      <c r="N1238" s="34" t="s">
        <v>35000</v>
      </c>
      <c r="O1238" s="34" t="s">
        <v>372</v>
      </c>
      <c r="P1238" s="34" t="s">
        <v>30089</v>
      </c>
      <c r="Q1238" s="35" t="s">
        <v>35001</v>
      </c>
      <c r="R1238" s="34" t="s">
        <v>94</v>
      </c>
      <c r="S1238" s="34" t="s">
        <v>22</v>
      </c>
      <c r="T1238" s="36" t="s">
        <v>26781</v>
      </c>
      <c r="U1238" s="36" t="s">
        <v>26572</v>
      </c>
      <c r="V1238" s="36" t="s">
        <v>26573</v>
      </c>
      <c r="W1238" s="36" t="s">
        <v>94</v>
      </c>
      <c r="X1238" s="36">
        <v>4182</v>
      </c>
      <c r="Y1238" s="1"/>
      <c r="Z1238" s="34" t="s">
        <v>42966</v>
      </c>
      <c r="AA1238" s="33">
        <v>6429</v>
      </c>
      <c r="AG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row>
    <row r="1239" spans="1:64" ht="12" customHeight="1" x14ac:dyDescent="0.15">
      <c r="A1239" s="34" t="s">
        <v>35002</v>
      </c>
      <c r="B1239" s="34">
        <v>27</v>
      </c>
      <c r="C1239" s="34" t="s">
        <v>14</v>
      </c>
      <c r="D1239" s="34" t="s">
        <v>79</v>
      </c>
      <c r="E1239" s="35" t="s">
        <v>35003</v>
      </c>
      <c r="F1239" s="67">
        <v>43421</v>
      </c>
      <c r="G1239" s="34" t="s">
        <v>35004</v>
      </c>
      <c r="H1239" s="34" t="s">
        <v>2991</v>
      </c>
      <c r="I1239" s="34" t="s">
        <v>56</v>
      </c>
      <c r="J1239" s="34">
        <v>34945</v>
      </c>
      <c r="K1239" s="34" t="s">
        <v>2993</v>
      </c>
      <c r="L1239" s="34" t="s">
        <v>23734</v>
      </c>
      <c r="M1239" s="34" t="s">
        <v>21</v>
      </c>
      <c r="N1239" s="34" t="s">
        <v>35005</v>
      </c>
      <c r="O1239" s="34" t="s">
        <v>372</v>
      </c>
      <c r="P1239" s="34" t="s">
        <v>30089</v>
      </c>
      <c r="Q1239" s="35" t="s">
        <v>35006</v>
      </c>
      <c r="R1239" s="34" t="s">
        <v>94</v>
      </c>
      <c r="S1239" s="34" t="s">
        <v>351</v>
      </c>
      <c r="T1239" s="36" t="s">
        <v>26867</v>
      </c>
      <c r="U1239" s="36" t="s">
        <v>26572</v>
      </c>
      <c r="V1239" s="36" t="s">
        <v>26571</v>
      </c>
      <c r="W1239" s="36" t="s">
        <v>94</v>
      </c>
      <c r="X1239" s="36">
        <v>4185</v>
      </c>
      <c r="Y1239" s="1"/>
      <c r="Z1239" s="34" t="s">
        <v>42967</v>
      </c>
      <c r="AA1239" s="33">
        <v>6428</v>
      </c>
      <c r="AG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row>
    <row r="1240" spans="1:64" ht="12" customHeight="1" x14ac:dyDescent="0.15">
      <c r="A1240" s="34" t="s">
        <v>3002</v>
      </c>
      <c r="B1240" s="34"/>
      <c r="C1240" s="34" t="s">
        <v>14</v>
      </c>
      <c r="D1240" s="34" t="s">
        <v>24</v>
      </c>
      <c r="E1240" s="34"/>
      <c r="F1240" s="67">
        <v>43420</v>
      </c>
      <c r="G1240" s="34" t="s">
        <v>35007</v>
      </c>
      <c r="H1240" s="34" t="s">
        <v>674</v>
      </c>
      <c r="I1240" s="34" t="s">
        <v>67</v>
      </c>
      <c r="J1240" s="34">
        <v>77040</v>
      </c>
      <c r="K1240" s="34" t="s">
        <v>515</v>
      </c>
      <c r="L1240" s="34" t="s">
        <v>262</v>
      </c>
      <c r="M1240" s="34" t="s">
        <v>21</v>
      </c>
      <c r="N1240" s="34" t="s">
        <v>35008</v>
      </c>
      <c r="O1240" s="34" t="s">
        <v>372</v>
      </c>
      <c r="P1240" s="34" t="s">
        <v>30089</v>
      </c>
      <c r="Q1240" s="35" t="s">
        <v>35009</v>
      </c>
      <c r="R1240" s="34" t="s">
        <v>94</v>
      </c>
      <c r="S1240" s="34" t="s">
        <v>22</v>
      </c>
      <c r="T1240" s="36" t="s">
        <v>26781</v>
      </c>
      <c r="U1240" s="36" t="s">
        <v>26572</v>
      </c>
      <c r="V1240" s="36" t="s">
        <v>26573</v>
      </c>
      <c r="W1240" s="36" t="s">
        <v>94</v>
      </c>
      <c r="X1240" s="36">
        <v>4191</v>
      </c>
      <c r="Y1240" s="1"/>
      <c r="Z1240" s="34" t="s">
        <v>42968</v>
      </c>
      <c r="AA1240" s="33">
        <v>6427</v>
      </c>
      <c r="AG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row>
    <row r="1241" spans="1:64" ht="12" customHeight="1" x14ac:dyDescent="0.15">
      <c r="A1241" s="34" t="s">
        <v>35010</v>
      </c>
      <c r="B1241" s="36">
        <v>60</v>
      </c>
      <c r="C1241" s="34" t="s">
        <v>14</v>
      </c>
      <c r="D1241" s="34" t="s">
        <v>31</v>
      </c>
      <c r="E1241" s="34"/>
      <c r="F1241" s="67">
        <v>43419</v>
      </c>
      <c r="G1241" s="34" t="s">
        <v>35011</v>
      </c>
      <c r="H1241" s="34" t="s">
        <v>35012</v>
      </c>
      <c r="I1241" s="34" t="s">
        <v>88</v>
      </c>
      <c r="J1241" s="34">
        <v>36732</v>
      </c>
      <c r="K1241" s="34" t="s">
        <v>35013</v>
      </c>
      <c r="L1241" s="34" t="s">
        <v>35014</v>
      </c>
      <c r="M1241" s="34" t="s">
        <v>21</v>
      </c>
      <c r="N1241" s="34" t="s">
        <v>35015</v>
      </c>
      <c r="O1241" s="34" t="s">
        <v>372</v>
      </c>
      <c r="P1241" s="34" t="s">
        <v>30089</v>
      </c>
      <c r="Q1241" s="35" t="s">
        <v>35016</v>
      </c>
      <c r="R1241" s="34" t="s">
        <v>94</v>
      </c>
      <c r="S1241" s="34" t="s">
        <v>22</v>
      </c>
      <c r="T1241" s="36" t="s">
        <v>26781</v>
      </c>
      <c r="U1241" s="36" t="s">
        <v>26572</v>
      </c>
      <c r="V1241" s="36" t="s">
        <v>26573</v>
      </c>
      <c r="W1241" s="36" t="s">
        <v>94</v>
      </c>
      <c r="X1241" s="36">
        <v>4235</v>
      </c>
      <c r="Y1241" s="1"/>
      <c r="Z1241" s="34" t="s">
        <v>42967</v>
      </c>
      <c r="AA1241" s="33">
        <v>6423</v>
      </c>
      <c r="AG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row>
    <row r="1242" spans="1:64" ht="12" customHeight="1" x14ac:dyDescent="0.15">
      <c r="A1242" s="34" t="s">
        <v>35017</v>
      </c>
      <c r="B1242" s="34">
        <v>18</v>
      </c>
      <c r="C1242" s="34" t="s">
        <v>14</v>
      </c>
      <c r="D1242" s="34" t="s">
        <v>79</v>
      </c>
      <c r="E1242" s="34"/>
      <c r="F1242" s="67">
        <v>43419</v>
      </c>
      <c r="G1242" s="34" t="s">
        <v>35018</v>
      </c>
      <c r="H1242" s="34" t="s">
        <v>35019</v>
      </c>
      <c r="I1242" s="34" t="s">
        <v>192</v>
      </c>
      <c r="J1242" s="34">
        <v>80112</v>
      </c>
      <c r="K1242" s="34" t="s">
        <v>3510</v>
      </c>
      <c r="L1242" s="34" t="s">
        <v>1791</v>
      </c>
      <c r="M1242" s="34" t="s">
        <v>21</v>
      </c>
      <c r="N1242" s="34" t="s">
        <v>35020</v>
      </c>
      <c r="O1242" s="34" t="s">
        <v>372</v>
      </c>
      <c r="P1242" s="34" t="s">
        <v>30089</v>
      </c>
      <c r="Q1242" s="35" t="s">
        <v>35021</v>
      </c>
      <c r="R1242" s="34" t="s">
        <v>94</v>
      </c>
      <c r="S1242" s="34" t="s">
        <v>22</v>
      </c>
      <c r="T1242" s="36" t="s">
        <v>26781</v>
      </c>
      <c r="U1242" s="36" t="s">
        <v>26570</v>
      </c>
      <c r="V1242" s="36" t="s">
        <v>26573</v>
      </c>
      <c r="W1242" s="36" t="s">
        <v>94</v>
      </c>
      <c r="X1242" s="36">
        <v>4186</v>
      </c>
      <c r="Y1242" s="1"/>
      <c r="Z1242" s="34" t="s">
        <v>42968</v>
      </c>
      <c r="AA1242" s="33">
        <v>6422</v>
      </c>
      <c r="AG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row>
    <row r="1243" spans="1:64" ht="12" customHeight="1" x14ac:dyDescent="0.15">
      <c r="A1243" s="34" t="s">
        <v>35027</v>
      </c>
      <c r="B1243" s="34">
        <v>48</v>
      </c>
      <c r="C1243" s="34" t="s">
        <v>14</v>
      </c>
      <c r="D1243" s="34" t="s">
        <v>31</v>
      </c>
      <c r="E1243" s="35" t="s">
        <v>35028</v>
      </c>
      <c r="F1243" s="67">
        <v>43419</v>
      </c>
      <c r="G1243" s="34" t="s">
        <v>35029</v>
      </c>
      <c r="H1243" s="34" t="s">
        <v>8871</v>
      </c>
      <c r="I1243" s="34" t="s">
        <v>39</v>
      </c>
      <c r="J1243" s="34">
        <v>95965</v>
      </c>
      <c r="K1243" s="34" t="s">
        <v>4807</v>
      </c>
      <c r="L1243" s="34" t="s">
        <v>36414</v>
      </c>
      <c r="M1243" s="34" t="s">
        <v>21</v>
      </c>
      <c r="N1243" s="34" t="s">
        <v>35030</v>
      </c>
      <c r="O1243" s="34" t="s">
        <v>372</v>
      </c>
      <c r="P1243" s="34" t="s">
        <v>30089</v>
      </c>
      <c r="Q1243" s="35" t="s">
        <v>35031</v>
      </c>
      <c r="R1243" s="34" t="s">
        <v>512</v>
      </c>
      <c r="S1243" s="34" t="s">
        <v>29</v>
      </c>
      <c r="T1243" s="36" t="s">
        <v>26584</v>
      </c>
      <c r="U1243" s="36" t="s">
        <v>26570</v>
      </c>
      <c r="V1243" s="36" t="s">
        <v>26571</v>
      </c>
      <c r="W1243" s="36" t="s">
        <v>94</v>
      </c>
      <c r="X1243" s="36">
        <v>4190</v>
      </c>
      <c r="Y1243" s="1"/>
      <c r="Z1243" s="34" t="s">
        <v>42967</v>
      </c>
      <c r="AA1243" s="33">
        <v>6425</v>
      </c>
      <c r="AG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row>
    <row r="1244" spans="1:64" ht="12" customHeight="1" x14ac:dyDescent="0.15">
      <c r="A1244" s="34" t="s">
        <v>35022</v>
      </c>
      <c r="B1244" s="34">
        <v>25</v>
      </c>
      <c r="C1244" s="34" t="s">
        <v>14</v>
      </c>
      <c r="D1244" s="34" t="s">
        <v>79</v>
      </c>
      <c r="E1244" s="35" t="s">
        <v>35023</v>
      </c>
      <c r="F1244" s="67">
        <v>43419</v>
      </c>
      <c r="G1244" s="34" t="s">
        <v>35024</v>
      </c>
      <c r="H1244" s="34" t="s">
        <v>1542</v>
      </c>
      <c r="I1244" s="34" t="s">
        <v>160</v>
      </c>
      <c r="J1244" s="34">
        <v>30909</v>
      </c>
      <c r="K1244" s="34" t="s">
        <v>818</v>
      </c>
      <c r="L1244" s="34" t="s">
        <v>1544</v>
      </c>
      <c r="M1244" s="34" t="s">
        <v>21</v>
      </c>
      <c r="N1244" s="34" t="s">
        <v>35025</v>
      </c>
      <c r="O1244" s="34" t="s">
        <v>372</v>
      </c>
      <c r="P1244" s="34" t="s">
        <v>30089</v>
      </c>
      <c r="Q1244" s="35" t="s">
        <v>35026</v>
      </c>
      <c r="R1244" s="34" t="s">
        <v>94</v>
      </c>
      <c r="S1244" s="34" t="s">
        <v>22</v>
      </c>
      <c r="T1244" s="36" t="s">
        <v>26774</v>
      </c>
      <c r="U1244" s="36" t="s">
        <v>26572</v>
      </c>
      <c r="V1244" s="36" t="s">
        <v>26573</v>
      </c>
      <c r="W1244" s="36" t="s">
        <v>94</v>
      </c>
      <c r="X1244" s="36">
        <v>4189</v>
      </c>
      <c r="Y1244" s="1"/>
      <c r="Z1244" s="34" t="s">
        <v>42966</v>
      </c>
      <c r="AA1244" s="33">
        <v>6424</v>
      </c>
      <c r="AG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row>
    <row r="1245" spans="1:64" ht="12" customHeight="1" x14ac:dyDescent="0.15">
      <c r="A1245" s="34" t="s">
        <v>35032</v>
      </c>
      <c r="B1245" s="34">
        <v>29</v>
      </c>
      <c r="C1245" s="34" t="s">
        <v>14</v>
      </c>
      <c r="D1245" s="34" t="s">
        <v>42</v>
      </c>
      <c r="E1245" s="35" t="s">
        <v>35033</v>
      </c>
      <c r="F1245" s="67">
        <v>43419</v>
      </c>
      <c r="G1245" s="34" t="s">
        <v>35766</v>
      </c>
      <c r="H1245" s="34" t="s">
        <v>7928</v>
      </c>
      <c r="I1245" s="34" t="s">
        <v>39</v>
      </c>
      <c r="J1245" s="34">
        <v>94544</v>
      </c>
      <c r="K1245" s="34" t="s">
        <v>558</v>
      </c>
      <c r="L1245" s="34" t="s">
        <v>7930</v>
      </c>
      <c r="M1245" s="34" t="s">
        <v>21</v>
      </c>
      <c r="N1245" s="34" t="s">
        <v>35034</v>
      </c>
      <c r="O1245" s="34" t="s">
        <v>372</v>
      </c>
      <c r="P1245" s="34" t="s">
        <v>30089</v>
      </c>
      <c r="Q1245" s="35" t="s">
        <v>35035</v>
      </c>
      <c r="R1245" s="34" t="s">
        <v>512</v>
      </c>
      <c r="S1245" s="34" t="s">
        <v>29</v>
      </c>
      <c r="T1245" s="36" t="s">
        <v>26610</v>
      </c>
      <c r="U1245" s="36" t="s">
        <v>26570</v>
      </c>
      <c r="V1245" s="36" t="s">
        <v>26573</v>
      </c>
      <c r="W1245" s="36" t="s">
        <v>94</v>
      </c>
      <c r="X1245" s="36">
        <v>4187</v>
      </c>
      <c r="Y1245" s="1"/>
      <c r="Z1245" s="34" t="s">
        <v>42968</v>
      </c>
      <c r="AA1245" s="33">
        <v>6426</v>
      </c>
      <c r="AG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row>
    <row r="1246" spans="1:64" ht="12" customHeight="1" x14ac:dyDescent="0.15">
      <c r="A1246" s="34" t="s">
        <v>35047</v>
      </c>
      <c r="B1246" s="34">
        <v>55</v>
      </c>
      <c r="C1246" s="34" t="s">
        <v>14</v>
      </c>
      <c r="D1246" s="34" t="s">
        <v>24</v>
      </c>
      <c r="E1246" s="34"/>
      <c r="F1246" s="67">
        <v>43418</v>
      </c>
      <c r="G1246" s="34" t="s">
        <v>35048</v>
      </c>
      <c r="H1246" s="34" t="s">
        <v>35049</v>
      </c>
      <c r="I1246" s="34" t="s">
        <v>88</v>
      </c>
      <c r="J1246" s="34">
        <v>36040</v>
      </c>
      <c r="K1246" s="34" t="s">
        <v>2763</v>
      </c>
      <c r="L1246" s="34" t="s">
        <v>35050</v>
      </c>
      <c r="M1246" s="34" t="s">
        <v>21</v>
      </c>
      <c r="N1246" s="34" t="s">
        <v>35051</v>
      </c>
      <c r="O1246" s="34" t="s">
        <v>372</v>
      </c>
      <c r="P1246" s="34" t="s">
        <v>30089</v>
      </c>
      <c r="Q1246" s="35" t="s">
        <v>35052</v>
      </c>
      <c r="R1246" s="34" t="s">
        <v>94</v>
      </c>
      <c r="S1246" s="34" t="s">
        <v>22</v>
      </c>
      <c r="T1246" s="36" t="s">
        <v>26774</v>
      </c>
      <c r="U1246" s="36" t="s">
        <v>26572</v>
      </c>
      <c r="V1246" s="36" t="s">
        <v>26573</v>
      </c>
      <c r="W1246" s="36" t="s">
        <v>94</v>
      </c>
      <c r="X1246" s="36">
        <v>4233</v>
      </c>
      <c r="Y1246" s="1"/>
      <c r="Z1246" s="34" t="s">
        <v>42967</v>
      </c>
      <c r="AA1246" s="33">
        <v>6420</v>
      </c>
      <c r="AG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row>
    <row r="1247" spans="1:64" ht="12" customHeight="1" x14ac:dyDescent="0.15">
      <c r="A1247" s="34" t="s">
        <v>35036</v>
      </c>
      <c r="B1247" s="34">
        <v>59</v>
      </c>
      <c r="C1247" s="34" t="s">
        <v>14</v>
      </c>
      <c r="D1247" s="34" t="s">
        <v>31</v>
      </c>
      <c r="E1247" s="34"/>
      <c r="F1247" s="67">
        <v>43418</v>
      </c>
      <c r="G1247" s="34" t="s">
        <v>35037</v>
      </c>
      <c r="H1247" s="34" t="s">
        <v>4932</v>
      </c>
      <c r="I1247" s="34" t="s">
        <v>40</v>
      </c>
      <c r="J1247" s="34">
        <v>1501</v>
      </c>
      <c r="K1247" s="34" t="s">
        <v>890</v>
      </c>
      <c r="L1247" s="34" t="s">
        <v>10523</v>
      </c>
      <c r="M1247" s="34" t="s">
        <v>21</v>
      </c>
      <c r="N1247" s="34" t="s">
        <v>36415</v>
      </c>
      <c r="O1247" s="34" t="s">
        <v>372</v>
      </c>
      <c r="P1247" s="34" t="s">
        <v>30089</v>
      </c>
      <c r="Q1247" s="35" t="s">
        <v>35038</v>
      </c>
      <c r="R1247" s="34" t="s">
        <v>23</v>
      </c>
      <c r="S1247" s="34" t="s">
        <v>22</v>
      </c>
      <c r="T1247" s="36" t="s">
        <v>26781</v>
      </c>
      <c r="U1247" s="36" t="s">
        <v>26572</v>
      </c>
      <c r="V1247" s="36" t="s">
        <v>26573</v>
      </c>
      <c r="W1247" s="36" t="s">
        <v>94</v>
      </c>
      <c r="X1247" s="36">
        <v>4213</v>
      </c>
      <c r="Y1247" s="1"/>
      <c r="Z1247" s="34" t="s">
        <v>42968</v>
      </c>
      <c r="AA1247" s="33">
        <v>6419</v>
      </c>
      <c r="AG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row>
    <row r="1248" spans="1:64" ht="12" customHeight="1" x14ac:dyDescent="0.15">
      <c r="A1248" s="34" t="s">
        <v>3002</v>
      </c>
      <c r="B1248" s="34"/>
      <c r="C1248" s="34" t="s">
        <v>14</v>
      </c>
      <c r="D1248" s="34" t="s">
        <v>42</v>
      </c>
      <c r="E1248" s="34"/>
      <c r="F1248" s="67">
        <v>43418</v>
      </c>
      <c r="G1248" s="34" t="s">
        <v>35767</v>
      </c>
      <c r="H1248" s="34" t="s">
        <v>674</v>
      </c>
      <c r="I1248" s="34" t="s">
        <v>67</v>
      </c>
      <c r="J1248" s="34">
        <v>77074</v>
      </c>
      <c r="K1248" s="34" t="s">
        <v>515</v>
      </c>
      <c r="L1248" s="34" t="s">
        <v>675</v>
      </c>
      <c r="M1248" s="34" t="s">
        <v>21</v>
      </c>
      <c r="N1248" s="34" t="s">
        <v>35058</v>
      </c>
      <c r="O1248" s="34" t="s">
        <v>372</v>
      </c>
      <c r="P1248" s="34" t="s">
        <v>30089</v>
      </c>
      <c r="Q1248" s="35" t="s">
        <v>35059</v>
      </c>
      <c r="R1248" s="34" t="s">
        <v>94</v>
      </c>
      <c r="S1248" s="34" t="s">
        <v>22</v>
      </c>
      <c r="T1248" s="36" t="s">
        <v>36318</v>
      </c>
      <c r="U1248" s="36" t="s">
        <v>26572</v>
      </c>
      <c r="V1248" s="36" t="s">
        <v>26573</v>
      </c>
      <c r="W1248" s="36"/>
      <c r="X1248" s="36"/>
      <c r="Y1248" s="1"/>
      <c r="Z1248" s="34" t="s">
        <v>42966</v>
      </c>
      <c r="AA1248" s="33">
        <v>6417</v>
      </c>
      <c r="AG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row>
    <row r="1249" spans="1:64" ht="12" customHeight="1" x14ac:dyDescent="0.15">
      <c r="A1249" s="34" t="s">
        <v>35039</v>
      </c>
      <c r="B1249" s="34">
        <v>22</v>
      </c>
      <c r="C1249" s="34" t="s">
        <v>14</v>
      </c>
      <c r="D1249" s="34" t="s">
        <v>79</v>
      </c>
      <c r="E1249" s="35" t="s">
        <v>35040</v>
      </c>
      <c r="F1249" s="67">
        <v>43418</v>
      </c>
      <c r="G1249" s="34" t="s">
        <v>35041</v>
      </c>
      <c r="H1249" s="34" t="s">
        <v>35042</v>
      </c>
      <c r="I1249" s="34" t="s">
        <v>225</v>
      </c>
      <c r="J1249" s="34">
        <v>24360</v>
      </c>
      <c r="K1249" s="34" t="s">
        <v>35043</v>
      </c>
      <c r="L1249" s="34" t="s">
        <v>35044</v>
      </c>
      <c r="M1249" s="34" t="s">
        <v>21</v>
      </c>
      <c r="N1249" s="34" t="s">
        <v>35045</v>
      </c>
      <c r="O1249" s="34" t="s">
        <v>372</v>
      </c>
      <c r="P1249" s="34" t="s">
        <v>30089</v>
      </c>
      <c r="Q1249" s="35" t="s">
        <v>35046</v>
      </c>
      <c r="R1249" s="34" t="s">
        <v>94</v>
      </c>
      <c r="S1249" s="34" t="s">
        <v>22</v>
      </c>
      <c r="T1249" s="36" t="s">
        <v>26781</v>
      </c>
      <c r="U1249" s="36" t="s">
        <v>26572</v>
      </c>
      <c r="V1249" s="36" t="s">
        <v>26573</v>
      </c>
      <c r="W1249" s="36" t="s">
        <v>94</v>
      </c>
      <c r="X1249" s="36">
        <v>4174</v>
      </c>
      <c r="Y1249" s="1"/>
      <c r="Z1249" s="34" t="s">
        <v>42967</v>
      </c>
      <c r="AA1249" s="33">
        <v>6418</v>
      </c>
      <c r="AG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row>
    <row r="1250" spans="1:64" ht="12" customHeight="1" x14ac:dyDescent="0.15">
      <c r="A1250" s="34" t="s">
        <v>35053</v>
      </c>
      <c r="B1250" s="34">
        <v>29</v>
      </c>
      <c r="C1250" s="34" t="s">
        <v>14</v>
      </c>
      <c r="D1250" s="34" t="s">
        <v>31</v>
      </c>
      <c r="E1250" s="35" t="s">
        <v>35054</v>
      </c>
      <c r="F1250" s="67">
        <v>43418</v>
      </c>
      <c r="G1250" s="34" t="s">
        <v>35055</v>
      </c>
      <c r="H1250" s="34" t="s">
        <v>2643</v>
      </c>
      <c r="I1250" s="34" t="s">
        <v>26</v>
      </c>
      <c r="J1250" s="34">
        <v>29301</v>
      </c>
      <c r="K1250" s="34" t="s">
        <v>2643</v>
      </c>
      <c r="L1250" s="34" t="s">
        <v>2645</v>
      </c>
      <c r="M1250" s="34" t="s">
        <v>21</v>
      </c>
      <c r="N1250" s="34" t="s">
        <v>35056</v>
      </c>
      <c r="O1250" s="34" t="s">
        <v>372</v>
      </c>
      <c r="P1250" s="34" t="s">
        <v>30089</v>
      </c>
      <c r="Q1250" s="35" t="s">
        <v>35057</v>
      </c>
      <c r="R1250" s="34" t="s">
        <v>94</v>
      </c>
      <c r="S1250" s="34" t="s">
        <v>22</v>
      </c>
      <c r="T1250" s="36" t="s">
        <v>26774</v>
      </c>
      <c r="U1250" s="36" t="s">
        <v>26572</v>
      </c>
      <c r="V1250" s="36" t="s">
        <v>26573</v>
      </c>
      <c r="W1250" s="36" t="s">
        <v>94</v>
      </c>
      <c r="X1250" s="36">
        <v>4234</v>
      </c>
      <c r="Y1250" s="1"/>
      <c r="Z1250" s="34" t="s">
        <v>42968</v>
      </c>
      <c r="AA1250" s="33">
        <v>6421</v>
      </c>
      <c r="AG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row>
    <row r="1251" spans="1:64" ht="12" customHeight="1" x14ac:dyDescent="0.15">
      <c r="A1251" s="34" t="s">
        <v>35062</v>
      </c>
      <c r="B1251" s="34">
        <v>24</v>
      </c>
      <c r="C1251" s="34" t="s">
        <v>14</v>
      </c>
      <c r="D1251" s="34" t="s">
        <v>79</v>
      </c>
      <c r="E1251" s="35" t="s">
        <v>35063</v>
      </c>
      <c r="F1251" s="67">
        <v>43417</v>
      </c>
      <c r="G1251" s="34" t="s">
        <v>35064</v>
      </c>
      <c r="H1251" s="34" t="s">
        <v>3067</v>
      </c>
      <c r="I1251" s="34" t="s">
        <v>112</v>
      </c>
      <c r="J1251" s="34">
        <v>85301</v>
      </c>
      <c r="K1251" s="34" t="s">
        <v>585</v>
      </c>
      <c r="L1251" s="34" t="s">
        <v>586</v>
      </c>
      <c r="M1251" s="34" t="s">
        <v>21</v>
      </c>
      <c r="N1251" s="34" t="s">
        <v>35065</v>
      </c>
      <c r="O1251" s="34" t="s">
        <v>372</v>
      </c>
      <c r="P1251" s="34" t="s">
        <v>30089</v>
      </c>
      <c r="Q1251" s="35" t="s">
        <v>35066</v>
      </c>
      <c r="R1251" s="34" t="s">
        <v>94</v>
      </c>
      <c r="S1251" s="34" t="s">
        <v>29</v>
      </c>
      <c r="T1251" s="36" t="s">
        <v>26576</v>
      </c>
      <c r="U1251" s="36" t="s">
        <v>26572</v>
      </c>
      <c r="V1251" s="36" t="s">
        <v>26571</v>
      </c>
      <c r="W1251" s="36" t="s">
        <v>94</v>
      </c>
      <c r="X1251" s="36">
        <v>4175</v>
      </c>
      <c r="Y1251" s="1"/>
      <c r="Z1251" s="34" t="s">
        <v>42968</v>
      </c>
      <c r="AA1251" s="33">
        <v>6416</v>
      </c>
      <c r="AG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row>
    <row r="1252" spans="1:64" ht="12" customHeight="1" x14ac:dyDescent="0.15">
      <c r="A1252" s="36" t="s">
        <v>35060</v>
      </c>
      <c r="B1252" s="34">
        <v>38</v>
      </c>
      <c r="C1252" s="34" t="s">
        <v>14</v>
      </c>
      <c r="D1252" s="34" t="s">
        <v>24</v>
      </c>
      <c r="E1252" s="35"/>
      <c r="F1252" s="67">
        <v>43417</v>
      </c>
      <c r="G1252" s="34"/>
      <c r="H1252" s="36" t="s">
        <v>35061</v>
      </c>
      <c r="I1252" s="36" t="s">
        <v>337</v>
      </c>
      <c r="J1252" s="34"/>
      <c r="K1252" s="34"/>
      <c r="L1252" s="34"/>
      <c r="M1252" s="34" t="s">
        <v>21</v>
      </c>
      <c r="N1252" s="34"/>
      <c r="O1252" s="34" t="s">
        <v>372</v>
      </c>
      <c r="P1252" s="34" t="s">
        <v>30089</v>
      </c>
      <c r="Q1252" s="35" t="s">
        <v>36317</v>
      </c>
      <c r="R1252" s="34" t="s">
        <v>512</v>
      </c>
      <c r="S1252" s="34" t="s">
        <v>22</v>
      </c>
      <c r="T1252" s="36" t="s">
        <v>26781</v>
      </c>
      <c r="U1252" s="36" t="s">
        <v>26572</v>
      </c>
      <c r="V1252" s="36" t="s">
        <v>26573</v>
      </c>
      <c r="W1252" s="36" t="s">
        <v>94</v>
      </c>
      <c r="X1252" s="36">
        <v>4196</v>
      </c>
      <c r="Y1252" s="1"/>
      <c r="Z1252" s="34" t="e">
        <v>#N/A</v>
      </c>
      <c r="AA1252" s="33">
        <v>6415</v>
      </c>
      <c r="AG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row>
    <row r="1253" spans="1:64" ht="12" customHeight="1" x14ac:dyDescent="0.15">
      <c r="A1253" s="34" t="s">
        <v>35072</v>
      </c>
      <c r="B1253" s="34">
        <v>47</v>
      </c>
      <c r="C1253" s="34" t="s">
        <v>14</v>
      </c>
      <c r="D1253" s="34" t="s">
        <v>79</v>
      </c>
      <c r="E1253" s="35" t="s">
        <v>35073</v>
      </c>
      <c r="F1253" s="67">
        <v>43416</v>
      </c>
      <c r="G1253" s="34" t="s">
        <v>35074</v>
      </c>
      <c r="H1253" s="34" t="s">
        <v>1027</v>
      </c>
      <c r="I1253" s="34" t="s">
        <v>367</v>
      </c>
      <c r="J1253" s="34">
        <v>73129</v>
      </c>
      <c r="K1253" s="34" t="s">
        <v>1028</v>
      </c>
      <c r="L1253" s="34" t="s">
        <v>1029</v>
      </c>
      <c r="M1253" s="34" t="s">
        <v>21</v>
      </c>
      <c r="N1253" s="34" t="s">
        <v>35075</v>
      </c>
      <c r="O1253" s="34" t="s">
        <v>372</v>
      </c>
      <c r="P1253" s="34" t="s">
        <v>30089</v>
      </c>
      <c r="Q1253" s="35" t="s">
        <v>35076</v>
      </c>
      <c r="R1253" s="34" t="s">
        <v>94</v>
      </c>
      <c r="S1253" s="34" t="s">
        <v>22</v>
      </c>
      <c r="T1253" s="36" t="s">
        <v>26781</v>
      </c>
      <c r="U1253" s="36" t="s">
        <v>26575</v>
      </c>
      <c r="V1253" s="36" t="s">
        <v>19228</v>
      </c>
      <c r="W1253" s="36" t="s">
        <v>94</v>
      </c>
      <c r="X1253" s="36">
        <v>4180</v>
      </c>
      <c r="Y1253" s="1"/>
      <c r="Z1253" s="34" t="s">
        <v>42966</v>
      </c>
      <c r="AA1253" s="33">
        <v>6410</v>
      </c>
      <c r="AG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row>
    <row r="1254" spans="1:64" ht="12" customHeight="1" x14ac:dyDescent="0.15">
      <c r="A1254" s="34" t="s">
        <v>35067</v>
      </c>
      <c r="B1254" s="34">
        <v>36</v>
      </c>
      <c r="C1254" s="34" t="s">
        <v>14</v>
      </c>
      <c r="D1254" s="34" t="s">
        <v>15</v>
      </c>
      <c r="E1254" s="35" t="s">
        <v>35068</v>
      </c>
      <c r="F1254" s="67">
        <v>43416</v>
      </c>
      <c r="G1254" s="34" t="s">
        <v>35069</v>
      </c>
      <c r="H1254" s="34" t="s">
        <v>2853</v>
      </c>
      <c r="I1254" s="34" t="s">
        <v>367</v>
      </c>
      <c r="J1254" s="34">
        <v>74401</v>
      </c>
      <c r="K1254" s="34" t="s">
        <v>2853</v>
      </c>
      <c r="L1254" s="34" t="s">
        <v>4436</v>
      </c>
      <c r="M1254" s="34" t="s">
        <v>21</v>
      </c>
      <c r="N1254" s="34" t="s">
        <v>35070</v>
      </c>
      <c r="O1254" s="34" t="s">
        <v>372</v>
      </c>
      <c r="P1254" s="34" t="s">
        <v>30089</v>
      </c>
      <c r="Q1254" s="35" t="s">
        <v>35071</v>
      </c>
      <c r="R1254" s="34" t="s">
        <v>94</v>
      </c>
      <c r="S1254" s="34" t="s">
        <v>22</v>
      </c>
      <c r="T1254" s="36" t="s">
        <v>26781</v>
      </c>
      <c r="U1254" s="36" t="s">
        <v>26570</v>
      </c>
      <c r="V1254" s="36" t="s">
        <v>26573</v>
      </c>
      <c r="W1254" s="36" t="s">
        <v>94</v>
      </c>
      <c r="X1254" s="36">
        <v>4179</v>
      </c>
      <c r="Y1254" s="1"/>
      <c r="Z1254" s="34" t="s">
        <v>42968</v>
      </c>
      <c r="AA1254" s="33">
        <v>6409</v>
      </c>
      <c r="AG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row>
    <row r="1255" spans="1:64" ht="12" customHeight="1" x14ac:dyDescent="0.15">
      <c r="A1255" s="34" t="s">
        <v>35077</v>
      </c>
      <c r="B1255" s="34">
        <v>25</v>
      </c>
      <c r="C1255" s="34" t="s">
        <v>14</v>
      </c>
      <c r="D1255" s="34" t="s">
        <v>42</v>
      </c>
      <c r="E1255" s="35" t="s">
        <v>35078</v>
      </c>
      <c r="F1255" s="67">
        <v>43416</v>
      </c>
      <c r="G1255" s="34" t="s">
        <v>35768</v>
      </c>
      <c r="H1255" s="34" t="s">
        <v>1138</v>
      </c>
      <c r="I1255" s="34" t="s">
        <v>298</v>
      </c>
      <c r="J1255" s="34">
        <v>37407</v>
      </c>
      <c r="K1255" s="34" t="s">
        <v>505</v>
      </c>
      <c r="L1255" s="34" t="s">
        <v>1139</v>
      </c>
      <c r="M1255" s="34" t="s">
        <v>21</v>
      </c>
      <c r="N1255" s="34" t="s">
        <v>35079</v>
      </c>
      <c r="O1255" s="34" t="s">
        <v>372</v>
      </c>
      <c r="P1255" s="34" t="s">
        <v>30089</v>
      </c>
      <c r="Q1255" s="35" t="s">
        <v>35080</v>
      </c>
      <c r="R1255" s="34" t="s">
        <v>94</v>
      </c>
      <c r="S1255" s="34" t="s">
        <v>22</v>
      </c>
      <c r="T1255" s="36" t="s">
        <v>26781</v>
      </c>
      <c r="U1255" s="36" t="s">
        <v>26572</v>
      </c>
      <c r="V1255" s="36" t="s">
        <v>26573</v>
      </c>
      <c r="W1255" s="36" t="s">
        <v>94</v>
      </c>
      <c r="X1255" s="36">
        <v>4224</v>
      </c>
      <c r="Y1255" s="1"/>
      <c r="Z1255" s="34" t="s">
        <v>42966</v>
      </c>
      <c r="AA1255" s="33">
        <v>6411</v>
      </c>
      <c r="AG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row>
    <row r="1256" spans="1:64" ht="12" customHeight="1" x14ac:dyDescent="0.15">
      <c r="A1256" s="34" t="s">
        <v>35083</v>
      </c>
      <c r="B1256" s="34">
        <v>30</v>
      </c>
      <c r="C1256" s="34" t="s">
        <v>14</v>
      </c>
      <c r="D1256" s="34" t="s">
        <v>42</v>
      </c>
      <c r="E1256" s="35" t="s">
        <v>35084</v>
      </c>
      <c r="F1256" s="67">
        <v>43416</v>
      </c>
      <c r="G1256" s="34" t="s">
        <v>35770</v>
      </c>
      <c r="H1256" s="34" t="s">
        <v>1968</v>
      </c>
      <c r="I1256" s="34" t="s">
        <v>39</v>
      </c>
      <c r="J1256" s="34">
        <v>91901</v>
      </c>
      <c r="K1256" s="34" t="s">
        <v>143</v>
      </c>
      <c r="L1256" s="34" t="s">
        <v>1970</v>
      </c>
      <c r="M1256" s="34" t="s">
        <v>21</v>
      </c>
      <c r="N1256" s="34" t="s">
        <v>35085</v>
      </c>
      <c r="O1256" s="34" t="s">
        <v>372</v>
      </c>
      <c r="P1256" s="34" t="s">
        <v>30089</v>
      </c>
      <c r="Q1256" s="35" t="s">
        <v>35086</v>
      </c>
      <c r="R1256" s="34" t="s">
        <v>94</v>
      </c>
      <c r="S1256" s="34" t="s">
        <v>22</v>
      </c>
      <c r="T1256" s="36" t="s">
        <v>26774</v>
      </c>
      <c r="U1256" s="36" t="s">
        <v>26570</v>
      </c>
      <c r="V1256" s="36" t="s">
        <v>26573</v>
      </c>
      <c r="W1256" s="36" t="s">
        <v>94</v>
      </c>
      <c r="X1256" s="36">
        <v>4181</v>
      </c>
      <c r="Y1256" s="1"/>
      <c r="Z1256" s="34" t="s">
        <v>42967</v>
      </c>
      <c r="AA1256" s="33">
        <v>6413</v>
      </c>
      <c r="AG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row>
    <row r="1257" spans="1:64" ht="12" customHeight="1" x14ac:dyDescent="0.15">
      <c r="A1257" s="34" t="s">
        <v>35087</v>
      </c>
      <c r="B1257" s="34">
        <v>39</v>
      </c>
      <c r="C1257" s="34" t="s">
        <v>14</v>
      </c>
      <c r="D1257" s="34" t="s">
        <v>31</v>
      </c>
      <c r="E1257" s="35" t="s">
        <v>35088</v>
      </c>
      <c r="F1257" s="67">
        <v>43416</v>
      </c>
      <c r="G1257" s="34" t="s">
        <v>35089</v>
      </c>
      <c r="H1257" s="34" t="s">
        <v>35090</v>
      </c>
      <c r="I1257" s="34" t="s">
        <v>75</v>
      </c>
      <c r="J1257" s="34">
        <v>8738</v>
      </c>
      <c r="K1257" s="34" t="s">
        <v>595</v>
      </c>
      <c r="L1257" s="34" t="s">
        <v>35091</v>
      </c>
      <c r="M1257" s="34" t="s">
        <v>21</v>
      </c>
      <c r="N1257" s="34" t="s">
        <v>35092</v>
      </c>
      <c r="O1257" s="34" t="s">
        <v>372</v>
      </c>
      <c r="P1257" s="34" t="s">
        <v>30089</v>
      </c>
      <c r="Q1257" s="35" t="s">
        <v>35093</v>
      </c>
      <c r="R1257" s="34" t="s">
        <v>94</v>
      </c>
      <c r="S1257" s="34" t="s">
        <v>22</v>
      </c>
      <c r="T1257" s="36" t="s">
        <v>26774</v>
      </c>
      <c r="U1257" s="36" t="s">
        <v>26572</v>
      </c>
      <c r="V1257" s="36" t="s">
        <v>26573</v>
      </c>
      <c r="W1257" s="36" t="s">
        <v>94</v>
      </c>
      <c r="X1257" s="36">
        <v>4177</v>
      </c>
      <c r="Y1257" s="1"/>
      <c r="Z1257" s="34" t="s">
        <v>42968</v>
      </c>
      <c r="AA1257" s="33">
        <v>6412</v>
      </c>
      <c r="AG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row>
    <row r="1258" spans="1:64" ht="12" customHeight="1" x14ac:dyDescent="0.15">
      <c r="A1258" s="34" t="s">
        <v>35081</v>
      </c>
      <c r="B1258" s="34">
        <v>63</v>
      </c>
      <c r="C1258" s="34" t="s">
        <v>14</v>
      </c>
      <c r="D1258" s="34" t="s">
        <v>31</v>
      </c>
      <c r="E1258" s="34"/>
      <c r="F1258" s="67">
        <v>43416</v>
      </c>
      <c r="G1258" s="34" t="s">
        <v>35769</v>
      </c>
      <c r="H1258" s="34" t="s">
        <v>183</v>
      </c>
      <c r="I1258" s="34" t="s">
        <v>39</v>
      </c>
      <c r="J1258" s="34">
        <v>93720</v>
      </c>
      <c r="K1258" s="34" t="s">
        <v>183</v>
      </c>
      <c r="L1258" s="34" t="s">
        <v>184</v>
      </c>
      <c r="M1258" s="34" t="s">
        <v>4966</v>
      </c>
      <c r="N1258" s="34" t="s">
        <v>36416</v>
      </c>
      <c r="O1258" s="34" t="s">
        <v>372</v>
      </c>
      <c r="P1258" s="34" t="s">
        <v>30089</v>
      </c>
      <c r="Q1258" s="35" t="s">
        <v>35082</v>
      </c>
      <c r="R1258" s="34" t="s">
        <v>512</v>
      </c>
      <c r="S1258" s="34" t="s">
        <v>22</v>
      </c>
      <c r="T1258" s="36" t="s">
        <v>26774</v>
      </c>
      <c r="U1258" s="36" t="s">
        <v>26572</v>
      </c>
      <c r="V1258" s="36" t="s">
        <v>26573</v>
      </c>
      <c r="W1258" s="36" t="s">
        <v>512</v>
      </c>
      <c r="X1258" s="36">
        <v>4178</v>
      </c>
      <c r="Y1258" s="1"/>
      <c r="Z1258" s="34" t="s">
        <v>42968</v>
      </c>
      <c r="AA1258" s="33">
        <v>6414</v>
      </c>
      <c r="AG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row>
    <row r="1259" spans="1:64" ht="12" customHeight="1" x14ac:dyDescent="0.15">
      <c r="A1259" s="34" t="s">
        <v>35100</v>
      </c>
      <c r="B1259" s="34">
        <v>52</v>
      </c>
      <c r="C1259" s="34" t="s">
        <v>14</v>
      </c>
      <c r="D1259" s="34" t="s">
        <v>31</v>
      </c>
      <c r="E1259" s="34"/>
      <c r="F1259" s="67">
        <v>43415</v>
      </c>
      <c r="G1259" s="34" t="s">
        <v>35101</v>
      </c>
      <c r="H1259" s="34" t="s">
        <v>21884</v>
      </c>
      <c r="I1259" s="34" t="s">
        <v>367</v>
      </c>
      <c r="J1259" s="34">
        <v>74467</v>
      </c>
      <c r="K1259" s="34" t="s">
        <v>21884</v>
      </c>
      <c r="L1259" s="34" t="s">
        <v>21885</v>
      </c>
      <c r="M1259" s="34" t="s">
        <v>21</v>
      </c>
      <c r="N1259" s="34" t="s">
        <v>35102</v>
      </c>
      <c r="O1259" s="34" t="s">
        <v>372</v>
      </c>
      <c r="P1259" s="34" t="s">
        <v>30089</v>
      </c>
      <c r="Q1259" s="35" t="s">
        <v>35103</v>
      </c>
      <c r="R1259" s="34" t="s">
        <v>23</v>
      </c>
      <c r="S1259" s="34" t="s">
        <v>12</v>
      </c>
      <c r="T1259" s="36" t="s">
        <v>29705</v>
      </c>
      <c r="U1259" s="36" t="s">
        <v>26570</v>
      </c>
      <c r="V1259" s="36" t="s">
        <v>26573</v>
      </c>
      <c r="W1259" s="36" t="s">
        <v>94</v>
      </c>
      <c r="X1259" s="36">
        <v>4169</v>
      </c>
      <c r="Y1259" s="1"/>
      <c r="Z1259" s="34" t="s">
        <v>42967</v>
      </c>
      <c r="AA1259" s="33">
        <v>6408</v>
      </c>
      <c r="AG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row>
    <row r="1260" spans="1:64" ht="12" customHeight="1" x14ac:dyDescent="0.15">
      <c r="A1260" s="34" t="s">
        <v>35096</v>
      </c>
      <c r="B1260" s="34">
        <v>26</v>
      </c>
      <c r="C1260" s="34" t="s">
        <v>14</v>
      </c>
      <c r="D1260" s="34" t="s">
        <v>79</v>
      </c>
      <c r="E1260" s="34"/>
      <c r="F1260" s="67">
        <v>43415</v>
      </c>
      <c r="G1260" s="34" t="s">
        <v>35097</v>
      </c>
      <c r="H1260" s="34" t="s">
        <v>35098</v>
      </c>
      <c r="I1260" s="34" t="s">
        <v>38</v>
      </c>
      <c r="J1260" s="34">
        <v>60472</v>
      </c>
      <c r="K1260" s="34" t="s">
        <v>82</v>
      </c>
      <c r="L1260" s="34" t="s">
        <v>26272</v>
      </c>
      <c r="M1260" s="34" t="s">
        <v>21</v>
      </c>
      <c r="N1260" s="34" t="s">
        <v>36417</v>
      </c>
      <c r="O1260" s="34" t="s">
        <v>372</v>
      </c>
      <c r="P1260" s="34" t="s">
        <v>30089</v>
      </c>
      <c r="Q1260" s="35" t="s">
        <v>35099</v>
      </c>
      <c r="R1260" s="34" t="s">
        <v>94</v>
      </c>
      <c r="S1260" s="34" t="s">
        <v>22</v>
      </c>
      <c r="T1260" s="36" t="s">
        <v>26781</v>
      </c>
      <c r="U1260" s="36" t="s">
        <v>26570</v>
      </c>
      <c r="V1260" s="36" t="s">
        <v>26573</v>
      </c>
      <c r="W1260" s="36" t="s">
        <v>94</v>
      </c>
      <c r="X1260" s="36">
        <v>4172</v>
      </c>
      <c r="Y1260" s="1"/>
      <c r="Z1260" s="34" t="s">
        <v>42968</v>
      </c>
      <c r="AA1260" s="33">
        <v>6406</v>
      </c>
      <c r="AG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row>
    <row r="1261" spans="1:64" ht="12" customHeight="1" x14ac:dyDescent="0.15">
      <c r="A1261" s="34" t="s">
        <v>3002</v>
      </c>
      <c r="B1261" s="34"/>
      <c r="C1261" s="34" t="s">
        <v>14</v>
      </c>
      <c r="D1261" s="34" t="s">
        <v>42</v>
      </c>
      <c r="E1261" s="34"/>
      <c r="F1261" s="67">
        <v>43415</v>
      </c>
      <c r="G1261" s="34" t="s">
        <v>35771</v>
      </c>
      <c r="H1261" s="34" t="s">
        <v>727</v>
      </c>
      <c r="I1261" s="34" t="s">
        <v>39</v>
      </c>
      <c r="J1261" s="34">
        <v>92544</v>
      </c>
      <c r="K1261" s="34" t="s">
        <v>728</v>
      </c>
      <c r="L1261" s="34" t="s">
        <v>18596</v>
      </c>
      <c r="M1261" s="34" t="s">
        <v>21</v>
      </c>
      <c r="N1261" s="34" t="s">
        <v>35094</v>
      </c>
      <c r="O1261" s="34" t="s">
        <v>372</v>
      </c>
      <c r="P1261" s="34" t="s">
        <v>30089</v>
      </c>
      <c r="Q1261" s="35" t="s">
        <v>35095</v>
      </c>
      <c r="R1261" s="34" t="s">
        <v>94</v>
      </c>
      <c r="S1261" s="34" t="s">
        <v>22</v>
      </c>
      <c r="T1261" s="36" t="s">
        <v>26781</v>
      </c>
      <c r="U1261" s="36" t="s">
        <v>26572</v>
      </c>
      <c r="V1261" s="36" t="s">
        <v>26574</v>
      </c>
      <c r="W1261" s="36" t="s">
        <v>94</v>
      </c>
      <c r="X1261" s="36">
        <v>4232</v>
      </c>
      <c r="Y1261" s="1"/>
      <c r="Z1261" s="34" t="s">
        <v>42968</v>
      </c>
      <c r="AA1261" s="33">
        <v>6407</v>
      </c>
      <c r="AG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row>
    <row r="1262" spans="1:64" ht="12" customHeight="1" x14ac:dyDescent="0.15">
      <c r="A1262" s="34" t="s">
        <v>35104</v>
      </c>
      <c r="B1262" s="34">
        <v>39</v>
      </c>
      <c r="C1262" s="34" t="s">
        <v>14</v>
      </c>
      <c r="D1262" s="34" t="s">
        <v>79</v>
      </c>
      <c r="E1262" s="35" t="s">
        <v>35105</v>
      </c>
      <c r="F1262" s="67">
        <v>43414</v>
      </c>
      <c r="G1262" s="34" t="s">
        <v>35772</v>
      </c>
      <c r="H1262" s="34" t="s">
        <v>28744</v>
      </c>
      <c r="I1262" s="34" t="s">
        <v>621</v>
      </c>
      <c r="J1262" s="34">
        <v>38614</v>
      </c>
      <c r="K1262" s="34" t="s">
        <v>28745</v>
      </c>
      <c r="L1262" s="34" t="s">
        <v>28746</v>
      </c>
      <c r="M1262" s="34" t="s">
        <v>21</v>
      </c>
      <c r="N1262" s="34" t="s">
        <v>35106</v>
      </c>
      <c r="O1262" s="34" t="s">
        <v>372</v>
      </c>
      <c r="P1262" s="34" t="s">
        <v>30089</v>
      </c>
      <c r="Q1262" s="35" t="s">
        <v>35107</v>
      </c>
      <c r="R1262" s="34" t="s">
        <v>94</v>
      </c>
      <c r="S1262" s="34" t="s">
        <v>22</v>
      </c>
      <c r="T1262" s="36" t="s">
        <v>26781</v>
      </c>
      <c r="U1262" s="36" t="s">
        <v>26572</v>
      </c>
      <c r="V1262" s="36" t="s">
        <v>26573</v>
      </c>
      <c r="W1262" s="36" t="s">
        <v>94</v>
      </c>
      <c r="X1262" s="36">
        <v>4167</v>
      </c>
      <c r="Y1262" s="1"/>
      <c r="Z1262" s="34" t="s">
        <v>42968</v>
      </c>
      <c r="AA1262" s="33">
        <v>6405</v>
      </c>
      <c r="AG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row>
    <row r="1263" spans="1:64" ht="12" customHeight="1" x14ac:dyDescent="0.15">
      <c r="A1263" s="34" t="s">
        <v>35114</v>
      </c>
      <c r="B1263" s="34">
        <v>33</v>
      </c>
      <c r="C1263" s="34" t="s">
        <v>14</v>
      </c>
      <c r="D1263" s="34" t="s">
        <v>31</v>
      </c>
      <c r="E1263" s="34"/>
      <c r="F1263" s="67">
        <v>43413</v>
      </c>
      <c r="G1263" s="34" t="s">
        <v>35115</v>
      </c>
      <c r="H1263" s="34" t="s">
        <v>1355</v>
      </c>
      <c r="I1263" s="34" t="s">
        <v>221</v>
      </c>
      <c r="J1263" s="34">
        <v>84401</v>
      </c>
      <c r="K1263" s="34" t="s">
        <v>1356</v>
      </c>
      <c r="L1263" s="34" t="s">
        <v>6688</v>
      </c>
      <c r="M1263" s="34" t="s">
        <v>21</v>
      </c>
      <c r="N1263" s="34" t="s">
        <v>35116</v>
      </c>
      <c r="O1263" s="34" t="s">
        <v>372</v>
      </c>
      <c r="P1263" s="34" t="s">
        <v>30089</v>
      </c>
      <c r="Q1263" s="35" t="s">
        <v>35117</v>
      </c>
      <c r="R1263" s="34" t="s">
        <v>94</v>
      </c>
      <c r="S1263" s="34" t="s">
        <v>29</v>
      </c>
      <c r="T1263" s="36" t="s">
        <v>26590</v>
      </c>
      <c r="U1263" s="36" t="s">
        <v>26572</v>
      </c>
      <c r="V1263" s="36" t="s">
        <v>26571</v>
      </c>
      <c r="W1263" s="36" t="s">
        <v>94</v>
      </c>
      <c r="X1263" s="36">
        <v>4170</v>
      </c>
      <c r="Y1263" s="1"/>
      <c r="Z1263" s="34" t="s">
        <v>42968</v>
      </c>
      <c r="AA1263" s="33">
        <v>6402</v>
      </c>
      <c r="AG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row>
    <row r="1264" spans="1:64" ht="12" customHeight="1" x14ac:dyDescent="0.15">
      <c r="A1264" s="34" t="s">
        <v>35118</v>
      </c>
      <c r="B1264" s="34">
        <v>30</v>
      </c>
      <c r="C1264" s="34" t="s">
        <v>14</v>
      </c>
      <c r="D1264" s="34" t="s">
        <v>31</v>
      </c>
      <c r="E1264" s="35" t="s">
        <v>35119</v>
      </c>
      <c r="F1264" s="67">
        <v>43413</v>
      </c>
      <c r="G1264" s="34" t="s">
        <v>35120</v>
      </c>
      <c r="H1264" s="34" t="s">
        <v>220</v>
      </c>
      <c r="I1264" s="34" t="s">
        <v>221</v>
      </c>
      <c r="J1264" s="34">
        <v>84116</v>
      </c>
      <c r="K1264" s="34" t="s">
        <v>564</v>
      </c>
      <c r="L1264" s="34" t="s">
        <v>222</v>
      </c>
      <c r="M1264" s="34" t="s">
        <v>21</v>
      </c>
      <c r="N1264" s="34" t="s">
        <v>35121</v>
      </c>
      <c r="O1264" s="34" t="s">
        <v>372</v>
      </c>
      <c r="P1264" s="34" t="s">
        <v>30089</v>
      </c>
      <c r="Q1264" s="35" t="s">
        <v>35117</v>
      </c>
      <c r="R1264" s="34" t="s">
        <v>94</v>
      </c>
      <c r="S1264" s="34" t="s">
        <v>29</v>
      </c>
      <c r="T1264" s="36" t="s">
        <v>26575</v>
      </c>
      <c r="U1264" s="36" t="s">
        <v>26575</v>
      </c>
      <c r="V1264" s="36" t="s">
        <v>26573</v>
      </c>
      <c r="W1264" s="36" t="s">
        <v>512</v>
      </c>
      <c r="X1264" s="36">
        <v>4171</v>
      </c>
      <c r="Y1264" s="1"/>
      <c r="Z1264" s="34" t="s">
        <v>42968</v>
      </c>
      <c r="AA1264" s="33">
        <v>6403</v>
      </c>
      <c r="AG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row>
    <row r="1265" spans="1:64" ht="12" customHeight="1" x14ac:dyDescent="0.15">
      <c r="A1265" s="34" t="s">
        <v>35108</v>
      </c>
      <c r="B1265" s="34">
        <v>61</v>
      </c>
      <c r="C1265" s="34" t="s">
        <v>14</v>
      </c>
      <c r="D1265" s="34" t="s">
        <v>31</v>
      </c>
      <c r="E1265" s="35" t="s">
        <v>35109</v>
      </c>
      <c r="F1265" s="67">
        <v>43413</v>
      </c>
      <c r="G1265" s="34" t="s">
        <v>35773</v>
      </c>
      <c r="H1265" s="34" t="s">
        <v>35110</v>
      </c>
      <c r="I1265" s="34" t="s">
        <v>122</v>
      </c>
      <c r="J1265" s="34">
        <v>55379</v>
      </c>
      <c r="K1265" s="34" t="s">
        <v>6440</v>
      </c>
      <c r="L1265" s="34" t="s">
        <v>35111</v>
      </c>
      <c r="M1265" s="34" t="s">
        <v>21</v>
      </c>
      <c r="N1265" s="34" t="s">
        <v>35112</v>
      </c>
      <c r="O1265" s="34" t="s">
        <v>372</v>
      </c>
      <c r="P1265" s="34" t="s">
        <v>30089</v>
      </c>
      <c r="Q1265" s="35" t="s">
        <v>35113</v>
      </c>
      <c r="R1265" s="34" t="s">
        <v>94</v>
      </c>
      <c r="S1265" s="34" t="s">
        <v>22</v>
      </c>
      <c r="T1265" s="36" t="s">
        <v>26781</v>
      </c>
      <c r="U1265" s="36" t="s">
        <v>26572</v>
      </c>
      <c r="V1265" s="36" t="s">
        <v>26573</v>
      </c>
      <c r="W1265" s="36" t="s">
        <v>94</v>
      </c>
      <c r="X1265" s="36">
        <v>4173</v>
      </c>
      <c r="Y1265" s="1"/>
      <c r="Z1265" s="34" t="s">
        <v>42968</v>
      </c>
      <c r="AA1265" s="33">
        <v>6401</v>
      </c>
      <c r="AG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row>
    <row r="1266" spans="1:64" ht="12" customHeight="1" x14ac:dyDescent="0.15">
      <c r="A1266" s="34" t="s">
        <v>35122</v>
      </c>
      <c r="B1266" s="34">
        <v>36</v>
      </c>
      <c r="C1266" s="34" t="s">
        <v>14</v>
      </c>
      <c r="D1266" s="34" t="s">
        <v>79</v>
      </c>
      <c r="E1266" s="35" t="s">
        <v>35123</v>
      </c>
      <c r="F1266" s="67">
        <v>43413</v>
      </c>
      <c r="G1266" s="34" t="s">
        <v>35774</v>
      </c>
      <c r="H1266" s="34" t="s">
        <v>3289</v>
      </c>
      <c r="I1266" s="34" t="s">
        <v>122</v>
      </c>
      <c r="J1266" s="34">
        <v>55412</v>
      </c>
      <c r="K1266" s="34" t="s">
        <v>1009</v>
      </c>
      <c r="L1266" s="34" t="s">
        <v>15162</v>
      </c>
      <c r="M1266" s="34" t="s">
        <v>21</v>
      </c>
      <c r="N1266" s="34" t="s">
        <v>35124</v>
      </c>
      <c r="O1266" s="34" t="s">
        <v>372</v>
      </c>
      <c r="P1266" s="34" t="s">
        <v>30089</v>
      </c>
      <c r="Q1266" s="35" t="s">
        <v>35125</v>
      </c>
      <c r="R1266" s="34" t="s">
        <v>512</v>
      </c>
      <c r="S1266" s="34" t="s">
        <v>29</v>
      </c>
      <c r="T1266" s="36" t="s">
        <v>26576</v>
      </c>
      <c r="U1266" s="36" t="s">
        <v>26575</v>
      </c>
      <c r="V1266" s="36" t="s">
        <v>26573</v>
      </c>
      <c r="W1266" s="36" t="s">
        <v>512</v>
      </c>
      <c r="X1266" s="36">
        <v>4168</v>
      </c>
      <c r="Y1266" s="1"/>
      <c r="Z1266" s="34" t="s">
        <v>42966</v>
      </c>
      <c r="AA1266" s="33">
        <v>6404</v>
      </c>
      <c r="AG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row>
    <row r="1267" spans="1:64" ht="12" customHeight="1" x14ac:dyDescent="0.15">
      <c r="A1267" s="34" t="s">
        <v>35126</v>
      </c>
      <c r="B1267" s="34">
        <v>34</v>
      </c>
      <c r="C1267" s="34" t="s">
        <v>14</v>
      </c>
      <c r="D1267" s="34" t="s">
        <v>42</v>
      </c>
      <c r="E1267" s="35" t="s">
        <v>35127</v>
      </c>
      <c r="F1267" s="67">
        <v>43412</v>
      </c>
      <c r="G1267" s="34" t="s">
        <v>35128</v>
      </c>
      <c r="H1267" s="34" t="s">
        <v>35129</v>
      </c>
      <c r="I1267" s="34" t="s">
        <v>39</v>
      </c>
      <c r="J1267" s="34">
        <v>89061</v>
      </c>
      <c r="K1267" s="34" t="s">
        <v>35130</v>
      </c>
      <c r="L1267" s="34" t="s">
        <v>36418</v>
      </c>
      <c r="M1267" s="34" t="s">
        <v>21</v>
      </c>
      <c r="N1267" s="34" t="s">
        <v>35131</v>
      </c>
      <c r="O1267" s="34" t="s">
        <v>372</v>
      </c>
      <c r="P1267" s="34" t="s">
        <v>30089</v>
      </c>
      <c r="Q1267" s="35" t="s">
        <v>35132</v>
      </c>
      <c r="R1267" s="34" t="s">
        <v>94</v>
      </c>
      <c r="S1267" s="34" t="s">
        <v>22</v>
      </c>
      <c r="T1267" s="36" t="s">
        <v>26781</v>
      </c>
      <c r="U1267" s="36" t="s">
        <v>26572</v>
      </c>
      <c r="V1267" s="36" t="s">
        <v>26574</v>
      </c>
      <c r="W1267" s="36" t="s">
        <v>94</v>
      </c>
      <c r="X1267" s="36">
        <v>4231</v>
      </c>
      <c r="Y1267" s="1"/>
      <c r="Z1267" s="34" t="s">
        <v>42968</v>
      </c>
      <c r="AA1267" s="33">
        <v>6400</v>
      </c>
      <c r="AG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row>
    <row r="1268" spans="1:64" ht="12" customHeight="1" x14ac:dyDescent="0.15">
      <c r="A1268" s="34" t="s">
        <v>3002</v>
      </c>
      <c r="B1268" s="34"/>
      <c r="C1268" s="34" t="s">
        <v>14</v>
      </c>
      <c r="D1268" s="34" t="s">
        <v>24</v>
      </c>
      <c r="E1268" s="34"/>
      <c r="F1268" s="67">
        <v>43411</v>
      </c>
      <c r="G1268" s="34" t="s">
        <v>35133</v>
      </c>
      <c r="H1268" s="34" t="s">
        <v>532</v>
      </c>
      <c r="I1268" s="34" t="s">
        <v>67</v>
      </c>
      <c r="J1268" s="34">
        <v>78205</v>
      </c>
      <c r="K1268" s="34" t="s">
        <v>533</v>
      </c>
      <c r="L1268" s="34" t="s">
        <v>32914</v>
      </c>
      <c r="M1268" s="34" t="s">
        <v>4966</v>
      </c>
      <c r="N1268" s="34" t="s">
        <v>35134</v>
      </c>
      <c r="O1268" s="34" t="s">
        <v>372</v>
      </c>
      <c r="P1268" s="34" t="s">
        <v>30089</v>
      </c>
      <c r="Q1268" s="35" t="s">
        <v>35135</v>
      </c>
      <c r="R1268" s="34" t="s">
        <v>94</v>
      </c>
      <c r="S1268" s="34" t="s">
        <v>22</v>
      </c>
      <c r="T1268" s="36" t="s">
        <v>26781</v>
      </c>
      <c r="U1268" s="36" t="s">
        <v>26572</v>
      </c>
      <c r="V1268" s="36" t="s">
        <v>26573</v>
      </c>
      <c r="W1268" s="36" t="s">
        <v>94</v>
      </c>
      <c r="X1268" s="36">
        <v>4166</v>
      </c>
      <c r="Y1268" s="1"/>
      <c r="Z1268" s="34" t="s">
        <v>42966</v>
      </c>
      <c r="AA1268" s="33">
        <v>6399</v>
      </c>
      <c r="AG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row>
    <row r="1269" spans="1:64" ht="12" customHeight="1" x14ac:dyDescent="0.15">
      <c r="A1269" s="34" t="s">
        <v>3002</v>
      </c>
      <c r="B1269" s="34"/>
      <c r="C1269" s="34" t="s">
        <v>14</v>
      </c>
      <c r="D1269" s="34" t="s">
        <v>24</v>
      </c>
      <c r="E1269" s="34"/>
      <c r="F1269" s="67">
        <v>43410</v>
      </c>
      <c r="G1269" s="34" t="s">
        <v>35775</v>
      </c>
      <c r="H1269" s="34" t="s">
        <v>35136</v>
      </c>
      <c r="I1269" s="34" t="s">
        <v>39</v>
      </c>
      <c r="J1269" s="34">
        <v>92879</v>
      </c>
      <c r="K1269" s="34" t="s">
        <v>728</v>
      </c>
      <c r="L1269" s="34" t="s">
        <v>4139</v>
      </c>
      <c r="M1269" s="34" t="s">
        <v>21</v>
      </c>
      <c r="N1269" s="34" t="s">
        <v>35137</v>
      </c>
      <c r="O1269" s="34" t="s">
        <v>372</v>
      </c>
      <c r="P1269" s="34" t="s">
        <v>30089</v>
      </c>
      <c r="Q1269" s="35" t="s">
        <v>35138</v>
      </c>
      <c r="R1269" s="34" t="s">
        <v>94</v>
      </c>
      <c r="S1269" s="34" t="s">
        <v>22</v>
      </c>
      <c r="T1269" s="36" t="s">
        <v>26781</v>
      </c>
      <c r="U1269" s="36" t="s">
        <v>26572</v>
      </c>
      <c r="V1269" s="36" t="s">
        <v>26573</v>
      </c>
      <c r="W1269" s="36" t="s">
        <v>94</v>
      </c>
      <c r="X1269" s="36">
        <v>4165</v>
      </c>
      <c r="Y1269" s="1"/>
      <c r="Z1269" s="34" t="s">
        <v>42968</v>
      </c>
      <c r="AA1269" s="33">
        <v>6397</v>
      </c>
      <c r="AG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row>
    <row r="1270" spans="1:64" ht="12" customHeight="1" x14ac:dyDescent="0.15">
      <c r="A1270" s="34" t="s">
        <v>3002</v>
      </c>
      <c r="B1270" s="34"/>
      <c r="C1270" s="34" t="s">
        <v>14</v>
      </c>
      <c r="D1270" s="34" t="s">
        <v>24</v>
      </c>
      <c r="E1270" s="34"/>
      <c r="F1270" s="67">
        <v>43410</v>
      </c>
      <c r="G1270" s="34" t="s">
        <v>35139</v>
      </c>
      <c r="H1270" s="34" t="s">
        <v>23115</v>
      </c>
      <c r="I1270" s="34" t="s">
        <v>56</v>
      </c>
      <c r="J1270" s="34">
        <v>34744</v>
      </c>
      <c r="K1270" s="34" t="s">
        <v>1175</v>
      </c>
      <c r="L1270" s="34" t="s">
        <v>27436</v>
      </c>
      <c r="M1270" s="34" t="s">
        <v>21</v>
      </c>
      <c r="N1270" s="34" t="s">
        <v>35140</v>
      </c>
      <c r="O1270" s="34" t="s">
        <v>372</v>
      </c>
      <c r="P1270" s="34" t="s">
        <v>30089</v>
      </c>
      <c r="Q1270" s="35" t="s">
        <v>35141</v>
      </c>
      <c r="R1270" s="34" t="s">
        <v>512</v>
      </c>
      <c r="S1270" s="34" t="s">
        <v>22</v>
      </c>
      <c r="T1270" s="36" t="s">
        <v>26781</v>
      </c>
      <c r="U1270" s="36" t="s">
        <v>26572</v>
      </c>
      <c r="V1270" s="36" t="s">
        <v>26573</v>
      </c>
      <c r="W1270" s="36" t="s">
        <v>94</v>
      </c>
      <c r="X1270" s="36">
        <v>4230</v>
      </c>
      <c r="Y1270" s="1"/>
      <c r="Z1270" s="34" t="s">
        <v>42968</v>
      </c>
      <c r="AA1270" s="33">
        <v>6398</v>
      </c>
      <c r="AG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row>
    <row r="1271" spans="1:64" ht="12" customHeight="1" x14ac:dyDescent="0.15">
      <c r="A1271" s="34" t="s">
        <v>35146</v>
      </c>
      <c r="B1271" s="34">
        <v>72</v>
      </c>
      <c r="C1271" s="34" t="s">
        <v>14</v>
      </c>
      <c r="D1271" s="34" t="s">
        <v>31</v>
      </c>
      <c r="E1271" s="35" t="s">
        <v>35147</v>
      </c>
      <c r="F1271" s="67">
        <v>43409</v>
      </c>
      <c r="G1271" s="34" t="s">
        <v>35148</v>
      </c>
      <c r="H1271" s="34" t="s">
        <v>35149</v>
      </c>
      <c r="I1271" s="34" t="s">
        <v>56</v>
      </c>
      <c r="J1271" s="34">
        <v>33980</v>
      </c>
      <c r="K1271" s="34" t="s">
        <v>3855</v>
      </c>
      <c r="L1271" s="34" t="s">
        <v>36419</v>
      </c>
      <c r="M1271" s="34" t="s">
        <v>21</v>
      </c>
      <c r="N1271" s="34" t="s">
        <v>36420</v>
      </c>
      <c r="O1271" s="34" t="s">
        <v>372</v>
      </c>
      <c r="P1271" s="34" t="s">
        <v>30089</v>
      </c>
      <c r="Q1271" s="35" t="s">
        <v>35150</v>
      </c>
      <c r="R1271" s="34" t="s">
        <v>512</v>
      </c>
      <c r="S1271" s="34" t="s">
        <v>22</v>
      </c>
      <c r="T1271" s="36" t="s">
        <v>26781</v>
      </c>
      <c r="U1271" s="36" t="s">
        <v>26572</v>
      </c>
      <c r="V1271" s="36" t="s">
        <v>26573</v>
      </c>
      <c r="W1271" s="36" t="s">
        <v>94</v>
      </c>
      <c r="X1271" s="36">
        <v>4155</v>
      </c>
      <c r="Y1271" s="1"/>
      <c r="Z1271" s="34" t="s">
        <v>42968</v>
      </c>
      <c r="AA1271" s="33">
        <v>6396</v>
      </c>
      <c r="AG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row>
    <row r="1272" spans="1:64" ht="12" customHeight="1" x14ac:dyDescent="0.15">
      <c r="A1272" s="34" t="s">
        <v>35142</v>
      </c>
      <c r="B1272" s="34">
        <v>48</v>
      </c>
      <c r="C1272" s="34" t="s">
        <v>14</v>
      </c>
      <c r="D1272" s="34" t="s">
        <v>15</v>
      </c>
      <c r="E1272" s="35" t="s">
        <v>35143</v>
      </c>
      <c r="F1272" s="67">
        <v>43409</v>
      </c>
      <c r="G1272" s="34" t="s">
        <v>35776</v>
      </c>
      <c r="H1272" s="34" t="s">
        <v>2643</v>
      </c>
      <c r="I1272" s="34" t="s">
        <v>26</v>
      </c>
      <c r="J1272" s="34">
        <v>29302</v>
      </c>
      <c r="K1272" s="34" t="s">
        <v>2643</v>
      </c>
      <c r="L1272" s="34" t="s">
        <v>2756</v>
      </c>
      <c r="M1272" s="34" t="s">
        <v>21</v>
      </c>
      <c r="N1272" s="34" t="s">
        <v>35144</v>
      </c>
      <c r="O1272" s="34" t="s">
        <v>372</v>
      </c>
      <c r="P1272" s="34" t="s">
        <v>30089</v>
      </c>
      <c r="Q1272" s="35" t="s">
        <v>35145</v>
      </c>
      <c r="R1272" s="34" t="s">
        <v>512</v>
      </c>
      <c r="S1272" s="34" t="s">
        <v>22</v>
      </c>
      <c r="T1272" s="36" t="s">
        <v>27020</v>
      </c>
      <c r="U1272" s="36" t="s">
        <v>26572</v>
      </c>
      <c r="V1272" s="36" t="s">
        <v>26573</v>
      </c>
      <c r="W1272" s="36" t="s">
        <v>94</v>
      </c>
      <c r="X1272" s="36">
        <v>4163</v>
      </c>
      <c r="Y1272" s="1"/>
      <c r="Z1272" s="34" t="s">
        <v>42968</v>
      </c>
      <c r="AA1272" s="33">
        <v>6393</v>
      </c>
      <c r="AG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row>
    <row r="1273" spans="1:64" ht="12" customHeight="1" x14ac:dyDescent="0.15">
      <c r="A1273" s="34" t="s">
        <v>35151</v>
      </c>
      <c r="B1273" s="34">
        <v>61</v>
      </c>
      <c r="C1273" s="34" t="s">
        <v>14</v>
      </c>
      <c r="D1273" s="34" t="s">
        <v>31</v>
      </c>
      <c r="E1273" s="34"/>
      <c r="F1273" s="67">
        <v>43409</v>
      </c>
      <c r="G1273" s="34" t="s">
        <v>35152</v>
      </c>
      <c r="H1273" s="34" t="s">
        <v>8468</v>
      </c>
      <c r="I1273" s="34" t="s">
        <v>46</v>
      </c>
      <c r="J1273" s="34">
        <v>21061</v>
      </c>
      <c r="K1273" s="34" t="s">
        <v>2937</v>
      </c>
      <c r="L1273" s="34" t="s">
        <v>8469</v>
      </c>
      <c r="M1273" s="34" t="s">
        <v>21</v>
      </c>
      <c r="N1273" s="34" t="s">
        <v>35153</v>
      </c>
      <c r="O1273" s="34" t="s">
        <v>372</v>
      </c>
      <c r="P1273" s="34" t="s">
        <v>30089</v>
      </c>
      <c r="Q1273" s="35" t="s">
        <v>35154</v>
      </c>
      <c r="R1273" s="34" t="s">
        <v>94</v>
      </c>
      <c r="S1273" s="34" t="s">
        <v>22</v>
      </c>
      <c r="T1273" s="36" t="s">
        <v>26781</v>
      </c>
      <c r="U1273" s="36" t="s">
        <v>26572</v>
      </c>
      <c r="V1273" s="36" t="s">
        <v>26573</v>
      </c>
      <c r="W1273" s="36" t="s">
        <v>94</v>
      </c>
      <c r="X1273" s="36">
        <v>4149</v>
      </c>
      <c r="Y1273" s="1"/>
      <c r="Z1273" s="34" t="s">
        <v>42968</v>
      </c>
      <c r="AA1273" s="33">
        <v>6394</v>
      </c>
      <c r="AG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row>
    <row r="1274" spans="1:64" ht="12" customHeight="1" x14ac:dyDescent="0.15">
      <c r="A1274" s="34" t="s">
        <v>35155</v>
      </c>
      <c r="B1274" s="34">
        <v>37</v>
      </c>
      <c r="C1274" s="34" t="s">
        <v>14</v>
      </c>
      <c r="D1274" s="34" t="s">
        <v>31</v>
      </c>
      <c r="E1274" s="35" t="s">
        <v>35156</v>
      </c>
      <c r="F1274" s="67">
        <v>43409</v>
      </c>
      <c r="G1274" s="34" t="s">
        <v>35157</v>
      </c>
      <c r="H1274" s="34" t="s">
        <v>21976</v>
      </c>
      <c r="I1274" s="34" t="s">
        <v>298</v>
      </c>
      <c r="J1274" s="34">
        <v>37821</v>
      </c>
      <c r="K1274" s="34" t="s">
        <v>28231</v>
      </c>
      <c r="L1274" s="34" t="s">
        <v>28232</v>
      </c>
      <c r="M1274" s="34" t="s">
        <v>21</v>
      </c>
      <c r="N1274" s="34" t="s">
        <v>35158</v>
      </c>
      <c r="O1274" s="34" t="s">
        <v>372</v>
      </c>
      <c r="P1274" s="34" t="s">
        <v>30089</v>
      </c>
      <c r="Q1274" s="35" t="s">
        <v>35159</v>
      </c>
      <c r="R1274" s="34" t="s">
        <v>512</v>
      </c>
      <c r="S1274" s="34" t="s">
        <v>22</v>
      </c>
      <c r="T1274" s="36" t="s">
        <v>26781</v>
      </c>
      <c r="U1274" s="36" t="s">
        <v>26572</v>
      </c>
      <c r="V1274" s="36" t="s">
        <v>26573</v>
      </c>
      <c r="W1274" s="36" t="s">
        <v>94</v>
      </c>
      <c r="X1274" s="36">
        <v>4152</v>
      </c>
      <c r="Y1274" s="1"/>
      <c r="Z1274" s="34" t="s">
        <v>42967</v>
      </c>
      <c r="AA1274" s="33">
        <v>6395</v>
      </c>
      <c r="AG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row>
    <row r="1275" spans="1:64" ht="12" customHeight="1" x14ac:dyDescent="0.15">
      <c r="A1275" s="34" t="s">
        <v>35174</v>
      </c>
      <c r="B1275" s="34">
        <v>19</v>
      </c>
      <c r="C1275" s="34" t="s">
        <v>14</v>
      </c>
      <c r="D1275" s="34" t="s">
        <v>31</v>
      </c>
      <c r="E1275" s="35" t="s">
        <v>35175</v>
      </c>
      <c r="F1275" s="67">
        <v>43408</v>
      </c>
      <c r="G1275" s="34" t="s">
        <v>35176</v>
      </c>
      <c r="H1275" s="34" t="s">
        <v>29482</v>
      </c>
      <c r="I1275" s="34" t="s">
        <v>192</v>
      </c>
      <c r="J1275" s="34">
        <v>80401</v>
      </c>
      <c r="K1275" s="34" t="s">
        <v>1659</v>
      </c>
      <c r="L1275" s="34" t="s">
        <v>35177</v>
      </c>
      <c r="M1275" s="34" t="s">
        <v>21</v>
      </c>
      <c r="N1275" s="34" t="s">
        <v>35178</v>
      </c>
      <c r="O1275" s="34" t="s">
        <v>372</v>
      </c>
      <c r="P1275" s="34" t="s">
        <v>30089</v>
      </c>
      <c r="Q1275" s="35" t="s">
        <v>35179</v>
      </c>
      <c r="R1275" s="34" t="s">
        <v>94</v>
      </c>
      <c r="S1275" s="34" t="s">
        <v>351</v>
      </c>
      <c r="T1275" s="36" t="s">
        <v>26867</v>
      </c>
      <c r="U1275" s="36" t="s">
        <v>26572</v>
      </c>
      <c r="V1275" s="36" t="s">
        <v>26571</v>
      </c>
      <c r="W1275" s="36" t="s">
        <v>94</v>
      </c>
      <c r="X1275" s="36">
        <v>4164</v>
      </c>
      <c r="Y1275" s="1"/>
      <c r="Z1275" s="34" t="s">
        <v>42968</v>
      </c>
      <c r="AA1275" s="33">
        <v>6392</v>
      </c>
      <c r="AG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row>
    <row r="1276" spans="1:64" ht="12" customHeight="1" x14ac:dyDescent="0.15">
      <c r="A1276" s="34" t="s">
        <v>35171</v>
      </c>
      <c r="B1276" s="34">
        <v>39</v>
      </c>
      <c r="C1276" s="34" t="s">
        <v>14</v>
      </c>
      <c r="D1276" s="34" t="s">
        <v>42</v>
      </c>
      <c r="E1276" s="34"/>
      <c r="F1276" s="67">
        <v>43408</v>
      </c>
      <c r="G1276" s="34" t="s">
        <v>35777</v>
      </c>
      <c r="H1276" s="34" t="s">
        <v>1158</v>
      </c>
      <c r="I1276" s="34" t="s">
        <v>1020</v>
      </c>
      <c r="J1276" s="34">
        <v>82070</v>
      </c>
      <c r="K1276" s="34" t="s">
        <v>2870</v>
      </c>
      <c r="L1276" s="34" t="s">
        <v>18476</v>
      </c>
      <c r="M1276" s="34" t="s">
        <v>21</v>
      </c>
      <c r="N1276" s="34" t="s">
        <v>35172</v>
      </c>
      <c r="O1276" s="34" t="s">
        <v>372</v>
      </c>
      <c r="P1276" s="34" t="s">
        <v>30089</v>
      </c>
      <c r="Q1276" s="35" t="s">
        <v>35173</v>
      </c>
      <c r="R1276" s="34" t="s">
        <v>94</v>
      </c>
      <c r="S1276" s="34" t="s">
        <v>12</v>
      </c>
      <c r="T1276" s="36" t="s">
        <v>29705</v>
      </c>
      <c r="U1276" s="36" t="s">
        <v>26575</v>
      </c>
      <c r="V1276" s="36" t="s">
        <v>26574</v>
      </c>
      <c r="W1276" s="36" t="s">
        <v>94</v>
      </c>
      <c r="X1276" s="36">
        <v>4229</v>
      </c>
      <c r="Y1276" s="1"/>
      <c r="Z1276" s="34" t="s">
        <v>42968</v>
      </c>
      <c r="AA1276" s="33">
        <v>6391</v>
      </c>
      <c r="AG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row>
    <row r="1277" spans="1:64" ht="12" customHeight="1" x14ac:dyDescent="0.15">
      <c r="A1277" s="34" t="s">
        <v>35167</v>
      </c>
      <c r="B1277" s="34">
        <v>18</v>
      </c>
      <c r="C1277" s="34" t="s">
        <v>14</v>
      </c>
      <c r="D1277" s="34" t="s">
        <v>42</v>
      </c>
      <c r="E1277" s="34"/>
      <c r="F1277" s="67">
        <v>43408</v>
      </c>
      <c r="G1277" s="34" t="s">
        <v>35168</v>
      </c>
      <c r="H1277" s="34" t="s">
        <v>866</v>
      </c>
      <c r="I1277" s="34" t="s">
        <v>178</v>
      </c>
      <c r="J1277" s="34">
        <v>87108</v>
      </c>
      <c r="K1277" s="34" t="s">
        <v>433</v>
      </c>
      <c r="L1277" s="34" t="s">
        <v>4562</v>
      </c>
      <c r="M1277" s="34" t="s">
        <v>21</v>
      </c>
      <c r="N1277" s="34" t="s">
        <v>35169</v>
      </c>
      <c r="O1277" s="34" t="s">
        <v>372</v>
      </c>
      <c r="P1277" s="34" t="s">
        <v>30089</v>
      </c>
      <c r="Q1277" s="35" t="s">
        <v>35170</v>
      </c>
      <c r="R1277" s="34" t="s">
        <v>94</v>
      </c>
      <c r="S1277" s="34" t="s">
        <v>22</v>
      </c>
      <c r="T1277" s="36" t="s">
        <v>26781</v>
      </c>
      <c r="U1277" s="36" t="s">
        <v>26570</v>
      </c>
      <c r="V1277" s="36" t="s">
        <v>26573</v>
      </c>
      <c r="W1277" s="36" t="s">
        <v>94</v>
      </c>
      <c r="X1277" s="36">
        <v>4154</v>
      </c>
      <c r="Y1277" s="1"/>
      <c r="Z1277" s="34" t="s">
        <v>42966</v>
      </c>
      <c r="AA1277" s="33">
        <v>6390</v>
      </c>
      <c r="AG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row>
    <row r="1278" spans="1:64" ht="12" customHeight="1" x14ac:dyDescent="0.15">
      <c r="A1278" s="34" t="s">
        <v>35160</v>
      </c>
      <c r="B1278" s="34">
        <v>29</v>
      </c>
      <c r="C1278" s="34" t="s">
        <v>14</v>
      </c>
      <c r="D1278" s="34" t="s">
        <v>79</v>
      </c>
      <c r="E1278" s="35" t="s">
        <v>35161</v>
      </c>
      <c r="F1278" s="67">
        <v>43408</v>
      </c>
      <c r="G1278" s="34" t="s">
        <v>35162</v>
      </c>
      <c r="H1278" s="34" t="s">
        <v>35163</v>
      </c>
      <c r="I1278" s="34" t="s">
        <v>51</v>
      </c>
      <c r="J1278" s="34">
        <v>48081</v>
      </c>
      <c r="K1278" s="34" t="s">
        <v>1041</v>
      </c>
      <c r="L1278" s="34" t="s">
        <v>35164</v>
      </c>
      <c r="M1278" s="34" t="s">
        <v>21</v>
      </c>
      <c r="N1278" s="34" t="s">
        <v>35165</v>
      </c>
      <c r="O1278" s="34" t="s">
        <v>372</v>
      </c>
      <c r="P1278" s="34" t="s">
        <v>30089</v>
      </c>
      <c r="Q1278" s="35" t="s">
        <v>35166</v>
      </c>
      <c r="R1278" s="34" t="s">
        <v>94</v>
      </c>
      <c r="S1278" s="34" t="s">
        <v>22</v>
      </c>
      <c r="T1278" s="36" t="s">
        <v>26781</v>
      </c>
      <c r="U1278" s="36" t="s">
        <v>26572</v>
      </c>
      <c r="V1278" s="36" t="s">
        <v>26574</v>
      </c>
      <c r="W1278" s="36" t="s">
        <v>94</v>
      </c>
      <c r="X1278" s="36">
        <v>4148</v>
      </c>
      <c r="Y1278" s="1"/>
      <c r="Z1278" s="34" t="s">
        <v>42966</v>
      </c>
      <c r="AA1278" s="33">
        <v>6389</v>
      </c>
      <c r="AG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row>
    <row r="1279" spans="1:64" ht="12" customHeight="1" x14ac:dyDescent="0.15">
      <c r="A1279" s="34" t="s">
        <v>35190</v>
      </c>
      <c r="B1279" s="34">
        <v>25</v>
      </c>
      <c r="C1279" s="34" t="s">
        <v>14</v>
      </c>
      <c r="D1279" s="34" t="s">
        <v>15</v>
      </c>
      <c r="E1279" s="35" t="s">
        <v>35191</v>
      </c>
      <c r="F1279" s="67">
        <v>43407</v>
      </c>
      <c r="G1279" s="34" t="s">
        <v>35192</v>
      </c>
      <c r="H1279" s="34" t="s">
        <v>32885</v>
      </c>
      <c r="I1279" s="34" t="s">
        <v>51</v>
      </c>
      <c r="J1279" s="34">
        <v>48317</v>
      </c>
      <c r="K1279" s="34" t="s">
        <v>1041</v>
      </c>
      <c r="L1279" s="34" t="s">
        <v>32886</v>
      </c>
      <c r="M1279" s="34" t="s">
        <v>21</v>
      </c>
      <c r="N1279" s="34" t="s">
        <v>35193</v>
      </c>
      <c r="O1279" s="34" t="s">
        <v>372</v>
      </c>
      <c r="P1279" s="34" t="s">
        <v>30089</v>
      </c>
      <c r="Q1279" s="35" t="s">
        <v>35194</v>
      </c>
      <c r="R1279" s="34" t="s">
        <v>94</v>
      </c>
      <c r="S1279" s="34" t="s">
        <v>29</v>
      </c>
      <c r="T1279" s="33" t="s">
        <v>41840</v>
      </c>
      <c r="U1279" s="36" t="s">
        <v>26570</v>
      </c>
      <c r="V1279" s="36" t="s">
        <v>26573</v>
      </c>
      <c r="W1279" s="36" t="s">
        <v>94</v>
      </c>
      <c r="X1279" s="36">
        <v>4228</v>
      </c>
      <c r="Y1279" s="1"/>
      <c r="Z1279" s="34" t="s">
        <v>42968</v>
      </c>
      <c r="AA1279" s="33">
        <v>6387</v>
      </c>
      <c r="AG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row>
    <row r="1280" spans="1:64" ht="12" customHeight="1" x14ac:dyDescent="0.15">
      <c r="A1280" s="34" t="s">
        <v>35186</v>
      </c>
      <c r="B1280" s="34">
        <v>33</v>
      </c>
      <c r="C1280" s="34" t="s">
        <v>14</v>
      </c>
      <c r="D1280" s="34" t="s">
        <v>79</v>
      </c>
      <c r="E1280" s="34"/>
      <c r="F1280" s="67">
        <v>43407</v>
      </c>
      <c r="G1280" s="34" t="s">
        <v>35187</v>
      </c>
      <c r="H1280" s="34" t="s">
        <v>10392</v>
      </c>
      <c r="I1280" s="34" t="s">
        <v>39</v>
      </c>
      <c r="J1280" s="34">
        <v>94526</v>
      </c>
      <c r="K1280" s="34" t="s">
        <v>4146</v>
      </c>
      <c r="L1280" s="34" t="s">
        <v>4147</v>
      </c>
      <c r="M1280" s="34" t="s">
        <v>21</v>
      </c>
      <c r="N1280" s="34" t="s">
        <v>35188</v>
      </c>
      <c r="O1280" s="34" t="s">
        <v>372</v>
      </c>
      <c r="P1280" s="34" t="s">
        <v>30089</v>
      </c>
      <c r="Q1280" s="35" t="s">
        <v>35189</v>
      </c>
      <c r="R1280" s="34" t="s">
        <v>512</v>
      </c>
      <c r="S1280" s="34" t="s">
        <v>351</v>
      </c>
      <c r="T1280" s="36" t="s">
        <v>26867</v>
      </c>
      <c r="U1280" s="36" t="s">
        <v>26570</v>
      </c>
      <c r="V1280" s="36" t="s">
        <v>26573</v>
      </c>
      <c r="W1280" s="36" t="s">
        <v>94</v>
      </c>
      <c r="X1280" s="36">
        <v>4150</v>
      </c>
      <c r="Y1280" s="1"/>
      <c r="Z1280" s="34" t="s">
        <v>42968</v>
      </c>
      <c r="AA1280" s="33">
        <v>6388</v>
      </c>
      <c r="AG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row>
    <row r="1281" spans="1:64" ht="12" customHeight="1" x14ac:dyDescent="0.15">
      <c r="A1281" s="34" t="s">
        <v>35180</v>
      </c>
      <c r="B1281" s="34">
        <v>65</v>
      </c>
      <c r="C1281" s="34" t="s">
        <v>14</v>
      </c>
      <c r="D1281" s="34" t="s">
        <v>24</v>
      </c>
      <c r="E1281" s="34"/>
      <c r="F1281" s="67">
        <v>43407</v>
      </c>
      <c r="G1281" s="34" t="s">
        <v>35181</v>
      </c>
      <c r="H1281" s="34" t="s">
        <v>35182</v>
      </c>
      <c r="I1281" s="34" t="s">
        <v>106</v>
      </c>
      <c r="J1281" s="34">
        <v>97411</v>
      </c>
      <c r="K1281" s="34" t="s">
        <v>33442</v>
      </c>
      <c r="L1281" s="34" t="s">
        <v>35183</v>
      </c>
      <c r="M1281" s="34" t="s">
        <v>21</v>
      </c>
      <c r="N1281" s="34" t="s">
        <v>35184</v>
      </c>
      <c r="O1281" s="34" t="s">
        <v>372</v>
      </c>
      <c r="P1281" s="34" t="s">
        <v>30089</v>
      </c>
      <c r="Q1281" s="35" t="s">
        <v>35185</v>
      </c>
      <c r="R1281" s="34" t="s">
        <v>512</v>
      </c>
      <c r="S1281" s="34" t="s">
        <v>22</v>
      </c>
      <c r="T1281" s="36" t="s">
        <v>26781</v>
      </c>
      <c r="U1281" s="36" t="s">
        <v>26572</v>
      </c>
      <c r="V1281" s="36" t="s">
        <v>26573</v>
      </c>
      <c r="W1281" s="36" t="s">
        <v>94</v>
      </c>
      <c r="X1281" s="36">
        <v>4147</v>
      </c>
      <c r="Y1281" s="1"/>
      <c r="Z1281" s="34" t="s">
        <v>42967</v>
      </c>
      <c r="AA1281" s="33">
        <v>6386</v>
      </c>
      <c r="AG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row>
    <row r="1282" spans="1:64" ht="12" customHeight="1" x14ac:dyDescent="0.15">
      <c r="A1282" s="34" t="s">
        <v>35198</v>
      </c>
      <c r="B1282" s="34">
        <v>35</v>
      </c>
      <c r="C1282" s="34" t="s">
        <v>14</v>
      </c>
      <c r="D1282" s="34" t="s">
        <v>79</v>
      </c>
      <c r="E1282" s="35" t="s">
        <v>35199</v>
      </c>
      <c r="F1282" s="67">
        <v>43406</v>
      </c>
      <c r="G1282" s="34" t="s">
        <v>35200</v>
      </c>
      <c r="H1282" s="34" t="s">
        <v>20981</v>
      </c>
      <c r="I1282" s="34" t="s">
        <v>735</v>
      </c>
      <c r="J1282" s="34">
        <v>83401</v>
      </c>
      <c r="K1282" s="34" t="s">
        <v>31789</v>
      </c>
      <c r="L1282" s="34" t="s">
        <v>14515</v>
      </c>
      <c r="M1282" s="34" t="s">
        <v>21</v>
      </c>
      <c r="N1282" s="34" t="s">
        <v>36422</v>
      </c>
      <c r="O1282" s="34" t="s">
        <v>372</v>
      </c>
      <c r="P1282" s="34" t="s">
        <v>30089</v>
      </c>
      <c r="Q1282" s="35" t="s">
        <v>35201</v>
      </c>
      <c r="R1282" s="34" t="s">
        <v>94</v>
      </c>
      <c r="S1282" s="34" t="s">
        <v>12</v>
      </c>
      <c r="T1282" s="36" t="s">
        <v>29705</v>
      </c>
      <c r="U1282" s="36" t="s">
        <v>26572</v>
      </c>
      <c r="V1282" s="36" t="s">
        <v>26574</v>
      </c>
      <c r="W1282" s="36" t="s">
        <v>94</v>
      </c>
      <c r="X1282" s="36">
        <v>4158</v>
      </c>
      <c r="Y1282" s="1"/>
      <c r="Z1282" s="34" t="s">
        <v>42968</v>
      </c>
      <c r="AA1282" s="33">
        <v>6385</v>
      </c>
      <c r="AG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row>
    <row r="1283" spans="1:64" ht="12" customHeight="1" x14ac:dyDescent="0.15">
      <c r="A1283" s="34" t="s">
        <v>35195</v>
      </c>
      <c r="B1283" s="34">
        <v>25</v>
      </c>
      <c r="C1283" s="34" t="s">
        <v>14</v>
      </c>
      <c r="D1283" s="34" t="s">
        <v>31</v>
      </c>
      <c r="E1283" s="35" t="s">
        <v>35196</v>
      </c>
      <c r="F1283" s="67">
        <v>43406</v>
      </c>
      <c r="G1283" s="34" t="s">
        <v>35778</v>
      </c>
      <c r="H1283" s="34" t="s">
        <v>2064</v>
      </c>
      <c r="I1283" s="34" t="s">
        <v>139</v>
      </c>
      <c r="J1283" s="34">
        <v>25387</v>
      </c>
      <c r="K1283" s="34" t="s">
        <v>859</v>
      </c>
      <c r="L1283" s="34" t="s">
        <v>8195</v>
      </c>
      <c r="M1283" s="34" t="s">
        <v>21</v>
      </c>
      <c r="N1283" s="34" t="s">
        <v>36421</v>
      </c>
      <c r="O1283" s="34" t="s">
        <v>372</v>
      </c>
      <c r="P1283" s="34" t="s">
        <v>30089</v>
      </c>
      <c r="Q1283" s="35" t="s">
        <v>35197</v>
      </c>
      <c r="R1283" s="34" t="s">
        <v>94</v>
      </c>
      <c r="S1283" s="34" t="s">
        <v>22</v>
      </c>
      <c r="T1283" s="36" t="s">
        <v>26774</v>
      </c>
      <c r="U1283" s="36" t="s">
        <v>26572</v>
      </c>
      <c r="V1283" s="36" t="s">
        <v>26573</v>
      </c>
      <c r="W1283" s="36" t="s">
        <v>94</v>
      </c>
      <c r="X1283" s="36">
        <v>4159</v>
      </c>
      <c r="Y1283" s="1"/>
      <c r="Z1283" s="34" t="e">
        <v>#N/A</v>
      </c>
      <c r="AA1283" s="33">
        <v>6384</v>
      </c>
      <c r="AG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row>
    <row r="1284" spans="1:64" ht="12" customHeight="1" x14ac:dyDescent="0.15">
      <c r="A1284" s="34" t="s">
        <v>35202</v>
      </c>
      <c r="B1284" s="34">
        <v>24</v>
      </c>
      <c r="C1284" s="34" t="s">
        <v>14</v>
      </c>
      <c r="D1284" s="34" t="s">
        <v>79</v>
      </c>
      <c r="E1284" s="35" t="s">
        <v>35203</v>
      </c>
      <c r="F1284" s="67">
        <v>43405</v>
      </c>
      <c r="G1284" s="34" t="s">
        <v>35204</v>
      </c>
      <c r="H1284" s="34" t="s">
        <v>603</v>
      </c>
      <c r="I1284" s="34" t="s">
        <v>56</v>
      </c>
      <c r="J1284" s="34">
        <v>32208</v>
      </c>
      <c r="K1284" s="34" t="s">
        <v>604</v>
      </c>
      <c r="L1284" s="34" t="s">
        <v>605</v>
      </c>
      <c r="M1284" s="34" t="s">
        <v>21</v>
      </c>
      <c r="N1284" s="34" t="s">
        <v>35205</v>
      </c>
      <c r="O1284" s="34" t="s">
        <v>372</v>
      </c>
      <c r="P1284" s="34" t="s">
        <v>30089</v>
      </c>
      <c r="Q1284" s="35" t="s">
        <v>35206</v>
      </c>
      <c r="R1284" s="34" t="s">
        <v>94</v>
      </c>
      <c r="S1284" s="34" t="s">
        <v>22</v>
      </c>
      <c r="T1284" s="36" t="s">
        <v>26781</v>
      </c>
      <c r="U1284" s="36" t="s">
        <v>26570</v>
      </c>
      <c r="V1284" s="36" t="s">
        <v>26574</v>
      </c>
      <c r="W1284" s="36" t="s">
        <v>94</v>
      </c>
      <c r="X1284" s="36">
        <v>4144</v>
      </c>
      <c r="Y1284" s="1"/>
      <c r="Z1284" s="34" t="s">
        <v>42966</v>
      </c>
      <c r="AA1284" s="33">
        <v>6383</v>
      </c>
      <c r="AG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row>
    <row r="1285" spans="1:64" ht="12" customHeight="1" x14ac:dyDescent="0.15">
      <c r="A1285" s="34" t="s">
        <v>35212</v>
      </c>
      <c r="B1285" s="34">
        <v>17</v>
      </c>
      <c r="C1285" s="34" t="s">
        <v>14</v>
      </c>
      <c r="D1285" s="34" t="s">
        <v>42</v>
      </c>
      <c r="E1285" s="34"/>
      <c r="F1285" s="67">
        <v>43404</v>
      </c>
      <c r="G1285" s="34" t="s">
        <v>35213</v>
      </c>
      <c r="H1285" s="34" t="s">
        <v>674</v>
      </c>
      <c r="I1285" s="34" t="s">
        <v>67</v>
      </c>
      <c r="J1285" s="34">
        <v>77069</v>
      </c>
      <c r="K1285" s="34" t="s">
        <v>515</v>
      </c>
      <c r="L1285" s="34" t="s">
        <v>516</v>
      </c>
      <c r="M1285" s="34" t="s">
        <v>21</v>
      </c>
      <c r="N1285" s="34" t="s">
        <v>35214</v>
      </c>
      <c r="O1285" s="34" t="s">
        <v>372</v>
      </c>
      <c r="P1285" s="34" t="s">
        <v>30089</v>
      </c>
      <c r="Q1285" s="35" t="s">
        <v>35215</v>
      </c>
      <c r="R1285" s="34" t="s">
        <v>94</v>
      </c>
      <c r="S1285" s="34" t="s">
        <v>12</v>
      </c>
      <c r="T1285" s="36" t="s">
        <v>29425</v>
      </c>
      <c r="U1285" s="36" t="s">
        <v>26572</v>
      </c>
      <c r="V1285" s="36" t="s">
        <v>26571</v>
      </c>
      <c r="W1285" s="36" t="s">
        <v>512</v>
      </c>
      <c r="X1285" s="36">
        <v>4145</v>
      </c>
      <c r="Y1285" s="1"/>
      <c r="Z1285" s="34" t="s">
        <v>42968</v>
      </c>
      <c r="AA1285" s="33">
        <v>6381</v>
      </c>
      <c r="AG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row>
    <row r="1286" spans="1:64" ht="12" customHeight="1" x14ac:dyDescent="0.15">
      <c r="A1286" s="34" t="s">
        <v>35216</v>
      </c>
      <c r="B1286" s="34">
        <v>26</v>
      </c>
      <c r="C1286" s="34" t="s">
        <v>14</v>
      </c>
      <c r="D1286" s="34" t="s">
        <v>42</v>
      </c>
      <c r="E1286" s="35" t="s">
        <v>35217</v>
      </c>
      <c r="F1286" s="67">
        <v>43404</v>
      </c>
      <c r="G1286" s="34" t="s">
        <v>35218</v>
      </c>
      <c r="H1286" s="34" t="s">
        <v>249</v>
      </c>
      <c r="I1286" s="34" t="s">
        <v>250</v>
      </c>
      <c r="J1286" s="34">
        <v>89030</v>
      </c>
      <c r="K1286" s="34" t="s">
        <v>527</v>
      </c>
      <c r="L1286" s="34" t="s">
        <v>251</v>
      </c>
      <c r="M1286" s="34" t="s">
        <v>21</v>
      </c>
      <c r="N1286" s="34" t="s">
        <v>35219</v>
      </c>
      <c r="O1286" s="34" t="s">
        <v>372</v>
      </c>
      <c r="P1286" s="34" t="s">
        <v>30089</v>
      </c>
      <c r="Q1286" s="35" t="s">
        <v>35220</v>
      </c>
      <c r="R1286" s="34" t="s">
        <v>94</v>
      </c>
      <c r="S1286" s="34" t="s">
        <v>351</v>
      </c>
      <c r="T1286" s="36" t="s">
        <v>26867</v>
      </c>
      <c r="U1286" s="36" t="s">
        <v>26572</v>
      </c>
      <c r="V1286" s="36" t="s">
        <v>26571</v>
      </c>
      <c r="W1286" s="36" t="s">
        <v>94</v>
      </c>
      <c r="X1286" s="36">
        <v>4146</v>
      </c>
      <c r="Y1286" s="1"/>
      <c r="Z1286" s="34" t="s">
        <v>42968</v>
      </c>
      <c r="AA1286" s="33">
        <v>6382</v>
      </c>
      <c r="AG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row>
    <row r="1287" spans="1:64" ht="12" customHeight="1" x14ac:dyDescent="0.15">
      <c r="A1287" s="34" t="s">
        <v>35207</v>
      </c>
      <c r="B1287" s="34">
        <v>32</v>
      </c>
      <c r="C1287" s="34" t="s">
        <v>14</v>
      </c>
      <c r="D1287" s="34" t="s">
        <v>31</v>
      </c>
      <c r="E1287" s="35" t="s">
        <v>35208</v>
      </c>
      <c r="F1287" s="67">
        <v>43404</v>
      </c>
      <c r="G1287" s="34" t="s">
        <v>35209</v>
      </c>
      <c r="H1287" s="34" t="s">
        <v>4934</v>
      </c>
      <c r="I1287" s="34" t="s">
        <v>56</v>
      </c>
      <c r="J1287" s="34">
        <v>32128</v>
      </c>
      <c r="K1287" s="34" t="s">
        <v>3571</v>
      </c>
      <c r="L1287" s="34" t="s">
        <v>242</v>
      </c>
      <c r="M1287" s="34" t="s">
        <v>21</v>
      </c>
      <c r="N1287" s="34" t="s">
        <v>35210</v>
      </c>
      <c r="O1287" s="34" t="s">
        <v>372</v>
      </c>
      <c r="P1287" s="34" t="s">
        <v>30089</v>
      </c>
      <c r="Q1287" s="35" t="s">
        <v>35211</v>
      </c>
      <c r="R1287" s="34" t="s">
        <v>94</v>
      </c>
      <c r="S1287" s="34" t="s">
        <v>22</v>
      </c>
      <c r="T1287" s="36" t="s">
        <v>26781</v>
      </c>
      <c r="U1287" s="36" t="s">
        <v>26572</v>
      </c>
      <c r="V1287" s="36" t="s">
        <v>26573</v>
      </c>
      <c r="W1287" s="36" t="s">
        <v>512</v>
      </c>
      <c r="X1287" s="36">
        <v>4143</v>
      </c>
      <c r="Y1287" s="1"/>
      <c r="Z1287" s="34" t="s">
        <v>42968</v>
      </c>
      <c r="AA1287" s="33">
        <v>6380</v>
      </c>
      <c r="AG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row>
    <row r="1288" spans="1:64" ht="12" customHeight="1" x14ac:dyDescent="0.15">
      <c r="A1288" s="34" t="s">
        <v>3002</v>
      </c>
      <c r="B1288" s="34">
        <v>30</v>
      </c>
      <c r="C1288" s="34" t="s">
        <v>14</v>
      </c>
      <c r="D1288" s="34" t="s">
        <v>79</v>
      </c>
      <c r="E1288" s="34"/>
      <c r="F1288" s="67">
        <v>43402</v>
      </c>
      <c r="G1288" s="34" t="s">
        <v>35231</v>
      </c>
      <c r="H1288" s="34" t="s">
        <v>92</v>
      </c>
      <c r="I1288" s="34" t="s">
        <v>39</v>
      </c>
      <c r="J1288" s="34">
        <v>90028</v>
      </c>
      <c r="K1288" s="34" t="s">
        <v>92</v>
      </c>
      <c r="L1288" s="34" t="s">
        <v>93</v>
      </c>
      <c r="M1288" s="34" t="s">
        <v>21</v>
      </c>
      <c r="N1288" s="34" t="s">
        <v>35232</v>
      </c>
      <c r="O1288" s="34" t="s">
        <v>372</v>
      </c>
      <c r="P1288" s="34" t="s">
        <v>30089</v>
      </c>
      <c r="Q1288" s="35" t="s">
        <v>35233</v>
      </c>
      <c r="R1288" s="34" t="s">
        <v>94</v>
      </c>
      <c r="S1288" s="34" t="s">
        <v>22</v>
      </c>
      <c r="T1288" s="36" t="s">
        <v>363</v>
      </c>
      <c r="U1288" s="36" t="s">
        <v>26570</v>
      </c>
      <c r="V1288" s="36" t="s">
        <v>26573</v>
      </c>
      <c r="W1288" s="36" t="s">
        <v>94</v>
      </c>
      <c r="X1288" s="36">
        <v>4134</v>
      </c>
      <c r="Y1288" s="1"/>
      <c r="Z1288" s="34" t="s">
        <v>42966</v>
      </c>
      <c r="AA1288" s="33">
        <v>6377</v>
      </c>
      <c r="AG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row>
    <row r="1289" spans="1:64" ht="12" customHeight="1" x14ac:dyDescent="0.15">
      <c r="A1289" s="34" t="s">
        <v>35227</v>
      </c>
      <c r="B1289" s="34">
        <v>34</v>
      </c>
      <c r="C1289" s="34" t="s">
        <v>14</v>
      </c>
      <c r="D1289" s="34" t="s">
        <v>31</v>
      </c>
      <c r="E1289" s="35" t="s">
        <v>35228</v>
      </c>
      <c r="F1289" s="67">
        <v>43402</v>
      </c>
      <c r="G1289" s="34" t="s">
        <v>35229</v>
      </c>
      <c r="H1289" s="34" t="s">
        <v>1638</v>
      </c>
      <c r="I1289" s="34" t="s">
        <v>39</v>
      </c>
      <c r="J1289" s="34">
        <v>96150</v>
      </c>
      <c r="K1289" s="34" t="s">
        <v>1640</v>
      </c>
      <c r="L1289" s="34" t="s">
        <v>36424</v>
      </c>
      <c r="M1289" s="34" t="s">
        <v>21</v>
      </c>
      <c r="N1289" s="34" t="s">
        <v>36425</v>
      </c>
      <c r="O1289" s="34" t="s">
        <v>372</v>
      </c>
      <c r="P1289" s="34" t="s">
        <v>30089</v>
      </c>
      <c r="Q1289" s="35" t="s">
        <v>35230</v>
      </c>
      <c r="R1289" s="34" t="s">
        <v>94</v>
      </c>
      <c r="S1289" s="34" t="s">
        <v>22</v>
      </c>
      <c r="T1289" s="36" t="s">
        <v>26781</v>
      </c>
      <c r="U1289" s="36" t="s">
        <v>26572</v>
      </c>
      <c r="V1289" s="36" t="s">
        <v>26571</v>
      </c>
      <c r="W1289" s="36" t="s">
        <v>94</v>
      </c>
      <c r="X1289" s="36">
        <v>4136</v>
      </c>
      <c r="Y1289" s="1"/>
      <c r="Z1289" s="34" t="s">
        <v>42968</v>
      </c>
      <c r="AA1289" s="33">
        <v>6374</v>
      </c>
      <c r="AG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row>
    <row r="1290" spans="1:64" ht="12" customHeight="1" x14ac:dyDescent="0.15">
      <c r="A1290" s="34" t="s">
        <v>35221</v>
      </c>
      <c r="B1290" s="34">
        <v>27</v>
      </c>
      <c r="C1290" s="34" t="s">
        <v>14</v>
      </c>
      <c r="D1290" s="34" t="s">
        <v>42</v>
      </c>
      <c r="E1290" s="35" t="s">
        <v>35222</v>
      </c>
      <c r="F1290" s="67">
        <v>43402</v>
      </c>
      <c r="G1290" s="34" t="s">
        <v>35223</v>
      </c>
      <c r="H1290" s="34" t="s">
        <v>584</v>
      </c>
      <c r="I1290" s="34" t="s">
        <v>112</v>
      </c>
      <c r="J1290" s="34">
        <v>85007</v>
      </c>
      <c r="K1290" s="34" t="s">
        <v>585</v>
      </c>
      <c r="L1290" s="34" t="s">
        <v>35224</v>
      </c>
      <c r="M1290" s="34" t="s">
        <v>21</v>
      </c>
      <c r="N1290" s="34" t="s">
        <v>35225</v>
      </c>
      <c r="O1290" s="34" t="s">
        <v>372</v>
      </c>
      <c r="P1290" s="34" t="s">
        <v>30089</v>
      </c>
      <c r="Q1290" s="35" t="s">
        <v>35226</v>
      </c>
      <c r="R1290" s="34" t="s">
        <v>94</v>
      </c>
      <c r="S1290" s="34" t="s">
        <v>22</v>
      </c>
      <c r="T1290" s="36" t="s">
        <v>26781</v>
      </c>
      <c r="U1290" s="36" t="s">
        <v>26572</v>
      </c>
      <c r="V1290" s="36" t="s">
        <v>26571</v>
      </c>
      <c r="W1290" s="36" t="s">
        <v>94</v>
      </c>
      <c r="X1290" s="36">
        <v>4137</v>
      </c>
      <c r="Y1290" s="1"/>
      <c r="Z1290" s="34" t="s">
        <v>42966</v>
      </c>
      <c r="AA1290" s="33">
        <v>6375</v>
      </c>
      <c r="AG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row>
    <row r="1291" spans="1:64" ht="12" customHeight="1" x14ac:dyDescent="0.15">
      <c r="A1291" s="34" t="s">
        <v>3002</v>
      </c>
      <c r="B1291" s="34"/>
      <c r="C1291" s="34" t="s">
        <v>14</v>
      </c>
      <c r="D1291" s="34" t="s">
        <v>24</v>
      </c>
      <c r="E1291" s="34"/>
      <c r="F1291" s="67">
        <v>43402</v>
      </c>
      <c r="G1291" s="34" t="s">
        <v>35242</v>
      </c>
      <c r="H1291" s="34" t="s">
        <v>3585</v>
      </c>
      <c r="I1291" s="34" t="s">
        <v>112</v>
      </c>
      <c r="J1291" s="34">
        <v>85283</v>
      </c>
      <c r="K1291" s="34" t="s">
        <v>585</v>
      </c>
      <c r="L1291" s="34" t="s">
        <v>3587</v>
      </c>
      <c r="M1291" s="34" t="s">
        <v>21</v>
      </c>
      <c r="N1291" s="34" t="s">
        <v>35243</v>
      </c>
      <c r="O1291" s="34" t="s">
        <v>372</v>
      </c>
      <c r="P1291" s="34" t="s">
        <v>30089</v>
      </c>
      <c r="Q1291" s="35" t="s">
        <v>35244</v>
      </c>
      <c r="R1291" s="34" t="s">
        <v>94</v>
      </c>
      <c r="S1291" s="34" t="s">
        <v>22</v>
      </c>
      <c r="T1291" s="36" t="s">
        <v>26781</v>
      </c>
      <c r="U1291" s="36" t="s">
        <v>26572</v>
      </c>
      <c r="V1291" s="36" t="s">
        <v>26573</v>
      </c>
      <c r="W1291" s="36"/>
      <c r="X1291" s="36"/>
      <c r="Y1291" s="1"/>
      <c r="Z1291" s="34" t="s">
        <v>42966</v>
      </c>
      <c r="AA1291" s="33">
        <v>6376</v>
      </c>
      <c r="AG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row>
    <row r="1292" spans="1:64" ht="12" customHeight="1" x14ac:dyDescent="0.15">
      <c r="A1292" s="34" t="s">
        <v>35234</v>
      </c>
      <c r="B1292" s="34">
        <v>42</v>
      </c>
      <c r="C1292" s="34" t="s">
        <v>103</v>
      </c>
      <c r="D1292" s="34" t="s">
        <v>31</v>
      </c>
      <c r="E1292" s="35" t="s">
        <v>35235</v>
      </c>
      <c r="F1292" s="67">
        <v>43402</v>
      </c>
      <c r="G1292" s="34" t="s">
        <v>35236</v>
      </c>
      <c r="H1292" s="34" t="s">
        <v>8912</v>
      </c>
      <c r="I1292" s="34" t="s">
        <v>160</v>
      </c>
      <c r="J1292" s="34">
        <v>30204</v>
      </c>
      <c r="K1292" s="34" t="s">
        <v>6396</v>
      </c>
      <c r="L1292" s="34" t="s">
        <v>4752</v>
      </c>
      <c r="M1292" s="34" t="s">
        <v>21</v>
      </c>
      <c r="N1292" s="34" t="s">
        <v>36423</v>
      </c>
      <c r="O1292" s="34" t="s">
        <v>372</v>
      </c>
      <c r="P1292" s="34" t="s">
        <v>30089</v>
      </c>
      <c r="Q1292" s="35" t="s">
        <v>35237</v>
      </c>
      <c r="R1292" s="34" t="s">
        <v>512</v>
      </c>
      <c r="S1292" s="34" t="s">
        <v>12</v>
      </c>
      <c r="T1292" s="36" t="s">
        <v>29425</v>
      </c>
      <c r="U1292" s="36" t="s">
        <v>26572</v>
      </c>
      <c r="V1292" s="36" t="s">
        <v>26573</v>
      </c>
      <c r="W1292" s="36" t="s">
        <v>94</v>
      </c>
      <c r="X1292" s="36">
        <v>4139</v>
      </c>
      <c r="Y1292" s="1"/>
      <c r="Z1292" s="34" t="s">
        <v>42967</v>
      </c>
      <c r="AA1292" s="33">
        <v>6378</v>
      </c>
      <c r="AG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row>
    <row r="1293" spans="1:64" ht="12" customHeight="1" x14ac:dyDescent="0.15">
      <c r="A1293" s="34" t="s">
        <v>35238</v>
      </c>
      <c r="B1293" s="34">
        <v>28</v>
      </c>
      <c r="C1293" s="34" t="s">
        <v>14</v>
      </c>
      <c r="D1293" s="34" t="s">
        <v>79</v>
      </c>
      <c r="E1293" s="35" t="s">
        <v>35239</v>
      </c>
      <c r="F1293" s="67">
        <v>43402</v>
      </c>
      <c r="G1293" s="34" t="s">
        <v>35240</v>
      </c>
      <c r="H1293" s="34" t="s">
        <v>10009</v>
      </c>
      <c r="I1293" s="34" t="s">
        <v>46</v>
      </c>
      <c r="J1293" s="34">
        <v>21234</v>
      </c>
      <c r="K1293" s="34" t="s">
        <v>1487</v>
      </c>
      <c r="L1293" s="34" t="s">
        <v>212</v>
      </c>
      <c r="M1293" s="34" t="s">
        <v>21</v>
      </c>
      <c r="N1293" s="34" t="s">
        <v>36426</v>
      </c>
      <c r="O1293" s="34" t="s">
        <v>372</v>
      </c>
      <c r="P1293" s="34" t="s">
        <v>30089</v>
      </c>
      <c r="Q1293" s="35" t="s">
        <v>35241</v>
      </c>
      <c r="R1293" s="34" t="s">
        <v>94</v>
      </c>
      <c r="S1293" s="34" t="s">
        <v>351</v>
      </c>
      <c r="T1293" s="36" t="s">
        <v>26867</v>
      </c>
      <c r="U1293" s="36" t="s">
        <v>26572</v>
      </c>
      <c r="V1293" s="36" t="s">
        <v>26571</v>
      </c>
      <c r="W1293" s="36" t="s">
        <v>94</v>
      </c>
      <c r="X1293" s="36">
        <v>4138</v>
      </c>
      <c r="Y1293" s="33" t="s">
        <v>42476</v>
      </c>
      <c r="Z1293" s="34" t="s">
        <v>42966</v>
      </c>
      <c r="AA1293" s="33">
        <v>6379</v>
      </c>
      <c r="AG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row>
    <row r="1294" spans="1:64" ht="12" customHeight="1" x14ac:dyDescent="0.15">
      <c r="A1294" s="34" t="s">
        <v>35245</v>
      </c>
      <c r="B1294" s="34">
        <v>30</v>
      </c>
      <c r="C1294" s="34" t="s">
        <v>14</v>
      </c>
      <c r="D1294" s="34" t="s">
        <v>79</v>
      </c>
      <c r="E1294" s="34"/>
      <c r="F1294" s="67">
        <v>43400</v>
      </c>
      <c r="G1294" s="34" t="s">
        <v>35246</v>
      </c>
      <c r="H1294" s="34" t="s">
        <v>29619</v>
      </c>
      <c r="I1294" s="34" t="s">
        <v>67</v>
      </c>
      <c r="J1294" s="34">
        <v>77345</v>
      </c>
      <c r="K1294" s="34" t="s">
        <v>515</v>
      </c>
      <c r="L1294" s="34" t="s">
        <v>675</v>
      </c>
      <c r="M1294" s="34" t="s">
        <v>21</v>
      </c>
      <c r="N1294" s="34" t="s">
        <v>35247</v>
      </c>
      <c r="O1294" s="34" t="s">
        <v>372</v>
      </c>
      <c r="P1294" s="34" t="s">
        <v>30089</v>
      </c>
      <c r="Q1294" s="35" t="s">
        <v>35248</v>
      </c>
      <c r="R1294" s="34" t="s">
        <v>94</v>
      </c>
      <c r="S1294" s="34" t="s">
        <v>22</v>
      </c>
      <c r="T1294" s="36" t="s">
        <v>26781</v>
      </c>
      <c r="U1294" s="36" t="s">
        <v>26572</v>
      </c>
      <c r="V1294" s="36" t="s">
        <v>26573</v>
      </c>
      <c r="W1294" s="36" t="s">
        <v>94</v>
      </c>
      <c r="X1294" s="36">
        <v>4140</v>
      </c>
      <c r="Y1294" s="1"/>
      <c r="Z1294" s="34" t="s">
        <v>42968</v>
      </c>
      <c r="AA1294" s="33">
        <v>6372</v>
      </c>
      <c r="AG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row>
    <row r="1295" spans="1:64" ht="12" customHeight="1" x14ac:dyDescent="0.15">
      <c r="A1295" s="34" t="s">
        <v>35249</v>
      </c>
      <c r="B1295" s="34">
        <v>44</v>
      </c>
      <c r="C1295" s="34" t="s">
        <v>14</v>
      </c>
      <c r="D1295" s="34" t="s">
        <v>128</v>
      </c>
      <c r="E1295" s="35" t="s">
        <v>35250</v>
      </c>
      <c r="F1295" s="67">
        <v>43400</v>
      </c>
      <c r="G1295" s="34" t="s">
        <v>35779</v>
      </c>
      <c r="H1295" s="34" t="s">
        <v>607</v>
      </c>
      <c r="I1295" s="34" t="s">
        <v>250</v>
      </c>
      <c r="J1295" s="34">
        <v>89139</v>
      </c>
      <c r="K1295" s="34" t="s">
        <v>527</v>
      </c>
      <c r="L1295" s="34" t="s">
        <v>528</v>
      </c>
      <c r="M1295" s="34" t="s">
        <v>21</v>
      </c>
      <c r="N1295" s="34" t="s">
        <v>35251</v>
      </c>
      <c r="O1295" s="34" t="s">
        <v>372</v>
      </c>
      <c r="P1295" s="34" t="s">
        <v>30089</v>
      </c>
      <c r="Q1295" s="35" t="s">
        <v>35252</v>
      </c>
      <c r="R1295" s="34" t="s">
        <v>512</v>
      </c>
      <c r="S1295" s="34" t="s">
        <v>29</v>
      </c>
      <c r="T1295" s="36" t="s">
        <v>26576</v>
      </c>
      <c r="U1295" s="36" t="s">
        <v>26570</v>
      </c>
      <c r="V1295" s="36" t="s">
        <v>26573</v>
      </c>
      <c r="W1295" s="36" t="s">
        <v>512</v>
      </c>
      <c r="X1295" s="36">
        <v>4135</v>
      </c>
      <c r="Y1295" s="1"/>
      <c r="Z1295" s="34" t="s">
        <v>42968</v>
      </c>
      <c r="AA1295" s="33">
        <v>6373</v>
      </c>
      <c r="AG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row>
    <row r="1296" spans="1:64" ht="12" customHeight="1" x14ac:dyDescent="0.15">
      <c r="A1296" s="34" t="s">
        <v>35253</v>
      </c>
      <c r="B1296" s="34">
        <v>28</v>
      </c>
      <c r="C1296" s="34" t="s">
        <v>14</v>
      </c>
      <c r="D1296" s="34" t="s">
        <v>79</v>
      </c>
      <c r="E1296" s="35" t="s">
        <v>35254</v>
      </c>
      <c r="F1296" s="67">
        <v>43398</v>
      </c>
      <c r="G1296" s="34" t="s">
        <v>35780</v>
      </c>
      <c r="H1296" s="34" t="s">
        <v>661</v>
      </c>
      <c r="I1296" s="34" t="s">
        <v>402</v>
      </c>
      <c r="J1296" s="34">
        <v>63138</v>
      </c>
      <c r="K1296" s="34" t="s">
        <v>661</v>
      </c>
      <c r="L1296" s="34" t="s">
        <v>6535</v>
      </c>
      <c r="M1296" s="34" t="s">
        <v>21</v>
      </c>
      <c r="N1296" s="34" t="s">
        <v>35255</v>
      </c>
      <c r="O1296" s="34" t="s">
        <v>372</v>
      </c>
      <c r="P1296" s="34" t="s">
        <v>30089</v>
      </c>
      <c r="Q1296" s="35" t="s">
        <v>35256</v>
      </c>
      <c r="R1296" s="34" t="s">
        <v>94</v>
      </c>
      <c r="S1296" s="34" t="s">
        <v>22</v>
      </c>
      <c r="T1296" s="36" t="s">
        <v>35257</v>
      </c>
      <c r="U1296" s="36" t="s">
        <v>26572</v>
      </c>
      <c r="V1296" s="36" t="s">
        <v>26573</v>
      </c>
      <c r="W1296" s="36" t="s">
        <v>94</v>
      </c>
      <c r="X1296" s="36">
        <v>4141</v>
      </c>
      <c r="Y1296" s="1"/>
      <c r="Z1296" s="34" t="s">
        <v>42968</v>
      </c>
      <c r="AA1296" s="33">
        <v>6371</v>
      </c>
      <c r="AG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row>
    <row r="1297" spans="1:64" ht="12" customHeight="1" x14ac:dyDescent="0.15">
      <c r="A1297" s="34" t="s">
        <v>35260</v>
      </c>
      <c r="B1297" s="34">
        <v>28</v>
      </c>
      <c r="C1297" s="34" t="s">
        <v>14</v>
      </c>
      <c r="D1297" s="34" t="s">
        <v>31</v>
      </c>
      <c r="E1297" s="35" t="s">
        <v>35261</v>
      </c>
      <c r="F1297" s="67">
        <v>43397</v>
      </c>
      <c r="G1297" s="34" t="s">
        <v>35262</v>
      </c>
      <c r="H1297" s="34" t="s">
        <v>12452</v>
      </c>
      <c r="I1297" s="34" t="s">
        <v>132</v>
      </c>
      <c r="J1297" s="34">
        <v>57107</v>
      </c>
      <c r="K1297" s="34" t="s">
        <v>12454</v>
      </c>
      <c r="L1297" s="34" t="s">
        <v>12455</v>
      </c>
      <c r="M1297" s="34" t="s">
        <v>363</v>
      </c>
      <c r="N1297" s="34" t="s">
        <v>35263</v>
      </c>
      <c r="O1297" s="34" t="s">
        <v>372</v>
      </c>
      <c r="P1297" s="34" t="s">
        <v>30089</v>
      </c>
      <c r="Q1297" s="35" t="s">
        <v>35264</v>
      </c>
      <c r="R1297" s="34" t="s">
        <v>23</v>
      </c>
      <c r="S1297" s="34" t="s">
        <v>12</v>
      </c>
      <c r="T1297" s="34" t="s">
        <v>29705</v>
      </c>
      <c r="U1297" s="34"/>
      <c r="V1297" s="34"/>
      <c r="W1297" s="34"/>
      <c r="X1297" s="34"/>
      <c r="Y1297" s="1"/>
      <c r="Z1297" s="34" t="s">
        <v>42968</v>
      </c>
      <c r="AA1297" s="33">
        <v>6370</v>
      </c>
      <c r="AG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row>
    <row r="1298" spans="1:64" ht="12" customHeight="1" x14ac:dyDescent="0.15">
      <c r="A1298" s="34" t="s">
        <v>3002</v>
      </c>
      <c r="B1298" s="34">
        <v>45</v>
      </c>
      <c r="C1298" s="34" t="s">
        <v>14</v>
      </c>
      <c r="D1298" s="34" t="s">
        <v>24</v>
      </c>
      <c r="E1298" s="34"/>
      <c r="F1298" s="67">
        <v>43397</v>
      </c>
      <c r="G1298" s="34" t="s">
        <v>35781</v>
      </c>
      <c r="H1298" s="34" t="s">
        <v>415</v>
      </c>
      <c r="I1298" s="34" t="s">
        <v>51</v>
      </c>
      <c r="J1298" s="34">
        <v>48228</v>
      </c>
      <c r="K1298" s="34" t="s">
        <v>1057</v>
      </c>
      <c r="L1298" s="34" t="s">
        <v>2030</v>
      </c>
      <c r="M1298" s="34" t="s">
        <v>21</v>
      </c>
      <c r="N1298" s="34" t="s">
        <v>35258</v>
      </c>
      <c r="O1298" s="34" t="s">
        <v>372</v>
      </c>
      <c r="P1298" s="34" t="s">
        <v>30089</v>
      </c>
      <c r="Q1298" s="35" t="s">
        <v>35259</v>
      </c>
      <c r="R1298" s="34" t="s">
        <v>904</v>
      </c>
      <c r="S1298" s="34" t="s">
        <v>22</v>
      </c>
      <c r="T1298" s="36" t="s">
        <v>29419</v>
      </c>
      <c r="U1298" s="36" t="s">
        <v>26570</v>
      </c>
      <c r="V1298" s="36" t="s">
        <v>26573</v>
      </c>
      <c r="W1298" s="36" t="s">
        <v>512</v>
      </c>
      <c r="X1298" s="36">
        <v>4142</v>
      </c>
      <c r="Y1298" s="1"/>
      <c r="Z1298" s="34" t="s">
        <v>42966</v>
      </c>
      <c r="AA1298" s="33">
        <v>6369</v>
      </c>
      <c r="AG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row>
    <row r="1299" spans="1:64" ht="12" customHeight="1" x14ac:dyDescent="0.15">
      <c r="A1299" s="34" t="s">
        <v>35265</v>
      </c>
      <c r="B1299" s="34">
        <v>37</v>
      </c>
      <c r="C1299" s="34" t="s">
        <v>14</v>
      </c>
      <c r="D1299" s="34" t="s">
        <v>31</v>
      </c>
      <c r="E1299" s="35" t="s">
        <v>35266</v>
      </c>
      <c r="F1299" s="67">
        <v>43396</v>
      </c>
      <c r="G1299" s="34" t="s">
        <v>35267</v>
      </c>
      <c r="H1299" s="34" t="s">
        <v>2307</v>
      </c>
      <c r="I1299" s="34" t="s">
        <v>367</v>
      </c>
      <c r="J1299" s="34">
        <v>74112</v>
      </c>
      <c r="K1299" s="34" t="s">
        <v>2307</v>
      </c>
      <c r="L1299" s="34" t="s">
        <v>3108</v>
      </c>
      <c r="M1299" s="34" t="s">
        <v>21</v>
      </c>
      <c r="N1299" s="34" t="s">
        <v>35268</v>
      </c>
      <c r="O1299" s="34" t="s">
        <v>372</v>
      </c>
      <c r="P1299" s="34" t="s">
        <v>30089</v>
      </c>
      <c r="Q1299" s="35" t="s">
        <v>35269</v>
      </c>
      <c r="R1299" s="34" t="s">
        <v>94</v>
      </c>
      <c r="S1299" s="34" t="s">
        <v>22</v>
      </c>
      <c r="T1299" s="36" t="s">
        <v>26781</v>
      </c>
      <c r="U1299" s="36" t="s">
        <v>26572</v>
      </c>
      <c r="V1299" s="36" t="s">
        <v>26573</v>
      </c>
      <c r="W1299" s="36" t="s">
        <v>94</v>
      </c>
      <c r="X1299" s="36">
        <v>4127</v>
      </c>
      <c r="Y1299" s="1"/>
      <c r="Z1299" s="34" t="s">
        <v>42966</v>
      </c>
      <c r="AA1299" s="33">
        <v>6366</v>
      </c>
      <c r="AG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row>
    <row r="1300" spans="1:64" ht="12" customHeight="1" x14ac:dyDescent="0.15">
      <c r="A1300" s="34" t="s">
        <v>35270</v>
      </c>
      <c r="B1300" s="34">
        <v>27</v>
      </c>
      <c r="C1300" s="34" t="s">
        <v>14</v>
      </c>
      <c r="D1300" s="34" t="s">
        <v>31</v>
      </c>
      <c r="E1300" s="35" t="s">
        <v>35271</v>
      </c>
      <c r="F1300" s="67">
        <v>43396</v>
      </c>
      <c r="G1300" s="34" t="s">
        <v>35782</v>
      </c>
      <c r="H1300" s="34" t="s">
        <v>6438</v>
      </c>
      <c r="I1300" s="34" t="s">
        <v>342</v>
      </c>
      <c r="J1300" s="34">
        <v>52806</v>
      </c>
      <c r="K1300" s="34" t="s">
        <v>6440</v>
      </c>
      <c r="L1300" s="34" t="s">
        <v>27536</v>
      </c>
      <c r="M1300" s="34" t="s">
        <v>21</v>
      </c>
      <c r="N1300" s="34" t="s">
        <v>35272</v>
      </c>
      <c r="O1300" s="34" t="s">
        <v>372</v>
      </c>
      <c r="P1300" s="34" t="s">
        <v>30089</v>
      </c>
      <c r="Q1300" s="35" t="s">
        <v>35273</v>
      </c>
      <c r="R1300" s="34" t="s">
        <v>94</v>
      </c>
      <c r="S1300" s="34" t="s">
        <v>29</v>
      </c>
      <c r="T1300" s="36" t="s">
        <v>26575</v>
      </c>
      <c r="U1300" s="36" t="s">
        <v>26575</v>
      </c>
      <c r="V1300" s="36" t="s">
        <v>26571</v>
      </c>
      <c r="W1300" s="36" t="s">
        <v>94</v>
      </c>
      <c r="X1300" s="36">
        <v>4131</v>
      </c>
      <c r="Y1300" s="1"/>
      <c r="Z1300" s="34" t="s">
        <v>42968</v>
      </c>
      <c r="AA1300" s="33">
        <v>6367</v>
      </c>
      <c r="AG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row>
    <row r="1301" spans="1:64" ht="12" customHeight="1" x14ac:dyDescent="0.15">
      <c r="A1301" s="34" t="s">
        <v>35274</v>
      </c>
      <c r="B1301" s="34">
        <v>24</v>
      </c>
      <c r="C1301" s="34" t="s">
        <v>14</v>
      </c>
      <c r="D1301" s="34" t="s">
        <v>31</v>
      </c>
      <c r="E1301" s="34"/>
      <c r="F1301" s="67">
        <v>43396</v>
      </c>
      <c r="G1301" s="34" t="s">
        <v>35275</v>
      </c>
      <c r="H1301" s="34" t="s">
        <v>35276</v>
      </c>
      <c r="I1301" s="34" t="s">
        <v>282</v>
      </c>
      <c r="J1301" s="34">
        <v>98036</v>
      </c>
      <c r="K1301" s="34" t="s">
        <v>2004</v>
      </c>
      <c r="L1301" s="34" t="s">
        <v>2006</v>
      </c>
      <c r="M1301" s="34" t="s">
        <v>21</v>
      </c>
      <c r="N1301" s="34" t="s">
        <v>36427</v>
      </c>
      <c r="O1301" s="34" t="s">
        <v>372</v>
      </c>
      <c r="P1301" s="34" t="s">
        <v>30089</v>
      </c>
      <c r="Q1301" s="35" t="s">
        <v>35277</v>
      </c>
      <c r="R1301" s="34" t="s">
        <v>94</v>
      </c>
      <c r="S1301" s="34" t="s">
        <v>29</v>
      </c>
      <c r="T1301" s="36" t="s">
        <v>26575</v>
      </c>
      <c r="U1301" s="36" t="s">
        <v>26572</v>
      </c>
      <c r="V1301" s="36" t="s">
        <v>26571</v>
      </c>
      <c r="W1301" s="36" t="s">
        <v>94</v>
      </c>
      <c r="X1301" s="36">
        <v>4133</v>
      </c>
      <c r="Y1301" s="1"/>
      <c r="Z1301" s="34" t="s">
        <v>42968</v>
      </c>
      <c r="AA1301" s="33">
        <v>6368</v>
      </c>
      <c r="AG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row>
    <row r="1302" spans="1:64" ht="12" customHeight="1" x14ac:dyDescent="0.15">
      <c r="A1302" s="34" t="s">
        <v>35278</v>
      </c>
      <c r="B1302" s="34">
        <v>37</v>
      </c>
      <c r="C1302" s="34" t="s">
        <v>14</v>
      </c>
      <c r="D1302" s="34" t="s">
        <v>42</v>
      </c>
      <c r="E1302" s="34"/>
      <c r="F1302" s="67">
        <v>43395</v>
      </c>
      <c r="G1302" s="34" t="s">
        <v>35783</v>
      </c>
      <c r="H1302" s="34" t="s">
        <v>12903</v>
      </c>
      <c r="I1302" s="34" t="s">
        <v>39</v>
      </c>
      <c r="J1302" s="34">
        <v>94565</v>
      </c>
      <c r="K1302" s="34" t="s">
        <v>4146</v>
      </c>
      <c r="L1302" s="34" t="s">
        <v>23401</v>
      </c>
      <c r="M1302" s="34" t="s">
        <v>21</v>
      </c>
      <c r="N1302" s="34" t="s">
        <v>35279</v>
      </c>
      <c r="O1302" s="34" t="s">
        <v>372</v>
      </c>
      <c r="P1302" s="34" t="s">
        <v>30089</v>
      </c>
      <c r="Q1302" s="35" t="s">
        <v>35280</v>
      </c>
      <c r="R1302" s="34" t="s">
        <v>94</v>
      </c>
      <c r="S1302" s="34" t="s">
        <v>22</v>
      </c>
      <c r="T1302" s="36" t="s">
        <v>26781</v>
      </c>
      <c r="U1302" s="36" t="s">
        <v>26572</v>
      </c>
      <c r="V1302" s="36" t="s">
        <v>26571</v>
      </c>
      <c r="W1302" s="36" t="s">
        <v>512</v>
      </c>
      <c r="X1302" s="36">
        <v>4162</v>
      </c>
      <c r="Y1302" s="1"/>
      <c r="Z1302" s="34" t="s">
        <v>42968</v>
      </c>
      <c r="AA1302" s="33">
        <v>6362</v>
      </c>
      <c r="AG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row>
    <row r="1303" spans="1:64" ht="12" customHeight="1" x14ac:dyDescent="0.15">
      <c r="A1303" s="34" t="s">
        <v>35287</v>
      </c>
      <c r="B1303" s="34">
        <v>18</v>
      </c>
      <c r="C1303" s="34" t="s">
        <v>14</v>
      </c>
      <c r="D1303" s="34" t="s">
        <v>79</v>
      </c>
      <c r="E1303" s="35" t="s">
        <v>35288</v>
      </c>
      <c r="F1303" s="67">
        <v>43395</v>
      </c>
      <c r="G1303" s="34" t="s">
        <v>35289</v>
      </c>
      <c r="H1303" s="34" t="s">
        <v>35290</v>
      </c>
      <c r="I1303" s="34" t="s">
        <v>160</v>
      </c>
      <c r="J1303" s="34">
        <v>30039</v>
      </c>
      <c r="K1303" s="34" t="s">
        <v>1239</v>
      </c>
      <c r="L1303" s="34" t="s">
        <v>1240</v>
      </c>
      <c r="M1303" s="34" t="s">
        <v>4966</v>
      </c>
      <c r="N1303" s="34" t="s">
        <v>35291</v>
      </c>
      <c r="O1303" s="34" t="s">
        <v>372</v>
      </c>
      <c r="P1303" s="34" t="s">
        <v>30089</v>
      </c>
      <c r="Q1303" s="35" t="s">
        <v>35292</v>
      </c>
      <c r="R1303" s="34" t="s">
        <v>94</v>
      </c>
      <c r="S1303" s="34" t="s">
        <v>22</v>
      </c>
      <c r="T1303" s="36" t="s">
        <v>26619</v>
      </c>
      <c r="U1303" s="36" t="s">
        <v>26570</v>
      </c>
      <c r="V1303" s="36" t="s">
        <v>26573</v>
      </c>
      <c r="W1303" s="36" t="s">
        <v>94</v>
      </c>
      <c r="X1303" s="36">
        <v>4120</v>
      </c>
      <c r="Y1303" s="1"/>
      <c r="Z1303" s="34" t="s">
        <v>42968</v>
      </c>
      <c r="AA1303" s="33">
        <v>6364</v>
      </c>
      <c r="AG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row>
    <row r="1304" spans="1:64" ht="12" customHeight="1" x14ac:dyDescent="0.15">
      <c r="A1304" s="34" t="s">
        <v>35293</v>
      </c>
      <c r="B1304" s="34">
        <v>61</v>
      </c>
      <c r="C1304" s="34" t="s">
        <v>14</v>
      </c>
      <c r="D1304" s="34" t="s">
        <v>31</v>
      </c>
      <c r="E1304" s="35" t="s">
        <v>35294</v>
      </c>
      <c r="F1304" s="67">
        <v>43395</v>
      </c>
      <c r="G1304" s="34" t="s">
        <v>35784</v>
      </c>
      <c r="H1304" s="34" t="s">
        <v>21976</v>
      </c>
      <c r="I1304" s="34" t="s">
        <v>298</v>
      </c>
      <c r="J1304" s="34">
        <v>37821</v>
      </c>
      <c r="K1304" s="34" t="s">
        <v>28231</v>
      </c>
      <c r="L1304" s="34" t="s">
        <v>35295</v>
      </c>
      <c r="M1304" s="34" t="s">
        <v>21</v>
      </c>
      <c r="N1304" s="34" t="s">
        <v>35296</v>
      </c>
      <c r="O1304" s="34" t="s">
        <v>372</v>
      </c>
      <c r="P1304" s="34" t="s">
        <v>30089</v>
      </c>
      <c r="Q1304" s="35" t="s">
        <v>35297</v>
      </c>
      <c r="R1304" s="34" t="s">
        <v>94</v>
      </c>
      <c r="S1304" s="34" t="s">
        <v>29</v>
      </c>
      <c r="T1304" s="36" t="s">
        <v>26576</v>
      </c>
      <c r="U1304" s="36" t="s">
        <v>26572</v>
      </c>
      <c r="V1304" s="36" t="s">
        <v>26573</v>
      </c>
      <c r="W1304" s="36" t="s">
        <v>94</v>
      </c>
      <c r="X1304" s="36">
        <v>4123</v>
      </c>
      <c r="Y1304" s="1"/>
      <c r="Z1304" s="34" t="s">
        <v>42967</v>
      </c>
      <c r="AA1304" s="33">
        <v>6365</v>
      </c>
      <c r="AG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row>
    <row r="1305" spans="1:64" ht="12" customHeight="1" x14ac:dyDescent="0.15">
      <c r="A1305" s="34" t="s">
        <v>35281</v>
      </c>
      <c r="B1305" s="34">
        <v>26</v>
      </c>
      <c r="C1305" s="34" t="s">
        <v>14</v>
      </c>
      <c r="D1305" s="34" t="s">
        <v>31</v>
      </c>
      <c r="E1305" s="35" t="s">
        <v>35282</v>
      </c>
      <c r="F1305" s="67">
        <v>43395</v>
      </c>
      <c r="G1305" s="34" t="s">
        <v>35283</v>
      </c>
      <c r="H1305" s="34" t="s">
        <v>35284</v>
      </c>
      <c r="I1305" s="34" t="s">
        <v>221</v>
      </c>
      <c r="J1305" s="34">
        <v>84065</v>
      </c>
      <c r="K1305" s="34" t="s">
        <v>564</v>
      </c>
      <c r="L1305" s="34" t="s">
        <v>33011</v>
      </c>
      <c r="M1305" s="34" t="s">
        <v>21</v>
      </c>
      <c r="N1305" s="34" t="s">
        <v>35285</v>
      </c>
      <c r="O1305" s="34" t="s">
        <v>372</v>
      </c>
      <c r="P1305" s="34" t="s">
        <v>30089</v>
      </c>
      <c r="Q1305" s="35" t="s">
        <v>35286</v>
      </c>
      <c r="R1305" s="34" t="s">
        <v>94</v>
      </c>
      <c r="S1305" s="34" t="s">
        <v>22</v>
      </c>
      <c r="T1305" s="36" t="s">
        <v>26774</v>
      </c>
      <c r="U1305" s="36" t="s">
        <v>26572</v>
      </c>
      <c r="V1305" s="36" t="s">
        <v>26573</v>
      </c>
      <c r="W1305" s="36" t="s">
        <v>94</v>
      </c>
      <c r="X1305" s="36">
        <v>4121</v>
      </c>
      <c r="Y1305" s="1"/>
      <c r="Z1305" s="34" t="s">
        <v>42968</v>
      </c>
      <c r="AA1305" s="33">
        <v>6363</v>
      </c>
      <c r="AG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row>
    <row r="1306" spans="1:64" ht="12" customHeight="1" x14ac:dyDescent="0.15">
      <c r="A1306" s="34" t="s">
        <v>35298</v>
      </c>
      <c r="B1306" s="34">
        <v>27</v>
      </c>
      <c r="C1306" s="34" t="s">
        <v>14</v>
      </c>
      <c r="D1306" s="34" t="s">
        <v>79</v>
      </c>
      <c r="E1306" s="35" t="s">
        <v>35299</v>
      </c>
      <c r="F1306" s="67">
        <v>43394</v>
      </c>
      <c r="G1306" s="34" t="s">
        <v>35300</v>
      </c>
      <c r="H1306" s="34" t="s">
        <v>107</v>
      </c>
      <c r="I1306" s="34" t="s">
        <v>338</v>
      </c>
      <c r="J1306" s="34">
        <v>27889</v>
      </c>
      <c r="K1306" s="34" t="s">
        <v>12027</v>
      </c>
      <c r="L1306" s="34" t="s">
        <v>35301</v>
      </c>
      <c r="M1306" s="34" t="s">
        <v>21</v>
      </c>
      <c r="N1306" s="34" t="s">
        <v>35302</v>
      </c>
      <c r="O1306" s="34" t="s">
        <v>372</v>
      </c>
      <c r="P1306" s="34" t="s">
        <v>30089</v>
      </c>
      <c r="Q1306" s="35" t="s">
        <v>35303</v>
      </c>
      <c r="R1306" s="34" t="s">
        <v>94</v>
      </c>
      <c r="S1306" s="34" t="s">
        <v>22</v>
      </c>
      <c r="T1306" s="36" t="s">
        <v>26781</v>
      </c>
      <c r="U1306" s="36" t="s">
        <v>26570</v>
      </c>
      <c r="V1306" s="36" t="s">
        <v>26573</v>
      </c>
      <c r="W1306" s="36" t="s">
        <v>512</v>
      </c>
      <c r="X1306" s="36">
        <v>4118</v>
      </c>
      <c r="Y1306" s="1"/>
      <c r="Z1306" s="34" t="s">
        <v>42967</v>
      </c>
      <c r="AA1306" s="33">
        <v>6360</v>
      </c>
      <c r="AG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row>
    <row r="1307" spans="1:64" ht="12" customHeight="1" x14ac:dyDescent="0.15">
      <c r="A1307" s="34" t="s">
        <v>3002</v>
      </c>
      <c r="B1307" s="34"/>
      <c r="C1307" s="34" t="s">
        <v>14</v>
      </c>
      <c r="D1307" s="34" t="s">
        <v>24</v>
      </c>
      <c r="E1307" s="35"/>
      <c r="F1307" s="67">
        <v>43394</v>
      </c>
      <c r="G1307" s="34"/>
      <c r="H1307" s="36" t="s">
        <v>32650</v>
      </c>
      <c r="I1307" s="36" t="s">
        <v>56</v>
      </c>
      <c r="J1307" s="34"/>
      <c r="K1307" s="34"/>
      <c r="L1307" s="34"/>
      <c r="M1307" s="34" t="s">
        <v>21</v>
      </c>
      <c r="N1307" s="34"/>
      <c r="O1307" s="34" t="s">
        <v>372</v>
      </c>
      <c r="P1307" s="34" t="s">
        <v>30089</v>
      </c>
      <c r="Q1307" s="35"/>
      <c r="R1307" s="34"/>
      <c r="S1307" s="34" t="s">
        <v>29</v>
      </c>
      <c r="T1307" s="36" t="s">
        <v>26575</v>
      </c>
      <c r="U1307" s="36" t="s">
        <v>26575</v>
      </c>
      <c r="V1307" s="36" t="s">
        <v>26571</v>
      </c>
      <c r="W1307" s="36" t="s">
        <v>94</v>
      </c>
      <c r="X1307" s="36">
        <v>4119</v>
      </c>
      <c r="Y1307" s="1"/>
      <c r="Z1307" s="34" t="e">
        <v>#N/A</v>
      </c>
      <c r="AA1307" s="33">
        <v>6361</v>
      </c>
      <c r="AG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row>
    <row r="1308" spans="1:64" ht="12" customHeight="1" x14ac:dyDescent="0.15">
      <c r="A1308" s="34" t="s">
        <v>35309</v>
      </c>
      <c r="B1308" s="34">
        <v>35</v>
      </c>
      <c r="C1308" s="34" t="s">
        <v>14</v>
      </c>
      <c r="D1308" s="34" t="s">
        <v>31</v>
      </c>
      <c r="E1308" s="35" t="s">
        <v>35310</v>
      </c>
      <c r="F1308" s="67">
        <v>43393</v>
      </c>
      <c r="G1308" s="34" t="s">
        <v>35311</v>
      </c>
      <c r="H1308" s="34" t="s">
        <v>261</v>
      </c>
      <c r="I1308" s="34" t="s">
        <v>67</v>
      </c>
      <c r="J1308" s="34">
        <v>75460</v>
      </c>
      <c r="K1308" s="34" t="s">
        <v>6396</v>
      </c>
      <c r="L1308" s="34" t="s">
        <v>18872</v>
      </c>
      <c r="M1308" s="34" t="s">
        <v>21</v>
      </c>
      <c r="N1308" s="34" t="s">
        <v>35312</v>
      </c>
      <c r="O1308" s="34" t="s">
        <v>372</v>
      </c>
      <c r="P1308" s="34" t="s">
        <v>30089</v>
      </c>
      <c r="Q1308" s="35" t="s">
        <v>35313</v>
      </c>
      <c r="R1308" s="34" t="s">
        <v>94</v>
      </c>
      <c r="S1308" s="34" t="s">
        <v>22</v>
      </c>
      <c r="T1308" s="36" t="s">
        <v>26781</v>
      </c>
      <c r="U1308" s="36" t="s">
        <v>26572</v>
      </c>
      <c r="V1308" s="36" t="s">
        <v>26573</v>
      </c>
      <c r="W1308" s="36" t="s">
        <v>94</v>
      </c>
      <c r="X1308" s="36">
        <v>4122</v>
      </c>
      <c r="Y1308" s="1"/>
      <c r="Z1308" s="34" t="s">
        <v>42968</v>
      </c>
      <c r="AA1308" s="33">
        <v>6357</v>
      </c>
      <c r="AG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row>
    <row r="1309" spans="1:64" ht="12" customHeight="1" x14ac:dyDescent="0.15">
      <c r="A1309" s="34" t="s">
        <v>35304</v>
      </c>
      <c r="B1309" s="34">
        <v>34</v>
      </c>
      <c r="C1309" s="34" t="s">
        <v>103</v>
      </c>
      <c r="D1309" s="34" t="s">
        <v>31</v>
      </c>
      <c r="E1309" s="34"/>
      <c r="F1309" s="67">
        <v>43393</v>
      </c>
      <c r="G1309" s="34" t="s">
        <v>35305</v>
      </c>
      <c r="H1309" s="34" t="s">
        <v>35306</v>
      </c>
      <c r="I1309" s="34" t="s">
        <v>26</v>
      </c>
      <c r="J1309" s="34">
        <v>29101</v>
      </c>
      <c r="K1309" s="34" t="s">
        <v>10815</v>
      </c>
      <c r="L1309" s="34" t="s">
        <v>9747</v>
      </c>
      <c r="M1309" s="34" t="s">
        <v>21</v>
      </c>
      <c r="N1309" s="34" t="s">
        <v>35307</v>
      </c>
      <c r="O1309" s="34" t="s">
        <v>372</v>
      </c>
      <c r="P1309" s="34" t="s">
        <v>30089</v>
      </c>
      <c r="Q1309" s="35" t="s">
        <v>35308</v>
      </c>
      <c r="R1309" s="34" t="s">
        <v>94</v>
      </c>
      <c r="S1309" s="34" t="s">
        <v>22</v>
      </c>
      <c r="T1309" s="36" t="s">
        <v>26781</v>
      </c>
      <c r="U1309" s="36" t="s">
        <v>26572</v>
      </c>
      <c r="V1309" s="36" t="s">
        <v>26573</v>
      </c>
      <c r="W1309" s="36" t="s">
        <v>94</v>
      </c>
      <c r="X1309" s="36">
        <v>4132</v>
      </c>
      <c r="Y1309" s="1"/>
      <c r="Z1309" s="34" t="s">
        <v>42967</v>
      </c>
      <c r="AA1309" s="33">
        <v>6359</v>
      </c>
      <c r="AG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row>
    <row r="1310" spans="1:64" ht="12" customHeight="1" x14ac:dyDescent="0.15">
      <c r="A1310" s="34" t="s">
        <v>35314</v>
      </c>
      <c r="B1310" s="34">
        <v>50</v>
      </c>
      <c r="C1310" s="34" t="s">
        <v>14</v>
      </c>
      <c r="D1310" s="34" t="s">
        <v>31</v>
      </c>
      <c r="E1310" s="35" t="s">
        <v>35315</v>
      </c>
      <c r="F1310" s="67">
        <v>43393</v>
      </c>
      <c r="G1310" s="34" t="s">
        <v>35785</v>
      </c>
      <c r="H1310" s="34" t="s">
        <v>10701</v>
      </c>
      <c r="I1310" s="34" t="s">
        <v>282</v>
      </c>
      <c r="J1310" s="34">
        <v>98387</v>
      </c>
      <c r="K1310" s="34" t="s">
        <v>827</v>
      </c>
      <c r="L1310" s="34" t="s">
        <v>19834</v>
      </c>
      <c r="M1310" s="34" t="s">
        <v>21</v>
      </c>
      <c r="N1310" s="34" t="s">
        <v>35316</v>
      </c>
      <c r="O1310" s="34" t="s">
        <v>372</v>
      </c>
      <c r="P1310" s="34" t="s">
        <v>30089</v>
      </c>
      <c r="Q1310" s="35" t="s">
        <v>35317</v>
      </c>
      <c r="R1310" s="34" t="s">
        <v>94</v>
      </c>
      <c r="S1310" s="34" t="s">
        <v>22</v>
      </c>
      <c r="T1310" s="36" t="s">
        <v>26781</v>
      </c>
      <c r="U1310" s="36" t="s">
        <v>26570</v>
      </c>
      <c r="V1310" s="36" t="s">
        <v>26573</v>
      </c>
      <c r="W1310" s="36" t="s">
        <v>94</v>
      </c>
      <c r="X1310" s="36">
        <v>4126</v>
      </c>
      <c r="Y1310" s="1"/>
      <c r="Z1310" s="34" t="s">
        <v>42968</v>
      </c>
      <c r="AA1310" s="33">
        <v>6358</v>
      </c>
      <c r="AG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row>
    <row r="1311" spans="1:64" ht="12" customHeight="1" x14ac:dyDescent="0.15">
      <c r="A1311" s="34" t="s">
        <v>35327</v>
      </c>
      <c r="B1311" s="34">
        <v>26</v>
      </c>
      <c r="C1311" s="34" t="s">
        <v>14</v>
      </c>
      <c r="D1311" s="34" t="s">
        <v>128</v>
      </c>
      <c r="E1311" s="35" t="s">
        <v>35328</v>
      </c>
      <c r="F1311" s="67">
        <v>43392</v>
      </c>
      <c r="G1311" s="34" t="s">
        <v>35329</v>
      </c>
      <c r="H1311" s="34" t="s">
        <v>408</v>
      </c>
      <c r="I1311" s="34" t="s">
        <v>409</v>
      </c>
      <c r="J1311" s="34">
        <v>54311</v>
      </c>
      <c r="K1311" s="34" t="s">
        <v>3728</v>
      </c>
      <c r="L1311" s="34" t="s">
        <v>3729</v>
      </c>
      <c r="M1311" s="34" t="s">
        <v>21</v>
      </c>
      <c r="N1311" s="34" t="s">
        <v>35330</v>
      </c>
      <c r="O1311" s="34" t="s">
        <v>372</v>
      </c>
      <c r="P1311" s="34" t="s">
        <v>30089</v>
      </c>
      <c r="Q1311" s="35" t="s">
        <v>35331</v>
      </c>
      <c r="R1311" s="34" t="s">
        <v>94</v>
      </c>
      <c r="S1311" s="34" t="s">
        <v>29</v>
      </c>
      <c r="T1311" s="33" t="s">
        <v>41840</v>
      </c>
      <c r="U1311" s="34"/>
      <c r="V1311" s="34"/>
      <c r="W1311" s="34"/>
      <c r="X1311" s="34"/>
      <c r="Y1311" s="1"/>
      <c r="Z1311" s="34" t="s">
        <v>42968</v>
      </c>
      <c r="AA1311" s="33">
        <v>6355</v>
      </c>
      <c r="AG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row>
    <row r="1312" spans="1:64" ht="12" customHeight="1" x14ac:dyDescent="0.15">
      <c r="A1312" s="34" t="s">
        <v>35322</v>
      </c>
      <c r="B1312" s="34">
        <v>21</v>
      </c>
      <c r="C1312" s="34" t="s">
        <v>14</v>
      </c>
      <c r="D1312" s="34" t="s">
        <v>79</v>
      </c>
      <c r="E1312" s="35" t="s">
        <v>35323</v>
      </c>
      <c r="F1312" s="67">
        <v>43392</v>
      </c>
      <c r="G1312" s="34" t="s">
        <v>35324</v>
      </c>
      <c r="H1312" s="34" t="s">
        <v>3910</v>
      </c>
      <c r="I1312" s="34" t="s">
        <v>56</v>
      </c>
      <c r="J1312" s="34">
        <v>33169</v>
      </c>
      <c r="K1312" s="34" t="s">
        <v>148</v>
      </c>
      <c r="L1312" s="34" t="s">
        <v>3912</v>
      </c>
      <c r="M1312" s="34" t="s">
        <v>21</v>
      </c>
      <c r="N1312" s="34" t="s">
        <v>35325</v>
      </c>
      <c r="O1312" s="34" t="s">
        <v>372</v>
      </c>
      <c r="P1312" s="34" t="s">
        <v>30089</v>
      </c>
      <c r="Q1312" s="35" t="s">
        <v>35326</v>
      </c>
      <c r="R1312" s="34" t="s">
        <v>94</v>
      </c>
      <c r="S1312" s="34" t="s">
        <v>351</v>
      </c>
      <c r="T1312" s="36" t="s">
        <v>26867</v>
      </c>
      <c r="U1312" s="36" t="s">
        <v>26572</v>
      </c>
      <c r="V1312" s="36" t="s">
        <v>26571</v>
      </c>
      <c r="W1312" s="36" t="s">
        <v>94</v>
      </c>
      <c r="X1312" s="36">
        <v>4116</v>
      </c>
      <c r="Y1312" s="1"/>
      <c r="Z1312" s="34" t="s">
        <v>42968</v>
      </c>
      <c r="AA1312" s="33">
        <v>6356</v>
      </c>
      <c r="AG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row>
    <row r="1313" spans="1:64" ht="12" customHeight="1" x14ac:dyDescent="0.15">
      <c r="A1313" s="34" t="s">
        <v>35318</v>
      </c>
      <c r="B1313" s="34">
        <v>25</v>
      </c>
      <c r="C1313" s="34" t="s">
        <v>14</v>
      </c>
      <c r="D1313" s="34" t="s">
        <v>31</v>
      </c>
      <c r="E1313" s="34"/>
      <c r="F1313" s="67">
        <v>43392</v>
      </c>
      <c r="G1313" s="34" t="s">
        <v>35319</v>
      </c>
      <c r="H1313" s="34" t="s">
        <v>1423</v>
      </c>
      <c r="I1313" s="34" t="s">
        <v>40</v>
      </c>
      <c r="J1313" s="34">
        <v>2302</v>
      </c>
      <c r="K1313" s="34" t="s">
        <v>1008</v>
      </c>
      <c r="L1313" s="34" t="s">
        <v>1424</v>
      </c>
      <c r="M1313" s="34" t="s">
        <v>21</v>
      </c>
      <c r="N1313" s="34" t="s">
        <v>35320</v>
      </c>
      <c r="O1313" s="34" t="s">
        <v>372</v>
      </c>
      <c r="P1313" s="34" t="s">
        <v>30089</v>
      </c>
      <c r="Q1313" s="35" t="s">
        <v>35321</v>
      </c>
      <c r="R1313" s="34" t="s">
        <v>512</v>
      </c>
      <c r="S1313" s="34" t="s">
        <v>22</v>
      </c>
      <c r="T1313" s="36" t="s">
        <v>26774</v>
      </c>
      <c r="U1313" s="36" t="s">
        <v>26570</v>
      </c>
      <c r="V1313" s="36" t="s">
        <v>26573</v>
      </c>
      <c r="W1313" s="36" t="s">
        <v>94</v>
      </c>
      <c r="X1313" s="36">
        <v>4124</v>
      </c>
      <c r="Y1313" s="1"/>
      <c r="Z1313" s="34" t="s">
        <v>42968</v>
      </c>
      <c r="AA1313" s="33">
        <v>6354</v>
      </c>
      <c r="AG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row>
    <row r="1314" spans="1:64" ht="12" customHeight="1" x14ac:dyDescent="0.15">
      <c r="A1314" s="34" t="s">
        <v>35332</v>
      </c>
      <c r="B1314" s="34">
        <v>63</v>
      </c>
      <c r="C1314" s="34" t="s">
        <v>14</v>
      </c>
      <c r="D1314" s="34" t="s">
        <v>79</v>
      </c>
      <c r="E1314" s="34"/>
      <c r="F1314" s="67">
        <v>43391</v>
      </c>
      <c r="G1314" s="34" t="s">
        <v>35786</v>
      </c>
      <c r="H1314" s="34" t="s">
        <v>1037</v>
      </c>
      <c r="I1314" s="34" t="s">
        <v>160</v>
      </c>
      <c r="J1314" s="34">
        <v>30655</v>
      </c>
      <c r="K1314" s="34" t="s">
        <v>24284</v>
      </c>
      <c r="L1314" s="34" t="s">
        <v>35333</v>
      </c>
      <c r="M1314" s="34" t="s">
        <v>21</v>
      </c>
      <c r="N1314" s="34" t="s">
        <v>35334</v>
      </c>
      <c r="O1314" s="34" t="s">
        <v>372</v>
      </c>
      <c r="P1314" s="34" t="s">
        <v>30089</v>
      </c>
      <c r="Q1314" s="35" t="s">
        <v>35335</v>
      </c>
      <c r="R1314" s="34" t="s">
        <v>512</v>
      </c>
      <c r="S1314" s="34" t="s">
        <v>12</v>
      </c>
      <c r="T1314" s="36" t="s">
        <v>29425</v>
      </c>
      <c r="U1314" s="36" t="s">
        <v>26572</v>
      </c>
      <c r="V1314" s="36" t="s">
        <v>26573</v>
      </c>
      <c r="W1314" s="36" t="s">
        <v>94</v>
      </c>
      <c r="X1314" s="36">
        <v>4161</v>
      </c>
      <c r="Y1314" s="1"/>
      <c r="Z1314" s="34" t="s">
        <v>42967</v>
      </c>
      <c r="AA1314" s="33">
        <v>6348</v>
      </c>
      <c r="AG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row>
    <row r="1315" spans="1:64" ht="12" customHeight="1" x14ac:dyDescent="0.15">
      <c r="A1315" s="34" t="s">
        <v>35336</v>
      </c>
      <c r="B1315" s="34">
        <v>18</v>
      </c>
      <c r="C1315" s="34" t="s">
        <v>14</v>
      </c>
      <c r="D1315" s="34" t="s">
        <v>31</v>
      </c>
      <c r="E1315" s="34"/>
      <c r="F1315" s="67">
        <v>43391</v>
      </c>
      <c r="G1315" s="34" t="s">
        <v>35337</v>
      </c>
      <c r="H1315" s="34" t="s">
        <v>35338</v>
      </c>
      <c r="I1315" s="34" t="s">
        <v>192</v>
      </c>
      <c r="J1315" s="34">
        <v>80033</v>
      </c>
      <c r="K1315" s="34" t="s">
        <v>1659</v>
      </c>
      <c r="L1315" s="34" t="s">
        <v>10675</v>
      </c>
      <c r="M1315" s="34" t="s">
        <v>21</v>
      </c>
      <c r="N1315" s="34" t="s">
        <v>35339</v>
      </c>
      <c r="O1315" s="34" t="s">
        <v>372</v>
      </c>
      <c r="P1315" s="34" t="s">
        <v>30089</v>
      </c>
      <c r="Q1315" s="35" t="s">
        <v>35340</v>
      </c>
      <c r="R1315" s="34" t="s">
        <v>94</v>
      </c>
      <c r="S1315" s="34" t="s">
        <v>29</v>
      </c>
      <c r="T1315" s="36" t="s">
        <v>26575</v>
      </c>
      <c r="U1315" s="36" t="s">
        <v>26572</v>
      </c>
      <c r="V1315" s="36" t="s">
        <v>19228</v>
      </c>
      <c r="W1315" s="36" t="s">
        <v>94</v>
      </c>
      <c r="X1315" s="36">
        <v>4113</v>
      </c>
      <c r="Y1315" s="1"/>
      <c r="Z1315" s="34" t="s">
        <v>42968</v>
      </c>
      <c r="AA1315" s="33">
        <v>6350</v>
      </c>
      <c r="AG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row>
    <row r="1316" spans="1:64" ht="12" customHeight="1" x14ac:dyDescent="0.15">
      <c r="A1316" s="34" t="s">
        <v>35356</v>
      </c>
      <c r="B1316" s="34">
        <v>27</v>
      </c>
      <c r="C1316" s="34" t="s">
        <v>14</v>
      </c>
      <c r="D1316" s="34" t="s">
        <v>24</v>
      </c>
      <c r="E1316" s="34"/>
      <c r="F1316" s="67">
        <v>43391</v>
      </c>
      <c r="G1316" s="34" t="s">
        <v>35357</v>
      </c>
      <c r="H1316" s="34" t="s">
        <v>22398</v>
      </c>
      <c r="I1316" s="34" t="s">
        <v>160</v>
      </c>
      <c r="J1316" s="34">
        <v>30121</v>
      </c>
      <c r="K1316" s="34" t="s">
        <v>1046</v>
      </c>
      <c r="L1316" s="34" t="s">
        <v>17985</v>
      </c>
      <c r="M1316" s="34" t="s">
        <v>21</v>
      </c>
      <c r="N1316" s="34" t="s">
        <v>35358</v>
      </c>
      <c r="O1316" s="34" t="s">
        <v>372</v>
      </c>
      <c r="P1316" s="34" t="s">
        <v>30089</v>
      </c>
      <c r="Q1316" s="35" t="s">
        <v>35359</v>
      </c>
      <c r="R1316" s="34" t="s">
        <v>94</v>
      </c>
      <c r="S1316" s="34" t="s">
        <v>29</v>
      </c>
      <c r="T1316" s="33" t="s">
        <v>41840</v>
      </c>
      <c r="U1316" s="36"/>
      <c r="V1316" s="36"/>
      <c r="W1316" s="36"/>
      <c r="X1316" s="36"/>
      <c r="Y1316" s="1"/>
      <c r="Z1316" s="34" t="s">
        <v>42968</v>
      </c>
      <c r="AA1316" s="33">
        <v>6349</v>
      </c>
      <c r="AG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row>
    <row r="1317" spans="1:64" ht="12" customHeight="1" x14ac:dyDescent="0.15">
      <c r="A1317" s="34" t="s">
        <v>35352</v>
      </c>
      <c r="B1317" s="34">
        <v>38</v>
      </c>
      <c r="C1317" s="34" t="s">
        <v>14</v>
      </c>
      <c r="D1317" s="34" t="s">
        <v>31</v>
      </c>
      <c r="E1317" s="34"/>
      <c r="F1317" s="67">
        <v>43391</v>
      </c>
      <c r="G1317" s="34" t="s">
        <v>35353</v>
      </c>
      <c r="H1317" s="34" t="s">
        <v>14496</v>
      </c>
      <c r="I1317" s="34" t="s">
        <v>409</v>
      </c>
      <c r="J1317" s="34">
        <v>53121</v>
      </c>
      <c r="K1317" s="34" t="s">
        <v>14498</v>
      </c>
      <c r="L1317" s="34" t="s">
        <v>14499</v>
      </c>
      <c r="M1317" s="34" t="s">
        <v>21</v>
      </c>
      <c r="N1317" s="34" t="s">
        <v>35354</v>
      </c>
      <c r="O1317" s="34" t="s">
        <v>372</v>
      </c>
      <c r="P1317" s="34" t="s">
        <v>30089</v>
      </c>
      <c r="Q1317" s="35" t="s">
        <v>35355</v>
      </c>
      <c r="R1317" s="34" t="s">
        <v>94</v>
      </c>
      <c r="S1317" s="34" t="s">
        <v>351</v>
      </c>
      <c r="T1317" s="36" t="s">
        <v>26867</v>
      </c>
      <c r="U1317" s="36" t="s">
        <v>26572</v>
      </c>
      <c r="V1317" s="36" t="s">
        <v>26571</v>
      </c>
      <c r="W1317" s="36" t="s">
        <v>94</v>
      </c>
      <c r="X1317" s="36">
        <v>4115</v>
      </c>
      <c r="Y1317" s="1"/>
      <c r="Z1317" s="34" t="s">
        <v>42967</v>
      </c>
      <c r="AA1317" s="33">
        <v>6353</v>
      </c>
      <c r="AG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row>
    <row r="1318" spans="1:64" ht="12" customHeight="1" x14ac:dyDescent="0.15">
      <c r="A1318" s="34" t="s">
        <v>35341</v>
      </c>
      <c r="B1318" s="34">
        <v>19</v>
      </c>
      <c r="C1318" s="34" t="s">
        <v>14</v>
      </c>
      <c r="D1318" s="34" t="s">
        <v>79</v>
      </c>
      <c r="E1318" s="35" t="s">
        <v>35342</v>
      </c>
      <c r="F1318" s="67">
        <v>43391</v>
      </c>
      <c r="G1318" s="34" t="s">
        <v>35343</v>
      </c>
      <c r="H1318" s="34" t="s">
        <v>2905</v>
      </c>
      <c r="I1318" s="34" t="s">
        <v>75</v>
      </c>
      <c r="J1318" s="34">
        <v>8360</v>
      </c>
      <c r="K1318" s="34" t="s">
        <v>2907</v>
      </c>
      <c r="L1318" s="34" t="s">
        <v>36428</v>
      </c>
      <c r="M1318" s="34" t="s">
        <v>21</v>
      </c>
      <c r="N1318" s="34" t="s">
        <v>35344</v>
      </c>
      <c r="O1318" s="34" t="s">
        <v>372</v>
      </c>
      <c r="P1318" s="34" t="s">
        <v>30089</v>
      </c>
      <c r="Q1318" s="35" t="s">
        <v>35345</v>
      </c>
      <c r="R1318" s="34" t="s">
        <v>94</v>
      </c>
      <c r="S1318" s="34" t="s">
        <v>29</v>
      </c>
      <c r="T1318" s="36" t="s">
        <v>26575</v>
      </c>
      <c r="U1318" s="36" t="s">
        <v>26570</v>
      </c>
      <c r="V1318" s="36" t="s">
        <v>26573</v>
      </c>
      <c r="W1318" s="36" t="s">
        <v>94</v>
      </c>
      <c r="X1318" s="36">
        <v>4117</v>
      </c>
      <c r="Y1318" s="1"/>
      <c r="Z1318" s="34" t="s">
        <v>42968</v>
      </c>
      <c r="AA1318" s="33">
        <v>6352</v>
      </c>
      <c r="AG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row>
    <row r="1319" spans="1:64" ht="12" customHeight="1" x14ac:dyDescent="0.15">
      <c r="A1319" s="34" t="s">
        <v>35346</v>
      </c>
      <c r="B1319" s="34">
        <v>23</v>
      </c>
      <c r="C1319" s="34" t="s">
        <v>14</v>
      </c>
      <c r="D1319" s="34" t="s">
        <v>31</v>
      </c>
      <c r="E1319" s="35" t="s">
        <v>35347</v>
      </c>
      <c r="F1319" s="67">
        <v>43391</v>
      </c>
      <c r="G1319" s="34" t="s">
        <v>35348</v>
      </c>
      <c r="H1319" s="34" t="s">
        <v>220</v>
      </c>
      <c r="I1319" s="34" t="s">
        <v>221</v>
      </c>
      <c r="J1319" s="34">
        <v>84111</v>
      </c>
      <c r="K1319" s="34" t="s">
        <v>564</v>
      </c>
      <c r="L1319" s="34" t="s">
        <v>35349</v>
      </c>
      <c r="M1319" s="34" t="s">
        <v>21</v>
      </c>
      <c r="N1319" s="34" t="s">
        <v>35350</v>
      </c>
      <c r="O1319" s="34" t="s">
        <v>372</v>
      </c>
      <c r="P1319" s="34" t="s">
        <v>30089</v>
      </c>
      <c r="Q1319" s="35" t="s">
        <v>35351</v>
      </c>
      <c r="R1319" s="34" t="s">
        <v>94</v>
      </c>
      <c r="S1319" s="34" t="s">
        <v>29</v>
      </c>
      <c r="T1319" s="36" t="s">
        <v>26575</v>
      </c>
      <c r="U1319" s="36" t="s">
        <v>26570</v>
      </c>
      <c r="V1319" s="36" t="s">
        <v>26571</v>
      </c>
      <c r="W1319" s="36" t="s">
        <v>94</v>
      </c>
      <c r="X1319" s="36">
        <v>4114</v>
      </c>
      <c r="Y1319" s="1"/>
      <c r="Z1319" s="34" t="s">
        <v>42966</v>
      </c>
      <c r="AA1319" s="33">
        <v>6351</v>
      </c>
      <c r="AG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row>
    <row r="1320" spans="1:64" ht="12" customHeight="1" x14ac:dyDescent="0.15">
      <c r="A1320" s="34" t="s">
        <v>35360</v>
      </c>
      <c r="B1320" s="34">
        <v>19</v>
      </c>
      <c r="C1320" s="34" t="s">
        <v>14</v>
      </c>
      <c r="D1320" s="34" t="s">
        <v>79</v>
      </c>
      <c r="E1320" s="35" t="s">
        <v>35361</v>
      </c>
      <c r="F1320" s="67">
        <v>43390</v>
      </c>
      <c r="G1320" s="34" t="s">
        <v>35362</v>
      </c>
      <c r="H1320" s="34" t="s">
        <v>1116</v>
      </c>
      <c r="I1320" s="34" t="s">
        <v>298</v>
      </c>
      <c r="J1320" s="34">
        <v>38115</v>
      </c>
      <c r="K1320" s="34" t="s">
        <v>1117</v>
      </c>
      <c r="L1320" s="34" t="s">
        <v>22474</v>
      </c>
      <c r="M1320" s="34" t="s">
        <v>21</v>
      </c>
      <c r="N1320" s="34" t="s">
        <v>35363</v>
      </c>
      <c r="O1320" s="34" t="s">
        <v>372</v>
      </c>
      <c r="P1320" s="34" t="s">
        <v>30089</v>
      </c>
      <c r="Q1320" s="35" t="s">
        <v>35364</v>
      </c>
      <c r="R1320" s="34" t="s">
        <v>94</v>
      </c>
      <c r="S1320" s="34" t="s">
        <v>22</v>
      </c>
      <c r="T1320" s="36" t="s">
        <v>26781</v>
      </c>
      <c r="U1320" s="36" t="s">
        <v>26572</v>
      </c>
      <c r="V1320" s="36" t="s">
        <v>26574</v>
      </c>
      <c r="W1320" s="36" t="s">
        <v>94</v>
      </c>
      <c r="X1320" s="36">
        <v>4105</v>
      </c>
      <c r="Y1320" s="1"/>
      <c r="Z1320" s="34" t="s">
        <v>42968</v>
      </c>
      <c r="AA1320" s="33">
        <v>6344</v>
      </c>
      <c r="AG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row>
    <row r="1321" spans="1:64" ht="12" customHeight="1" x14ac:dyDescent="0.15">
      <c r="A1321" s="34" t="s">
        <v>35365</v>
      </c>
      <c r="B1321" s="34">
        <v>29</v>
      </c>
      <c r="C1321" s="34" t="s">
        <v>14</v>
      </c>
      <c r="D1321" s="34" t="s">
        <v>31</v>
      </c>
      <c r="E1321" s="34"/>
      <c r="F1321" s="67">
        <v>43390</v>
      </c>
      <c r="G1321" s="34" t="s">
        <v>35366</v>
      </c>
      <c r="H1321" s="34" t="s">
        <v>550</v>
      </c>
      <c r="I1321" s="34" t="s">
        <v>282</v>
      </c>
      <c r="J1321" s="34">
        <v>98632</v>
      </c>
      <c r="K1321" s="34" t="s">
        <v>1780</v>
      </c>
      <c r="L1321" s="34" t="s">
        <v>35367</v>
      </c>
      <c r="M1321" s="34" t="s">
        <v>21</v>
      </c>
      <c r="N1321" s="34" t="s">
        <v>35368</v>
      </c>
      <c r="O1321" s="34" t="s">
        <v>372</v>
      </c>
      <c r="P1321" s="34" t="s">
        <v>30089</v>
      </c>
      <c r="Q1321" s="35" t="s">
        <v>35369</v>
      </c>
      <c r="R1321" s="34" t="s">
        <v>94</v>
      </c>
      <c r="S1321" s="34" t="s">
        <v>22</v>
      </c>
      <c r="T1321" s="36" t="s">
        <v>26781</v>
      </c>
      <c r="U1321" s="36" t="s">
        <v>26572</v>
      </c>
      <c r="V1321" s="36" t="s">
        <v>26574</v>
      </c>
      <c r="W1321" s="36" t="s">
        <v>94</v>
      </c>
      <c r="X1321" s="36">
        <v>4104</v>
      </c>
      <c r="Y1321" s="1"/>
      <c r="Z1321" s="34" t="s">
        <v>42968</v>
      </c>
      <c r="AA1321" s="33">
        <v>6343</v>
      </c>
      <c r="AG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row>
    <row r="1322" spans="1:64" ht="12" customHeight="1" x14ac:dyDescent="0.15">
      <c r="A1322" s="34" t="s">
        <v>35377</v>
      </c>
      <c r="B1322" s="34">
        <v>18</v>
      </c>
      <c r="C1322" s="34" t="s">
        <v>14</v>
      </c>
      <c r="D1322" s="34" t="s">
        <v>79</v>
      </c>
      <c r="E1322" s="34"/>
      <c r="F1322" s="67">
        <v>43390</v>
      </c>
      <c r="G1322" s="34" t="s">
        <v>35378</v>
      </c>
      <c r="H1322" s="34" t="s">
        <v>532</v>
      </c>
      <c r="I1322" s="34" t="s">
        <v>67</v>
      </c>
      <c r="J1322" s="34">
        <v>78207</v>
      </c>
      <c r="K1322" s="34" t="s">
        <v>533</v>
      </c>
      <c r="L1322" s="34" t="s">
        <v>534</v>
      </c>
      <c r="M1322" s="34" t="s">
        <v>21</v>
      </c>
      <c r="N1322" s="34" t="s">
        <v>35379</v>
      </c>
      <c r="O1322" s="34" t="s">
        <v>372</v>
      </c>
      <c r="P1322" s="34" t="s">
        <v>30089</v>
      </c>
      <c r="Q1322" s="35" t="s">
        <v>35380</v>
      </c>
      <c r="R1322" s="34" t="s">
        <v>94</v>
      </c>
      <c r="S1322" s="34" t="s">
        <v>12</v>
      </c>
      <c r="T1322" s="36" t="s">
        <v>29705</v>
      </c>
      <c r="U1322" s="36" t="s">
        <v>26570</v>
      </c>
      <c r="V1322" s="36" t="s">
        <v>26573</v>
      </c>
      <c r="W1322" s="36" t="s">
        <v>94</v>
      </c>
      <c r="X1322" s="36">
        <v>4106</v>
      </c>
      <c r="Y1322" s="1"/>
      <c r="Z1322" s="34" t="s">
        <v>42966</v>
      </c>
      <c r="AA1322" s="33">
        <v>6347</v>
      </c>
      <c r="AG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row>
    <row r="1323" spans="1:64" ht="12" customHeight="1" x14ac:dyDescent="0.15">
      <c r="A1323" s="34" t="s">
        <v>35371</v>
      </c>
      <c r="B1323" s="34">
        <v>61</v>
      </c>
      <c r="C1323" s="34" t="s">
        <v>14</v>
      </c>
      <c r="D1323" s="34" t="s">
        <v>31</v>
      </c>
      <c r="E1323" s="35" t="s">
        <v>35372</v>
      </c>
      <c r="F1323" s="67">
        <v>43390</v>
      </c>
      <c r="G1323" s="34" t="s">
        <v>35373</v>
      </c>
      <c r="H1323" s="34" t="s">
        <v>35374</v>
      </c>
      <c r="I1323" s="34" t="s">
        <v>221</v>
      </c>
      <c r="J1323" s="34">
        <v>84118</v>
      </c>
      <c r="K1323" s="34" t="s">
        <v>564</v>
      </c>
      <c r="L1323" s="34" t="s">
        <v>33011</v>
      </c>
      <c r="M1323" s="34" t="s">
        <v>4966</v>
      </c>
      <c r="N1323" s="34" t="s">
        <v>35375</v>
      </c>
      <c r="O1323" s="34" t="s">
        <v>372</v>
      </c>
      <c r="P1323" s="34" t="s">
        <v>30089</v>
      </c>
      <c r="Q1323" s="35" t="s">
        <v>35376</v>
      </c>
      <c r="R1323" s="34" t="s">
        <v>94</v>
      </c>
      <c r="S1323" s="34" t="s">
        <v>22</v>
      </c>
      <c r="T1323" s="36" t="s">
        <v>26774</v>
      </c>
      <c r="U1323" s="36" t="s">
        <v>26570</v>
      </c>
      <c r="V1323" s="36"/>
      <c r="W1323" s="36" t="s">
        <v>94</v>
      </c>
      <c r="X1323" s="36">
        <v>4129</v>
      </c>
      <c r="Y1323" s="1"/>
      <c r="Z1323" s="34" t="s">
        <v>42968</v>
      </c>
      <c r="AA1323" s="33">
        <v>6346</v>
      </c>
      <c r="AG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row>
    <row r="1324" spans="1:64" ht="12" customHeight="1" x14ac:dyDescent="0.15">
      <c r="A1324" s="34" t="s">
        <v>3002</v>
      </c>
      <c r="B1324" s="34"/>
      <c r="C1324" s="34" t="s">
        <v>14</v>
      </c>
      <c r="D1324" s="34" t="s">
        <v>24</v>
      </c>
      <c r="E1324" s="34"/>
      <c r="F1324" s="67">
        <v>43390</v>
      </c>
      <c r="G1324" s="34"/>
      <c r="H1324" s="36" t="s">
        <v>35370</v>
      </c>
      <c r="I1324" s="36" t="s">
        <v>67</v>
      </c>
      <c r="J1324" s="34"/>
      <c r="K1324" s="34"/>
      <c r="L1324" s="34"/>
      <c r="M1324" s="34" t="s">
        <v>21</v>
      </c>
      <c r="N1324" s="34"/>
      <c r="O1324" s="34" t="s">
        <v>372</v>
      </c>
      <c r="P1324" s="34" t="s">
        <v>30089</v>
      </c>
      <c r="Q1324" s="35"/>
      <c r="R1324" s="34"/>
      <c r="S1324" s="34" t="s">
        <v>22</v>
      </c>
      <c r="T1324" s="36" t="s">
        <v>26774</v>
      </c>
      <c r="U1324" s="36" t="s">
        <v>26570</v>
      </c>
      <c r="V1324" s="36" t="s">
        <v>26573</v>
      </c>
      <c r="W1324" s="36" t="s">
        <v>94</v>
      </c>
      <c r="X1324" s="36">
        <v>4112</v>
      </c>
      <c r="Y1324" s="1"/>
      <c r="Z1324" s="34" t="e">
        <v>#N/A</v>
      </c>
      <c r="AA1324" s="33">
        <v>6345</v>
      </c>
      <c r="AG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row>
    <row r="1325" spans="1:64" ht="12" customHeight="1" x14ac:dyDescent="0.15">
      <c r="A1325" s="34" t="s">
        <v>35381</v>
      </c>
      <c r="B1325" s="34">
        <v>45</v>
      </c>
      <c r="C1325" s="34" t="s">
        <v>14</v>
      </c>
      <c r="D1325" s="34" t="s">
        <v>24</v>
      </c>
      <c r="E1325" s="34"/>
      <c r="F1325" s="67">
        <v>43389</v>
      </c>
      <c r="G1325" s="34" t="s">
        <v>35382</v>
      </c>
      <c r="H1325" s="34" t="s">
        <v>826</v>
      </c>
      <c r="I1325" s="34" t="s">
        <v>282</v>
      </c>
      <c r="J1325" s="34">
        <v>98404</v>
      </c>
      <c r="K1325" s="34" t="s">
        <v>827</v>
      </c>
      <c r="L1325" s="34" t="s">
        <v>35383</v>
      </c>
      <c r="M1325" s="34" t="s">
        <v>21</v>
      </c>
      <c r="N1325" s="34" t="s">
        <v>35384</v>
      </c>
      <c r="O1325" s="34" t="s">
        <v>372</v>
      </c>
      <c r="P1325" s="34" t="s">
        <v>30089</v>
      </c>
      <c r="Q1325" s="35" t="s">
        <v>35385</v>
      </c>
      <c r="R1325" s="34" t="s">
        <v>94</v>
      </c>
      <c r="S1325" s="34" t="s">
        <v>351</v>
      </c>
      <c r="T1325" s="36" t="s">
        <v>26867</v>
      </c>
      <c r="U1325" s="36" t="s">
        <v>26572</v>
      </c>
      <c r="V1325" s="36" t="s">
        <v>26573</v>
      </c>
      <c r="W1325" s="36" t="s">
        <v>94</v>
      </c>
      <c r="X1325" s="36">
        <v>4107</v>
      </c>
      <c r="Y1325" s="1"/>
      <c r="Z1325" s="34" t="s">
        <v>42968</v>
      </c>
      <c r="AA1325" s="33">
        <v>6342</v>
      </c>
      <c r="AG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row>
    <row r="1326" spans="1:64" ht="12" customHeight="1" x14ac:dyDescent="0.15">
      <c r="A1326" s="34" t="s">
        <v>35386</v>
      </c>
      <c r="B1326" s="34">
        <v>58</v>
      </c>
      <c r="C1326" s="34" t="s">
        <v>14</v>
      </c>
      <c r="D1326" s="34" t="s">
        <v>42</v>
      </c>
      <c r="E1326" s="35" t="s">
        <v>35387</v>
      </c>
      <c r="F1326" s="67">
        <v>43388</v>
      </c>
      <c r="G1326" s="34" t="s">
        <v>35388</v>
      </c>
      <c r="H1326" s="34" t="s">
        <v>1202</v>
      </c>
      <c r="I1326" s="34" t="s">
        <v>63</v>
      </c>
      <c r="J1326" s="34">
        <v>43204</v>
      </c>
      <c r="K1326" s="34" t="s">
        <v>1203</v>
      </c>
      <c r="L1326" s="34" t="s">
        <v>1204</v>
      </c>
      <c r="M1326" s="34" t="s">
        <v>21</v>
      </c>
      <c r="N1326" s="34" t="s">
        <v>35389</v>
      </c>
      <c r="O1326" s="34" t="s">
        <v>372</v>
      </c>
      <c r="P1326" s="34" t="s">
        <v>30089</v>
      </c>
      <c r="Q1326" s="35" t="s">
        <v>35390</v>
      </c>
      <c r="R1326" s="34" t="s">
        <v>94</v>
      </c>
      <c r="S1326" s="34" t="s">
        <v>22</v>
      </c>
      <c r="T1326" s="36" t="s">
        <v>26781</v>
      </c>
      <c r="U1326" s="36" t="s">
        <v>26572</v>
      </c>
      <c r="V1326" s="36"/>
      <c r="W1326" s="36" t="s">
        <v>94</v>
      </c>
      <c r="X1326" s="36">
        <v>4108</v>
      </c>
      <c r="Y1326" s="1"/>
      <c r="Z1326" s="34" t="s">
        <v>42968</v>
      </c>
      <c r="AA1326" s="33">
        <v>6341</v>
      </c>
      <c r="AG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row>
    <row r="1327" spans="1:64" ht="12" customHeight="1" x14ac:dyDescent="0.15">
      <c r="A1327" s="34" t="s">
        <v>35404</v>
      </c>
      <c r="B1327" s="34">
        <v>17</v>
      </c>
      <c r="C1327" s="34" t="s">
        <v>14</v>
      </c>
      <c r="D1327" s="34" t="s">
        <v>42</v>
      </c>
      <c r="E1327" s="35" t="s">
        <v>35405</v>
      </c>
      <c r="F1327" s="67">
        <v>43387</v>
      </c>
      <c r="G1327" s="34" t="s">
        <v>35406</v>
      </c>
      <c r="H1327" s="34" t="s">
        <v>18940</v>
      </c>
      <c r="I1327" s="34" t="s">
        <v>39</v>
      </c>
      <c r="J1327" s="34">
        <v>93257</v>
      </c>
      <c r="K1327" s="34" t="s">
        <v>1088</v>
      </c>
      <c r="L1327" s="34" t="s">
        <v>18266</v>
      </c>
      <c r="M1327" s="34" t="s">
        <v>21</v>
      </c>
      <c r="N1327" s="34" t="s">
        <v>35407</v>
      </c>
      <c r="O1327" s="34" t="s">
        <v>372</v>
      </c>
      <c r="P1327" s="34" t="s">
        <v>30089</v>
      </c>
      <c r="Q1327" s="35" t="s">
        <v>35408</v>
      </c>
      <c r="R1327" s="34" t="s">
        <v>512</v>
      </c>
      <c r="S1327" s="34" t="s">
        <v>22</v>
      </c>
      <c r="T1327" s="36" t="s">
        <v>26774</v>
      </c>
      <c r="U1327" s="36" t="s">
        <v>26572</v>
      </c>
      <c r="V1327" s="36" t="s">
        <v>26573</v>
      </c>
      <c r="W1327" s="36" t="s">
        <v>94</v>
      </c>
      <c r="X1327" s="36">
        <v>4091</v>
      </c>
      <c r="Y1327" s="1"/>
      <c r="Z1327" s="34" t="s">
        <v>42968</v>
      </c>
      <c r="AA1327" s="33">
        <v>6339</v>
      </c>
      <c r="AG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row>
    <row r="1328" spans="1:64" ht="12" customHeight="1" x14ac:dyDescent="0.15">
      <c r="A1328" s="34" t="s">
        <v>3002</v>
      </c>
      <c r="B1328" s="34"/>
      <c r="C1328" s="34" t="s">
        <v>14</v>
      </c>
      <c r="D1328" s="34" t="s">
        <v>24</v>
      </c>
      <c r="E1328" s="34"/>
      <c r="F1328" s="67">
        <v>43387</v>
      </c>
      <c r="G1328" s="34" t="s">
        <v>35409</v>
      </c>
      <c r="H1328" s="34" t="s">
        <v>2595</v>
      </c>
      <c r="I1328" s="34" t="s">
        <v>56</v>
      </c>
      <c r="J1328" s="34">
        <v>32404</v>
      </c>
      <c r="K1328" s="34" t="s">
        <v>2597</v>
      </c>
      <c r="L1328" s="34" t="s">
        <v>35410</v>
      </c>
      <c r="M1328" s="34" t="s">
        <v>21</v>
      </c>
      <c r="N1328" s="34" t="s">
        <v>35411</v>
      </c>
      <c r="O1328" s="34" t="s">
        <v>372</v>
      </c>
      <c r="P1328" s="34" t="s">
        <v>30089</v>
      </c>
      <c r="Q1328" s="35" t="s">
        <v>35412</v>
      </c>
      <c r="R1328" s="34" t="s">
        <v>94</v>
      </c>
      <c r="S1328" s="34" t="s">
        <v>12</v>
      </c>
      <c r="T1328" s="36" t="s">
        <v>29705</v>
      </c>
      <c r="U1328" s="36" t="s">
        <v>26570</v>
      </c>
      <c r="V1328" s="36"/>
      <c r="W1328" s="36"/>
      <c r="X1328" s="36"/>
      <c r="Y1328" s="1"/>
      <c r="Z1328" s="34" t="s">
        <v>42968</v>
      </c>
      <c r="AA1328" s="33">
        <v>6340</v>
      </c>
      <c r="AG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row>
    <row r="1329" spans="1:64" ht="12" customHeight="1" x14ac:dyDescent="0.15">
      <c r="A1329" s="34" t="s">
        <v>35391</v>
      </c>
      <c r="B1329" s="34">
        <v>41</v>
      </c>
      <c r="C1329" s="34" t="s">
        <v>14</v>
      </c>
      <c r="D1329" s="34" t="s">
        <v>31</v>
      </c>
      <c r="E1329" s="34"/>
      <c r="F1329" s="67">
        <v>43387</v>
      </c>
      <c r="G1329" s="34" t="s">
        <v>35392</v>
      </c>
      <c r="H1329" s="34" t="s">
        <v>10316</v>
      </c>
      <c r="I1329" s="34" t="s">
        <v>160</v>
      </c>
      <c r="J1329" s="34">
        <v>30507</v>
      </c>
      <c r="K1329" s="34" t="s">
        <v>18981</v>
      </c>
      <c r="L1329" s="34" t="s">
        <v>33577</v>
      </c>
      <c r="M1329" s="34" t="s">
        <v>21</v>
      </c>
      <c r="N1329" s="34" t="s">
        <v>35393</v>
      </c>
      <c r="O1329" s="34" t="s">
        <v>372</v>
      </c>
      <c r="P1329" s="34" t="s">
        <v>30089</v>
      </c>
      <c r="Q1329" s="35" t="s">
        <v>35394</v>
      </c>
      <c r="R1329" s="34" t="s">
        <v>23</v>
      </c>
      <c r="S1329" s="34" t="s">
        <v>22</v>
      </c>
      <c r="T1329" s="36" t="s">
        <v>26781</v>
      </c>
      <c r="U1329" s="36" t="s">
        <v>26572</v>
      </c>
      <c r="V1329" s="36" t="s">
        <v>26573</v>
      </c>
      <c r="W1329" s="36" t="s">
        <v>94</v>
      </c>
      <c r="X1329" s="36">
        <v>4102</v>
      </c>
      <c r="Y1329" s="1"/>
      <c r="Z1329" s="34" t="s">
        <v>42968</v>
      </c>
      <c r="AA1329" s="33">
        <v>6338</v>
      </c>
      <c r="AG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row>
    <row r="1330" spans="1:64" ht="12" customHeight="1" x14ac:dyDescent="0.15">
      <c r="A1330" s="34" t="s">
        <v>35395</v>
      </c>
      <c r="B1330" s="34">
        <v>55</v>
      </c>
      <c r="C1330" s="34" t="s">
        <v>14</v>
      </c>
      <c r="D1330" s="34" t="s">
        <v>24</v>
      </c>
      <c r="E1330" s="34"/>
      <c r="F1330" s="67">
        <v>43387</v>
      </c>
      <c r="G1330" s="34" t="s">
        <v>35396</v>
      </c>
      <c r="H1330" s="34" t="s">
        <v>22798</v>
      </c>
      <c r="I1330" s="34" t="s">
        <v>178</v>
      </c>
      <c r="J1330" s="34">
        <v>88310</v>
      </c>
      <c r="K1330" s="34" t="s">
        <v>6147</v>
      </c>
      <c r="L1330" s="34" t="s">
        <v>2847</v>
      </c>
      <c r="M1330" s="34" t="s">
        <v>21</v>
      </c>
      <c r="N1330" s="34" t="s">
        <v>35397</v>
      </c>
      <c r="O1330" s="34" t="s">
        <v>372</v>
      </c>
      <c r="P1330" s="34" t="s">
        <v>30089</v>
      </c>
      <c r="Q1330" s="35" t="s">
        <v>35398</v>
      </c>
      <c r="R1330" s="34" t="s">
        <v>94</v>
      </c>
      <c r="S1330" s="34" t="s">
        <v>22</v>
      </c>
      <c r="T1330" s="36" t="s">
        <v>26781</v>
      </c>
      <c r="U1330" s="36" t="s">
        <v>26570</v>
      </c>
      <c r="V1330" s="36" t="s">
        <v>26573</v>
      </c>
      <c r="W1330" s="36" t="s">
        <v>94</v>
      </c>
      <c r="X1330" s="36">
        <v>4093</v>
      </c>
      <c r="Y1330" s="1"/>
      <c r="Z1330" s="34" t="s">
        <v>42968</v>
      </c>
      <c r="AA1330" s="33">
        <v>6336</v>
      </c>
      <c r="AG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row>
    <row r="1331" spans="1:64" ht="12" customHeight="1" x14ac:dyDescent="0.15">
      <c r="A1331" s="34" t="s">
        <v>35399</v>
      </c>
      <c r="B1331" s="34">
        <v>22</v>
      </c>
      <c r="C1331" s="34" t="s">
        <v>14</v>
      </c>
      <c r="D1331" s="34" t="s">
        <v>79</v>
      </c>
      <c r="E1331" s="34"/>
      <c r="F1331" s="67">
        <v>43387</v>
      </c>
      <c r="G1331" s="34" t="s">
        <v>35400</v>
      </c>
      <c r="H1331" s="34" t="s">
        <v>35401</v>
      </c>
      <c r="I1331" s="34" t="s">
        <v>63</v>
      </c>
      <c r="J1331" s="34">
        <v>43128</v>
      </c>
      <c r="K1331" s="34" t="s">
        <v>1415</v>
      </c>
      <c r="L1331" s="34" t="s">
        <v>34202</v>
      </c>
      <c r="M1331" s="34" t="s">
        <v>21</v>
      </c>
      <c r="N1331" s="34" t="s">
        <v>35402</v>
      </c>
      <c r="O1331" s="34" t="s">
        <v>372</v>
      </c>
      <c r="P1331" s="34" t="s">
        <v>30089</v>
      </c>
      <c r="Q1331" s="35" t="s">
        <v>35403</v>
      </c>
      <c r="R1331" s="34" t="s">
        <v>94</v>
      </c>
      <c r="S1331" s="34" t="s">
        <v>22</v>
      </c>
      <c r="T1331" s="36" t="s">
        <v>26781</v>
      </c>
      <c r="U1331" s="36" t="s">
        <v>26572</v>
      </c>
      <c r="V1331" s="36" t="s">
        <v>26573</v>
      </c>
      <c r="W1331" s="36" t="s">
        <v>94</v>
      </c>
      <c r="X1331" s="36">
        <v>4101</v>
      </c>
      <c r="Y1331" s="1"/>
      <c r="Z1331" s="34" t="s">
        <v>42967</v>
      </c>
      <c r="AA1331" s="33">
        <v>6337</v>
      </c>
      <c r="AG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row>
    <row r="1332" spans="1:64" ht="12" customHeight="1" x14ac:dyDescent="0.15">
      <c r="A1332" s="34" t="s">
        <v>35413</v>
      </c>
      <c r="B1332" s="34">
        <v>27</v>
      </c>
      <c r="C1332" s="34" t="s">
        <v>14</v>
      </c>
      <c r="D1332" s="34" t="s">
        <v>79</v>
      </c>
      <c r="E1332" s="34"/>
      <c r="F1332" s="67">
        <v>43386</v>
      </c>
      <c r="G1332" s="34" t="s">
        <v>35414</v>
      </c>
      <c r="H1332" s="34" t="s">
        <v>7329</v>
      </c>
      <c r="I1332" s="34" t="s">
        <v>918</v>
      </c>
      <c r="J1332" s="34">
        <v>72904</v>
      </c>
      <c r="K1332" s="34" t="s">
        <v>7331</v>
      </c>
      <c r="L1332" s="34" t="s">
        <v>35415</v>
      </c>
      <c r="M1332" s="34" t="s">
        <v>21</v>
      </c>
      <c r="N1332" s="34" t="s">
        <v>35416</v>
      </c>
      <c r="O1332" s="34" t="s">
        <v>372</v>
      </c>
      <c r="P1332" s="34" t="s">
        <v>30089</v>
      </c>
      <c r="Q1332" s="35" t="s">
        <v>35417</v>
      </c>
      <c r="R1332" s="34" t="s">
        <v>94</v>
      </c>
      <c r="S1332" s="34" t="s">
        <v>22</v>
      </c>
      <c r="T1332" s="36" t="s">
        <v>26774</v>
      </c>
      <c r="U1332" s="36" t="s">
        <v>26570</v>
      </c>
      <c r="V1332" s="36" t="s">
        <v>26573</v>
      </c>
      <c r="W1332" s="36" t="s">
        <v>94</v>
      </c>
      <c r="X1332" s="36">
        <v>4098</v>
      </c>
      <c r="Y1332" s="1"/>
      <c r="Z1332" s="34" t="s">
        <v>42966</v>
      </c>
      <c r="AA1332" s="33">
        <v>6335</v>
      </c>
      <c r="AG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row>
    <row r="1333" spans="1:64" ht="12" customHeight="1" x14ac:dyDescent="0.15">
      <c r="A1333" s="34" t="s">
        <v>35433</v>
      </c>
      <c r="B1333" s="34">
        <v>26</v>
      </c>
      <c r="C1333" s="34" t="s">
        <v>103</v>
      </c>
      <c r="D1333" s="34" t="s">
        <v>885</v>
      </c>
      <c r="E1333" s="35" t="s">
        <v>35434</v>
      </c>
      <c r="F1333" s="67">
        <v>43385</v>
      </c>
      <c r="G1333" s="34" t="s">
        <v>35435</v>
      </c>
      <c r="H1333" s="34" t="s">
        <v>35436</v>
      </c>
      <c r="I1333" s="34" t="s">
        <v>814</v>
      </c>
      <c r="J1333" s="34">
        <v>96749</v>
      </c>
      <c r="K1333" s="34" t="s">
        <v>3619</v>
      </c>
      <c r="L1333" s="34" t="s">
        <v>3620</v>
      </c>
      <c r="M1333" s="34" t="s">
        <v>21</v>
      </c>
      <c r="N1333" s="34" t="s">
        <v>35437</v>
      </c>
      <c r="O1333" s="34" t="s">
        <v>372</v>
      </c>
      <c r="P1333" s="34" t="s">
        <v>30089</v>
      </c>
      <c r="Q1333" s="35" t="s">
        <v>35438</v>
      </c>
      <c r="R1333" s="34" t="s">
        <v>94</v>
      </c>
      <c r="S1333" s="34" t="s">
        <v>351</v>
      </c>
      <c r="T1333" s="36" t="s">
        <v>26867</v>
      </c>
      <c r="U1333" s="36" t="s">
        <v>26572</v>
      </c>
      <c r="V1333" s="36" t="s">
        <v>26573</v>
      </c>
      <c r="W1333" s="36" t="s">
        <v>94</v>
      </c>
      <c r="X1333" s="36">
        <v>4099</v>
      </c>
      <c r="Y1333" s="1"/>
      <c r="Z1333" s="34" t="s">
        <v>42967</v>
      </c>
      <c r="AA1333" s="33">
        <v>6334</v>
      </c>
      <c r="AG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row>
    <row r="1334" spans="1:64" ht="12" customHeight="1" x14ac:dyDescent="0.15">
      <c r="A1334" s="34" t="s">
        <v>35431</v>
      </c>
      <c r="B1334" s="34">
        <v>17</v>
      </c>
      <c r="C1334" s="34" t="s">
        <v>14</v>
      </c>
      <c r="D1334" s="34" t="s">
        <v>31</v>
      </c>
      <c r="E1334" s="34"/>
      <c r="F1334" s="67">
        <v>43385</v>
      </c>
      <c r="G1334" s="34" t="s">
        <v>35439</v>
      </c>
      <c r="H1334" s="34" t="s">
        <v>35432</v>
      </c>
      <c r="I1334" s="34" t="s">
        <v>221</v>
      </c>
      <c r="J1334" s="34">
        <v>84097</v>
      </c>
      <c r="K1334" s="34" t="s">
        <v>547</v>
      </c>
      <c r="L1334" s="34" t="s">
        <v>35440</v>
      </c>
      <c r="M1334" s="34" t="s">
        <v>21</v>
      </c>
      <c r="N1334" s="34" t="s">
        <v>35441</v>
      </c>
      <c r="O1334" s="34" t="s">
        <v>372</v>
      </c>
      <c r="P1334" s="34" t="s">
        <v>30089</v>
      </c>
      <c r="Q1334" s="35" t="s">
        <v>35442</v>
      </c>
      <c r="R1334" s="34" t="s">
        <v>94</v>
      </c>
      <c r="S1334" s="34" t="s">
        <v>22</v>
      </c>
      <c r="T1334" s="36" t="s">
        <v>26774</v>
      </c>
      <c r="U1334" s="36"/>
      <c r="V1334" s="36"/>
      <c r="W1334" s="36"/>
      <c r="X1334" s="36"/>
      <c r="Y1334" s="1"/>
      <c r="Z1334" s="34" t="s">
        <v>42966</v>
      </c>
      <c r="AA1334" s="33">
        <v>6332</v>
      </c>
      <c r="AG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row>
    <row r="1335" spans="1:64" ht="12" customHeight="1" x14ac:dyDescent="0.15">
      <c r="A1335" s="34" t="s">
        <v>35426</v>
      </c>
      <c r="B1335" s="34">
        <v>43</v>
      </c>
      <c r="C1335" s="34" t="s">
        <v>14</v>
      </c>
      <c r="D1335" s="34" t="s">
        <v>128</v>
      </c>
      <c r="E1335" s="34"/>
      <c r="F1335" s="67">
        <v>43385</v>
      </c>
      <c r="G1335" s="34" t="s">
        <v>35427</v>
      </c>
      <c r="H1335" s="34" t="s">
        <v>35428</v>
      </c>
      <c r="I1335" s="34" t="s">
        <v>112</v>
      </c>
      <c r="J1335" s="34">
        <v>86503</v>
      </c>
      <c r="K1335" s="34" t="s">
        <v>2025</v>
      </c>
      <c r="L1335" s="34" t="s">
        <v>28154</v>
      </c>
      <c r="M1335" s="34" t="s">
        <v>21</v>
      </c>
      <c r="N1335" s="34" t="s">
        <v>35429</v>
      </c>
      <c r="O1335" s="34" t="s">
        <v>372</v>
      </c>
      <c r="P1335" s="34" t="s">
        <v>30089</v>
      </c>
      <c r="Q1335" s="35" t="s">
        <v>35430</v>
      </c>
      <c r="R1335" s="34" t="s">
        <v>94</v>
      </c>
      <c r="S1335" s="34" t="s">
        <v>22</v>
      </c>
      <c r="T1335" s="36" t="s">
        <v>26774</v>
      </c>
      <c r="U1335" s="36" t="s">
        <v>26570</v>
      </c>
      <c r="V1335" s="36" t="s">
        <v>26573</v>
      </c>
      <c r="W1335" s="36" t="s">
        <v>94</v>
      </c>
      <c r="X1335" s="36">
        <v>4160</v>
      </c>
      <c r="Y1335" s="1"/>
      <c r="Z1335" s="34" t="s">
        <v>42967</v>
      </c>
      <c r="AA1335" s="33">
        <v>6331</v>
      </c>
      <c r="AG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row>
    <row r="1336" spans="1:64" ht="12" customHeight="1" x14ac:dyDescent="0.15">
      <c r="A1336" s="34" t="s">
        <v>35418</v>
      </c>
      <c r="B1336" s="34">
        <v>84</v>
      </c>
      <c r="C1336" s="34" t="s">
        <v>14</v>
      </c>
      <c r="D1336" s="34" t="s">
        <v>31</v>
      </c>
      <c r="E1336" s="34"/>
      <c r="F1336" s="67">
        <v>43385</v>
      </c>
      <c r="G1336" s="34" t="s">
        <v>35419</v>
      </c>
      <c r="H1336" s="34" t="s">
        <v>4703</v>
      </c>
      <c r="I1336" s="34" t="s">
        <v>112</v>
      </c>
      <c r="J1336" s="34">
        <v>85225</v>
      </c>
      <c r="K1336" s="34" t="s">
        <v>585</v>
      </c>
      <c r="L1336" s="34" t="s">
        <v>4705</v>
      </c>
      <c r="M1336" s="34" t="s">
        <v>21</v>
      </c>
      <c r="N1336" s="34" t="s">
        <v>35420</v>
      </c>
      <c r="O1336" s="34" t="s">
        <v>372</v>
      </c>
      <c r="P1336" s="34" t="s">
        <v>30089</v>
      </c>
      <c r="Q1336" s="35" t="s">
        <v>35421</v>
      </c>
      <c r="R1336" s="34" t="s">
        <v>512</v>
      </c>
      <c r="S1336" s="34" t="s">
        <v>22</v>
      </c>
      <c r="T1336" s="36" t="s">
        <v>26781</v>
      </c>
      <c r="U1336" s="36" t="s">
        <v>26572</v>
      </c>
      <c r="V1336" s="36" t="s">
        <v>26573</v>
      </c>
      <c r="W1336" s="36" t="s">
        <v>94</v>
      </c>
      <c r="X1336" s="36">
        <v>4100</v>
      </c>
      <c r="Y1336" s="1"/>
      <c r="Z1336" s="34" t="s">
        <v>42968</v>
      </c>
      <c r="AA1336" s="33">
        <v>6330</v>
      </c>
      <c r="AG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row>
    <row r="1337" spans="1:64" ht="12" customHeight="1" x14ac:dyDescent="0.15">
      <c r="A1337" s="34" t="s">
        <v>35422</v>
      </c>
      <c r="B1337" s="34">
        <v>34</v>
      </c>
      <c r="C1337" s="34" t="s">
        <v>14</v>
      </c>
      <c r="D1337" s="34" t="s">
        <v>24</v>
      </c>
      <c r="E1337" s="34"/>
      <c r="F1337" s="67">
        <v>43385</v>
      </c>
      <c r="G1337" s="34" t="s">
        <v>35423</v>
      </c>
      <c r="H1337" s="34" t="s">
        <v>1786</v>
      </c>
      <c r="I1337" s="34" t="s">
        <v>160</v>
      </c>
      <c r="J1337" s="34">
        <v>30339</v>
      </c>
      <c r="K1337" s="34" t="s">
        <v>3052</v>
      </c>
      <c r="L1337" s="34" t="s">
        <v>3053</v>
      </c>
      <c r="M1337" s="34" t="s">
        <v>21</v>
      </c>
      <c r="N1337" s="34" t="s">
        <v>35424</v>
      </c>
      <c r="O1337" s="34" t="s">
        <v>372</v>
      </c>
      <c r="P1337" s="34" t="s">
        <v>30089</v>
      </c>
      <c r="Q1337" s="35" t="s">
        <v>35425</v>
      </c>
      <c r="R1337" s="34" t="s">
        <v>94</v>
      </c>
      <c r="S1337" s="34" t="s">
        <v>22</v>
      </c>
      <c r="T1337" s="36" t="s">
        <v>26781</v>
      </c>
      <c r="U1337" s="36" t="s">
        <v>26572</v>
      </c>
      <c r="V1337" s="36"/>
      <c r="W1337" s="36" t="s">
        <v>94</v>
      </c>
      <c r="X1337" s="36">
        <v>4088</v>
      </c>
      <c r="Y1337" s="1"/>
      <c r="Z1337" s="34" t="s">
        <v>42968</v>
      </c>
      <c r="AA1337" s="33">
        <v>6329</v>
      </c>
      <c r="AG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row>
    <row r="1338" spans="1:64" ht="12" customHeight="1" x14ac:dyDescent="0.15">
      <c r="A1338" s="36" t="s">
        <v>35431</v>
      </c>
      <c r="B1338" s="34">
        <v>17</v>
      </c>
      <c r="C1338" s="34" t="s">
        <v>14</v>
      </c>
      <c r="D1338" s="34" t="s">
        <v>31</v>
      </c>
      <c r="E1338" s="35"/>
      <c r="F1338" s="67">
        <v>43385</v>
      </c>
      <c r="G1338" s="34"/>
      <c r="H1338" s="36" t="s">
        <v>35432</v>
      </c>
      <c r="I1338" s="36" t="s">
        <v>106</v>
      </c>
      <c r="J1338" s="34"/>
      <c r="K1338" s="34"/>
      <c r="L1338" s="34"/>
      <c r="M1338" s="34" t="s">
        <v>4966</v>
      </c>
      <c r="N1338" s="34"/>
      <c r="O1338" s="34" t="s">
        <v>372</v>
      </c>
      <c r="P1338" s="34" t="s">
        <v>30089</v>
      </c>
      <c r="Q1338" s="35"/>
      <c r="R1338" s="34" t="s">
        <v>94</v>
      </c>
      <c r="S1338" s="34" t="s">
        <v>22</v>
      </c>
      <c r="T1338" s="36" t="s">
        <v>26774</v>
      </c>
      <c r="U1338" s="36" t="s">
        <v>26570</v>
      </c>
      <c r="V1338" s="36" t="s">
        <v>26573</v>
      </c>
      <c r="W1338" s="36" t="s">
        <v>94</v>
      </c>
      <c r="X1338" s="36">
        <v>4096</v>
      </c>
      <c r="Y1338" s="1"/>
      <c r="Z1338" s="34" t="e">
        <v>#N/A</v>
      </c>
      <c r="AA1338" s="33">
        <v>6333</v>
      </c>
      <c r="AG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row>
    <row r="1339" spans="1:64" ht="12" customHeight="1" x14ac:dyDescent="0.15">
      <c r="A1339" s="34" t="s">
        <v>3002</v>
      </c>
      <c r="B1339" s="34"/>
      <c r="C1339" s="34" t="s">
        <v>14</v>
      </c>
      <c r="D1339" s="34" t="s">
        <v>24</v>
      </c>
      <c r="E1339" s="34"/>
      <c r="F1339" s="67">
        <v>43384</v>
      </c>
      <c r="G1339" s="34" t="s">
        <v>35443</v>
      </c>
      <c r="H1339" s="34" t="s">
        <v>5942</v>
      </c>
      <c r="I1339" s="34" t="s">
        <v>39</v>
      </c>
      <c r="J1339" s="34">
        <v>92648</v>
      </c>
      <c r="K1339" s="34" t="s">
        <v>998</v>
      </c>
      <c r="L1339" s="34" t="s">
        <v>5944</v>
      </c>
      <c r="M1339" s="34" t="s">
        <v>21</v>
      </c>
      <c r="N1339" s="34" t="s">
        <v>35444</v>
      </c>
      <c r="O1339" s="34" t="s">
        <v>372</v>
      </c>
      <c r="P1339" s="34" t="s">
        <v>30089</v>
      </c>
      <c r="Q1339" s="35" t="s">
        <v>35445</v>
      </c>
      <c r="R1339" s="34" t="s">
        <v>94</v>
      </c>
      <c r="S1339" s="34" t="s">
        <v>22</v>
      </c>
      <c r="T1339" s="36" t="s">
        <v>26781</v>
      </c>
      <c r="U1339" s="36" t="s">
        <v>26570</v>
      </c>
      <c r="V1339" s="36" t="s">
        <v>26571</v>
      </c>
      <c r="W1339" s="36" t="s">
        <v>94</v>
      </c>
      <c r="X1339" s="36">
        <v>4084</v>
      </c>
      <c r="Y1339" s="1"/>
      <c r="Z1339" s="34" t="s">
        <v>42966</v>
      </c>
      <c r="AA1339" s="33">
        <v>6327</v>
      </c>
      <c r="AG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row>
    <row r="1340" spans="1:64" ht="12" customHeight="1" x14ac:dyDescent="0.15">
      <c r="A1340" s="34" t="s">
        <v>35446</v>
      </c>
      <c r="B1340" s="34">
        <v>22</v>
      </c>
      <c r="C1340" s="34" t="s">
        <v>14</v>
      </c>
      <c r="D1340" s="34" t="s">
        <v>79</v>
      </c>
      <c r="E1340" s="34"/>
      <c r="F1340" s="67">
        <v>43384</v>
      </c>
      <c r="G1340" s="34" t="s">
        <v>35447</v>
      </c>
      <c r="H1340" s="34" t="s">
        <v>563</v>
      </c>
      <c r="I1340" s="34" t="s">
        <v>221</v>
      </c>
      <c r="J1340" s="34">
        <v>84084</v>
      </c>
      <c r="K1340" s="34" t="s">
        <v>564</v>
      </c>
      <c r="L1340" s="34" t="s">
        <v>565</v>
      </c>
      <c r="M1340" s="34" t="s">
        <v>21</v>
      </c>
      <c r="N1340" s="34" t="s">
        <v>35448</v>
      </c>
      <c r="O1340" s="34" t="s">
        <v>372</v>
      </c>
      <c r="P1340" s="34" t="s">
        <v>30089</v>
      </c>
      <c r="Q1340" s="35" t="s">
        <v>35449</v>
      </c>
      <c r="R1340" s="34" t="s">
        <v>94</v>
      </c>
      <c r="S1340" s="34" t="s">
        <v>22</v>
      </c>
      <c r="T1340" s="36" t="s">
        <v>26774</v>
      </c>
      <c r="U1340" s="36" t="s">
        <v>26570</v>
      </c>
      <c r="V1340" s="36"/>
      <c r="W1340" s="36" t="s">
        <v>94</v>
      </c>
      <c r="X1340" s="36">
        <v>4089</v>
      </c>
      <c r="Y1340" s="1"/>
      <c r="Z1340" s="34" t="s">
        <v>42968</v>
      </c>
      <c r="AA1340" s="33">
        <v>6328</v>
      </c>
      <c r="AG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row>
    <row r="1341" spans="1:64" ht="12" customHeight="1" x14ac:dyDescent="0.15">
      <c r="A1341" s="34" t="s">
        <v>35450</v>
      </c>
      <c r="B1341" s="34">
        <v>49</v>
      </c>
      <c r="C1341" s="34" t="s">
        <v>103</v>
      </c>
      <c r="D1341" s="34" t="s">
        <v>31</v>
      </c>
      <c r="E1341" s="34"/>
      <c r="F1341" s="67">
        <v>43383</v>
      </c>
      <c r="G1341" s="34" t="s">
        <v>35451</v>
      </c>
      <c r="H1341" s="34" t="s">
        <v>2679</v>
      </c>
      <c r="I1341" s="34" t="s">
        <v>198</v>
      </c>
      <c r="J1341" s="34">
        <v>47882</v>
      </c>
      <c r="K1341" s="34" t="s">
        <v>2679</v>
      </c>
      <c r="L1341" s="34" t="s">
        <v>18119</v>
      </c>
      <c r="M1341" s="34" t="s">
        <v>21</v>
      </c>
      <c r="N1341" s="34" t="s">
        <v>35452</v>
      </c>
      <c r="O1341" s="34" t="s">
        <v>372</v>
      </c>
      <c r="P1341" s="34" t="s">
        <v>30089</v>
      </c>
      <c r="Q1341" s="35" t="s">
        <v>35453</v>
      </c>
      <c r="R1341" s="34" t="s">
        <v>94</v>
      </c>
      <c r="S1341" s="34" t="s">
        <v>22</v>
      </c>
      <c r="T1341" s="36" t="s">
        <v>26781</v>
      </c>
      <c r="U1341" s="36" t="s">
        <v>26572</v>
      </c>
      <c r="V1341" s="36" t="s">
        <v>26573</v>
      </c>
      <c r="W1341" s="36" t="s">
        <v>94</v>
      </c>
      <c r="X1341" s="36">
        <v>4090</v>
      </c>
      <c r="Y1341" s="1"/>
      <c r="Z1341" s="34" t="s">
        <v>42967</v>
      </c>
      <c r="AA1341" s="33">
        <v>6321</v>
      </c>
      <c r="AG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row>
    <row r="1342" spans="1:64" ht="12" customHeight="1" x14ac:dyDescent="0.15">
      <c r="A1342" s="34" t="s">
        <v>35460</v>
      </c>
      <c r="B1342" s="34">
        <v>47</v>
      </c>
      <c r="C1342" s="34" t="s">
        <v>14</v>
      </c>
      <c r="D1342" s="34" t="s">
        <v>79</v>
      </c>
      <c r="E1342" s="34"/>
      <c r="F1342" s="67">
        <v>43383</v>
      </c>
      <c r="G1342" s="34" t="s">
        <v>35461</v>
      </c>
      <c r="H1342" s="34" t="s">
        <v>1863</v>
      </c>
      <c r="I1342" s="34" t="s">
        <v>395</v>
      </c>
      <c r="J1342" s="34">
        <v>14610</v>
      </c>
      <c r="K1342" s="34" t="s">
        <v>1037</v>
      </c>
      <c r="L1342" s="34" t="s">
        <v>1876</v>
      </c>
      <c r="M1342" s="34" t="s">
        <v>21</v>
      </c>
      <c r="N1342" s="34" t="s">
        <v>35462</v>
      </c>
      <c r="O1342" s="34" t="s">
        <v>372</v>
      </c>
      <c r="P1342" s="34" t="s">
        <v>30089</v>
      </c>
      <c r="Q1342" s="35" t="s">
        <v>35463</v>
      </c>
      <c r="R1342" s="34" t="s">
        <v>94</v>
      </c>
      <c r="S1342" s="34" t="s">
        <v>22</v>
      </c>
      <c r="T1342" s="36" t="s">
        <v>26781</v>
      </c>
      <c r="U1342" s="36" t="s">
        <v>26572</v>
      </c>
      <c r="V1342" s="36" t="s">
        <v>26571</v>
      </c>
      <c r="W1342" s="36" t="s">
        <v>94</v>
      </c>
      <c r="X1342" s="36">
        <v>4086</v>
      </c>
      <c r="Y1342" s="1"/>
      <c r="Z1342" s="34" t="s">
        <v>42968</v>
      </c>
      <c r="AA1342" s="33">
        <v>6320</v>
      </c>
      <c r="AG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row>
    <row r="1343" spans="1:64" ht="12" customHeight="1" x14ac:dyDescent="0.15">
      <c r="A1343" s="34" t="s">
        <v>35454</v>
      </c>
      <c r="B1343" s="34">
        <v>21</v>
      </c>
      <c r="C1343" s="34" t="s">
        <v>14</v>
      </c>
      <c r="D1343" s="34" t="s">
        <v>31</v>
      </c>
      <c r="E1343" s="35" t="s">
        <v>35455</v>
      </c>
      <c r="F1343" s="67">
        <v>43383</v>
      </c>
      <c r="G1343" s="34" t="s">
        <v>35456</v>
      </c>
      <c r="H1343" s="34" t="s">
        <v>35457</v>
      </c>
      <c r="I1343" s="34" t="s">
        <v>250</v>
      </c>
      <c r="J1343" s="34">
        <v>89139</v>
      </c>
      <c r="K1343" s="34" t="s">
        <v>527</v>
      </c>
      <c r="L1343" s="34" t="s">
        <v>528</v>
      </c>
      <c r="M1343" s="34" t="s">
        <v>21</v>
      </c>
      <c r="N1343" s="34" t="s">
        <v>35458</v>
      </c>
      <c r="O1343" s="34" t="s">
        <v>372</v>
      </c>
      <c r="P1343" s="34" t="s">
        <v>30089</v>
      </c>
      <c r="Q1343" s="35" t="s">
        <v>35459</v>
      </c>
      <c r="R1343" s="34" t="s">
        <v>512</v>
      </c>
      <c r="S1343" s="34" t="s">
        <v>22</v>
      </c>
      <c r="T1343" s="36" t="s">
        <v>26781</v>
      </c>
      <c r="U1343" s="36" t="s">
        <v>26572</v>
      </c>
      <c r="V1343" s="36" t="s">
        <v>26574</v>
      </c>
      <c r="W1343" s="36" t="s">
        <v>512</v>
      </c>
      <c r="X1343" s="36">
        <v>4092</v>
      </c>
      <c r="Y1343" s="1"/>
      <c r="Z1343" s="34" t="s">
        <v>42968</v>
      </c>
      <c r="AA1343" s="33">
        <v>6322</v>
      </c>
      <c r="AG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row>
    <row r="1344" spans="1:64" ht="12" customHeight="1" x14ac:dyDescent="0.15">
      <c r="A1344" s="34" t="s">
        <v>35478</v>
      </c>
      <c r="B1344" s="34">
        <v>15</v>
      </c>
      <c r="C1344" s="34" t="s">
        <v>14</v>
      </c>
      <c r="D1344" s="34" t="s">
        <v>24</v>
      </c>
      <c r="E1344" s="34"/>
      <c r="F1344" s="67">
        <v>43383</v>
      </c>
      <c r="G1344" s="34" t="s">
        <v>35479</v>
      </c>
      <c r="H1344" s="34" t="s">
        <v>1087</v>
      </c>
      <c r="I1344" s="34" t="s">
        <v>67</v>
      </c>
      <c r="J1344" s="34">
        <v>75442</v>
      </c>
      <c r="K1344" s="34" t="s">
        <v>18009</v>
      </c>
      <c r="L1344" s="34" t="s">
        <v>35480</v>
      </c>
      <c r="M1344" s="34" t="s">
        <v>351</v>
      </c>
      <c r="N1344" s="34" t="s">
        <v>35481</v>
      </c>
      <c r="O1344" s="34" t="s">
        <v>950</v>
      </c>
      <c r="P1344" s="34" t="s">
        <v>30089</v>
      </c>
      <c r="Q1344" s="35" t="s">
        <v>35482</v>
      </c>
      <c r="R1344" s="34" t="s">
        <v>94</v>
      </c>
      <c r="S1344" s="33" t="s">
        <v>22</v>
      </c>
      <c r="T1344" s="34" t="s">
        <v>26867</v>
      </c>
      <c r="U1344" s="34" t="s">
        <v>26570</v>
      </c>
      <c r="V1344" s="34"/>
      <c r="W1344" s="34"/>
      <c r="X1344" s="34"/>
      <c r="Y1344" s="1"/>
      <c r="Z1344" s="33" t="s">
        <v>42967</v>
      </c>
      <c r="AA1344" s="33">
        <v>6326</v>
      </c>
      <c r="AG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row>
    <row r="1345" spans="1:64" ht="12" customHeight="1" x14ac:dyDescent="0.15">
      <c r="A1345" s="34" t="s">
        <v>35464</v>
      </c>
      <c r="B1345" s="34">
        <v>76</v>
      </c>
      <c r="C1345" s="34" t="s">
        <v>14</v>
      </c>
      <c r="D1345" s="34" t="s">
        <v>31</v>
      </c>
      <c r="E1345" s="34"/>
      <c r="F1345" s="67">
        <v>43383</v>
      </c>
      <c r="G1345" s="34" t="s">
        <v>35465</v>
      </c>
      <c r="H1345" s="34" t="s">
        <v>801</v>
      </c>
      <c r="I1345" s="34" t="s">
        <v>67</v>
      </c>
      <c r="J1345" s="34">
        <v>79935</v>
      </c>
      <c r="K1345" s="34" t="s">
        <v>801</v>
      </c>
      <c r="L1345" s="34" t="s">
        <v>802</v>
      </c>
      <c r="M1345" s="34" t="s">
        <v>21</v>
      </c>
      <c r="N1345" s="34" t="s">
        <v>35466</v>
      </c>
      <c r="O1345" s="34" t="s">
        <v>372</v>
      </c>
      <c r="P1345" s="34" t="s">
        <v>30089</v>
      </c>
      <c r="Q1345" s="35" t="s">
        <v>35467</v>
      </c>
      <c r="R1345" s="34" t="s">
        <v>94</v>
      </c>
      <c r="S1345" s="34" t="s">
        <v>22</v>
      </c>
      <c r="T1345" s="36" t="s">
        <v>26781</v>
      </c>
      <c r="U1345" s="36" t="s">
        <v>26572</v>
      </c>
      <c r="V1345" s="36" t="s">
        <v>26573</v>
      </c>
      <c r="W1345" s="36" t="s">
        <v>94</v>
      </c>
      <c r="X1345" s="36">
        <v>4085</v>
      </c>
      <c r="Y1345" s="1"/>
      <c r="Z1345" s="34" t="s">
        <v>42968</v>
      </c>
      <c r="AA1345" s="33">
        <v>6319</v>
      </c>
      <c r="AG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row>
    <row r="1346" spans="1:64" ht="12" customHeight="1" x14ac:dyDescent="0.15">
      <c r="A1346" s="34" t="s">
        <v>21803</v>
      </c>
      <c r="B1346" s="34">
        <v>26</v>
      </c>
      <c r="C1346" s="34" t="s">
        <v>14</v>
      </c>
      <c r="D1346" s="34" t="s">
        <v>24</v>
      </c>
      <c r="E1346" s="34"/>
      <c r="F1346" s="67">
        <v>43383</v>
      </c>
      <c r="G1346" s="34" t="s">
        <v>35469</v>
      </c>
      <c r="H1346" s="34" t="s">
        <v>35470</v>
      </c>
      <c r="I1346" s="34" t="s">
        <v>39</v>
      </c>
      <c r="J1346" s="34">
        <v>91362</v>
      </c>
      <c r="K1346" s="34" t="s">
        <v>2985</v>
      </c>
      <c r="L1346" s="34" t="s">
        <v>12936</v>
      </c>
      <c r="M1346" s="34" t="s">
        <v>21</v>
      </c>
      <c r="N1346" s="34" t="s">
        <v>35471</v>
      </c>
      <c r="O1346" s="34" t="s">
        <v>372</v>
      </c>
      <c r="P1346" s="34" t="s">
        <v>30089</v>
      </c>
      <c r="Q1346" s="35" t="s">
        <v>35472</v>
      </c>
      <c r="R1346" s="34" t="s">
        <v>512</v>
      </c>
      <c r="S1346" s="34" t="s">
        <v>22</v>
      </c>
      <c r="T1346" s="36" t="s">
        <v>26774</v>
      </c>
      <c r="U1346" s="36" t="s">
        <v>26570</v>
      </c>
      <c r="V1346" s="36" t="s">
        <v>26573</v>
      </c>
      <c r="W1346" s="36" t="s">
        <v>512</v>
      </c>
      <c r="X1346" s="36">
        <v>4087</v>
      </c>
      <c r="Y1346" s="1"/>
      <c r="Z1346" s="34" t="s">
        <v>42968</v>
      </c>
      <c r="AA1346" s="33">
        <v>6325</v>
      </c>
      <c r="AG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row>
    <row r="1347" spans="1:64" ht="12" customHeight="1" x14ac:dyDescent="0.15">
      <c r="A1347" s="34" t="s">
        <v>35473</v>
      </c>
      <c r="B1347" s="34">
        <v>30</v>
      </c>
      <c r="C1347" s="34" t="s">
        <v>14</v>
      </c>
      <c r="D1347" s="34" t="s">
        <v>31</v>
      </c>
      <c r="E1347" s="35" t="s">
        <v>35474</v>
      </c>
      <c r="F1347" s="67">
        <v>43383</v>
      </c>
      <c r="G1347" s="34" t="s">
        <v>35475</v>
      </c>
      <c r="H1347" s="34" t="s">
        <v>1459</v>
      </c>
      <c r="I1347" s="34" t="s">
        <v>106</v>
      </c>
      <c r="J1347" s="34">
        <v>97266</v>
      </c>
      <c r="K1347" s="34" t="s">
        <v>1461</v>
      </c>
      <c r="L1347" s="34" t="s">
        <v>16039</v>
      </c>
      <c r="M1347" s="34" t="s">
        <v>21</v>
      </c>
      <c r="N1347" s="34" t="s">
        <v>35476</v>
      </c>
      <c r="O1347" s="34" t="s">
        <v>372</v>
      </c>
      <c r="P1347" s="34" t="s">
        <v>30089</v>
      </c>
      <c r="Q1347" s="35" t="s">
        <v>35477</v>
      </c>
      <c r="R1347" s="34" t="s">
        <v>94</v>
      </c>
      <c r="S1347" s="34" t="s">
        <v>22</v>
      </c>
      <c r="T1347" s="36" t="s">
        <v>26774</v>
      </c>
      <c r="U1347" s="36" t="s">
        <v>26570</v>
      </c>
      <c r="V1347" s="36" t="s">
        <v>26573</v>
      </c>
      <c r="W1347" s="36" t="s">
        <v>94</v>
      </c>
      <c r="X1347" s="36">
        <v>4083</v>
      </c>
      <c r="Y1347" s="1"/>
      <c r="Z1347" s="34" t="s">
        <v>42968</v>
      </c>
      <c r="AA1347" s="33">
        <v>6324</v>
      </c>
      <c r="AG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row>
    <row r="1348" spans="1:64" ht="12" customHeight="1" x14ac:dyDescent="0.15">
      <c r="A1348" s="36" t="s">
        <v>35468</v>
      </c>
      <c r="B1348" s="34">
        <v>31</v>
      </c>
      <c r="C1348" s="34" t="s">
        <v>14</v>
      </c>
      <c r="D1348" s="34" t="s">
        <v>79</v>
      </c>
      <c r="E1348" s="34"/>
      <c r="F1348" s="67">
        <v>43383</v>
      </c>
      <c r="G1348" s="34"/>
      <c r="H1348" s="36" t="s">
        <v>831</v>
      </c>
      <c r="I1348" s="36" t="s">
        <v>409</v>
      </c>
      <c r="J1348" s="34"/>
      <c r="K1348" s="34"/>
      <c r="L1348" s="34"/>
      <c r="M1348" s="34" t="s">
        <v>21</v>
      </c>
      <c r="N1348" s="34"/>
      <c r="O1348" s="34" t="s">
        <v>372</v>
      </c>
      <c r="P1348" s="34" t="s">
        <v>30089</v>
      </c>
      <c r="Q1348" s="35"/>
      <c r="R1348" s="34"/>
      <c r="S1348" s="34" t="s">
        <v>22</v>
      </c>
      <c r="T1348" s="36" t="s">
        <v>26781</v>
      </c>
      <c r="U1348" s="36" t="s">
        <v>26572</v>
      </c>
      <c r="V1348" s="36" t="s">
        <v>26573</v>
      </c>
      <c r="W1348" s="36" t="s">
        <v>512</v>
      </c>
      <c r="X1348" s="36">
        <v>4125</v>
      </c>
      <c r="Y1348" s="1"/>
      <c r="Z1348" s="34" t="e">
        <v>#N/A</v>
      </c>
      <c r="AA1348" s="33">
        <v>6323</v>
      </c>
      <c r="AG1348" s="1"/>
      <c r="AK1348" s="1"/>
      <c r="AL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row>
    <row r="1349" spans="1:64" ht="12" customHeight="1" x14ac:dyDescent="0.15">
      <c r="A1349" s="34" t="s">
        <v>35491</v>
      </c>
      <c r="B1349" s="34">
        <v>24</v>
      </c>
      <c r="C1349" s="34" t="s">
        <v>14</v>
      </c>
      <c r="D1349" s="34" t="s">
        <v>31</v>
      </c>
      <c r="E1349" s="34"/>
      <c r="F1349" s="67">
        <v>43381</v>
      </c>
      <c r="G1349" s="34" t="s">
        <v>35492</v>
      </c>
      <c r="H1349" s="34" t="s">
        <v>35493</v>
      </c>
      <c r="I1349" s="34" t="s">
        <v>367</v>
      </c>
      <c r="J1349" s="34">
        <v>73762</v>
      </c>
      <c r="K1349" s="34" t="s">
        <v>35494</v>
      </c>
      <c r="L1349" s="34" t="s">
        <v>35495</v>
      </c>
      <c r="M1349" s="34" t="s">
        <v>21</v>
      </c>
      <c r="N1349" s="34" t="s">
        <v>35496</v>
      </c>
      <c r="O1349" s="34" t="s">
        <v>372</v>
      </c>
      <c r="P1349" s="34" t="s">
        <v>30089</v>
      </c>
      <c r="Q1349" s="35" t="s">
        <v>35497</v>
      </c>
      <c r="R1349" s="34" t="s">
        <v>94</v>
      </c>
      <c r="S1349" s="34" t="s">
        <v>351</v>
      </c>
      <c r="T1349" s="36" t="s">
        <v>26867</v>
      </c>
      <c r="U1349" s="36" t="s">
        <v>26572</v>
      </c>
      <c r="V1349" s="36" t="s">
        <v>26571</v>
      </c>
      <c r="W1349" s="36" t="s">
        <v>94</v>
      </c>
      <c r="X1349" s="36">
        <v>4079</v>
      </c>
      <c r="Y1349" s="1"/>
      <c r="Z1349" s="34" t="s">
        <v>42967</v>
      </c>
      <c r="AA1349" s="33">
        <v>6317</v>
      </c>
      <c r="AG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row>
    <row r="1350" spans="1:64" ht="12" customHeight="1" x14ac:dyDescent="0.15">
      <c r="A1350" s="34" t="s">
        <v>35483</v>
      </c>
      <c r="B1350" s="34">
        <v>25</v>
      </c>
      <c r="C1350" s="34" t="s">
        <v>14</v>
      </c>
      <c r="D1350" s="34" t="s">
        <v>31</v>
      </c>
      <c r="E1350" s="34"/>
      <c r="F1350" s="67">
        <v>43381</v>
      </c>
      <c r="G1350" s="34" t="s">
        <v>35484</v>
      </c>
      <c r="H1350" s="34" t="s">
        <v>22477</v>
      </c>
      <c r="I1350" s="34" t="s">
        <v>192</v>
      </c>
      <c r="J1350" s="34">
        <v>80549</v>
      </c>
      <c r="K1350" s="34" t="s">
        <v>510</v>
      </c>
      <c r="L1350" s="34" t="s">
        <v>19778</v>
      </c>
      <c r="M1350" s="34" t="s">
        <v>21</v>
      </c>
      <c r="N1350" s="34" t="s">
        <v>35485</v>
      </c>
      <c r="O1350" s="34" t="s">
        <v>372</v>
      </c>
      <c r="P1350" s="34" t="s">
        <v>30089</v>
      </c>
      <c r="Q1350" s="35" t="s">
        <v>35486</v>
      </c>
      <c r="R1350" s="34" t="s">
        <v>94</v>
      </c>
      <c r="S1350" s="34" t="s">
        <v>22</v>
      </c>
      <c r="T1350" s="36" t="s">
        <v>26781</v>
      </c>
      <c r="U1350" s="36" t="s">
        <v>26570</v>
      </c>
      <c r="V1350" s="36" t="s">
        <v>26571</v>
      </c>
      <c r="W1350" s="36" t="s">
        <v>94</v>
      </c>
      <c r="X1350" s="36">
        <v>4097</v>
      </c>
      <c r="Y1350" s="1"/>
      <c r="Z1350" s="34" t="s">
        <v>42967</v>
      </c>
      <c r="AA1350" s="33">
        <v>6315</v>
      </c>
      <c r="AG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row>
    <row r="1351" spans="1:64" ht="12" customHeight="1" x14ac:dyDescent="0.15">
      <c r="A1351" s="34" t="s">
        <v>35487</v>
      </c>
      <c r="B1351" s="34">
        <v>22</v>
      </c>
      <c r="C1351" s="34" t="s">
        <v>14</v>
      </c>
      <c r="D1351" s="34" t="s">
        <v>42</v>
      </c>
      <c r="E1351" s="34"/>
      <c r="F1351" s="67">
        <v>43381</v>
      </c>
      <c r="G1351" s="34" t="s">
        <v>35787</v>
      </c>
      <c r="H1351" s="34" t="s">
        <v>9620</v>
      </c>
      <c r="I1351" s="34" t="s">
        <v>178</v>
      </c>
      <c r="J1351" s="34">
        <v>88101</v>
      </c>
      <c r="K1351" s="34" t="s">
        <v>35488</v>
      </c>
      <c r="L1351" s="34" t="s">
        <v>23608</v>
      </c>
      <c r="M1351" s="34" t="s">
        <v>21</v>
      </c>
      <c r="N1351" s="34" t="s">
        <v>35489</v>
      </c>
      <c r="O1351" s="34" t="s">
        <v>372</v>
      </c>
      <c r="P1351" s="34" t="s">
        <v>30089</v>
      </c>
      <c r="Q1351" s="35" t="s">
        <v>35490</v>
      </c>
      <c r="R1351" s="34" t="s">
        <v>94</v>
      </c>
      <c r="S1351" s="34" t="s">
        <v>22</v>
      </c>
      <c r="T1351" s="36" t="s">
        <v>26774</v>
      </c>
      <c r="U1351" s="36" t="s">
        <v>26570</v>
      </c>
      <c r="V1351" s="36" t="s">
        <v>26574</v>
      </c>
      <c r="W1351" s="36" t="s">
        <v>94</v>
      </c>
      <c r="X1351" s="36">
        <v>4075</v>
      </c>
      <c r="Y1351" s="1"/>
      <c r="Z1351" s="34" t="s">
        <v>42968</v>
      </c>
      <c r="AA1351" s="33">
        <v>6316</v>
      </c>
      <c r="AG1351" s="1"/>
      <c r="AK1351" s="1"/>
      <c r="AL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row>
    <row r="1352" spans="1:64" ht="12" customHeight="1" x14ac:dyDescent="0.15">
      <c r="A1352" s="34" t="s">
        <v>35498</v>
      </c>
      <c r="B1352" s="34">
        <v>36</v>
      </c>
      <c r="C1352" s="34" t="s">
        <v>14</v>
      </c>
      <c r="D1352" s="34" t="s">
        <v>31</v>
      </c>
      <c r="E1352" s="35" t="s">
        <v>35499</v>
      </c>
      <c r="F1352" s="67">
        <v>43381</v>
      </c>
      <c r="G1352" s="34" t="s">
        <v>35500</v>
      </c>
      <c r="H1352" s="34" t="s">
        <v>35501</v>
      </c>
      <c r="I1352" s="34" t="s">
        <v>298</v>
      </c>
      <c r="J1352" s="34">
        <v>37830</v>
      </c>
      <c r="K1352" s="34" t="s">
        <v>233</v>
      </c>
      <c r="L1352" s="34" t="s">
        <v>35502</v>
      </c>
      <c r="M1352" s="34" t="s">
        <v>21</v>
      </c>
      <c r="N1352" s="34" t="s">
        <v>35503</v>
      </c>
      <c r="O1352" s="34" t="s">
        <v>372</v>
      </c>
      <c r="P1352" s="34" t="s">
        <v>30089</v>
      </c>
      <c r="Q1352" s="35" t="s">
        <v>35504</v>
      </c>
      <c r="R1352" s="34" t="s">
        <v>94</v>
      </c>
      <c r="S1352" s="34" t="s">
        <v>351</v>
      </c>
      <c r="T1352" s="36" t="s">
        <v>26867</v>
      </c>
      <c r="U1352" s="36" t="s">
        <v>26572</v>
      </c>
      <c r="V1352" s="36" t="s">
        <v>26571</v>
      </c>
      <c r="W1352" s="36" t="s">
        <v>94</v>
      </c>
      <c r="X1352" s="36">
        <v>4081</v>
      </c>
      <c r="Y1352" s="1"/>
      <c r="Z1352" s="34" t="s">
        <v>42968</v>
      </c>
      <c r="AA1352" s="33">
        <v>6318</v>
      </c>
      <c r="AG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row>
    <row r="1353" spans="1:64" ht="12" customHeight="1" x14ac:dyDescent="0.15">
      <c r="A1353" s="34" t="s">
        <v>35512</v>
      </c>
      <c r="B1353" s="34">
        <v>39</v>
      </c>
      <c r="C1353" s="34" t="s">
        <v>14</v>
      </c>
      <c r="D1353" s="34" t="s">
        <v>24</v>
      </c>
      <c r="E1353" s="34"/>
      <c r="F1353" s="67">
        <v>43380</v>
      </c>
      <c r="G1353" s="34" t="s">
        <v>35513</v>
      </c>
      <c r="H1353" s="34" t="s">
        <v>2196</v>
      </c>
      <c r="I1353" s="34" t="s">
        <v>814</v>
      </c>
      <c r="J1353" s="34">
        <v>96813</v>
      </c>
      <c r="K1353" s="34" t="s">
        <v>2196</v>
      </c>
      <c r="L1353" s="34" t="s">
        <v>3281</v>
      </c>
      <c r="M1353" s="34" t="s">
        <v>21</v>
      </c>
      <c r="N1353" s="34" t="s">
        <v>35514</v>
      </c>
      <c r="O1353" s="34" t="s">
        <v>372</v>
      </c>
      <c r="P1353" s="34" t="s">
        <v>30089</v>
      </c>
      <c r="Q1353" s="35" t="s">
        <v>35515</v>
      </c>
      <c r="R1353" s="34" t="s">
        <v>94</v>
      </c>
      <c r="S1353" s="34" t="s">
        <v>22</v>
      </c>
      <c r="T1353" s="36" t="s">
        <v>26593</v>
      </c>
      <c r="U1353" s="36" t="s">
        <v>26572</v>
      </c>
      <c r="V1353" s="36" t="s">
        <v>26573</v>
      </c>
      <c r="W1353" s="36" t="s">
        <v>512</v>
      </c>
      <c r="X1353" s="36">
        <v>4076</v>
      </c>
      <c r="Y1353" s="1"/>
      <c r="Z1353" s="34" t="s">
        <v>42966</v>
      </c>
      <c r="AA1353" s="33">
        <v>6313</v>
      </c>
      <c r="AG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row>
    <row r="1354" spans="1:64" ht="12" customHeight="1" x14ac:dyDescent="0.15">
      <c r="A1354" s="34" t="s">
        <v>35505</v>
      </c>
      <c r="B1354" s="34">
        <v>39</v>
      </c>
      <c r="C1354" s="34" t="s">
        <v>14</v>
      </c>
      <c r="D1354" s="34" t="s">
        <v>31</v>
      </c>
      <c r="E1354" s="35" t="s">
        <v>35506</v>
      </c>
      <c r="F1354" s="67">
        <v>43380</v>
      </c>
      <c r="G1354" s="34" t="s">
        <v>35507</v>
      </c>
      <c r="H1354" s="34" t="s">
        <v>35508</v>
      </c>
      <c r="I1354" s="34" t="s">
        <v>56</v>
      </c>
      <c r="J1354" s="34">
        <v>32058</v>
      </c>
      <c r="K1354" s="34" t="s">
        <v>34764</v>
      </c>
      <c r="L1354" s="34" t="s">
        <v>35509</v>
      </c>
      <c r="M1354" s="34" t="s">
        <v>21</v>
      </c>
      <c r="N1354" s="34" t="s">
        <v>35510</v>
      </c>
      <c r="O1354" s="34" t="s">
        <v>372</v>
      </c>
      <c r="P1354" s="34" t="s">
        <v>30089</v>
      </c>
      <c r="Q1354" s="35" t="s">
        <v>35511</v>
      </c>
      <c r="R1354" s="34" t="s">
        <v>512</v>
      </c>
      <c r="S1354" s="34" t="s">
        <v>22</v>
      </c>
      <c r="T1354" s="36" t="s">
        <v>26781</v>
      </c>
      <c r="U1354" s="36" t="s">
        <v>26572</v>
      </c>
      <c r="V1354" s="36" t="s">
        <v>26573</v>
      </c>
      <c r="W1354" s="36" t="s">
        <v>94</v>
      </c>
      <c r="X1354" s="36">
        <v>4078</v>
      </c>
      <c r="Y1354" s="1"/>
      <c r="Z1354" s="34" t="s">
        <v>42967</v>
      </c>
      <c r="AA1354" s="33">
        <v>6312</v>
      </c>
      <c r="AG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row>
    <row r="1355" spans="1:64" ht="12" customHeight="1" x14ac:dyDescent="0.15">
      <c r="A1355" s="34" t="s">
        <v>35516</v>
      </c>
      <c r="B1355" s="34">
        <v>36</v>
      </c>
      <c r="C1355" s="34" t="s">
        <v>14</v>
      </c>
      <c r="D1355" s="34" t="s">
        <v>31</v>
      </c>
      <c r="E1355" s="34"/>
      <c r="F1355" s="67">
        <v>43380</v>
      </c>
      <c r="G1355" s="34" t="s">
        <v>35517</v>
      </c>
      <c r="H1355" s="34" t="s">
        <v>4932</v>
      </c>
      <c r="I1355" s="34" t="s">
        <v>39</v>
      </c>
      <c r="J1355" s="34">
        <v>95603</v>
      </c>
      <c r="K1355" s="34" t="s">
        <v>1003</v>
      </c>
      <c r="L1355" s="34" t="s">
        <v>1004</v>
      </c>
      <c r="M1355" s="34" t="s">
        <v>21</v>
      </c>
      <c r="N1355" s="34" t="s">
        <v>35518</v>
      </c>
      <c r="O1355" s="34" t="s">
        <v>372</v>
      </c>
      <c r="P1355" s="34" t="s">
        <v>30089</v>
      </c>
      <c r="Q1355" s="35" t="s">
        <v>35519</v>
      </c>
      <c r="R1355" s="34" t="s">
        <v>512</v>
      </c>
      <c r="S1355" s="34" t="s">
        <v>12</v>
      </c>
      <c r="T1355" s="36" t="s">
        <v>29425</v>
      </c>
      <c r="U1355" s="36" t="s">
        <v>26572</v>
      </c>
      <c r="V1355" s="36" t="s">
        <v>26573</v>
      </c>
      <c r="W1355" s="36" t="s">
        <v>94</v>
      </c>
      <c r="X1355" s="36">
        <v>4077</v>
      </c>
      <c r="Y1355" s="1"/>
      <c r="Z1355" s="34" t="s">
        <v>42968</v>
      </c>
      <c r="AA1355" s="33">
        <v>6314</v>
      </c>
      <c r="AG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row>
    <row r="1356" spans="1:64" ht="12" customHeight="1" x14ac:dyDescent="0.15">
      <c r="A1356" s="34" t="s">
        <v>35521</v>
      </c>
      <c r="B1356" s="34">
        <v>48</v>
      </c>
      <c r="C1356" s="34" t="s">
        <v>14</v>
      </c>
      <c r="D1356" s="34" t="s">
        <v>31</v>
      </c>
      <c r="E1356" s="34"/>
      <c r="F1356" s="67">
        <v>43378</v>
      </c>
      <c r="G1356" s="34" t="s">
        <v>35522</v>
      </c>
      <c r="H1356" s="34" t="s">
        <v>35523</v>
      </c>
      <c r="I1356" s="34" t="s">
        <v>106</v>
      </c>
      <c r="J1356" s="34">
        <v>97624</v>
      </c>
      <c r="K1356" s="34" t="s">
        <v>5520</v>
      </c>
      <c r="L1356" s="34" t="s">
        <v>13265</v>
      </c>
      <c r="M1356" s="34" t="s">
        <v>21</v>
      </c>
      <c r="N1356" s="34" t="s">
        <v>35524</v>
      </c>
      <c r="O1356" s="34" t="s">
        <v>372</v>
      </c>
      <c r="P1356" s="34" t="s">
        <v>30089</v>
      </c>
      <c r="Q1356" s="35" t="s">
        <v>35525</v>
      </c>
      <c r="R1356" s="34" t="s">
        <v>94</v>
      </c>
      <c r="S1356" s="34" t="s">
        <v>22</v>
      </c>
      <c r="T1356" s="36" t="s">
        <v>26781</v>
      </c>
      <c r="U1356" s="36" t="s">
        <v>26572</v>
      </c>
      <c r="V1356" s="36" t="s">
        <v>26574</v>
      </c>
      <c r="W1356" s="36" t="s">
        <v>94</v>
      </c>
      <c r="X1356" s="36">
        <v>4157</v>
      </c>
      <c r="Y1356" s="1"/>
      <c r="Z1356" s="34" t="s">
        <v>42967</v>
      </c>
      <c r="AA1356" s="33">
        <v>6311</v>
      </c>
      <c r="AG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row>
    <row r="1357" spans="1:64" ht="12" customHeight="1" x14ac:dyDescent="0.15">
      <c r="A1357" s="34" t="s">
        <v>35526</v>
      </c>
      <c r="B1357" s="34">
        <v>31</v>
      </c>
      <c r="C1357" s="34" t="s">
        <v>14</v>
      </c>
      <c r="D1357" s="34" t="s">
        <v>79</v>
      </c>
      <c r="E1357" s="35" t="s">
        <v>35527</v>
      </c>
      <c r="F1357" s="67">
        <v>43378</v>
      </c>
      <c r="G1357" s="34" t="s">
        <v>35528</v>
      </c>
      <c r="H1357" s="34" t="s">
        <v>1888</v>
      </c>
      <c r="I1357" s="34" t="s">
        <v>298</v>
      </c>
      <c r="J1357" s="34">
        <v>37218</v>
      </c>
      <c r="K1357" s="34" t="s">
        <v>823</v>
      </c>
      <c r="L1357" s="34" t="s">
        <v>824</v>
      </c>
      <c r="M1357" s="34" t="s">
        <v>21</v>
      </c>
      <c r="N1357" s="34" t="s">
        <v>35529</v>
      </c>
      <c r="O1357" s="34" t="s">
        <v>372</v>
      </c>
      <c r="P1357" s="34" t="s">
        <v>30089</v>
      </c>
      <c r="Q1357" s="35" t="s">
        <v>35530</v>
      </c>
      <c r="R1357" s="34" t="s">
        <v>94</v>
      </c>
      <c r="S1357" s="34" t="s">
        <v>22</v>
      </c>
      <c r="T1357" s="36" t="s">
        <v>26781</v>
      </c>
      <c r="U1357" s="36" t="s">
        <v>26572</v>
      </c>
      <c r="V1357" s="36" t="s">
        <v>26573</v>
      </c>
      <c r="W1357" s="36" t="s">
        <v>94</v>
      </c>
      <c r="X1357" s="36">
        <v>4156</v>
      </c>
      <c r="Y1357" s="1"/>
      <c r="Z1357" s="34" t="s">
        <v>42968</v>
      </c>
      <c r="AA1357" s="33">
        <v>6310</v>
      </c>
      <c r="AG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row>
    <row r="1358" spans="1:64" ht="12" customHeight="1" x14ac:dyDescent="0.15">
      <c r="A1358" s="34" t="s">
        <v>3002</v>
      </c>
      <c r="B1358" s="34"/>
      <c r="C1358" s="34" t="s">
        <v>14</v>
      </c>
      <c r="D1358" s="34" t="s">
        <v>24</v>
      </c>
      <c r="E1358" s="35"/>
      <c r="F1358" s="67">
        <v>43378</v>
      </c>
      <c r="G1358" s="34"/>
      <c r="H1358" s="36" t="s">
        <v>35520</v>
      </c>
      <c r="I1358" s="36" t="s">
        <v>402</v>
      </c>
      <c r="J1358" s="34"/>
      <c r="K1358" s="34"/>
      <c r="L1358" s="34"/>
      <c r="M1358" s="34" t="s">
        <v>21</v>
      </c>
      <c r="N1358" s="34"/>
      <c r="O1358" s="34" t="s">
        <v>372</v>
      </c>
      <c r="P1358" s="34" t="s">
        <v>30089</v>
      </c>
      <c r="Q1358" s="35"/>
      <c r="R1358" s="34" t="s">
        <v>94</v>
      </c>
      <c r="S1358" s="34" t="s">
        <v>22</v>
      </c>
      <c r="T1358" s="36" t="s">
        <v>26781</v>
      </c>
      <c r="U1358" s="36" t="s">
        <v>26572</v>
      </c>
      <c r="V1358" s="36" t="s">
        <v>26573</v>
      </c>
      <c r="W1358" s="36" t="s">
        <v>94</v>
      </c>
      <c r="X1358" s="36">
        <v>4080</v>
      </c>
      <c r="Y1358" s="1"/>
      <c r="Z1358" s="34" t="e">
        <v>#N/A</v>
      </c>
      <c r="AA1358" s="33">
        <v>6309</v>
      </c>
      <c r="AG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row>
    <row r="1359" spans="1:64" ht="12" customHeight="1" x14ac:dyDescent="0.15">
      <c r="A1359" s="34" t="s">
        <v>35531</v>
      </c>
      <c r="B1359" s="34">
        <v>45</v>
      </c>
      <c r="C1359" s="34" t="s">
        <v>14</v>
      </c>
      <c r="D1359" s="34" t="s">
        <v>79</v>
      </c>
      <c r="E1359" s="35" t="s">
        <v>35532</v>
      </c>
      <c r="F1359" s="67">
        <v>43377</v>
      </c>
      <c r="G1359" s="34" t="s">
        <v>35533</v>
      </c>
      <c r="H1359" s="34" t="s">
        <v>35534</v>
      </c>
      <c r="I1359" s="34" t="s">
        <v>139</v>
      </c>
      <c r="J1359" s="34">
        <v>25917</v>
      </c>
      <c r="K1359" s="34" t="s">
        <v>1415</v>
      </c>
      <c r="L1359" s="34" t="s">
        <v>35535</v>
      </c>
      <c r="M1359" s="34" t="s">
        <v>21</v>
      </c>
      <c r="N1359" s="34" t="s">
        <v>36429</v>
      </c>
      <c r="O1359" s="34" t="s">
        <v>372</v>
      </c>
      <c r="P1359" s="34" t="s">
        <v>30089</v>
      </c>
      <c r="Q1359" s="35" t="s">
        <v>35536</v>
      </c>
      <c r="R1359" s="34" t="s">
        <v>94</v>
      </c>
      <c r="S1359" s="34" t="s">
        <v>22</v>
      </c>
      <c r="T1359" s="36" t="s">
        <v>26781</v>
      </c>
      <c r="U1359" s="36" t="s">
        <v>26572</v>
      </c>
      <c r="V1359" s="36" t="s">
        <v>26573</v>
      </c>
      <c r="W1359" s="36" t="s">
        <v>94</v>
      </c>
      <c r="X1359" s="36">
        <v>4153</v>
      </c>
      <c r="Y1359" s="1"/>
      <c r="Z1359" s="34" t="s">
        <v>42967</v>
      </c>
      <c r="AA1359" s="33">
        <v>6308</v>
      </c>
      <c r="AG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row>
    <row r="1360" spans="1:64" ht="12" customHeight="1" x14ac:dyDescent="0.15">
      <c r="A1360" s="34" t="s">
        <v>35541</v>
      </c>
      <c r="B1360" s="34">
        <v>25</v>
      </c>
      <c r="C1360" s="34" t="s">
        <v>14</v>
      </c>
      <c r="D1360" s="34" t="s">
        <v>31</v>
      </c>
      <c r="E1360" s="34"/>
      <c r="F1360" s="67">
        <v>43376</v>
      </c>
      <c r="G1360" s="34" t="s">
        <v>35789</v>
      </c>
      <c r="H1360" s="34" t="s">
        <v>27</v>
      </c>
      <c r="I1360" s="34" t="s">
        <v>621</v>
      </c>
      <c r="J1360" s="34">
        <v>38701</v>
      </c>
      <c r="K1360" s="34" t="s">
        <v>107</v>
      </c>
      <c r="L1360" s="34" t="s">
        <v>771</v>
      </c>
      <c r="M1360" s="34" t="s">
        <v>21</v>
      </c>
      <c r="N1360" s="34" t="s">
        <v>35542</v>
      </c>
      <c r="O1360" s="34" t="s">
        <v>372</v>
      </c>
      <c r="P1360" s="34" t="s">
        <v>30089</v>
      </c>
      <c r="Q1360" s="35" t="s">
        <v>35543</v>
      </c>
      <c r="R1360" s="34" t="s">
        <v>94</v>
      </c>
      <c r="S1360" s="34" t="s">
        <v>22</v>
      </c>
      <c r="T1360" s="36" t="s">
        <v>26774</v>
      </c>
      <c r="U1360" s="36" t="s">
        <v>26572</v>
      </c>
      <c r="V1360" s="36"/>
      <c r="W1360" s="36" t="s">
        <v>94</v>
      </c>
      <c r="X1360" s="36">
        <v>4151</v>
      </c>
      <c r="Y1360" s="1"/>
      <c r="Z1360" s="34" t="s">
        <v>42968</v>
      </c>
      <c r="AA1360" s="33">
        <v>6306</v>
      </c>
      <c r="AG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row>
    <row r="1361" spans="1:64" ht="12" customHeight="1" x14ac:dyDescent="0.15">
      <c r="A1361" s="34" t="s">
        <v>35537</v>
      </c>
      <c r="B1361" s="34">
        <v>38</v>
      </c>
      <c r="C1361" s="34" t="s">
        <v>14</v>
      </c>
      <c r="D1361" s="34" t="s">
        <v>79</v>
      </c>
      <c r="E1361" s="34"/>
      <c r="F1361" s="67">
        <v>43376</v>
      </c>
      <c r="G1361" s="34" t="s">
        <v>35788</v>
      </c>
      <c r="H1361" s="34" t="s">
        <v>1116</v>
      </c>
      <c r="I1361" s="34" t="s">
        <v>298</v>
      </c>
      <c r="J1361" s="34">
        <v>38134</v>
      </c>
      <c r="K1361" s="34" t="s">
        <v>1117</v>
      </c>
      <c r="L1361" s="34" t="s">
        <v>35538</v>
      </c>
      <c r="M1361" s="34" t="s">
        <v>21</v>
      </c>
      <c r="N1361" s="34" t="s">
        <v>35539</v>
      </c>
      <c r="O1361" s="34" t="s">
        <v>372</v>
      </c>
      <c r="P1361" s="34" t="s">
        <v>30089</v>
      </c>
      <c r="Q1361" s="35" t="s">
        <v>35540</v>
      </c>
      <c r="R1361" s="34" t="s">
        <v>512</v>
      </c>
      <c r="S1361" s="34" t="s">
        <v>22</v>
      </c>
      <c r="T1361" s="36" t="s">
        <v>26781</v>
      </c>
      <c r="U1361" s="36" t="s">
        <v>26572</v>
      </c>
      <c r="V1361" s="36" t="s">
        <v>26573</v>
      </c>
      <c r="W1361" s="36" t="s">
        <v>94</v>
      </c>
      <c r="X1361" s="36">
        <v>4071</v>
      </c>
      <c r="Y1361" s="1"/>
      <c r="Z1361" s="34" t="s">
        <v>42966</v>
      </c>
      <c r="AA1361" s="33">
        <v>6305</v>
      </c>
      <c r="AG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row>
    <row r="1362" spans="1:64" ht="12" customHeight="1" x14ac:dyDescent="0.15">
      <c r="A1362" s="34" t="s">
        <v>35544</v>
      </c>
      <c r="B1362" s="34">
        <v>36</v>
      </c>
      <c r="C1362" s="34" t="s">
        <v>14</v>
      </c>
      <c r="D1362" s="34" t="s">
        <v>79</v>
      </c>
      <c r="E1362" s="34"/>
      <c r="F1362" s="67">
        <v>43376</v>
      </c>
      <c r="G1362" s="34" t="s">
        <v>35790</v>
      </c>
      <c r="H1362" s="34" t="s">
        <v>35545</v>
      </c>
      <c r="I1362" s="34" t="s">
        <v>39</v>
      </c>
      <c r="J1362" s="34">
        <v>94030</v>
      </c>
      <c r="K1362" s="34" t="s">
        <v>4269</v>
      </c>
      <c r="L1362" s="34" t="s">
        <v>35546</v>
      </c>
      <c r="M1362" s="34" t="s">
        <v>363</v>
      </c>
      <c r="N1362" s="34" t="s">
        <v>35547</v>
      </c>
      <c r="O1362" s="34" t="s">
        <v>372</v>
      </c>
      <c r="P1362" s="34" t="s">
        <v>30089</v>
      </c>
      <c r="Q1362" s="35" t="s">
        <v>35548</v>
      </c>
      <c r="R1362" s="34" t="s">
        <v>23</v>
      </c>
      <c r="S1362" s="34" t="s">
        <v>12</v>
      </c>
      <c r="T1362" s="34" t="s">
        <v>29705</v>
      </c>
      <c r="U1362" s="34"/>
      <c r="V1362" s="34"/>
      <c r="W1362" s="34"/>
      <c r="X1362" s="34"/>
      <c r="Y1362" s="1"/>
      <c r="Z1362" s="34" t="s">
        <v>42966</v>
      </c>
      <c r="AA1362" s="33">
        <v>6307</v>
      </c>
      <c r="AG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row>
    <row r="1363" spans="1:64" ht="12" customHeight="1" x14ac:dyDescent="0.15">
      <c r="A1363" s="34" t="s">
        <v>35554</v>
      </c>
      <c r="B1363" s="34">
        <v>36</v>
      </c>
      <c r="C1363" s="34" t="s">
        <v>103</v>
      </c>
      <c r="D1363" s="34" t="s">
        <v>79</v>
      </c>
      <c r="E1363" s="35" t="s">
        <v>35555</v>
      </c>
      <c r="F1363" s="67">
        <v>43375</v>
      </c>
      <c r="G1363" s="34" t="s">
        <v>35556</v>
      </c>
      <c r="H1363" s="34" t="s">
        <v>7206</v>
      </c>
      <c r="I1363" s="34" t="s">
        <v>39</v>
      </c>
      <c r="J1363" s="34">
        <v>92395</v>
      </c>
      <c r="K1363" s="34" t="s">
        <v>288</v>
      </c>
      <c r="L1363" s="34" t="s">
        <v>32215</v>
      </c>
      <c r="M1363" s="34" t="s">
        <v>21</v>
      </c>
      <c r="N1363" s="34" t="s">
        <v>35557</v>
      </c>
      <c r="O1363" s="34" t="s">
        <v>372</v>
      </c>
      <c r="P1363" s="34" t="s">
        <v>30089</v>
      </c>
      <c r="Q1363" s="35" t="s">
        <v>35558</v>
      </c>
      <c r="R1363" s="34" t="s">
        <v>94</v>
      </c>
      <c r="S1363" s="34" t="s">
        <v>351</v>
      </c>
      <c r="T1363" s="36" t="s">
        <v>26867</v>
      </c>
      <c r="U1363" s="36" t="s">
        <v>26572</v>
      </c>
      <c r="V1363" s="36" t="s">
        <v>26573</v>
      </c>
      <c r="W1363" s="36" t="s">
        <v>94</v>
      </c>
      <c r="X1363" s="36">
        <v>4074</v>
      </c>
      <c r="Y1363" s="1"/>
      <c r="Z1363" s="34" t="s">
        <v>42968</v>
      </c>
      <c r="AA1363" s="33">
        <v>6304</v>
      </c>
      <c r="AG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row>
    <row r="1364" spans="1:64" ht="12" customHeight="1" x14ac:dyDescent="0.15">
      <c r="A1364" s="34" t="s">
        <v>35549</v>
      </c>
      <c r="B1364" s="34">
        <v>26</v>
      </c>
      <c r="C1364" s="34" t="s">
        <v>14</v>
      </c>
      <c r="D1364" s="34" t="s">
        <v>31</v>
      </c>
      <c r="E1364" s="35" t="s">
        <v>35550</v>
      </c>
      <c r="F1364" s="67">
        <v>43375</v>
      </c>
      <c r="G1364" s="34" t="s">
        <v>35551</v>
      </c>
      <c r="H1364" s="34" t="s">
        <v>11676</v>
      </c>
      <c r="I1364" s="34" t="s">
        <v>160</v>
      </c>
      <c r="J1364" s="34">
        <v>30126</v>
      </c>
      <c r="K1364" s="34" t="s">
        <v>3052</v>
      </c>
      <c r="L1364" s="34" t="s">
        <v>3053</v>
      </c>
      <c r="M1364" s="34" t="s">
        <v>21</v>
      </c>
      <c r="N1364" s="34" t="s">
        <v>35552</v>
      </c>
      <c r="O1364" s="34" t="s">
        <v>372</v>
      </c>
      <c r="P1364" s="34" t="s">
        <v>30089</v>
      </c>
      <c r="Q1364" s="35" t="s">
        <v>35553</v>
      </c>
      <c r="R1364" s="34" t="s">
        <v>512</v>
      </c>
      <c r="S1364" s="34" t="s">
        <v>22</v>
      </c>
      <c r="T1364" s="36" t="s">
        <v>26781</v>
      </c>
      <c r="U1364" s="36" t="s">
        <v>26572</v>
      </c>
      <c r="V1364" s="36" t="s">
        <v>26573</v>
      </c>
      <c r="W1364" s="36" t="s">
        <v>94</v>
      </c>
      <c r="X1364" s="36">
        <v>4072</v>
      </c>
      <c r="Y1364" s="1"/>
      <c r="Z1364" s="34" t="s">
        <v>42968</v>
      </c>
      <c r="AA1364" s="33">
        <v>6303</v>
      </c>
      <c r="AG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row>
    <row r="1365" spans="1:64" ht="12" customHeight="1" x14ac:dyDescent="0.15">
      <c r="A1365" s="34" t="s">
        <v>35565</v>
      </c>
      <c r="B1365" s="34">
        <v>33</v>
      </c>
      <c r="C1365" s="34" t="s">
        <v>14</v>
      </c>
      <c r="D1365" s="34" t="s">
        <v>31</v>
      </c>
      <c r="E1365" s="35" t="s">
        <v>35566</v>
      </c>
      <c r="F1365" s="67">
        <v>43374</v>
      </c>
      <c r="G1365" s="34" t="s">
        <v>35567</v>
      </c>
      <c r="H1365" s="34" t="s">
        <v>997</v>
      </c>
      <c r="I1365" s="34" t="s">
        <v>56</v>
      </c>
      <c r="J1365" s="34">
        <v>32806</v>
      </c>
      <c r="K1365" s="34" t="s">
        <v>998</v>
      </c>
      <c r="L1365" s="34" t="s">
        <v>999</v>
      </c>
      <c r="M1365" s="34" t="s">
        <v>21</v>
      </c>
      <c r="N1365" s="34" t="s">
        <v>35568</v>
      </c>
      <c r="O1365" s="34" t="s">
        <v>372</v>
      </c>
      <c r="P1365" s="34" t="s">
        <v>30089</v>
      </c>
      <c r="Q1365" s="35" t="s">
        <v>35569</v>
      </c>
      <c r="R1365" s="34" t="s">
        <v>512</v>
      </c>
      <c r="S1365" s="34" t="s">
        <v>12</v>
      </c>
      <c r="T1365" s="36" t="s">
        <v>29705</v>
      </c>
      <c r="U1365" s="36" t="s">
        <v>26570</v>
      </c>
      <c r="V1365" s="36" t="s">
        <v>26573</v>
      </c>
      <c r="W1365" s="36" t="s">
        <v>94</v>
      </c>
      <c r="X1365" s="36">
        <v>4073</v>
      </c>
      <c r="Y1365" s="1"/>
      <c r="Z1365" s="34" t="s">
        <v>42968</v>
      </c>
      <c r="AA1365" s="33">
        <v>6301</v>
      </c>
      <c r="AG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row>
    <row r="1366" spans="1:64" ht="12" customHeight="1" x14ac:dyDescent="0.15">
      <c r="A1366" s="34" t="s">
        <v>35559</v>
      </c>
      <c r="B1366" s="34">
        <v>23</v>
      </c>
      <c r="C1366" s="34" t="s">
        <v>14</v>
      </c>
      <c r="D1366" s="34" t="s">
        <v>31</v>
      </c>
      <c r="E1366" s="35" t="s">
        <v>35560</v>
      </c>
      <c r="F1366" s="67">
        <v>43374</v>
      </c>
      <c r="G1366" s="34" t="s">
        <v>35791</v>
      </c>
      <c r="H1366" s="34" t="s">
        <v>35561</v>
      </c>
      <c r="I1366" s="34" t="s">
        <v>122</v>
      </c>
      <c r="J1366" s="34">
        <v>55033</v>
      </c>
      <c r="K1366" s="34" t="s">
        <v>19324</v>
      </c>
      <c r="L1366" s="34" t="s">
        <v>35562</v>
      </c>
      <c r="M1366" s="34" t="s">
        <v>21</v>
      </c>
      <c r="N1366" s="34" t="s">
        <v>35563</v>
      </c>
      <c r="O1366" s="34" t="s">
        <v>372</v>
      </c>
      <c r="P1366" s="34" t="s">
        <v>30089</v>
      </c>
      <c r="Q1366" s="35" t="s">
        <v>35564</v>
      </c>
      <c r="R1366" s="34" t="s">
        <v>512</v>
      </c>
      <c r="S1366" s="34" t="s">
        <v>22</v>
      </c>
      <c r="T1366" s="36" t="s">
        <v>26774</v>
      </c>
      <c r="U1366" s="36" t="s">
        <v>26572</v>
      </c>
      <c r="V1366" s="36" t="s">
        <v>26574</v>
      </c>
      <c r="W1366" s="36" t="s">
        <v>512</v>
      </c>
      <c r="X1366" s="36">
        <v>4070</v>
      </c>
      <c r="Y1366" s="1"/>
      <c r="Z1366" s="34" t="s">
        <v>42968</v>
      </c>
      <c r="AA1366" s="33">
        <v>6300</v>
      </c>
      <c r="AG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row>
    <row r="1367" spans="1:64" ht="12" customHeight="1" x14ac:dyDescent="0.15">
      <c r="A1367" s="34" t="s">
        <v>3002</v>
      </c>
      <c r="B1367" s="34">
        <v>29</v>
      </c>
      <c r="C1367" s="34" t="s">
        <v>14</v>
      </c>
      <c r="D1367" s="34" t="s">
        <v>24</v>
      </c>
      <c r="E1367" s="34"/>
      <c r="F1367" s="67">
        <v>43374</v>
      </c>
      <c r="G1367" s="34" t="s">
        <v>35570</v>
      </c>
      <c r="H1367" s="34" t="s">
        <v>674</v>
      </c>
      <c r="I1367" s="34" t="s">
        <v>67</v>
      </c>
      <c r="J1367" s="34">
        <v>77008</v>
      </c>
      <c r="K1367" s="34" t="s">
        <v>515</v>
      </c>
      <c r="L1367" s="34" t="s">
        <v>516</v>
      </c>
      <c r="M1367" s="34" t="s">
        <v>21</v>
      </c>
      <c r="N1367" s="34" t="s">
        <v>35571</v>
      </c>
      <c r="O1367" s="34" t="s">
        <v>372</v>
      </c>
      <c r="P1367" s="34" t="s">
        <v>30089</v>
      </c>
      <c r="Q1367" s="35" t="s">
        <v>35572</v>
      </c>
      <c r="R1367" s="34" t="s">
        <v>94</v>
      </c>
      <c r="S1367" s="34" t="s">
        <v>22</v>
      </c>
      <c r="T1367" s="1" t="s">
        <v>26576</v>
      </c>
      <c r="U1367" s="36"/>
      <c r="V1367" s="36"/>
      <c r="W1367" s="36"/>
      <c r="X1367" s="36"/>
      <c r="Y1367" s="1"/>
      <c r="Z1367" s="34" t="s">
        <v>42966</v>
      </c>
      <c r="AA1367" s="33">
        <v>6302</v>
      </c>
      <c r="AG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row>
    <row r="1368" spans="1:64" ht="12" customHeight="1" x14ac:dyDescent="0.15">
      <c r="A1368" s="34" t="s">
        <v>35575</v>
      </c>
      <c r="B1368" s="34">
        <v>27</v>
      </c>
      <c r="C1368" s="34" t="s">
        <v>14</v>
      </c>
      <c r="D1368" s="34" t="s">
        <v>79</v>
      </c>
      <c r="E1368" s="35" t="s">
        <v>35576</v>
      </c>
      <c r="F1368" s="67">
        <v>43373</v>
      </c>
      <c r="G1368" s="34" t="s">
        <v>35577</v>
      </c>
      <c r="H1368" s="34" t="s">
        <v>1459</v>
      </c>
      <c r="I1368" s="34" t="s">
        <v>106</v>
      </c>
      <c r="J1368" s="34">
        <v>97204</v>
      </c>
      <c r="K1368" s="34" t="s">
        <v>1461</v>
      </c>
      <c r="L1368" s="34" t="s">
        <v>16039</v>
      </c>
      <c r="M1368" s="34" t="s">
        <v>21</v>
      </c>
      <c r="N1368" s="34" t="s">
        <v>35578</v>
      </c>
      <c r="O1368" s="34" t="s">
        <v>372</v>
      </c>
      <c r="P1368" s="34" t="s">
        <v>30089</v>
      </c>
      <c r="Q1368" s="35" t="s">
        <v>35579</v>
      </c>
      <c r="R1368" s="34" t="s">
        <v>94</v>
      </c>
      <c r="S1368" s="34" t="s">
        <v>22</v>
      </c>
      <c r="T1368" s="36" t="s">
        <v>26781</v>
      </c>
      <c r="U1368" s="36" t="s">
        <v>26572</v>
      </c>
      <c r="V1368" s="36"/>
      <c r="W1368" s="36" t="s">
        <v>94</v>
      </c>
      <c r="X1368" s="36">
        <v>4058</v>
      </c>
      <c r="Y1368" s="1"/>
      <c r="Z1368" s="34" t="s">
        <v>42966</v>
      </c>
      <c r="AA1368" s="33">
        <v>6299</v>
      </c>
      <c r="AG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row>
    <row r="1369" spans="1:64" ht="12" customHeight="1" x14ac:dyDescent="0.15">
      <c r="A1369" s="36" t="s">
        <v>35573</v>
      </c>
      <c r="B1369" s="34">
        <v>40</v>
      </c>
      <c r="C1369" s="34" t="s">
        <v>14</v>
      </c>
      <c r="D1369" s="34" t="s">
        <v>31</v>
      </c>
      <c r="E1369" s="35"/>
      <c r="F1369" s="67">
        <v>43373</v>
      </c>
      <c r="G1369" s="34"/>
      <c r="H1369" s="36" t="s">
        <v>35574</v>
      </c>
      <c r="I1369" s="36" t="s">
        <v>298</v>
      </c>
      <c r="J1369" s="34"/>
      <c r="K1369" s="34"/>
      <c r="L1369" s="34"/>
      <c r="M1369" s="34" t="s">
        <v>21</v>
      </c>
      <c r="N1369" s="34"/>
      <c r="O1369" s="34" t="s">
        <v>372</v>
      </c>
      <c r="P1369" s="34" t="s">
        <v>30089</v>
      </c>
      <c r="Q1369" s="35"/>
      <c r="R1369" s="34" t="s">
        <v>512</v>
      </c>
      <c r="S1369" s="34" t="s">
        <v>22</v>
      </c>
      <c r="T1369" s="36" t="s">
        <v>27020</v>
      </c>
      <c r="U1369" s="36" t="s">
        <v>26570</v>
      </c>
      <c r="V1369" s="36" t="s">
        <v>26573</v>
      </c>
      <c r="W1369" s="36" t="s">
        <v>94</v>
      </c>
      <c r="X1369" s="36">
        <v>4103</v>
      </c>
      <c r="Y1369" s="1"/>
      <c r="Z1369" s="34" t="e">
        <v>#N/A</v>
      </c>
      <c r="AA1369" s="33">
        <v>6298</v>
      </c>
      <c r="AG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row>
    <row r="1370" spans="1:64" ht="12" customHeight="1" x14ac:dyDescent="0.15">
      <c r="A1370" s="34" t="s">
        <v>35589</v>
      </c>
      <c r="B1370" s="34">
        <v>54</v>
      </c>
      <c r="C1370" s="34" t="s">
        <v>14</v>
      </c>
      <c r="D1370" s="34" t="s">
        <v>31</v>
      </c>
      <c r="E1370" s="35" t="s">
        <v>35590</v>
      </c>
      <c r="F1370" s="67">
        <v>43372</v>
      </c>
      <c r="G1370" s="34" t="s">
        <v>35591</v>
      </c>
      <c r="H1370" s="34" t="s">
        <v>6784</v>
      </c>
      <c r="I1370" s="34" t="s">
        <v>367</v>
      </c>
      <c r="J1370" s="34">
        <v>74447</v>
      </c>
      <c r="K1370" s="34" t="s">
        <v>6784</v>
      </c>
      <c r="L1370" s="34" t="s">
        <v>20323</v>
      </c>
      <c r="M1370" s="34" t="s">
        <v>21</v>
      </c>
      <c r="N1370" s="34" t="s">
        <v>35592</v>
      </c>
      <c r="O1370" s="34" t="s">
        <v>372</v>
      </c>
      <c r="P1370" s="34" t="s">
        <v>30089</v>
      </c>
      <c r="Q1370" s="35" t="s">
        <v>35593</v>
      </c>
      <c r="R1370" s="34" t="s">
        <v>94</v>
      </c>
      <c r="S1370" s="34" t="s">
        <v>29</v>
      </c>
      <c r="T1370" s="36" t="s">
        <v>26575</v>
      </c>
      <c r="U1370" s="36" t="s">
        <v>26575</v>
      </c>
      <c r="V1370" s="36" t="s">
        <v>26571</v>
      </c>
      <c r="W1370" s="36" t="s">
        <v>94</v>
      </c>
      <c r="X1370" s="36">
        <v>4059</v>
      </c>
      <c r="Y1370" s="1"/>
      <c r="Z1370" s="34" t="s">
        <v>42967</v>
      </c>
      <c r="AA1370" s="33">
        <v>6297</v>
      </c>
      <c r="AG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row>
    <row r="1371" spans="1:64" ht="12" customHeight="1" x14ac:dyDescent="0.15">
      <c r="A1371" s="34" t="s">
        <v>35583</v>
      </c>
      <c r="B1371" s="34">
        <v>40</v>
      </c>
      <c r="C1371" s="34" t="s">
        <v>14</v>
      </c>
      <c r="D1371" s="34" t="s">
        <v>31</v>
      </c>
      <c r="E1371" s="35" t="s">
        <v>35584</v>
      </c>
      <c r="F1371" s="67">
        <v>43372</v>
      </c>
      <c r="G1371" s="34" t="s">
        <v>35585</v>
      </c>
      <c r="H1371" s="34" t="s">
        <v>35586</v>
      </c>
      <c r="I1371" s="34" t="s">
        <v>468</v>
      </c>
      <c r="J1371" s="34">
        <v>3042</v>
      </c>
      <c r="K1371" s="34" t="s">
        <v>4386</v>
      </c>
      <c r="L1371" s="34" t="s">
        <v>12635</v>
      </c>
      <c r="M1371" s="34" t="s">
        <v>21</v>
      </c>
      <c r="N1371" s="34" t="s">
        <v>35587</v>
      </c>
      <c r="O1371" s="34" t="s">
        <v>372</v>
      </c>
      <c r="P1371" s="34" t="s">
        <v>30089</v>
      </c>
      <c r="Q1371" s="35" t="s">
        <v>35588</v>
      </c>
      <c r="R1371" s="34" t="s">
        <v>94</v>
      </c>
      <c r="S1371" s="34" t="s">
        <v>22</v>
      </c>
      <c r="T1371" s="36" t="s">
        <v>26781</v>
      </c>
      <c r="U1371" s="36" t="s">
        <v>26575</v>
      </c>
      <c r="V1371" s="36" t="s">
        <v>26573</v>
      </c>
      <c r="W1371" s="36" t="s">
        <v>94</v>
      </c>
      <c r="X1371" s="36">
        <v>4062</v>
      </c>
      <c r="Y1371" s="1"/>
      <c r="Z1371" s="34" t="s">
        <v>42967</v>
      </c>
      <c r="AA1371" s="33">
        <v>6296</v>
      </c>
      <c r="AG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row>
    <row r="1372" spans="1:64" ht="12" customHeight="1" x14ac:dyDescent="0.15">
      <c r="A1372" s="34" t="s">
        <v>35580</v>
      </c>
      <c r="B1372" s="34">
        <v>58</v>
      </c>
      <c r="C1372" s="34" t="s">
        <v>14</v>
      </c>
      <c r="D1372" s="34" t="s">
        <v>31</v>
      </c>
      <c r="E1372" s="34"/>
      <c r="F1372" s="67">
        <v>43372</v>
      </c>
      <c r="G1372" s="34" t="s">
        <v>35792</v>
      </c>
      <c r="H1372" s="34" t="s">
        <v>31492</v>
      </c>
      <c r="I1372" s="34" t="s">
        <v>735</v>
      </c>
      <c r="J1372" s="34">
        <v>83651</v>
      </c>
      <c r="K1372" s="34" t="s">
        <v>3223</v>
      </c>
      <c r="L1372" s="34" t="s">
        <v>32182</v>
      </c>
      <c r="M1372" s="34" t="s">
        <v>21</v>
      </c>
      <c r="N1372" s="34" t="s">
        <v>35581</v>
      </c>
      <c r="O1372" s="34" t="s">
        <v>372</v>
      </c>
      <c r="P1372" s="34" t="s">
        <v>30089</v>
      </c>
      <c r="Q1372" s="35" t="s">
        <v>35582</v>
      </c>
      <c r="R1372" s="34" t="s">
        <v>94</v>
      </c>
      <c r="S1372" s="34" t="s">
        <v>22</v>
      </c>
      <c r="T1372" s="36" t="s">
        <v>26587</v>
      </c>
      <c r="U1372" s="36" t="s">
        <v>26572</v>
      </c>
      <c r="V1372" s="36"/>
      <c r="W1372" s="36" t="s">
        <v>94</v>
      </c>
      <c r="X1372" s="36">
        <v>4060</v>
      </c>
      <c r="Y1372" s="1"/>
      <c r="Z1372" s="34" t="s">
        <v>42968</v>
      </c>
      <c r="AA1372" s="33">
        <v>6295</v>
      </c>
      <c r="AG1372" s="1"/>
      <c r="AK1372" s="1"/>
      <c r="AL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row>
    <row r="1373" spans="1:64" ht="12" customHeight="1" x14ac:dyDescent="0.15">
      <c r="A1373" s="34" t="s">
        <v>35598</v>
      </c>
      <c r="B1373" s="34">
        <v>23</v>
      </c>
      <c r="C1373" s="34" t="s">
        <v>14</v>
      </c>
      <c r="D1373" s="34" t="s">
        <v>79</v>
      </c>
      <c r="E1373" s="34"/>
      <c r="F1373" s="67">
        <v>43371</v>
      </c>
      <c r="G1373" s="34" t="s">
        <v>35599</v>
      </c>
      <c r="H1373" s="34" t="s">
        <v>674</v>
      </c>
      <c r="I1373" s="34" t="s">
        <v>67</v>
      </c>
      <c r="J1373" s="34">
        <v>77057</v>
      </c>
      <c r="K1373" s="34" t="s">
        <v>515</v>
      </c>
      <c r="L1373" s="34" t="s">
        <v>675</v>
      </c>
      <c r="M1373" s="34" t="s">
        <v>21</v>
      </c>
      <c r="N1373" s="34" t="s">
        <v>35600</v>
      </c>
      <c r="O1373" s="34" t="s">
        <v>372</v>
      </c>
      <c r="P1373" s="34" t="s">
        <v>30089</v>
      </c>
      <c r="Q1373" s="35" t="s">
        <v>35601</v>
      </c>
      <c r="R1373" s="34" t="s">
        <v>94</v>
      </c>
      <c r="S1373" s="34" t="s">
        <v>22</v>
      </c>
      <c r="T1373" s="36" t="s">
        <v>26781</v>
      </c>
      <c r="U1373" s="36" t="s">
        <v>26572</v>
      </c>
      <c r="V1373" s="36"/>
      <c r="W1373" s="36"/>
      <c r="X1373" s="36"/>
      <c r="Y1373" s="1"/>
      <c r="Z1373" s="34" t="s">
        <v>42966</v>
      </c>
      <c r="AA1373" s="33">
        <v>6294</v>
      </c>
      <c r="AG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row>
    <row r="1374" spans="1:64" ht="12" customHeight="1" x14ac:dyDescent="0.15">
      <c r="A1374" s="34" t="s">
        <v>35594</v>
      </c>
      <c r="B1374" s="34">
        <v>24</v>
      </c>
      <c r="C1374" s="34" t="s">
        <v>14</v>
      </c>
      <c r="D1374" s="34" t="s">
        <v>31</v>
      </c>
      <c r="E1374" s="34"/>
      <c r="F1374" s="67">
        <v>43371</v>
      </c>
      <c r="G1374" s="34" t="s">
        <v>35793</v>
      </c>
      <c r="H1374" s="34" t="s">
        <v>35595</v>
      </c>
      <c r="I1374" s="34" t="s">
        <v>26</v>
      </c>
      <c r="J1374" s="34">
        <v>29455</v>
      </c>
      <c r="K1374" s="34" t="s">
        <v>2064</v>
      </c>
      <c r="L1374" s="34" t="s">
        <v>6713</v>
      </c>
      <c r="M1374" s="34" t="s">
        <v>21</v>
      </c>
      <c r="N1374" s="34" t="s">
        <v>35596</v>
      </c>
      <c r="O1374" s="34" t="s">
        <v>372</v>
      </c>
      <c r="P1374" s="34" t="s">
        <v>30089</v>
      </c>
      <c r="Q1374" s="35" t="s">
        <v>35597</v>
      </c>
      <c r="R1374" s="34" t="s">
        <v>94</v>
      </c>
      <c r="S1374" s="34" t="s">
        <v>22</v>
      </c>
      <c r="T1374" s="36" t="s">
        <v>26781</v>
      </c>
      <c r="U1374" s="36" t="s">
        <v>26572</v>
      </c>
      <c r="V1374" s="36" t="s">
        <v>26573</v>
      </c>
      <c r="W1374" s="36" t="s">
        <v>94</v>
      </c>
      <c r="X1374" s="36">
        <v>4067</v>
      </c>
      <c r="Y1374" s="1"/>
      <c r="Z1374" s="34" t="s">
        <v>42967</v>
      </c>
      <c r="AA1374" s="33">
        <v>6293</v>
      </c>
      <c r="AG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row>
    <row r="1375" spans="1:64" ht="12" customHeight="1" x14ac:dyDescent="0.15">
      <c r="A1375" s="34" t="s">
        <v>35612</v>
      </c>
      <c r="B1375" s="34">
        <v>19</v>
      </c>
      <c r="C1375" s="34" t="s">
        <v>14</v>
      </c>
      <c r="D1375" s="34" t="s">
        <v>31</v>
      </c>
      <c r="E1375" s="34"/>
      <c r="F1375" s="67">
        <v>43370</v>
      </c>
      <c r="G1375" s="34" t="s">
        <v>35613</v>
      </c>
      <c r="H1375" s="34" t="s">
        <v>24255</v>
      </c>
      <c r="I1375" s="34" t="s">
        <v>367</v>
      </c>
      <c r="J1375" s="34">
        <v>73701</v>
      </c>
      <c r="K1375" s="34" t="s">
        <v>4026</v>
      </c>
      <c r="L1375" s="34" t="s">
        <v>24256</v>
      </c>
      <c r="M1375" s="34" t="s">
        <v>21</v>
      </c>
      <c r="N1375" s="34" t="s">
        <v>35614</v>
      </c>
      <c r="O1375" s="34" t="s">
        <v>372</v>
      </c>
      <c r="P1375" s="34" t="s">
        <v>30089</v>
      </c>
      <c r="Q1375" s="35" t="s">
        <v>35615</v>
      </c>
      <c r="R1375" s="34" t="s">
        <v>94</v>
      </c>
      <c r="S1375" s="34" t="s">
        <v>22</v>
      </c>
      <c r="T1375" s="36" t="s">
        <v>29419</v>
      </c>
      <c r="U1375" s="36" t="s">
        <v>26572</v>
      </c>
      <c r="V1375" s="36" t="s">
        <v>26571</v>
      </c>
      <c r="W1375" s="36" t="s">
        <v>94</v>
      </c>
      <c r="X1375" s="36">
        <v>4063</v>
      </c>
      <c r="Y1375" s="1"/>
      <c r="Z1375" s="34" t="s">
        <v>42968</v>
      </c>
      <c r="AA1375" s="33">
        <v>6289</v>
      </c>
      <c r="AG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row>
    <row r="1376" spans="1:64" ht="12" customHeight="1" x14ac:dyDescent="0.15">
      <c r="A1376" s="34" t="s">
        <v>35602</v>
      </c>
      <c r="B1376" s="34">
        <v>41</v>
      </c>
      <c r="C1376" s="34" t="s">
        <v>14</v>
      </c>
      <c r="D1376" s="34" t="s">
        <v>79</v>
      </c>
      <c r="E1376" s="35" t="s">
        <v>35603</v>
      </c>
      <c r="F1376" s="67">
        <v>43370</v>
      </c>
      <c r="G1376" s="34" t="s">
        <v>35604</v>
      </c>
      <c r="H1376" s="34" t="s">
        <v>3110</v>
      </c>
      <c r="I1376" s="34" t="s">
        <v>56</v>
      </c>
      <c r="J1376" s="34">
        <v>32177</v>
      </c>
      <c r="K1376" s="34" t="s">
        <v>1950</v>
      </c>
      <c r="L1376" s="34" t="s">
        <v>29255</v>
      </c>
      <c r="M1376" s="34" t="s">
        <v>21</v>
      </c>
      <c r="N1376" s="34" t="s">
        <v>35605</v>
      </c>
      <c r="O1376" s="34" t="s">
        <v>372</v>
      </c>
      <c r="P1376" s="34" t="s">
        <v>30089</v>
      </c>
      <c r="Q1376" s="35" t="s">
        <v>35606</v>
      </c>
      <c r="R1376" s="34" t="s">
        <v>94</v>
      </c>
      <c r="S1376" s="34" t="s">
        <v>22</v>
      </c>
      <c r="T1376" s="36" t="s">
        <v>26781</v>
      </c>
      <c r="U1376" s="36" t="s">
        <v>26570</v>
      </c>
      <c r="V1376" s="36" t="s">
        <v>26573</v>
      </c>
      <c r="W1376" s="36" t="s">
        <v>94</v>
      </c>
      <c r="X1376" s="36">
        <v>4069</v>
      </c>
      <c r="Y1376" s="1"/>
      <c r="Z1376" s="34" t="s">
        <v>42967</v>
      </c>
      <c r="AA1376" s="33">
        <v>6288</v>
      </c>
      <c r="AG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row>
    <row r="1377" spans="1:64" ht="12" customHeight="1" x14ac:dyDescent="0.15">
      <c r="A1377" s="34" t="s">
        <v>35616</v>
      </c>
      <c r="B1377" s="34">
        <v>37</v>
      </c>
      <c r="C1377" s="34" t="s">
        <v>14</v>
      </c>
      <c r="D1377" s="34" t="s">
        <v>42</v>
      </c>
      <c r="E1377" s="34"/>
      <c r="F1377" s="67">
        <v>43370</v>
      </c>
      <c r="G1377" s="34" t="s">
        <v>35617</v>
      </c>
      <c r="H1377" s="34" t="s">
        <v>2196</v>
      </c>
      <c r="I1377" s="34" t="s">
        <v>814</v>
      </c>
      <c r="J1377" s="34">
        <v>96817</v>
      </c>
      <c r="K1377" s="34" t="s">
        <v>2196</v>
      </c>
      <c r="L1377" s="34" t="s">
        <v>3281</v>
      </c>
      <c r="M1377" s="34" t="s">
        <v>4966</v>
      </c>
      <c r="N1377" s="34" t="s">
        <v>35618</v>
      </c>
      <c r="O1377" s="34" t="s">
        <v>372</v>
      </c>
      <c r="P1377" s="34" t="s">
        <v>30089</v>
      </c>
      <c r="Q1377" s="35" t="s">
        <v>35619</v>
      </c>
      <c r="R1377" s="34" t="s">
        <v>94</v>
      </c>
      <c r="S1377" s="34" t="s">
        <v>22</v>
      </c>
      <c r="T1377" s="36" t="s">
        <v>26774</v>
      </c>
      <c r="U1377" s="36" t="s">
        <v>26570</v>
      </c>
      <c r="V1377" s="36" t="s">
        <v>26573</v>
      </c>
      <c r="W1377" s="36" t="s">
        <v>94</v>
      </c>
      <c r="X1377" s="36">
        <v>4064</v>
      </c>
      <c r="Y1377" s="1"/>
      <c r="Z1377" s="34" t="s">
        <v>42968</v>
      </c>
      <c r="AA1377" s="33">
        <v>6290</v>
      </c>
      <c r="AG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row>
    <row r="1378" spans="1:64" ht="12" customHeight="1" x14ac:dyDescent="0.15">
      <c r="A1378" s="34" t="s">
        <v>35607</v>
      </c>
      <c r="B1378" s="34">
        <v>32</v>
      </c>
      <c r="C1378" s="34" t="s">
        <v>14</v>
      </c>
      <c r="D1378" s="34" t="s">
        <v>42</v>
      </c>
      <c r="E1378" s="35" t="s">
        <v>35608</v>
      </c>
      <c r="F1378" s="67">
        <v>43370</v>
      </c>
      <c r="G1378" s="34" t="s">
        <v>35609</v>
      </c>
      <c r="H1378" s="34" t="s">
        <v>911</v>
      </c>
      <c r="I1378" s="34" t="s">
        <v>178</v>
      </c>
      <c r="J1378" s="34">
        <v>88001</v>
      </c>
      <c r="K1378" s="34" t="s">
        <v>912</v>
      </c>
      <c r="L1378" s="34" t="s">
        <v>6512</v>
      </c>
      <c r="M1378" s="34" t="s">
        <v>21</v>
      </c>
      <c r="N1378" s="34" t="s">
        <v>35610</v>
      </c>
      <c r="O1378" s="34" t="s">
        <v>372</v>
      </c>
      <c r="P1378" s="34" t="s">
        <v>30089</v>
      </c>
      <c r="Q1378" s="35" t="s">
        <v>35611</v>
      </c>
      <c r="R1378" s="34" t="s">
        <v>94</v>
      </c>
      <c r="S1378" s="34" t="s">
        <v>22</v>
      </c>
      <c r="T1378" s="36" t="s">
        <v>26781</v>
      </c>
      <c r="U1378" s="36" t="s">
        <v>26570</v>
      </c>
      <c r="V1378" s="36" t="s">
        <v>26574</v>
      </c>
      <c r="W1378" s="36" t="s">
        <v>94</v>
      </c>
      <c r="X1378" s="36">
        <v>4066</v>
      </c>
      <c r="Y1378" s="1"/>
      <c r="Z1378" s="34" t="s">
        <v>42968</v>
      </c>
      <c r="AA1378" s="33">
        <v>6287</v>
      </c>
      <c r="AG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row>
    <row r="1379" spans="1:64" ht="12" customHeight="1" x14ac:dyDescent="0.15">
      <c r="A1379" s="34" t="s">
        <v>35620</v>
      </c>
      <c r="B1379" s="34">
        <v>23</v>
      </c>
      <c r="C1379" s="34" t="s">
        <v>14</v>
      </c>
      <c r="D1379" s="34" t="s">
        <v>31</v>
      </c>
      <c r="E1379" s="35" t="s">
        <v>35621</v>
      </c>
      <c r="F1379" s="67">
        <v>43370</v>
      </c>
      <c r="G1379" s="34" t="s">
        <v>35622</v>
      </c>
      <c r="H1379" s="34" t="s">
        <v>6927</v>
      </c>
      <c r="I1379" s="34" t="s">
        <v>19</v>
      </c>
      <c r="J1379" s="34">
        <v>70401</v>
      </c>
      <c r="K1379" s="34" t="s">
        <v>9479</v>
      </c>
      <c r="L1379" s="34" t="s">
        <v>13405</v>
      </c>
      <c r="M1379" s="34" t="s">
        <v>21</v>
      </c>
      <c r="N1379" s="34" t="s">
        <v>35623</v>
      </c>
      <c r="O1379" s="34" t="s">
        <v>372</v>
      </c>
      <c r="P1379" s="34" t="s">
        <v>30089</v>
      </c>
      <c r="Q1379" s="35" t="s">
        <v>35624</v>
      </c>
      <c r="R1379" s="34" t="s">
        <v>94</v>
      </c>
      <c r="S1379" s="34" t="s">
        <v>29</v>
      </c>
      <c r="T1379" s="36" t="s">
        <v>26575</v>
      </c>
      <c r="U1379" s="36" t="s">
        <v>26575</v>
      </c>
      <c r="V1379" s="36" t="s">
        <v>26573</v>
      </c>
      <c r="W1379" s="36" t="s">
        <v>94</v>
      </c>
      <c r="X1379" s="36">
        <v>4068</v>
      </c>
      <c r="Y1379" s="1"/>
      <c r="Z1379" s="34" t="s">
        <v>42968</v>
      </c>
      <c r="AA1379" s="33">
        <v>6292</v>
      </c>
      <c r="AG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row>
    <row r="1380" spans="1:64" ht="12" customHeight="1" x14ac:dyDescent="0.15">
      <c r="A1380" s="34" t="s">
        <v>35625</v>
      </c>
      <c r="B1380" s="34">
        <v>27</v>
      </c>
      <c r="C1380" s="34" t="s">
        <v>14</v>
      </c>
      <c r="D1380" s="34" t="s">
        <v>24</v>
      </c>
      <c r="E1380" s="34"/>
      <c r="F1380" s="67">
        <v>43370</v>
      </c>
      <c r="G1380" s="34" t="s">
        <v>35626</v>
      </c>
      <c r="H1380" s="34" t="s">
        <v>2324</v>
      </c>
      <c r="I1380" s="34" t="s">
        <v>282</v>
      </c>
      <c r="J1380" s="34">
        <v>99336</v>
      </c>
      <c r="K1380" s="34" t="s">
        <v>2325</v>
      </c>
      <c r="L1380" s="34" t="s">
        <v>8069</v>
      </c>
      <c r="M1380" s="34" t="s">
        <v>363</v>
      </c>
      <c r="N1380" s="34" t="s">
        <v>36430</v>
      </c>
      <c r="O1380" s="34" t="s">
        <v>35627</v>
      </c>
      <c r="P1380" s="34" t="s">
        <v>30089</v>
      </c>
      <c r="Q1380" s="35" t="s">
        <v>35628</v>
      </c>
      <c r="R1380" s="34" t="s">
        <v>512</v>
      </c>
      <c r="S1380" s="34" t="s">
        <v>12</v>
      </c>
      <c r="T1380" s="34" t="s">
        <v>29705</v>
      </c>
      <c r="U1380" s="34"/>
      <c r="V1380" s="34"/>
      <c r="W1380" s="34"/>
      <c r="X1380" s="34"/>
      <c r="Y1380" s="1"/>
      <c r="Z1380" s="34" t="s">
        <v>42968</v>
      </c>
      <c r="AA1380" s="33">
        <v>6291</v>
      </c>
      <c r="AG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row>
    <row r="1381" spans="1:64" ht="12" customHeight="1" x14ac:dyDescent="0.15">
      <c r="A1381" s="34" t="s">
        <v>35629</v>
      </c>
      <c r="B1381" s="34">
        <v>29</v>
      </c>
      <c r="C1381" s="34" t="s">
        <v>14</v>
      </c>
      <c r="D1381" s="34" t="s">
        <v>79</v>
      </c>
      <c r="E1381" s="35" t="s">
        <v>35630</v>
      </c>
      <c r="F1381" s="67">
        <v>43369</v>
      </c>
      <c r="G1381" s="34" t="s">
        <v>35631</v>
      </c>
      <c r="H1381" s="34" t="s">
        <v>485</v>
      </c>
      <c r="I1381" s="34" t="s">
        <v>75</v>
      </c>
      <c r="J1381" s="34">
        <v>7112</v>
      </c>
      <c r="K1381" s="34" t="s">
        <v>486</v>
      </c>
      <c r="L1381" s="34" t="s">
        <v>36431</v>
      </c>
      <c r="M1381" s="34" t="s">
        <v>21</v>
      </c>
      <c r="N1381" s="34" t="s">
        <v>35632</v>
      </c>
      <c r="O1381" s="34" t="s">
        <v>32706</v>
      </c>
      <c r="P1381" s="34" t="s">
        <v>30089</v>
      </c>
      <c r="Q1381" s="35" t="s">
        <v>35633</v>
      </c>
      <c r="R1381" s="34" t="s">
        <v>94</v>
      </c>
      <c r="S1381" s="34" t="s">
        <v>351</v>
      </c>
      <c r="T1381" s="36" t="s">
        <v>26867</v>
      </c>
      <c r="U1381" s="36" t="s">
        <v>26572</v>
      </c>
      <c r="V1381" s="36" t="s">
        <v>26571</v>
      </c>
      <c r="W1381" s="36" t="s">
        <v>94</v>
      </c>
      <c r="X1381" s="36">
        <v>4065</v>
      </c>
      <c r="Y1381" s="1"/>
      <c r="Z1381" s="34" t="s">
        <v>42966</v>
      </c>
      <c r="AA1381" s="33">
        <v>6286</v>
      </c>
      <c r="AG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row>
    <row r="1382" spans="1:64" ht="12" customHeight="1" x14ac:dyDescent="0.15">
      <c r="A1382" s="34" t="s">
        <v>35644</v>
      </c>
      <c r="B1382" s="34">
        <v>37</v>
      </c>
      <c r="C1382" s="34" t="s">
        <v>14</v>
      </c>
      <c r="D1382" s="34" t="s">
        <v>79</v>
      </c>
      <c r="E1382" s="35" t="s">
        <v>35645</v>
      </c>
      <c r="F1382" s="67">
        <v>43368</v>
      </c>
      <c r="G1382" s="34" t="s">
        <v>35646</v>
      </c>
      <c r="H1382" s="34" t="s">
        <v>485</v>
      </c>
      <c r="I1382" s="34" t="s">
        <v>75</v>
      </c>
      <c r="J1382" s="34">
        <v>7107</v>
      </c>
      <c r="K1382" s="34" t="s">
        <v>486</v>
      </c>
      <c r="L1382" s="34" t="s">
        <v>16663</v>
      </c>
      <c r="M1382" s="34" t="s">
        <v>21</v>
      </c>
      <c r="N1382" s="34" t="s">
        <v>35647</v>
      </c>
      <c r="O1382" s="34" t="s">
        <v>372</v>
      </c>
      <c r="P1382" s="34" t="s">
        <v>30089</v>
      </c>
      <c r="Q1382" s="35" t="s">
        <v>35648</v>
      </c>
      <c r="R1382" s="34" t="s">
        <v>94</v>
      </c>
      <c r="S1382" s="34" t="s">
        <v>22</v>
      </c>
      <c r="T1382" s="36" t="s">
        <v>26781</v>
      </c>
      <c r="U1382" s="36" t="s">
        <v>26572</v>
      </c>
      <c r="V1382" s="36"/>
      <c r="W1382" s="36"/>
      <c r="X1382" s="36"/>
      <c r="Y1382" s="1"/>
      <c r="Z1382" s="34" t="s">
        <v>42966</v>
      </c>
      <c r="AA1382" s="33">
        <v>6284</v>
      </c>
      <c r="AG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row>
    <row r="1383" spans="1:64" ht="12" customHeight="1" x14ac:dyDescent="0.15">
      <c r="A1383" s="34" t="s">
        <v>35639</v>
      </c>
      <c r="B1383" s="34">
        <v>41</v>
      </c>
      <c r="C1383" s="34" t="s">
        <v>14</v>
      </c>
      <c r="D1383" s="34" t="s">
        <v>42</v>
      </c>
      <c r="E1383" s="34"/>
      <c r="F1383" s="67">
        <v>43368</v>
      </c>
      <c r="G1383" s="34" t="s">
        <v>35640</v>
      </c>
      <c r="H1383" s="34" t="s">
        <v>35641</v>
      </c>
      <c r="I1383" s="34" t="s">
        <v>395</v>
      </c>
      <c r="J1383" s="34">
        <v>12581</v>
      </c>
      <c r="K1383" s="34" t="s">
        <v>2291</v>
      </c>
      <c r="L1383" s="34" t="s">
        <v>20831</v>
      </c>
      <c r="M1383" s="34" t="s">
        <v>21</v>
      </c>
      <c r="N1383" s="34" t="s">
        <v>35642</v>
      </c>
      <c r="O1383" s="34" t="s">
        <v>372</v>
      </c>
      <c r="P1383" s="34" t="s">
        <v>30089</v>
      </c>
      <c r="Q1383" s="35" t="s">
        <v>35643</v>
      </c>
      <c r="R1383" s="34" t="s">
        <v>94</v>
      </c>
      <c r="S1383" s="34" t="s">
        <v>22</v>
      </c>
      <c r="T1383" s="36" t="s">
        <v>26774</v>
      </c>
      <c r="U1383" s="36" t="s">
        <v>26570</v>
      </c>
      <c r="V1383" s="36" t="s">
        <v>26573</v>
      </c>
      <c r="W1383" s="36" t="s">
        <v>94</v>
      </c>
      <c r="X1383" s="36">
        <v>4056</v>
      </c>
      <c r="Y1383" s="1"/>
      <c r="Z1383" s="34" t="s">
        <v>42967</v>
      </c>
      <c r="AA1383" s="33">
        <v>6285</v>
      </c>
      <c r="AG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row>
    <row r="1384" spans="1:64" ht="12" customHeight="1" x14ac:dyDescent="0.15">
      <c r="A1384" s="34" t="s">
        <v>35634</v>
      </c>
      <c r="B1384" s="34">
        <v>34</v>
      </c>
      <c r="C1384" s="34" t="s">
        <v>14</v>
      </c>
      <c r="D1384" s="34" t="s">
        <v>79</v>
      </c>
      <c r="E1384" s="35" t="s">
        <v>35635</v>
      </c>
      <c r="F1384" s="67">
        <v>43368</v>
      </c>
      <c r="G1384" s="34" t="s">
        <v>35636</v>
      </c>
      <c r="H1384" s="34" t="s">
        <v>997</v>
      </c>
      <c r="I1384" s="34" t="s">
        <v>56</v>
      </c>
      <c r="J1384" s="34">
        <v>32839</v>
      </c>
      <c r="K1384" s="34" t="s">
        <v>998</v>
      </c>
      <c r="L1384" s="34" t="s">
        <v>999</v>
      </c>
      <c r="M1384" s="34" t="s">
        <v>21</v>
      </c>
      <c r="N1384" s="34" t="s">
        <v>35637</v>
      </c>
      <c r="O1384" s="34" t="s">
        <v>372</v>
      </c>
      <c r="P1384" s="34" t="s">
        <v>30089</v>
      </c>
      <c r="Q1384" s="35" t="s">
        <v>35638</v>
      </c>
      <c r="R1384" s="34" t="s">
        <v>94</v>
      </c>
      <c r="S1384" s="34" t="s">
        <v>22</v>
      </c>
      <c r="T1384" s="36" t="s">
        <v>26781</v>
      </c>
      <c r="U1384" s="36" t="s">
        <v>26570</v>
      </c>
      <c r="V1384" s="36" t="s">
        <v>26573</v>
      </c>
      <c r="W1384" s="36" t="s">
        <v>94</v>
      </c>
      <c r="X1384" s="36">
        <v>4055</v>
      </c>
      <c r="Y1384" s="1"/>
      <c r="Z1384" s="34" t="s">
        <v>42968</v>
      </c>
      <c r="AA1384" s="33">
        <v>6283</v>
      </c>
      <c r="AG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row>
    <row r="1385" spans="1:64" ht="12" customHeight="1" x14ac:dyDescent="0.15">
      <c r="A1385" s="34" t="s">
        <v>35654</v>
      </c>
      <c r="B1385" s="34">
        <v>20</v>
      </c>
      <c r="C1385" s="34" t="s">
        <v>14</v>
      </c>
      <c r="D1385" s="34" t="s">
        <v>31</v>
      </c>
      <c r="E1385" s="35" t="s">
        <v>35655</v>
      </c>
      <c r="F1385" s="67">
        <v>43367</v>
      </c>
      <c r="G1385" s="34" t="s">
        <v>35656</v>
      </c>
      <c r="H1385" s="34" t="s">
        <v>3230</v>
      </c>
      <c r="I1385" s="34" t="s">
        <v>112</v>
      </c>
      <c r="J1385" s="34">
        <v>85345</v>
      </c>
      <c r="K1385" s="34" t="s">
        <v>585</v>
      </c>
      <c r="L1385" s="34" t="s">
        <v>29390</v>
      </c>
      <c r="M1385" s="34" t="s">
        <v>21</v>
      </c>
      <c r="N1385" s="34" t="s">
        <v>36432</v>
      </c>
      <c r="O1385" s="34" t="s">
        <v>372</v>
      </c>
      <c r="P1385" s="34" t="s">
        <v>30089</v>
      </c>
      <c r="Q1385" s="35" t="s">
        <v>35657</v>
      </c>
      <c r="R1385" s="34" t="s">
        <v>94</v>
      </c>
      <c r="S1385" s="34" t="s">
        <v>22</v>
      </c>
      <c r="T1385" s="36" t="s">
        <v>26781</v>
      </c>
      <c r="U1385" s="36" t="s">
        <v>26572</v>
      </c>
      <c r="V1385" s="36" t="s">
        <v>26573</v>
      </c>
      <c r="W1385" s="36" t="s">
        <v>94</v>
      </c>
      <c r="X1385" s="36">
        <v>4082</v>
      </c>
      <c r="Y1385" s="1"/>
      <c r="Z1385" s="34" t="s">
        <v>42968</v>
      </c>
      <c r="AA1385" s="33">
        <v>6282</v>
      </c>
      <c r="AG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row>
    <row r="1386" spans="1:64" ht="12" customHeight="1" x14ac:dyDescent="0.15">
      <c r="A1386" s="34" t="s">
        <v>35649</v>
      </c>
      <c r="B1386" s="34">
        <v>29</v>
      </c>
      <c r="C1386" s="34" t="s">
        <v>14</v>
      </c>
      <c r="D1386" s="34" t="s">
        <v>31</v>
      </c>
      <c r="E1386" s="34"/>
      <c r="F1386" s="67">
        <v>43367</v>
      </c>
      <c r="G1386" s="34" t="s">
        <v>35650</v>
      </c>
      <c r="H1386" s="34" t="s">
        <v>3100</v>
      </c>
      <c r="I1386" s="34" t="s">
        <v>294</v>
      </c>
      <c r="J1386" s="34">
        <v>40769</v>
      </c>
      <c r="K1386" s="34" t="s">
        <v>35651</v>
      </c>
      <c r="L1386" s="34" t="s">
        <v>18258</v>
      </c>
      <c r="M1386" s="34" t="s">
        <v>21</v>
      </c>
      <c r="N1386" s="34" t="s">
        <v>35652</v>
      </c>
      <c r="O1386" s="34" t="s">
        <v>372</v>
      </c>
      <c r="P1386" s="34" t="s">
        <v>30089</v>
      </c>
      <c r="Q1386" s="35" t="s">
        <v>35653</v>
      </c>
      <c r="R1386" s="34" t="s">
        <v>94</v>
      </c>
      <c r="S1386" s="34" t="s">
        <v>22</v>
      </c>
      <c r="T1386" s="36" t="s">
        <v>26612</v>
      </c>
      <c r="U1386" s="36" t="s">
        <v>26572</v>
      </c>
      <c r="V1386" s="36" t="s">
        <v>26573</v>
      </c>
      <c r="W1386" s="36" t="s">
        <v>94</v>
      </c>
      <c r="X1386" s="36">
        <v>4047</v>
      </c>
      <c r="Y1386" s="1"/>
      <c r="Z1386" s="34" t="s">
        <v>42967</v>
      </c>
      <c r="AA1386" s="33">
        <v>6280</v>
      </c>
      <c r="AG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row>
    <row r="1387" spans="1:64" ht="12" customHeight="1" x14ac:dyDescent="0.15">
      <c r="A1387" s="34" t="s">
        <v>35658</v>
      </c>
      <c r="B1387" s="34">
        <v>42</v>
      </c>
      <c r="C1387" s="34" t="s">
        <v>14</v>
      </c>
      <c r="D1387" s="34" t="s">
        <v>42</v>
      </c>
      <c r="E1387" s="34"/>
      <c r="F1387" s="67">
        <v>43367</v>
      </c>
      <c r="G1387" s="34" t="s">
        <v>35794</v>
      </c>
      <c r="H1387" s="34" t="s">
        <v>92</v>
      </c>
      <c r="I1387" s="34" t="s">
        <v>39</v>
      </c>
      <c r="J1387" s="34">
        <v>90063</v>
      </c>
      <c r="K1387" s="34" t="s">
        <v>92</v>
      </c>
      <c r="L1387" s="34" t="s">
        <v>386</v>
      </c>
      <c r="M1387" s="34" t="s">
        <v>21</v>
      </c>
      <c r="N1387" s="34" t="s">
        <v>35659</v>
      </c>
      <c r="O1387" s="34" t="s">
        <v>372</v>
      </c>
      <c r="P1387" s="34" t="s">
        <v>30089</v>
      </c>
      <c r="Q1387" s="35" t="s">
        <v>35660</v>
      </c>
      <c r="R1387" s="34" t="s">
        <v>94</v>
      </c>
      <c r="S1387" s="34" t="s">
        <v>22</v>
      </c>
      <c r="T1387" s="36" t="s">
        <v>26781</v>
      </c>
      <c r="U1387" s="36" t="s">
        <v>26572</v>
      </c>
      <c r="V1387" s="36" t="s">
        <v>26573</v>
      </c>
      <c r="W1387" s="36" t="s">
        <v>94</v>
      </c>
      <c r="X1387" s="36">
        <v>4054</v>
      </c>
      <c r="Y1387" s="1"/>
      <c r="Z1387" s="34" t="s">
        <v>42966</v>
      </c>
      <c r="AA1387" s="33">
        <v>6281</v>
      </c>
      <c r="AG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row>
    <row r="1388" spans="1:64" ht="12" customHeight="1" x14ac:dyDescent="0.15">
      <c r="A1388" s="34" t="s">
        <v>35661</v>
      </c>
      <c r="B1388" s="34">
        <v>29</v>
      </c>
      <c r="C1388" s="34" t="s">
        <v>14</v>
      </c>
      <c r="D1388" s="34" t="s">
        <v>79</v>
      </c>
      <c r="E1388" s="34"/>
      <c r="F1388" s="67">
        <v>43366</v>
      </c>
      <c r="G1388" s="34" t="s">
        <v>35795</v>
      </c>
      <c r="H1388" s="34" t="s">
        <v>1487</v>
      </c>
      <c r="I1388" s="34" t="s">
        <v>46</v>
      </c>
      <c r="J1388" s="34">
        <v>21201</v>
      </c>
      <c r="K1388" s="34" t="s">
        <v>4324</v>
      </c>
      <c r="L1388" s="34" t="s">
        <v>2556</v>
      </c>
      <c r="M1388" s="34" t="s">
        <v>21</v>
      </c>
      <c r="N1388" s="34" t="s">
        <v>35662</v>
      </c>
      <c r="O1388" s="34" t="s">
        <v>372</v>
      </c>
      <c r="P1388" s="34" t="s">
        <v>30089</v>
      </c>
      <c r="Q1388" s="35" t="s">
        <v>35663</v>
      </c>
      <c r="R1388" s="34" t="s">
        <v>94</v>
      </c>
      <c r="S1388" s="34" t="s">
        <v>22</v>
      </c>
      <c r="T1388" s="36" t="s">
        <v>26781</v>
      </c>
      <c r="U1388" s="36" t="s">
        <v>26572</v>
      </c>
      <c r="V1388" s="36" t="s">
        <v>26573</v>
      </c>
      <c r="W1388" s="36" t="s">
        <v>512</v>
      </c>
      <c r="X1388" s="36">
        <v>4053</v>
      </c>
      <c r="Y1388" s="1"/>
      <c r="Z1388" s="34" t="s">
        <v>42966</v>
      </c>
      <c r="AA1388" s="33">
        <v>6276</v>
      </c>
      <c r="AG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row>
    <row r="1389" spans="1:64" ht="12" customHeight="1" x14ac:dyDescent="0.15">
      <c r="A1389" s="34" t="s">
        <v>35672</v>
      </c>
      <c r="B1389" s="34">
        <v>35</v>
      </c>
      <c r="C1389" s="34" t="s">
        <v>14</v>
      </c>
      <c r="D1389" s="34" t="s">
        <v>31</v>
      </c>
      <c r="E1389" s="35" t="s">
        <v>35673</v>
      </c>
      <c r="F1389" s="67">
        <v>43366</v>
      </c>
      <c r="G1389" s="34" t="s">
        <v>35674</v>
      </c>
      <c r="H1389" s="34" t="s">
        <v>3687</v>
      </c>
      <c r="I1389" s="34" t="s">
        <v>298</v>
      </c>
      <c r="J1389" s="34">
        <v>37341</v>
      </c>
      <c r="K1389" s="34" t="s">
        <v>505</v>
      </c>
      <c r="L1389" s="34" t="s">
        <v>568</v>
      </c>
      <c r="M1389" s="34" t="s">
        <v>363</v>
      </c>
      <c r="N1389" s="34" t="s">
        <v>35675</v>
      </c>
      <c r="O1389" s="34" t="s">
        <v>372</v>
      </c>
      <c r="P1389" s="34" t="s">
        <v>30089</v>
      </c>
      <c r="Q1389" s="35" t="s">
        <v>35676</v>
      </c>
      <c r="R1389" s="34" t="s">
        <v>512</v>
      </c>
      <c r="S1389" s="34" t="s">
        <v>12</v>
      </c>
      <c r="T1389" s="34" t="s">
        <v>29705</v>
      </c>
      <c r="U1389" s="34" t="s">
        <v>26572</v>
      </c>
      <c r="V1389" s="34"/>
      <c r="W1389" s="34"/>
      <c r="X1389" s="34"/>
      <c r="Y1389" s="1"/>
      <c r="Z1389" s="34" t="s">
        <v>42968</v>
      </c>
      <c r="AA1389" s="33">
        <v>6278</v>
      </c>
      <c r="AG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row>
    <row r="1390" spans="1:64" ht="12" customHeight="1" x14ac:dyDescent="0.15">
      <c r="A1390" s="34" t="s">
        <v>35668</v>
      </c>
      <c r="B1390" s="34">
        <v>36</v>
      </c>
      <c r="C1390" s="34" t="s">
        <v>14</v>
      </c>
      <c r="D1390" s="34" t="s">
        <v>24</v>
      </c>
      <c r="E1390" s="34"/>
      <c r="F1390" s="67">
        <v>43366</v>
      </c>
      <c r="G1390" s="34" t="s">
        <v>35669</v>
      </c>
      <c r="H1390" s="34" t="s">
        <v>29167</v>
      </c>
      <c r="I1390" s="34" t="s">
        <v>282</v>
      </c>
      <c r="J1390" s="34">
        <v>98277</v>
      </c>
      <c r="K1390" s="34" t="s">
        <v>29168</v>
      </c>
      <c r="L1390" s="34" t="s">
        <v>29169</v>
      </c>
      <c r="M1390" s="34" t="s">
        <v>21</v>
      </c>
      <c r="N1390" s="34" t="s">
        <v>35670</v>
      </c>
      <c r="O1390" s="34" t="s">
        <v>372</v>
      </c>
      <c r="P1390" s="34" t="s">
        <v>30089</v>
      </c>
      <c r="Q1390" s="35" t="s">
        <v>35671</v>
      </c>
      <c r="R1390" s="34" t="s">
        <v>94</v>
      </c>
      <c r="S1390" s="34" t="s">
        <v>22</v>
      </c>
      <c r="T1390" s="36" t="s">
        <v>26774</v>
      </c>
      <c r="U1390" s="36" t="s">
        <v>26572</v>
      </c>
      <c r="V1390" s="36"/>
      <c r="W1390" s="36"/>
      <c r="X1390" s="36"/>
      <c r="Y1390" s="1"/>
      <c r="Z1390" s="34" t="s">
        <v>42968</v>
      </c>
      <c r="AA1390" s="33">
        <v>6277</v>
      </c>
      <c r="AG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row>
    <row r="1391" spans="1:64" ht="12" customHeight="1" x14ac:dyDescent="0.15">
      <c r="A1391" s="34" t="s">
        <v>35664</v>
      </c>
      <c r="B1391" s="34">
        <v>44</v>
      </c>
      <c r="C1391" s="34" t="s">
        <v>14</v>
      </c>
      <c r="D1391" s="34" t="s">
        <v>24</v>
      </c>
      <c r="E1391" s="34"/>
      <c r="F1391" s="67">
        <v>43366</v>
      </c>
      <c r="G1391" s="34" t="s">
        <v>35665</v>
      </c>
      <c r="H1391" s="34" t="s">
        <v>1506</v>
      </c>
      <c r="I1391" s="34" t="s">
        <v>250</v>
      </c>
      <c r="J1391" s="34">
        <v>89506</v>
      </c>
      <c r="K1391" s="34" t="s">
        <v>5732</v>
      </c>
      <c r="L1391" s="34" t="s">
        <v>6817</v>
      </c>
      <c r="M1391" s="34" t="s">
        <v>21</v>
      </c>
      <c r="N1391" s="34" t="s">
        <v>35666</v>
      </c>
      <c r="O1391" s="34" t="s">
        <v>372</v>
      </c>
      <c r="P1391" s="34" t="s">
        <v>30089</v>
      </c>
      <c r="Q1391" s="35" t="s">
        <v>35667</v>
      </c>
      <c r="R1391" s="34" t="s">
        <v>512</v>
      </c>
      <c r="S1391" s="34" t="s">
        <v>351</v>
      </c>
      <c r="T1391" s="36" t="s">
        <v>26867</v>
      </c>
      <c r="U1391" s="36" t="s">
        <v>26570</v>
      </c>
      <c r="V1391" s="36" t="s">
        <v>26573</v>
      </c>
      <c r="W1391" s="36" t="s">
        <v>512</v>
      </c>
      <c r="X1391" s="36">
        <v>4052</v>
      </c>
      <c r="Y1391" s="1"/>
      <c r="Z1391" s="34" t="s">
        <v>42968</v>
      </c>
      <c r="AA1391" s="33">
        <v>6279</v>
      </c>
      <c r="AG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row>
    <row r="1392" spans="1:64" ht="12" customHeight="1" x14ac:dyDescent="0.15">
      <c r="A1392" s="34" t="s">
        <v>35677</v>
      </c>
      <c r="B1392" s="34">
        <v>26</v>
      </c>
      <c r="C1392" s="34" t="s">
        <v>14</v>
      </c>
      <c r="D1392" s="34" t="s">
        <v>31</v>
      </c>
      <c r="E1392" s="34"/>
      <c r="F1392" s="67">
        <v>43365</v>
      </c>
      <c r="G1392" s="34" t="s">
        <v>35678</v>
      </c>
      <c r="H1392" s="34" t="s">
        <v>1194</v>
      </c>
      <c r="I1392" s="34" t="s">
        <v>250</v>
      </c>
      <c r="J1392" s="34">
        <v>89074</v>
      </c>
      <c r="K1392" s="34" t="s">
        <v>527</v>
      </c>
      <c r="L1392" s="34" t="s">
        <v>528</v>
      </c>
      <c r="M1392" s="34" t="s">
        <v>21</v>
      </c>
      <c r="N1392" s="34" t="s">
        <v>35679</v>
      </c>
      <c r="O1392" s="34" t="s">
        <v>372</v>
      </c>
      <c r="P1392" s="34" t="s">
        <v>30089</v>
      </c>
      <c r="Q1392" s="35" t="s">
        <v>35680</v>
      </c>
      <c r="R1392" s="34" t="s">
        <v>94</v>
      </c>
      <c r="S1392" s="34" t="s">
        <v>22</v>
      </c>
      <c r="T1392" s="36" t="s">
        <v>26781</v>
      </c>
      <c r="U1392" s="36" t="s">
        <v>26572</v>
      </c>
      <c r="V1392" s="36" t="s">
        <v>26574</v>
      </c>
      <c r="W1392" s="36" t="s">
        <v>512</v>
      </c>
      <c r="X1392" s="36">
        <v>4048</v>
      </c>
      <c r="Y1392" s="1"/>
      <c r="Z1392" s="34" t="s">
        <v>42968</v>
      </c>
      <c r="AA1392" s="33">
        <v>6275</v>
      </c>
      <c r="AG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row>
    <row r="1393" spans="1:64" ht="12" customHeight="1" x14ac:dyDescent="0.15">
      <c r="A1393" s="34" t="s">
        <v>35687</v>
      </c>
      <c r="B1393" s="34">
        <v>55</v>
      </c>
      <c r="C1393" s="34" t="s">
        <v>14</v>
      </c>
      <c r="D1393" s="34" t="s">
        <v>31</v>
      </c>
      <c r="E1393" s="35" t="s">
        <v>35688</v>
      </c>
      <c r="F1393" s="67">
        <v>43363</v>
      </c>
      <c r="G1393" s="34" t="s">
        <v>35689</v>
      </c>
      <c r="H1393" s="34" t="s">
        <v>2196</v>
      </c>
      <c r="I1393" s="34" t="s">
        <v>814</v>
      </c>
      <c r="J1393" s="34">
        <v>96826</v>
      </c>
      <c r="K1393" s="34" t="s">
        <v>2196</v>
      </c>
      <c r="L1393" s="34" t="s">
        <v>3281</v>
      </c>
      <c r="M1393" s="34" t="s">
        <v>21</v>
      </c>
      <c r="N1393" s="34" t="s">
        <v>35690</v>
      </c>
      <c r="O1393" s="34" t="s">
        <v>372</v>
      </c>
      <c r="P1393" s="34" t="s">
        <v>30089</v>
      </c>
      <c r="Q1393" s="35" t="s">
        <v>35691</v>
      </c>
      <c r="R1393" s="34" t="s">
        <v>94</v>
      </c>
      <c r="S1393" s="34" t="s">
        <v>22</v>
      </c>
      <c r="T1393" s="36" t="s">
        <v>26781</v>
      </c>
      <c r="U1393" s="36" t="s">
        <v>26572</v>
      </c>
      <c r="V1393" s="36" t="s">
        <v>26573</v>
      </c>
      <c r="W1393" s="36" t="s">
        <v>94</v>
      </c>
      <c r="X1393" s="36">
        <v>4050</v>
      </c>
      <c r="Y1393" s="1"/>
      <c r="Z1393" s="34" t="s">
        <v>42966</v>
      </c>
      <c r="AA1393" s="33">
        <v>6272</v>
      </c>
      <c r="AG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row>
    <row r="1394" spans="1:64" ht="12" customHeight="1" x14ac:dyDescent="0.15">
      <c r="A1394" s="34" t="s">
        <v>35692</v>
      </c>
      <c r="B1394" s="34">
        <v>28</v>
      </c>
      <c r="C1394" s="34" t="s">
        <v>14</v>
      </c>
      <c r="D1394" s="34" t="s">
        <v>31</v>
      </c>
      <c r="E1394" s="35" t="s">
        <v>35693</v>
      </c>
      <c r="F1394" s="67">
        <v>43363</v>
      </c>
      <c r="G1394" s="34" t="s">
        <v>35694</v>
      </c>
      <c r="H1394" s="34" t="s">
        <v>11253</v>
      </c>
      <c r="I1394" s="34" t="s">
        <v>192</v>
      </c>
      <c r="J1394" s="34">
        <v>80501</v>
      </c>
      <c r="K1394" s="34" t="s">
        <v>936</v>
      </c>
      <c r="L1394" s="34" t="s">
        <v>35695</v>
      </c>
      <c r="M1394" s="34" t="s">
        <v>21</v>
      </c>
      <c r="N1394" s="34" t="s">
        <v>35696</v>
      </c>
      <c r="O1394" s="34" t="s">
        <v>372</v>
      </c>
      <c r="P1394" s="34" t="s">
        <v>30089</v>
      </c>
      <c r="Q1394" s="35" t="s">
        <v>35697</v>
      </c>
      <c r="R1394" s="34" t="s">
        <v>94</v>
      </c>
      <c r="S1394" s="34" t="s">
        <v>22</v>
      </c>
      <c r="T1394" s="36" t="s">
        <v>26781</v>
      </c>
      <c r="U1394" s="36" t="s">
        <v>26572</v>
      </c>
      <c r="V1394" s="36"/>
      <c r="W1394" s="36"/>
      <c r="X1394" s="36"/>
      <c r="Y1394" s="1"/>
      <c r="Z1394" s="34" t="s">
        <v>42968</v>
      </c>
      <c r="AA1394" s="33">
        <v>6274</v>
      </c>
      <c r="AG1394" s="1"/>
      <c r="AK1394" s="1"/>
      <c r="AL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row>
    <row r="1395" spans="1:64" ht="12" customHeight="1" x14ac:dyDescent="0.15">
      <c r="A1395" s="34" t="s">
        <v>35681</v>
      </c>
      <c r="B1395" s="34">
        <v>40</v>
      </c>
      <c r="C1395" s="34" t="s">
        <v>14</v>
      </c>
      <c r="D1395" s="34" t="s">
        <v>42</v>
      </c>
      <c r="E1395" s="35" t="s">
        <v>35682</v>
      </c>
      <c r="F1395" s="67">
        <v>43363</v>
      </c>
      <c r="G1395" s="34" t="s">
        <v>35683</v>
      </c>
      <c r="H1395" s="34" t="s">
        <v>196</v>
      </c>
      <c r="I1395" s="34" t="s">
        <v>56</v>
      </c>
      <c r="J1395" s="34">
        <v>33126</v>
      </c>
      <c r="K1395" s="34" t="s">
        <v>148</v>
      </c>
      <c r="L1395" s="34" t="s">
        <v>35684</v>
      </c>
      <c r="M1395" s="34" t="s">
        <v>21</v>
      </c>
      <c r="N1395" s="34" t="s">
        <v>35685</v>
      </c>
      <c r="O1395" s="34" t="s">
        <v>372</v>
      </c>
      <c r="P1395" s="34" t="s">
        <v>30089</v>
      </c>
      <c r="Q1395" s="35" t="s">
        <v>35686</v>
      </c>
      <c r="R1395" s="34" t="s">
        <v>94</v>
      </c>
      <c r="S1395" s="34" t="s">
        <v>22</v>
      </c>
      <c r="T1395" s="36" t="s">
        <v>26781</v>
      </c>
      <c r="U1395" s="36" t="s">
        <v>26572</v>
      </c>
      <c r="V1395" s="36" t="s">
        <v>26571</v>
      </c>
      <c r="W1395" s="36" t="s">
        <v>94</v>
      </c>
      <c r="X1395" s="36">
        <v>4051</v>
      </c>
      <c r="Y1395" s="1"/>
      <c r="Z1395" s="34" t="s">
        <v>42966</v>
      </c>
      <c r="AA1395" s="33">
        <v>6273</v>
      </c>
      <c r="AG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row>
    <row r="1396" spans="1:64" ht="12" customHeight="1" x14ac:dyDescent="0.15">
      <c r="A1396" s="34" t="s">
        <v>35702</v>
      </c>
      <c r="B1396" s="34">
        <v>33</v>
      </c>
      <c r="C1396" s="34" t="s">
        <v>14</v>
      </c>
      <c r="D1396" s="34" t="s">
        <v>31</v>
      </c>
      <c r="E1396" s="35" t="s">
        <v>35703</v>
      </c>
      <c r="F1396" s="67">
        <v>43362</v>
      </c>
      <c r="G1396" s="34" t="s">
        <v>35704</v>
      </c>
      <c r="H1396" s="34" t="s">
        <v>35705</v>
      </c>
      <c r="I1396" s="34" t="s">
        <v>106</v>
      </c>
      <c r="J1396" s="34">
        <v>97524</v>
      </c>
      <c r="K1396" s="34" t="s">
        <v>404</v>
      </c>
      <c r="L1396" s="34" t="s">
        <v>35706</v>
      </c>
      <c r="M1396" s="34" t="s">
        <v>21</v>
      </c>
      <c r="N1396" s="34" t="s">
        <v>35707</v>
      </c>
      <c r="O1396" s="34" t="s">
        <v>372</v>
      </c>
      <c r="P1396" s="34" t="s">
        <v>30089</v>
      </c>
      <c r="Q1396" s="35" t="s">
        <v>35708</v>
      </c>
      <c r="R1396" s="34" t="s">
        <v>23</v>
      </c>
      <c r="S1396" s="34" t="s">
        <v>12</v>
      </c>
      <c r="T1396" s="36" t="s">
        <v>29705</v>
      </c>
      <c r="U1396" s="36"/>
      <c r="V1396" s="36"/>
      <c r="W1396" s="36"/>
      <c r="X1396" s="36"/>
      <c r="Y1396" s="1"/>
      <c r="Z1396" s="34" t="s">
        <v>42967</v>
      </c>
      <c r="AA1396" s="33">
        <v>6271</v>
      </c>
      <c r="AG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row>
    <row r="1397" spans="1:64" ht="12" customHeight="1" x14ac:dyDescent="0.15">
      <c r="A1397" s="34" t="s">
        <v>35698</v>
      </c>
      <c r="B1397" s="34">
        <v>39</v>
      </c>
      <c r="C1397" s="34" t="s">
        <v>14</v>
      </c>
      <c r="D1397" s="34" t="s">
        <v>42</v>
      </c>
      <c r="E1397" s="34"/>
      <c r="F1397" s="67">
        <v>43362</v>
      </c>
      <c r="G1397" s="34" t="s">
        <v>35699</v>
      </c>
      <c r="H1397" s="34" t="s">
        <v>92</v>
      </c>
      <c r="I1397" s="34" t="s">
        <v>39</v>
      </c>
      <c r="J1397" s="34">
        <v>90023</v>
      </c>
      <c r="K1397" s="34" t="s">
        <v>92</v>
      </c>
      <c r="L1397" s="34" t="s">
        <v>386</v>
      </c>
      <c r="M1397" s="34" t="s">
        <v>21</v>
      </c>
      <c r="N1397" s="34" t="s">
        <v>35700</v>
      </c>
      <c r="O1397" s="34" t="s">
        <v>372</v>
      </c>
      <c r="P1397" s="34" t="s">
        <v>30089</v>
      </c>
      <c r="Q1397" s="35" t="s">
        <v>35701</v>
      </c>
      <c r="R1397" s="34" t="s">
        <v>94</v>
      </c>
      <c r="S1397" s="34" t="s">
        <v>22</v>
      </c>
      <c r="T1397" s="36" t="s">
        <v>26781</v>
      </c>
      <c r="U1397" s="36" t="s">
        <v>26572</v>
      </c>
      <c r="V1397" s="36"/>
      <c r="W1397" s="36"/>
      <c r="X1397" s="36"/>
      <c r="Y1397" s="1"/>
      <c r="Z1397" s="34" t="s">
        <v>42966</v>
      </c>
      <c r="AA1397" s="33">
        <v>6268</v>
      </c>
      <c r="AG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row>
    <row r="1398" spans="1:64" ht="12" customHeight="1" x14ac:dyDescent="0.15">
      <c r="A1398" s="34" t="s">
        <v>35718</v>
      </c>
      <c r="B1398" s="34">
        <v>43</v>
      </c>
      <c r="C1398" s="34" t="s">
        <v>14</v>
      </c>
      <c r="D1398" s="34" t="s">
        <v>15</v>
      </c>
      <c r="E1398" s="34"/>
      <c r="F1398" s="67">
        <v>43362</v>
      </c>
      <c r="G1398" s="34" t="s">
        <v>35719</v>
      </c>
      <c r="H1398" s="34" t="s">
        <v>3221</v>
      </c>
      <c r="I1398" s="34" t="s">
        <v>409</v>
      </c>
      <c r="J1398" s="34">
        <v>53593</v>
      </c>
      <c r="K1398" s="34" t="s">
        <v>8880</v>
      </c>
      <c r="L1398" s="34" t="s">
        <v>35720</v>
      </c>
      <c r="M1398" s="34" t="s">
        <v>21</v>
      </c>
      <c r="N1398" s="34" t="s">
        <v>35721</v>
      </c>
      <c r="O1398" s="34" t="s">
        <v>372</v>
      </c>
      <c r="P1398" s="34" t="s">
        <v>30089</v>
      </c>
      <c r="Q1398" s="35" t="s">
        <v>35722</v>
      </c>
      <c r="R1398" s="34" t="s">
        <v>94</v>
      </c>
      <c r="S1398" s="34" t="s">
        <v>22</v>
      </c>
      <c r="T1398" s="34" t="s">
        <v>26781</v>
      </c>
      <c r="U1398" s="34" t="s">
        <v>26572</v>
      </c>
      <c r="V1398" s="34"/>
      <c r="W1398" s="34"/>
      <c r="X1398" s="34"/>
      <c r="Y1398" s="1"/>
      <c r="Z1398" s="34" t="s">
        <v>42968</v>
      </c>
      <c r="AA1398" s="33">
        <v>6267</v>
      </c>
      <c r="AG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row>
    <row r="1399" spans="1:64" ht="12" customHeight="1" x14ac:dyDescent="0.15">
      <c r="A1399" s="34" t="s">
        <v>35715</v>
      </c>
      <c r="B1399" s="34">
        <v>49</v>
      </c>
      <c r="C1399" s="34" t="s">
        <v>14</v>
      </c>
      <c r="D1399" s="34" t="s">
        <v>24</v>
      </c>
      <c r="E1399" s="34"/>
      <c r="F1399" s="67">
        <v>43362</v>
      </c>
      <c r="G1399" s="34" t="s">
        <v>35796</v>
      </c>
      <c r="H1399" s="34" t="s">
        <v>31779</v>
      </c>
      <c r="I1399" s="34" t="s">
        <v>67</v>
      </c>
      <c r="J1399" s="34">
        <v>77573</v>
      </c>
      <c r="K1399" s="34" t="s">
        <v>4843</v>
      </c>
      <c r="L1399" s="34" t="s">
        <v>32195</v>
      </c>
      <c r="M1399" s="34" t="s">
        <v>21</v>
      </c>
      <c r="N1399" s="34" t="s">
        <v>35716</v>
      </c>
      <c r="O1399" s="34" t="s">
        <v>372</v>
      </c>
      <c r="P1399" s="34" t="s">
        <v>30089</v>
      </c>
      <c r="Q1399" s="35" t="s">
        <v>35717</v>
      </c>
      <c r="R1399" s="34" t="s">
        <v>94</v>
      </c>
      <c r="S1399" s="34" t="s">
        <v>22</v>
      </c>
      <c r="T1399" s="36" t="s">
        <v>26774</v>
      </c>
      <c r="U1399" s="36"/>
      <c r="V1399" s="36"/>
      <c r="W1399" s="36"/>
      <c r="X1399" s="36"/>
      <c r="Y1399" s="1"/>
      <c r="Z1399" s="34" t="s">
        <v>42968</v>
      </c>
      <c r="AA1399" s="33">
        <v>6270</v>
      </c>
      <c r="AG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row>
    <row r="1400" spans="1:64" ht="12" customHeight="1" x14ac:dyDescent="0.15">
      <c r="A1400" s="34" t="s">
        <v>35709</v>
      </c>
      <c r="B1400" s="34">
        <v>61</v>
      </c>
      <c r="C1400" s="34" t="s">
        <v>14</v>
      </c>
      <c r="D1400" s="34" t="s">
        <v>31</v>
      </c>
      <c r="E1400" s="35" t="s">
        <v>35710</v>
      </c>
      <c r="F1400" s="67">
        <v>43362</v>
      </c>
      <c r="G1400" s="34" t="s">
        <v>35711</v>
      </c>
      <c r="H1400" s="34" t="s">
        <v>35712</v>
      </c>
      <c r="I1400" s="34" t="s">
        <v>376</v>
      </c>
      <c r="J1400" s="34">
        <v>15461</v>
      </c>
      <c r="K1400" s="34" t="s">
        <v>1415</v>
      </c>
      <c r="L1400" s="34" t="s">
        <v>35713</v>
      </c>
      <c r="M1400" s="34" t="s">
        <v>21</v>
      </c>
      <c r="N1400" s="34" t="s">
        <v>36433</v>
      </c>
      <c r="O1400" s="34" t="s">
        <v>372</v>
      </c>
      <c r="P1400" s="34" t="s">
        <v>30089</v>
      </c>
      <c r="Q1400" s="35" t="s">
        <v>35714</v>
      </c>
      <c r="R1400" s="34" t="s">
        <v>94</v>
      </c>
      <c r="S1400" s="34" t="s">
        <v>22</v>
      </c>
      <c r="T1400" s="36" t="s">
        <v>26781</v>
      </c>
      <c r="U1400" s="36" t="s">
        <v>26572</v>
      </c>
      <c r="V1400" s="36"/>
      <c r="W1400" s="36"/>
      <c r="X1400" s="36"/>
      <c r="Y1400" s="1"/>
      <c r="Z1400" s="34" t="s">
        <v>42968</v>
      </c>
      <c r="AA1400" s="33">
        <v>6269</v>
      </c>
      <c r="AG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row>
    <row r="1401" spans="1:64" ht="12" customHeight="1" x14ac:dyDescent="0.15">
      <c r="A1401" s="34" t="s">
        <v>3002</v>
      </c>
      <c r="B1401" s="34">
        <v>46</v>
      </c>
      <c r="C1401" s="34" t="s">
        <v>14</v>
      </c>
      <c r="D1401" s="34" t="s">
        <v>24</v>
      </c>
      <c r="E1401" s="34"/>
      <c r="F1401" s="67">
        <v>43361</v>
      </c>
      <c r="G1401" s="34" t="s">
        <v>35731</v>
      </c>
      <c r="H1401" s="34" t="s">
        <v>2411</v>
      </c>
      <c r="I1401" s="34" t="s">
        <v>39</v>
      </c>
      <c r="J1401" s="34">
        <v>92840</v>
      </c>
      <c r="K1401" s="34" t="s">
        <v>998</v>
      </c>
      <c r="L1401" s="34" t="s">
        <v>5808</v>
      </c>
      <c r="M1401" s="34" t="s">
        <v>21</v>
      </c>
      <c r="N1401" s="34" t="s">
        <v>35732</v>
      </c>
      <c r="O1401" s="34" t="s">
        <v>372</v>
      </c>
      <c r="P1401" s="34" t="s">
        <v>30089</v>
      </c>
      <c r="Q1401" s="35" t="s">
        <v>35733</v>
      </c>
      <c r="R1401" s="34" t="s">
        <v>94</v>
      </c>
      <c r="S1401" s="34" t="s">
        <v>12</v>
      </c>
      <c r="T1401" s="36" t="s">
        <v>29705</v>
      </c>
      <c r="U1401" s="36" t="s">
        <v>26572</v>
      </c>
      <c r="V1401" s="36"/>
      <c r="W1401" s="36"/>
      <c r="X1401" s="36"/>
      <c r="Y1401" s="1"/>
      <c r="Z1401" s="34" t="s">
        <v>42966</v>
      </c>
      <c r="AA1401" s="33">
        <v>6266</v>
      </c>
      <c r="AG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row>
    <row r="1402" spans="1:64" ht="12" customHeight="1" x14ac:dyDescent="0.15">
      <c r="A1402" s="34" t="s">
        <v>35723</v>
      </c>
      <c r="B1402" s="34">
        <v>43</v>
      </c>
      <c r="C1402" s="34" t="s">
        <v>14</v>
      </c>
      <c r="D1402" s="34" t="s">
        <v>31</v>
      </c>
      <c r="E1402" s="35" t="s">
        <v>35724</v>
      </c>
      <c r="F1402" s="67">
        <v>43361</v>
      </c>
      <c r="G1402" s="34" t="s">
        <v>35797</v>
      </c>
      <c r="H1402" s="34" t="s">
        <v>439</v>
      </c>
      <c r="I1402" s="34" t="s">
        <v>225</v>
      </c>
      <c r="J1402" s="34">
        <v>23451</v>
      </c>
      <c r="K1402" s="34" t="s">
        <v>12081</v>
      </c>
      <c r="L1402" s="34" t="s">
        <v>441</v>
      </c>
      <c r="M1402" s="34" t="s">
        <v>21</v>
      </c>
      <c r="N1402" s="34" t="s">
        <v>35725</v>
      </c>
      <c r="O1402" s="34" t="s">
        <v>372</v>
      </c>
      <c r="P1402" s="34" t="s">
        <v>30089</v>
      </c>
      <c r="Q1402" s="35" t="s">
        <v>35726</v>
      </c>
      <c r="R1402" s="34" t="s">
        <v>94</v>
      </c>
      <c r="S1402" s="34" t="s">
        <v>22</v>
      </c>
      <c r="T1402" s="36" t="s">
        <v>26781</v>
      </c>
      <c r="U1402" s="36" t="s">
        <v>26572</v>
      </c>
      <c r="V1402" s="36" t="s">
        <v>26574</v>
      </c>
      <c r="W1402" s="36" t="s">
        <v>94</v>
      </c>
      <c r="X1402" s="36">
        <v>4033</v>
      </c>
      <c r="Y1402" s="1"/>
      <c r="Z1402" s="34" t="s">
        <v>42966</v>
      </c>
      <c r="AA1402" s="33">
        <v>6263</v>
      </c>
      <c r="AG1402" s="1"/>
      <c r="AK1402" s="1"/>
      <c r="AL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row>
    <row r="1403" spans="1:64" ht="12" customHeight="1" x14ac:dyDescent="0.15">
      <c r="A1403" s="34" t="s">
        <v>35734</v>
      </c>
      <c r="B1403" s="34">
        <v>73</v>
      </c>
      <c r="C1403" s="34" t="s">
        <v>14</v>
      </c>
      <c r="D1403" s="34" t="s">
        <v>31</v>
      </c>
      <c r="E1403" s="35" t="s">
        <v>35735</v>
      </c>
      <c r="F1403" s="67">
        <v>43361</v>
      </c>
      <c r="G1403" s="34" t="s">
        <v>35736</v>
      </c>
      <c r="H1403" s="34" t="s">
        <v>35737</v>
      </c>
      <c r="I1403" s="34" t="s">
        <v>376</v>
      </c>
      <c r="J1403" s="34">
        <v>16053</v>
      </c>
      <c r="K1403" s="34" t="s">
        <v>5063</v>
      </c>
      <c r="L1403" s="34" t="s">
        <v>473</v>
      </c>
      <c r="M1403" s="34" t="s">
        <v>21</v>
      </c>
      <c r="N1403" s="34" t="s">
        <v>35738</v>
      </c>
      <c r="O1403" s="34" t="s">
        <v>372</v>
      </c>
      <c r="P1403" s="34" t="s">
        <v>30089</v>
      </c>
      <c r="Q1403" s="35" t="s">
        <v>35739</v>
      </c>
      <c r="R1403" s="34" t="s">
        <v>512</v>
      </c>
      <c r="S1403" s="34" t="s">
        <v>22</v>
      </c>
      <c r="T1403" s="36" t="s">
        <v>26781</v>
      </c>
      <c r="U1403" s="36" t="s">
        <v>26572</v>
      </c>
      <c r="V1403" s="36"/>
      <c r="W1403" s="36"/>
      <c r="X1403" s="36"/>
      <c r="Y1403" s="1"/>
      <c r="Z1403" s="34" t="s">
        <v>42967</v>
      </c>
      <c r="AA1403" s="33">
        <v>6264</v>
      </c>
      <c r="AG1403" s="1"/>
      <c r="AK1403" s="1"/>
      <c r="AL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row>
    <row r="1404" spans="1:64" ht="12" customHeight="1" x14ac:dyDescent="0.15">
      <c r="A1404" s="34" t="s">
        <v>35727</v>
      </c>
      <c r="B1404" s="34">
        <v>37</v>
      </c>
      <c r="C1404" s="34" t="s">
        <v>14</v>
      </c>
      <c r="D1404" s="34" t="s">
        <v>31</v>
      </c>
      <c r="E1404" s="34"/>
      <c r="F1404" s="67">
        <v>43361</v>
      </c>
      <c r="G1404" s="34" t="s">
        <v>35798</v>
      </c>
      <c r="H1404" s="34" t="s">
        <v>281</v>
      </c>
      <c r="I1404" s="34" t="s">
        <v>282</v>
      </c>
      <c r="J1404" s="34">
        <v>98271</v>
      </c>
      <c r="K1404" s="34" t="s">
        <v>2004</v>
      </c>
      <c r="L1404" s="34" t="s">
        <v>35728</v>
      </c>
      <c r="M1404" s="34" t="s">
        <v>21</v>
      </c>
      <c r="N1404" s="34" t="s">
        <v>35729</v>
      </c>
      <c r="O1404" s="34" t="s">
        <v>372</v>
      </c>
      <c r="P1404" s="34" t="s">
        <v>30089</v>
      </c>
      <c r="Q1404" s="35" t="s">
        <v>35730</v>
      </c>
      <c r="R1404" s="34" t="s">
        <v>512</v>
      </c>
      <c r="S1404" s="34" t="s">
        <v>22</v>
      </c>
      <c r="T1404" s="36" t="s">
        <v>26774</v>
      </c>
      <c r="U1404" s="36" t="s">
        <v>26572</v>
      </c>
      <c r="V1404" s="36" t="s">
        <v>26573</v>
      </c>
      <c r="W1404" s="36" t="s">
        <v>94</v>
      </c>
      <c r="X1404" s="36">
        <v>4045</v>
      </c>
      <c r="Y1404" s="1"/>
      <c r="Z1404" s="34" t="s">
        <v>42968</v>
      </c>
      <c r="AA1404" s="33">
        <v>6265</v>
      </c>
      <c r="AG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row>
    <row r="1405" spans="1:64" ht="12" customHeight="1" x14ac:dyDescent="0.15">
      <c r="A1405" s="34" t="s">
        <v>33972</v>
      </c>
      <c r="B1405" s="34">
        <v>23</v>
      </c>
      <c r="C1405" s="34" t="s">
        <v>14</v>
      </c>
      <c r="D1405" s="34" t="s">
        <v>42</v>
      </c>
      <c r="E1405" s="35" t="s">
        <v>33973</v>
      </c>
      <c r="F1405" s="67">
        <v>43360</v>
      </c>
      <c r="G1405" s="34" t="s">
        <v>33974</v>
      </c>
      <c r="H1405" s="34" t="s">
        <v>7140</v>
      </c>
      <c r="I1405" s="34" t="s">
        <v>46</v>
      </c>
      <c r="J1405" s="34">
        <v>20748</v>
      </c>
      <c r="K1405" s="34" t="s">
        <v>2210</v>
      </c>
      <c r="L1405" s="34" t="s">
        <v>705</v>
      </c>
      <c r="M1405" s="34" t="s">
        <v>21</v>
      </c>
      <c r="N1405" s="34" t="s">
        <v>33975</v>
      </c>
      <c r="O1405" s="34" t="s">
        <v>372</v>
      </c>
      <c r="P1405" s="34" t="s">
        <v>30089</v>
      </c>
      <c r="Q1405" s="35" t="s">
        <v>33976</v>
      </c>
      <c r="R1405" s="34" t="s">
        <v>94</v>
      </c>
      <c r="S1405" s="34" t="s">
        <v>22</v>
      </c>
      <c r="T1405" s="36" t="s">
        <v>26781</v>
      </c>
      <c r="U1405" s="36" t="s">
        <v>26570</v>
      </c>
      <c r="V1405" s="36" t="s">
        <v>26574</v>
      </c>
      <c r="W1405" s="36" t="s">
        <v>94</v>
      </c>
      <c r="X1405" s="36">
        <v>4038</v>
      </c>
      <c r="Y1405" s="1"/>
      <c r="Z1405" s="34" t="s">
        <v>42968</v>
      </c>
      <c r="AA1405" s="33">
        <v>6260</v>
      </c>
      <c r="AG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row>
    <row r="1406" spans="1:64" ht="12" customHeight="1" x14ac:dyDescent="0.15">
      <c r="A1406" s="34" t="s">
        <v>33977</v>
      </c>
      <c r="B1406" s="34">
        <v>54</v>
      </c>
      <c r="C1406" s="34" t="s">
        <v>103</v>
      </c>
      <c r="D1406" s="34" t="s">
        <v>31</v>
      </c>
      <c r="E1406" s="34"/>
      <c r="F1406" s="67">
        <v>43360</v>
      </c>
      <c r="G1406" s="34" t="s">
        <v>33978</v>
      </c>
      <c r="H1406" s="34" t="s">
        <v>33979</v>
      </c>
      <c r="I1406" s="34" t="s">
        <v>395</v>
      </c>
      <c r="J1406" s="34">
        <v>11378</v>
      </c>
      <c r="K1406" s="34" t="s">
        <v>2474</v>
      </c>
      <c r="L1406" s="34" t="s">
        <v>539</v>
      </c>
      <c r="M1406" s="34" t="s">
        <v>21</v>
      </c>
      <c r="N1406" s="34" t="s">
        <v>33980</v>
      </c>
      <c r="O1406" s="34" t="s">
        <v>372</v>
      </c>
      <c r="P1406" s="34" t="s">
        <v>30089</v>
      </c>
      <c r="Q1406" s="35" t="s">
        <v>33981</v>
      </c>
      <c r="R1406" s="34" t="s">
        <v>512</v>
      </c>
      <c r="S1406" s="34" t="s">
        <v>22</v>
      </c>
      <c r="T1406" s="36" t="s">
        <v>26774</v>
      </c>
      <c r="U1406" s="36" t="s">
        <v>26572</v>
      </c>
      <c r="V1406" s="36" t="s">
        <v>26573</v>
      </c>
      <c r="W1406" s="36" t="s">
        <v>512</v>
      </c>
      <c r="X1406" s="36">
        <v>4039</v>
      </c>
      <c r="Y1406" s="1"/>
      <c r="Z1406" s="34" t="s">
        <v>42966</v>
      </c>
      <c r="AA1406" s="33">
        <v>6261</v>
      </c>
      <c r="AG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row>
    <row r="1407" spans="1:64" ht="12" customHeight="1" x14ac:dyDescent="0.15">
      <c r="A1407" s="34" t="s">
        <v>35741</v>
      </c>
      <c r="B1407" s="34">
        <v>44</v>
      </c>
      <c r="C1407" s="34" t="s">
        <v>14</v>
      </c>
      <c r="D1407" s="34" t="s">
        <v>31</v>
      </c>
      <c r="E1407" s="34"/>
      <c r="F1407" s="67">
        <v>43360</v>
      </c>
      <c r="G1407" s="34" t="s">
        <v>33982</v>
      </c>
      <c r="H1407" s="34" t="s">
        <v>33983</v>
      </c>
      <c r="I1407" s="34" t="s">
        <v>294</v>
      </c>
      <c r="J1407" s="34">
        <v>42240</v>
      </c>
      <c r="K1407" s="34" t="s">
        <v>3848</v>
      </c>
      <c r="L1407" s="34" t="s">
        <v>36434</v>
      </c>
      <c r="M1407" s="34" t="s">
        <v>21</v>
      </c>
      <c r="N1407" s="34" t="s">
        <v>33984</v>
      </c>
      <c r="O1407" s="34" t="s">
        <v>372</v>
      </c>
      <c r="P1407" s="34" t="s">
        <v>30089</v>
      </c>
      <c r="Q1407" s="35" t="s">
        <v>33985</v>
      </c>
      <c r="R1407" s="34" t="s">
        <v>94</v>
      </c>
      <c r="S1407" s="34" t="s">
        <v>351</v>
      </c>
      <c r="T1407" s="36" t="s">
        <v>26867</v>
      </c>
      <c r="U1407" s="36" t="s">
        <v>26572</v>
      </c>
      <c r="V1407" s="36" t="s">
        <v>26571</v>
      </c>
      <c r="W1407" s="36" t="s">
        <v>94</v>
      </c>
      <c r="X1407" s="36">
        <v>4040</v>
      </c>
      <c r="Y1407" s="1"/>
      <c r="Z1407" s="34" t="s">
        <v>42968</v>
      </c>
      <c r="AA1407" s="33">
        <v>6262</v>
      </c>
      <c r="AG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row>
    <row r="1408" spans="1:64" ht="12" customHeight="1" x14ac:dyDescent="0.15">
      <c r="A1408" s="34" t="s">
        <v>33990</v>
      </c>
      <c r="B1408" s="34">
        <v>29</v>
      </c>
      <c r="C1408" s="34" t="s">
        <v>14</v>
      </c>
      <c r="D1408" s="34" t="s">
        <v>31</v>
      </c>
      <c r="E1408" s="35" t="s">
        <v>33991</v>
      </c>
      <c r="F1408" s="67">
        <v>43359</v>
      </c>
      <c r="G1408" s="34" t="s">
        <v>33992</v>
      </c>
      <c r="H1408" s="34" t="s">
        <v>33993</v>
      </c>
      <c r="I1408" s="34" t="s">
        <v>337</v>
      </c>
      <c r="J1408" s="34">
        <v>67050</v>
      </c>
      <c r="K1408" s="34" t="s">
        <v>636</v>
      </c>
      <c r="L1408" s="34" t="s">
        <v>22820</v>
      </c>
      <c r="M1408" s="34" t="s">
        <v>21</v>
      </c>
      <c r="N1408" s="34" t="s">
        <v>33994</v>
      </c>
      <c r="O1408" s="34" t="s">
        <v>372</v>
      </c>
      <c r="P1408" s="34" t="s">
        <v>30089</v>
      </c>
      <c r="Q1408" s="35" t="s">
        <v>33995</v>
      </c>
      <c r="R1408" s="34" t="s">
        <v>94</v>
      </c>
      <c r="S1408" s="34" t="s">
        <v>22</v>
      </c>
      <c r="T1408" s="36" t="s">
        <v>26781</v>
      </c>
      <c r="U1408" s="36" t="s">
        <v>26570</v>
      </c>
      <c r="V1408" s="36"/>
      <c r="W1408" s="36"/>
      <c r="X1408" s="36"/>
      <c r="Y1408" s="1"/>
      <c r="Z1408" s="34" t="s">
        <v>42967</v>
      </c>
      <c r="AA1408" s="33">
        <v>6258</v>
      </c>
      <c r="AG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row>
    <row r="1409" spans="1:64" ht="12" customHeight="1" x14ac:dyDescent="0.15">
      <c r="A1409" s="34" t="s">
        <v>33999</v>
      </c>
      <c r="B1409" s="34">
        <v>40</v>
      </c>
      <c r="C1409" s="34" t="s">
        <v>14</v>
      </c>
      <c r="D1409" s="34" t="s">
        <v>24</v>
      </c>
      <c r="E1409" s="34"/>
      <c r="F1409" s="67">
        <v>43359</v>
      </c>
      <c r="G1409" s="34" t="s">
        <v>35800</v>
      </c>
      <c r="H1409" s="34" t="s">
        <v>34000</v>
      </c>
      <c r="I1409" s="34" t="s">
        <v>282</v>
      </c>
      <c r="J1409" s="34">
        <v>99362</v>
      </c>
      <c r="K1409" s="34" t="s">
        <v>34000</v>
      </c>
      <c r="L1409" s="34" t="s">
        <v>34001</v>
      </c>
      <c r="M1409" s="34" t="s">
        <v>21</v>
      </c>
      <c r="N1409" s="34" t="s">
        <v>34002</v>
      </c>
      <c r="O1409" s="34" t="s">
        <v>372</v>
      </c>
      <c r="P1409" s="34" t="s">
        <v>30089</v>
      </c>
      <c r="Q1409" s="35" t="s">
        <v>34003</v>
      </c>
      <c r="R1409" s="34" t="s">
        <v>94</v>
      </c>
      <c r="S1409" s="34" t="s">
        <v>22</v>
      </c>
      <c r="T1409" s="36" t="s">
        <v>26781</v>
      </c>
      <c r="U1409" s="36" t="s">
        <v>26570</v>
      </c>
      <c r="V1409" s="36" t="s">
        <v>26573</v>
      </c>
      <c r="W1409" s="36" t="s">
        <v>94</v>
      </c>
      <c r="X1409" s="36">
        <v>4036</v>
      </c>
      <c r="Y1409" s="1"/>
      <c r="Z1409" s="34" t="s">
        <v>42968</v>
      </c>
      <c r="AA1409" s="33">
        <v>6256</v>
      </c>
      <c r="AG1409" s="1"/>
      <c r="AK1409" s="1"/>
      <c r="AL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row>
    <row r="1410" spans="1:64" ht="12" customHeight="1" x14ac:dyDescent="0.15">
      <c r="A1410" s="34" t="s">
        <v>33996</v>
      </c>
      <c r="B1410" s="34">
        <v>31</v>
      </c>
      <c r="C1410" s="34" t="s">
        <v>14</v>
      </c>
      <c r="D1410" s="34" t="s">
        <v>79</v>
      </c>
      <c r="E1410" s="34"/>
      <c r="F1410" s="67">
        <v>43359</v>
      </c>
      <c r="G1410" s="34" t="s">
        <v>35799</v>
      </c>
      <c r="H1410" s="34" t="s">
        <v>430</v>
      </c>
      <c r="I1410" s="34" t="s">
        <v>19</v>
      </c>
      <c r="J1410" s="34">
        <v>71109</v>
      </c>
      <c r="K1410" s="34" t="s">
        <v>5432</v>
      </c>
      <c r="L1410" s="34" t="s">
        <v>431</v>
      </c>
      <c r="M1410" s="34" t="s">
        <v>21</v>
      </c>
      <c r="N1410" s="34" t="s">
        <v>33997</v>
      </c>
      <c r="O1410" s="34" t="s">
        <v>372</v>
      </c>
      <c r="P1410" s="34" t="s">
        <v>30089</v>
      </c>
      <c r="Q1410" s="35" t="s">
        <v>33998</v>
      </c>
      <c r="R1410" s="34" t="s">
        <v>94</v>
      </c>
      <c r="S1410" s="34" t="s">
        <v>22</v>
      </c>
      <c r="T1410" s="36" t="s">
        <v>26781</v>
      </c>
      <c r="U1410" s="36" t="s">
        <v>26572</v>
      </c>
      <c r="V1410" s="36" t="s">
        <v>26573</v>
      </c>
      <c r="W1410" s="36" t="s">
        <v>94</v>
      </c>
      <c r="X1410" s="36">
        <v>4043</v>
      </c>
      <c r="Y1410" s="1"/>
      <c r="Z1410" s="34" t="s">
        <v>42966</v>
      </c>
      <c r="AA1410" s="33">
        <v>6257</v>
      </c>
      <c r="AG1410" s="1"/>
      <c r="AK1410" s="1"/>
      <c r="AL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row>
    <row r="1411" spans="1:64" ht="12" customHeight="1" x14ac:dyDescent="0.15">
      <c r="A1411" s="34" t="s">
        <v>33986</v>
      </c>
      <c r="B1411" s="34">
        <v>29</v>
      </c>
      <c r="C1411" s="34" t="s">
        <v>14</v>
      </c>
      <c r="D1411" s="34" t="s">
        <v>42</v>
      </c>
      <c r="E1411" s="34"/>
      <c r="F1411" s="67">
        <v>43359</v>
      </c>
      <c r="G1411" s="34" t="s">
        <v>33987</v>
      </c>
      <c r="H1411" s="34" t="s">
        <v>1397</v>
      </c>
      <c r="I1411" s="34" t="s">
        <v>376</v>
      </c>
      <c r="J1411" s="34">
        <v>17602</v>
      </c>
      <c r="K1411" s="34" t="s">
        <v>1397</v>
      </c>
      <c r="L1411" s="34" t="s">
        <v>2121</v>
      </c>
      <c r="M1411" s="34" t="s">
        <v>21</v>
      </c>
      <c r="N1411" s="34" t="s">
        <v>33988</v>
      </c>
      <c r="O1411" s="34" t="s">
        <v>372</v>
      </c>
      <c r="P1411" s="34" t="s">
        <v>30089</v>
      </c>
      <c r="Q1411" s="35" t="s">
        <v>33989</v>
      </c>
      <c r="R1411" s="34" t="s">
        <v>94</v>
      </c>
      <c r="S1411" s="34" t="s">
        <v>22</v>
      </c>
      <c r="T1411" s="36" t="s">
        <v>26781</v>
      </c>
      <c r="U1411" s="36" t="s">
        <v>26572</v>
      </c>
      <c r="V1411" s="36" t="s">
        <v>26573</v>
      </c>
      <c r="W1411" s="36" t="s">
        <v>94</v>
      </c>
      <c r="X1411" s="36">
        <v>4035</v>
      </c>
      <c r="Y1411" s="1"/>
      <c r="Z1411" s="34" t="s">
        <v>42968</v>
      </c>
      <c r="AA1411" s="33">
        <v>6255</v>
      </c>
      <c r="AG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row>
    <row r="1412" spans="1:64" ht="12" customHeight="1" x14ac:dyDescent="0.15">
      <c r="A1412" s="34" t="s">
        <v>34908</v>
      </c>
      <c r="B1412" s="34">
        <v>25</v>
      </c>
      <c r="C1412" s="34" t="s">
        <v>14</v>
      </c>
      <c r="D1412" s="34" t="s">
        <v>31</v>
      </c>
      <c r="E1412" s="34"/>
      <c r="F1412" s="67">
        <v>43359</v>
      </c>
      <c r="G1412" s="34" t="s">
        <v>35801</v>
      </c>
      <c r="H1412" s="34" t="s">
        <v>34004</v>
      </c>
      <c r="I1412" s="34" t="s">
        <v>409</v>
      </c>
      <c r="J1412" s="34">
        <v>54220</v>
      </c>
      <c r="K1412" s="34" t="s">
        <v>34004</v>
      </c>
      <c r="L1412" s="34" t="s">
        <v>34005</v>
      </c>
      <c r="M1412" s="34" t="s">
        <v>21</v>
      </c>
      <c r="N1412" s="34" t="s">
        <v>35742</v>
      </c>
      <c r="O1412" s="34" t="s">
        <v>372</v>
      </c>
      <c r="P1412" s="34" t="s">
        <v>30089</v>
      </c>
      <c r="Q1412" s="35" t="s">
        <v>34006</v>
      </c>
      <c r="R1412" s="34" t="s">
        <v>94</v>
      </c>
      <c r="S1412" s="34" t="s">
        <v>29</v>
      </c>
      <c r="T1412" s="36" t="s">
        <v>26576</v>
      </c>
      <c r="U1412" s="36" t="s">
        <v>26570</v>
      </c>
      <c r="V1412" s="36" t="s">
        <v>26573</v>
      </c>
      <c r="W1412" s="36" t="s">
        <v>94</v>
      </c>
      <c r="X1412" s="36">
        <v>4037</v>
      </c>
      <c r="Y1412" s="1"/>
      <c r="Z1412" s="34" t="s">
        <v>42968</v>
      </c>
      <c r="AA1412" s="33">
        <v>6259</v>
      </c>
      <c r="AG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row>
    <row r="1413" spans="1:64" ht="12" customHeight="1" x14ac:dyDescent="0.15">
      <c r="A1413" s="34" t="s">
        <v>34018</v>
      </c>
      <c r="B1413" s="34">
        <v>50</v>
      </c>
      <c r="C1413" s="34" t="s">
        <v>14</v>
      </c>
      <c r="D1413" s="34" t="s">
        <v>31</v>
      </c>
      <c r="E1413" s="34"/>
      <c r="F1413" s="67">
        <v>43358</v>
      </c>
      <c r="G1413" s="34" t="s">
        <v>34019</v>
      </c>
      <c r="H1413" s="34" t="s">
        <v>603</v>
      </c>
      <c r="I1413" s="34" t="s">
        <v>918</v>
      </c>
      <c r="J1413" s="34">
        <v>72076</v>
      </c>
      <c r="K1413" s="34" t="s">
        <v>2312</v>
      </c>
      <c r="L1413" s="34" t="s">
        <v>2186</v>
      </c>
      <c r="M1413" s="34" t="s">
        <v>21</v>
      </c>
      <c r="N1413" s="34" t="s">
        <v>34020</v>
      </c>
      <c r="O1413" s="34" t="s">
        <v>372</v>
      </c>
      <c r="P1413" s="34" t="s">
        <v>30089</v>
      </c>
      <c r="Q1413" s="35" t="s">
        <v>34021</v>
      </c>
      <c r="R1413" s="34" t="s">
        <v>94</v>
      </c>
      <c r="S1413" s="34" t="s">
        <v>22</v>
      </c>
      <c r="T1413" s="36" t="s">
        <v>26774</v>
      </c>
      <c r="U1413" s="36" t="s">
        <v>26572</v>
      </c>
      <c r="V1413" s="36" t="s">
        <v>26573</v>
      </c>
      <c r="W1413" s="36" t="s">
        <v>94</v>
      </c>
      <c r="X1413" s="36">
        <v>4042</v>
      </c>
      <c r="Z1413" s="33" t="s">
        <v>42968</v>
      </c>
      <c r="AA1413" s="33">
        <v>6252</v>
      </c>
    </row>
    <row r="1414" spans="1:64" ht="12" customHeight="1" x14ac:dyDescent="0.15">
      <c r="A1414" s="34" t="s">
        <v>35743</v>
      </c>
      <c r="B1414" s="34">
        <v>35</v>
      </c>
      <c r="C1414" s="34" t="s">
        <v>103</v>
      </c>
      <c r="D1414" s="34" t="s">
        <v>42</v>
      </c>
      <c r="E1414" s="35" t="s">
        <v>35744</v>
      </c>
      <c r="F1414" s="67">
        <v>43358</v>
      </c>
      <c r="G1414" s="34" t="s">
        <v>4114</v>
      </c>
      <c r="H1414" s="34" t="s">
        <v>3942</v>
      </c>
      <c r="I1414" s="34" t="s">
        <v>67</v>
      </c>
      <c r="J1414" s="34">
        <v>78045</v>
      </c>
      <c r="K1414" s="34" t="s">
        <v>3944</v>
      </c>
      <c r="L1414" s="34" t="s">
        <v>33864</v>
      </c>
      <c r="M1414" s="34" t="s">
        <v>21</v>
      </c>
      <c r="N1414" s="34" t="s">
        <v>35745</v>
      </c>
      <c r="O1414" s="34" t="s">
        <v>32706</v>
      </c>
      <c r="P1414" s="34" t="s">
        <v>30089</v>
      </c>
      <c r="Q1414" s="35" t="s">
        <v>35746</v>
      </c>
      <c r="R1414" s="34" t="s">
        <v>94</v>
      </c>
      <c r="S1414" s="34" t="s">
        <v>12</v>
      </c>
      <c r="T1414" s="36" t="s">
        <v>29705</v>
      </c>
      <c r="U1414" s="36"/>
      <c r="V1414" s="36"/>
      <c r="W1414" s="36"/>
      <c r="X1414" s="36"/>
      <c r="Y1414" s="1"/>
      <c r="Z1414" s="34" t="s">
        <v>42968</v>
      </c>
      <c r="AA1414" s="33">
        <v>6253</v>
      </c>
      <c r="AG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row>
    <row r="1415" spans="1:64" ht="12" customHeight="1" x14ac:dyDescent="0.15">
      <c r="A1415" s="34" t="s">
        <v>34012</v>
      </c>
      <c r="B1415" s="34">
        <v>34</v>
      </c>
      <c r="C1415" s="34" t="s">
        <v>14</v>
      </c>
      <c r="D1415" s="34" t="s">
        <v>24</v>
      </c>
      <c r="E1415" s="34"/>
      <c r="F1415" s="67">
        <v>43358</v>
      </c>
      <c r="G1415" s="34" t="s">
        <v>34013</v>
      </c>
      <c r="H1415" s="34" t="s">
        <v>34014</v>
      </c>
      <c r="I1415" s="34" t="s">
        <v>38</v>
      </c>
      <c r="J1415" s="34">
        <v>60061</v>
      </c>
      <c r="K1415" s="34" t="s">
        <v>1179</v>
      </c>
      <c r="L1415" s="34" t="s">
        <v>34015</v>
      </c>
      <c r="M1415" s="34" t="s">
        <v>21</v>
      </c>
      <c r="N1415" s="34" t="s">
        <v>34016</v>
      </c>
      <c r="O1415" s="34" t="s">
        <v>372</v>
      </c>
      <c r="P1415" s="34" t="s">
        <v>30089</v>
      </c>
      <c r="Q1415" s="35" t="s">
        <v>34017</v>
      </c>
      <c r="R1415" s="34" t="s">
        <v>94</v>
      </c>
      <c r="S1415" s="34" t="s">
        <v>22</v>
      </c>
      <c r="T1415" s="36" t="s">
        <v>26781</v>
      </c>
      <c r="U1415" s="34" t="s">
        <v>26572</v>
      </c>
      <c r="V1415" s="34" t="s">
        <v>26573</v>
      </c>
      <c r="W1415" s="36"/>
      <c r="X1415" s="36"/>
      <c r="Z1415" s="33" t="s">
        <v>42968</v>
      </c>
      <c r="AA1415" s="33">
        <v>6251</v>
      </c>
    </row>
    <row r="1416" spans="1:64" ht="12" customHeight="1" x14ac:dyDescent="0.15">
      <c r="A1416" s="34" t="s">
        <v>35747</v>
      </c>
      <c r="B1416" s="34">
        <v>19</v>
      </c>
      <c r="C1416" s="34" t="s">
        <v>14</v>
      </c>
      <c r="D1416" s="34" t="s">
        <v>79</v>
      </c>
      <c r="E1416" s="35" t="s">
        <v>35748</v>
      </c>
      <c r="F1416" s="67">
        <v>43358</v>
      </c>
      <c r="G1416" s="34" t="s">
        <v>35802</v>
      </c>
      <c r="H1416" s="34" t="s">
        <v>5923</v>
      </c>
      <c r="I1416" s="34" t="s">
        <v>46</v>
      </c>
      <c r="J1416" s="34">
        <v>21639</v>
      </c>
      <c r="K1416" s="34" t="s">
        <v>25701</v>
      </c>
      <c r="L1416" s="34" t="s">
        <v>36352</v>
      </c>
      <c r="M1416" s="34" t="s">
        <v>363</v>
      </c>
      <c r="N1416" s="34" t="s">
        <v>35749</v>
      </c>
      <c r="O1416" s="34" t="s">
        <v>372</v>
      </c>
      <c r="P1416" s="34" t="s">
        <v>30089</v>
      </c>
      <c r="Q1416" s="35" t="s">
        <v>35750</v>
      </c>
      <c r="R1416" s="34" t="s">
        <v>23</v>
      </c>
      <c r="S1416" s="34" t="s">
        <v>12</v>
      </c>
      <c r="T1416" s="34" t="s">
        <v>29705</v>
      </c>
      <c r="U1416" s="34"/>
      <c r="V1416" s="34"/>
      <c r="W1416" s="34"/>
      <c r="X1416" s="34"/>
      <c r="Y1416" s="1"/>
      <c r="Z1416" s="34" t="s">
        <v>42967</v>
      </c>
      <c r="AA1416" s="33">
        <v>6254</v>
      </c>
      <c r="AG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row>
    <row r="1417" spans="1:64" ht="12" customHeight="1" x14ac:dyDescent="0.15">
      <c r="A1417" s="34" t="s">
        <v>34007</v>
      </c>
      <c r="B1417" s="34">
        <v>31</v>
      </c>
      <c r="C1417" s="34" t="s">
        <v>14</v>
      </c>
      <c r="D1417" s="34" t="s">
        <v>31</v>
      </c>
      <c r="E1417" s="35" t="s">
        <v>34008</v>
      </c>
      <c r="F1417" s="67">
        <v>43358</v>
      </c>
      <c r="G1417" s="34" t="s">
        <v>34009</v>
      </c>
      <c r="H1417" s="34" t="s">
        <v>7952</v>
      </c>
      <c r="I1417" s="34" t="s">
        <v>342</v>
      </c>
      <c r="J1417" s="34">
        <v>50023</v>
      </c>
      <c r="K1417" s="34" t="s">
        <v>1736</v>
      </c>
      <c r="L1417" s="34" t="s">
        <v>7954</v>
      </c>
      <c r="M1417" s="34" t="s">
        <v>21</v>
      </c>
      <c r="N1417" s="34" t="s">
        <v>34010</v>
      </c>
      <c r="O1417" s="34" t="s">
        <v>372</v>
      </c>
      <c r="P1417" s="34" t="s">
        <v>30089</v>
      </c>
      <c r="Q1417" s="35" t="s">
        <v>34011</v>
      </c>
      <c r="R1417" s="34" t="s">
        <v>94</v>
      </c>
      <c r="S1417" s="34" t="s">
        <v>22</v>
      </c>
      <c r="T1417" s="36" t="s">
        <v>26781</v>
      </c>
      <c r="U1417" s="36" t="s">
        <v>26572</v>
      </c>
      <c r="V1417" s="36" t="s">
        <v>26573</v>
      </c>
      <c r="W1417" s="36" t="s">
        <v>512</v>
      </c>
      <c r="X1417" s="36">
        <v>4034</v>
      </c>
      <c r="Z1417" s="33" t="s">
        <v>42968</v>
      </c>
      <c r="AA1417" s="33">
        <v>6250</v>
      </c>
    </row>
    <row r="1418" spans="1:64" ht="12" customHeight="1" x14ac:dyDescent="0.15">
      <c r="A1418" s="34" t="s">
        <v>34034</v>
      </c>
      <c r="B1418" s="34">
        <v>47</v>
      </c>
      <c r="C1418" s="34" t="s">
        <v>14</v>
      </c>
      <c r="D1418" s="34" t="s">
        <v>24</v>
      </c>
      <c r="E1418" s="34"/>
      <c r="F1418" s="67">
        <v>43357</v>
      </c>
      <c r="G1418" s="34" t="s">
        <v>34035</v>
      </c>
      <c r="H1418" s="34" t="s">
        <v>911</v>
      </c>
      <c r="I1418" s="34" t="s">
        <v>178</v>
      </c>
      <c r="J1418" s="34">
        <v>88011</v>
      </c>
      <c r="K1418" s="34" t="s">
        <v>912</v>
      </c>
      <c r="L1418" s="34" t="s">
        <v>6512</v>
      </c>
      <c r="M1418" s="34" t="s">
        <v>21</v>
      </c>
      <c r="N1418" s="34" t="s">
        <v>34036</v>
      </c>
      <c r="O1418" s="34" t="s">
        <v>372</v>
      </c>
      <c r="P1418" s="34" t="s">
        <v>30089</v>
      </c>
      <c r="Q1418" s="35" t="s">
        <v>34037</v>
      </c>
      <c r="R1418" s="34" t="s">
        <v>94</v>
      </c>
      <c r="S1418" s="34" t="s">
        <v>29</v>
      </c>
      <c r="T1418" s="33" t="s">
        <v>41840</v>
      </c>
      <c r="U1418" s="36"/>
      <c r="V1418" s="36"/>
      <c r="W1418" s="36"/>
      <c r="X1418" s="36"/>
      <c r="Z1418" s="33" t="s">
        <v>42968</v>
      </c>
      <c r="AA1418" s="33">
        <v>6248</v>
      </c>
    </row>
    <row r="1419" spans="1:64" ht="12" customHeight="1" x14ac:dyDescent="0.15">
      <c r="A1419" s="34" t="s">
        <v>34038</v>
      </c>
      <c r="B1419" s="34">
        <v>53</v>
      </c>
      <c r="C1419" s="34" t="s">
        <v>14</v>
      </c>
      <c r="D1419" s="34" t="s">
        <v>79</v>
      </c>
      <c r="E1419" s="35" t="s">
        <v>34039</v>
      </c>
      <c r="F1419" s="67">
        <v>43357</v>
      </c>
      <c r="G1419" s="34" t="s">
        <v>34040</v>
      </c>
      <c r="H1419" s="34" t="s">
        <v>4927</v>
      </c>
      <c r="I1419" s="34" t="s">
        <v>338</v>
      </c>
      <c r="J1419" s="34">
        <v>28526</v>
      </c>
      <c r="K1419" s="34" t="s">
        <v>5150</v>
      </c>
      <c r="L1419" s="34" t="s">
        <v>34041</v>
      </c>
      <c r="M1419" s="34" t="s">
        <v>21</v>
      </c>
      <c r="N1419" s="34" t="s">
        <v>34042</v>
      </c>
      <c r="O1419" s="34" t="s">
        <v>372</v>
      </c>
      <c r="P1419" s="34" t="s">
        <v>30089</v>
      </c>
      <c r="Q1419" s="35" t="s">
        <v>34043</v>
      </c>
      <c r="R1419" s="34" t="s">
        <v>94</v>
      </c>
      <c r="S1419" s="34" t="s">
        <v>22</v>
      </c>
      <c r="T1419" s="36" t="s">
        <v>26781</v>
      </c>
      <c r="U1419" s="36" t="s">
        <v>26572</v>
      </c>
      <c r="V1419" s="36" t="s">
        <v>26573</v>
      </c>
      <c r="W1419" s="36"/>
      <c r="X1419" s="36"/>
      <c r="Z1419" s="33" t="s">
        <v>42967</v>
      </c>
      <c r="AA1419" s="33">
        <v>6245</v>
      </c>
    </row>
    <row r="1420" spans="1:64" ht="12" customHeight="1" x14ac:dyDescent="0.15">
      <c r="A1420" s="34" t="s">
        <v>35751</v>
      </c>
      <c r="B1420" s="34">
        <v>28</v>
      </c>
      <c r="C1420" s="34" t="s">
        <v>20419</v>
      </c>
      <c r="D1420" s="34" t="s">
        <v>42</v>
      </c>
      <c r="E1420" s="35" t="s">
        <v>35752</v>
      </c>
      <c r="F1420" s="67">
        <v>43357</v>
      </c>
      <c r="G1420" s="34" t="s">
        <v>4114</v>
      </c>
      <c r="H1420" s="34" t="s">
        <v>3942</v>
      </c>
      <c r="I1420" s="34" t="s">
        <v>67</v>
      </c>
      <c r="J1420" s="34">
        <v>78045</v>
      </c>
      <c r="K1420" s="34" t="s">
        <v>3944</v>
      </c>
      <c r="L1420" s="34" t="s">
        <v>33864</v>
      </c>
      <c r="M1420" s="34" t="s">
        <v>21</v>
      </c>
      <c r="N1420" s="34" t="s">
        <v>35745</v>
      </c>
      <c r="O1420" s="34" t="s">
        <v>32706</v>
      </c>
      <c r="P1420" s="34" t="s">
        <v>30089</v>
      </c>
      <c r="Q1420" s="35" t="s">
        <v>35753</v>
      </c>
      <c r="R1420" s="34" t="s">
        <v>94</v>
      </c>
      <c r="S1420" s="34" t="s">
        <v>12</v>
      </c>
      <c r="T1420" s="36" t="s">
        <v>29705</v>
      </c>
      <c r="U1420" s="36"/>
      <c r="V1420" s="36"/>
      <c r="W1420" s="36"/>
      <c r="X1420" s="36"/>
      <c r="Y1420" s="34"/>
      <c r="Z1420" s="34" t="s">
        <v>42968</v>
      </c>
      <c r="AA1420" s="33">
        <v>6247</v>
      </c>
      <c r="AG1420" s="34"/>
      <c r="AK1420" s="34"/>
      <c r="AL1420" s="34"/>
      <c r="AM1420" s="34"/>
      <c r="AN1420" s="34"/>
      <c r="AO1420" s="34"/>
      <c r="AP1420" s="34"/>
      <c r="AQ1420" s="34"/>
      <c r="AR1420" s="34"/>
      <c r="AS1420" s="34"/>
      <c r="AT1420" s="34"/>
      <c r="AU1420" s="34"/>
      <c r="AV1420" s="34"/>
      <c r="AW1420" s="34"/>
      <c r="AX1420" s="1"/>
      <c r="AY1420" s="1"/>
      <c r="AZ1420" s="1"/>
      <c r="BA1420" s="1"/>
      <c r="BB1420" s="1"/>
      <c r="BC1420" s="1"/>
      <c r="BD1420" s="1"/>
      <c r="BE1420" s="1"/>
      <c r="BF1420" s="1"/>
      <c r="BG1420" s="1"/>
      <c r="BH1420" s="1"/>
      <c r="BI1420" s="1"/>
      <c r="BJ1420" s="1"/>
      <c r="BK1420" s="1"/>
      <c r="BL1420" s="1"/>
    </row>
    <row r="1421" spans="1:64" ht="12" customHeight="1" x14ac:dyDescent="0.15">
      <c r="A1421" s="34" t="s">
        <v>35754</v>
      </c>
      <c r="B1421" s="34">
        <v>52</v>
      </c>
      <c r="C1421" s="34" t="s">
        <v>14</v>
      </c>
      <c r="D1421" s="34" t="s">
        <v>42</v>
      </c>
      <c r="E1421" s="35" t="s">
        <v>35755</v>
      </c>
      <c r="F1421" s="67">
        <v>43357</v>
      </c>
      <c r="G1421" s="34" t="s">
        <v>35803</v>
      </c>
      <c r="H1421" s="34" t="s">
        <v>3942</v>
      </c>
      <c r="I1421" s="34" t="s">
        <v>67</v>
      </c>
      <c r="J1421" s="34">
        <v>78040</v>
      </c>
      <c r="K1421" s="34" t="s">
        <v>3944</v>
      </c>
      <c r="L1421" s="34" t="s">
        <v>3945</v>
      </c>
      <c r="M1421" s="34" t="s">
        <v>21</v>
      </c>
      <c r="N1421" s="34" t="s">
        <v>35756</v>
      </c>
      <c r="O1421" s="34" t="s">
        <v>372</v>
      </c>
      <c r="P1421" s="34" t="s">
        <v>30089</v>
      </c>
      <c r="Q1421" s="35" t="s">
        <v>35757</v>
      </c>
      <c r="R1421" s="34" t="s">
        <v>94</v>
      </c>
      <c r="S1421" s="34" t="s">
        <v>22</v>
      </c>
      <c r="T1421" s="1" t="s">
        <v>26576</v>
      </c>
      <c r="U1421" s="36"/>
      <c r="V1421" s="36"/>
      <c r="W1421" s="36"/>
      <c r="X1421" s="36"/>
      <c r="Y1421" s="34"/>
      <c r="Z1421" s="34" t="s">
        <v>42968</v>
      </c>
      <c r="AA1421" s="33">
        <v>6249</v>
      </c>
      <c r="AG1421" s="34"/>
      <c r="AK1421" s="34"/>
      <c r="AL1421" s="34"/>
      <c r="AM1421" s="34"/>
      <c r="AN1421" s="34"/>
      <c r="AO1421" s="34"/>
      <c r="AP1421" s="34"/>
      <c r="AQ1421" s="34"/>
      <c r="AR1421" s="34"/>
      <c r="AS1421" s="34"/>
      <c r="AT1421" s="34"/>
      <c r="AU1421" s="34"/>
      <c r="AV1421" s="34"/>
      <c r="AW1421" s="34"/>
      <c r="AX1421" s="1"/>
      <c r="AY1421" s="1"/>
      <c r="AZ1421" s="1"/>
      <c r="BA1421" s="1"/>
      <c r="BB1421" s="1"/>
      <c r="BC1421" s="1"/>
      <c r="BD1421" s="1"/>
      <c r="BE1421" s="1"/>
      <c r="BF1421" s="1"/>
      <c r="BG1421" s="1"/>
      <c r="BH1421" s="1"/>
      <c r="BI1421" s="1"/>
      <c r="BJ1421" s="1"/>
      <c r="BK1421" s="1"/>
      <c r="BL1421" s="1"/>
    </row>
    <row r="1422" spans="1:64" ht="12" customHeight="1" x14ac:dyDescent="0.15">
      <c r="A1422" s="34" t="s">
        <v>34027</v>
      </c>
      <c r="B1422" s="34">
        <v>40</v>
      </c>
      <c r="C1422" s="34" t="s">
        <v>14</v>
      </c>
      <c r="D1422" s="34" t="s">
        <v>31</v>
      </c>
      <c r="E1422" s="34"/>
      <c r="F1422" s="67">
        <v>43357</v>
      </c>
      <c r="G1422" s="34" t="s">
        <v>34028</v>
      </c>
      <c r="H1422" s="34" t="s">
        <v>1337</v>
      </c>
      <c r="I1422" s="34" t="s">
        <v>112</v>
      </c>
      <c r="J1422" s="34">
        <v>85207</v>
      </c>
      <c r="K1422" s="34" t="s">
        <v>585</v>
      </c>
      <c r="L1422" s="34" t="s">
        <v>1338</v>
      </c>
      <c r="M1422" s="34" t="s">
        <v>21</v>
      </c>
      <c r="N1422" s="34" t="s">
        <v>36435</v>
      </c>
      <c r="O1422" s="34" t="s">
        <v>372</v>
      </c>
      <c r="P1422" s="34" t="s">
        <v>30089</v>
      </c>
      <c r="Q1422" s="35" t="s">
        <v>34029</v>
      </c>
      <c r="R1422" s="36" t="s">
        <v>512</v>
      </c>
      <c r="S1422" s="34" t="s">
        <v>22</v>
      </c>
      <c r="T1422" s="36" t="s">
        <v>26781</v>
      </c>
      <c r="U1422" s="36" t="s">
        <v>26572</v>
      </c>
      <c r="V1422" s="36" t="s">
        <v>26573</v>
      </c>
      <c r="W1422" s="36" t="s">
        <v>94</v>
      </c>
      <c r="X1422" s="36">
        <v>4041</v>
      </c>
      <c r="Z1422" s="33" t="s">
        <v>42968</v>
      </c>
      <c r="AA1422" s="33">
        <v>6244</v>
      </c>
    </row>
    <row r="1423" spans="1:64" ht="12" customHeight="1" x14ac:dyDescent="0.15">
      <c r="A1423" s="34" t="s">
        <v>34030</v>
      </c>
      <c r="B1423" s="34">
        <v>46</v>
      </c>
      <c r="C1423" s="34" t="s">
        <v>14</v>
      </c>
      <c r="D1423" s="34" t="s">
        <v>79</v>
      </c>
      <c r="E1423" s="34"/>
      <c r="F1423" s="67">
        <v>43357</v>
      </c>
      <c r="G1423" s="34" t="s">
        <v>34031</v>
      </c>
      <c r="H1423" s="34" t="s">
        <v>415</v>
      </c>
      <c r="I1423" s="34" t="s">
        <v>51</v>
      </c>
      <c r="J1423" s="34">
        <v>48228</v>
      </c>
      <c r="K1423" s="34" t="s">
        <v>1057</v>
      </c>
      <c r="L1423" s="34" t="s">
        <v>2030</v>
      </c>
      <c r="M1423" s="34" t="s">
        <v>21</v>
      </c>
      <c r="N1423" s="34" t="s">
        <v>34032</v>
      </c>
      <c r="O1423" s="34" t="s">
        <v>372</v>
      </c>
      <c r="P1423" s="34" t="s">
        <v>30089</v>
      </c>
      <c r="Q1423" s="35" t="s">
        <v>34033</v>
      </c>
      <c r="R1423" s="34" t="s">
        <v>94</v>
      </c>
      <c r="S1423" s="34" t="s">
        <v>22</v>
      </c>
      <c r="T1423" s="36" t="s">
        <v>26781</v>
      </c>
      <c r="U1423" s="36" t="s">
        <v>26572</v>
      </c>
      <c r="V1423" s="36" t="s">
        <v>26573</v>
      </c>
      <c r="W1423" s="36" t="s">
        <v>94</v>
      </c>
      <c r="X1423" s="36">
        <v>4030</v>
      </c>
      <c r="Z1423" s="33" t="s">
        <v>42966</v>
      </c>
      <c r="AA1423" s="33">
        <v>6243</v>
      </c>
    </row>
    <row r="1424" spans="1:64" ht="12" customHeight="1" x14ac:dyDescent="0.15">
      <c r="A1424" s="34" t="s">
        <v>34022</v>
      </c>
      <c r="B1424" s="34">
        <v>23</v>
      </c>
      <c r="C1424" s="34" t="s">
        <v>14</v>
      </c>
      <c r="D1424" s="34" t="s">
        <v>79</v>
      </c>
      <c r="E1424" s="35" t="s">
        <v>34023</v>
      </c>
      <c r="F1424" s="67">
        <v>43357</v>
      </c>
      <c r="G1424" s="34" t="s">
        <v>34024</v>
      </c>
      <c r="H1424" s="34" t="s">
        <v>870</v>
      </c>
      <c r="I1424" s="34" t="s">
        <v>67</v>
      </c>
      <c r="J1424" s="34">
        <v>76110</v>
      </c>
      <c r="K1424" s="34" t="s">
        <v>68</v>
      </c>
      <c r="L1424" s="34" t="s">
        <v>871</v>
      </c>
      <c r="M1424" s="34" t="s">
        <v>21</v>
      </c>
      <c r="N1424" s="34" t="s">
        <v>34025</v>
      </c>
      <c r="O1424" s="34" t="s">
        <v>372</v>
      </c>
      <c r="P1424" s="34" t="s">
        <v>30089</v>
      </c>
      <c r="Q1424" s="35" t="s">
        <v>34026</v>
      </c>
      <c r="R1424" s="34" t="s">
        <v>94</v>
      </c>
      <c r="S1424" s="34" t="s">
        <v>22</v>
      </c>
      <c r="T1424" s="36" t="s">
        <v>26781</v>
      </c>
      <c r="U1424" s="36" t="s">
        <v>26572</v>
      </c>
      <c r="V1424" s="36"/>
      <c r="W1424" s="36"/>
      <c r="X1424" s="36"/>
      <c r="Z1424" s="33" t="s">
        <v>42966</v>
      </c>
      <c r="AA1424" s="33">
        <v>6246</v>
      </c>
    </row>
    <row r="1425" spans="1:64" ht="12" customHeight="1" x14ac:dyDescent="0.15">
      <c r="A1425" s="34" t="s">
        <v>35758</v>
      </c>
      <c r="B1425" s="34">
        <v>42</v>
      </c>
      <c r="C1425" s="34" t="s">
        <v>103</v>
      </c>
      <c r="D1425" s="34" t="s">
        <v>31</v>
      </c>
      <c r="E1425" s="35" t="s">
        <v>35759</v>
      </c>
      <c r="F1425" s="67">
        <v>43356</v>
      </c>
      <c r="G1425" s="34" t="s">
        <v>35760</v>
      </c>
      <c r="H1425" s="34" t="s">
        <v>3942</v>
      </c>
      <c r="I1425" s="34" t="s">
        <v>67</v>
      </c>
      <c r="J1425" s="34">
        <v>78045</v>
      </c>
      <c r="K1425" s="34" t="s">
        <v>3944</v>
      </c>
      <c r="L1425" s="34" t="s">
        <v>33864</v>
      </c>
      <c r="M1425" s="34" t="s">
        <v>21</v>
      </c>
      <c r="N1425" s="34" t="s">
        <v>35745</v>
      </c>
      <c r="O1425" s="34" t="s">
        <v>32706</v>
      </c>
      <c r="P1425" s="34" t="s">
        <v>30089</v>
      </c>
      <c r="Q1425" s="35" t="s">
        <v>35753</v>
      </c>
      <c r="R1425" s="34" t="s">
        <v>94</v>
      </c>
      <c r="S1425" s="34" t="s">
        <v>12</v>
      </c>
      <c r="T1425" s="36" t="s">
        <v>29705</v>
      </c>
      <c r="U1425" s="36"/>
      <c r="V1425" s="36"/>
      <c r="W1425" s="36"/>
      <c r="X1425" s="36"/>
      <c r="Y1425" s="34"/>
      <c r="Z1425" s="34" t="s">
        <v>42968</v>
      </c>
      <c r="AA1425" s="33">
        <v>6242</v>
      </c>
      <c r="AG1425" s="34"/>
      <c r="AK1425" s="34"/>
      <c r="AL1425" s="34"/>
      <c r="AM1425" s="34"/>
      <c r="AN1425" s="34"/>
      <c r="AO1425" s="34"/>
      <c r="AP1425" s="34"/>
      <c r="AQ1425" s="34"/>
      <c r="AR1425" s="34"/>
      <c r="AS1425" s="34"/>
      <c r="AT1425" s="34"/>
      <c r="AU1425" s="34"/>
      <c r="AV1425" s="34"/>
      <c r="AW1425" s="34"/>
      <c r="AX1425" s="1"/>
      <c r="AY1425" s="1"/>
      <c r="AZ1425" s="1"/>
      <c r="BA1425" s="1"/>
      <c r="BB1425" s="1"/>
      <c r="BC1425" s="1"/>
      <c r="BD1425" s="1"/>
      <c r="BE1425" s="1"/>
      <c r="BF1425" s="1"/>
      <c r="BG1425" s="1"/>
      <c r="BH1425" s="1"/>
      <c r="BI1425" s="1"/>
      <c r="BJ1425" s="1"/>
      <c r="BK1425" s="1"/>
      <c r="BL1425" s="1"/>
    </row>
    <row r="1426" spans="1:64" ht="12" customHeight="1" x14ac:dyDescent="0.15">
      <c r="A1426" s="34" t="s">
        <v>34044</v>
      </c>
      <c r="B1426" s="34">
        <v>36</v>
      </c>
      <c r="C1426" s="34" t="s">
        <v>14</v>
      </c>
      <c r="D1426" s="34" t="s">
        <v>24</v>
      </c>
      <c r="E1426" s="34"/>
      <c r="F1426" s="67">
        <v>43356</v>
      </c>
      <c r="G1426" s="34" t="s">
        <v>34045</v>
      </c>
      <c r="H1426" s="34" t="s">
        <v>1194</v>
      </c>
      <c r="I1426" s="34" t="s">
        <v>250</v>
      </c>
      <c r="J1426" s="34">
        <v>89014</v>
      </c>
      <c r="K1426" s="34" t="s">
        <v>527</v>
      </c>
      <c r="L1426" s="34" t="s">
        <v>1387</v>
      </c>
      <c r="M1426" s="34" t="s">
        <v>21</v>
      </c>
      <c r="N1426" s="34" t="s">
        <v>36436</v>
      </c>
      <c r="O1426" s="34" t="s">
        <v>372</v>
      </c>
      <c r="P1426" s="34" t="s">
        <v>30089</v>
      </c>
      <c r="Q1426" s="35" t="s">
        <v>34046</v>
      </c>
      <c r="R1426" s="34" t="s">
        <v>94</v>
      </c>
      <c r="S1426" s="34" t="s">
        <v>22</v>
      </c>
      <c r="T1426" s="36" t="s">
        <v>26612</v>
      </c>
      <c r="U1426" s="36" t="s">
        <v>26572</v>
      </c>
      <c r="V1426" s="36" t="s">
        <v>26573</v>
      </c>
      <c r="W1426" s="36" t="s">
        <v>512</v>
      </c>
      <c r="X1426" s="36">
        <v>4028</v>
      </c>
      <c r="Z1426" s="33" t="s">
        <v>42966</v>
      </c>
      <c r="AA1426" s="33">
        <v>6241</v>
      </c>
    </row>
    <row r="1427" spans="1:64" ht="12" customHeight="1" x14ac:dyDescent="0.15">
      <c r="A1427" s="34" t="s">
        <v>34052</v>
      </c>
      <c r="B1427" s="34">
        <v>32</v>
      </c>
      <c r="C1427" s="34" t="s">
        <v>14</v>
      </c>
      <c r="D1427" s="34" t="s">
        <v>42</v>
      </c>
      <c r="E1427" s="34"/>
      <c r="F1427" s="67">
        <v>43355</v>
      </c>
      <c r="G1427" s="34" t="s">
        <v>34053</v>
      </c>
      <c r="H1427" s="34" t="s">
        <v>12068</v>
      </c>
      <c r="I1427" s="34" t="s">
        <v>395</v>
      </c>
      <c r="J1427" s="34">
        <v>14213</v>
      </c>
      <c r="K1427" s="34" t="s">
        <v>7964</v>
      </c>
      <c r="L1427" s="34" t="s">
        <v>19235</v>
      </c>
      <c r="M1427" s="34" t="s">
        <v>21</v>
      </c>
      <c r="N1427" s="34" t="s">
        <v>34054</v>
      </c>
      <c r="O1427" s="34" t="s">
        <v>372</v>
      </c>
      <c r="P1427" s="34" t="s">
        <v>30089</v>
      </c>
      <c r="Q1427" s="35" t="s">
        <v>34055</v>
      </c>
      <c r="R1427" s="34" t="s">
        <v>94</v>
      </c>
      <c r="S1427" s="34" t="s">
        <v>22</v>
      </c>
      <c r="T1427" s="36" t="s">
        <v>26781</v>
      </c>
      <c r="U1427" s="36" t="s">
        <v>26572</v>
      </c>
      <c r="V1427" s="36" t="s">
        <v>26573</v>
      </c>
      <c r="W1427" s="36" t="s">
        <v>512</v>
      </c>
      <c r="X1427" s="36">
        <v>4026</v>
      </c>
      <c r="Z1427" s="33" t="s">
        <v>42966</v>
      </c>
      <c r="AA1427" s="33">
        <v>6238</v>
      </c>
    </row>
    <row r="1428" spans="1:64" ht="12" customHeight="1" x14ac:dyDescent="0.15">
      <c r="A1428" s="34" t="s">
        <v>34056</v>
      </c>
      <c r="B1428" s="34">
        <v>38</v>
      </c>
      <c r="C1428" s="34" t="s">
        <v>14</v>
      </c>
      <c r="D1428" s="34" t="s">
        <v>79</v>
      </c>
      <c r="E1428" s="34"/>
      <c r="F1428" s="67">
        <v>43355</v>
      </c>
      <c r="G1428" s="34" t="s">
        <v>34057</v>
      </c>
      <c r="H1428" s="34" t="s">
        <v>25537</v>
      </c>
      <c r="I1428" s="34" t="s">
        <v>198</v>
      </c>
      <c r="J1428" s="34">
        <v>46403</v>
      </c>
      <c r="K1428" s="34" t="s">
        <v>1179</v>
      </c>
      <c r="L1428" s="34" t="s">
        <v>25913</v>
      </c>
      <c r="M1428" s="34" t="s">
        <v>21</v>
      </c>
      <c r="N1428" s="34" t="s">
        <v>34058</v>
      </c>
      <c r="O1428" s="34" t="s">
        <v>372</v>
      </c>
      <c r="P1428" s="34" t="s">
        <v>30089</v>
      </c>
      <c r="Q1428" s="35" t="s">
        <v>34059</v>
      </c>
      <c r="R1428" s="34" t="s">
        <v>94</v>
      </c>
      <c r="S1428" s="34" t="s">
        <v>22</v>
      </c>
      <c r="T1428" s="36" t="s">
        <v>26781</v>
      </c>
      <c r="U1428" s="36" t="s">
        <v>26572</v>
      </c>
      <c r="V1428" s="36" t="s">
        <v>26573</v>
      </c>
      <c r="W1428" s="36" t="s">
        <v>94</v>
      </c>
      <c r="X1428" s="36">
        <v>4029</v>
      </c>
      <c r="Z1428" s="33" t="s">
        <v>42966</v>
      </c>
      <c r="AA1428" s="33">
        <v>6239</v>
      </c>
    </row>
    <row r="1429" spans="1:64" ht="12" customHeight="1" x14ac:dyDescent="0.15">
      <c r="A1429" s="34" t="s">
        <v>34047</v>
      </c>
      <c r="B1429" s="34">
        <v>31</v>
      </c>
      <c r="C1429" s="34" t="s">
        <v>14</v>
      </c>
      <c r="D1429" s="34" t="s">
        <v>31</v>
      </c>
      <c r="E1429" s="35" t="s">
        <v>34048</v>
      </c>
      <c r="F1429" s="67">
        <v>43355</v>
      </c>
      <c r="G1429" s="34" t="s">
        <v>34049</v>
      </c>
      <c r="H1429" s="34" t="s">
        <v>8495</v>
      </c>
      <c r="I1429" s="34" t="s">
        <v>160</v>
      </c>
      <c r="J1429" s="34">
        <v>30041</v>
      </c>
      <c r="K1429" s="34" t="s">
        <v>8497</v>
      </c>
      <c r="L1429" s="34" t="s">
        <v>10025</v>
      </c>
      <c r="M1429" s="34" t="s">
        <v>21</v>
      </c>
      <c r="N1429" s="34" t="s">
        <v>34050</v>
      </c>
      <c r="O1429" s="34" t="s">
        <v>372</v>
      </c>
      <c r="P1429" s="34" t="s">
        <v>30089</v>
      </c>
      <c r="Q1429" s="35" t="s">
        <v>34051</v>
      </c>
      <c r="R1429" s="34" t="s">
        <v>94</v>
      </c>
      <c r="S1429" s="34" t="s">
        <v>22</v>
      </c>
      <c r="T1429" s="36" t="s">
        <v>26781</v>
      </c>
      <c r="U1429" s="36" t="s">
        <v>26572</v>
      </c>
      <c r="V1429" s="36" t="s">
        <v>26573</v>
      </c>
      <c r="W1429" s="36" t="s">
        <v>94</v>
      </c>
      <c r="X1429" s="36">
        <v>4032</v>
      </c>
      <c r="Z1429" s="33" t="s">
        <v>42968</v>
      </c>
      <c r="AA1429" s="33">
        <v>6240</v>
      </c>
    </row>
    <row r="1430" spans="1:64" ht="12" customHeight="1" x14ac:dyDescent="0.15">
      <c r="A1430" s="34" t="s">
        <v>34060</v>
      </c>
      <c r="B1430" s="34">
        <v>57</v>
      </c>
      <c r="C1430" s="34" t="s">
        <v>14</v>
      </c>
      <c r="D1430" s="34" t="s">
        <v>31</v>
      </c>
      <c r="E1430" s="34"/>
      <c r="F1430" s="67">
        <v>43354</v>
      </c>
      <c r="G1430" s="34" t="s">
        <v>34061</v>
      </c>
      <c r="H1430" s="34" t="s">
        <v>7825</v>
      </c>
      <c r="I1430" s="34" t="s">
        <v>294</v>
      </c>
      <c r="J1430" s="34">
        <v>40324</v>
      </c>
      <c r="K1430" s="34" t="s">
        <v>6440</v>
      </c>
      <c r="L1430" s="34" t="s">
        <v>34062</v>
      </c>
      <c r="M1430" s="34" t="s">
        <v>21</v>
      </c>
      <c r="N1430" s="34" t="s">
        <v>34063</v>
      </c>
      <c r="O1430" s="34" t="s">
        <v>372</v>
      </c>
      <c r="P1430" s="34" t="s">
        <v>30089</v>
      </c>
      <c r="Q1430" s="35" t="s">
        <v>34064</v>
      </c>
      <c r="R1430" s="34" t="s">
        <v>94</v>
      </c>
      <c r="S1430" s="34" t="s">
        <v>22</v>
      </c>
      <c r="T1430" s="36" t="s">
        <v>26781</v>
      </c>
      <c r="U1430" s="36" t="s">
        <v>26572</v>
      </c>
      <c r="V1430" s="36"/>
      <c r="W1430" s="36" t="s">
        <v>94</v>
      </c>
      <c r="X1430" s="36">
        <v>4027</v>
      </c>
      <c r="Z1430" s="33" t="s">
        <v>42968</v>
      </c>
      <c r="AA1430" s="33">
        <v>6237</v>
      </c>
    </row>
    <row r="1431" spans="1:64" ht="12" customHeight="1" x14ac:dyDescent="0.15">
      <c r="A1431" s="34" t="s">
        <v>34065</v>
      </c>
      <c r="B1431" s="34">
        <v>53</v>
      </c>
      <c r="C1431" s="34" t="s">
        <v>14</v>
      </c>
      <c r="D1431" s="34" t="s">
        <v>24</v>
      </c>
      <c r="E1431" s="34"/>
      <c r="F1431" s="67">
        <v>43353</v>
      </c>
      <c r="G1431" s="34" t="s">
        <v>34066</v>
      </c>
      <c r="H1431" s="34" t="s">
        <v>518</v>
      </c>
      <c r="I1431" s="34" t="s">
        <v>112</v>
      </c>
      <c r="J1431" s="34">
        <v>85714</v>
      </c>
      <c r="K1431" s="34" t="s">
        <v>519</v>
      </c>
      <c r="L1431" s="34" t="s">
        <v>520</v>
      </c>
      <c r="M1431" s="34" t="s">
        <v>21</v>
      </c>
      <c r="N1431" s="34" t="s">
        <v>34067</v>
      </c>
      <c r="O1431" s="34" t="s">
        <v>372</v>
      </c>
      <c r="P1431" s="34" t="s">
        <v>30089</v>
      </c>
      <c r="Q1431" s="35" t="s">
        <v>34068</v>
      </c>
      <c r="R1431" s="36" t="s">
        <v>512</v>
      </c>
      <c r="S1431" s="34" t="s">
        <v>22</v>
      </c>
      <c r="T1431" s="36" t="s">
        <v>29419</v>
      </c>
      <c r="U1431" s="36" t="s">
        <v>26570</v>
      </c>
      <c r="V1431" s="36" t="s">
        <v>26573</v>
      </c>
      <c r="W1431" s="36" t="s">
        <v>94</v>
      </c>
      <c r="X1431" s="36">
        <v>4025</v>
      </c>
      <c r="Z1431" s="33" t="s">
        <v>42968</v>
      </c>
      <c r="AA1431" s="33">
        <v>6236</v>
      </c>
    </row>
    <row r="1432" spans="1:64" ht="12" customHeight="1" x14ac:dyDescent="0.15">
      <c r="A1432" s="34" t="s">
        <v>3002</v>
      </c>
      <c r="B1432" s="34" t="s">
        <v>23</v>
      </c>
      <c r="C1432" s="34" t="s">
        <v>14</v>
      </c>
      <c r="D1432" s="34" t="s">
        <v>31</v>
      </c>
      <c r="E1432" s="34"/>
      <c r="F1432" s="67">
        <v>43353</v>
      </c>
      <c r="G1432" s="34"/>
      <c r="H1432" s="34" t="s">
        <v>10701</v>
      </c>
      <c r="I1432" s="34" t="s">
        <v>282</v>
      </c>
      <c r="J1432" s="34"/>
      <c r="K1432" s="34"/>
      <c r="L1432" s="34"/>
      <c r="M1432" s="34" t="s">
        <v>21</v>
      </c>
      <c r="N1432" s="34"/>
      <c r="O1432" s="34" t="s">
        <v>372</v>
      </c>
      <c r="P1432" s="34" t="s">
        <v>30089</v>
      </c>
      <c r="Q1432" s="35"/>
      <c r="R1432" s="34"/>
      <c r="S1432" s="34" t="s">
        <v>22</v>
      </c>
      <c r="T1432" s="36" t="s">
        <v>26781</v>
      </c>
      <c r="U1432" s="36" t="s">
        <v>26570</v>
      </c>
      <c r="V1432" s="36" t="s">
        <v>26574</v>
      </c>
      <c r="W1432" s="36" t="s">
        <v>94</v>
      </c>
      <c r="X1432" s="36">
        <v>4019</v>
      </c>
      <c r="Z1432" s="33" t="e">
        <v>#N/A</v>
      </c>
      <c r="AA1432" s="33">
        <v>6235</v>
      </c>
    </row>
    <row r="1433" spans="1:64" ht="12" customHeight="1" x14ac:dyDescent="0.15">
      <c r="A1433" s="34" t="s">
        <v>34074</v>
      </c>
      <c r="B1433" s="34">
        <v>39</v>
      </c>
      <c r="C1433" s="34" t="s">
        <v>103</v>
      </c>
      <c r="D1433" s="34" t="s">
        <v>79</v>
      </c>
      <c r="E1433" s="34"/>
      <c r="F1433" s="67">
        <v>43352</v>
      </c>
      <c r="G1433" s="34" t="s">
        <v>34075</v>
      </c>
      <c r="H1433" s="34" t="s">
        <v>1295</v>
      </c>
      <c r="I1433" s="34" t="s">
        <v>67</v>
      </c>
      <c r="J1433" s="34">
        <v>77459</v>
      </c>
      <c r="K1433" s="34" t="s">
        <v>1296</v>
      </c>
      <c r="L1433" s="34" t="s">
        <v>34076</v>
      </c>
      <c r="M1433" s="34" t="s">
        <v>4966</v>
      </c>
      <c r="N1433" s="34" t="s">
        <v>34077</v>
      </c>
      <c r="O1433" s="34" t="s">
        <v>372</v>
      </c>
      <c r="P1433" s="34" t="s">
        <v>30089</v>
      </c>
      <c r="Q1433" s="35" t="s">
        <v>34078</v>
      </c>
      <c r="R1433" s="34" t="s">
        <v>94</v>
      </c>
      <c r="S1433" s="34" t="s">
        <v>22</v>
      </c>
      <c r="T1433" s="36" t="s">
        <v>29419</v>
      </c>
      <c r="U1433" s="36" t="s">
        <v>26570</v>
      </c>
      <c r="V1433" s="36" t="s">
        <v>26573</v>
      </c>
      <c r="W1433" s="36" t="s">
        <v>94</v>
      </c>
      <c r="X1433" s="36">
        <v>4020</v>
      </c>
      <c r="Z1433" s="33" t="s">
        <v>42968</v>
      </c>
      <c r="AA1433" s="33">
        <v>6233</v>
      </c>
    </row>
    <row r="1434" spans="1:64" ht="12" customHeight="1" x14ac:dyDescent="0.15">
      <c r="A1434" s="34" t="s">
        <v>3002</v>
      </c>
      <c r="B1434" s="34">
        <v>43</v>
      </c>
      <c r="C1434" s="34" t="s">
        <v>14</v>
      </c>
      <c r="D1434" s="34" t="s">
        <v>24</v>
      </c>
      <c r="E1434" s="34"/>
      <c r="F1434" s="67">
        <v>43352</v>
      </c>
      <c r="G1434" s="34" t="s">
        <v>34079</v>
      </c>
      <c r="H1434" s="34" t="s">
        <v>34080</v>
      </c>
      <c r="I1434" s="34" t="s">
        <v>282</v>
      </c>
      <c r="J1434" s="34">
        <v>98292</v>
      </c>
      <c r="K1434" s="34" t="s">
        <v>2004</v>
      </c>
      <c r="L1434" s="34" t="s">
        <v>2006</v>
      </c>
      <c r="M1434" s="34" t="s">
        <v>21</v>
      </c>
      <c r="N1434" s="34" t="s">
        <v>34081</v>
      </c>
      <c r="O1434" s="34" t="s">
        <v>372</v>
      </c>
      <c r="P1434" s="34" t="s">
        <v>30089</v>
      </c>
      <c r="Q1434" s="35" t="s">
        <v>34082</v>
      </c>
      <c r="R1434" s="34" t="s">
        <v>94</v>
      </c>
      <c r="S1434" s="34" t="s">
        <v>29</v>
      </c>
      <c r="T1434" s="36" t="s">
        <v>26576</v>
      </c>
      <c r="U1434" s="36" t="s">
        <v>26570</v>
      </c>
      <c r="V1434" s="36" t="s">
        <v>26573</v>
      </c>
      <c r="W1434" s="36" t="s">
        <v>94</v>
      </c>
      <c r="X1434" s="36">
        <v>4022</v>
      </c>
      <c r="Z1434" s="33" t="s">
        <v>42968</v>
      </c>
      <c r="AA1434" s="33">
        <v>6234</v>
      </c>
    </row>
    <row r="1435" spans="1:64" ht="12" customHeight="1" x14ac:dyDescent="0.15">
      <c r="A1435" s="34" t="s">
        <v>34069</v>
      </c>
      <c r="B1435" s="34">
        <v>24</v>
      </c>
      <c r="C1435" s="34" t="s">
        <v>14</v>
      </c>
      <c r="D1435" s="34" t="s">
        <v>79</v>
      </c>
      <c r="E1435" s="35" t="s">
        <v>34070</v>
      </c>
      <c r="F1435" s="67">
        <v>43352</v>
      </c>
      <c r="G1435" s="34" t="s">
        <v>34071</v>
      </c>
      <c r="H1435" s="34" t="s">
        <v>27</v>
      </c>
      <c r="I1435" s="34" t="s">
        <v>338</v>
      </c>
      <c r="J1435" s="34">
        <v>27858</v>
      </c>
      <c r="K1435" s="34" t="s">
        <v>770</v>
      </c>
      <c r="L1435" s="34" t="s">
        <v>771</v>
      </c>
      <c r="M1435" s="34" t="s">
        <v>21</v>
      </c>
      <c r="N1435" s="34" t="s">
        <v>34072</v>
      </c>
      <c r="O1435" s="34" t="s">
        <v>372</v>
      </c>
      <c r="P1435" s="34" t="s">
        <v>30089</v>
      </c>
      <c r="Q1435" s="35" t="s">
        <v>34073</v>
      </c>
      <c r="R1435" s="34" t="s">
        <v>94</v>
      </c>
      <c r="S1435" s="34" t="s">
        <v>22</v>
      </c>
      <c r="T1435" s="36" t="s">
        <v>26781</v>
      </c>
      <c r="U1435" s="36" t="s">
        <v>26572</v>
      </c>
      <c r="V1435" s="36" t="s">
        <v>26573</v>
      </c>
      <c r="W1435" s="36" t="s">
        <v>94</v>
      </c>
      <c r="X1435" s="36">
        <v>4021</v>
      </c>
      <c r="Z1435" s="33" t="s">
        <v>42968</v>
      </c>
      <c r="AA1435" s="33">
        <v>6232</v>
      </c>
    </row>
    <row r="1436" spans="1:64" ht="12" customHeight="1" x14ac:dyDescent="0.15">
      <c r="A1436" s="34" t="s">
        <v>27163</v>
      </c>
      <c r="B1436" s="34">
        <v>43</v>
      </c>
      <c r="C1436" s="34" t="s">
        <v>14</v>
      </c>
      <c r="D1436" s="34" t="s">
        <v>24</v>
      </c>
      <c r="E1436" s="34"/>
      <c r="F1436" s="67">
        <v>43351</v>
      </c>
      <c r="G1436" s="34" t="s">
        <v>34083</v>
      </c>
      <c r="H1436" s="34" t="s">
        <v>674</v>
      </c>
      <c r="I1436" s="34" t="s">
        <v>67</v>
      </c>
      <c r="J1436" s="34">
        <v>77058</v>
      </c>
      <c r="K1436" s="34" t="s">
        <v>515</v>
      </c>
      <c r="L1436" s="34" t="s">
        <v>675</v>
      </c>
      <c r="M1436" s="34" t="s">
        <v>21</v>
      </c>
      <c r="N1436" s="34" t="s">
        <v>34084</v>
      </c>
      <c r="O1436" s="34" t="s">
        <v>372</v>
      </c>
      <c r="P1436" s="34" t="s">
        <v>30089</v>
      </c>
      <c r="Q1436" s="35" t="s">
        <v>34085</v>
      </c>
      <c r="R1436" s="34" t="s">
        <v>94</v>
      </c>
      <c r="S1436" s="34" t="s">
        <v>22</v>
      </c>
      <c r="T1436" s="36" t="s">
        <v>26781</v>
      </c>
      <c r="U1436" s="36" t="s">
        <v>26572</v>
      </c>
      <c r="V1436" s="36" t="s">
        <v>26573</v>
      </c>
      <c r="W1436" s="36"/>
      <c r="X1436" s="36"/>
      <c r="Z1436" s="33" t="s">
        <v>42968</v>
      </c>
      <c r="AA1436" s="33">
        <v>6231</v>
      </c>
    </row>
    <row r="1437" spans="1:64" ht="12" customHeight="1" x14ac:dyDescent="0.15">
      <c r="A1437" s="34" t="s">
        <v>34086</v>
      </c>
      <c r="B1437" s="34">
        <v>28</v>
      </c>
      <c r="C1437" s="34" t="s">
        <v>14</v>
      </c>
      <c r="D1437" s="34" t="s">
        <v>79</v>
      </c>
      <c r="E1437" s="35" t="s">
        <v>34087</v>
      </c>
      <c r="F1437" s="67">
        <v>43350</v>
      </c>
      <c r="G1437" s="34" t="s">
        <v>34088</v>
      </c>
      <c r="H1437" s="34" t="s">
        <v>15294</v>
      </c>
      <c r="I1437" s="34" t="s">
        <v>435</v>
      </c>
      <c r="J1437" s="34">
        <v>2861</v>
      </c>
      <c r="K1437" s="34" t="s">
        <v>434</v>
      </c>
      <c r="L1437" s="34" t="s">
        <v>15296</v>
      </c>
      <c r="M1437" s="34" t="s">
        <v>21</v>
      </c>
      <c r="N1437" s="34" t="s">
        <v>34089</v>
      </c>
      <c r="O1437" s="34" t="s">
        <v>372</v>
      </c>
      <c r="P1437" s="34" t="s">
        <v>30089</v>
      </c>
      <c r="Q1437" s="35" t="s">
        <v>34090</v>
      </c>
      <c r="R1437" s="34" t="s">
        <v>94</v>
      </c>
      <c r="S1437" s="34" t="s">
        <v>22</v>
      </c>
      <c r="T1437" s="36" t="s">
        <v>26781</v>
      </c>
      <c r="U1437" s="36" t="s">
        <v>26570</v>
      </c>
      <c r="V1437" s="36"/>
      <c r="W1437" s="36" t="s">
        <v>94</v>
      </c>
      <c r="X1437" s="36">
        <v>4023</v>
      </c>
      <c r="Z1437" s="33" t="s">
        <v>42966</v>
      </c>
      <c r="AA1437" s="33">
        <v>6228</v>
      </c>
    </row>
    <row r="1438" spans="1:64" ht="12" customHeight="1" x14ac:dyDescent="0.15">
      <c r="A1438" s="34" t="s">
        <v>34091</v>
      </c>
      <c r="B1438" s="34">
        <v>34</v>
      </c>
      <c r="C1438" s="34" t="s">
        <v>14</v>
      </c>
      <c r="D1438" s="34" t="s">
        <v>24</v>
      </c>
      <c r="E1438" s="34"/>
      <c r="F1438" s="67">
        <v>43350</v>
      </c>
      <c r="G1438" s="34" t="s">
        <v>34092</v>
      </c>
      <c r="H1438" s="34" t="s">
        <v>27</v>
      </c>
      <c r="I1438" s="34" t="s">
        <v>621</v>
      </c>
      <c r="J1438" s="34">
        <v>38701</v>
      </c>
      <c r="K1438" s="34" t="s">
        <v>107</v>
      </c>
      <c r="L1438" s="34" t="s">
        <v>771</v>
      </c>
      <c r="M1438" s="34" t="s">
        <v>21</v>
      </c>
      <c r="N1438" s="34" t="s">
        <v>34093</v>
      </c>
      <c r="O1438" s="34" t="s">
        <v>372</v>
      </c>
      <c r="P1438" s="34" t="s">
        <v>30089</v>
      </c>
      <c r="Q1438" s="35" t="s">
        <v>34094</v>
      </c>
      <c r="R1438" s="34" t="s">
        <v>94</v>
      </c>
      <c r="S1438" s="34" t="s">
        <v>22</v>
      </c>
      <c r="T1438" s="36" t="s">
        <v>26576</v>
      </c>
      <c r="U1438" s="36" t="s">
        <v>26572</v>
      </c>
      <c r="V1438" s="36"/>
      <c r="W1438" s="36"/>
      <c r="X1438" s="36"/>
      <c r="Z1438" s="33" t="s">
        <v>42968</v>
      </c>
      <c r="AA1438" s="33">
        <v>6230</v>
      </c>
    </row>
    <row r="1439" spans="1:64" ht="12" customHeight="1" x14ac:dyDescent="0.15">
      <c r="A1439" s="34" t="s">
        <v>34095</v>
      </c>
      <c r="B1439" s="34">
        <v>63</v>
      </c>
      <c r="C1439" s="34" t="s">
        <v>14</v>
      </c>
      <c r="D1439" s="34" t="s">
        <v>31</v>
      </c>
      <c r="E1439" s="35" t="s">
        <v>34096</v>
      </c>
      <c r="F1439" s="67">
        <v>43350</v>
      </c>
      <c r="G1439" s="34" t="s">
        <v>34097</v>
      </c>
      <c r="H1439" s="34" t="s">
        <v>12669</v>
      </c>
      <c r="I1439" s="34" t="s">
        <v>88</v>
      </c>
      <c r="J1439" s="34">
        <v>36522</v>
      </c>
      <c r="K1439" s="34" t="s">
        <v>12671</v>
      </c>
      <c r="L1439" s="34" t="s">
        <v>34098</v>
      </c>
      <c r="M1439" s="34" t="s">
        <v>21</v>
      </c>
      <c r="N1439" s="34" t="s">
        <v>34099</v>
      </c>
      <c r="O1439" s="34" t="s">
        <v>372</v>
      </c>
      <c r="P1439" s="34" t="s">
        <v>30089</v>
      </c>
      <c r="Q1439" s="35" t="s">
        <v>34100</v>
      </c>
      <c r="R1439" s="34" t="s">
        <v>94</v>
      </c>
      <c r="S1439" s="34" t="s">
        <v>22</v>
      </c>
      <c r="T1439" s="36" t="s">
        <v>26781</v>
      </c>
      <c r="U1439" s="36" t="s">
        <v>26572</v>
      </c>
      <c r="V1439" s="36" t="s">
        <v>26573</v>
      </c>
      <c r="W1439" s="36" t="s">
        <v>94</v>
      </c>
      <c r="X1439" s="36">
        <v>4024</v>
      </c>
      <c r="Z1439" s="33" t="s">
        <v>42967</v>
      </c>
      <c r="AA1439" s="33">
        <v>6229</v>
      </c>
    </row>
    <row r="1440" spans="1:64" ht="12" customHeight="1" x14ac:dyDescent="0.15">
      <c r="A1440" s="34" t="s">
        <v>34116</v>
      </c>
      <c r="B1440" s="34">
        <v>30</v>
      </c>
      <c r="C1440" s="34" t="s">
        <v>14</v>
      </c>
      <c r="D1440" s="34" t="s">
        <v>31</v>
      </c>
      <c r="E1440" s="35" t="s">
        <v>34117</v>
      </c>
      <c r="F1440" s="67">
        <v>43349</v>
      </c>
      <c r="G1440" s="34" t="s">
        <v>34118</v>
      </c>
      <c r="H1440" s="34" t="s">
        <v>25778</v>
      </c>
      <c r="I1440" s="34" t="s">
        <v>160</v>
      </c>
      <c r="J1440" s="34">
        <v>31788</v>
      </c>
      <c r="K1440" s="34" t="s">
        <v>25779</v>
      </c>
      <c r="L1440" s="34" t="s">
        <v>25780</v>
      </c>
      <c r="M1440" s="34" t="s">
        <v>21</v>
      </c>
      <c r="N1440" s="34" t="s">
        <v>34119</v>
      </c>
      <c r="O1440" s="34" t="s">
        <v>372</v>
      </c>
      <c r="P1440" s="34" t="s">
        <v>30089</v>
      </c>
      <c r="Q1440" s="35" t="s">
        <v>34120</v>
      </c>
      <c r="R1440" s="34" t="s">
        <v>94</v>
      </c>
      <c r="S1440" s="34" t="s">
        <v>22</v>
      </c>
      <c r="T1440" s="36" t="s">
        <v>26781</v>
      </c>
      <c r="U1440" s="36" t="s">
        <v>26572</v>
      </c>
      <c r="V1440" s="36" t="s">
        <v>26571</v>
      </c>
      <c r="W1440" s="36"/>
      <c r="X1440" s="36"/>
      <c r="Z1440" s="33" t="s">
        <v>42967</v>
      </c>
      <c r="AA1440" s="33">
        <v>6225</v>
      </c>
    </row>
    <row r="1441" spans="1:27" ht="12" customHeight="1" x14ac:dyDescent="0.15">
      <c r="A1441" s="34" t="s">
        <v>34121</v>
      </c>
      <c r="B1441" s="34">
        <v>49</v>
      </c>
      <c r="C1441" s="34" t="s">
        <v>103</v>
      </c>
      <c r="D1441" s="34" t="s">
        <v>31</v>
      </c>
      <c r="E1441" s="35" t="s">
        <v>34122</v>
      </c>
      <c r="F1441" s="67">
        <v>43349</v>
      </c>
      <c r="G1441" s="34" t="s">
        <v>34123</v>
      </c>
      <c r="H1441" s="34" t="s">
        <v>4843</v>
      </c>
      <c r="I1441" s="34" t="s">
        <v>67</v>
      </c>
      <c r="J1441" s="34">
        <v>77551</v>
      </c>
      <c r="K1441" s="34" t="s">
        <v>4843</v>
      </c>
      <c r="L1441" s="34" t="s">
        <v>20720</v>
      </c>
      <c r="M1441" s="34" t="s">
        <v>21</v>
      </c>
      <c r="N1441" s="34" t="s">
        <v>34124</v>
      </c>
      <c r="O1441" s="34" t="s">
        <v>372</v>
      </c>
      <c r="P1441" s="34" t="s">
        <v>30089</v>
      </c>
      <c r="Q1441" s="35" t="s">
        <v>34125</v>
      </c>
      <c r="R1441" s="34" t="s">
        <v>94</v>
      </c>
      <c r="S1441" s="34" t="s">
        <v>22</v>
      </c>
      <c r="T1441" s="36" t="s">
        <v>26781</v>
      </c>
      <c r="U1441" s="36" t="s">
        <v>26572</v>
      </c>
      <c r="V1441" s="36"/>
      <c r="W1441" s="36"/>
      <c r="X1441" s="36"/>
      <c r="Z1441" s="33" t="s">
        <v>42968</v>
      </c>
      <c r="AA1441" s="33">
        <v>6223</v>
      </c>
    </row>
    <row r="1442" spans="1:27" ht="12" customHeight="1" x14ac:dyDescent="0.15">
      <c r="A1442" s="34" t="s">
        <v>34111</v>
      </c>
      <c r="B1442" s="34">
        <v>29</v>
      </c>
      <c r="C1442" s="34" t="s">
        <v>14</v>
      </c>
      <c r="D1442" s="34" t="s">
        <v>42</v>
      </c>
      <c r="E1442" s="35" t="s">
        <v>34112</v>
      </c>
      <c r="F1442" s="67">
        <v>43349</v>
      </c>
      <c r="G1442" s="34" t="s">
        <v>34113</v>
      </c>
      <c r="H1442" s="34" t="s">
        <v>504</v>
      </c>
      <c r="I1442" s="34" t="s">
        <v>63</v>
      </c>
      <c r="J1442" s="34">
        <v>45202</v>
      </c>
      <c r="K1442" s="34" t="s">
        <v>505</v>
      </c>
      <c r="L1442" s="34" t="s">
        <v>506</v>
      </c>
      <c r="M1442" s="34" t="s">
        <v>21</v>
      </c>
      <c r="N1442" s="34" t="s">
        <v>34114</v>
      </c>
      <c r="O1442" s="34" t="s">
        <v>372</v>
      </c>
      <c r="P1442" s="34" t="s">
        <v>30089</v>
      </c>
      <c r="Q1442" s="35" t="s">
        <v>34115</v>
      </c>
      <c r="R1442" s="34" t="s">
        <v>94</v>
      </c>
      <c r="S1442" s="34" t="s">
        <v>22</v>
      </c>
      <c r="T1442" s="36" t="s">
        <v>26781</v>
      </c>
      <c r="U1442" s="36" t="s">
        <v>26572</v>
      </c>
      <c r="V1442" s="36" t="s">
        <v>26573</v>
      </c>
      <c r="W1442" s="36"/>
      <c r="X1442" s="36"/>
      <c r="Z1442" s="33" t="s">
        <v>42966</v>
      </c>
      <c r="AA1442" s="33">
        <v>6224</v>
      </c>
    </row>
    <row r="1443" spans="1:27" ht="12" customHeight="1" x14ac:dyDescent="0.15">
      <c r="A1443" s="34" t="s">
        <v>34101</v>
      </c>
      <c r="B1443" s="34">
        <v>19</v>
      </c>
      <c r="C1443" s="34" t="s">
        <v>14</v>
      </c>
      <c r="D1443" s="34" t="s">
        <v>79</v>
      </c>
      <c r="E1443" s="35" t="s">
        <v>34102</v>
      </c>
      <c r="F1443" s="67">
        <v>43349</v>
      </c>
      <c r="G1443" s="34" t="s">
        <v>34103</v>
      </c>
      <c r="H1443" s="34" t="s">
        <v>1537</v>
      </c>
      <c r="I1443" s="34" t="s">
        <v>39</v>
      </c>
      <c r="J1443" s="34">
        <v>95818</v>
      </c>
      <c r="K1443" s="34" t="s">
        <v>1537</v>
      </c>
      <c r="L1443" s="34" t="s">
        <v>2166</v>
      </c>
      <c r="M1443" s="34" t="s">
        <v>21</v>
      </c>
      <c r="N1443" s="34" t="s">
        <v>34104</v>
      </c>
      <c r="O1443" s="34" t="s">
        <v>372</v>
      </c>
      <c r="P1443" s="34" t="s">
        <v>30089</v>
      </c>
      <c r="Q1443" s="35" t="s">
        <v>34105</v>
      </c>
      <c r="R1443" s="34" t="s">
        <v>94</v>
      </c>
      <c r="S1443" s="34" t="s">
        <v>12</v>
      </c>
      <c r="T1443" s="36" t="s">
        <v>29425</v>
      </c>
      <c r="U1443" s="36" t="s">
        <v>26572</v>
      </c>
      <c r="V1443" s="36" t="s">
        <v>26574</v>
      </c>
      <c r="W1443" s="36" t="s">
        <v>94</v>
      </c>
      <c r="X1443" s="36">
        <v>4017</v>
      </c>
      <c r="Z1443" s="33" t="s">
        <v>42966</v>
      </c>
      <c r="AA1443" s="33">
        <v>6226</v>
      </c>
    </row>
    <row r="1444" spans="1:27" ht="12" customHeight="1" x14ac:dyDescent="0.15">
      <c r="A1444" s="34" t="s">
        <v>34106</v>
      </c>
      <c r="B1444" s="34">
        <v>26</v>
      </c>
      <c r="C1444" s="34" t="s">
        <v>14</v>
      </c>
      <c r="D1444" s="34" t="s">
        <v>79</v>
      </c>
      <c r="E1444" s="35" t="s">
        <v>34107</v>
      </c>
      <c r="F1444" s="67">
        <v>43349</v>
      </c>
      <c r="G1444" s="34" t="s">
        <v>34108</v>
      </c>
      <c r="H1444" s="34" t="s">
        <v>266</v>
      </c>
      <c r="I1444" s="34" t="s">
        <v>67</v>
      </c>
      <c r="J1444" s="34">
        <v>75215</v>
      </c>
      <c r="K1444" s="34" t="s">
        <v>266</v>
      </c>
      <c r="L1444" s="34" t="s">
        <v>267</v>
      </c>
      <c r="M1444" s="34" t="s">
        <v>21</v>
      </c>
      <c r="N1444" s="34" t="s">
        <v>34109</v>
      </c>
      <c r="O1444" s="34" t="s">
        <v>23118</v>
      </c>
      <c r="P1444" s="34" t="s">
        <v>1084</v>
      </c>
      <c r="Q1444" s="35" t="s">
        <v>34110</v>
      </c>
      <c r="R1444" s="34" t="s">
        <v>94</v>
      </c>
      <c r="S1444" s="34" t="s">
        <v>12</v>
      </c>
      <c r="T1444" s="36" t="s">
        <v>29705</v>
      </c>
      <c r="U1444" s="36" t="s">
        <v>26570</v>
      </c>
      <c r="V1444" s="36" t="s">
        <v>26573</v>
      </c>
      <c r="W1444" s="36"/>
      <c r="X1444" s="36"/>
      <c r="Y1444" s="33" t="s">
        <v>42476</v>
      </c>
      <c r="Z1444" s="33" t="s">
        <v>42966</v>
      </c>
      <c r="AA1444" s="33">
        <v>6227</v>
      </c>
    </row>
    <row r="1445" spans="1:27" ht="12" customHeight="1" x14ac:dyDescent="0.15">
      <c r="A1445" s="34" t="s">
        <v>34126</v>
      </c>
      <c r="B1445" s="34">
        <v>23</v>
      </c>
      <c r="C1445" s="34" t="s">
        <v>14</v>
      </c>
      <c r="D1445" s="34" t="s">
        <v>79</v>
      </c>
      <c r="E1445" s="34"/>
      <c r="F1445" s="67">
        <v>43348</v>
      </c>
      <c r="G1445" s="34" t="s">
        <v>34127</v>
      </c>
      <c r="H1445" s="34" t="s">
        <v>5887</v>
      </c>
      <c r="I1445" s="34" t="s">
        <v>56</v>
      </c>
      <c r="J1445" s="34">
        <v>33023</v>
      </c>
      <c r="K1445" s="34" t="s">
        <v>1052</v>
      </c>
      <c r="L1445" s="34" t="s">
        <v>5889</v>
      </c>
      <c r="M1445" s="34" t="s">
        <v>21</v>
      </c>
      <c r="N1445" s="34" t="s">
        <v>34128</v>
      </c>
      <c r="O1445" s="34" t="s">
        <v>372</v>
      </c>
      <c r="P1445" s="34" t="s">
        <v>30089</v>
      </c>
      <c r="Q1445" s="35" t="s">
        <v>34129</v>
      </c>
      <c r="R1445" s="34" t="s">
        <v>94</v>
      </c>
      <c r="S1445" s="34" t="s">
        <v>12</v>
      </c>
      <c r="T1445" s="36" t="s">
        <v>29705</v>
      </c>
      <c r="U1445" s="36" t="s">
        <v>26575</v>
      </c>
      <c r="V1445" s="36" t="s">
        <v>26573</v>
      </c>
      <c r="W1445" s="36" t="s">
        <v>94</v>
      </c>
      <c r="X1445" s="36">
        <v>4013</v>
      </c>
      <c r="Z1445" s="33" t="s">
        <v>42968</v>
      </c>
      <c r="AA1445" s="33">
        <v>6221</v>
      </c>
    </row>
    <row r="1446" spans="1:27" ht="12" customHeight="1" x14ac:dyDescent="0.15">
      <c r="A1446" s="34" t="s">
        <v>34130</v>
      </c>
      <c r="B1446" s="34">
        <v>33</v>
      </c>
      <c r="C1446" s="34" t="s">
        <v>14</v>
      </c>
      <c r="D1446" s="34" t="s">
        <v>31</v>
      </c>
      <c r="E1446" s="35" t="s">
        <v>34131</v>
      </c>
      <c r="F1446" s="67">
        <v>43348</v>
      </c>
      <c r="G1446" s="34" t="s">
        <v>34132</v>
      </c>
      <c r="H1446" s="34" t="s">
        <v>34133</v>
      </c>
      <c r="I1446" s="34" t="s">
        <v>88</v>
      </c>
      <c r="J1446" s="34">
        <v>35116</v>
      </c>
      <c r="K1446" s="34" t="s">
        <v>1659</v>
      </c>
      <c r="L1446" s="34" t="s">
        <v>34134</v>
      </c>
      <c r="M1446" s="34" t="s">
        <v>21</v>
      </c>
      <c r="N1446" s="34" t="s">
        <v>34135</v>
      </c>
      <c r="O1446" s="34" t="s">
        <v>372</v>
      </c>
      <c r="P1446" s="34" t="s">
        <v>30089</v>
      </c>
      <c r="Q1446" s="35" t="s">
        <v>34136</v>
      </c>
      <c r="R1446" s="34" t="s">
        <v>94</v>
      </c>
      <c r="S1446" s="34" t="s">
        <v>29</v>
      </c>
      <c r="T1446" s="36" t="s">
        <v>26575</v>
      </c>
      <c r="U1446" s="36" t="s">
        <v>26575</v>
      </c>
      <c r="V1446" s="36" t="s">
        <v>26571</v>
      </c>
      <c r="W1446" s="36" t="s">
        <v>94</v>
      </c>
      <c r="X1446" s="36">
        <v>4014</v>
      </c>
      <c r="Z1446" s="33" t="s">
        <v>42967</v>
      </c>
      <c r="AA1446" s="33">
        <v>6222</v>
      </c>
    </row>
    <row r="1447" spans="1:27" ht="12" customHeight="1" x14ac:dyDescent="0.15">
      <c r="A1447" s="34" t="s">
        <v>34137</v>
      </c>
      <c r="B1447" s="34">
        <v>45</v>
      </c>
      <c r="C1447" s="34" t="s">
        <v>14</v>
      </c>
      <c r="D1447" s="34" t="s">
        <v>31</v>
      </c>
      <c r="E1447" s="34"/>
      <c r="F1447" s="67">
        <v>43348</v>
      </c>
      <c r="G1447" s="34" t="s">
        <v>34138</v>
      </c>
      <c r="H1447" s="34" t="s">
        <v>34139</v>
      </c>
      <c r="I1447" s="34" t="s">
        <v>338</v>
      </c>
      <c r="J1447" s="34">
        <v>28642</v>
      </c>
      <c r="K1447" s="34" t="s">
        <v>1550</v>
      </c>
      <c r="L1447" s="34" t="s">
        <v>34140</v>
      </c>
      <c r="M1447" s="34" t="s">
        <v>21</v>
      </c>
      <c r="N1447" s="34" t="s">
        <v>34141</v>
      </c>
      <c r="O1447" s="34" t="s">
        <v>372</v>
      </c>
      <c r="P1447" s="34" t="s">
        <v>30089</v>
      </c>
      <c r="Q1447" s="35" t="s">
        <v>34142</v>
      </c>
      <c r="R1447" s="34" t="s">
        <v>94</v>
      </c>
      <c r="S1447" s="34" t="s">
        <v>22</v>
      </c>
      <c r="T1447" s="36" t="s">
        <v>26781</v>
      </c>
      <c r="U1447" s="36" t="s">
        <v>26572</v>
      </c>
      <c r="V1447" s="36" t="s">
        <v>26573</v>
      </c>
      <c r="W1447" s="36" t="s">
        <v>94</v>
      </c>
      <c r="X1447" s="36">
        <v>4018</v>
      </c>
      <c r="Z1447" s="33" t="s">
        <v>42967</v>
      </c>
      <c r="AA1447" s="33">
        <v>6220</v>
      </c>
    </row>
    <row r="1448" spans="1:27" ht="12" customHeight="1" x14ac:dyDescent="0.15">
      <c r="A1448" s="34" t="s">
        <v>34143</v>
      </c>
      <c r="B1448" s="34">
        <v>27</v>
      </c>
      <c r="C1448" s="34" t="s">
        <v>14</v>
      </c>
      <c r="D1448" s="34" t="s">
        <v>31</v>
      </c>
      <c r="E1448" s="35" t="s">
        <v>34144</v>
      </c>
      <c r="F1448" s="67">
        <v>43347</v>
      </c>
      <c r="G1448" s="34" t="s">
        <v>34145</v>
      </c>
      <c r="H1448" s="34" t="s">
        <v>21113</v>
      </c>
      <c r="I1448" s="34" t="s">
        <v>192</v>
      </c>
      <c r="J1448" s="34">
        <v>80031</v>
      </c>
      <c r="K1448" s="34" t="s">
        <v>1790</v>
      </c>
      <c r="L1448" s="34" t="s">
        <v>21114</v>
      </c>
      <c r="M1448" s="34" t="s">
        <v>21</v>
      </c>
      <c r="N1448" s="34" t="s">
        <v>34146</v>
      </c>
      <c r="O1448" s="34" t="s">
        <v>372</v>
      </c>
      <c r="P1448" s="34" t="s">
        <v>30089</v>
      </c>
      <c r="Q1448" s="35" t="s">
        <v>34147</v>
      </c>
      <c r="R1448" s="34" t="s">
        <v>94</v>
      </c>
      <c r="S1448" s="34" t="s">
        <v>22</v>
      </c>
      <c r="T1448" s="36" t="s">
        <v>26774</v>
      </c>
      <c r="U1448" s="36" t="s">
        <v>26572</v>
      </c>
      <c r="V1448" s="36" t="s">
        <v>26573</v>
      </c>
      <c r="W1448" s="36" t="s">
        <v>94</v>
      </c>
      <c r="X1448" s="36">
        <v>4015</v>
      </c>
      <c r="Z1448" s="33" t="s">
        <v>42968</v>
      </c>
      <c r="AA1448" s="33">
        <v>6219</v>
      </c>
    </row>
    <row r="1449" spans="1:27" ht="12" customHeight="1" x14ac:dyDescent="0.15">
      <c r="A1449" s="34" t="s">
        <v>34153</v>
      </c>
      <c r="B1449" s="34">
        <v>40</v>
      </c>
      <c r="C1449" s="34" t="s">
        <v>14</v>
      </c>
      <c r="D1449" s="34" t="s">
        <v>31</v>
      </c>
      <c r="E1449" s="35" t="s">
        <v>34154</v>
      </c>
      <c r="F1449" s="67">
        <v>43346</v>
      </c>
      <c r="G1449" s="34" t="s">
        <v>34155</v>
      </c>
      <c r="H1449" s="34" t="s">
        <v>34156</v>
      </c>
      <c r="I1449" s="34" t="s">
        <v>282</v>
      </c>
      <c r="J1449" s="34">
        <v>99004</v>
      </c>
      <c r="K1449" s="34" t="s">
        <v>782</v>
      </c>
      <c r="L1449" s="34" t="s">
        <v>34157</v>
      </c>
      <c r="M1449" s="34" t="s">
        <v>21</v>
      </c>
      <c r="N1449" s="34" t="s">
        <v>34158</v>
      </c>
      <c r="O1449" s="34" t="s">
        <v>372</v>
      </c>
      <c r="P1449" s="34" t="s">
        <v>30089</v>
      </c>
      <c r="Q1449" s="35" t="s">
        <v>34159</v>
      </c>
      <c r="R1449" s="34" t="s">
        <v>23</v>
      </c>
      <c r="S1449" s="34" t="s">
        <v>22</v>
      </c>
      <c r="T1449" s="36" t="s">
        <v>26774</v>
      </c>
      <c r="U1449" s="36" t="s">
        <v>26570</v>
      </c>
      <c r="V1449" s="36" t="s">
        <v>26573</v>
      </c>
      <c r="W1449" s="36" t="s">
        <v>94</v>
      </c>
      <c r="X1449" s="36">
        <v>4008</v>
      </c>
      <c r="Z1449" s="33" t="s">
        <v>42967</v>
      </c>
      <c r="AA1449" s="33">
        <v>6217</v>
      </c>
    </row>
    <row r="1450" spans="1:27" ht="12" customHeight="1" x14ac:dyDescent="0.15">
      <c r="A1450" s="34" t="s">
        <v>34148</v>
      </c>
      <c r="B1450" s="34">
        <v>21</v>
      </c>
      <c r="C1450" s="34" t="s">
        <v>14</v>
      </c>
      <c r="D1450" s="34" t="s">
        <v>79</v>
      </c>
      <c r="E1450" s="34"/>
      <c r="F1450" s="67">
        <v>43346</v>
      </c>
      <c r="G1450" s="34" t="s">
        <v>34149</v>
      </c>
      <c r="H1450" s="34" t="s">
        <v>1164</v>
      </c>
      <c r="I1450" s="34" t="s">
        <v>160</v>
      </c>
      <c r="J1450" s="34">
        <v>30014</v>
      </c>
      <c r="K1450" s="34" t="s">
        <v>1249</v>
      </c>
      <c r="L1450" s="34" t="s">
        <v>34150</v>
      </c>
      <c r="M1450" s="34" t="s">
        <v>21</v>
      </c>
      <c r="N1450" s="34" t="s">
        <v>34151</v>
      </c>
      <c r="O1450" s="34" t="s">
        <v>372</v>
      </c>
      <c r="P1450" s="34" t="s">
        <v>30089</v>
      </c>
      <c r="Q1450" s="35" t="s">
        <v>34152</v>
      </c>
      <c r="R1450" s="34" t="s">
        <v>94</v>
      </c>
      <c r="S1450" s="34" t="s">
        <v>22</v>
      </c>
      <c r="T1450" s="36" t="s">
        <v>26781</v>
      </c>
      <c r="U1450" s="36" t="s">
        <v>26572</v>
      </c>
      <c r="V1450" s="36" t="s">
        <v>26574</v>
      </c>
      <c r="W1450" s="36" t="s">
        <v>94</v>
      </c>
      <c r="X1450" s="36">
        <v>4009</v>
      </c>
      <c r="Z1450" s="33" t="s">
        <v>42968</v>
      </c>
      <c r="AA1450" s="33">
        <v>6216</v>
      </c>
    </row>
    <row r="1451" spans="1:27" ht="12" customHeight="1" x14ac:dyDescent="0.15">
      <c r="A1451" s="34" t="s">
        <v>35804</v>
      </c>
      <c r="B1451" s="34">
        <v>42</v>
      </c>
      <c r="C1451" s="34" t="s">
        <v>103</v>
      </c>
      <c r="D1451" s="34" t="s">
        <v>31</v>
      </c>
      <c r="E1451" s="35" t="s">
        <v>35805</v>
      </c>
      <c r="F1451" s="67">
        <v>43346</v>
      </c>
      <c r="G1451" s="34" t="s">
        <v>34160</v>
      </c>
      <c r="H1451" s="34" t="s">
        <v>404</v>
      </c>
      <c r="I1451" s="34" t="s">
        <v>39</v>
      </c>
      <c r="J1451" s="34">
        <v>95642</v>
      </c>
      <c r="K1451" s="34" t="s">
        <v>34161</v>
      </c>
      <c r="L1451" s="34" t="s">
        <v>897</v>
      </c>
      <c r="M1451" s="34" t="s">
        <v>21</v>
      </c>
      <c r="N1451" s="34" t="s">
        <v>34162</v>
      </c>
      <c r="O1451" s="34" t="s">
        <v>23116</v>
      </c>
      <c r="P1451" s="34" t="s">
        <v>30089</v>
      </c>
      <c r="Q1451" s="35" t="s">
        <v>34163</v>
      </c>
      <c r="R1451" s="34" t="s">
        <v>94</v>
      </c>
      <c r="S1451" s="34" t="s">
        <v>12</v>
      </c>
      <c r="T1451" s="34" t="s">
        <v>29705</v>
      </c>
      <c r="U1451" s="34" t="s">
        <v>26570</v>
      </c>
      <c r="V1451" s="34" t="s">
        <v>26573</v>
      </c>
      <c r="W1451" s="36"/>
      <c r="X1451" s="36"/>
      <c r="Y1451" s="33" t="s">
        <v>42476</v>
      </c>
      <c r="Z1451" s="33" t="s">
        <v>42967</v>
      </c>
      <c r="AA1451" s="33">
        <v>6218</v>
      </c>
    </row>
    <row r="1452" spans="1:27" ht="12" customHeight="1" x14ac:dyDescent="0.15">
      <c r="A1452" s="34" t="s">
        <v>34164</v>
      </c>
      <c r="B1452" s="34">
        <v>70</v>
      </c>
      <c r="C1452" s="34" t="s">
        <v>14</v>
      </c>
      <c r="D1452" s="34" t="s">
        <v>42</v>
      </c>
      <c r="E1452" s="34"/>
      <c r="F1452" s="67">
        <v>43346</v>
      </c>
      <c r="G1452" s="34" t="s">
        <v>34165</v>
      </c>
      <c r="H1452" s="34" t="s">
        <v>433</v>
      </c>
      <c r="I1452" s="34" t="s">
        <v>178</v>
      </c>
      <c r="J1452" s="34">
        <v>87004</v>
      </c>
      <c r="K1452" s="34" t="s">
        <v>18155</v>
      </c>
      <c r="L1452" s="34" t="s">
        <v>34166</v>
      </c>
      <c r="M1452" s="34" t="s">
        <v>21</v>
      </c>
      <c r="N1452" s="34" t="s">
        <v>34167</v>
      </c>
      <c r="O1452" s="34" t="s">
        <v>372</v>
      </c>
      <c r="P1452" s="34" t="s">
        <v>30089</v>
      </c>
      <c r="Q1452" s="35" t="s">
        <v>34168</v>
      </c>
      <c r="R1452" s="34" t="s">
        <v>94</v>
      </c>
      <c r="S1452" s="34" t="s">
        <v>22</v>
      </c>
      <c r="T1452" s="36" t="s">
        <v>26781</v>
      </c>
      <c r="U1452" s="36" t="s">
        <v>26570</v>
      </c>
      <c r="V1452" s="36"/>
      <c r="W1452" s="36" t="s">
        <v>94</v>
      </c>
      <c r="X1452" s="36">
        <v>4007</v>
      </c>
      <c r="Z1452" s="33" t="s">
        <v>42967</v>
      </c>
      <c r="AA1452" s="33">
        <v>6215</v>
      </c>
    </row>
    <row r="1453" spans="1:27" ht="12" customHeight="1" x14ac:dyDescent="0.15">
      <c r="A1453" s="34" t="s">
        <v>34169</v>
      </c>
      <c r="B1453" s="34">
        <v>24</v>
      </c>
      <c r="C1453" s="34" t="s">
        <v>14</v>
      </c>
      <c r="D1453" s="34" t="s">
        <v>79</v>
      </c>
      <c r="E1453" s="34"/>
      <c r="F1453" s="67">
        <v>43344</v>
      </c>
      <c r="G1453" s="34" t="s">
        <v>34170</v>
      </c>
      <c r="H1453" s="34" t="s">
        <v>787</v>
      </c>
      <c r="I1453" s="34" t="s">
        <v>67</v>
      </c>
      <c r="J1453" s="34">
        <v>76015</v>
      </c>
      <c r="K1453" s="34" t="s">
        <v>68</v>
      </c>
      <c r="L1453" s="34" t="s">
        <v>788</v>
      </c>
      <c r="M1453" s="34" t="s">
        <v>21</v>
      </c>
      <c r="N1453" s="34" t="s">
        <v>34171</v>
      </c>
      <c r="O1453" s="34" t="s">
        <v>372</v>
      </c>
      <c r="P1453" s="34" t="s">
        <v>30089</v>
      </c>
      <c r="Q1453" s="35" t="s">
        <v>34172</v>
      </c>
      <c r="R1453" s="34" t="s">
        <v>94</v>
      </c>
      <c r="S1453" s="34" t="s">
        <v>351</v>
      </c>
      <c r="T1453" s="36" t="s">
        <v>26867</v>
      </c>
      <c r="U1453" s="36" t="s">
        <v>26572</v>
      </c>
      <c r="V1453" s="36" t="s">
        <v>26571</v>
      </c>
      <c r="W1453" s="36" t="s">
        <v>94</v>
      </c>
      <c r="X1453" s="36">
        <v>4011</v>
      </c>
      <c r="Z1453" s="33" t="s">
        <v>42966</v>
      </c>
      <c r="AA1453" s="33">
        <v>6214</v>
      </c>
    </row>
    <row r="1454" spans="1:27" ht="12" customHeight="1" x14ac:dyDescent="0.15">
      <c r="A1454" s="34" t="s">
        <v>34173</v>
      </c>
      <c r="B1454" s="34">
        <v>36</v>
      </c>
      <c r="C1454" s="34" t="s">
        <v>14</v>
      </c>
      <c r="D1454" s="34" t="s">
        <v>31</v>
      </c>
      <c r="E1454" s="34"/>
      <c r="F1454" s="67">
        <v>43343</v>
      </c>
      <c r="G1454" s="34" t="s">
        <v>34174</v>
      </c>
      <c r="H1454" s="34" t="s">
        <v>7963</v>
      </c>
      <c r="I1454" s="34" t="s">
        <v>298</v>
      </c>
      <c r="J1454" s="34">
        <v>37062</v>
      </c>
      <c r="K1454" s="34" t="s">
        <v>2397</v>
      </c>
      <c r="L1454" s="34" t="s">
        <v>29312</v>
      </c>
      <c r="M1454" s="34" t="s">
        <v>21</v>
      </c>
      <c r="N1454" s="34" t="s">
        <v>34175</v>
      </c>
      <c r="O1454" s="34" t="s">
        <v>372</v>
      </c>
      <c r="P1454" s="34" t="s">
        <v>30089</v>
      </c>
      <c r="Q1454" s="35" t="s">
        <v>34176</v>
      </c>
      <c r="R1454" s="36" t="s">
        <v>512</v>
      </c>
      <c r="S1454" s="34" t="s">
        <v>22</v>
      </c>
      <c r="T1454" s="36" t="s">
        <v>26774</v>
      </c>
      <c r="U1454" s="36" t="s">
        <v>26570</v>
      </c>
      <c r="V1454" s="36" t="s">
        <v>26573</v>
      </c>
      <c r="W1454" s="36" t="s">
        <v>94</v>
      </c>
      <c r="X1454" s="36">
        <v>4012</v>
      </c>
      <c r="Z1454" s="33" t="s">
        <v>42967</v>
      </c>
      <c r="AA1454" s="33">
        <v>6213</v>
      </c>
    </row>
    <row r="1455" spans="1:27" ht="12" customHeight="1" x14ac:dyDescent="0.15">
      <c r="A1455" s="34" t="s">
        <v>34177</v>
      </c>
      <c r="B1455" s="34">
        <v>61</v>
      </c>
      <c r="C1455" s="34" t="s">
        <v>14</v>
      </c>
      <c r="D1455" s="34" t="s">
        <v>31</v>
      </c>
      <c r="E1455" s="34"/>
      <c r="F1455" s="67">
        <v>43343</v>
      </c>
      <c r="G1455" s="34" t="s">
        <v>34178</v>
      </c>
      <c r="H1455" s="34" t="s">
        <v>34179</v>
      </c>
      <c r="I1455" s="34" t="s">
        <v>192</v>
      </c>
      <c r="J1455" s="34">
        <v>80135</v>
      </c>
      <c r="K1455" s="34" t="s">
        <v>882</v>
      </c>
      <c r="L1455" s="34" t="s">
        <v>1524</v>
      </c>
      <c r="M1455" s="34" t="s">
        <v>21</v>
      </c>
      <c r="N1455" s="34" t="s">
        <v>34180</v>
      </c>
      <c r="O1455" s="34" t="s">
        <v>372</v>
      </c>
      <c r="P1455" s="34" t="s">
        <v>30089</v>
      </c>
      <c r="Q1455" s="35" t="s">
        <v>34181</v>
      </c>
      <c r="R1455" s="34" t="s">
        <v>94</v>
      </c>
      <c r="S1455" s="34" t="s">
        <v>22</v>
      </c>
      <c r="T1455" s="36" t="s">
        <v>26781</v>
      </c>
      <c r="U1455" s="36" t="s">
        <v>26572</v>
      </c>
      <c r="V1455" s="36" t="s">
        <v>26573</v>
      </c>
      <c r="W1455" s="36" t="s">
        <v>512</v>
      </c>
      <c r="X1455" s="36">
        <v>4044</v>
      </c>
      <c r="Z1455" s="33" t="s">
        <v>42967</v>
      </c>
      <c r="AA1455" s="33">
        <v>6212</v>
      </c>
    </row>
    <row r="1456" spans="1:27" ht="12" customHeight="1" x14ac:dyDescent="0.15">
      <c r="A1456" s="34" t="s">
        <v>34182</v>
      </c>
      <c r="B1456" s="34">
        <v>64</v>
      </c>
      <c r="C1456" s="34" t="s">
        <v>14</v>
      </c>
      <c r="D1456" s="34" t="s">
        <v>31</v>
      </c>
      <c r="E1456" s="34"/>
      <c r="F1456" s="67">
        <v>43343</v>
      </c>
      <c r="G1456" s="34" t="s">
        <v>34183</v>
      </c>
      <c r="H1456" s="34" t="s">
        <v>25381</v>
      </c>
      <c r="I1456" s="34" t="s">
        <v>56</v>
      </c>
      <c r="J1456" s="34">
        <v>34436</v>
      </c>
      <c r="K1456" s="34" t="s">
        <v>5505</v>
      </c>
      <c r="L1456" s="34" t="s">
        <v>5506</v>
      </c>
      <c r="M1456" s="34" t="s">
        <v>21</v>
      </c>
      <c r="N1456" s="34" t="s">
        <v>34184</v>
      </c>
      <c r="O1456" s="34" t="s">
        <v>372</v>
      </c>
      <c r="P1456" s="34" t="s">
        <v>30089</v>
      </c>
      <c r="Q1456" s="35" t="s">
        <v>34185</v>
      </c>
      <c r="R1456" s="36" t="s">
        <v>512</v>
      </c>
      <c r="S1456" s="34" t="s">
        <v>22</v>
      </c>
      <c r="T1456" s="36" t="s">
        <v>26781</v>
      </c>
      <c r="U1456" s="36" t="s">
        <v>26572</v>
      </c>
      <c r="V1456" s="36" t="s">
        <v>26573</v>
      </c>
      <c r="W1456" s="36" t="s">
        <v>94</v>
      </c>
      <c r="X1456" s="36">
        <v>4010</v>
      </c>
      <c r="Z1456" s="33" t="s">
        <v>42967</v>
      </c>
      <c r="AA1456" s="33">
        <v>6211</v>
      </c>
    </row>
    <row r="1457" spans="1:27" ht="12" customHeight="1" x14ac:dyDescent="0.15">
      <c r="A1457" s="34" t="s">
        <v>34186</v>
      </c>
      <c r="B1457" s="34">
        <v>45</v>
      </c>
      <c r="C1457" s="34" t="s">
        <v>103</v>
      </c>
      <c r="D1457" s="34" t="s">
        <v>31</v>
      </c>
      <c r="E1457" s="34"/>
      <c r="F1457" s="67">
        <v>43342</v>
      </c>
      <c r="G1457" s="34" t="s">
        <v>34187</v>
      </c>
      <c r="H1457" s="34" t="s">
        <v>34188</v>
      </c>
      <c r="I1457" s="34" t="s">
        <v>56</v>
      </c>
      <c r="J1457" s="34">
        <v>34465</v>
      </c>
      <c r="K1457" s="34" t="s">
        <v>5505</v>
      </c>
      <c r="L1457" s="34" t="s">
        <v>36437</v>
      </c>
      <c r="M1457" s="34" t="s">
        <v>21</v>
      </c>
      <c r="N1457" s="34" t="s">
        <v>34189</v>
      </c>
      <c r="O1457" s="34" t="s">
        <v>372</v>
      </c>
      <c r="P1457" s="34" t="s">
        <v>30089</v>
      </c>
      <c r="Q1457" s="35" t="s">
        <v>34190</v>
      </c>
      <c r="R1457" s="34" t="s">
        <v>94</v>
      </c>
      <c r="S1457" s="34" t="s">
        <v>22</v>
      </c>
      <c r="T1457" s="36" t="s">
        <v>26781</v>
      </c>
      <c r="U1457" s="36" t="s">
        <v>26572</v>
      </c>
      <c r="V1457" s="36" t="s">
        <v>26573</v>
      </c>
      <c r="W1457" s="36" t="s">
        <v>94</v>
      </c>
      <c r="X1457" s="36">
        <v>4005</v>
      </c>
      <c r="Z1457" s="33" t="s">
        <v>42968</v>
      </c>
      <c r="AA1457" s="33">
        <v>6209</v>
      </c>
    </row>
    <row r="1458" spans="1:27" ht="12" customHeight="1" x14ac:dyDescent="0.15">
      <c r="A1458" s="34" t="s">
        <v>34191</v>
      </c>
      <c r="B1458" s="34">
        <v>49</v>
      </c>
      <c r="C1458" s="34" t="s">
        <v>103</v>
      </c>
      <c r="D1458" s="34" t="s">
        <v>42</v>
      </c>
      <c r="E1458" s="34"/>
      <c r="F1458" s="67">
        <v>43342</v>
      </c>
      <c r="G1458" s="34" t="s">
        <v>34192</v>
      </c>
      <c r="H1458" s="34" t="s">
        <v>13297</v>
      </c>
      <c r="I1458" s="34" t="s">
        <v>39</v>
      </c>
      <c r="J1458" s="34">
        <v>91030</v>
      </c>
      <c r="K1458" s="34" t="s">
        <v>92</v>
      </c>
      <c r="L1458" s="34" t="s">
        <v>27947</v>
      </c>
      <c r="M1458" s="34" t="s">
        <v>21</v>
      </c>
      <c r="N1458" s="34" t="s">
        <v>34193</v>
      </c>
      <c r="O1458" s="34" t="s">
        <v>372</v>
      </c>
      <c r="P1458" s="34" t="s">
        <v>30089</v>
      </c>
      <c r="Q1458" s="35" t="s">
        <v>34194</v>
      </c>
      <c r="R1458" s="36" t="s">
        <v>512</v>
      </c>
      <c r="S1458" s="34" t="s">
        <v>12</v>
      </c>
      <c r="T1458" s="36" t="s">
        <v>29425</v>
      </c>
      <c r="U1458" s="36" t="s">
        <v>26570</v>
      </c>
      <c r="V1458" s="36" t="s">
        <v>26573</v>
      </c>
      <c r="W1458" s="36" t="s">
        <v>94</v>
      </c>
      <c r="X1458" s="36">
        <v>4006</v>
      </c>
      <c r="Z1458" s="33" t="s">
        <v>42966</v>
      </c>
      <c r="AA1458" s="33">
        <v>6210</v>
      </c>
    </row>
    <row r="1459" spans="1:27" ht="12" customHeight="1" x14ac:dyDescent="0.15">
      <c r="A1459" s="34" t="s">
        <v>34195</v>
      </c>
      <c r="B1459" s="34">
        <v>17</v>
      </c>
      <c r="C1459" s="34" t="s">
        <v>14</v>
      </c>
      <c r="D1459" s="34" t="s">
        <v>79</v>
      </c>
      <c r="E1459" s="34"/>
      <c r="F1459" s="67">
        <v>43341</v>
      </c>
      <c r="G1459" s="34" t="s">
        <v>34196</v>
      </c>
      <c r="H1459" s="34" t="s">
        <v>674</v>
      </c>
      <c r="I1459" s="34" t="s">
        <v>67</v>
      </c>
      <c r="J1459" s="34">
        <v>77029</v>
      </c>
      <c r="K1459" s="34" t="s">
        <v>515</v>
      </c>
      <c r="L1459" s="34" t="s">
        <v>36438</v>
      </c>
      <c r="M1459" s="34" t="s">
        <v>21</v>
      </c>
      <c r="N1459" s="34" t="s">
        <v>34197</v>
      </c>
      <c r="O1459" s="34" t="s">
        <v>372</v>
      </c>
      <c r="P1459" s="34" t="s">
        <v>30089</v>
      </c>
      <c r="Q1459" s="35" t="s">
        <v>34198</v>
      </c>
      <c r="R1459" s="34" t="s">
        <v>94</v>
      </c>
      <c r="S1459" s="34" t="s">
        <v>351</v>
      </c>
      <c r="T1459" s="36" t="s">
        <v>26867</v>
      </c>
      <c r="U1459" s="36" t="s">
        <v>26572</v>
      </c>
      <c r="V1459" s="36" t="s">
        <v>26571</v>
      </c>
      <c r="W1459" s="36" t="s">
        <v>94</v>
      </c>
      <c r="X1459" s="36">
        <v>4001</v>
      </c>
      <c r="Z1459" s="33" t="s">
        <v>42968</v>
      </c>
      <c r="AA1459" s="33">
        <v>6208</v>
      </c>
    </row>
    <row r="1460" spans="1:27" ht="12" customHeight="1" x14ac:dyDescent="0.15">
      <c r="A1460" s="34" t="s">
        <v>34199</v>
      </c>
      <c r="B1460" s="34">
        <v>72</v>
      </c>
      <c r="C1460" s="34" t="s">
        <v>14</v>
      </c>
      <c r="D1460" s="34" t="s">
        <v>31</v>
      </c>
      <c r="E1460" s="34"/>
      <c r="F1460" s="67">
        <v>43341</v>
      </c>
      <c r="G1460" s="34" t="s">
        <v>34200</v>
      </c>
      <c r="H1460" s="34" t="s">
        <v>34201</v>
      </c>
      <c r="I1460" s="34" t="s">
        <v>63</v>
      </c>
      <c r="J1460" s="34">
        <v>43143</v>
      </c>
      <c r="K1460" s="34" t="s">
        <v>2014</v>
      </c>
      <c r="L1460" s="34" t="s">
        <v>34202</v>
      </c>
      <c r="M1460" s="34" t="s">
        <v>21</v>
      </c>
      <c r="N1460" s="34" t="s">
        <v>34203</v>
      </c>
      <c r="O1460" s="34" t="s">
        <v>372</v>
      </c>
      <c r="P1460" s="34" t="s">
        <v>30089</v>
      </c>
      <c r="Q1460" s="35" t="s">
        <v>34204</v>
      </c>
      <c r="R1460" s="34" t="s">
        <v>94</v>
      </c>
      <c r="S1460" s="34" t="s">
        <v>22</v>
      </c>
      <c r="T1460" s="36" t="s">
        <v>26781</v>
      </c>
      <c r="U1460" s="36" t="s">
        <v>26570</v>
      </c>
      <c r="V1460" s="36" t="s">
        <v>26573</v>
      </c>
      <c r="W1460" s="36" t="s">
        <v>94</v>
      </c>
      <c r="X1460" s="36">
        <v>4000</v>
      </c>
      <c r="Z1460" s="33" t="s">
        <v>42967</v>
      </c>
      <c r="AA1460" s="33">
        <v>6207</v>
      </c>
    </row>
    <row r="1461" spans="1:27" ht="12" customHeight="1" x14ac:dyDescent="0.15">
      <c r="A1461" s="34" t="s">
        <v>34205</v>
      </c>
      <c r="B1461" s="34">
        <v>18</v>
      </c>
      <c r="C1461" s="34" t="s">
        <v>14</v>
      </c>
      <c r="D1461" s="34" t="s">
        <v>31</v>
      </c>
      <c r="E1461" s="34"/>
      <c r="F1461" s="67">
        <v>43340</v>
      </c>
      <c r="G1461" s="34" t="s">
        <v>34206</v>
      </c>
      <c r="H1461" s="34" t="s">
        <v>18423</v>
      </c>
      <c r="I1461" s="34" t="s">
        <v>39</v>
      </c>
      <c r="J1461" s="34">
        <v>92373</v>
      </c>
      <c r="K1461" s="34" t="s">
        <v>288</v>
      </c>
      <c r="L1461" s="34" t="s">
        <v>20241</v>
      </c>
      <c r="M1461" s="34" t="s">
        <v>21</v>
      </c>
      <c r="N1461" s="34" t="s">
        <v>34207</v>
      </c>
      <c r="O1461" s="34" t="s">
        <v>372</v>
      </c>
      <c r="P1461" s="34" t="s">
        <v>30089</v>
      </c>
      <c r="Q1461" s="35" t="s">
        <v>34208</v>
      </c>
      <c r="R1461" s="36" t="s">
        <v>512</v>
      </c>
      <c r="S1461" s="34" t="s">
        <v>22</v>
      </c>
      <c r="T1461" s="36" t="s">
        <v>26781</v>
      </c>
      <c r="U1461" s="36" t="s">
        <v>26572</v>
      </c>
      <c r="V1461" s="36" t="s">
        <v>26573</v>
      </c>
      <c r="W1461" s="36" t="s">
        <v>94</v>
      </c>
      <c r="X1461" s="36">
        <v>4002</v>
      </c>
      <c r="Z1461" s="33" t="s">
        <v>42968</v>
      </c>
      <c r="AA1461" s="33">
        <v>6204</v>
      </c>
    </row>
    <row r="1462" spans="1:27" ht="12" customHeight="1" x14ac:dyDescent="0.15">
      <c r="A1462" s="34" t="s">
        <v>34213</v>
      </c>
      <c r="B1462" s="34">
        <v>50</v>
      </c>
      <c r="C1462" s="34" t="s">
        <v>14</v>
      </c>
      <c r="D1462" s="34" t="s">
        <v>79</v>
      </c>
      <c r="E1462" s="35" t="s">
        <v>34214</v>
      </c>
      <c r="F1462" s="67">
        <v>43340</v>
      </c>
      <c r="G1462" s="34" t="s">
        <v>34215</v>
      </c>
      <c r="H1462" s="34" t="s">
        <v>34216</v>
      </c>
      <c r="I1462" s="34" t="s">
        <v>206</v>
      </c>
      <c r="J1462" s="34">
        <v>19951</v>
      </c>
      <c r="K1462" s="34" t="s">
        <v>1850</v>
      </c>
      <c r="L1462" s="34" t="s">
        <v>5554</v>
      </c>
      <c r="M1462" s="34" t="s">
        <v>21</v>
      </c>
      <c r="N1462" s="34" t="s">
        <v>34217</v>
      </c>
      <c r="O1462" s="34" t="s">
        <v>372</v>
      </c>
      <c r="P1462" s="34" t="s">
        <v>30089</v>
      </c>
      <c r="Q1462" s="35" t="s">
        <v>34218</v>
      </c>
      <c r="R1462" s="34" t="s">
        <v>94</v>
      </c>
      <c r="S1462" s="34" t="s">
        <v>22</v>
      </c>
      <c r="T1462" s="36" t="s">
        <v>26781</v>
      </c>
      <c r="U1462" s="36" t="s">
        <v>26572</v>
      </c>
      <c r="V1462" s="36" t="s">
        <v>26573</v>
      </c>
      <c r="W1462" s="36"/>
      <c r="X1462" s="36"/>
      <c r="Z1462" s="33" t="s">
        <v>42967</v>
      </c>
      <c r="AA1462" s="33">
        <v>6205</v>
      </c>
    </row>
    <row r="1463" spans="1:27" ht="12" customHeight="1" x14ac:dyDescent="0.15">
      <c r="A1463" s="34" t="s">
        <v>34209</v>
      </c>
      <c r="B1463" s="34">
        <v>37</v>
      </c>
      <c r="C1463" s="34" t="s">
        <v>14</v>
      </c>
      <c r="D1463" s="34" t="s">
        <v>42</v>
      </c>
      <c r="E1463" s="34"/>
      <c r="F1463" s="67">
        <v>43340</v>
      </c>
      <c r="G1463" s="34" t="s">
        <v>34210</v>
      </c>
      <c r="H1463" s="34" t="s">
        <v>3638</v>
      </c>
      <c r="I1463" s="34" t="s">
        <v>338</v>
      </c>
      <c r="J1463" s="34">
        <v>27886</v>
      </c>
      <c r="K1463" s="34" t="s">
        <v>3640</v>
      </c>
      <c r="L1463" s="34" t="s">
        <v>3641</v>
      </c>
      <c r="M1463" s="34" t="s">
        <v>21</v>
      </c>
      <c r="N1463" s="34" t="s">
        <v>34211</v>
      </c>
      <c r="O1463" s="34" t="s">
        <v>372</v>
      </c>
      <c r="P1463" s="34" t="s">
        <v>30089</v>
      </c>
      <c r="Q1463" s="35" t="s">
        <v>34212</v>
      </c>
      <c r="R1463" s="34" t="s">
        <v>94</v>
      </c>
      <c r="S1463" s="34" t="s">
        <v>29</v>
      </c>
      <c r="T1463" s="36" t="s">
        <v>26575</v>
      </c>
      <c r="U1463" s="36" t="s">
        <v>26570</v>
      </c>
      <c r="V1463" s="36" t="s">
        <v>26573</v>
      </c>
      <c r="W1463" s="36" t="s">
        <v>94</v>
      </c>
      <c r="X1463" s="36">
        <v>3999</v>
      </c>
      <c r="Z1463" s="33" t="s">
        <v>42967</v>
      </c>
      <c r="AA1463" s="33">
        <v>6206</v>
      </c>
    </row>
    <row r="1464" spans="1:27" ht="12" customHeight="1" x14ac:dyDescent="0.15">
      <c r="A1464" s="34" t="s">
        <v>34234</v>
      </c>
      <c r="B1464" s="34">
        <v>42</v>
      </c>
      <c r="C1464" s="34" t="s">
        <v>14</v>
      </c>
      <c r="D1464" s="34" t="s">
        <v>31</v>
      </c>
      <c r="E1464" s="35" t="s">
        <v>34235</v>
      </c>
      <c r="F1464" s="67">
        <v>43339</v>
      </c>
      <c r="G1464" s="34" t="s">
        <v>34236</v>
      </c>
      <c r="H1464" s="34" t="s">
        <v>34237</v>
      </c>
      <c r="I1464" s="34" t="s">
        <v>376</v>
      </c>
      <c r="J1464" s="34">
        <v>16743</v>
      </c>
      <c r="K1464" s="34" t="s">
        <v>34238</v>
      </c>
      <c r="L1464" s="34" t="s">
        <v>473</v>
      </c>
      <c r="M1464" s="34" t="s">
        <v>21</v>
      </c>
      <c r="N1464" s="34" t="s">
        <v>36439</v>
      </c>
      <c r="O1464" s="34" t="s">
        <v>372</v>
      </c>
      <c r="P1464" s="34" t="s">
        <v>30089</v>
      </c>
      <c r="Q1464" s="35" t="s">
        <v>34239</v>
      </c>
      <c r="R1464" s="34" t="s">
        <v>94</v>
      </c>
      <c r="S1464" s="34" t="s">
        <v>22</v>
      </c>
      <c r="T1464" s="36" t="s">
        <v>26781</v>
      </c>
      <c r="U1464" s="36" t="s">
        <v>26572</v>
      </c>
      <c r="V1464" s="36" t="s">
        <v>26573</v>
      </c>
      <c r="W1464" s="36"/>
      <c r="X1464" s="36"/>
      <c r="Z1464" s="33" t="s">
        <v>42967</v>
      </c>
      <c r="AA1464" s="33">
        <v>6199</v>
      </c>
    </row>
    <row r="1465" spans="1:27" ht="12" customHeight="1" x14ac:dyDescent="0.15">
      <c r="A1465" s="34" t="s">
        <v>34240</v>
      </c>
      <c r="B1465" s="34">
        <v>43</v>
      </c>
      <c r="C1465" s="34" t="s">
        <v>14</v>
      </c>
      <c r="D1465" s="34" t="s">
        <v>24</v>
      </c>
      <c r="E1465" s="34"/>
      <c r="F1465" s="67">
        <v>43339</v>
      </c>
      <c r="G1465" s="34" t="s">
        <v>34241</v>
      </c>
      <c r="H1465" s="34" t="s">
        <v>818</v>
      </c>
      <c r="I1465" s="34" t="s">
        <v>294</v>
      </c>
      <c r="J1465" s="34">
        <v>40475</v>
      </c>
      <c r="K1465" s="34" t="s">
        <v>2014</v>
      </c>
      <c r="L1465" s="34" t="s">
        <v>18258</v>
      </c>
      <c r="M1465" s="34" t="s">
        <v>21</v>
      </c>
      <c r="N1465" s="34" t="s">
        <v>34242</v>
      </c>
      <c r="O1465" s="34" t="s">
        <v>372</v>
      </c>
      <c r="P1465" s="34" t="s">
        <v>30089</v>
      </c>
      <c r="Q1465" s="35" t="s">
        <v>34243</v>
      </c>
      <c r="R1465" s="34" t="s">
        <v>94</v>
      </c>
      <c r="S1465" s="34" t="s">
        <v>29</v>
      </c>
      <c r="T1465" s="33" t="s">
        <v>41840</v>
      </c>
      <c r="U1465" s="36"/>
      <c r="V1465" s="36"/>
      <c r="W1465" s="36"/>
      <c r="X1465" s="36"/>
      <c r="Z1465" s="33" t="s">
        <v>42968</v>
      </c>
      <c r="AA1465" s="33">
        <v>6202</v>
      </c>
    </row>
    <row r="1466" spans="1:27" ht="12" customHeight="1" x14ac:dyDescent="0.15">
      <c r="A1466" s="34" t="s">
        <v>3002</v>
      </c>
      <c r="B1466" s="34" t="s">
        <v>23</v>
      </c>
      <c r="C1466" s="34" t="s">
        <v>14</v>
      </c>
      <c r="D1466" s="34" t="s">
        <v>24</v>
      </c>
      <c r="E1466" s="34"/>
      <c r="F1466" s="67">
        <v>43339</v>
      </c>
      <c r="G1466" s="34" t="s">
        <v>34244</v>
      </c>
      <c r="H1466" s="34" t="s">
        <v>34245</v>
      </c>
      <c r="I1466" s="34" t="s">
        <v>63</v>
      </c>
      <c r="J1466" s="34">
        <v>43551</v>
      </c>
      <c r="K1466" s="34" t="s">
        <v>10995</v>
      </c>
      <c r="L1466" s="34" t="s">
        <v>34246</v>
      </c>
      <c r="M1466" s="34" t="s">
        <v>21</v>
      </c>
      <c r="N1466" s="34" t="s">
        <v>34247</v>
      </c>
      <c r="O1466" s="34" t="s">
        <v>372</v>
      </c>
      <c r="P1466" s="34" t="s">
        <v>30089</v>
      </c>
      <c r="Q1466" s="35" t="s">
        <v>34248</v>
      </c>
      <c r="R1466" s="34" t="s">
        <v>94</v>
      </c>
      <c r="S1466" s="34" t="s">
        <v>29</v>
      </c>
      <c r="T1466" s="33" t="s">
        <v>41840</v>
      </c>
      <c r="U1466" s="36"/>
      <c r="V1466" s="36" t="s">
        <v>26574</v>
      </c>
      <c r="W1466" s="36"/>
      <c r="X1466" s="36"/>
      <c r="Z1466" s="33" t="s">
        <v>42968</v>
      </c>
      <c r="AA1466" s="33">
        <v>6203</v>
      </c>
    </row>
    <row r="1467" spans="1:27" ht="12" customHeight="1" x14ac:dyDescent="0.15">
      <c r="A1467" s="34" t="s">
        <v>3002</v>
      </c>
      <c r="B1467" s="34" t="s">
        <v>23</v>
      </c>
      <c r="C1467" s="34" t="s">
        <v>14</v>
      </c>
      <c r="D1467" s="34" t="s">
        <v>24</v>
      </c>
      <c r="E1467" s="34"/>
      <c r="F1467" s="67">
        <v>43339</v>
      </c>
      <c r="G1467" s="34" t="s">
        <v>34249</v>
      </c>
      <c r="H1467" s="34" t="s">
        <v>674</v>
      </c>
      <c r="I1467" s="34" t="s">
        <v>67</v>
      </c>
      <c r="J1467" s="34">
        <v>77037</v>
      </c>
      <c r="K1467" s="34" t="s">
        <v>515</v>
      </c>
      <c r="L1467" s="34" t="s">
        <v>516</v>
      </c>
      <c r="M1467" s="34" t="s">
        <v>21</v>
      </c>
      <c r="N1467" s="34" t="s">
        <v>34250</v>
      </c>
      <c r="O1467" s="34" t="s">
        <v>372</v>
      </c>
      <c r="P1467" s="34" t="s">
        <v>30089</v>
      </c>
      <c r="Q1467" s="35" t="s">
        <v>34251</v>
      </c>
      <c r="R1467" s="34" t="s">
        <v>94</v>
      </c>
      <c r="S1467" s="34" t="s">
        <v>22</v>
      </c>
      <c r="T1467" s="36" t="s">
        <v>26781</v>
      </c>
      <c r="U1467" s="36" t="s">
        <v>26572</v>
      </c>
      <c r="V1467" s="36" t="s">
        <v>26573</v>
      </c>
      <c r="W1467" s="36"/>
      <c r="X1467" s="36"/>
      <c r="Z1467" s="33" t="s">
        <v>42968</v>
      </c>
      <c r="AA1467" s="33">
        <v>6198</v>
      </c>
    </row>
    <row r="1468" spans="1:27" ht="12" customHeight="1" x14ac:dyDescent="0.15">
      <c r="A1468" s="34" t="s">
        <v>34219</v>
      </c>
      <c r="B1468" s="34">
        <v>20</v>
      </c>
      <c r="C1468" s="34" t="s">
        <v>14</v>
      </c>
      <c r="D1468" s="34" t="s">
        <v>31</v>
      </c>
      <c r="E1468" s="34"/>
      <c r="F1468" s="67">
        <v>43339</v>
      </c>
      <c r="G1468" s="34" t="s">
        <v>34220</v>
      </c>
      <c r="H1468" s="34" t="s">
        <v>584</v>
      </c>
      <c r="I1468" s="34" t="s">
        <v>112</v>
      </c>
      <c r="J1468" s="34">
        <v>85053</v>
      </c>
      <c r="K1468" s="34" t="s">
        <v>585</v>
      </c>
      <c r="L1468" s="34" t="s">
        <v>586</v>
      </c>
      <c r="M1468" s="34" t="s">
        <v>21</v>
      </c>
      <c r="N1468" s="34" t="s">
        <v>34221</v>
      </c>
      <c r="O1468" s="34" t="s">
        <v>372</v>
      </c>
      <c r="P1468" s="34" t="s">
        <v>30089</v>
      </c>
      <c r="Q1468" s="35" t="s">
        <v>34222</v>
      </c>
      <c r="R1468" s="34" t="s">
        <v>94</v>
      </c>
      <c r="S1468" s="34" t="s">
        <v>22</v>
      </c>
      <c r="T1468" s="36" t="s">
        <v>26781</v>
      </c>
      <c r="U1468" s="36" t="s">
        <v>26572</v>
      </c>
      <c r="V1468" s="36" t="s">
        <v>26573</v>
      </c>
      <c r="W1468" s="36" t="s">
        <v>94</v>
      </c>
      <c r="X1468" s="36">
        <v>3991</v>
      </c>
      <c r="Z1468" s="33" t="s">
        <v>42968</v>
      </c>
      <c r="AA1468" s="33">
        <v>6197</v>
      </c>
    </row>
    <row r="1469" spans="1:27" ht="12" customHeight="1" x14ac:dyDescent="0.15">
      <c r="A1469" s="34" t="s">
        <v>34229</v>
      </c>
      <c r="B1469" s="34">
        <v>34</v>
      </c>
      <c r="C1469" s="34" t="s">
        <v>14</v>
      </c>
      <c r="D1469" s="34" t="s">
        <v>31</v>
      </c>
      <c r="E1469" s="35" t="s">
        <v>34230</v>
      </c>
      <c r="F1469" s="67">
        <v>43339</v>
      </c>
      <c r="G1469" s="34" t="s">
        <v>34231</v>
      </c>
      <c r="H1469" s="34" t="s">
        <v>6885</v>
      </c>
      <c r="I1469" s="34" t="s">
        <v>39</v>
      </c>
      <c r="J1469" s="34">
        <v>96002</v>
      </c>
      <c r="K1469" s="34" t="s">
        <v>6887</v>
      </c>
      <c r="L1469" s="34" t="s">
        <v>6888</v>
      </c>
      <c r="M1469" s="34" t="s">
        <v>21</v>
      </c>
      <c r="N1469" s="34" t="s">
        <v>34232</v>
      </c>
      <c r="O1469" s="34" t="s">
        <v>372</v>
      </c>
      <c r="P1469" s="34" t="s">
        <v>30089</v>
      </c>
      <c r="Q1469" s="35" t="s">
        <v>34233</v>
      </c>
      <c r="R1469" s="36" t="s">
        <v>512</v>
      </c>
      <c r="S1469" s="34" t="s">
        <v>22</v>
      </c>
      <c r="T1469" s="36" t="s">
        <v>26774</v>
      </c>
      <c r="U1469" s="36" t="s">
        <v>26570</v>
      </c>
      <c r="V1469" s="36" t="s">
        <v>26573</v>
      </c>
      <c r="W1469" s="36" t="s">
        <v>94</v>
      </c>
      <c r="X1469" s="36">
        <v>4004</v>
      </c>
      <c r="Z1469" s="33" t="s">
        <v>42966</v>
      </c>
      <c r="AA1469" s="33">
        <v>6201</v>
      </c>
    </row>
    <row r="1470" spans="1:27" ht="12" customHeight="1" x14ac:dyDescent="0.15">
      <c r="A1470" s="34" t="s">
        <v>34223</v>
      </c>
      <c r="B1470" s="34">
        <v>25</v>
      </c>
      <c r="C1470" s="34" t="s">
        <v>14</v>
      </c>
      <c r="D1470" s="34" t="s">
        <v>31</v>
      </c>
      <c r="E1470" s="34"/>
      <c r="F1470" s="67">
        <v>43339</v>
      </c>
      <c r="G1470" s="34" t="s">
        <v>34224</v>
      </c>
      <c r="H1470" s="34" t="s">
        <v>584</v>
      </c>
      <c r="I1470" s="34" t="s">
        <v>112</v>
      </c>
      <c r="J1470" s="34">
        <v>85009</v>
      </c>
      <c r="K1470" s="34" t="s">
        <v>585</v>
      </c>
      <c r="L1470" s="34" t="s">
        <v>34225</v>
      </c>
      <c r="M1470" s="34" t="s">
        <v>21</v>
      </c>
      <c r="N1470" s="33" t="s">
        <v>34226</v>
      </c>
      <c r="O1470" s="34" t="s">
        <v>372</v>
      </c>
      <c r="P1470" s="34" t="s">
        <v>30089</v>
      </c>
      <c r="Q1470" s="35" t="s">
        <v>34227</v>
      </c>
      <c r="R1470" s="34" t="s">
        <v>94</v>
      </c>
      <c r="S1470" s="34" t="s">
        <v>22</v>
      </c>
      <c r="T1470" s="36" t="s">
        <v>34228</v>
      </c>
      <c r="U1470" s="36" t="s">
        <v>26572</v>
      </c>
      <c r="V1470" s="36" t="s">
        <v>26571</v>
      </c>
      <c r="W1470" s="36" t="s">
        <v>94</v>
      </c>
      <c r="X1470" s="36">
        <v>3990</v>
      </c>
      <c r="Z1470" s="33" t="s">
        <v>42966</v>
      </c>
      <c r="AA1470" s="33">
        <v>6200</v>
      </c>
    </row>
    <row r="1471" spans="1:27" ht="12" customHeight="1" x14ac:dyDescent="0.15">
      <c r="A1471" s="34" t="s">
        <v>34256</v>
      </c>
      <c r="B1471" s="34">
        <v>41</v>
      </c>
      <c r="C1471" s="34" t="s">
        <v>103</v>
      </c>
      <c r="D1471" s="34" t="s">
        <v>31</v>
      </c>
      <c r="E1471" s="34"/>
      <c r="F1471" s="67">
        <v>43338</v>
      </c>
      <c r="G1471" s="34" t="s">
        <v>34257</v>
      </c>
      <c r="H1471" s="34" t="s">
        <v>34258</v>
      </c>
      <c r="I1471" s="34" t="s">
        <v>26</v>
      </c>
      <c r="J1471" s="34">
        <v>29702</v>
      </c>
      <c r="K1471" s="34" t="s">
        <v>1470</v>
      </c>
      <c r="L1471" s="34" t="s">
        <v>18974</v>
      </c>
      <c r="M1471" s="34" t="s">
        <v>21</v>
      </c>
      <c r="N1471" s="34" t="s">
        <v>34259</v>
      </c>
      <c r="O1471" s="34" t="s">
        <v>372</v>
      </c>
      <c r="P1471" s="34" t="s">
        <v>30089</v>
      </c>
      <c r="Q1471" s="35" t="s">
        <v>34260</v>
      </c>
      <c r="R1471" s="36" t="s">
        <v>512</v>
      </c>
      <c r="S1471" s="34" t="s">
        <v>22</v>
      </c>
      <c r="T1471" s="36" t="s">
        <v>26781</v>
      </c>
      <c r="U1471" s="36" t="s">
        <v>26572</v>
      </c>
      <c r="V1471" s="36" t="s">
        <v>26573</v>
      </c>
      <c r="W1471" s="36" t="s">
        <v>94</v>
      </c>
      <c r="X1471" s="36">
        <v>3996</v>
      </c>
      <c r="Z1471" s="33" t="s">
        <v>42967</v>
      </c>
      <c r="AA1471" s="33">
        <v>6195</v>
      </c>
    </row>
    <row r="1472" spans="1:27" ht="12" customHeight="1" x14ac:dyDescent="0.15">
      <c r="A1472" s="34" t="s">
        <v>34252</v>
      </c>
      <c r="B1472" s="34">
        <v>38</v>
      </c>
      <c r="C1472" s="34" t="s">
        <v>14</v>
      </c>
      <c r="D1472" s="34" t="s">
        <v>42</v>
      </c>
      <c r="E1472" s="34"/>
      <c r="F1472" s="67">
        <v>43338</v>
      </c>
      <c r="G1472" s="34" t="s">
        <v>34253</v>
      </c>
      <c r="H1472" s="34" t="s">
        <v>196</v>
      </c>
      <c r="I1472" s="34" t="s">
        <v>56</v>
      </c>
      <c r="J1472" s="34">
        <v>33138</v>
      </c>
      <c r="K1472" s="34" t="s">
        <v>148</v>
      </c>
      <c r="L1472" s="34" t="s">
        <v>427</v>
      </c>
      <c r="M1472" s="34" t="s">
        <v>363</v>
      </c>
      <c r="N1472" s="34" t="s">
        <v>34254</v>
      </c>
      <c r="O1472" s="34" t="s">
        <v>372</v>
      </c>
      <c r="P1472" s="34" t="s">
        <v>30089</v>
      </c>
      <c r="Q1472" s="35" t="s">
        <v>34255</v>
      </c>
      <c r="R1472" s="34" t="s">
        <v>23</v>
      </c>
      <c r="S1472" s="34" t="s">
        <v>22</v>
      </c>
      <c r="T1472" s="34" t="s">
        <v>26774</v>
      </c>
      <c r="U1472" s="34" t="s">
        <v>26572</v>
      </c>
      <c r="V1472" s="34" t="s">
        <v>26573</v>
      </c>
      <c r="W1472" s="34"/>
      <c r="X1472" s="34"/>
      <c r="Z1472" s="33" t="s">
        <v>42966</v>
      </c>
      <c r="AA1472" s="33">
        <v>6196</v>
      </c>
    </row>
    <row r="1473" spans="1:27" ht="12" customHeight="1" x14ac:dyDescent="0.15">
      <c r="A1473" s="34" t="s">
        <v>34261</v>
      </c>
      <c r="B1473" s="34">
        <v>18</v>
      </c>
      <c r="C1473" s="34" t="s">
        <v>14</v>
      </c>
      <c r="D1473" s="34" t="s">
        <v>31</v>
      </c>
      <c r="E1473" s="34"/>
      <c r="F1473" s="67">
        <v>43337</v>
      </c>
      <c r="G1473" s="34" t="s">
        <v>34262</v>
      </c>
      <c r="H1473" s="34" t="s">
        <v>6286</v>
      </c>
      <c r="I1473" s="34" t="s">
        <v>225</v>
      </c>
      <c r="J1473" s="34">
        <v>24073</v>
      </c>
      <c r="K1473" s="34" t="s">
        <v>995</v>
      </c>
      <c r="L1473" s="34" t="s">
        <v>18546</v>
      </c>
      <c r="M1473" s="34" t="s">
        <v>21</v>
      </c>
      <c r="N1473" s="34" t="s">
        <v>34263</v>
      </c>
      <c r="O1473" s="34" t="s">
        <v>372</v>
      </c>
      <c r="P1473" s="34" t="s">
        <v>30089</v>
      </c>
      <c r="Q1473" s="35" t="s">
        <v>34264</v>
      </c>
      <c r="R1473" s="36" t="s">
        <v>512</v>
      </c>
      <c r="S1473" s="34" t="s">
        <v>22</v>
      </c>
      <c r="T1473" s="36" t="s">
        <v>26781</v>
      </c>
      <c r="U1473" s="36" t="s">
        <v>26570</v>
      </c>
      <c r="V1473" s="36" t="s">
        <v>26573</v>
      </c>
      <c r="W1473" s="36" t="s">
        <v>94</v>
      </c>
      <c r="X1473" s="36">
        <v>3994</v>
      </c>
      <c r="Z1473" s="33" t="s">
        <v>42966</v>
      </c>
      <c r="AA1473" s="33">
        <v>6189</v>
      </c>
    </row>
    <row r="1474" spans="1:27" ht="12" customHeight="1" x14ac:dyDescent="0.15">
      <c r="A1474" s="34" t="s">
        <v>34283</v>
      </c>
      <c r="B1474" s="34">
        <v>37</v>
      </c>
      <c r="C1474" s="34" t="s">
        <v>103</v>
      </c>
      <c r="D1474" s="34" t="s">
        <v>31</v>
      </c>
      <c r="E1474" s="34"/>
      <c r="F1474" s="67">
        <v>43337</v>
      </c>
      <c r="G1474" s="34" t="s">
        <v>34284</v>
      </c>
      <c r="H1474" s="34" t="s">
        <v>34285</v>
      </c>
      <c r="I1474" s="34" t="s">
        <v>192</v>
      </c>
      <c r="J1474" s="34">
        <v>81101</v>
      </c>
      <c r="K1474" s="34" t="s">
        <v>34285</v>
      </c>
      <c r="L1474" s="34" t="s">
        <v>9078</v>
      </c>
      <c r="M1474" s="34" t="s">
        <v>21</v>
      </c>
      <c r="N1474" s="34" t="s">
        <v>36440</v>
      </c>
      <c r="O1474" s="34" t="s">
        <v>372</v>
      </c>
      <c r="P1474" s="34" t="s">
        <v>30089</v>
      </c>
      <c r="Q1474" s="35" t="s">
        <v>34286</v>
      </c>
      <c r="R1474" s="34" t="s">
        <v>94</v>
      </c>
      <c r="S1474" s="34" t="s">
        <v>22</v>
      </c>
      <c r="T1474" s="36" t="s">
        <v>26781</v>
      </c>
      <c r="U1474" s="36" t="s">
        <v>26572</v>
      </c>
      <c r="V1474" s="36" t="s">
        <v>26571</v>
      </c>
      <c r="W1474" s="36" t="s">
        <v>94</v>
      </c>
      <c r="X1474" s="36">
        <v>3998</v>
      </c>
      <c r="Z1474" s="33" t="s">
        <v>42967</v>
      </c>
      <c r="AA1474" s="33">
        <v>6191</v>
      </c>
    </row>
    <row r="1475" spans="1:27" ht="12" customHeight="1" x14ac:dyDescent="0.15">
      <c r="A1475" s="34" t="s">
        <v>34269</v>
      </c>
      <c r="B1475" s="34">
        <v>27</v>
      </c>
      <c r="C1475" s="34" t="s">
        <v>14</v>
      </c>
      <c r="D1475" s="34" t="s">
        <v>24</v>
      </c>
      <c r="E1475" s="34"/>
      <c r="F1475" s="67">
        <v>43337</v>
      </c>
      <c r="G1475" s="34" t="s">
        <v>34270</v>
      </c>
      <c r="H1475" s="34" t="s">
        <v>21113</v>
      </c>
      <c r="I1475" s="34" t="s">
        <v>192</v>
      </c>
      <c r="J1475" s="34">
        <v>80234</v>
      </c>
      <c r="K1475" s="34" t="s">
        <v>1790</v>
      </c>
      <c r="L1475" s="34" t="s">
        <v>21114</v>
      </c>
      <c r="M1475" s="34" t="s">
        <v>21</v>
      </c>
      <c r="N1475" s="34" t="s">
        <v>34271</v>
      </c>
      <c r="O1475" s="34" t="s">
        <v>372</v>
      </c>
      <c r="P1475" s="34" t="s">
        <v>30089</v>
      </c>
      <c r="Q1475" s="35" t="s">
        <v>34272</v>
      </c>
      <c r="R1475" s="34" t="s">
        <v>94</v>
      </c>
      <c r="S1475" s="34" t="s">
        <v>12</v>
      </c>
      <c r="T1475" s="36" t="s">
        <v>29705</v>
      </c>
      <c r="U1475" s="36" t="s">
        <v>26572</v>
      </c>
      <c r="V1475" s="36"/>
      <c r="W1475" s="36"/>
      <c r="X1475" s="36"/>
      <c r="Z1475" s="33" t="s">
        <v>42968</v>
      </c>
      <c r="AA1475" s="33">
        <v>6193</v>
      </c>
    </row>
    <row r="1476" spans="1:27" ht="12" customHeight="1" x14ac:dyDescent="0.15">
      <c r="A1476" s="34" t="s">
        <v>34273</v>
      </c>
      <c r="B1476" s="34">
        <v>29</v>
      </c>
      <c r="C1476" s="34" t="s">
        <v>14</v>
      </c>
      <c r="D1476" s="34" t="s">
        <v>31</v>
      </c>
      <c r="E1476" s="35" t="s">
        <v>34274</v>
      </c>
      <c r="F1476" s="67">
        <v>43337</v>
      </c>
      <c r="G1476" s="34" t="s">
        <v>34275</v>
      </c>
      <c r="H1476" s="34" t="s">
        <v>1499</v>
      </c>
      <c r="I1476" s="34" t="s">
        <v>376</v>
      </c>
      <c r="J1476" s="34">
        <v>17402</v>
      </c>
      <c r="K1476" s="34" t="s">
        <v>1499</v>
      </c>
      <c r="L1476" s="34" t="s">
        <v>34276</v>
      </c>
      <c r="M1476" s="34" t="s">
        <v>21</v>
      </c>
      <c r="N1476" s="34" t="s">
        <v>34277</v>
      </c>
      <c r="O1476" s="34" t="s">
        <v>372</v>
      </c>
      <c r="P1476" s="34" t="s">
        <v>30089</v>
      </c>
      <c r="Q1476" s="35" t="s">
        <v>34278</v>
      </c>
      <c r="R1476" s="34" t="s">
        <v>94</v>
      </c>
      <c r="S1476" s="34" t="s">
        <v>22</v>
      </c>
      <c r="T1476" s="36" t="s">
        <v>26781</v>
      </c>
      <c r="U1476" s="36" t="s">
        <v>26572</v>
      </c>
      <c r="V1476" s="36" t="s">
        <v>26573</v>
      </c>
      <c r="W1476" s="36" t="s">
        <v>94</v>
      </c>
      <c r="X1476" s="36">
        <v>3995</v>
      </c>
      <c r="Z1476" s="33" t="s">
        <v>42968</v>
      </c>
      <c r="AA1476" s="33">
        <v>6190</v>
      </c>
    </row>
    <row r="1477" spans="1:27" ht="12" customHeight="1" x14ac:dyDescent="0.15">
      <c r="A1477" s="34" t="s">
        <v>34265</v>
      </c>
      <c r="B1477" s="34">
        <v>18</v>
      </c>
      <c r="C1477" s="34" t="s">
        <v>14</v>
      </c>
      <c r="D1477" s="34" t="s">
        <v>24</v>
      </c>
      <c r="E1477" s="34"/>
      <c r="F1477" s="67">
        <v>43337</v>
      </c>
      <c r="G1477" s="34" t="s">
        <v>34266</v>
      </c>
      <c r="H1477" s="34" t="s">
        <v>607</v>
      </c>
      <c r="I1477" s="34" t="s">
        <v>250</v>
      </c>
      <c r="J1477" s="34">
        <v>89106</v>
      </c>
      <c r="K1477" s="34" t="s">
        <v>527</v>
      </c>
      <c r="L1477" s="34" t="s">
        <v>528</v>
      </c>
      <c r="M1477" s="34" t="s">
        <v>21</v>
      </c>
      <c r="N1477" s="34" t="s">
        <v>34267</v>
      </c>
      <c r="O1477" s="34" t="s">
        <v>372</v>
      </c>
      <c r="P1477" s="34" t="s">
        <v>30089</v>
      </c>
      <c r="Q1477" s="35" t="s">
        <v>34268</v>
      </c>
      <c r="R1477" s="34" t="s">
        <v>94</v>
      </c>
      <c r="S1477" s="34" t="s">
        <v>22</v>
      </c>
      <c r="T1477" s="36" t="s">
        <v>26781</v>
      </c>
      <c r="U1477" s="36" t="s">
        <v>26572</v>
      </c>
      <c r="V1477" s="36" t="s">
        <v>26573</v>
      </c>
      <c r="W1477" s="36"/>
      <c r="X1477" s="36"/>
      <c r="Z1477" s="33" t="s">
        <v>42966</v>
      </c>
      <c r="AA1477" s="33">
        <v>6192</v>
      </c>
    </row>
    <row r="1478" spans="1:27" ht="12" customHeight="1" x14ac:dyDescent="0.15">
      <c r="A1478" s="34" t="s">
        <v>34279</v>
      </c>
      <c r="B1478" s="34">
        <v>30</v>
      </c>
      <c r="C1478" s="34" t="s">
        <v>14</v>
      </c>
      <c r="D1478" s="34" t="s">
        <v>24</v>
      </c>
      <c r="E1478" s="34"/>
      <c r="F1478" s="67">
        <v>43337</v>
      </c>
      <c r="G1478" s="34" t="s">
        <v>34280</v>
      </c>
      <c r="H1478" s="34" t="s">
        <v>3855</v>
      </c>
      <c r="I1478" s="34" t="s">
        <v>338</v>
      </c>
      <c r="J1478" s="34">
        <v>28213</v>
      </c>
      <c r="K1478" s="34" t="s">
        <v>3857</v>
      </c>
      <c r="L1478" s="34" t="s">
        <v>17585</v>
      </c>
      <c r="M1478" s="34" t="s">
        <v>21</v>
      </c>
      <c r="N1478" s="34" t="s">
        <v>34281</v>
      </c>
      <c r="O1478" s="34" t="s">
        <v>372</v>
      </c>
      <c r="P1478" s="34" t="s">
        <v>30089</v>
      </c>
      <c r="Q1478" s="35" t="s">
        <v>34282</v>
      </c>
      <c r="R1478" s="34" t="s">
        <v>94</v>
      </c>
      <c r="S1478" s="34" t="s">
        <v>351</v>
      </c>
      <c r="T1478" s="36" t="s">
        <v>26867</v>
      </c>
      <c r="U1478" s="36" t="s">
        <v>26572</v>
      </c>
      <c r="V1478" s="36" t="s">
        <v>26573</v>
      </c>
      <c r="W1478" s="36"/>
      <c r="X1478" s="36"/>
      <c r="Z1478" s="33" t="s">
        <v>42968</v>
      </c>
      <c r="AA1478" s="33">
        <v>6194</v>
      </c>
    </row>
    <row r="1479" spans="1:27" ht="12" customHeight="1" x14ac:dyDescent="0.15">
      <c r="A1479" s="34" t="s">
        <v>34306</v>
      </c>
      <c r="B1479" s="34">
        <v>44</v>
      </c>
      <c r="C1479" s="34" t="s">
        <v>14</v>
      </c>
      <c r="D1479" s="34" t="s">
        <v>31</v>
      </c>
      <c r="E1479" s="34"/>
      <c r="F1479" s="67">
        <v>43336</v>
      </c>
      <c r="G1479" s="34" t="s">
        <v>34307</v>
      </c>
      <c r="H1479" s="34" t="s">
        <v>34308</v>
      </c>
      <c r="I1479" s="34" t="s">
        <v>26</v>
      </c>
      <c r="J1479" s="34">
        <v>29335</v>
      </c>
      <c r="K1479" s="34" t="s">
        <v>2643</v>
      </c>
      <c r="L1479" s="34" t="s">
        <v>2756</v>
      </c>
      <c r="M1479" s="34" t="s">
        <v>21</v>
      </c>
      <c r="N1479" s="34" t="s">
        <v>34309</v>
      </c>
      <c r="O1479" s="34" t="s">
        <v>372</v>
      </c>
      <c r="P1479" s="34" t="s">
        <v>30089</v>
      </c>
      <c r="Q1479" s="35" t="s">
        <v>34310</v>
      </c>
      <c r="R1479" s="36" t="s">
        <v>512</v>
      </c>
      <c r="S1479" s="34" t="s">
        <v>22</v>
      </c>
      <c r="T1479" s="36" t="s">
        <v>26587</v>
      </c>
      <c r="U1479" s="36" t="s">
        <v>26572</v>
      </c>
      <c r="V1479" s="36" t="s">
        <v>26573</v>
      </c>
      <c r="W1479" s="36" t="s">
        <v>94</v>
      </c>
      <c r="X1479" s="36">
        <v>3987</v>
      </c>
      <c r="Z1479" s="33" t="s">
        <v>42967</v>
      </c>
      <c r="AA1479" s="33">
        <v>6184</v>
      </c>
    </row>
    <row r="1480" spans="1:27" ht="12" customHeight="1" x14ac:dyDescent="0.15">
      <c r="A1480" s="34" t="s">
        <v>34297</v>
      </c>
      <c r="B1480" s="34">
        <v>35</v>
      </c>
      <c r="C1480" s="34" t="s">
        <v>14</v>
      </c>
      <c r="D1480" s="34" t="s">
        <v>24</v>
      </c>
      <c r="E1480" s="34"/>
      <c r="F1480" s="67">
        <v>43336</v>
      </c>
      <c r="G1480" s="34" t="s">
        <v>34298</v>
      </c>
      <c r="H1480" s="34" t="s">
        <v>34299</v>
      </c>
      <c r="I1480" s="34" t="s">
        <v>402</v>
      </c>
      <c r="J1480" s="34">
        <v>63028</v>
      </c>
      <c r="K1480" s="34" t="s">
        <v>1659</v>
      </c>
      <c r="L1480" s="34" t="s">
        <v>36441</v>
      </c>
      <c r="M1480" s="34" t="s">
        <v>21</v>
      </c>
      <c r="N1480" s="34" t="s">
        <v>34300</v>
      </c>
      <c r="O1480" s="34" t="s">
        <v>372</v>
      </c>
      <c r="P1480" s="34" t="s">
        <v>30089</v>
      </c>
      <c r="Q1480" s="35" t="s">
        <v>34301</v>
      </c>
      <c r="R1480" s="34" t="s">
        <v>94</v>
      </c>
      <c r="S1480" s="34" t="s">
        <v>351</v>
      </c>
      <c r="T1480" s="36" t="s">
        <v>26867</v>
      </c>
      <c r="U1480" s="36" t="s">
        <v>26572</v>
      </c>
      <c r="V1480" s="36" t="s">
        <v>26571</v>
      </c>
      <c r="W1480" s="36"/>
      <c r="X1480" s="36"/>
      <c r="Z1480" s="33" t="s">
        <v>42967</v>
      </c>
      <c r="AA1480" s="33">
        <v>6188</v>
      </c>
    </row>
    <row r="1481" spans="1:27" ht="12" customHeight="1" x14ac:dyDescent="0.15">
      <c r="A1481" s="34" t="s">
        <v>34287</v>
      </c>
      <c r="B1481" s="34">
        <v>20</v>
      </c>
      <c r="C1481" s="34" t="s">
        <v>14</v>
      </c>
      <c r="D1481" s="34" t="s">
        <v>79</v>
      </c>
      <c r="E1481" s="35" t="s">
        <v>34288</v>
      </c>
      <c r="F1481" s="67">
        <v>43336</v>
      </c>
      <c r="G1481" s="34" t="s">
        <v>34289</v>
      </c>
      <c r="H1481" s="34" t="s">
        <v>504</v>
      </c>
      <c r="I1481" s="34" t="s">
        <v>63</v>
      </c>
      <c r="J1481" s="34">
        <v>45206</v>
      </c>
      <c r="K1481" s="34" t="s">
        <v>505</v>
      </c>
      <c r="L1481" s="34" t="s">
        <v>506</v>
      </c>
      <c r="M1481" s="34" t="s">
        <v>21</v>
      </c>
      <c r="N1481" s="34" t="s">
        <v>34290</v>
      </c>
      <c r="O1481" s="34" t="s">
        <v>372</v>
      </c>
      <c r="P1481" s="34" t="s">
        <v>30089</v>
      </c>
      <c r="Q1481" s="35" t="s">
        <v>34291</v>
      </c>
      <c r="R1481" s="34" t="s">
        <v>94</v>
      </c>
      <c r="S1481" s="34" t="s">
        <v>22</v>
      </c>
      <c r="T1481" s="36" t="s">
        <v>26781</v>
      </c>
      <c r="U1481" s="36" t="s">
        <v>26572</v>
      </c>
      <c r="V1481" s="36" t="s">
        <v>26573</v>
      </c>
      <c r="W1481" s="36" t="s">
        <v>94</v>
      </c>
      <c r="X1481" s="36">
        <v>3989</v>
      </c>
      <c r="Z1481" s="33" t="s">
        <v>42966</v>
      </c>
      <c r="AA1481" s="33">
        <v>6185</v>
      </c>
    </row>
    <row r="1482" spans="1:27" ht="12" customHeight="1" x14ac:dyDescent="0.15">
      <c r="A1482" s="34" t="s">
        <v>34292</v>
      </c>
      <c r="B1482" s="34">
        <v>25</v>
      </c>
      <c r="C1482" s="34" t="s">
        <v>14</v>
      </c>
      <c r="D1482" s="34" t="s">
        <v>79</v>
      </c>
      <c r="E1482" s="35" t="s">
        <v>34293</v>
      </c>
      <c r="F1482" s="67">
        <v>43336</v>
      </c>
      <c r="G1482" s="34" t="s">
        <v>34294</v>
      </c>
      <c r="H1482" s="34" t="s">
        <v>2307</v>
      </c>
      <c r="I1482" s="34" t="s">
        <v>367</v>
      </c>
      <c r="J1482" s="34">
        <v>74103</v>
      </c>
      <c r="K1482" s="34" t="s">
        <v>2307</v>
      </c>
      <c r="L1482" s="34" t="s">
        <v>3108</v>
      </c>
      <c r="M1482" s="34" t="s">
        <v>363</v>
      </c>
      <c r="N1482" s="34" t="s">
        <v>34295</v>
      </c>
      <c r="O1482" s="34" t="s">
        <v>372</v>
      </c>
      <c r="P1482" s="34" t="s">
        <v>30089</v>
      </c>
      <c r="Q1482" s="35" t="s">
        <v>34296</v>
      </c>
      <c r="R1482" s="34" t="s">
        <v>23</v>
      </c>
      <c r="S1482" s="34" t="s">
        <v>12</v>
      </c>
      <c r="T1482" s="34" t="s">
        <v>29705</v>
      </c>
      <c r="U1482" s="34"/>
      <c r="V1482" s="34"/>
      <c r="W1482" s="34"/>
      <c r="X1482" s="34"/>
      <c r="Z1482" s="33" t="s">
        <v>42966</v>
      </c>
      <c r="AA1482" s="33">
        <v>6187</v>
      </c>
    </row>
    <row r="1483" spans="1:27" ht="12" customHeight="1" x14ac:dyDescent="0.15">
      <c r="A1483" s="34" t="s">
        <v>34302</v>
      </c>
      <c r="B1483" s="34">
        <v>41</v>
      </c>
      <c r="C1483" s="34" t="s">
        <v>14</v>
      </c>
      <c r="D1483" s="34" t="s">
        <v>42</v>
      </c>
      <c r="E1483" s="34"/>
      <c r="F1483" s="67">
        <v>43336</v>
      </c>
      <c r="G1483" s="34" t="s">
        <v>34303</v>
      </c>
      <c r="H1483" s="34" t="s">
        <v>631</v>
      </c>
      <c r="I1483" s="34" t="s">
        <v>39</v>
      </c>
      <c r="J1483" s="34">
        <v>93308</v>
      </c>
      <c r="K1483" s="34" t="s">
        <v>632</v>
      </c>
      <c r="L1483" s="34" t="s">
        <v>897</v>
      </c>
      <c r="M1483" s="34" t="s">
        <v>21</v>
      </c>
      <c r="N1483" s="34" t="s">
        <v>34304</v>
      </c>
      <c r="O1483" s="34" t="s">
        <v>372</v>
      </c>
      <c r="P1483" s="34" t="s">
        <v>30089</v>
      </c>
      <c r="Q1483" s="35" t="s">
        <v>34305</v>
      </c>
      <c r="R1483" s="34" t="s">
        <v>94</v>
      </c>
      <c r="S1483" s="34" t="s">
        <v>22</v>
      </c>
      <c r="T1483" s="36" t="s">
        <v>26774</v>
      </c>
      <c r="U1483" s="36" t="s">
        <v>26570</v>
      </c>
      <c r="V1483" s="36"/>
      <c r="W1483" s="36" t="s">
        <v>94</v>
      </c>
      <c r="X1483" s="36">
        <v>3992</v>
      </c>
      <c r="Z1483" s="33" t="s">
        <v>42968</v>
      </c>
      <c r="AA1483" s="33">
        <v>6186</v>
      </c>
    </row>
    <row r="1484" spans="1:27" ht="12" customHeight="1" x14ac:dyDescent="0.15">
      <c r="A1484" s="34" t="s">
        <v>3002</v>
      </c>
      <c r="B1484" s="34">
        <v>55</v>
      </c>
      <c r="C1484" s="34" t="s">
        <v>14</v>
      </c>
      <c r="D1484" s="34" t="s">
        <v>24</v>
      </c>
      <c r="E1484" s="34"/>
      <c r="F1484" s="67">
        <v>43335</v>
      </c>
      <c r="G1484" s="34" t="s">
        <v>34324</v>
      </c>
      <c r="H1484" s="34" t="s">
        <v>34325</v>
      </c>
      <c r="I1484" s="34" t="s">
        <v>282</v>
      </c>
      <c r="J1484" s="34">
        <v>98155</v>
      </c>
      <c r="K1484" s="34" t="s">
        <v>1133</v>
      </c>
      <c r="L1484" s="34" t="s">
        <v>34326</v>
      </c>
      <c r="M1484" s="34" t="s">
        <v>21</v>
      </c>
      <c r="N1484" s="34" t="s">
        <v>34327</v>
      </c>
      <c r="O1484" s="34" t="s">
        <v>372</v>
      </c>
      <c r="P1484" s="34" t="s">
        <v>30089</v>
      </c>
      <c r="Q1484" s="35" t="s">
        <v>34328</v>
      </c>
      <c r="R1484" s="34" t="s">
        <v>94</v>
      </c>
      <c r="S1484" s="34" t="s">
        <v>22</v>
      </c>
      <c r="T1484" s="36" t="s">
        <v>26781</v>
      </c>
      <c r="U1484" s="36" t="s">
        <v>26572</v>
      </c>
      <c r="V1484" s="36" t="s">
        <v>26573</v>
      </c>
      <c r="W1484" s="36"/>
      <c r="X1484" s="36"/>
      <c r="Z1484" s="33" t="s">
        <v>42968</v>
      </c>
      <c r="AA1484" s="33">
        <v>6179</v>
      </c>
    </row>
    <row r="1485" spans="1:27" ht="12" customHeight="1" x14ac:dyDescent="0.15">
      <c r="A1485" s="34" t="s">
        <v>34320</v>
      </c>
      <c r="B1485" s="34">
        <v>36</v>
      </c>
      <c r="C1485" s="34" t="s">
        <v>14</v>
      </c>
      <c r="D1485" s="34" t="s">
        <v>24</v>
      </c>
      <c r="E1485" s="34"/>
      <c r="F1485" s="67">
        <v>43335</v>
      </c>
      <c r="G1485" s="34" t="s">
        <v>34321</v>
      </c>
      <c r="H1485" s="34" t="s">
        <v>6993</v>
      </c>
      <c r="I1485" s="34" t="s">
        <v>376</v>
      </c>
      <c r="J1485" s="34">
        <v>16423</v>
      </c>
      <c r="K1485" s="34" t="s">
        <v>7964</v>
      </c>
      <c r="L1485" s="34" t="s">
        <v>473</v>
      </c>
      <c r="M1485" s="34" t="s">
        <v>21</v>
      </c>
      <c r="N1485" s="34" t="s">
        <v>34322</v>
      </c>
      <c r="O1485" s="34" t="s">
        <v>31972</v>
      </c>
      <c r="P1485" s="34" t="s">
        <v>30089</v>
      </c>
      <c r="Q1485" s="35" t="s">
        <v>34323</v>
      </c>
      <c r="R1485" s="34" t="s">
        <v>94</v>
      </c>
      <c r="S1485" s="34" t="s">
        <v>29</v>
      </c>
      <c r="T1485" s="33" t="s">
        <v>41840</v>
      </c>
      <c r="U1485" s="36"/>
      <c r="V1485" s="36"/>
      <c r="W1485" s="36"/>
      <c r="X1485" s="36"/>
      <c r="Z1485" s="33" t="s">
        <v>42968</v>
      </c>
      <c r="AA1485" s="33">
        <v>6181</v>
      </c>
    </row>
    <row r="1486" spans="1:27" ht="12" customHeight="1" x14ac:dyDescent="0.15">
      <c r="A1486" s="34" t="s">
        <v>3002</v>
      </c>
      <c r="B1486" s="34" t="s">
        <v>23</v>
      </c>
      <c r="C1486" s="34" t="s">
        <v>14</v>
      </c>
      <c r="D1486" s="34" t="s">
        <v>24</v>
      </c>
      <c r="E1486" s="34"/>
      <c r="F1486" s="67">
        <v>43335</v>
      </c>
      <c r="G1486" s="34" t="s">
        <v>34329</v>
      </c>
      <c r="H1486" s="34" t="s">
        <v>3383</v>
      </c>
      <c r="I1486" s="34" t="s">
        <v>39</v>
      </c>
      <c r="J1486" s="34">
        <v>92701</v>
      </c>
      <c r="K1486" s="34" t="s">
        <v>998</v>
      </c>
      <c r="L1486" s="34" t="s">
        <v>3385</v>
      </c>
      <c r="M1486" s="34" t="s">
        <v>21</v>
      </c>
      <c r="N1486" s="34" t="s">
        <v>34330</v>
      </c>
      <c r="O1486" s="34" t="s">
        <v>372</v>
      </c>
      <c r="P1486" s="34" t="s">
        <v>30089</v>
      </c>
      <c r="Q1486" s="35" t="s">
        <v>34331</v>
      </c>
      <c r="R1486" s="34" t="s">
        <v>94</v>
      </c>
      <c r="S1486" s="34" t="s">
        <v>29</v>
      </c>
      <c r="T1486" s="33" t="s">
        <v>41840</v>
      </c>
      <c r="U1486" s="36"/>
      <c r="V1486" s="36"/>
      <c r="W1486" s="36"/>
      <c r="X1486" s="36"/>
      <c r="Z1486" s="33" t="s">
        <v>42966</v>
      </c>
      <c r="AA1486" s="33">
        <v>6182</v>
      </c>
    </row>
    <row r="1487" spans="1:27" ht="12" customHeight="1" x14ac:dyDescent="0.15">
      <c r="A1487" s="34" t="s">
        <v>34316</v>
      </c>
      <c r="B1487" s="34">
        <v>23</v>
      </c>
      <c r="C1487" s="34" t="s">
        <v>103</v>
      </c>
      <c r="D1487" s="34" t="s">
        <v>42</v>
      </c>
      <c r="E1487" s="34"/>
      <c r="F1487" s="67">
        <v>43335</v>
      </c>
      <c r="G1487" s="34" t="s">
        <v>34317</v>
      </c>
      <c r="H1487" s="34" t="s">
        <v>1831</v>
      </c>
      <c r="I1487" s="34" t="s">
        <v>178</v>
      </c>
      <c r="J1487" s="34">
        <v>87031</v>
      </c>
      <c r="K1487" s="34" t="s">
        <v>1833</v>
      </c>
      <c r="L1487" s="34" t="s">
        <v>32218</v>
      </c>
      <c r="M1487" s="34" t="s">
        <v>21</v>
      </c>
      <c r="N1487" s="34" t="s">
        <v>34318</v>
      </c>
      <c r="O1487" s="34" t="s">
        <v>372</v>
      </c>
      <c r="P1487" s="34" t="s">
        <v>30089</v>
      </c>
      <c r="Q1487" s="35" t="s">
        <v>34319</v>
      </c>
      <c r="R1487" s="34" t="s">
        <v>94</v>
      </c>
      <c r="S1487" s="34" t="s">
        <v>351</v>
      </c>
      <c r="T1487" s="36" t="s">
        <v>26867</v>
      </c>
      <c r="U1487" s="36" t="s">
        <v>26570</v>
      </c>
      <c r="V1487" s="36" t="s">
        <v>26573</v>
      </c>
      <c r="W1487" s="36" t="s">
        <v>94</v>
      </c>
      <c r="X1487" s="36">
        <v>3988</v>
      </c>
      <c r="Z1487" s="33" t="s">
        <v>42967</v>
      </c>
      <c r="AA1487" s="33">
        <v>6183</v>
      </c>
    </row>
    <row r="1488" spans="1:27" ht="12" customHeight="1" x14ac:dyDescent="0.15">
      <c r="A1488" s="34" t="s">
        <v>34311</v>
      </c>
      <c r="B1488" s="34">
        <v>23</v>
      </c>
      <c r="C1488" s="34" t="s">
        <v>103</v>
      </c>
      <c r="D1488" s="34" t="s">
        <v>31</v>
      </c>
      <c r="E1488" s="35" t="s">
        <v>34312</v>
      </c>
      <c r="F1488" s="67">
        <v>43335</v>
      </c>
      <c r="G1488" s="34" t="s">
        <v>34313</v>
      </c>
      <c r="H1488" s="34" t="s">
        <v>1202</v>
      </c>
      <c r="I1488" s="34" t="s">
        <v>63</v>
      </c>
      <c r="J1488" s="34">
        <v>43223</v>
      </c>
      <c r="K1488" s="34" t="s">
        <v>1203</v>
      </c>
      <c r="L1488" s="34" t="s">
        <v>11441</v>
      </c>
      <c r="M1488" s="34" t="s">
        <v>21</v>
      </c>
      <c r="N1488" s="34" t="s">
        <v>34314</v>
      </c>
      <c r="O1488" s="34" t="s">
        <v>372</v>
      </c>
      <c r="P1488" s="34" t="s">
        <v>30089</v>
      </c>
      <c r="Q1488" s="35" t="s">
        <v>34315</v>
      </c>
      <c r="R1488" s="34" t="s">
        <v>94</v>
      </c>
      <c r="S1488" s="34" t="s">
        <v>22</v>
      </c>
      <c r="T1488" s="36" t="s">
        <v>26578</v>
      </c>
      <c r="U1488" s="36" t="s">
        <v>26572</v>
      </c>
      <c r="V1488" s="36" t="s">
        <v>26573</v>
      </c>
      <c r="W1488" s="36" t="s">
        <v>94</v>
      </c>
      <c r="X1488" s="36">
        <v>3993</v>
      </c>
      <c r="Z1488" s="33" t="s">
        <v>42966</v>
      </c>
      <c r="AA1488" s="33">
        <v>6180</v>
      </c>
    </row>
    <row r="1489" spans="1:27" ht="12" customHeight="1" x14ac:dyDescent="0.15">
      <c r="A1489" s="34" t="s">
        <v>34332</v>
      </c>
      <c r="B1489" s="34">
        <v>23</v>
      </c>
      <c r="C1489" s="34" t="s">
        <v>14</v>
      </c>
      <c r="D1489" s="34" t="s">
        <v>24</v>
      </c>
      <c r="E1489" s="34"/>
      <c r="F1489" s="67">
        <v>43332</v>
      </c>
      <c r="G1489" s="34" t="s">
        <v>34333</v>
      </c>
      <c r="H1489" s="34" t="s">
        <v>34334</v>
      </c>
      <c r="I1489" s="34" t="s">
        <v>39</v>
      </c>
      <c r="J1489" s="34">
        <v>92675</v>
      </c>
      <c r="K1489" s="34" t="s">
        <v>998</v>
      </c>
      <c r="L1489" s="34" t="s">
        <v>2204</v>
      </c>
      <c r="M1489" s="34" t="s">
        <v>363</v>
      </c>
      <c r="N1489" s="34" t="s">
        <v>34335</v>
      </c>
      <c r="O1489" s="34" t="s">
        <v>372</v>
      </c>
      <c r="P1489" s="34" t="s">
        <v>30089</v>
      </c>
      <c r="Q1489" s="35" t="s">
        <v>34336</v>
      </c>
      <c r="R1489" s="34" t="s">
        <v>512</v>
      </c>
      <c r="S1489" s="34" t="s">
        <v>12</v>
      </c>
      <c r="T1489" s="34" t="s">
        <v>29705</v>
      </c>
      <c r="U1489" s="34" t="s">
        <v>26572</v>
      </c>
      <c r="V1489" s="34" t="s">
        <v>26573</v>
      </c>
      <c r="W1489" s="34"/>
      <c r="X1489" s="34"/>
      <c r="Z1489" s="33" t="s">
        <v>42968</v>
      </c>
      <c r="AA1489" s="33">
        <v>6177</v>
      </c>
    </row>
    <row r="1490" spans="1:27" ht="12" customHeight="1" x14ac:dyDescent="0.15">
      <c r="A1490" s="34" t="s">
        <v>34342</v>
      </c>
      <c r="B1490" s="34">
        <v>38</v>
      </c>
      <c r="C1490" s="34" t="s">
        <v>14</v>
      </c>
      <c r="D1490" s="34" t="s">
        <v>31</v>
      </c>
      <c r="E1490" s="35" t="s">
        <v>34343</v>
      </c>
      <c r="F1490" s="67">
        <v>43332</v>
      </c>
      <c r="G1490" s="34" t="s">
        <v>34344</v>
      </c>
      <c r="H1490" s="34" t="s">
        <v>1863</v>
      </c>
      <c r="I1490" s="34" t="s">
        <v>468</v>
      </c>
      <c r="J1490" s="34">
        <v>3839</v>
      </c>
      <c r="K1490" s="34" t="s">
        <v>10140</v>
      </c>
      <c r="L1490" s="34" t="s">
        <v>36354</v>
      </c>
      <c r="M1490" s="34" t="s">
        <v>21</v>
      </c>
      <c r="N1490" s="34" t="s">
        <v>36442</v>
      </c>
      <c r="O1490" s="34" t="s">
        <v>372</v>
      </c>
      <c r="P1490" s="34" t="s">
        <v>30089</v>
      </c>
      <c r="Q1490" s="35" t="s">
        <v>34345</v>
      </c>
      <c r="R1490" s="34" t="s">
        <v>94</v>
      </c>
      <c r="S1490" s="34" t="s">
        <v>22</v>
      </c>
      <c r="T1490" s="36" t="s">
        <v>26781</v>
      </c>
      <c r="U1490" s="36" t="s">
        <v>26572</v>
      </c>
      <c r="V1490" s="36" t="s">
        <v>26573</v>
      </c>
      <c r="W1490" s="36" t="s">
        <v>94</v>
      </c>
      <c r="X1490" s="36">
        <v>3986</v>
      </c>
      <c r="Z1490" s="33" t="s">
        <v>42968</v>
      </c>
      <c r="AA1490" s="33">
        <v>6176</v>
      </c>
    </row>
    <row r="1491" spans="1:27" ht="12" customHeight="1" x14ac:dyDescent="0.15">
      <c r="A1491" s="34" t="s">
        <v>34337</v>
      </c>
      <c r="B1491" s="34">
        <v>36</v>
      </c>
      <c r="C1491" s="34" t="s">
        <v>14</v>
      </c>
      <c r="D1491" s="34" t="s">
        <v>79</v>
      </c>
      <c r="E1491" s="35" t="s">
        <v>34338</v>
      </c>
      <c r="F1491" s="67">
        <v>43332</v>
      </c>
      <c r="G1491" s="34" t="s">
        <v>34339</v>
      </c>
      <c r="H1491" s="34" t="s">
        <v>1033</v>
      </c>
      <c r="I1491" s="34" t="s">
        <v>376</v>
      </c>
      <c r="J1491" s="34">
        <v>19135</v>
      </c>
      <c r="K1491" s="34" t="s">
        <v>1033</v>
      </c>
      <c r="L1491" s="34" t="s">
        <v>1034</v>
      </c>
      <c r="M1491" s="34" t="s">
        <v>21</v>
      </c>
      <c r="N1491" s="34" t="s">
        <v>34340</v>
      </c>
      <c r="O1491" s="34" t="s">
        <v>372</v>
      </c>
      <c r="P1491" s="34" t="s">
        <v>30089</v>
      </c>
      <c r="Q1491" s="35" t="s">
        <v>34341</v>
      </c>
      <c r="R1491" s="34" t="s">
        <v>94</v>
      </c>
      <c r="S1491" s="34" t="s">
        <v>351</v>
      </c>
      <c r="T1491" s="36" t="s">
        <v>26867</v>
      </c>
      <c r="U1491" s="36" t="s">
        <v>26572</v>
      </c>
      <c r="V1491" s="36" t="s">
        <v>26571</v>
      </c>
      <c r="W1491" s="36" t="s">
        <v>94</v>
      </c>
      <c r="X1491" s="36">
        <v>3985</v>
      </c>
      <c r="Z1491" s="33" t="s">
        <v>42966</v>
      </c>
      <c r="AA1491" s="33">
        <v>6178</v>
      </c>
    </row>
    <row r="1492" spans="1:27" ht="12" customHeight="1" x14ac:dyDescent="0.15">
      <c r="A1492" s="34" t="s">
        <v>34351</v>
      </c>
      <c r="B1492" s="34">
        <v>33</v>
      </c>
      <c r="C1492" s="34" t="s">
        <v>14</v>
      </c>
      <c r="D1492" s="34" t="s">
        <v>79</v>
      </c>
      <c r="E1492" s="34"/>
      <c r="F1492" s="67">
        <v>43331</v>
      </c>
      <c r="G1492" s="34" t="s">
        <v>34352</v>
      </c>
      <c r="H1492" s="34" t="s">
        <v>1786</v>
      </c>
      <c r="I1492" s="34" t="s">
        <v>160</v>
      </c>
      <c r="J1492" s="34">
        <v>30310</v>
      </c>
      <c r="K1492" s="34" t="s">
        <v>1454</v>
      </c>
      <c r="L1492" s="34" t="s">
        <v>2356</v>
      </c>
      <c r="M1492" s="34" t="s">
        <v>21</v>
      </c>
      <c r="N1492" s="34" t="s">
        <v>34353</v>
      </c>
      <c r="O1492" s="34" t="s">
        <v>372</v>
      </c>
      <c r="P1492" s="34" t="s">
        <v>30089</v>
      </c>
      <c r="Q1492" s="35" t="s">
        <v>34354</v>
      </c>
      <c r="R1492" s="34" t="s">
        <v>94</v>
      </c>
      <c r="S1492" s="34" t="s">
        <v>22</v>
      </c>
      <c r="T1492" s="36" t="s">
        <v>26781</v>
      </c>
      <c r="U1492" s="36" t="s">
        <v>26570</v>
      </c>
      <c r="V1492" s="36"/>
      <c r="W1492" s="36" t="s">
        <v>94</v>
      </c>
      <c r="X1492" s="36">
        <v>3981</v>
      </c>
      <c r="Z1492" s="33" t="s">
        <v>42966</v>
      </c>
      <c r="AA1492" s="33">
        <v>6173</v>
      </c>
    </row>
    <row r="1493" spans="1:27" ht="12" customHeight="1" x14ac:dyDescent="0.15">
      <c r="A1493" s="34" t="s">
        <v>34355</v>
      </c>
      <c r="B1493" s="34">
        <v>67</v>
      </c>
      <c r="C1493" s="34" t="s">
        <v>14</v>
      </c>
      <c r="D1493" s="34" t="s">
        <v>31</v>
      </c>
      <c r="E1493" s="34"/>
      <c r="F1493" s="67">
        <v>43331</v>
      </c>
      <c r="G1493" s="34" t="s">
        <v>34356</v>
      </c>
      <c r="H1493" s="34" t="s">
        <v>15216</v>
      </c>
      <c r="I1493" s="34" t="s">
        <v>798</v>
      </c>
      <c r="J1493" s="34">
        <v>59405</v>
      </c>
      <c r="K1493" s="34" t="s">
        <v>13474</v>
      </c>
      <c r="L1493" s="34" t="s">
        <v>29124</v>
      </c>
      <c r="M1493" s="34" t="s">
        <v>21</v>
      </c>
      <c r="N1493" s="34" t="s">
        <v>34357</v>
      </c>
      <c r="O1493" s="34" t="s">
        <v>372</v>
      </c>
      <c r="P1493" s="34" t="s">
        <v>30089</v>
      </c>
      <c r="Q1493" s="35" t="s">
        <v>34358</v>
      </c>
      <c r="R1493" s="34" t="s">
        <v>94</v>
      </c>
      <c r="S1493" s="34" t="s">
        <v>22</v>
      </c>
      <c r="T1493" s="36" t="s">
        <v>26781</v>
      </c>
      <c r="U1493" s="36" t="s">
        <v>26570</v>
      </c>
      <c r="V1493" s="36" t="s">
        <v>26573</v>
      </c>
      <c r="W1493" s="36" t="s">
        <v>94</v>
      </c>
      <c r="X1493" s="36">
        <v>3983</v>
      </c>
      <c r="Z1493" s="33" t="s">
        <v>42968</v>
      </c>
      <c r="AA1493" s="33">
        <v>6174</v>
      </c>
    </row>
    <row r="1494" spans="1:27" ht="12" customHeight="1" x14ac:dyDescent="0.15">
      <c r="A1494" s="34" t="s">
        <v>36341</v>
      </c>
      <c r="B1494" s="34">
        <v>42</v>
      </c>
      <c r="C1494" s="34" t="s">
        <v>14</v>
      </c>
      <c r="D1494" s="34" t="s">
        <v>24</v>
      </c>
      <c r="E1494" s="34"/>
      <c r="F1494" s="67">
        <v>43331</v>
      </c>
      <c r="G1494" s="34" t="s">
        <v>34359</v>
      </c>
      <c r="H1494" s="34" t="s">
        <v>10574</v>
      </c>
      <c r="I1494" s="34" t="s">
        <v>282</v>
      </c>
      <c r="J1494" s="34">
        <v>99216</v>
      </c>
      <c r="K1494" s="34" t="s">
        <v>782</v>
      </c>
      <c r="L1494" s="34" t="s">
        <v>34360</v>
      </c>
      <c r="M1494" s="34" t="s">
        <v>21</v>
      </c>
      <c r="N1494" s="34" t="s">
        <v>34361</v>
      </c>
      <c r="O1494" s="34" t="s">
        <v>372</v>
      </c>
      <c r="P1494" s="34" t="s">
        <v>30089</v>
      </c>
      <c r="Q1494" s="35" t="s">
        <v>34362</v>
      </c>
      <c r="R1494" s="36" t="s">
        <v>512</v>
      </c>
      <c r="S1494" s="34" t="s">
        <v>22</v>
      </c>
      <c r="T1494" s="36" t="s">
        <v>26781</v>
      </c>
      <c r="U1494" s="36" t="s">
        <v>26572</v>
      </c>
      <c r="V1494" s="36" t="s">
        <v>26573</v>
      </c>
      <c r="W1494" s="36" t="s">
        <v>94</v>
      </c>
      <c r="X1494" s="36">
        <v>3980</v>
      </c>
      <c r="Z1494" s="33" t="s">
        <v>42966</v>
      </c>
      <c r="AA1494" s="33">
        <v>6172</v>
      </c>
    </row>
    <row r="1495" spans="1:27" ht="12" customHeight="1" x14ac:dyDescent="0.15">
      <c r="A1495" s="34" t="s">
        <v>34346</v>
      </c>
      <c r="B1495" s="34">
        <v>21</v>
      </c>
      <c r="C1495" s="34" t="s">
        <v>14</v>
      </c>
      <c r="D1495" s="34" t="s">
        <v>79</v>
      </c>
      <c r="E1495" s="35" t="s">
        <v>34347</v>
      </c>
      <c r="F1495" s="67">
        <v>43331</v>
      </c>
      <c r="G1495" s="34" t="s">
        <v>34348</v>
      </c>
      <c r="H1495" s="34" t="s">
        <v>631</v>
      </c>
      <c r="I1495" s="34" t="s">
        <v>39</v>
      </c>
      <c r="J1495" s="34">
        <v>93309</v>
      </c>
      <c r="K1495" s="34" t="s">
        <v>632</v>
      </c>
      <c r="L1495" s="34" t="s">
        <v>633</v>
      </c>
      <c r="M1495" s="34" t="s">
        <v>21</v>
      </c>
      <c r="N1495" s="34" t="s">
        <v>34349</v>
      </c>
      <c r="O1495" s="34" t="s">
        <v>372</v>
      </c>
      <c r="P1495" s="34" t="s">
        <v>30089</v>
      </c>
      <c r="Q1495" s="35" t="s">
        <v>34350</v>
      </c>
      <c r="R1495" s="34" t="s">
        <v>94</v>
      </c>
      <c r="S1495" s="34" t="s">
        <v>12</v>
      </c>
      <c r="T1495" s="36" t="s">
        <v>29425</v>
      </c>
      <c r="U1495" s="36" t="s">
        <v>26570</v>
      </c>
      <c r="V1495" s="36" t="s">
        <v>26573</v>
      </c>
      <c r="W1495" s="36" t="s">
        <v>94</v>
      </c>
      <c r="X1495" s="36">
        <v>3978</v>
      </c>
      <c r="Z1495" s="33" t="s">
        <v>42968</v>
      </c>
      <c r="AA1495" s="33">
        <v>6175</v>
      </c>
    </row>
    <row r="1496" spans="1:27" ht="12" customHeight="1" x14ac:dyDescent="0.15">
      <c r="A1496" s="34" t="s">
        <v>34369</v>
      </c>
      <c r="B1496" s="34">
        <v>28</v>
      </c>
      <c r="C1496" s="34" t="s">
        <v>14</v>
      </c>
      <c r="D1496" s="34" t="s">
        <v>42</v>
      </c>
      <c r="E1496" s="34"/>
      <c r="F1496" s="67">
        <v>43330</v>
      </c>
      <c r="G1496" s="34" t="s">
        <v>34370</v>
      </c>
      <c r="H1496" s="34" t="s">
        <v>584</v>
      </c>
      <c r="I1496" s="34" t="s">
        <v>112</v>
      </c>
      <c r="J1496" s="34">
        <v>85041</v>
      </c>
      <c r="K1496" s="34" t="s">
        <v>585</v>
      </c>
      <c r="L1496" s="34" t="s">
        <v>586</v>
      </c>
      <c r="M1496" s="34" t="s">
        <v>4966</v>
      </c>
      <c r="N1496" s="34" t="s">
        <v>34371</v>
      </c>
      <c r="O1496" s="34" t="s">
        <v>372</v>
      </c>
      <c r="P1496" s="34" t="s">
        <v>30089</v>
      </c>
      <c r="Q1496" s="35" t="s">
        <v>34372</v>
      </c>
      <c r="R1496" s="34" t="s">
        <v>94</v>
      </c>
      <c r="S1496" s="34" t="s">
        <v>22</v>
      </c>
      <c r="T1496" s="36" t="s">
        <v>26781</v>
      </c>
      <c r="U1496" s="36" t="s">
        <v>26570</v>
      </c>
      <c r="V1496" s="36" t="s">
        <v>26574</v>
      </c>
      <c r="W1496" s="36" t="s">
        <v>94</v>
      </c>
      <c r="X1496" s="36">
        <v>3982</v>
      </c>
      <c r="Z1496" s="33" t="s">
        <v>42968</v>
      </c>
      <c r="AA1496" s="33">
        <v>6170</v>
      </c>
    </row>
    <row r="1497" spans="1:27" ht="12" customHeight="1" x14ac:dyDescent="0.15">
      <c r="A1497" s="34" t="s">
        <v>34373</v>
      </c>
      <c r="B1497" s="34">
        <v>30</v>
      </c>
      <c r="C1497" s="34" t="s">
        <v>14</v>
      </c>
      <c r="D1497" s="34" t="s">
        <v>31</v>
      </c>
      <c r="E1497" s="34"/>
      <c r="F1497" s="67">
        <v>43330</v>
      </c>
      <c r="G1497" s="34" t="s">
        <v>34374</v>
      </c>
      <c r="H1497" s="34" t="s">
        <v>12764</v>
      </c>
      <c r="I1497" s="34" t="s">
        <v>39</v>
      </c>
      <c r="J1497" s="34">
        <v>90232</v>
      </c>
      <c r="K1497" s="34" t="s">
        <v>92</v>
      </c>
      <c r="L1497" s="34" t="s">
        <v>12766</v>
      </c>
      <c r="M1497" s="34" t="s">
        <v>21</v>
      </c>
      <c r="N1497" s="34" t="s">
        <v>34375</v>
      </c>
      <c r="O1497" s="34" t="s">
        <v>372</v>
      </c>
      <c r="P1497" s="34" t="s">
        <v>30089</v>
      </c>
      <c r="Q1497" s="35" t="s">
        <v>34376</v>
      </c>
      <c r="R1497" s="34" t="s">
        <v>94</v>
      </c>
      <c r="S1497" s="34" t="s">
        <v>22</v>
      </c>
      <c r="T1497" s="36" t="s">
        <v>26774</v>
      </c>
      <c r="U1497" s="36" t="s">
        <v>26570</v>
      </c>
      <c r="V1497" s="36" t="s">
        <v>26573</v>
      </c>
      <c r="W1497" s="36" t="s">
        <v>94</v>
      </c>
      <c r="X1497" s="36">
        <v>3984</v>
      </c>
      <c r="Z1497" s="33" t="s">
        <v>42966</v>
      </c>
      <c r="AA1497" s="33">
        <v>6171</v>
      </c>
    </row>
    <row r="1498" spans="1:27" ht="12" customHeight="1" x14ac:dyDescent="0.15">
      <c r="A1498" s="34" t="s">
        <v>34363</v>
      </c>
      <c r="B1498" s="34">
        <v>15</v>
      </c>
      <c r="C1498" s="34" t="s">
        <v>14</v>
      </c>
      <c r="D1498" s="34" t="s">
        <v>42</v>
      </c>
      <c r="E1498" s="35" t="s">
        <v>34364</v>
      </c>
      <c r="F1498" s="67">
        <v>43330</v>
      </c>
      <c r="G1498" s="34" t="s">
        <v>34365</v>
      </c>
      <c r="H1498" s="34" t="s">
        <v>34366</v>
      </c>
      <c r="I1498" s="34" t="s">
        <v>39</v>
      </c>
      <c r="J1498" s="34">
        <v>95316</v>
      </c>
      <c r="K1498" s="34" t="s">
        <v>2954</v>
      </c>
      <c r="L1498" s="34" t="s">
        <v>2955</v>
      </c>
      <c r="M1498" s="34" t="s">
        <v>21</v>
      </c>
      <c r="N1498" s="34" t="s">
        <v>34367</v>
      </c>
      <c r="O1498" s="34" t="s">
        <v>372</v>
      </c>
      <c r="P1498" s="34" t="s">
        <v>30089</v>
      </c>
      <c r="Q1498" s="35" t="s">
        <v>34368</v>
      </c>
      <c r="R1498" s="34" t="s">
        <v>94</v>
      </c>
      <c r="S1498" s="34" t="s">
        <v>22</v>
      </c>
      <c r="T1498" s="36" t="s">
        <v>26781</v>
      </c>
      <c r="U1498" s="36" t="s">
        <v>26570</v>
      </c>
      <c r="V1498" s="36" t="s">
        <v>19228</v>
      </c>
      <c r="W1498" s="36" t="s">
        <v>94</v>
      </c>
      <c r="X1498" s="36">
        <v>3977</v>
      </c>
      <c r="Z1498" s="33" t="s">
        <v>42967</v>
      </c>
      <c r="AA1498" s="33">
        <v>6169</v>
      </c>
    </row>
    <row r="1499" spans="1:27" ht="12" customHeight="1" x14ac:dyDescent="0.15">
      <c r="A1499" s="34" t="s">
        <v>34377</v>
      </c>
      <c r="B1499" s="34">
        <v>17</v>
      </c>
      <c r="C1499" s="34" t="s">
        <v>14</v>
      </c>
      <c r="D1499" s="34" t="s">
        <v>42</v>
      </c>
      <c r="E1499" s="34"/>
      <c r="F1499" s="67">
        <v>43329</v>
      </c>
      <c r="G1499" s="34" t="s">
        <v>34378</v>
      </c>
      <c r="H1499" s="34" t="s">
        <v>266</v>
      </c>
      <c r="I1499" s="34" t="s">
        <v>67</v>
      </c>
      <c r="J1499" s="34">
        <v>75227</v>
      </c>
      <c r="K1499" s="34" t="s">
        <v>266</v>
      </c>
      <c r="L1499" s="34" t="s">
        <v>267</v>
      </c>
      <c r="M1499" s="34" t="s">
        <v>21</v>
      </c>
      <c r="N1499" s="34" t="s">
        <v>34379</v>
      </c>
      <c r="O1499" s="34" t="s">
        <v>372</v>
      </c>
      <c r="P1499" s="34" t="s">
        <v>30089</v>
      </c>
      <c r="Q1499" s="35" t="s">
        <v>34380</v>
      </c>
      <c r="R1499" s="34" t="s">
        <v>94</v>
      </c>
      <c r="S1499" s="34" t="s">
        <v>22</v>
      </c>
      <c r="T1499" s="36" t="s">
        <v>26781</v>
      </c>
      <c r="U1499" s="36" t="s">
        <v>26572</v>
      </c>
      <c r="V1499" s="36" t="s">
        <v>26573</v>
      </c>
      <c r="W1499" s="36"/>
      <c r="X1499" s="36"/>
      <c r="Z1499" s="33" t="s">
        <v>42968</v>
      </c>
      <c r="AA1499" s="33">
        <v>6167</v>
      </c>
    </row>
    <row r="1500" spans="1:27" ht="12" customHeight="1" x14ac:dyDescent="0.15">
      <c r="A1500" s="34" t="s">
        <v>34381</v>
      </c>
      <c r="B1500" s="34">
        <v>21</v>
      </c>
      <c r="C1500" s="34" t="s">
        <v>14</v>
      </c>
      <c r="D1500" s="34" t="s">
        <v>79</v>
      </c>
      <c r="E1500" s="35" t="s">
        <v>34382</v>
      </c>
      <c r="F1500" s="67">
        <v>43329</v>
      </c>
      <c r="G1500" s="34" t="s">
        <v>34383</v>
      </c>
      <c r="H1500" s="34" t="s">
        <v>1227</v>
      </c>
      <c r="I1500" s="34" t="s">
        <v>67</v>
      </c>
      <c r="J1500" s="34">
        <v>78701</v>
      </c>
      <c r="K1500" s="34" t="s">
        <v>1228</v>
      </c>
      <c r="L1500" s="34" t="s">
        <v>1229</v>
      </c>
      <c r="M1500" s="34" t="s">
        <v>4966</v>
      </c>
      <c r="N1500" s="34" t="s">
        <v>34384</v>
      </c>
      <c r="O1500" s="34" t="s">
        <v>372</v>
      </c>
      <c r="P1500" s="34" t="s">
        <v>30089</v>
      </c>
      <c r="Q1500" s="35" t="s">
        <v>34385</v>
      </c>
      <c r="R1500" s="34" t="s">
        <v>94</v>
      </c>
      <c r="S1500" s="34" t="s">
        <v>22</v>
      </c>
      <c r="T1500" s="36" t="s">
        <v>26781</v>
      </c>
      <c r="U1500" s="36" t="s">
        <v>26572</v>
      </c>
      <c r="V1500" s="36"/>
      <c r="W1500" s="36" t="s">
        <v>94</v>
      </c>
      <c r="X1500" s="36">
        <v>3975</v>
      </c>
      <c r="Z1500" s="33" t="s">
        <v>42966</v>
      </c>
      <c r="AA1500" s="33">
        <v>6168</v>
      </c>
    </row>
    <row r="1501" spans="1:27" ht="12" customHeight="1" x14ac:dyDescent="0.15">
      <c r="A1501" s="34" t="s">
        <v>34394</v>
      </c>
      <c r="B1501" s="34">
        <v>41</v>
      </c>
      <c r="C1501" s="34" t="s">
        <v>14</v>
      </c>
      <c r="D1501" s="34" t="s">
        <v>42</v>
      </c>
      <c r="E1501" s="35" t="s">
        <v>34395</v>
      </c>
      <c r="F1501" s="67">
        <v>43328</v>
      </c>
      <c r="G1501" s="34" t="s">
        <v>34396</v>
      </c>
      <c r="H1501" s="34" t="s">
        <v>1807</v>
      </c>
      <c r="I1501" s="34" t="s">
        <v>67</v>
      </c>
      <c r="J1501" s="34">
        <v>79706</v>
      </c>
      <c r="K1501" s="34" t="s">
        <v>1807</v>
      </c>
      <c r="L1501" s="34" t="s">
        <v>1809</v>
      </c>
      <c r="M1501" s="34" t="s">
        <v>21</v>
      </c>
      <c r="N1501" s="34" t="s">
        <v>34397</v>
      </c>
      <c r="O1501" s="34" t="s">
        <v>372</v>
      </c>
      <c r="P1501" s="34" t="s">
        <v>30089</v>
      </c>
      <c r="Q1501" s="35" t="s">
        <v>34398</v>
      </c>
      <c r="R1501" s="34" t="s">
        <v>94</v>
      </c>
      <c r="S1501" s="34" t="s">
        <v>22</v>
      </c>
      <c r="T1501" s="36" t="s">
        <v>26781</v>
      </c>
      <c r="U1501" s="36" t="s">
        <v>26572</v>
      </c>
      <c r="V1501" s="36" t="s">
        <v>26573</v>
      </c>
      <c r="W1501" s="36"/>
      <c r="X1501" s="36"/>
      <c r="Z1501" s="33" t="s">
        <v>42967</v>
      </c>
      <c r="AA1501" s="33">
        <v>6164</v>
      </c>
    </row>
    <row r="1502" spans="1:27" ht="12" customHeight="1" x14ac:dyDescent="0.15">
      <c r="A1502" s="34" t="s">
        <v>34386</v>
      </c>
      <c r="B1502" s="34">
        <v>28</v>
      </c>
      <c r="C1502" s="34" t="s">
        <v>14</v>
      </c>
      <c r="D1502" s="34" t="s">
        <v>42</v>
      </c>
      <c r="E1502" s="34"/>
      <c r="F1502" s="67">
        <v>43328</v>
      </c>
      <c r="G1502" s="34" t="s">
        <v>34387</v>
      </c>
      <c r="H1502" s="34" t="s">
        <v>14687</v>
      </c>
      <c r="I1502" s="34" t="s">
        <v>39</v>
      </c>
      <c r="J1502" s="34">
        <v>92028</v>
      </c>
      <c r="K1502" s="34" t="s">
        <v>143</v>
      </c>
      <c r="L1502" s="34" t="s">
        <v>1970</v>
      </c>
      <c r="M1502" s="34" t="s">
        <v>363</v>
      </c>
      <c r="N1502" s="34" t="s">
        <v>34388</v>
      </c>
      <c r="O1502" s="34" t="s">
        <v>372</v>
      </c>
      <c r="P1502" s="34" t="s">
        <v>30089</v>
      </c>
      <c r="Q1502" s="35" t="s">
        <v>34389</v>
      </c>
      <c r="R1502" s="34" t="s">
        <v>23</v>
      </c>
      <c r="S1502" s="34" t="s">
        <v>12</v>
      </c>
      <c r="T1502" s="34" t="s">
        <v>29705</v>
      </c>
      <c r="U1502" s="34" t="s">
        <v>26572</v>
      </c>
      <c r="V1502" s="34" t="s">
        <v>26573</v>
      </c>
      <c r="W1502" s="34"/>
      <c r="X1502" s="34"/>
      <c r="Z1502" s="33" t="s">
        <v>42968</v>
      </c>
      <c r="AA1502" s="33">
        <v>6166</v>
      </c>
    </row>
    <row r="1503" spans="1:27" ht="12" customHeight="1" x14ac:dyDescent="0.15">
      <c r="A1503" s="34" t="s">
        <v>34390</v>
      </c>
      <c r="B1503" s="34">
        <v>30</v>
      </c>
      <c r="C1503" s="34" t="s">
        <v>14</v>
      </c>
      <c r="D1503" s="34" t="s">
        <v>79</v>
      </c>
      <c r="E1503" s="34"/>
      <c r="F1503" s="67">
        <v>43328</v>
      </c>
      <c r="G1503" s="34" t="s">
        <v>34391</v>
      </c>
      <c r="H1503" s="34" t="s">
        <v>6588</v>
      </c>
      <c r="I1503" s="34" t="s">
        <v>309</v>
      </c>
      <c r="J1503" s="34">
        <v>99654</v>
      </c>
      <c r="K1503" s="34" t="s">
        <v>19800</v>
      </c>
      <c r="L1503" s="34" t="s">
        <v>6591</v>
      </c>
      <c r="M1503" s="34" t="s">
        <v>21</v>
      </c>
      <c r="N1503" s="34" t="s">
        <v>34392</v>
      </c>
      <c r="O1503" s="34" t="s">
        <v>372</v>
      </c>
      <c r="P1503" s="34" t="s">
        <v>30089</v>
      </c>
      <c r="Q1503" s="35" t="s">
        <v>34393</v>
      </c>
      <c r="R1503" s="34" t="s">
        <v>94</v>
      </c>
      <c r="S1503" s="34" t="s">
        <v>22</v>
      </c>
      <c r="T1503" s="36" t="s">
        <v>26774</v>
      </c>
      <c r="U1503" s="36" t="s">
        <v>26572</v>
      </c>
      <c r="V1503" s="36" t="s">
        <v>26573</v>
      </c>
      <c r="W1503" s="36" t="s">
        <v>94</v>
      </c>
      <c r="X1503" s="36">
        <v>3974</v>
      </c>
      <c r="Z1503" s="33" t="s">
        <v>42967</v>
      </c>
      <c r="AA1503" s="33">
        <v>6165</v>
      </c>
    </row>
    <row r="1504" spans="1:27" ht="12" customHeight="1" x14ac:dyDescent="0.15">
      <c r="A1504" s="34" t="s">
        <v>34399</v>
      </c>
      <c r="B1504" s="34">
        <v>58</v>
      </c>
      <c r="C1504" s="34" t="s">
        <v>14</v>
      </c>
      <c r="D1504" s="34" t="s">
        <v>31</v>
      </c>
      <c r="E1504" s="34"/>
      <c r="F1504" s="67">
        <v>43327</v>
      </c>
      <c r="G1504" s="34" t="s">
        <v>34400</v>
      </c>
      <c r="H1504" s="34" t="s">
        <v>34401</v>
      </c>
      <c r="I1504" s="34" t="s">
        <v>56</v>
      </c>
      <c r="J1504" s="34">
        <v>32040</v>
      </c>
      <c r="K1504" s="34" t="s">
        <v>34402</v>
      </c>
      <c r="L1504" s="34" t="s">
        <v>34403</v>
      </c>
      <c r="M1504" s="34" t="s">
        <v>21</v>
      </c>
      <c r="N1504" s="34" t="s">
        <v>34404</v>
      </c>
      <c r="O1504" s="34" t="s">
        <v>372</v>
      </c>
      <c r="P1504" s="34" t="s">
        <v>30089</v>
      </c>
      <c r="Q1504" s="35" t="s">
        <v>34405</v>
      </c>
      <c r="R1504" s="34" t="s">
        <v>94</v>
      </c>
      <c r="S1504" s="34" t="s">
        <v>22</v>
      </c>
      <c r="T1504" s="36" t="s">
        <v>26781</v>
      </c>
      <c r="U1504" s="36" t="s">
        <v>26572</v>
      </c>
      <c r="V1504" s="36" t="s">
        <v>26573</v>
      </c>
      <c r="W1504" s="36" t="s">
        <v>94</v>
      </c>
      <c r="X1504" s="36">
        <v>3968</v>
      </c>
      <c r="Z1504" s="33" t="s">
        <v>42967</v>
      </c>
      <c r="AA1504" s="33">
        <v>6163</v>
      </c>
    </row>
    <row r="1505" spans="1:27" ht="12" customHeight="1" x14ac:dyDescent="0.15">
      <c r="A1505" s="34" t="s">
        <v>34406</v>
      </c>
      <c r="B1505" s="34">
        <v>31</v>
      </c>
      <c r="C1505" s="34" t="s">
        <v>14</v>
      </c>
      <c r="D1505" s="34" t="s">
        <v>31</v>
      </c>
      <c r="E1505" s="35" t="s">
        <v>34407</v>
      </c>
      <c r="F1505" s="67">
        <v>43326</v>
      </c>
      <c r="G1505" s="34" t="s">
        <v>34408</v>
      </c>
      <c r="H1505" s="34" t="s">
        <v>34409</v>
      </c>
      <c r="I1505" s="34" t="s">
        <v>342</v>
      </c>
      <c r="J1505" s="34">
        <v>50801</v>
      </c>
      <c r="K1505" s="34" t="s">
        <v>622</v>
      </c>
      <c r="L1505" s="34" t="s">
        <v>34410</v>
      </c>
      <c r="M1505" s="34" t="s">
        <v>21</v>
      </c>
      <c r="N1505" s="34" t="s">
        <v>34411</v>
      </c>
      <c r="O1505" s="34" t="s">
        <v>372</v>
      </c>
      <c r="P1505" s="34" t="s">
        <v>30089</v>
      </c>
      <c r="Q1505" s="35" t="s">
        <v>34412</v>
      </c>
      <c r="R1505" s="36" t="s">
        <v>512</v>
      </c>
      <c r="S1505" s="34" t="s">
        <v>22</v>
      </c>
      <c r="T1505" s="36" t="s">
        <v>26781</v>
      </c>
      <c r="U1505" s="36" t="s">
        <v>26570</v>
      </c>
      <c r="V1505" s="36" t="s">
        <v>26573</v>
      </c>
      <c r="W1505" s="36" t="s">
        <v>94</v>
      </c>
      <c r="X1505" s="36">
        <v>3966</v>
      </c>
      <c r="Z1505" s="33" t="s">
        <v>42967</v>
      </c>
      <c r="AA1505" s="33">
        <v>6161</v>
      </c>
    </row>
    <row r="1506" spans="1:27" ht="12" customHeight="1" x14ac:dyDescent="0.15">
      <c r="A1506" s="34" t="s">
        <v>3002</v>
      </c>
      <c r="B1506" s="34" t="s">
        <v>23</v>
      </c>
      <c r="C1506" s="34" t="s">
        <v>14</v>
      </c>
      <c r="D1506" s="34" t="s">
        <v>42</v>
      </c>
      <c r="E1506" s="34"/>
      <c r="F1506" s="67">
        <v>43326</v>
      </c>
      <c r="G1506" s="34" t="s">
        <v>34413</v>
      </c>
      <c r="H1506" s="34" t="s">
        <v>183</v>
      </c>
      <c r="I1506" s="34" t="s">
        <v>39</v>
      </c>
      <c r="J1506" s="34">
        <v>93702</v>
      </c>
      <c r="K1506" s="34" t="s">
        <v>183</v>
      </c>
      <c r="L1506" s="34" t="s">
        <v>184</v>
      </c>
      <c r="M1506" s="34" t="s">
        <v>21</v>
      </c>
      <c r="N1506" s="34" t="s">
        <v>34414</v>
      </c>
      <c r="O1506" s="34" t="s">
        <v>372</v>
      </c>
      <c r="P1506" s="34" t="s">
        <v>30089</v>
      </c>
      <c r="Q1506" s="35" t="s">
        <v>34415</v>
      </c>
      <c r="R1506" s="36" t="s">
        <v>512</v>
      </c>
      <c r="S1506" s="34" t="s">
        <v>22</v>
      </c>
      <c r="T1506" s="36" t="s">
        <v>29419</v>
      </c>
      <c r="U1506" s="36" t="s">
        <v>26572</v>
      </c>
      <c r="V1506" s="36" t="s">
        <v>26573</v>
      </c>
      <c r="W1506" s="36" t="s">
        <v>512</v>
      </c>
      <c r="X1506" s="36">
        <v>3967</v>
      </c>
      <c r="Z1506" s="33" t="s">
        <v>42966</v>
      </c>
      <c r="AA1506" s="33">
        <v>6162</v>
      </c>
    </row>
    <row r="1507" spans="1:27" ht="12" customHeight="1" x14ac:dyDescent="0.15">
      <c r="A1507" s="34" t="s">
        <v>34416</v>
      </c>
      <c r="B1507" s="34">
        <v>32</v>
      </c>
      <c r="C1507" s="34" t="s">
        <v>14</v>
      </c>
      <c r="D1507" s="34" t="s">
        <v>24</v>
      </c>
      <c r="E1507" s="34"/>
      <c r="F1507" s="67">
        <v>43325</v>
      </c>
      <c r="G1507" s="34" t="s">
        <v>34417</v>
      </c>
      <c r="H1507" s="34" t="s">
        <v>34418</v>
      </c>
      <c r="I1507" s="34" t="s">
        <v>38</v>
      </c>
      <c r="J1507" s="34">
        <v>60471</v>
      </c>
      <c r="K1507" s="34" t="s">
        <v>82</v>
      </c>
      <c r="L1507" s="34" t="s">
        <v>34419</v>
      </c>
      <c r="M1507" s="34" t="s">
        <v>21</v>
      </c>
      <c r="N1507" s="34" t="s">
        <v>34420</v>
      </c>
      <c r="O1507" s="34" t="s">
        <v>372</v>
      </c>
      <c r="P1507" s="34" t="s">
        <v>30089</v>
      </c>
      <c r="Q1507" s="35" t="s">
        <v>34421</v>
      </c>
      <c r="R1507" s="34" t="s">
        <v>94</v>
      </c>
      <c r="S1507" s="34" t="s">
        <v>22</v>
      </c>
      <c r="T1507" s="36" t="s">
        <v>26781</v>
      </c>
      <c r="U1507" s="36" t="s">
        <v>26572</v>
      </c>
      <c r="V1507" s="36" t="s">
        <v>26574</v>
      </c>
      <c r="W1507" s="36" t="s">
        <v>94</v>
      </c>
      <c r="X1507" s="36">
        <v>3965</v>
      </c>
      <c r="Z1507" s="33" t="s">
        <v>42968</v>
      </c>
      <c r="AA1507" s="33">
        <v>6159</v>
      </c>
    </row>
    <row r="1508" spans="1:27" ht="12" customHeight="1" x14ac:dyDescent="0.15">
      <c r="A1508" s="34" t="s">
        <v>34422</v>
      </c>
      <c r="B1508" s="34">
        <v>33</v>
      </c>
      <c r="C1508" s="34" t="s">
        <v>14</v>
      </c>
      <c r="D1508" s="34" t="s">
        <v>79</v>
      </c>
      <c r="E1508" s="34"/>
      <c r="F1508" s="67">
        <v>43325</v>
      </c>
      <c r="G1508" s="34" t="s">
        <v>34423</v>
      </c>
      <c r="H1508" s="34" t="s">
        <v>1027</v>
      </c>
      <c r="I1508" s="34" t="s">
        <v>367</v>
      </c>
      <c r="J1508" s="34">
        <v>73108</v>
      </c>
      <c r="K1508" s="34" t="s">
        <v>1028</v>
      </c>
      <c r="L1508" s="34" t="s">
        <v>1029</v>
      </c>
      <c r="M1508" s="34" t="s">
        <v>21</v>
      </c>
      <c r="N1508" s="34" t="s">
        <v>34424</v>
      </c>
      <c r="O1508" s="34" t="s">
        <v>372</v>
      </c>
      <c r="P1508" s="34" t="s">
        <v>30089</v>
      </c>
      <c r="Q1508" s="35" t="s">
        <v>34425</v>
      </c>
      <c r="R1508" s="34" t="s">
        <v>23</v>
      </c>
      <c r="S1508" s="34" t="s">
        <v>22</v>
      </c>
      <c r="T1508" s="36" t="s">
        <v>26781</v>
      </c>
      <c r="U1508" s="36" t="s">
        <v>26572</v>
      </c>
      <c r="V1508" s="36" t="s">
        <v>26574</v>
      </c>
      <c r="W1508" s="36" t="s">
        <v>94</v>
      </c>
      <c r="X1508" s="36">
        <v>3953</v>
      </c>
      <c r="Z1508" s="33" t="s">
        <v>42966</v>
      </c>
      <c r="AA1508" s="33">
        <v>6157</v>
      </c>
    </row>
    <row r="1509" spans="1:27" ht="12" customHeight="1" x14ac:dyDescent="0.15">
      <c r="A1509" s="34" t="s">
        <v>34426</v>
      </c>
      <c r="B1509" s="34">
        <v>55</v>
      </c>
      <c r="C1509" s="34" t="s">
        <v>14</v>
      </c>
      <c r="D1509" s="34" t="s">
        <v>24</v>
      </c>
      <c r="E1509" s="34"/>
      <c r="F1509" s="67">
        <v>43325</v>
      </c>
      <c r="G1509" s="34" t="s">
        <v>34427</v>
      </c>
      <c r="H1509" s="34" t="s">
        <v>26438</v>
      </c>
      <c r="I1509" s="34" t="s">
        <v>39</v>
      </c>
      <c r="J1509" s="34">
        <v>94065</v>
      </c>
      <c r="K1509" s="34" t="s">
        <v>4269</v>
      </c>
      <c r="L1509" s="34" t="s">
        <v>26439</v>
      </c>
      <c r="M1509" s="34" t="s">
        <v>363</v>
      </c>
      <c r="N1509" s="34" t="s">
        <v>34428</v>
      </c>
      <c r="O1509" s="34" t="s">
        <v>372</v>
      </c>
      <c r="P1509" s="34" t="s">
        <v>30089</v>
      </c>
      <c r="Q1509" s="35" t="s">
        <v>34429</v>
      </c>
      <c r="R1509" s="34" t="s">
        <v>512</v>
      </c>
      <c r="S1509" s="34" t="s">
        <v>12</v>
      </c>
      <c r="T1509" s="34" t="s">
        <v>29705</v>
      </c>
      <c r="U1509" s="34" t="s">
        <v>26572</v>
      </c>
      <c r="V1509" s="34"/>
      <c r="W1509" s="34"/>
      <c r="X1509" s="34"/>
      <c r="Z1509" s="33" t="s">
        <v>42968</v>
      </c>
      <c r="AA1509" s="33">
        <v>6160</v>
      </c>
    </row>
    <row r="1510" spans="1:27" ht="12" customHeight="1" x14ac:dyDescent="0.15">
      <c r="A1510" s="34" t="s">
        <v>36342</v>
      </c>
      <c r="B1510" s="34">
        <v>48</v>
      </c>
      <c r="C1510" s="34" t="s">
        <v>14</v>
      </c>
      <c r="D1510" s="34" t="s">
        <v>79</v>
      </c>
      <c r="E1510" s="34"/>
      <c r="F1510" s="67">
        <v>43325</v>
      </c>
      <c r="G1510" s="34" t="s">
        <v>34430</v>
      </c>
      <c r="H1510" s="34" t="s">
        <v>831</v>
      </c>
      <c r="I1510" s="34" t="s">
        <v>409</v>
      </c>
      <c r="J1510" s="34">
        <v>53204</v>
      </c>
      <c r="K1510" s="34" t="s">
        <v>831</v>
      </c>
      <c r="L1510" s="34" t="s">
        <v>3545</v>
      </c>
      <c r="M1510" s="34" t="s">
        <v>21</v>
      </c>
      <c r="N1510" s="34" t="s">
        <v>34431</v>
      </c>
      <c r="O1510" s="34" t="s">
        <v>372</v>
      </c>
      <c r="P1510" s="34" t="s">
        <v>30089</v>
      </c>
      <c r="Q1510" s="35" t="s">
        <v>34432</v>
      </c>
      <c r="R1510" s="34" t="s">
        <v>512</v>
      </c>
      <c r="S1510" s="34" t="s">
        <v>22</v>
      </c>
      <c r="T1510" s="36" t="s">
        <v>26781</v>
      </c>
      <c r="U1510" s="36" t="s">
        <v>26570</v>
      </c>
      <c r="V1510" s="36" t="s">
        <v>26573</v>
      </c>
      <c r="W1510" s="36" t="s">
        <v>94</v>
      </c>
      <c r="X1510" s="36">
        <v>3964</v>
      </c>
      <c r="Z1510" s="33" t="s">
        <v>42966</v>
      </c>
      <c r="AA1510" s="33">
        <v>6158</v>
      </c>
    </row>
    <row r="1511" spans="1:27" ht="12" customHeight="1" x14ac:dyDescent="0.15">
      <c r="A1511" s="34" t="s">
        <v>36343</v>
      </c>
      <c r="B1511" s="34">
        <v>35</v>
      </c>
      <c r="C1511" s="34" t="s">
        <v>14</v>
      </c>
      <c r="D1511" s="34" t="s">
        <v>31</v>
      </c>
      <c r="E1511" s="34"/>
      <c r="F1511" s="67">
        <v>43324</v>
      </c>
      <c r="G1511" s="34"/>
      <c r="H1511" s="34" t="s">
        <v>29907</v>
      </c>
      <c r="I1511" s="34" t="s">
        <v>409</v>
      </c>
      <c r="J1511" s="34">
        <v>54530</v>
      </c>
      <c r="K1511" s="34" t="s">
        <v>34443</v>
      </c>
      <c r="L1511" s="34" t="s">
        <v>34444</v>
      </c>
      <c r="M1511" s="34" t="s">
        <v>21</v>
      </c>
      <c r="N1511" s="34" t="s">
        <v>34445</v>
      </c>
      <c r="O1511" s="34" t="s">
        <v>372</v>
      </c>
      <c r="P1511" s="34" t="s">
        <v>30089</v>
      </c>
      <c r="Q1511" s="35" t="s">
        <v>34446</v>
      </c>
      <c r="R1511" s="34" t="s">
        <v>904</v>
      </c>
      <c r="S1511" s="34" t="s">
        <v>22</v>
      </c>
      <c r="T1511" s="36" t="s">
        <v>26774</v>
      </c>
      <c r="U1511" s="36" t="s">
        <v>26575</v>
      </c>
      <c r="V1511" s="36" t="s">
        <v>26573</v>
      </c>
      <c r="W1511" s="36" t="s">
        <v>94</v>
      </c>
      <c r="X1511" s="36">
        <v>3954</v>
      </c>
      <c r="Z1511" s="33" t="s">
        <v>42967</v>
      </c>
      <c r="AA1511" s="33">
        <v>6155</v>
      </c>
    </row>
    <row r="1512" spans="1:27" ht="12" customHeight="1" x14ac:dyDescent="0.15">
      <c r="A1512" s="34" t="s">
        <v>34433</v>
      </c>
      <c r="B1512" s="34">
        <v>21</v>
      </c>
      <c r="C1512" s="34" t="s">
        <v>14</v>
      </c>
      <c r="D1512" s="34" t="s">
        <v>42</v>
      </c>
      <c r="E1512" s="35" t="s">
        <v>34434</v>
      </c>
      <c r="F1512" s="67">
        <v>43324</v>
      </c>
      <c r="G1512" s="34" t="s">
        <v>34435</v>
      </c>
      <c r="H1512" s="34" t="s">
        <v>92</v>
      </c>
      <c r="I1512" s="34" t="s">
        <v>39</v>
      </c>
      <c r="J1512" s="34">
        <v>90022</v>
      </c>
      <c r="K1512" s="34" t="s">
        <v>92</v>
      </c>
      <c r="L1512" s="34" t="s">
        <v>386</v>
      </c>
      <c r="M1512" s="34" t="s">
        <v>21</v>
      </c>
      <c r="N1512" s="34" t="s">
        <v>34436</v>
      </c>
      <c r="O1512" s="34" t="s">
        <v>372</v>
      </c>
      <c r="P1512" s="34" t="s">
        <v>30089</v>
      </c>
      <c r="Q1512" s="35" t="s">
        <v>34437</v>
      </c>
      <c r="R1512" s="34" t="s">
        <v>94</v>
      </c>
      <c r="S1512" s="34" t="s">
        <v>29</v>
      </c>
      <c r="T1512" s="36" t="s">
        <v>26575</v>
      </c>
      <c r="U1512" s="36" t="s">
        <v>26572</v>
      </c>
      <c r="V1512" s="36" t="s">
        <v>26574</v>
      </c>
      <c r="W1512" s="36" t="s">
        <v>94</v>
      </c>
      <c r="X1512" s="36">
        <v>3955</v>
      </c>
      <c r="Z1512" s="33" t="s">
        <v>42966</v>
      </c>
      <c r="AA1512" s="33">
        <v>6156</v>
      </c>
    </row>
    <row r="1513" spans="1:27" ht="12" customHeight="1" x14ac:dyDescent="0.15">
      <c r="A1513" s="34" t="s">
        <v>3002</v>
      </c>
      <c r="B1513" s="34" t="s">
        <v>23</v>
      </c>
      <c r="C1513" s="34" t="s">
        <v>103</v>
      </c>
      <c r="D1513" s="34" t="s">
        <v>24</v>
      </c>
      <c r="E1513" s="34"/>
      <c r="F1513" s="67">
        <v>43324</v>
      </c>
      <c r="G1513" s="34" t="s">
        <v>34447</v>
      </c>
      <c r="H1513" s="34" t="s">
        <v>7981</v>
      </c>
      <c r="I1513" s="34" t="s">
        <v>67</v>
      </c>
      <c r="J1513" s="34">
        <v>75762</v>
      </c>
      <c r="K1513" s="34" t="s">
        <v>34448</v>
      </c>
      <c r="L1513" s="34" t="s">
        <v>39590</v>
      </c>
      <c r="M1513" s="34" t="s">
        <v>21</v>
      </c>
      <c r="N1513" s="34" t="s">
        <v>34449</v>
      </c>
      <c r="O1513" s="34" t="s">
        <v>372</v>
      </c>
      <c r="P1513" s="34" t="s">
        <v>30089</v>
      </c>
      <c r="Q1513" s="35" t="s">
        <v>34450</v>
      </c>
      <c r="R1513" s="34" t="s">
        <v>512</v>
      </c>
      <c r="S1513" s="34" t="s">
        <v>22</v>
      </c>
      <c r="T1513" s="36" t="s">
        <v>26781</v>
      </c>
      <c r="U1513" s="36" t="s">
        <v>26572</v>
      </c>
      <c r="V1513" s="36" t="s">
        <v>26573</v>
      </c>
      <c r="W1513" s="36"/>
      <c r="X1513" s="36"/>
      <c r="Z1513" s="33" t="s">
        <v>42968</v>
      </c>
      <c r="AA1513" s="33">
        <v>6154</v>
      </c>
    </row>
    <row r="1514" spans="1:27" ht="12" customHeight="1" x14ac:dyDescent="0.15">
      <c r="A1514" s="34" t="s">
        <v>34438</v>
      </c>
      <c r="B1514" s="34">
        <v>40</v>
      </c>
      <c r="C1514" s="34" t="s">
        <v>14</v>
      </c>
      <c r="D1514" s="34" t="s">
        <v>79</v>
      </c>
      <c r="E1514" s="34"/>
      <c r="F1514" s="67">
        <v>43324</v>
      </c>
      <c r="G1514" s="34" t="s">
        <v>34439</v>
      </c>
      <c r="H1514" s="34" t="s">
        <v>19245</v>
      </c>
      <c r="I1514" s="34" t="s">
        <v>225</v>
      </c>
      <c r="J1514" s="34">
        <v>24521</v>
      </c>
      <c r="K1514" s="34" t="s">
        <v>19245</v>
      </c>
      <c r="L1514" s="34" t="s">
        <v>34440</v>
      </c>
      <c r="M1514" s="34" t="s">
        <v>21</v>
      </c>
      <c r="N1514" s="34" t="s">
        <v>34441</v>
      </c>
      <c r="O1514" s="34" t="s">
        <v>372</v>
      </c>
      <c r="P1514" s="34" t="s">
        <v>30089</v>
      </c>
      <c r="Q1514" s="35" t="s">
        <v>34442</v>
      </c>
      <c r="R1514" s="34" t="s">
        <v>94</v>
      </c>
      <c r="S1514" s="34" t="s">
        <v>22</v>
      </c>
      <c r="T1514" s="36" t="s">
        <v>26781</v>
      </c>
      <c r="U1514" s="36" t="s">
        <v>26572</v>
      </c>
      <c r="V1514" s="36" t="s">
        <v>26571</v>
      </c>
      <c r="W1514" s="36" t="s">
        <v>94</v>
      </c>
      <c r="X1514" s="36">
        <v>3956</v>
      </c>
      <c r="Z1514" s="33" t="s">
        <v>42967</v>
      </c>
      <c r="AA1514" s="33">
        <v>6153</v>
      </c>
    </row>
    <row r="1515" spans="1:27" ht="12" customHeight="1" x14ac:dyDescent="0.15">
      <c r="A1515" s="34" t="s">
        <v>3002</v>
      </c>
      <c r="B1515" s="34">
        <v>49</v>
      </c>
      <c r="C1515" s="34" t="s">
        <v>14</v>
      </c>
      <c r="D1515" s="34" t="s">
        <v>24</v>
      </c>
      <c r="E1515" s="34"/>
      <c r="F1515" s="67">
        <v>43323</v>
      </c>
      <c r="G1515" s="34" t="s">
        <v>34451</v>
      </c>
      <c r="H1515" s="34" t="s">
        <v>187</v>
      </c>
      <c r="I1515" s="34" t="s">
        <v>63</v>
      </c>
      <c r="J1515" s="34">
        <v>44314</v>
      </c>
      <c r="K1515" s="34" t="s">
        <v>3180</v>
      </c>
      <c r="L1515" s="34" t="s">
        <v>188</v>
      </c>
      <c r="M1515" s="34" t="s">
        <v>21</v>
      </c>
      <c r="N1515" s="34" t="s">
        <v>34452</v>
      </c>
      <c r="O1515" s="34" t="s">
        <v>372</v>
      </c>
      <c r="P1515" s="34" t="s">
        <v>30089</v>
      </c>
      <c r="Q1515" s="35" t="s">
        <v>34453</v>
      </c>
      <c r="R1515" s="36" t="s">
        <v>512</v>
      </c>
      <c r="S1515" s="34" t="s">
        <v>22</v>
      </c>
      <c r="T1515" s="36" t="s">
        <v>26781</v>
      </c>
      <c r="U1515" s="36" t="s">
        <v>26572</v>
      </c>
      <c r="V1515" s="36" t="s">
        <v>26574</v>
      </c>
      <c r="W1515" s="36" t="s">
        <v>94</v>
      </c>
      <c r="X1515" s="36">
        <v>3952</v>
      </c>
      <c r="Z1515" s="33" t="s">
        <v>42966</v>
      </c>
      <c r="AA1515" s="33">
        <v>6152</v>
      </c>
    </row>
    <row r="1516" spans="1:27" ht="12" customHeight="1" x14ac:dyDescent="0.15">
      <c r="A1516" s="34" t="s">
        <v>34454</v>
      </c>
      <c r="B1516" s="34">
        <v>43</v>
      </c>
      <c r="C1516" s="34" t="s">
        <v>14</v>
      </c>
      <c r="D1516" s="34" t="s">
        <v>31</v>
      </c>
      <c r="E1516" s="35" t="s">
        <v>34455</v>
      </c>
      <c r="F1516" s="67">
        <v>43322</v>
      </c>
      <c r="G1516" s="34" t="s">
        <v>34456</v>
      </c>
      <c r="H1516" s="34" t="s">
        <v>3742</v>
      </c>
      <c r="I1516" s="34" t="s">
        <v>19</v>
      </c>
      <c r="J1516" s="34">
        <v>70706</v>
      </c>
      <c r="K1516" s="34" t="s">
        <v>3744</v>
      </c>
      <c r="L1516" s="34" t="s">
        <v>6929</v>
      </c>
      <c r="M1516" s="34" t="s">
        <v>21</v>
      </c>
      <c r="N1516" s="34" t="s">
        <v>34457</v>
      </c>
      <c r="O1516" s="34" t="s">
        <v>372</v>
      </c>
      <c r="P1516" s="34" t="s">
        <v>30089</v>
      </c>
      <c r="Q1516" s="35" t="s">
        <v>34458</v>
      </c>
      <c r="R1516" s="34" t="s">
        <v>94</v>
      </c>
      <c r="S1516" s="34" t="s">
        <v>22</v>
      </c>
      <c r="T1516" s="36" t="s">
        <v>26781</v>
      </c>
      <c r="U1516" s="36" t="s">
        <v>26572</v>
      </c>
      <c r="V1516" s="36"/>
      <c r="W1516" s="36" t="s">
        <v>94</v>
      </c>
      <c r="X1516" s="36">
        <v>3948</v>
      </c>
      <c r="Z1516" s="33" t="s">
        <v>42968</v>
      </c>
      <c r="AA1516" s="33">
        <v>6151</v>
      </c>
    </row>
    <row r="1517" spans="1:27" ht="12" customHeight="1" x14ac:dyDescent="0.15">
      <c r="A1517" s="34" t="s">
        <v>34459</v>
      </c>
      <c r="B1517" s="34">
        <v>28</v>
      </c>
      <c r="C1517" s="34" t="s">
        <v>14</v>
      </c>
      <c r="D1517" s="34" t="s">
        <v>79</v>
      </c>
      <c r="E1517" s="34"/>
      <c r="F1517" s="67">
        <v>43321</v>
      </c>
      <c r="G1517" s="34" t="s">
        <v>34460</v>
      </c>
      <c r="H1517" s="34" t="s">
        <v>1202</v>
      </c>
      <c r="I1517" s="34" t="s">
        <v>63</v>
      </c>
      <c r="J1517" s="34">
        <v>43229</v>
      </c>
      <c r="K1517" s="34" t="s">
        <v>1203</v>
      </c>
      <c r="L1517" s="34" t="s">
        <v>11441</v>
      </c>
      <c r="M1517" s="34" t="s">
        <v>21</v>
      </c>
      <c r="N1517" s="34" t="s">
        <v>34461</v>
      </c>
      <c r="O1517" s="34" t="s">
        <v>372</v>
      </c>
      <c r="P1517" s="34" t="s">
        <v>30089</v>
      </c>
      <c r="Q1517" s="35" t="s">
        <v>34462</v>
      </c>
      <c r="R1517" s="34" t="s">
        <v>94</v>
      </c>
      <c r="S1517" s="34" t="s">
        <v>22</v>
      </c>
      <c r="T1517" s="36" t="s">
        <v>26781</v>
      </c>
      <c r="U1517" s="36" t="s">
        <v>26572</v>
      </c>
      <c r="V1517" s="36" t="s">
        <v>26574</v>
      </c>
      <c r="W1517" s="36" t="s">
        <v>94</v>
      </c>
      <c r="X1517" s="36">
        <v>3951</v>
      </c>
      <c r="Z1517" s="33" t="s">
        <v>42966</v>
      </c>
      <c r="AA1517" s="33">
        <v>6149</v>
      </c>
    </row>
    <row r="1518" spans="1:27" ht="12" customHeight="1" x14ac:dyDescent="0.15">
      <c r="A1518" s="34" t="s">
        <v>34473</v>
      </c>
      <c r="B1518" s="34">
        <v>48</v>
      </c>
      <c r="C1518" s="34" t="s">
        <v>14</v>
      </c>
      <c r="D1518" s="34" t="s">
        <v>79</v>
      </c>
      <c r="E1518" s="34"/>
      <c r="F1518" s="67">
        <v>43321</v>
      </c>
      <c r="G1518" s="34" t="s">
        <v>34474</v>
      </c>
      <c r="H1518" s="34" t="s">
        <v>1033</v>
      </c>
      <c r="I1518" s="34" t="s">
        <v>376</v>
      </c>
      <c r="J1518" s="34">
        <v>19145</v>
      </c>
      <c r="K1518" s="34" t="s">
        <v>1033</v>
      </c>
      <c r="L1518" s="34" t="s">
        <v>1034</v>
      </c>
      <c r="M1518" s="34" t="s">
        <v>21</v>
      </c>
      <c r="N1518" s="34" t="s">
        <v>34475</v>
      </c>
      <c r="O1518" s="34" t="s">
        <v>372</v>
      </c>
      <c r="P1518" s="34" t="s">
        <v>30089</v>
      </c>
      <c r="Q1518" s="35" t="s">
        <v>34476</v>
      </c>
      <c r="R1518" s="34" t="s">
        <v>94</v>
      </c>
      <c r="S1518" s="34" t="s">
        <v>22</v>
      </c>
      <c r="T1518" s="36" t="s">
        <v>26781</v>
      </c>
      <c r="U1518" s="36" t="s">
        <v>26572</v>
      </c>
      <c r="V1518" s="36" t="s">
        <v>26574</v>
      </c>
      <c r="W1518" s="36" t="s">
        <v>94</v>
      </c>
      <c r="X1518" s="36">
        <v>3935</v>
      </c>
      <c r="Z1518" s="33" t="s">
        <v>42966</v>
      </c>
      <c r="AA1518" s="33">
        <v>6147</v>
      </c>
    </row>
    <row r="1519" spans="1:27" ht="12" customHeight="1" x14ac:dyDescent="0.15">
      <c r="A1519" s="34" t="s">
        <v>34463</v>
      </c>
      <c r="B1519" s="34">
        <v>30</v>
      </c>
      <c r="C1519" s="34" t="s">
        <v>14</v>
      </c>
      <c r="D1519" s="34" t="s">
        <v>79</v>
      </c>
      <c r="E1519" s="35" t="s">
        <v>34464</v>
      </c>
      <c r="F1519" s="67">
        <v>43321</v>
      </c>
      <c r="G1519" s="34" t="s">
        <v>34465</v>
      </c>
      <c r="H1519" s="34" t="s">
        <v>607</v>
      </c>
      <c r="I1519" s="34" t="s">
        <v>250</v>
      </c>
      <c r="J1519" s="34">
        <v>89122</v>
      </c>
      <c r="K1519" s="34" t="s">
        <v>527</v>
      </c>
      <c r="L1519" s="34" t="s">
        <v>528</v>
      </c>
      <c r="M1519" s="34" t="s">
        <v>21</v>
      </c>
      <c r="N1519" s="34" t="s">
        <v>34466</v>
      </c>
      <c r="O1519" s="34" t="s">
        <v>372</v>
      </c>
      <c r="P1519" s="34" t="s">
        <v>30089</v>
      </c>
      <c r="Q1519" s="35" t="s">
        <v>34467</v>
      </c>
      <c r="R1519" s="36" t="s">
        <v>512</v>
      </c>
      <c r="S1519" s="34" t="s">
        <v>22</v>
      </c>
      <c r="T1519" s="36" t="s">
        <v>26774</v>
      </c>
      <c r="U1519" s="36" t="s">
        <v>26572</v>
      </c>
      <c r="V1519" s="36" t="s">
        <v>26573</v>
      </c>
      <c r="W1519" s="36" t="s">
        <v>512</v>
      </c>
      <c r="X1519" s="36">
        <v>3938</v>
      </c>
      <c r="Z1519" s="33" t="s">
        <v>42968</v>
      </c>
      <c r="AA1519" s="33">
        <v>6150</v>
      </c>
    </row>
    <row r="1520" spans="1:27" ht="12" customHeight="1" x14ac:dyDescent="0.15">
      <c r="A1520" s="34" t="s">
        <v>34468</v>
      </c>
      <c r="B1520" s="34">
        <v>40</v>
      </c>
      <c r="C1520" s="34" t="s">
        <v>14</v>
      </c>
      <c r="D1520" s="34" t="s">
        <v>79</v>
      </c>
      <c r="E1520" s="34"/>
      <c r="F1520" s="67">
        <v>43321</v>
      </c>
      <c r="G1520" s="34" t="s">
        <v>34469</v>
      </c>
      <c r="H1520" s="34" t="s">
        <v>34470</v>
      </c>
      <c r="I1520" s="34" t="s">
        <v>46</v>
      </c>
      <c r="J1520" s="34">
        <v>20785</v>
      </c>
      <c r="K1520" s="34" t="s">
        <v>2210</v>
      </c>
      <c r="L1520" s="34" t="s">
        <v>705</v>
      </c>
      <c r="M1520" s="34" t="s">
        <v>21</v>
      </c>
      <c r="N1520" s="34" t="s">
        <v>34471</v>
      </c>
      <c r="O1520" s="34" t="s">
        <v>372</v>
      </c>
      <c r="P1520" s="34" t="s">
        <v>30089</v>
      </c>
      <c r="Q1520" s="35" t="s">
        <v>34472</v>
      </c>
      <c r="R1520" s="34" t="s">
        <v>94</v>
      </c>
      <c r="S1520" s="34" t="s">
        <v>22</v>
      </c>
      <c r="T1520" s="36" t="s">
        <v>26781</v>
      </c>
      <c r="U1520" s="36" t="s">
        <v>26570</v>
      </c>
      <c r="V1520" s="36" t="s">
        <v>26574</v>
      </c>
      <c r="W1520" s="36" t="s">
        <v>94</v>
      </c>
      <c r="X1520" s="36">
        <v>3950</v>
      </c>
      <c r="Z1520" s="33" t="s">
        <v>42968</v>
      </c>
      <c r="AA1520" s="33">
        <v>6148</v>
      </c>
    </row>
    <row r="1521" spans="1:27" ht="12" customHeight="1" x14ac:dyDescent="0.15">
      <c r="A1521" s="34" t="s">
        <v>34477</v>
      </c>
      <c r="B1521" s="34">
        <v>25</v>
      </c>
      <c r="C1521" s="34" t="s">
        <v>14</v>
      </c>
      <c r="D1521" s="34" t="s">
        <v>31</v>
      </c>
      <c r="E1521" s="34"/>
      <c r="F1521" s="67">
        <v>43320</v>
      </c>
      <c r="G1521" s="34" t="s">
        <v>34478</v>
      </c>
      <c r="H1521" s="34" t="s">
        <v>34479</v>
      </c>
      <c r="I1521" s="34" t="s">
        <v>298</v>
      </c>
      <c r="J1521" s="34">
        <v>37030</v>
      </c>
      <c r="K1521" s="34" t="s">
        <v>34448</v>
      </c>
      <c r="L1521" s="34" t="s">
        <v>34480</v>
      </c>
      <c r="M1521" s="34" t="s">
        <v>21</v>
      </c>
      <c r="N1521" s="34" t="s">
        <v>34481</v>
      </c>
      <c r="O1521" s="34" t="s">
        <v>372</v>
      </c>
      <c r="P1521" s="34" t="s">
        <v>30089</v>
      </c>
      <c r="Q1521" s="35" t="s">
        <v>34482</v>
      </c>
      <c r="R1521" s="34" t="s">
        <v>94</v>
      </c>
      <c r="S1521" s="34" t="s">
        <v>351</v>
      </c>
      <c r="T1521" s="36" t="s">
        <v>26867</v>
      </c>
      <c r="U1521" s="36" t="s">
        <v>26572</v>
      </c>
      <c r="V1521" s="36" t="s">
        <v>26573</v>
      </c>
      <c r="W1521" s="36" t="s">
        <v>94</v>
      </c>
      <c r="X1521" s="36">
        <v>3931</v>
      </c>
      <c r="Z1521" s="33" t="s">
        <v>42967</v>
      </c>
      <c r="AA1521" s="33">
        <v>6146</v>
      </c>
    </row>
    <row r="1522" spans="1:27" ht="12" customHeight="1" x14ac:dyDescent="0.15">
      <c r="A1522" s="34" t="s">
        <v>34487</v>
      </c>
      <c r="B1522" s="34">
        <v>48</v>
      </c>
      <c r="C1522" s="34" t="s">
        <v>14</v>
      </c>
      <c r="D1522" s="34" t="s">
        <v>79</v>
      </c>
      <c r="E1522" s="34"/>
      <c r="F1522" s="67">
        <v>43320</v>
      </c>
      <c r="G1522" s="34" t="s">
        <v>34488</v>
      </c>
      <c r="H1522" s="34" t="s">
        <v>143</v>
      </c>
      <c r="I1522" s="34" t="s">
        <v>39</v>
      </c>
      <c r="J1522" s="34">
        <v>92113</v>
      </c>
      <c r="K1522" s="34" t="s">
        <v>143</v>
      </c>
      <c r="L1522" s="34" t="s">
        <v>144</v>
      </c>
      <c r="M1522" s="34" t="s">
        <v>21</v>
      </c>
      <c r="N1522" s="34" t="s">
        <v>34489</v>
      </c>
      <c r="O1522" s="34" t="s">
        <v>372</v>
      </c>
      <c r="P1522" s="34" t="s">
        <v>30089</v>
      </c>
      <c r="Q1522" s="35" t="s">
        <v>34490</v>
      </c>
      <c r="R1522" s="34" t="s">
        <v>94</v>
      </c>
      <c r="S1522" s="34" t="s">
        <v>29</v>
      </c>
      <c r="T1522" s="36" t="s">
        <v>26614</v>
      </c>
      <c r="U1522" s="36" t="s">
        <v>26572</v>
      </c>
      <c r="V1522" s="36" t="s">
        <v>26573</v>
      </c>
      <c r="W1522" s="36" t="s">
        <v>94</v>
      </c>
      <c r="X1522" s="36">
        <v>3936</v>
      </c>
      <c r="Z1522" s="33" t="s">
        <v>42966</v>
      </c>
      <c r="AA1522" s="33">
        <v>6142</v>
      </c>
    </row>
    <row r="1523" spans="1:27" ht="12" customHeight="1" x14ac:dyDescent="0.15">
      <c r="A1523" s="34" t="s">
        <v>34483</v>
      </c>
      <c r="B1523" s="34">
        <v>37</v>
      </c>
      <c r="C1523" s="34" t="s">
        <v>14</v>
      </c>
      <c r="D1523" s="34" t="s">
        <v>31</v>
      </c>
      <c r="E1523" s="34"/>
      <c r="F1523" s="67">
        <v>43320</v>
      </c>
      <c r="G1523" s="34" t="s">
        <v>34484</v>
      </c>
      <c r="H1523" s="34" t="s">
        <v>455</v>
      </c>
      <c r="I1523" s="34" t="s">
        <v>338</v>
      </c>
      <c r="J1523" s="34">
        <v>27705</v>
      </c>
      <c r="K1523" s="34" t="s">
        <v>455</v>
      </c>
      <c r="L1523" s="34" t="s">
        <v>457</v>
      </c>
      <c r="M1523" s="34" t="s">
        <v>21</v>
      </c>
      <c r="N1523" s="34" t="s">
        <v>34485</v>
      </c>
      <c r="O1523" s="34" t="s">
        <v>372</v>
      </c>
      <c r="P1523" s="34" t="s">
        <v>30089</v>
      </c>
      <c r="Q1523" s="35" t="s">
        <v>34486</v>
      </c>
      <c r="R1523" s="36" t="s">
        <v>512</v>
      </c>
      <c r="S1523" s="34" t="s">
        <v>22</v>
      </c>
      <c r="T1523" s="36" t="s">
        <v>26781</v>
      </c>
      <c r="U1523" s="36" t="s">
        <v>26572</v>
      </c>
      <c r="V1523" s="36" t="s">
        <v>26573</v>
      </c>
      <c r="W1523" s="36" t="s">
        <v>512</v>
      </c>
      <c r="X1523" s="36">
        <v>3937</v>
      </c>
      <c r="Z1523" s="33" t="s">
        <v>42968</v>
      </c>
      <c r="AA1523" s="33">
        <v>6143</v>
      </c>
    </row>
    <row r="1524" spans="1:27" ht="12" customHeight="1" x14ac:dyDescent="0.15">
      <c r="A1524" s="34" t="s">
        <v>34491</v>
      </c>
      <c r="B1524" s="34">
        <v>52</v>
      </c>
      <c r="C1524" s="34" t="s">
        <v>14</v>
      </c>
      <c r="D1524" s="34" t="s">
        <v>79</v>
      </c>
      <c r="E1524" s="35" t="s">
        <v>34492</v>
      </c>
      <c r="F1524" s="67">
        <v>43320</v>
      </c>
      <c r="G1524" s="34" t="s">
        <v>34493</v>
      </c>
      <c r="H1524" s="34" t="s">
        <v>5887</v>
      </c>
      <c r="I1524" s="34" t="s">
        <v>56</v>
      </c>
      <c r="J1524" s="34">
        <v>33024</v>
      </c>
      <c r="K1524" s="34" t="s">
        <v>1052</v>
      </c>
      <c r="L1524" s="34" t="s">
        <v>5889</v>
      </c>
      <c r="M1524" s="34" t="s">
        <v>21</v>
      </c>
      <c r="N1524" s="34" t="s">
        <v>34494</v>
      </c>
      <c r="O1524" s="34" t="s">
        <v>372</v>
      </c>
      <c r="P1524" s="34" t="s">
        <v>30089</v>
      </c>
      <c r="Q1524" s="35" t="s">
        <v>34495</v>
      </c>
      <c r="R1524" s="34" t="s">
        <v>23</v>
      </c>
      <c r="S1524" s="34" t="s">
        <v>22</v>
      </c>
      <c r="T1524" s="36" t="s">
        <v>26781</v>
      </c>
      <c r="U1524" s="36" t="s">
        <v>26572</v>
      </c>
      <c r="V1524" s="36" t="s">
        <v>26573</v>
      </c>
      <c r="W1524" s="36"/>
      <c r="X1524" s="36"/>
      <c r="Z1524" s="33" t="s">
        <v>42968</v>
      </c>
      <c r="AA1524" s="33">
        <v>6144</v>
      </c>
    </row>
    <row r="1525" spans="1:27" ht="12" customHeight="1" x14ac:dyDescent="0.15">
      <c r="A1525" s="34" t="s">
        <v>34496</v>
      </c>
      <c r="B1525" s="34">
        <v>54</v>
      </c>
      <c r="C1525" s="34" t="s">
        <v>14</v>
      </c>
      <c r="D1525" s="34" t="s">
        <v>79</v>
      </c>
      <c r="E1525" s="34"/>
      <c r="F1525" s="67">
        <v>43320</v>
      </c>
      <c r="G1525" s="34" t="s">
        <v>34497</v>
      </c>
      <c r="H1525" s="34" t="s">
        <v>1522</v>
      </c>
      <c r="I1525" s="34" t="s">
        <v>432</v>
      </c>
      <c r="J1525" s="34">
        <v>68102</v>
      </c>
      <c r="K1525" s="34" t="s">
        <v>882</v>
      </c>
      <c r="L1525" s="34" t="s">
        <v>2101</v>
      </c>
      <c r="M1525" s="34" t="s">
        <v>21</v>
      </c>
      <c r="N1525" s="34" t="s">
        <v>36444</v>
      </c>
      <c r="O1525" s="34" t="s">
        <v>372</v>
      </c>
      <c r="P1525" s="34" t="s">
        <v>30089</v>
      </c>
      <c r="Q1525" s="35" t="s">
        <v>34498</v>
      </c>
      <c r="R1525" s="34" t="s">
        <v>94</v>
      </c>
      <c r="S1525" s="34" t="s">
        <v>22</v>
      </c>
      <c r="T1525" s="36" t="s">
        <v>26774</v>
      </c>
      <c r="U1525" s="36" t="s">
        <v>26572</v>
      </c>
      <c r="V1525" s="36" t="s">
        <v>26573</v>
      </c>
      <c r="W1525" s="36" t="s">
        <v>94</v>
      </c>
      <c r="X1525" s="36">
        <v>3940</v>
      </c>
      <c r="Z1525" s="33" t="s">
        <v>42966</v>
      </c>
      <c r="AA1525" s="33">
        <v>6145</v>
      </c>
    </row>
    <row r="1526" spans="1:27" ht="12" customHeight="1" x14ac:dyDescent="0.15">
      <c r="A1526" s="34" t="s">
        <v>34504</v>
      </c>
      <c r="B1526" s="34">
        <v>26</v>
      </c>
      <c r="C1526" s="34" t="s">
        <v>14</v>
      </c>
      <c r="D1526" s="34" t="s">
        <v>31</v>
      </c>
      <c r="E1526" s="35" t="s">
        <v>34505</v>
      </c>
      <c r="F1526" s="67">
        <v>43319</v>
      </c>
      <c r="G1526" s="34" t="s">
        <v>34506</v>
      </c>
      <c r="H1526" s="34" t="s">
        <v>430</v>
      </c>
      <c r="I1526" s="34" t="s">
        <v>19</v>
      </c>
      <c r="J1526" s="34">
        <v>71104</v>
      </c>
      <c r="K1526" s="34" t="s">
        <v>5432</v>
      </c>
      <c r="L1526" s="34" t="s">
        <v>431</v>
      </c>
      <c r="M1526" s="34" t="s">
        <v>21</v>
      </c>
      <c r="N1526" s="34" t="s">
        <v>34507</v>
      </c>
      <c r="O1526" s="34" t="s">
        <v>372</v>
      </c>
      <c r="P1526" s="34" t="s">
        <v>30089</v>
      </c>
      <c r="Q1526" s="35" t="s">
        <v>34508</v>
      </c>
      <c r="R1526" s="34" t="s">
        <v>94</v>
      </c>
      <c r="S1526" s="34" t="s">
        <v>351</v>
      </c>
      <c r="T1526" s="36" t="s">
        <v>26867</v>
      </c>
      <c r="U1526" s="36" t="s">
        <v>26570</v>
      </c>
      <c r="V1526" s="36" t="s">
        <v>26571</v>
      </c>
      <c r="W1526" s="36" t="s">
        <v>94</v>
      </c>
      <c r="X1526" s="36">
        <v>3934</v>
      </c>
      <c r="Z1526" s="33" t="s">
        <v>42966</v>
      </c>
      <c r="AA1526" s="33">
        <v>6141</v>
      </c>
    </row>
    <row r="1527" spans="1:27" ht="12" customHeight="1" x14ac:dyDescent="0.15">
      <c r="A1527" s="34" t="s">
        <v>34513</v>
      </c>
      <c r="B1527" s="34">
        <v>70</v>
      </c>
      <c r="C1527" s="34" t="s">
        <v>14</v>
      </c>
      <c r="D1527" s="34" t="s">
        <v>42</v>
      </c>
      <c r="E1527" s="34"/>
      <c r="F1527" s="67">
        <v>43319</v>
      </c>
      <c r="G1527" s="34" t="s">
        <v>34514</v>
      </c>
      <c r="H1527" s="34" t="s">
        <v>92</v>
      </c>
      <c r="I1527" s="34" t="s">
        <v>39</v>
      </c>
      <c r="J1527" s="34">
        <v>90011</v>
      </c>
      <c r="K1527" s="34" t="s">
        <v>92</v>
      </c>
      <c r="L1527" s="34" t="s">
        <v>93</v>
      </c>
      <c r="M1527" s="34" t="s">
        <v>21</v>
      </c>
      <c r="N1527" s="34" t="s">
        <v>34515</v>
      </c>
      <c r="O1527" s="34" t="s">
        <v>372</v>
      </c>
      <c r="P1527" s="34" t="s">
        <v>30089</v>
      </c>
      <c r="Q1527" s="35" t="s">
        <v>34516</v>
      </c>
      <c r="R1527" s="34" t="s">
        <v>94</v>
      </c>
      <c r="S1527" s="34" t="s">
        <v>22</v>
      </c>
      <c r="T1527" s="36" t="s">
        <v>26781</v>
      </c>
      <c r="U1527" s="36" t="s">
        <v>26570</v>
      </c>
      <c r="V1527" s="36"/>
      <c r="W1527" s="36" t="s">
        <v>94</v>
      </c>
      <c r="X1527" s="36">
        <v>3932</v>
      </c>
      <c r="Z1527" s="33" t="s">
        <v>42966</v>
      </c>
      <c r="AA1527" s="33">
        <v>6139</v>
      </c>
    </row>
    <row r="1528" spans="1:27" ht="12" customHeight="1" x14ac:dyDescent="0.15">
      <c r="A1528" s="34" t="s">
        <v>34509</v>
      </c>
      <c r="B1528" s="34">
        <v>42</v>
      </c>
      <c r="C1528" s="34" t="s">
        <v>14</v>
      </c>
      <c r="D1528" s="34" t="s">
        <v>42</v>
      </c>
      <c r="E1528" s="34"/>
      <c r="F1528" s="67">
        <v>43319</v>
      </c>
      <c r="G1528" s="34" t="s">
        <v>34510</v>
      </c>
      <c r="H1528" s="34" t="s">
        <v>639</v>
      </c>
      <c r="I1528" s="34" t="s">
        <v>112</v>
      </c>
      <c r="J1528" s="34">
        <v>85256</v>
      </c>
      <c r="K1528" s="34" t="s">
        <v>585</v>
      </c>
      <c r="L1528" s="34" t="s">
        <v>5161</v>
      </c>
      <c r="M1528" s="34" t="s">
        <v>21</v>
      </c>
      <c r="N1528" s="34" t="s">
        <v>34511</v>
      </c>
      <c r="O1528" s="34" t="s">
        <v>372</v>
      </c>
      <c r="P1528" s="34" t="s">
        <v>30089</v>
      </c>
      <c r="Q1528" s="35" t="s">
        <v>34512</v>
      </c>
      <c r="R1528" s="34" t="s">
        <v>94</v>
      </c>
      <c r="S1528" s="34" t="s">
        <v>29</v>
      </c>
      <c r="T1528" s="36" t="s">
        <v>26575</v>
      </c>
      <c r="U1528" s="36" t="s">
        <v>26575</v>
      </c>
      <c r="V1528" s="36" t="s">
        <v>19228</v>
      </c>
      <c r="W1528" s="36" t="s">
        <v>94</v>
      </c>
      <c r="X1528" s="36">
        <v>3933</v>
      </c>
      <c r="Z1528" s="33" t="s">
        <v>42967</v>
      </c>
      <c r="AA1528" s="33">
        <v>6140</v>
      </c>
    </row>
    <row r="1529" spans="1:27" ht="12" customHeight="1" x14ac:dyDescent="0.15">
      <c r="A1529" s="34" t="s">
        <v>34499</v>
      </c>
      <c r="B1529" s="34">
        <v>24</v>
      </c>
      <c r="C1529" s="34" t="s">
        <v>14</v>
      </c>
      <c r="D1529" s="34" t="s">
        <v>31</v>
      </c>
      <c r="E1529" s="35" t="s">
        <v>34500</v>
      </c>
      <c r="F1529" s="67">
        <v>43319</v>
      </c>
      <c r="G1529" s="34" t="s">
        <v>34501</v>
      </c>
      <c r="H1529" s="34" t="s">
        <v>4506</v>
      </c>
      <c r="I1529" s="34" t="s">
        <v>198</v>
      </c>
      <c r="J1529" s="34">
        <v>47403</v>
      </c>
      <c r="K1529" s="34" t="s">
        <v>1037</v>
      </c>
      <c r="L1529" s="34" t="s">
        <v>4752</v>
      </c>
      <c r="M1529" s="34" t="s">
        <v>21</v>
      </c>
      <c r="N1529" s="34" t="s">
        <v>34502</v>
      </c>
      <c r="O1529" s="34" t="s">
        <v>372</v>
      </c>
      <c r="P1529" s="34" t="s">
        <v>30089</v>
      </c>
      <c r="Q1529" s="35" t="s">
        <v>34503</v>
      </c>
      <c r="R1529" s="34" t="s">
        <v>94</v>
      </c>
      <c r="S1529" s="34" t="s">
        <v>22</v>
      </c>
      <c r="T1529" s="36" t="s">
        <v>26781</v>
      </c>
      <c r="U1529" s="36" t="s">
        <v>26572</v>
      </c>
      <c r="V1529" s="36" t="s">
        <v>26573</v>
      </c>
      <c r="W1529" s="36" t="s">
        <v>512</v>
      </c>
      <c r="X1529" s="36">
        <v>3929</v>
      </c>
      <c r="Z1529" s="33" t="s">
        <v>42968</v>
      </c>
      <c r="AA1529" s="33">
        <v>6138</v>
      </c>
    </row>
    <row r="1530" spans="1:27" ht="12" customHeight="1" x14ac:dyDescent="0.15">
      <c r="A1530" s="34" t="s">
        <v>34529</v>
      </c>
      <c r="B1530" s="34">
        <v>62</v>
      </c>
      <c r="C1530" s="34" t="s">
        <v>14</v>
      </c>
      <c r="D1530" s="34" t="s">
        <v>79</v>
      </c>
      <c r="E1530" s="34"/>
      <c r="F1530" s="67">
        <v>43318</v>
      </c>
      <c r="G1530" s="34" t="s">
        <v>34530</v>
      </c>
      <c r="H1530" s="34" t="s">
        <v>607</v>
      </c>
      <c r="I1530" s="34" t="s">
        <v>250</v>
      </c>
      <c r="J1530" s="34">
        <v>89106</v>
      </c>
      <c r="K1530" s="34" t="s">
        <v>527</v>
      </c>
      <c r="L1530" s="34" t="s">
        <v>528</v>
      </c>
      <c r="M1530" s="34" t="s">
        <v>21</v>
      </c>
      <c r="N1530" s="34" t="s">
        <v>34531</v>
      </c>
      <c r="O1530" s="34" t="s">
        <v>372</v>
      </c>
      <c r="P1530" s="34" t="s">
        <v>30089</v>
      </c>
      <c r="Q1530" s="35" t="s">
        <v>34532</v>
      </c>
      <c r="R1530" s="36" t="s">
        <v>512</v>
      </c>
      <c r="S1530" s="34" t="s">
        <v>22</v>
      </c>
      <c r="T1530" s="36" t="s">
        <v>26774</v>
      </c>
      <c r="U1530" s="36" t="s">
        <v>26572</v>
      </c>
      <c r="V1530" s="36" t="s">
        <v>26573</v>
      </c>
      <c r="W1530" s="36" t="s">
        <v>94</v>
      </c>
      <c r="X1530" s="36">
        <v>3912</v>
      </c>
      <c r="Z1530" s="33" t="s">
        <v>42966</v>
      </c>
      <c r="AA1530" s="33">
        <v>6136</v>
      </c>
    </row>
    <row r="1531" spans="1:27" ht="12" customHeight="1" x14ac:dyDescent="0.15">
      <c r="A1531" s="34" t="s">
        <v>34525</v>
      </c>
      <c r="B1531" s="34">
        <v>59</v>
      </c>
      <c r="C1531" s="34" t="s">
        <v>14</v>
      </c>
      <c r="D1531" s="34" t="s">
        <v>79</v>
      </c>
      <c r="E1531" s="34"/>
      <c r="F1531" s="67">
        <v>43318</v>
      </c>
      <c r="G1531" s="34" t="s">
        <v>34526</v>
      </c>
      <c r="H1531" s="34" t="s">
        <v>1033</v>
      </c>
      <c r="I1531" s="34" t="s">
        <v>376</v>
      </c>
      <c r="J1531" s="34">
        <v>19144</v>
      </c>
      <c r="K1531" s="34" t="s">
        <v>1033</v>
      </c>
      <c r="L1531" s="34" t="s">
        <v>1034</v>
      </c>
      <c r="M1531" s="34" t="s">
        <v>21</v>
      </c>
      <c r="N1531" s="34" t="s">
        <v>34527</v>
      </c>
      <c r="O1531" s="34" t="s">
        <v>372</v>
      </c>
      <c r="P1531" s="34" t="s">
        <v>30089</v>
      </c>
      <c r="Q1531" s="35" t="s">
        <v>34528</v>
      </c>
      <c r="R1531" s="34" t="s">
        <v>94</v>
      </c>
      <c r="S1531" s="34" t="s">
        <v>22</v>
      </c>
      <c r="T1531" s="36" t="s">
        <v>26781</v>
      </c>
      <c r="U1531" s="36" t="s">
        <v>26572</v>
      </c>
      <c r="V1531" s="36" t="s">
        <v>26573</v>
      </c>
      <c r="W1531" s="36" t="s">
        <v>94</v>
      </c>
      <c r="X1531" s="36">
        <v>3928</v>
      </c>
      <c r="Z1531" s="33" t="s">
        <v>42966</v>
      </c>
      <c r="AA1531" s="33">
        <v>6133</v>
      </c>
    </row>
    <row r="1532" spans="1:27" ht="12" customHeight="1" x14ac:dyDescent="0.15">
      <c r="A1532" s="34" t="s">
        <v>34522</v>
      </c>
      <c r="B1532" s="34">
        <v>47</v>
      </c>
      <c r="C1532" s="34" t="s">
        <v>14</v>
      </c>
      <c r="D1532" s="34" t="s">
        <v>24</v>
      </c>
      <c r="E1532" s="34"/>
      <c r="F1532" s="67">
        <v>43318</v>
      </c>
      <c r="G1532" s="34" t="s">
        <v>34523</v>
      </c>
      <c r="H1532" s="34" t="s">
        <v>401</v>
      </c>
      <c r="I1532" s="34" t="s">
        <v>402</v>
      </c>
      <c r="J1532" s="34">
        <v>64116</v>
      </c>
      <c r="K1532" s="34" t="s">
        <v>3117</v>
      </c>
      <c r="L1532" s="34" t="s">
        <v>405</v>
      </c>
      <c r="M1532" s="34" t="s">
        <v>21</v>
      </c>
      <c r="N1532" s="34" t="s">
        <v>36445</v>
      </c>
      <c r="O1532" s="34" t="s">
        <v>372</v>
      </c>
      <c r="P1532" s="34" t="s">
        <v>30089</v>
      </c>
      <c r="Q1532" s="35" t="s">
        <v>34524</v>
      </c>
      <c r="R1532" s="34" t="s">
        <v>23</v>
      </c>
      <c r="S1532" s="34" t="s">
        <v>22</v>
      </c>
      <c r="T1532" s="36" t="s">
        <v>26781</v>
      </c>
      <c r="U1532" s="34" t="s">
        <v>26572</v>
      </c>
      <c r="V1532" s="34" t="s">
        <v>26573</v>
      </c>
      <c r="W1532" s="36"/>
      <c r="X1532" s="36"/>
      <c r="Z1532" s="33" t="s">
        <v>42966</v>
      </c>
      <c r="AA1532" s="33">
        <v>6134</v>
      </c>
    </row>
    <row r="1533" spans="1:27" ht="12" customHeight="1" x14ac:dyDescent="0.15">
      <c r="A1533" s="34" t="s">
        <v>3002</v>
      </c>
      <c r="B1533" s="34" t="s">
        <v>23</v>
      </c>
      <c r="C1533" s="34" t="s">
        <v>14</v>
      </c>
      <c r="D1533" s="34" t="s">
        <v>24</v>
      </c>
      <c r="E1533" s="34"/>
      <c r="F1533" s="67">
        <v>43318</v>
      </c>
      <c r="G1533" s="34" t="s">
        <v>34533</v>
      </c>
      <c r="H1533" s="34" t="s">
        <v>11594</v>
      </c>
      <c r="I1533" s="34" t="s">
        <v>56</v>
      </c>
      <c r="J1533" s="34">
        <v>34974</v>
      </c>
      <c r="K1533" s="34" t="s">
        <v>11594</v>
      </c>
      <c r="L1533" s="34" t="s">
        <v>34534</v>
      </c>
      <c r="M1533" s="34" t="s">
        <v>21</v>
      </c>
      <c r="N1533" s="34" t="s">
        <v>34535</v>
      </c>
      <c r="O1533" s="34" t="s">
        <v>372</v>
      </c>
      <c r="P1533" s="34" t="s">
        <v>30089</v>
      </c>
      <c r="Q1533" s="35" t="s">
        <v>34536</v>
      </c>
      <c r="R1533" s="34" t="s">
        <v>23</v>
      </c>
      <c r="S1533" s="34" t="s">
        <v>22</v>
      </c>
      <c r="T1533" s="36" t="s">
        <v>26781</v>
      </c>
      <c r="U1533" s="36" t="s">
        <v>26570</v>
      </c>
      <c r="V1533" s="36" t="s">
        <v>26573</v>
      </c>
      <c r="W1533" s="36"/>
      <c r="X1533" s="36"/>
      <c r="Z1533" s="33" t="s">
        <v>42967</v>
      </c>
      <c r="AA1533" s="33">
        <v>6135</v>
      </c>
    </row>
    <row r="1534" spans="1:27" ht="12" customHeight="1" x14ac:dyDescent="0.15">
      <c r="A1534" s="34" t="s">
        <v>34517</v>
      </c>
      <c r="B1534" s="34">
        <v>39</v>
      </c>
      <c r="C1534" s="34" t="s">
        <v>14</v>
      </c>
      <c r="D1534" s="34" t="s">
        <v>79</v>
      </c>
      <c r="E1534" s="34"/>
      <c r="F1534" s="67">
        <v>43318</v>
      </c>
      <c r="G1534" s="34" t="s">
        <v>34518</v>
      </c>
      <c r="H1534" s="34" t="s">
        <v>1786</v>
      </c>
      <c r="I1534" s="34" t="s">
        <v>160</v>
      </c>
      <c r="J1534" s="34">
        <v>30318</v>
      </c>
      <c r="K1534" s="34" t="s">
        <v>1454</v>
      </c>
      <c r="L1534" s="34" t="s">
        <v>34519</v>
      </c>
      <c r="M1534" s="34" t="s">
        <v>21</v>
      </c>
      <c r="N1534" s="34" t="s">
        <v>34520</v>
      </c>
      <c r="O1534" s="34" t="s">
        <v>372</v>
      </c>
      <c r="P1534" s="34" t="s">
        <v>30089</v>
      </c>
      <c r="Q1534" s="35" t="s">
        <v>34521</v>
      </c>
      <c r="R1534" s="34" t="s">
        <v>94</v>
      </c>
      <c r="S1534" s="34" t="s">
        <v>29</v>
      </c>
      <c r="T1534" s="36" t="s">
        <v>26584</v>
      </c>
      <c r="U1534" s="36" t="s">
        <v>26572</v>
      </c>
      <c r="V1534" s="36" t="s">
        <v>26573</v>
      </c>
      <c r="W1534" s="36" t="s">
        <v>94</v>
      </c>
      <c r="X1534" s="36">
        <v>3927</v>
      </c>
      <c r="Z1534" s="33" t="s">
        <v>42968</v>
      </c>
      <c r="AA1534" s="33">
        <v>6137</v>
      </c>
    </row>
    <row r="1535" spans="1:27" ht="12" customHeight="1" x14ac:dyDescent="0.15">
      <c r="A1535" s="34" t="s">
        <v>34537</v>
      </c>
      <c r="B1535" s="34">
        <v>43</v>
      </c>
      <c r="C1535" s="34" t="s">
        <v>14</v>
      </c>
      <c r="D1535" s="34" t="s">
        <v>128</v>
      </c>
      <c r="E1535" s="34"/>
      <c r="F1535" s="67">
        <v>43317</v>
      </c>
      <c r="G1535" s="34" t="s">
        <v>34538</v>
      </c>
      <c r="H1535" s="34" t="s">
        <v>3289</v>
      </c>
      <c r="I1535" s="34" t="s">
        <v>122</v>
      </c>
      <c r="J1535" s="34">
        <v>55104</v>
      </c>
      <c r="K1535" s="34" t="s">
        <v>3291</v>
      </c>
      <c r="L1535" s="34" t="s">
        <v>4522</v>
      </c>
      <c r="M1535" s="34" t="s">
        <v>21</v>
      </c>
      <c r="N1535" s="34" t="s">
        <v>34539</v>
      </c>
      <c r="O1535" s="34" t="s">
        <v>372</v>
      </c>
      <c r="P1535" s="34" t="s">
        <v>30089</v>
      </c>
      <c r="Q1535" s="35" t="s">
        <v>34540</v>
      </c>
      <c r="R1535" s="34" t="s">
        <v>94</v>
      </c>
      <c r="S1535" s="34" t="s">
        <v>22</v>
      </c>
      <c r="T1535" s="36" t="s">
        <v>26781</v>
      </c>
      <c r="U1535" s="36" t="s">
        <v>26570</v>
      </c>
      <c r="V1535" s="36" t="s">
        <v>26573</v>
      </c>
      <c r="W1535" s="36" t="s">
        <v>512</v>
      </c>
      <c r="X1535" s="36">
        <v>3913</v>
      </c>
      <c r="Z1535" s="33" t="s">
        <v>42966</v>
      </c>
      <c r="AA1535" s="33">
        <v>6130</v>
      </c>
    </row>
    <row r="1536" spans="1:27" ht="12" customHeight="1" x14ac:dyDescent="0.15">
      <c r="A1536" s="34" t="s">
        <v>34545</v>
      </c>
      <c r="B1536" s="34">
        <v>68</v>
      </c>
      <c r="C1536" s="34" t="s">
        <v>14</v>
      </c>
      <c r="D1536" s="34" t="s">
        <v>31</v>
      </c>
      <c r="E1536" s="35" t="s">
        <v>34546</v>
      </c>
      <c r="F1536" s="67">
        <v>43317</v>
      </c>
      <c r="G1536" s="34" t="s">
        <v>34547</v>
      </c>
      <c r="H1536" s="34" t="s">
        <v>6106</v>
      </c>
      <c r="I1536" s="34" t="s">
        <v>918</v>
      </c>
      <c r="J1536" s="34">
        <v>72956</v>
      </c>
      <c r="K1536" s="34" t="s">
        <v>10271</v>
      </c>
      <c r="L1536" s="34" t="s">
        <v>34548</v>
      </c>
      <c r="M1536" s="34" t="s">
        <v>21</v>
      </c>
      <c r="N1536" s="34" t="s">
        <v>34549</v>
      </c>
      <c r="O1536" s="34" t="s">
        <v>372</v>
      </c>
      <c r="P1536" s="34" t="s">
        <v>30089</v>
      </c>
      <c r="Q1536" s="35" t="s">
        <v>34550</v>
      </c>
      <c r="R1536" s="34" t="s">
        <v>94</v>
      </c>
      <c r="S1536" s="34" t="s">
        <v>22</v>
      </c>
      <c r="T1536" s="36" t="s">
        <v>26781</v>
      </c>
      <c r="U1536" s="36" t="s">
        <v>26572</v>
      </c>
      <c r="V1536" s="36" t="s">
        <v>26573</v>
      </c>
      <c r="W1536" s="36" t="s">
        <v>94</v>
      </c>
      <c r="X1536" s="36">
        <v>3918</v>
      </c>
      <c r="Z1536" s="33" t="s">
        <v>42968</v>
      </c>
      <c r="AA1536" s="33">
        <v>6132</v>
      </c>
    </row>
    <row r="1537" spans="1:27" ht="12" customHeight="1" x14ac:dyDescent="0.15">
      <c r="A1537" s="34" t="s">
        <v>34541</v>
      </c>
      <c r="B1537" s="34">
        <v>58</v>
      </c>
      <c r="C1537" s="34" t="s">
        <v>14</v>
      </c>
      <c r="D1537" s="34" t="s">
        <v>24</v>
      </c>
      <c r="E1537" s="34"/>
      <c r="F1537" s="67">
        <v>43317</v>
      </c>
      <c r="G1537" s="34" t="s">
        <v>34542</v>
      </c>
      <c r="H1537" s="34" t="s">
        <v>21406</v>
      </c>
      <c r="I1537" s="34" t="s">
        <v>39</v>
      </c>
      <c r="J1537" s="34">
        <v>92345</v>
      </c>
      <c r="K1537" s="34" t="s">
        <v>288</v>
      </c>
      <c r="L1537" s="34" t="s">
        <v>32215</v>
      </c>
      <c r="M1537" s="34" t="s">
        <v>21</v>
      </c>
      <c r="N1537" s="34" t="s">
        <v>34543</v>
      </c>
      <c r="O1537" s="34" t="s">
        <v>372</v>
      </c>
      <c r="P1537" s="34" t="s">
        <v>30089</v>
      </c>
      <c r="Q1537" s="35" t="s">
        <v>34544</v>
      </c>
      <c r="R1537" s="34" t="s">
        <v>94</v>
      </c>
      <c r="S1537" s="34" t="s">
        <v>22</v>
      </c>
      <c r="T1537" s="36" t="s">
        <v>26781</v>
      </c>
      <c r="U1537" s="36" t="s">
        <v>26570</v>
      </c>
      <c r="V1537" s="36" t="s">
        <v>26573</v>
      </c>
      <c r="W1537" s="36" t="s">
        <v>94</v>
      </c>
      <c r="X1537" s="36">
        <v>3914</v>
      </c>
      <c r="Z1537" s="33" t="s">
        <v>42968</v>
      </c>
      <c r="AA1537" s="33">
        <v>6131</v>
      </c>
    </row>
    <row r="1538" spans="1:27" ht="12" customHeight="1" x14ac:dyDescent="0.15">
      <c r="A1538" s="34" t="s">
        <v>34551</v>
      </c>
      <c r="B1538" s="34">
        <v>28</v>
      </c>
      <c r="C1538" s="34" t="s">
        <v>14</v>
      </c>
      <c r="D1538" s="34" t="s">
        <v>24</v>
      </c>
      <c r="E1538" s="34"/>
      <c r="F1538" s="67">
        <v>43316</v>
      </c>
      <c r="G1538" s="34" t="s">
        <v>34552</v>
      </c>
      <c r="H1538" s="34" t="s">
        <v>607</v>
      </c>
      <c r="I1538" s="34" t="s">
        <v>250</v>
      </c>
      <c r="J1538" s="34">
        <v>89102</v>
      </c>
      <c r="K1538" s="34" t="s">
        <v>527</v>
      </c>
      <c r="L1538" s="34" t="s">
        <v>528</v>
      </c>
      <c r="M1538" s="34" t="s">
        <v>21</v>
      </c>
      <c r="N1538" s="34" t="s">
        <v>34553</v>
      </c>
      <c r="O1538" s="34" t="s">
        <v>372</v>
      </c>
      <c r="P1538" s="34" t="s">
        <v>30089</v>
      </c>
      <c r="Q1538" s="35" t="s">
        <v>34554</v>
      </c>
      <c r="R1538" s="34" t="s">
        <v>94</v>
      </c>
      <c r="S1538" s="34" t="s">
        <v>29</v>
      </c>
      <c r="T1538" s="33" t="s">
        <v>41840</v>
      </c>
      <c r="U1538" s="36"/>
      <c r="V1538" s="36"/>
      <c r="W1538" s="36"/>
      <c r="X1538" s="36"/>
      <c r="Z1538" s="33" t="s">
        <v>42966</v>
      </c>
      <c r="AA1538" s="33">
        <v>6129</v>
      </c>
    </row>
    <row r="1539" spans="1:27" ht="12" customHeight="1" x14ac:dyDescent="0.15">
      <c r="A1539" s="34" t="s">
        <v>34561</v>
      </c>
      <c r="B1539" s="34">
        <v>38</v>
      </c>
      <c r="C1539" s="34" t="s">
        <v>14</v>
      </c>
      <c r="D1539" s="34" t="s">
        <v>31</v>
      </c>
      <c r="E1539" s="35" t="s">
        <v>34562</v>
      </c>
      <c r="F1539" s="67">
        <v>43316</v>
      </c>
      <c r="G1539" s="34" t="s">
        <v>34563</v>
      </c>
      <c r="H1539" s="34" t="s">
        <v>4877</v>
      </c>
      <c r="I1539" s="34" t="s">
        <v>56</v>
      </c>
      <c r="J1539" s="34">
        <v>33445</v>
      </c>
      <c r="K1539" s="34" t="s">
        <v>4878</v>
      </c>
      <c r="L1539" s="34" t="s">
        <v>34564</v>
      </c>
      <c r="M1539" s="34" t="s">
        <v>21</v>
      </c>
      <c r="N1539" s="34" t="s">
        <v>34565</v>
      </c>
      <c r="O1539" s="34" t="s">
        <v>372</v>
      </c>
      <c r="P1539" s="34" t="s">
        <v>30089</v>
      </c>
      <c r="Q1539" s="35" t="s">
        <v>34566</v>
      </c>
      <c r="R1539" s="36" t="s">
        <v>512</v>
      </c>
      <c r="S1539" s="34" t="s">
        <v>22</v>
      </c>
      <c r="T1539" s="36" t="s">
        <v>26781</v>
      </c>
      <c r="U1539" s="36" t="s">
        <v>26570</v>
      </c>
      <c r="V1539" s="36" t="s">
        <v>26573</v>
      </c>
      <c r="W1539" s="36" t="s">
        <v>94</v>
      </c>
      <c r="X1539" s="36">
        <v>3922</v>
      </c>
      <c r="Z1539" s="33" t="s">
        <v>42966</v>
      </c>
      <c r="AA1539" s="33">
        <v>6128</v>
      </c>
    </row>
    <row r="1540" spans="1:27" ht="12" customHeight="1" x14ac:dyDescent="0.15">
      <c r="A1540" s="34" t="s">
        <v>34555</v>
      </c>
      <c r="B1540" s="34">
        <v>33</v>
      </c>
      <c r="C1540" s="34" t="s">
        <v>14</v>
      </c>
      <c r="D1540" s="34" t="s">
        <v>31</v>
      </c>
      <c r="E1540" s="35" t="s">
        <v>34556</v>
      </c>
      <c r="F1540" s="67">
        <v>43316</v>
      </c>
      <c r="G1540" s="34" t="s">
        <v>34557</v>
      </c>
      <c r="H1540" s="34" t="s">
        <v>32825</v>
      </c>
      <c r="I1540" s="34" t="s">
        <v>402</v>
      </c>
      <c r="J1540" s="34">
        <v>64068</v>
      </c>
      <c r="K1540" s="34" t="s">
        <v>3117</v>
      </c>
      <c r="L1540" s="34" t="s">
        <v>34558</v>
      </c>
      <c r="M1540" s="34" t="s">
        <v>21</v>
      </c>
      <c r="N1540" s="34" t="s">
        <v>34559</v>
      </c>
      <c r="O1540" s="34" t="s">
        <v>372</v>
      </c>
      <c r="P1540" s="34" t="s">
        <v>30089</v>
      </c>
      <c r="Q1540" s="35" t="s">
        <v>34560</v>
      </c>
      <c r="R1540" s="36" t="s">
        <v>512</v>
      </c>
      <c r="S1540" s="34" t="s">
        <v>22</v>
      </c>
      <c r="T1540" s="36" t="s">
        <v>26781</v>
      </c>
      <c r="U1540" s="36" t="s">
        <v>26572</v>
      </c>
      <c r="V1540" s="36" t="s">
        <v>26573</v>
      </c>
      <c r="W1540" s="36" t="s">
        <v>94</v>
      </c>
      <c r="X1540" s="36">
        <v>3921</v>
      </c>
      <c r="Z1540" s="33" t="s">
        <v>42968</v>
      </c>
      <c r="AA1540" s="33">
        <v>6127</v>
      </c>
    </row>
    <row r="1541" spans="1:27" ht="12" customHeight="1" x14ac:dyDescent="0.15">
      <c r="A1541" s="34" t="s">
        <v>34567</v>
      </c>
      <c r="B1541" s="34">
        <v>29</v>
      </c>
      <c r="C1541" s="34" t="s">
        <v>14</v>
      </c>
      <c r="D1541" s="34" t="s">
        <v>42</v>
      </c>
      <c r="E1541" s="34"/>
      <c r="F1541" s="67">
        <v>43315</v>
      </c>
      <c r="G1541" s="34" t="s">
        <v>34568</v>
      </c>
      <c r="H1541" s="34" t="s">
        <v>34569</v>
      </c>
      <c r="I1541" s="34" t="s">
        <v>56</v>
      </c>
      <c r="J1541" s="34">
        <v>32190</v>
      </c>
      <c r="K1541" s="34" t="s">
        <v>3571</v>
      </c>
      <c r="L1541" s="34" t="s">
        <v>242</v>
      </c>
      <c r="M1541" s="34" t="s">
        <v>21</v>
      </c>
      <c r="N1541" s="34" t="s">
        <v>34570</v>
      </c>
      <c r="O1541" s="34" t="s">
        <v>372</v>
      </c>
      <c r="P1541" s="34" t="s">
        <v>30089</v>
      </c>
      <c r="Q1541" s="35" t="s">
        <v>34571</v>
      </c>
      <c r="R1541" s="36" t="s">
        <v>512</v>
      </c>
      <c r="S1541" s="34" t="s">
        <v>22</v>
      </c>
      <c r="T1541" s="36" t="s">
        <v>363</v>
      </c>
      <c r="U1541" s="36" t="s">
        <v>26570</v>
      </c>
      <c r="V1541" s="36" t="s">
        <v>26573</v>
      </c>
      <c r="W1541" s="36" t="s">
        <v>512</v>
      </c>
      <c r="X1541" s="36">
        <v>3926</v>
      </c>
      <c r="Z1541" s="33" t="s">
        <v>42967</v>
      </c>
      <c r="AA1541" s="33">
        <v>6125</v>
      </c>
    </row>
    <row r="1542" spans="1:27" ht="12" customHeight="1" x14ac:dyDescent="0.15">
      <c r="A1542" s="34" t="s">
        <v>34597</v>
      </c>
      <c r="B1542" s="34">
        <v>49</v>
      </c>
      <c r="C1542" s="34" t="s">
        <v>14</v>
      </c>
      <c r="D1542" s="34" t="s">
        <v>31</v>
      </c>
      <c r="E1542" s="35" t="s">
        <v>34598</v>
      </c>
      <c r="F1542" s="67">
        <v>43315</v>
      </c>
      <c r="G1542" s="34" t="s">
        <v>34599</v>
      </c>
      <c r="H1542" s="34" t="s">
        <v>34600</v>
      </c>
      <c r="I1542" s="34" t="s">
        <v>918</v>
      </c>
      <c r="J1542" s="34">
        <v>72472</v>
      </c>
      <c r="K1542" s="34" t="s">
        <v>34601</v>
      </c>
      <c r="L1542" s="34" t="s">
        <v>34602</v>
      </c>
      <c r="M1542" s="34" t="s">
        <v>21</v>
      </c>
      <c r="N1542" s="34" t="s">
        <v>34603</v>
      </c>
      <c r="O1542" s="34" t="s">
        <v>372</v>
      </c>
      <c r="P1542" s="34" t="s">
        <v>30089</v>
      </c>
      <c r="Q1542" s="35" t="s">
        <v>34604</v>
      </c>
      <c r="R1542" s="36" t="s">
        <v>512</v>
      </c>
      <c r="S1542" s="34" t="s">
        <v>22</v>
      </c>
      <c r="T1542" s="36" t="s">
        <v>26781</v>
      </c>
      <c r="U1542" s="36" t="s">
        <v>26572</v>
      </c>
      <c r="V1542" s="36" t="s">
        <v>26573</v>
      </c>
      <c r="W1542" s="36" t="s">
        <v>94</v>
      </c>
      <c r="X1542" s="36">
        <v>3920</v>
      </c>
      <c r="Z1542" s="33" t="s">
        <v>42967</v>
      </c>
      <c r="AA1542" s="33">
        <v>6122</v>
      </c>
    </row>
    <row r="1543" spans="1:27" ht="12" customHeight="1" x14ac:dyDescent="0.15">
      <c r="A1543" s="34" t="s">
        <v>34586</v>
      </c>
      <c r="B1543" s="34">
        <v>34</v>
      </c>
      <c r="C1543" s="34" t="s">
        <v>14</v>
      </c>
      <c r="D1543" s="34" t="s">
        <v>79</v>
      </c>
      <c r="E1543" s="34"/>
      <c r="F1543" s="67">
        <v>43315</v>
      </c>
      <c r="G1543" s="34" t="s">
        <v>34587</v>
      </c>
      <c r="H1543" s="34" t="s">
        <v>12907</v>
      </c>
      <c r="I1543" s="34" t="s">
        <v>918</v>
      </c>
      <c r="J1543" s="34">
        <v>71601</v>
      </c>
      <c r="K1543" s="34" t="s">
        <v>1659</v>
      </c>
      <c r="L1543" s="34" t="s">
        <v>27525</v>
      </c>
      <c r="M1543" s="34" t="s">
        <v>21</v>
      </c>
      <c r="N1543" s="34" t="s">
        <v>34588</v>
      </c>
      <c r="O1543" s="34" t="s">
        <v>372</v>
      </c>
      <c r="P1543" s="34" t="s">
        <v>30089</v>
      </c>
      <c r="Q1543" s="35" t="s">
        <v>34589</v>
      </c>
      <c r="R1543" s="34" t="s">
        <v>94</v>
      </c>
      <c r="S1543" s="34" t="s">
        <v>22</v>
      </c>
      <c r="T1543" s="36" t="s">
        <v>26781</v>
      </c>
      <c r="U1543" s="36" t="s">
        <v>26572</v>
      </c>
      <c r="V1543" s="36" t="s">
        <v>26573</v>
      </c>
      <c r="W1543" s="36" t="s">
        <v>94</v>
      </c>
      <c r="X1543" s="36">
        <v>3919</v>
      </c>
      <c r="Z1543" s="33" t="s">
        <v>42968</v>
      </c>
      <c r="AA1543" s="33">
        <v>6121</v>
      </c>
    </row>
    <row r="1544" spans="1:27" ht="12" customHeight="1" x14ac:dyDescent="0.15">
      <c r="A1544" s="34" t="s">
        <v>34581</v>
      </c>
      <c r="B1544" s="34">
        <v>33</v>
      </c>
      <c r="C1544" s="34" t="s">
        <v>14</v>
      </c>
      <c r="D1544" s="34" t="s">
        <v>31</v>
      </c>
      <c r="E1544" s="35" t="s">
        <v>34582</v>
      </c>
      <c r="F1544" s="67">
        <v>43315</v>
      </c>
      <c r="G1544" s="34" t="s">
        <v>34583</v>
      </c>
      <c r="H1544" s="34" t="s">
        <v>6308</v>
      </c>
      <c r="I1544" s="34" t="s">
        <v>56</v>
      </c>
      <c r="J1544" s="34">
        <v>33322</v>
      </c>
      <c r="K1544" s="34" t="s">
        <v>1052</v>
      </c>
      <c r="L1544" s="34" t="s">
        <v>6310</v>
      </c>
      <c r="M1544" s="34" t="s">
        <v>21</v>
      </c>
      <c r="N1544" s="34" t="s">
        <v>34584</v>
      </c>
      <c r="O1544" s="34" t="s">
        <v>372</v>
      </c>
      <c r="P1544" s="34" t="s">
        <v>30089</v>
      </c>
      <c r="Q1544" s="35" t="s">
        <v>34585</v>
      </c>
      <c r="R1544" s="34" t="s">
        <v>512</v>
      </c>
      <c r="S1544" s="34" t="s">
        <v>29</v>
      </c>
      <c r="T1544" s="36" t="s">
        <v>26580</v>
      </c>
      <c r="U1544" s="36" t="s">
        <v>26572</v>
      </c>
      <c r="V1544" s="36" t="s">
        <v>26573</v>
      </c>
      <c r="W1544" s="36"/>
      <c r="X1544" s="36"/>
      <c r="Z1544" s="33" t="s">
        <v>42966</v>
      </c>
      <c r="AA1544" s="33">
        <v>6120</v>
      </c>
    </row>
    <row r="1545" spans="1:27" ht="12" customHeight="1" x14ac:dyDescent="0.15">
      <c r="A1545" s="34" t="s">
        <v>34590</v>
      </c>
      <c r="B1545" s="34">
        <v>35</v>
      </c>
      <c r="C1545" s="34" t="s">
        <v>14</v>
      </c>
      <c r="D1545" s="34" t="s">
        <v>24</v>
      </c>
      <c r="E1545" s="34"/>
      <c r="F1545" s="67">
        <v>43315</v>
      </c>
      <c r="G1545" s="34" t="s">
        <v>34591</v>
      </c>
      <c r="H1545" s="34" t="s">
        <v>34592</v>
      </c>
      <c r="I1545" s="34" t="s">
        <v>342</v>
      </c>
      <c r="J1545" s="34">
        <v>52501</v>
      </c>
      <c r="K1545" s="34" t="s">
        <v>34593</v>
      </c>
      <c r="L1545" s="34" t="s">
        <v>34594</v>
      </c>
      <c r="M1545" s="34" t="s">
        <v>21</v>
      </c>
      <c r="N1545" s="34" t="s">
        <v>34595</v>
      </c>
      <c r="O1545" s="34" t="s">
        <v>372</v>
      </c>
      <c r="P1545" s="34" t="s">
        <v>30089</v>
      </c>
      <c r="Q1545" s="35" t="s">
        <v>34596</v>
      </c>
      <c r="R1545" s="34" t="s">
        <v>94</v>
      </c>
      <c r="S1545" s="34" t="s">
        <v>22</v>
      </c>
      <c r="T1545" s="36" t="s">
        <v>26781</v>
      </c>
      <c r="U1545" s="34" t="s">
        <v>26572</v>
      </c>
      <c r="V1545" s="34" t="s">
        <v>26573</v>
      </c>
      <c r="W1545" s="36"/>
      <c r="X1545" s="36"/>
      <c r="Z1545" s="33" t="s">
        <v>42968</v>
      </c>
      <c r="AA1545" s="33">
        <v>6124</v>
      </c>
    </row>
    <row r="1546" spans="1:27" ht="12" customHeight="1" x14ac:dyDescent="0.15">
      <c r="A1546" s="34" t="s">
        <v>34572</v>
      </c>
      <c r="B1546" s="34">
        <v>29</v>
      </c>
      <c r="C1546" s="34" t="s">
        <v>14</v>
      </c>
      <c r="D1546" s="34" t="s">
        <v>31</v>
      </c>
      <c r="E1546" s="35" t="s">
        <v>34573</v>
      </c>
      <c r="F1546" s="67">
        <v>43315</v>
      </c>
      <c r="G1546" s="34" t="s">
        <v>34574</v>
      </c>
      <c r="H1546" s="34" t="s">
        <v>911</v>
      </c>
      <c r="I1546" s="34" t="s">
        <v>178</v>
      </c>
      <c r="J1546" s="34">
        <v>88001</v>
      </c>
      <c r="K1546" s="34" t="s">
        <v>912</v>
      </c>
      <c r="L1546" s="34" t="s">
        <v>6512</v>
      </c>
      <c r="M1546" s="34" t="s">
        <v>21</v>
      </c>
      <c r="N1546" s="34" t="s">
        <v>34575</v>
      </c>
      <c r="O1546" s="34" t="s">
        <v>372</v>
      </c>
      <c r="P1546" s="34" t="s">
        <v>30089</v>
      </c>
      <c r="Q1546" s="35" t="s">
        <v>34576</v>
      </c>
      <c r="R1546" s="36" t="s">
        <v>512</v>
      </c>
      <c r="S1546" s="34" t="s">
        <v>29</v>
      </c>
      <c r="T1546" s="36" t="s">
        <v>26575</v>
      </c>
      <c r="U1546" s="36" t="s">
        <v>26575</v>
      </c>
      <c r="V1546" s="36" t="s">
        <v>26573</v>
      </c>
      <c r="W1546" s="36" t="s">
        <v>94</v>
      </c>
      <c r="X1546" s="36">
        <v>3916</v>
      </c>
      <c r="Z1546" s="33" t="s">
        <v>42968</v>
      </c>
      <c r="AA1546" s="33">
        <v>6126</v>
      </c>
    </row>
    <row r="1547" spans="1:27" ht="12" customHeight="1" x14ac:dyDescent="0.15">
      <c r="A1547" s="34" t="s">
        <v>34577</v>
      </c>
      <c r="B1547" s="34">
        <v>31</v>
      </c>
      <c r="C1547" s="34" t="s">
        <v>14</v>
      </c>
      <c r="D1547" s="34" t="s">
        <v>31</v>
      </c>
      <c r="E1547" s="34"/>
      <c r="F1547" s="67">
        <v>43315</v>
      </c>
      <c r="G1547" s="34" t="s">
        <v>34578</v>
      </c>
      <c r="H1547" s="34" t="s">
        <v>28054</v>
      </c>
      <c r="I1547" s="34" t="s">
        <v>282</v>
      </c>
      <c r="J1547" s="34">
        <v>99006</v>
      </c>
      <c r="K1547" s="34" t="s">
        <v>782</v>
      </c>
      <c r="L1547" s="34" t="s">
        <v>34360</v>
      </c>
      <c r="M1547" s="34" t="s">
        <v>21</v>
      </c>
      <c r="N1547" s="34" t="s">
        <v>34579</v>
      </c>
      <c r="O1547" s="34" t="s">
        <v>372</v>
      </c>
      <c r="P1547" s="34" t="s">
        <v>30089</v>
      </c>
      <c r="Q1547" s="35" t="s">
        <v>34580</v>
      </c>
      <c r="R1547" s="36" t="s">
        <v>512</v>
      </c>
      <c r="S1547" s="34" t="s">
        <v>22</v>
      </c>
      <c r="T1547" s="36" t="s">
        <v>26781</v>
      </c>
      <c r="U1547" s="36" t="s">
        <v>26572</v>
      </c>
      <c r="V1547" s="36" t="s">
        <v>26573</v>
      </c>
      <c r="W1547" s="36" t="s">
        <v>94</v>
      </c>
      <c r="X1547" s="36">
        <v>3923</v>
      </c>
      <c r="Z1547" s="33" t="s">
        <v>42967</v>
      </c>
      <c r="AA1547" s="33">
        <v>6123</v>
      </c>
    </row>
    <row r="1548" spans="1:27" ht="12" customHeight="1" x14ac:dyDescent="0.15">
      <c r="A1548" s="34" t="s">
        <v>34615</v>
      </c>
      <c r="B1548" s="34">
        <v>41</v>
      </c>
      <c r="C1548" s="34" t="s">
        <v>14</v>
      </c>
      <c r="D1548" s="34" t="s">
        <v>79</v>
      </c>
      <c r="E1548" s="35" t="s">
        <v>34616</v>
      </c>
      <c r="F1548" s="67">
        <v>43314</v>
      </c>
      <c r="G1548" s="34" t="s">
        <v>34617</v>
      </c>
      <c r="H1548" s="34" t="s">
        <v>430</v>
      </c>
      <c r="I1548" s="34" t="s">
        <v>19</v>
      </c>
      <c r="J1548" s="34">
        <v>71108</v>
      </c>
      <c r="K1548" s="34" t="s">
        <v>5432</v>
      </c>
      <c r="L1548" s="34" t="s">
        <v>34618</v>
      </c>
      <c r="M1548" s="34" t="s">
        <v>21</v>
      </c>
      <c r="N1548" s="34" t="s">
        <v>34619</v>
      </c>
      <c r="O1548" s="34" t="s">
        <v>372</v>
      </c>
      <c r="P1548" s="34" t="s">
        <v>30089</v>
      </c>
      <c r="Q1548" s="35" t="s">
        <v>34620</v>
      </c>
      <c r="R1548" s="34" t="s">
        <v>94</v>
      </c>
      <c r="S1548" s="34" t="s">
        <v>29</v>
      </c>
      <c r="T1548" s="36" t="s">
        <v>26575</v>
      </c>
      <c r="U1548" s="36" t="s">
        <v>26572</v>
      </c>
      <c r="V1548" s="36" t="s">
        <v>26573</v>
      </c>
      <c r="W1548" s="36"/>
      <c r="X1548" s="36"/>
      <c r="Z1548" s="33" t="s">
        <v>42966</v>
      </c>
      <c r="AA1548" s="33">
        <v>6118</v>
      </c>
    </row>
    <row r="1549" spans="1:27" ht="12" customHeight="1" x14ac:dyDescent="0.15">
      <c r="A1549" s="34" t="s">
        <v>34610</v>
      </c>
      <c r="B1549" s="34">
        <v>28</v>
      </c>
      <c r="C1549" s="34" t="s">
        <v>14</v>
      </c>
      <c r="D1549" s="34" t="s">
        <v>128</v>
      </c>
      <c r="E1549" s="35" t="s">
        <v>34611</v>
      </c>
      <c r="F1549" s="67">
        <v>43314</v>
      </c>
      <c r="G1549" s="34"/>
      <c r="H1549" s="34" t="s">
        <v>34612</v>
      </c>
      <c r="I1549" s="34" t="s">
        <v>309</v>
      </c>
      <c r="J1549" s="34">
        <v>99658</v>
      </c>
      <c r="K1549" s="34" t="s">
        <v>31133</v>
      </c>
      <c r="L1549" s="34" t="s">
        <v>10186</v>
      </c>
      <c r="M1549" s="34" t="s">
        <v>21</v>
      </c>
      <c r="N1549" s="34" t="s">
        <v>34613</v>
      </c>
      <c r="O1549" s="34" t="s">
        <v>372</v>
      </c>
      <c r="P1549" s="34" t="s">
        <v>30089</v>
      </c>
      <c r="Q1549" s="35" t="s">
        <v>34614</v>
      </c>
      <c r="R1549" s="34" t="s">
        <v>94</v>
      </c>
      <c r="S1549" s="34" t="s">
        <v>22</v>
      </c>
      <c r="T1549" s="34" t="s">
        <v>26774</v>
      </c>
      <c r="U1549" s="34"/>
      <c r="V1549" s="34" t="s">
        <v>26573</v>
      </c>
      <c r="W1549" s="34"/>
      <c r="X1549" s="34"/>
      <c r="Z1549" s="33" t="s">
        <v>42967</v>
      </c>
      <c r="AA1549" s="33">
        <v>6116</v>
      </c>
    </row>
    <row r="1550" spans="1:27" ht="12" customHeight="1" x14ac:dyDescent="0.15">
      <c r="A1550" s="34" t="s">
        <v>34605</v>
      </c>
      <c r="B1550" s="34">
        <v>19</v>
      </c>
      <c r="C1550" s="34" t="s">
        <v>14</v>
      </c>
      <c r="D1550" s="34" t="s">
        <v>31</v>
      </c>
      <c r="E1550" s="34"/>
      <c r="F1550" s="67">
        <v>43314</v>
      </c>
      <c r="G1550" s="34" t="s">
        <v>34606</v>
      </c>
      <c r="H1550" s="34" t="s">
        <v>34607</v>
      </c>
      <c r="I1550" s="34" t="s">
        <v>56</v>
      </c>
      <c r="J1550" s="34">
        <v>32703</v>
      </c>
      <c r="K1550" s="34" t="s">
        <v>998</v>
      </c>
      <c r="L1550" s="34" t="s">
        <v>4077</v>
      </c>
      <c r="M1550" s="34" t="s">
        <v>21</v>
      </c>
      <c r="N1550" s="34" t="s">
        <v>34608</v>
      </c>
      <c r="O1550" s="34" t="s">
        <v>372</v>
      </c>
      <c r="P1550" s="34" t="s">
        <v>30089</v>
      </c>
      <c r="Q1550" s="35" t="s">
        <v>34609</v>
      </c>
      <c r="R1550" s="34" t="s">
        <v>94</v>
      </c>
      <c r="S1550" s="34" t="s">
        <v>12</v>
      </c>
      <c r="T1550" s="36" t="s">
        <v>29425</v>
      </c>
      <c r="U1550" s="36" t="s">
        <v>26572</v>
      </c>
      <c r="V1550" s="36" t="s">
        <v>26573</v>
      </c>
      <c r="W1550" s="36" t="s">
        <v>94</v>
      </c>
      <c r="X1550" s="36">
        <v>3925</v>
      </c>
      <c r="Z1550" s="33" t="s">
        <v>42968</v>
      </c>
      <c r="AA1550" s="33">
        <v>6117</v>
      </c>
    </row>
    <row r="1551" spans="1:27" ht="12" customHeight="1" x14ac:dyDescent="0.15">
      <c r="A1551" s="34" t="s">
        <v>34621</v>
      </c>
      <c r="B1551" s="34">
        <v>57</v>
      </c>
      <c r="C1551" s="34" t="s">
        <v>14</v>
      </c>
      <c r="D1551" s="34" t="s">
        <v>42</v>
      </c>
      <c r="E1551" s="34"/>
      <c r="F1551" s="67">
        <v>43314</v>
      </c>
      <c r="G1551" s="34" t="s">
        <v>34622</v>
      </c>
      <c r="H1551" s="34" t="s">
        <v>21113</v>
      </c>
      <c r="I1551" s="34" t="s">
        <v>192</v>
      </c>
      <c r="J1551" s="34">
        <v>80020</v>
      </c>
      <c r="K1551" s="34" t="s">
        <v>1659</v>
      </c>
      <c r="L1551" s="34" t="s">
        <v>21114</v>
      </c>
      <c r="M1551" s="34" t="s">
        <v>21</v>
      </c>
      <c r="N1551" s="34" t="s">
        <v>36446</v>
      </c>
      <c r="O1551" s="34" t="s">
        <v>372</v>
      </c>
      <c r="P1551" s="34" t="s">
        <v>30089</v>
      </c>
      <c r="Q1551" s="35" t="s">
        <v>34623</v>
      </c>
      <c r="R1551" s="34" t="s">
        <v>94</v>
      </c>
      <c r="S1551" s="34" t="s">
        <v>351</v>
      </c>
      <c r="T1551" s="36" t="s">
        <v>26867</v>
      </c>
      <c r="U1551" s="36" t="s">
        <v>26572</v>
      </c>
      <c r="V1551" s="36" t="s">
        <v>26571</v>
      </c>
      <c r="W1551" s="36" t="s">
        <v>94</v>
      </c>
      <c r="X1551" s="36">
        <v>3924</v>
      </c>
      <c r="Z1551" s="33" t="s">
        <v>42968</v>
      </c>
      <c r="AA1551" s="33">
        <v>6119</v>
      </c>
    </row>
    <row r="1552" spans="1:27" ht="12" customHeight="1" x14ac:dyDescent="0.15">
      <c r="A1552" s="34" t="s">
        <v>34624</v>
      </c>
      <c r="B1552" s="34">
        <v>27</v>
      </c>
      <c r="C1552" s="34" t="s">
        <v>14</v>
      </c>
      <c r="D1552" s="34" t="s">
        <v>79</v>
      </c>
      <c r="E1552" s="35" t="s">
        <v>34625</v>
      </c>
      <c r="F1552" s="67">
        <v>43313</v>
      </c>
      <c r="G1552" s="34" t="s">
        <v>34626</v>
      </c>
      <c r="H1552" s="34" t="s">
        <v>34627</v>
      </c>
      <c r="I1552" s="34" t="s">
        <v>46</v>
      </c>
      <c r="J1552" s="34">
        <v>20745</v>
      </c>
      <c r="K1552" s="34" t="s">
        <v>2210</v>
      </c>
      <c r="L1552" s="34" t="s">
        <v>705</v>
      </c>
      <c r="M1552" s="34" t="s">
        <v>21</v>
      </c>
      <c r="N1552" s="34" t="s">
        <v>34628</v>
      </c>
      <c r="O1552" s="34" t="s">
        <v>372</v>
      </c>
      <c r="P1552" s="34" t="s">
        <v>30089</v>
      </c>
      <c r="Q1552" s="35" t="s">
        <v>34629</v>
      </c>
      <c r="R1552" s="34" t="s">
        <v>94</v>
      </c>
      <c r="S1552" s="34" t="s">
        <v>22</v>
      </c>
      <c r="T1552" s="36" t="s">
        <v>26781</v>
      </c>
      <c r="U1552" s="36" t="s">
        <v>26570</v>
      </c>
      <c r="V1552" s="36" t="s">
        <v>26574</v>
      </c>
      <c r="W1552" s="36" t="s">
        <v>94</v>
      </c>
      <c r="X1552" s="36">
        <v>3907</v>
      </c>
      <c r="Z1552" s="33" t="s">
        <v>42968</v>
      </c>
      <c r="AA1552" s="33">
        <v>6112</v>
      </c>
    </row>
    <row r="1553" spans="1:27" ht="12" customHeight="1" x14ac:dyDescent="0.15">
      <c r="A1553" s="34" t="s">
        <v>34630</v>
      </c>
      <c r="B1553" s="34">
        <v>35</v>
      </c>
      <c r="C1553" s="34" t="s">
        <v>14</v>
      </c>
      <c r="D1553" s="34" t="s">
        <v>42</v>
      </c>
      <c r="E1553" s="35" t="s">
        <v>34631</v>
      </c>
      <c r="F1553" s="67">
        <v>43313</v>
      </c>
      <c r="G1553" s="34" t="s">
        <v>34632</v>
      </c>
      <c r="H1553" s="34" t="s">
        <v>34633</v>
      </c>
      <c r="I1553" s="34" t="s">
        <v>67</v>
      </c>
      <c r="J1553" s="34">
        <v>79045</v>
      </c>
      <c r="K1553" s="34" t="s">
        <v>34634</v>
      </c>
      <c r="L1553" s="34" t="s">
        <v>14030</v>
      </c>
      <c r="M1553" s="34" t="s">
        <v>21</v>
      </c>
      <c r="N1553" s="34" t="s">
        <v>34635</v>
      </c>
      <c r="O1553" s="34" t="s">
        <v>372</v>
      </c>
      <c r="P1553" s="34" t="s">
        <v>30089</v>
      </c>
      <c r="Q1553" s="35" t="s">
        <v>34636</v>
      </c>
      <c r="R1553" s="34" t="s">
        <v>94</v>
      </c>
      <c r="S1553" s="34" t="s">
        <v>22</v>
      </c>
      <c r="T1553" s="36" t="s">
        <v>26781</v>
      </c>
      <c r="U1553" s="36" t="s">
        <v>26572</v>
      </c>
      <c r="V1553" s="36" t="s">
        <v>26573</v>
      </c>
      <c r="W1553" s="36" t="s">
        <v>94</v>
      </c>
      <c r="X1553" s="36">
        <v>3910</v>
      </c>
      <c r="Z1553" s="33" t="s">
        <v>42967</v>
      </c>
      <c r="AA1553" s="33">
        <v>6113</v>
      </c>
    </row>
    <row r="1554" spans="1:27" ht="12" customHeight="1" x14ac:dyDescent="0.15">
      <c r="A1554" s="34" t="s">
        <v>34637</v>
      </c>
      <c r="B1554" s="34">
        <v>38</v>
      </c>
      <c r="C1554" s="34" t="s">
        <v>14</v>
      </c>
      <c r="D1554" s="34" t="s">
        <v>24</v>
      </c>
      <c r="E1554" s="34"/>
      <c r="F1554" s="67">
        <v>43313</v>
      </c>
      <c r="G1554" s="34" t="s">
        <v>34638</v>
      </c>
      <c r="H1554" s="34" t="s">
        <v>1365</v>
      </c>
      <c r="I1554" s="34" t="s">
        <v>39</v>
      </c>
      <c r="J1554" s="34">
        <v>94566</v>
      </c>
      <c r="K1554" s="34" t="s">
        <v>558</v>
      </c>
      <c r="L1554" s="34" t="s">
        <v>1366</v>
      </c>
      <c r="M1554" s="34" t="s">
        <v>363</v>
      </c>
      <c r="N1554" s="34" t="s">
        <v>34639</v>
      </c>
      <c r="O1554" s="34" t="s">
        <v>372</v>
      </c>
      <c r="P1554" s="34" t="s">
        <v>30089</v>
      </c>
      <c r="Q1554" s="35" t="s">
        <v>34640</v>
      </c>
      <c r="R1554" s="34" t="s">
        <v>23</v>
      </c>
      <c r="S1554" s="34" t="s">
        <v>12</v>
      </c>
      <c r="T1554" s="34" t="s">
        <v>29705</v>
      </c>
      <c r="U1554" s="34" t="s">
        <v>26570</v>
      </c>
      <c r="V1554" s="34"/>
      <c r="W1554" s="34"/>
      <c r="X1554" s="34"/>
      <c r="Z1554" s="33" t="s">
        <v>42968</v>
      </c>
      <c r="AA1554" s="33">
        <v>6115</v>
      </c>
    </row>
    <row r="1555" spans="1:27" ht="12" customHeight="1" x14ac:dyDescent="0.15">
      <c r="A1555" s="34" t="s">
        <v>34641</v>
      </c>
      <c r="B1555" s="34">
        <v>41</v>
      </c>
      <c r="C1555" s="34" t="s">
        <v>14</v>
      </c>
      <c r="D1555" s="34" t="s">
        <v>79</v>
      </c>
      <c r="E1555" s="35" t="s">
        <v>34642</v>
      </c>
      <c r="F1555" s="67">
        <v>43313</v>
      </c>
      <c r="G1555" s="34" t="s">
        <v>34643</v>
      </c>
      <c r="H1555" s="34" t="s">
        <v>34644</v>
      </c>
      <c r="I1555" s="34" t="s">
        <v>225</v>
      </c>
      <c r="J1555" s="34">
        <v>23897</v>
      </c>
      <c r="K1555" s="34" t="s">
        <v>1850</v>
      </c>
      <c r="L1555" s="34" t="s">
        <v>3061</v>
      </c>
      <c r="M1555" s="34" t="s">
        <v>21</v>
      </c>
      <c r="N1555" s="34" t="s">
        <v>34645</v>
      </c>
      <c r="O1555" s="34" t="s">
        <v>372</v>
      </c>
      <c r="P1555" s="34" t="s">
        <v>30089</v>
      </c>
      <c r="Q1555" s="35" t="s">
        <v>34646</v>
      </c>
      <c r="R1555" s="34" t="s">
        <v>94</v>
      </c>
      <c r="S1555" s="34" t="s">
        <v>22</v>
      </c>
      <c r="T1555" s="36" t="s">
        <v>26781</v>
      </c>
      <c r="U1555" s="36" t="s">
        <v>26572</v>
      </c>
      <c r="V1555" s="36" t="s">
        <v>26571</v>
      </c>
      <c r="W1555" s="36" t="s">
        <v>94</v>
      </c>
      <c r="X1555" s="36">
        <v>3911</v>
      </c>
      <c r="Z1555" s="33" t="s">
        <v>42967</v>
      </c>
      <c r="AA1555" s="33">
        <v>6114</v>
      </c>
    </row>
    <row r="1556" spans="1:27" ht="12" customHeight="1" x14ac:dyDescent="0.15">
      <c r="A1556" s="34" t="s">
        <v>34652</v>
      </c>
      <c r="B1556" s="34">
        <v>53</v>
      </c>
      <c r="C1556" s="34" t="s">
        <v>14</v>
      </c>
      <c r="D1556" s="34" t="s">
        <v>31</v>
      </c>
      <c r="E1556" s="34"/>
      <c r="F1556" s="67">
        <v>43312</v>
      </c>
      <c r="G1556" s="34" t="s">
        <v>34653</v>
      </c>
      <c r="H1556" s="34" t="s">
        <v>518</v>
      </c>
      <c r="I1556" s="34" t="s">
        <v>112</v>
      </c>
      <c r="J1556" s="34">
        <v>85706</v>
      </c>
      <c r="K1556" s="34" t="s">
        <v>519</v>
      </c>
      <c r="L1556" s="34" t="s">
        <v>520</v>
      </c>
      <c r="M1556" s="34" t="s">
        <v>21</v>
      </c>
      <c r="N1556" s="34" t="s">
        <v>34654</v>
      </c>
      <c r="O1556" s="34" t="s">
        <v>372</v>
      </c>
      <c r="P1556" s="34" t="s">
        <v>30089</v>
      </c>
      <c r="Q1556" s="35" t="s">
        <v>34655</v>
      </c>
      <c r="R1556" s="34" t="s">
        <v>94</v>
      </c>
      <c r="S1556" s="34" t="s">
        <v>22</v>
      </c>
      <c r="T1556" s="36" t="s">
        <v>26781</v>
      </c>
      <c r="U1556" s="36" t="s">
        <v>26570</v>
      </c>
      <c r="V1556" s="36" t="s">
        <v>26573</v>
      </c>
      <c r="W1556" s="36" t="s">
        <v>94</v>
      </c>
      <c r="X1556" s="36">
        <v>3909</v>
      </c>
      <c r="Z1556" s="33" t="s">
        <v>42968</v>
      </c>
      <c r="AA1556" s="33">
        <v>6110</v>
      </c>
    </row>
    <row r="1557" spans="1:27" ht="12" customHeight="1" x14ac:dyDescent="0.15">
      <c r="A1557" s="34" t="s">
        <v>34647</v>
      </c>
      <c r="B1557" s="34">
        <v>23</v>
      </c>
      <c r="C1557" s="34" t="s">
        <v>14</v>
      </c>
      <c r="D1557" s="34" t="s">
        <v>31</v>
      </c>
      <c r="E1557" s="35" t="s">
        <v>34648</v>
      </c>
      <c r="F1557" s="67">
        <v>43312</v>
      </c>
      <c r="G1557" s="34" t="s">
        <v>34649</v>
      </c>
      <c r="H1557" s="34" t="s">
        <v>584</v>
      </c>
      <c r="I1557" s="34" t="s">
        <v>112</v>
      </c>
      <c r="J1557" s="34">
        <v>85042</v>
      </c>
      <c r="K1557" s="34" t="s">
        <v>585</v>
      </c>
      <c r="L1557" s="34" t="s">
        <v>3069</v>
      </c>
      <c r="M1557" s="34" t="s">
        <v>21</v>
      </c>
      <c r="N1557" s="34" t="s">
        <v>34650</v>
      </c>
      <c r="O1557" s="34" t="s">
        <v>372</v>
      </c>
      <c r="P1557" s="34" t="s">
        <v>30089</v>
      </c>
      <c r="Q1557" s="35" t="s">
        <v>34651</v>
      </c>
      <c r="R1557" s="34" t="s">
        <v>94</v>
      </c>
      <c r="S1557" s="34" t="s">
        <v>22</v>
      </c>
      <c r="T1557" s="36" t="s">
        <v>26781</v>
      </c>
      <c r="U1557" s="36" t="s">
        <v>26572</v>
      </c>
      <c r="V1557" s="36" t="s">
        <v>26573</v>
      </c>
      <c r="W1557" s="36" t="s">
        <v>94</v>
      </c>
      <c r="X1557" s="36">
        <v>3963</v>
      </c>
      <c r="Z1557" s="33" t="s">
        <v>42968</v>
      </c>
      <c r="AA1557" s="33">
        <v>6111</v>
      </c>
    </row>
    <row r="1558" spans="1:27" ht="12" customHeight="1" x14ac:dyDescent="0.15">
      <c r="A1558" s="34" t="s">
        <v>34656</v>
      </c>
      <c r="B1558" s="34">
        <v>35</v>
      </c>
      <c r="C1558" s="34" t="s">
        <v>14</v>
      </c>
      <c r="D1558" s="34" t="s">
        <v>79</v>
      </c>
      <c r="E1558" s="35" t="s">
        <v>34657</v>
      </c>
      <c r="F1558" s="67">
        <v>43311</v>
      </c>
      <c r="G1558" s="34" t="s">
        <v>34658</v>
      </c>
      <c r="H1558" s="34" t="s">
        <v>34659</v>
      </c>
      <c r="I1558" s="34" t="s">
        <v>918</v>
      </c>
      <c r="J1558" s="34">
        <v>72358</v>
      </c>
      <c r="K1558" s="34" t="s">
        <v>919</v>
      </c>
      <c r="L1558" s="34" t="s">
        <v>5937</v>
      </c>
      <c r="M1558" s="34" t="s">
        <v>21</v>
      </c>
      <c r="N1558" s="34" t="s">
        <v>34660</v>
      </c>
      <c r="O1558" s="34" t="s">
        <v>31862</v>
      </c>
      <c r="P1558" s="34" t="s">
        <v>30089</v>
      </c>
      <c r="Q1558" s="35" t="s">
        <v>34661</v>
      </c>
      <c r="R1558" s="34" t="s">
        <v>94</v>
      </c>
      <c r="S1558" s="34" t="s">
        <v>22</v>
      </c>
      <c r="T1558" s="36" t="s">
        <v>26781</v>
      </c>
      <c r="U1558" s="36" t="s">
        <v>26572</v>
      </c>
      <c r="V1558" s="36" t="s">
        <v>26574</v>
      </c>
      <c r="W1558" s="36" t="s">
        <v>94</v>
      </c>
      <c r="X1558" s="36">
        <v>3908</v>
      </c>
      <c r="Z1558" s="33" t="s">
        <v>42967</v>
      </c>
      <c r="AA1558" s="33">
        <v>6109</v>
      </c>
    </row>
    <row r="1559" spans="1:27" ht="12" customHeight="1" x14ac:dyDescent="0.15">
      <c r="A1559" s="34" t="s">
        <v>34662</v>
      </c>
      <c r="B1559" s="34">
        <v>73</v>
      </c>
      <c r="C1559" s="34" t="s">
        <v>14</v>
      </c>
      <c r="D1559" s="34" t="s">
        <v>31</v>
      </c>
      <c r="E1559" s="35" t="s">
        <v>34663</v>
      </c>
      <c r="F1559" s="67">
        <v>43311</v>
      </c>
      <c r="G1559" s="34" t="s">
        <v>34664</v>
      </c>
      <c r="H1559" s="34" t="s">
        <v>3508</v>
      </c>
      <c r="I1559" s="34" t="s">
        <v>192</v>
      </c>
      <c r="J1559" s="34">
        <v>80010</v>
      </c>
      <c r="K1559" s="34" t="s">
        <v>3510</v>
      </c>
      <c r="L1559" s="34" t="s">
        <v>3511</v>
      </c>
      <c r="M1559" s="34" t="s">
        <v>21</v>
      </c>
      <c r="N1559" s="34" t="s">
        <v>34665</v>
      </c>
      <c r="O1559" s="34" t="s">
        <v>372</v>
      </c>
      <c r="P1559" s="34" t="s">
        <v>30089</v>
      </c>
      <c r="Q1559" s="35" t="s">
        <v>34666</v>
      </c>
      <c r="R1559" s="34" t="s">
        <v>94</v>
      </c>
      <c r="S1559" s="34" t="s">
        <v>22</v>
      </c>
      <c r="T1559" s="36" t="s">
        <v>26781</v>
      </c>
      <c r="U1559" s="36" t="s">
        <v>26570</v>
      </c>
      <c r="V1559" s="36" t="s">
        <v>26573</v>
      </c>
      <c r="W1559" s="36" t="s">
        <v>94</v>
      </c>
      <c r="X1559" s="36">
        <v>3899</v>
      </c>
      <c r="Z1559" s="33" t="s">
        <v>42966</v>
      </c>
      <c r="AA1559" s="33">
        <v>6108</v>
      </c>
    </row>
    <row r="1560" spans="1:27" ht="12" customHeight="1" x14ac:dyDescent="0.15">
      <c r="A1560" s="34" t="s">
        <v>34673</v>
      </c>
      <c r="B1560" s="34">
        <v>32</v>
      </c>
      <c r="C1560" s="34" t="s">
        <v>14</v>
      </c>
      <c r="D1560" s="34" t="s">
        <v>24</v>
      </c>
      <c r="E1560" s="34"/>
      <c r="F1560" s="67">
        <v>43309</v>
      </c>
      <c r="G1560" s="34" t="s">
        <v>34674</v>
      </c>
      <c r="H1560" s="34" t="s">
        <v>2886</v>
      </c>
      <c r="I1560" s="34" t="s">
        <v>19</v>
      </c>
      <c r="J1560" s="34">
        <v>71360</v>
      </c>
      <c r="K1560" s="34" t="s">
        <v>2888</v>
      </c>
      <c r="L1560" s="34" t="s">
        <v>34675</v>
      </c>
      <c r="M1560" s="34" t="s">
        <v>21</v>
      </c>
      <c r="N1560" s="34" t="s">
        <v>34676</v>
      </c>
      <c r="O1560" s="34" t="s">
        <v>372</v>
      </c>
      <c r="P1560" s="34" t="s">
        <v>30089</v>
      </c>
      <c r="Q1560" s="35" t="s">
        <v>34677</v>
      </c>
      <c r="R1560" s="34" t="s">
        <v>94</v>
      </c>
      <c r="S1560" s="34" t="s">
        <v>29</v>
      </c>
      <c r="T1560" s="36" t="s">
        <v>26575</v>
      </c>
      <c r="U1560" s="36" t="s">
        <v>26575</v>
      </c>
      <c r="V1560" s="36" t="s">
        <v>26571</v>
      </c>
      <c r="W1560" s="36" t="s">
        <v>94</v>
      </c>
      <c r="X1560" s="36">
        <v>3902</v>
      </c>
      <c r="Z1560" s="33" t="s">
        <v>42967</v>
      </c>
      <c r="AA1560" s="33">
        <v>6106</v>
      </c>
    </row>
    <row r="1561" spans="1:27" ht="12" customHeight="1" x14ac:dyDescent="0.15">
      <c r="A1561" s="34" t="s">
        <v>34684</v>
      </c>
      <c r="B1561" s="34">
        <v>44</v>
      </c>
      <c r="C1561" s="34" t="s">
        <v>14</v>
      </c>
      <c r="D1561" s="34" t="s">
        <v>42</v>
      </c>
      <c r="E1561" s="35" t="s">
        <v>34685</v>
      </c>
      <c r="F1561" s="67">
        <v>43309</v>
      </c>
      <c r="G1561" s="34" t="s">
        <v>34686</v>
      </c>
      <c r="H1561" s="34" t="s">
        <v>3751</v>
      </c>
      <c r="I1561" s="34" t="s">
        <v>376</v>
      </c>
      <c r="J1561" s="34">
        <v>18103</v>
      </c>
      <c r="K1561" s="34" t="s">
        <v>3753</v>
      </c>
      <c r="L1561" s="34" t="s">
        <v>34687</v>
      </c>
      <c r="M1561" s="34" t="s">
        <v>21</v>
      </c>
      <c r="N1561" s="34" t="s">
        <v>34688</v>
      </c>
      <c r="O1561" s="34" t="s">
        <v>372</v>
      </c>
      <c r="P1561" s="34" t="s">
        <v>30089</v>
      </c>
      <c r="Q1561" s="35" t="s">
        <v>34689</v>
      </c>
      <c r="R1561" s="34" t="s">
        <v>23</v>
      </c>
      <c r="S1561" s="34" t="s">
        <v>29</v>
      </c>
      <c r="T1561" s="36" t="s">
        <v>26575</v>
      </c>
      <c r="U1561" s="36" t="s">
        <v>26575</v>
      </c>
      <c r="V1561" s="36" t="s">
        <v>26573</v>
      </c>
      <c r="W1561" s="36" t="s">
        <v>94</v>
      </c>
      <c r="X1561" s="36">
        <v>3897</v>
      </c>
      <c r="Z1561" s="33" t="s">
        <v>42968</v>
      </c>
      <c r="AA1561" s="33">
        <v>6105</v>
      </c>
    </row>
    <row r="1562" spans="1:27" ht="12" customHeight="1" x14ac:dyDescent="0.15">
      <c r="A1562" s="34" t="s">
        <v>3002</v>
      </c>
      <c r="B1562" s="34" t="s">
        <v>23</v>
      </c>
      <c r="C1562" s="34" t="s">
        <v>14</v>
      </c>
      <c r="D1562" s="34" t="s">
        <v>24</v>
      </c>
      <c r="E1562" s="34"/>
      <c r="F1562" s="67">
        <v>43309</v>
      </c>
      <c r="G1562" s="34" t="s">
        <v>34690</v>
      </c>
      <c r="H1562" s="34" t="s">
        <v>1212</v>
      </c>
      <c r="I1562" s="34" t="s">
        <v>192</v>
      </c>
      <c r="J1562" s="34">
        <v>80221</v>
      </c>
      <c r="K1562" s="34" t="s">
        <v>1790</v>
      </c>
      <c r="L1562" s="34" t="s">
        <v>3511</v>
      </c>
      <c r="M1562" s="34" t="s">
        <v>21</v>
      </c>
      <c r="N1562" s="34" t="s">
        <v>34691</v>
      </c>
      <c r="O1562" s="34" t="s">
        <v>372</v>
      </c>
      <c r="P1562" s="34" t="s">
        <v>30089</v>
      </c>
      <c r="Q1562" s="35" t="s">
        <v>34692</v>
      </c>
      <c r="R1562" s="34" t="s">
        <v>94</v>
      </c>
      <c r="S1562" s="34" t="s">
        <v>351</v>
      </c>
      <c r="T1562" s="36" t="s">
        <v>26867</v>
      </c>
      <c r="U1562" s="36" t="s">
        <v>26572</v>
      </c>
      <c r="V1562" s="36" t="s">
        <v>26571</v>
      </c>
      <c r="W1562" s="36" t="s">
        <v>94</v>
      </c>
      <c r="X1562" s="36">
        <v>3900</v>
      </c>
      <c r="Z1562" s="33" t="s">
        <v>42968</v>
      </c>
      <c r="AA1562" s="33">
        <v>6107</v>
      </c>
    </row>
    <row r="1563" spans="1:27" ht="12" customHeight="1" x14ac:dyDescent="0.15">
      <c r="A1563" s="34" t="s">
        <v>34667</v>
      </c>
      <c r="B1563" s="34">
        <v>31</v>
      </c>
      <c r="C1563" s="34" t="s">
        <v>14</v>
      </c>
      <c r="D1563" s="34" t="s">
        <v>24</v>
      </c>
      <c r="E1563" s="34"/>
      <c r="F1563" s="67">
        <v>43309</v>
      </c>
      <c r="G1563" s="34" t="s">
        <v>34668</v>
      </c>
      <c r="H1563" s="34" t="s">
        <v>34669</v>
      </c>
      <c r="I1563" s="34" t="s">
        <v>67</v>
      </c>
      <c r="J1563" s="34">
        <v>76258</v>
      </c>
      <c r="K1563" s="34" t="s">
        <v>153</v>
      </c>
      <c r="L1563" s="34" t="s">
        <v>34670</v>
      </c>
      <c r="M1563" s="34" t="s">
        <v>21</v>
      </c>
      <c r="N1563" s="34" t="s">
        <v>34671</v>
      </c>
      <c r="O1563" s="34" t="s">
        <v>372</v>
      </c>
      <c r="P1563" s="34" t="s">
        <v>30089</v>
      </c>
      <c r="Q1563" s="35" t="s">
        <v>34672</v>
      </c>
      <c r="R1563" s="34" t="s">
        <v>94</v>
      </c>
      <c r="S1563" s="34" t="s">
        <v>29</v>
      </c>
      <c r="T1563" s="33" t="s">
        <v>41840</v>
      </c>
      <c r="U1563" s="36"/>
      <c r="V1563" s="36"/>
      <c r="W1563" s="36"/>
      <c r="X1563" s="36"/>
      <c r="Z1563" s="33" t="s">
        <v>42967</v>
      </c>
      <c r="AA1563" s="33">
        <v>6104</v>
      </c>
    </row>
    <row r="1564" spans="1:27" ht="12" customHeight="1" x14ac:dyDescent="0.15">
      <c r="A1564" s="34" t="s">
        <v>34678</v>
      </c>
      <c r="B1564" s="34">
        <v>33</v>
      </c>
      <c r="C1564" s="34" t="s">
        <v>14</v>
      </c>
      <c r="D1564" s="34" t="s">
        <v>31</v>
      </c>
      <c r="E1564" s="35" t="s">
        <v>34679</v>
      </c>
      <c r="F1564" s="67">
        <v>43309</v>
      </c>
      <c r="G1564" s="34" t="s">
        <v>34680</v>
      </c>
      <c r="H1564" s="34" t="s">
        <v>9932</v>
      </c>
      <c r="I1564" s="34" t="s">
        <v>338</v>
      </c>
      <c r="J1564" s="34">
        <v>28315</v>
      </c>
      <c r="K1564" s="34" t="s">
        <v>2448</v>
      </c>
      <c r="L1564" s="34" t="s">
        <v>34681</v>
      </c>
      <c r="M1564" s="34" t="s">
        <v>21</v>
      </c>
      <c r="N1564" s="34" t="s">
        <v>34682</v>
      </c>
      <c r="O1564" s="34" t="s">
        <v>372</v>
      </c>
      <c r="P1564" s="34" t="s">
        <v>30089</v>
      </c>
      <c r="Q1564" s="35" t="s">
        <v>34683</v>
      </c>
      <c r="R1564" s="34" t="s">
        <v>94</v>
      </c>
      <c r="S1564" s="34" t="s">
        <v>22</v>
      </c>
      <c r="T1564" s="36" t="s">
        <v>26781</v>
      </c>
      <c r="U1564" s="36" t="s">
        <v>26572</v>
      </c>
      <c r="V1564" s="36" t="s">
        <v>26573</v>
      </c>
      <c r="W1564" s="36" t="s">
        <v>94</v>
      </c>
      <c r="X1564" s="36">
        <v>3904</v>
      </c>
      <c r="Z1564" s="33" t="s">
        <v>42967</v>
      </c>
      <c r="AA1564" s="33">
        <v>6103</v>
      </c>
    </row>
    <row r="1565" spans="1:27" ht="12" customHeight="1" x14ac:dyDescent="0.15">
      <c r="A1565" s="34" t="s">
        <v>34697</v>
      </c>
      <c r="B1565" s="34">
        <v>32</v>
      </c>
      <c r="C1565" s="34" t="s">
        <v>14</v>
      </c>
      <c r="D1565" s="34" t="s">
        <v>42</v>
      </c>
      <c r="E1565" s="34"/>
      <c r="F1565" s="67">
        <v>43308</v>
      </c>
      <c r="G1565" s="34" t="s">
        <v>42956</v>
      </c>
      <c r="H1565" s="34" t="s">
        <v>92</v>
      </c>
      <c r="I1565" s="34" t="s">
        <v>39</v>
      </c>
      <c r="J1565" s="34">
        <v>91343</v>
      </c>
      <c r="K1565" s="34" t="s">
        <v>92</v>
      </c>
      <c r="L1565" s="34" t="s">
        <v>93</v>
      </c>
      <c r="M1565" s="34" t="s">
        <v>21</v>
      </c>
      <c r="N1565" s="34" t="s">
        <v>42954</v>
      </c>
      <c r="O1565" s="34" t="s">
        <v>372</v>
      </c>
      <c r="P1565" s="34" t="s">
        <v>30089</v>
      </c>
      <c r="Q1565" s="42" t="s">
        <v>42955</v>
      </c>
      <c r="R1565" s="34" t="s">
        <v>94</v>
      </c>
      <c r="S1565" s="34" t="s">
        <v>22</v>
      </c>
      <c r="T1565" s="36" t="s">
        <v>26781</v>
      </c>
      <c r="U1565" s="36" t="s">
        <v>26572</v>
      </c>
      <c r="V1565" s="36" t="s">
        <v>26573</v>
      </c>
      <c r="W1565" s="36" t="s">
        <v>512</v>
      </c>
      <c r="X1565" s="36">
        <v>4031</v>
      </c>
      <c r="Z1565" s="33" t="s">
        <v>42966</v>
      </c>
      <c r="AA1565" s="33">
        <v>6101</v>
      </c>
    </row>
    <row r="1566" spans="1:27" ht="12" customHeight="1" x14ac:dyDescent="0.15">
      <c r="A1566" s="34" t="s">
        <v>34693</v>
      </c>
      <c r="B1566" s="34">
        <v>25</v>
      </c>
      <c r="C1566" s="34" t="s">
        <v>14</v>
      </c>
      <c r="D1566" s="34" t="s">
        <v>79</v>
      </c>
      <c r="E1566" s="34"/>
      <c r="F1566" s="67">
        <v>43308</v>
      </c>
      <c r="G1566" s="34" t="s">
        <v>34694</v>
      </c>
      <c r="H1566" s="34" t="s">
        <v>720</v>
      </c>
      <c r="I1566" s="34" t="s">
        <v>63</v>
      </c>
      <c r="J1566" s="34">
        <v>43608</v>
      </c>
      <c r="K1566" s="34" t="s">
        <v>721</v>
      </c>
      <c r="L1566" s="34" t="s">
        <v>722</v>
      </c>
      <c r="M1566" s="34" t="s">
        <v>21</v>
      </c>
      <c r="N1566" s="34" t="s">
        <v>34695</v>
      </c>
      <c r="O1566" s="34" t="s">
        <v>372</v>
      </c>
      <c r="P1566" s="34" t="s">
        <v>30089</v>
      </c>
      <c r="Q1566" s="35" t="s">
        <v>34696</v>
      </c>
      <c r="R1566" s="34" t="s">
        <v>94</v>
      </c>
      <c r="S1566" s="34" t="s">
        <v>22</v>
      </c>
      <c r="T1566" s="36" t="s">
        <v>26781</v>
      </c>
      <c r="U1566" s="36" t="s">
        <v>26570</v>
      </c>
      <c r="V1566" s="36" t="s">
        <v>26574</v>
      </c>
      <c r="W1566" s="36" t="s">
        <v>94</v>
      </c>
      <c r="X1566" s="36">
        <v>3896</v>
      </c>
      <c r="Z1566" s="33" t="s">
        <v>42966</v>
      </c>
      <c r="AA1566" s="33">
        <v>6100</v>
      </c>
    </row>
    <row r="1567" spans="1:27" ht="12" customHeight="1" x14ac:dyDescent="0.15">
      <c r="A1567" s="34" t="s">
        <v>34698</v>
      </c>
      <c r="B1567" s="34">
        <v>60</v>
      </c>
      <c r="C1567" s="34" t="s">
        <v>103</v>
      </c>
      <c r="D1567" s="34" t="s">
        <v>79</v>
      </c>
      <c r="E1567" s="34"/>
      <c r="F1567" s="67">
        <v>43308</v>
      </c>
      <c r="G1567" s="34" t="s">
        <v>34699</v>
      </c>
      <c r="H1567" s="34" t="s">
        <v>4747</v>
      </c>
      <c r="I1567" s="34" t="s">
        <v>160</v>
      </c>
      <c r="J1567" s="34">
        <v>31415</v>
      </c>
      <c r="K1567" s="34" t="s">
        <v>3428</v>
      </c>
      <c r="L1567" s="34" t="s">
        <v>34700</v>
      </c>
      <c r="M1567" s="34" t="s">
        <v>21</v>
      </c>
      <c r="N1567" s="34" t="s">
        <v>34701</v>
      </c>
      <c r="O1567" s="34" t="s">
        <v>372</v>
      </c>
      <c r="P1567" s="34" t="s">
        <v>30089</v>
      </c>
      <c r="Q1567" s="35" t="s">
        <v>34702</v>
      </c>
      <c r="R1567" s="34" t="s">
        <v>94</v>
      </c>
      <c r="S1567" s="34" t="s">
        <v>12</v>
      </c>
      <c r="T1567" s="36" t="s">
        <v>29705</v>
      </c>
      <c r="U1567" s="36" t="s">
        <v>26570</v>
      </c>
      <c r="V1567" s="36"/>
      <c r="W1567" s="36" t="s">
        <v>94</v>
      </c>
      <c r="X1567" s="36">
        <v>3898</v>
      </c>
      <c r="Z1567" s="33" t="s">
        <v>42966</v>
      </c>
      <c r="AA1567" s="33">
        <v>6102</v>
      </c>
    </row>
    <row r="1568" spans="1:27" ht="12" customHeight="1" x14ac:dyDescent="0.15">
      <c r="A1568" s="34" t="s">
        <v>34725</v>
      </c>
      <c r="B1568" s="34">
        <v>36</v>
      </c>
      <c r="C1568" s="34" t="s">
        <v>14</v>
      </c>
      <c r="D1568" s="34" t="s">
        <v>31</v>
      </c>
      <c r="E1568" s="35" t="s">
        <v>34726</v>
      </c>
      <c r="F1568" s="67">
        <v>43307</v>
      </c>
      <c r="G1568" s="34" t="s">
        <v>34727</v>
      </c>
      <c r="H1568" s="34" t="s">
        <v>34728</v>
      </c>
      <c r="I1568" s="34" t="s">
        <v>38</v>
      </c>
      <c r="J1568" s="34">
        <v>60041</v>
      </c>
      <c r="K1568" s="34" t="s">
        <v>1179</v>
      </c>
      <c r="L1568" s="34" t="s">
        <v>34729</v>
      </c>
      <c r="M1568" s="34" t="s">
        <v>21</v>
      </c>
      <c r="N1568" s="34" t="s">
        <v>34730</v>
      </c>
      <c r="O1568" s="34" t="s">
        <v>372</v>
      </c>
      <c r="P1568" s="34" t="s">
        <v>30089</v>
      </c>
      <c r="Q1568" s="35" t="s">
        <v>34731</v>
      </c>
      <c r="R1568" s="34" t="s">
        <v>94</v>
      </c>
      <c r="S1568" s="34" t="s">
        <v>22</v>
      </c>
      <c r="T1568" s="36" t="s">
        <v>26781</v>
      </c>
      <c r="U1568" s="36" t="s">
        <v>26570</v>
      </c>
      <c r="V1568" s="36" t="s">
        <v>26573</v>
      </c>
      <c r="W1568" s="36" t="s">
        <v>94</v>
      </c>
      <c r="X1568" s="36">
        <v>3892</v>
      </c>
      <c r="Z1568" s="33" t="s">
        <v>42968</v>
      </c>
      <c r="AA1568" s="33">
        <v>6096</v>
      </c>
    </row>
    <row r="1569" spans="1:27" ht="12" customHeight="1" x14ac:dyDescent="0.15">
      <c r="A1569" s="34" t="s">
        <v>36992</v>
      </c>
      <c r="B1569" s="34">
        <v>53</v>
      </c>
      <c r="C1569" s="34" t="s">
        <v>14</v>
      </c>
      <c r="D1569" s="34" t="s">
        <v>885</v>
      </c>
      <c r="E1569" s="35" t="s">
        <v>34732</v>
      </c>
      <c r="F1569" s="67">
        <v>43307</v>
      </c>
      <c r="G1569" s="34" t="s">
        <v>34733</v>
      </c>
      <c r="H1569" s="34" t="s">
        <v>34734</v>
      </c>
      <c r="I1569" s="34" t="s">
        <v>814</v>
      </c>
      <c r="J1569" s="34">
        <v>96792</v>
      </c>
      <c r="K1569" s="34" t="s">
        <v>2196</v>
      </c>
      <c r="L1569" s="34" t="s">
        <v>3281</v>
      </c>
      <c r="M1569" s="34" t="s">
        <v>21</v>
      </c>
      <c r="N1569" s="34" t="s">
        <v>34735</v>
      </c>
      <c r="O1569" s="34" t="s">
        <v>372</v>
      </c>
      <c r="P1569" s="34" t="s">
        <v>30089</v>
      </c>
      <c r="Q1569" s="35" t="s">
        <v>34736</v>
      </c>
      <c r="R1569" s="34" t="s">
        <v>94</v>
      </c>
      <c r="S1569" s="34" t="s">
        <v>22</v>
      </c>
      <c r="T1569" s="36" t="s">
        <v>26781</v>
      </c>
      <c r="U1569" s="36" t="s">
        <v>26572</v>
      </c>
      <c r="V1569" s="36" t="s">
        <v>26573</v>
      </c>
      <c r="W1569" s="36" t="s">
        <v>94</v>
      </c>
      <c r="X1569" s="36">
        <v>3962</v>
      </c>
      <c r="Z1569" s="33" t="s">
        <v>42968</v>
      </c>
      <c r="AA1569" s="33">
        <v>6098</v>
      </c>
    </row>
    <row r="1570" spans="1:27" ht="12" customHeight="1" x14ac:dyDescent="0.15">
      <c r="A1570" s="34" t="s">
        <v>34721</v>
      </c>
      <c r="B1570" s="34">
        <v>30</v>
      </c>
      <c r="C1570" s="34" t="s">
        <v>14</v>
      </c>
      <c r="D1570" s="34" t="s">
        <v>31</v>
      </c>
      <c r="E1570" s="34"/>
      <c r="F1570" s="67">
        <v>43307</v>
      </c>
      <c r="G1570" s="34" t="s">
        <v>34722</v>
      </c>
      <c r="H1570" s="34" t="s">
        <v>23926</v>
      </c>
      <c r="I1570" s="34" t="s">
        <v>918</v>
      </c>
      <c r="J1570" s="34">
        <v>72764</v>
      </c>
      <c r="K1570" s="34" t="s">
        <v>107</v>
      </c>
      <c r="L1570" s="34" t="s">
        <v>23927</v>
      </c>
      <c r="M1570" s="34" t="s">
        <v>21</v>
      </c>
      <c r="N1570" s="34" t="s">
        <v>34723</v>
      </c>
      <c r="O1570" s="34" t="s">
        <v>372</v>
      </c>
      <c r="P1570" s="34" t="s">
        <v>30089</v>
      </c>
      <c r="Q1570" s="35" t="s">
        <v>34724</v>
      </c>
      <c r="R1570" s="34" t="s">
        <v>94</v>
      </c>
      <c r="S1570" s="34" t="s">
        <v>22</v>
      </c>
      <c r="T1570" s="36" t="s">
        <v>26781</v>
      </c>
      <c r="U1570" s="36" t="s">
        <v>26572</v>
      </c>
      <c r="V1570" s="36" t="s">
        <v>26573</v>
      </c>
      <c r="W1570" s="36" t="s">
        <v>94</v>
      </c>
      <c r="X1570" s="36">
        <v>3905</v>
      </c>
      <c r="Z1570" s="33" t="s">
        <v>42966</v>
      </c>
      <c r="AA1570" s="33">
        <v>6097</v>
      </c>
    </row>
    <row r="1571" spans="1:27" ht="12" customHeight="1" x14ac:dyDescent="0.15">
      <c r="A1571" s="34" t="s">
        <v>34706</v>
      </c>
      <c r="B1571" s="34">
        <v>23</v>
      </c>
      <c r="C1571" s="34" t="s">
        <v>14</v>
      </c>
      <c r="D1571" s="34" t="s">
        <v>24</v>
      </c>
      <c r="E1571" s="34"/>
      <c r="F1571" s="67">
        <v>43307</v>
      </c>
      <c r="G1571" s="34" t="s">
        <v>34707</v>
      </c>
      <c r="H1571" s="34" t="s">
        <v>34708</v>
      </c>
      <c r="I1571" s="34" t="s">
        <v>160</v>
      </c>
      <c r="J1571" s="34">
        <v>30025</v>
      </c>
      <c r="K1571" s="34" t="s">
        <v>24284</v>
      </c>
      <c r="L1571" s="34" t="s">
        <v>34709</v>
      </c>
      <c r="M1571" s="34" t="s">
        <v>21</v>
      </c>
      <c r="N1571" s="34" t="s">
        <v>34710</v>
      </c>
      <c r="O1571" s="34" t="s">
        <v>372</v>
      </c>
      <c r="P1571" s="34" t="s">
        <v>30089</v>
      </c>
      <c r="Q1571" s="35" t="s">
        <v>34711</v>
      </c>
      <c r="R1571" s="34" t="s">
        <v>94</v>
      </c>
      <c r="S1571" s="34" t="s">
        <v>22</v>
      </c>
      <c r="T1571" s="36" t="s">
        <v>26781</v>
      </c>
      <c r="U1571" s="36" t="s">
        <v>26572</v>
      </c>
      <c r="V1571" s="36" t="s">
        <v>26574</v>
      </c>
      <c r="W1571" s="36" t="s">
        <v>94</v>
      </c>
      <c r="X1571" s="36">
        <v>3890</v>
      </c>
      <c r="Z1571" s="33" t="s">
        <v>42967</v>
      </c>
      <c r="AA1571" s="33">
        <v>6094</v>
      </c>
    </row>
    <row r="1572" spans="1:27" ht="12" customHeight="1" x14ac:dyDescent="0.15">
      <c r="A1572" s="34" t="s">
        <v>34712</v>
      </c>
      <c r="B1572" s="34">
        <v>24</v>
      </c>
      <c r="C1572" s="34" t="s">
        <v>14</v>
      </c>
      <c r="D1572" s="34" t="s">
        <v>42</v>
      </c>
      <c r="E1572" s="34"/>
      <c r="F1572" s="67">
        <v>43307</v>
      </c>
      <c r="G1572" s="34" t="s">
        <v>34713</v>
      </c>
      <c r="H1572" s="34" t="s">
        <v>13355</v>
      </c>
      <c r="I1572" s="34" t="s">
        <v>39</v>
      </c>
      <c r="J1572" s="34">
        <v>90278</v>
      </c>
      <c r="K1572" s="34" t="s">
        <v>92</v>
      </c>
      <c r="L1572" s="34" t="s">
        <v>13357</v>
      </c>
      <c r="M1572" s="34" t="s">
        <v>21</v>
      </c>
      <c r="N1572" s="34" t="s">
        <v>34714</v>
      </c>
      <c r="O1572" s="34" t="s">
        <v>372</v>
      </c>
      <c r="P1572" s="34" t="s">
        <v>30089</v>
      </c>
      <c r="Q1572" s="35" t="s">
        <v>34715</v>
      </c>
      <c r="R1572" s="34" t="s">
        <v>94</v>
      </c>
      <c r="S1572" s="34" t="s">
        <v>12</v>
      </c>
      <c r="T1572" s="36" t="s">
        <v>29425</v>
      </c>
      <c r="U1572" s="36" t="s">
        <v>26575</v>
      </c>
      <c r="V1572" s="36" t="s">
        <v>26573</v>
      </c>
      <c r="W1572" s="36" t="s">
        <v>94</v>
      </c>
      <c r="X1572" s="36">
        <v>3901</v>
      </c>
      <c r="Z1572" s="33" t="s">
        <v>42966</v>
      </c>
      <c r="AA1572" s="33">
        <v>6099</v>
      </c>
    </row>
    <row r="1573" spans="1:27" ht="12" customHeight="1" x14ac:dyDescent="0.15">
      <c r="A1573" s="34" t="s">
        <v>34716</v>
      </c>
      <c r="B1573" s="34">
        <v>25</v>
      </c>
      <c r="C1573" s="34" t="s">
        <v>14</v>
      </c>
      <c r="D1573" s="34" t="s">
        <v>79</v>
      </c>
      <c r="E1573" s="35" t="s">
        <v>34717</v>
      </c>
      <c r="F1573" s="67">
        <v>43307</v>
      </c>
      <c r="G1573" s="34" t="s">
        <v>34718</v>
      </c>
      <c r="H1573" s="34" t="s">
        <v>1888</v>
      </c>
      <c r="I1573" s="34" t="s">
        <v>298</v>
      </c>
      <c r="J1573" s="34">
        <v>37203</v>
      </c>
      <c r="K1573" s="34" t="s">
        <v>823</v>
      </c>
      <c r="L1573" s="34" t="s">
        <v>824</v>
      </c>
      <c r="M1573" s="34" t="s">
        <v>21</v>
      </c>
      <c r="N1573" s="34" t="s">
        <v>34719</v>
      </c>
      <c r="O1573" s="34" t="s">
        <v>372</v>
      </c>
      <c r="P1573" s="34" t="s">
        <v>30089</v>
      </c>
      <c r="Q1573" s="35" t="s">
        <v>34720</v>
      </c>
      <c r="R1573" s="34" t="s">
        <v>94</v>
      </c>
      <c r="S1573" s="34" t="s">
        <v>22</v>
      </c>
      <c r="T1573" s="36" t="s">
        <v>26781</v>
      </c>
      <c r="U1573" s="36" t="s">
        <v>26570</v>
      </c>
      <c r="V1573" s="36" t="s">
        <v>26571</v>
      </c>
      <c r="W1573" s="36" t="s">
        <v>512</v>
      </c>
      <c r="X1573" s="36">
        <v>3888</v>
      </c>
      <c r="Z1573" s="33" t="s">
        <v>42966</v>
      </c>
      <c r="AA1573" s="33">
        <v>6093</v>
      </c>
    </row>
    <row r="1574" spans="1:27" ht="12" customHeight="1" x14ac:dyDescent="0.15">
      <c r="A1574" s="34" t="s">
        <v>34703</v>
      </c>
      <c r="B1574" s="34">
        <v>18</v>
      </c>
      <c r="C1574" s="34" t="s">
        <v>14</v>
      </c>
      <c r="D1574" s="34" t="s">
        <v>42</v>
      </c>
      <c r="E1574" s="34"/>
      <c r="F1574" s="67">
        <v>43307</v>
      </c>
      <c r="G1574" s="34" t="s">
        <v>34704</v>
      </c>
      <c r="H1574" s="34" t="s">
        <v>2350</v>
      </c>
      <c r="I1574" s="34" t="s">
        <v>282</v>
      </c>
      <c r="J1574" s="34">
        <v>98032</v>
      </c>
      <c r="K1574" s="34" t="s">
        <v>1133</v>
      </c>
      <c r="L1574" s="34" t="s">
        <v>7282</v>
      </c>
      <c r="M1574" s="34" t="s">
        <v>21</v>
      </c>
      <c r="N1574" s="34" t="s">
        <v>36447</v>
      </c>
      <c r="O1574" s="34" t="s">
        <v>372</v>
      </c>
      <c r="P1574" s="34" t="s">
        <v>30089</v>
      </c>
      <c r="Q1574" s="35" t="s">
        <v>34705</v>
      </c>
      <c r="R1574" s="34" t="s">
        <v>94</v>
      </c>
      <c r="S1574" s="34" t="s">
        <v>22</v>
      </c>
      <c r="T1574" s="36" t="s">
        <v>26781</v>
      </c>
      <c r="U1574" s="36" t="s">
        <v>26570</v>
      </c>
      <c r="V1574" s="36" t="s">
        <v>26573</v>
      </c>
      <c r="W1574" s="36" t="s">
        <v>94</v>
      </c>
      <c r="X1574" s="36">
        <v>3891</v>
      </c>
      <c r="Z1574" s="33" t="s">
        <v>42966</v>
      </c>
      <c r="AA1574" s="33">
        <v>6095</v>
      </c>
    </row>
    <row r="1575" spans="1:27" ht="12" customHeight="1" x14ac:dyDescent="0.15">
      <c r="A1575" s="34" t="s">
        <v>34747</v>
      </c>
      <c r="B1575" s="34">
        <v>54</v>
      </c>
      <c r="C1575" s="34" t="s">
        <v>14</v>
      </c>
      <c r="D1575" s="34" t="s">
        <v>31</v>
      </c>
      <c r="E1575" s="34"/>
      <c r="F1575" s="67">
        <v>43306</v>
      </c>
      <c r="G1575" s="34" t="s">
        <v>34748</v>
      </c>
      <c r="H1575" s="34" t="s">
        <v>782</v>
      </c>
      <c r="I1575" s="34" t="s">
        <v>282</v>
      </c>
      <c r="J1575" s="41">
        <v>99202</v>
      </c>
      <c r="K1575" s="34" t="s">
        <v>782</v>
      </c>
      <c r="L1575" s="34" t="s">
        <v>34360</v>
      </c>
      <c r="M1575" s="34" t="s">
        <v>21</v>
      </c>
      <c r="N1575" s="34" t="s">
        <v>34749</v>
      </c>
      <c r="O1575" s="34" t="s">
        <v>372</v>
      </c>
      <c r="P1575" s="34" t="s">
        <v>30089</v>
      </c>
      <c r="Q1575" s="35" t="s">
        <v>34750</v>
      </c>
      <c r="R1575" s="34" t="s">
        <v>94</v>
      </c>
      <c r="S1575" s="34" t="s">
        <v>351</v>
      </c>
      <c r="T1575" s="36" t="s">
        <v>26867</v>
      </c>
      <c r="U1575" s="36" t="s">
        <v>26572</v>
      </c>
      <c r="V1575" s="36" t="s">
        <v>26571</v>
      </c>
      <c r="W1575" s="36" t="s">
        <v>94</v>
      </c>
      <c r="X1575" s="36">
        <v>3885</v>
      </c>
      <c r="Z1575" s="33" t="s">
        <v>42966</v>
      </c>
      <c r="AA1575" s="33">
        <v>6092</v>
      </c>
    </row>
    <row r="1576" spans="1:27" ht="12" customHeight="1" x14ac:dyDescent="0.15">
      <c r="A1576" s="34" t="s">
        <v>34737</v>
      </c>
      <c r="B1576" s="34">
        <v>23</v>
      </c>
      <c r="C1576" s="34" t="s">
        <v>14</v>
      </c>
      <c r="D1576" s="34" t="s">
        <v>42</v>
      </c>
      <c r="E1576" s="35" t="s">
        <v>34738</v>
      </c>
      <c r="F1576" s="67">
        <v>43306</v>
      </c>
      <c r="G1576" s="34" t="s">
        <v>34739</v>
      </c>
      <c r="H1576" s="34" t="s">
        <v>116</v>
      </c>
      <c r="I1576" s="34" t="s">
        <v>67</v>
      </c>
      <c r="J1576" s="34">
        <v>79103</v>
      </c>
      <c r="K1576" s="34" t="s">
        <v>14029</v>
      </c>
      <c r="L1576" s="34" t="s">
        <v>14030</v>
      </c>
      <c r="M1576" s="34" t="s">
        <v>21</v>
      </c>
      <c r="N1576" s="34" t="s">
        <v>34740</v>
      </c>
      <c r="O1576" s="34" t="s">
        <v>372</v>
      </c>
      <c r="P1576" s="34" t="s">
        <v>30089</v>
      </c>
      <c r="Q1576" s="35" t="s">
        <v>34741</v>
      </c>
      <c r="R1576" s="34" t="s">
        <v>94</v>
      </c>
      <c r="S1576" s="34" t="s">
        <v>22</v>
      </c>
      <c r="T1576" s="36" t="s">
        <v>26781</v>
      </c>
      <c r="U1576" s="36" t="s">
        <v>26570</v>
      </c>
      <c r="V1576" s="36" t="s">
        <v>26573</v>
      </c>
      <c r="W1576" s="36" t="s">
        <v>94</v>
      </c>
      <c r="X1576" s="36">
        <v>3894</v>
      </c>
      <c r="Z1576" s="33" t="s">
        <v>42968</v>
      </c>
      <c r="AA1576" s="33">
        <v>6089</v>
      </c>
    </row>
    <row r="1577" spans="1:27" ht="12" customHeight="1" x14ac:dyDescent="0.15">
      <c r="A1577" s="34" t="s">
        <v>34751</v>
      </c>
      <c r="B1577" s="34">
        <v>56</v>
      </c>
      <c r="C1577" s="34" t="s">
        <v>14</v>
      </c>
      <c r="D1577" s="34" t="s">
        <v>31</v>
      </c>
      <c r="E1577" s="34"/>
      <c r="F1577" s="67">
        <v>43306</v>
      </c>
      <c r="G1577" s="34" t="s">
        <v>34752</v>
      </c>
      <c r="H1577" s="34" t="s">
        <v>22069</v>
      </c>
      <c r="I1577" s="34" t="s">
        <v>112</v>
      </c>
      <c r="J1577" s="34">
        <v>86403</v>
      </c>
      <c r="K1577" s="34" t="s">
        <v>5363</v>
      </c>
      <c r="L1577" s="34" t="s">
        <v>22070</v>
      </c>
      <c r="M1577" s="34" t="s">
        <v>21</v>
      </c>
      <c r="N1577" s="34" t="s">
        <v>34753</v>
      </c>
      <c r="O1577" s="34" t="s">
        <v>372</v>
      </c>
      <c r="P1577" s="34" t="s">
        <v>30089</v>
      </c>
      <c r="Q1577" s="35" t="s">
        <v>34754</v>
      </c>
      <c r="R1577" s="36" t="s">
        <v>512</v>
      </c>
      <c r="S1577" s="34" t="s">
        <v>12</v>
      </c>
      <c r="T1577" s="36" t="s">
        <v>29705</v>
      </c>
      <c r="U1577" s="36" t="s">
        <v>26570</v>
      </c>
      <c r="V1577" s="36" t="s">
        <v>26573</v>
      </c>
      <c r="W1577" s="36" t="s">
        <v>512</v>
      </c>
      <c r="X1577" s="36">
        <v>3959</v>
      </c>
      <c r="Z1577" s="33" t="s">
        <v>42966</v>
      </c>
      <c r="AA1577" s="33">
        <v>6091</v>
      </c>
    </row>
    <row r="1578" spans="1:27" ht="12" customHeight="1" x14ac:dyDescent="0.15">
      <c r="A1578" s="34" t="s">
        <v>34742</v>
      </c>
      <c r="B1578" s="34">
        <v>29</v>
      </c>
      <c r="C1578" s="34" t="s">
        <v>14</v>
      </c>
      <c r="D1578" s="34" t="s">
        <v>79</v>
      </c>
      <c r="E1578" s="35" t="s">
        <v>34743</v>
      </c>
      <c r="F1578" s="67">
        <v>43306</v>
      </c>
      <c r="G1578" s="34" t="s">
        <v>34744</v>
      </c>
      <c r="H1578" s="34" t="s">
        <v>1116</v>
      </c>
      <c r="I1578" s="34" t="s">
        <v>298</v>
      </c>
      <c r="J1578" s="34">
        <v>38109</v>
      </c>
      <c r="K1578" s="34" t="s">
        <v>1117</v>
      </c>
      <c r="L1578" s="34" t="s">
        <v>1118</v>
      </c>
      <c r="M1578" s="34" t="s">
        <v>21</v>
      </c>
      <c r="N1578" s="34" t="s">
        <v>34745</v>
      </c>
      <c r="O1578" s="34" t="s">
        <v>372</v>
      </c>
      <c r="P1578" s="34" t="s">
        <v>30089</v>
      </c>
      <c r="Q1578" s="35" t="s">
        <v>34746</v>
      </c>
      <c r="R1578" s="36" t="s">
        <v>512</v>
      </c>
      <c r="S1578" s="34" t="s">
        <v>22</v>
      </c>
      <c r="T1578" s="36" t="s">
        <v>26781</v>
      </c>
      <c r="U1578" s="36" t="s">
        <v>26572</v>
      </c>
      <c r="V1578" s="36" t="s">
        <v>26573</v>
      </c>
      <c r="W1578" s="36" t="s">
        <v>512</v>
      </c>
      <c r="X1578" s="36">
        <v>3893</v>
      </c>
      <c r="Z1578" s="33" t="s">
        <v>42966</v>
      </c>
      <c r="AA1578" s="33">
        <v>6088</v>
      </c>
    </row>
    <row r="1579" spans="1:27" ht="12" customHeight="1" x14ac:dyDescent="0.15">
      <c r="A1579" s="34" t="s">
        <v>34755</v>
      </c>
      <c r="B1579" s="34">
        <v>64</v>
      </c>
      <c r="C1579" s="34" t="s">
        <v>14</v>
      </c>
      <c r="D1579" s="34" t="s">
        <v>31</v>
      </c>
      <c r="E1579" s="35" t="s">
        <v>34756</v>
      </c>
      <c r="F1579" s="67">
        <v>43306</v>
      </c>
      <c r="G1579" s="34" t="s">
        <v>34757</v>
      </c>
      <c r="H1579" s="34" t="s">
        <v>34758</v>
      </c>
      <c r="I1579" s="34" t="s">
        <v>298</v>
      </c>
      <c r="J1579" s="34">
        <v>37766</v>
      </c>
      <c r="K1579" s="34" t="s">
        <v>2094</v>
      </c>
      <c r="L1579" s="34" t="s">
        <v>36448</v>
      </c>
      <c r="M1579" s="34" t="s">
        <v>21</v>
      </c>
      <c r="N1579" s="34" t="s">
        <v>34759</v>
      </c>
      <c r="O1579" s="34" t="s">
        <v>372</v>
      </c>
      <c r="P1579" s="34" t="s">
        <v>30089</v>
      </c>
      <c r="Q1579" s="35" t="s">
        <v>34760</v>
      </c>
      <c r="R1579" s="36" t="s">
        <v>512</v>
      </c>
      <c r="S1579" s="34" t="s">
        <v>22</v>
      </c>
      <c r="T1579" s="36" t="s">
        <v>26781</v>
      </c>
      <c r="U1579" s="36" t="s">
        <v>26572</v>
      </c>
      <c r="V1579" s="36" t="s">
        <v>26573</v>
      </c>
      <c r="W1579" s="36" t="s">
        <v>94</v>
      </c>
      <c r="X1579" s="36">
        <v>3960</v>
      </c>
      <c r="Z1579" s="33" t="s">
        <v>42967</v>
      </c>
      <c r="AA1579" s="33">
        <v>6090</v>
      </c>
    </row>
    <row r="1580" spans="1:27" ht="12" customHeight="1" x14ac:dyDescent="0.15">
      <c r="A1580" s="34" t="s">
        <v>34761</v>
      </c>
      <c r="B1580" s="34">
        <v>20</v>
      </c>
      <c r="C1580" s="34" t="s">
        <v>14</v>
      </c>
      <c r="D1580" s="34" t="s">
        <v>79</v>
      </c>
      <c r="E1580" s="35" t="s">
        <v>34762</v>
      </c>
      <c r="F1580" s="67">
        <v>43305</v>
      </c>
      <c r="G1580" s="34" t="s">
        <v>34763</v>
      </c>
      <c r="H1580" s="34" t="s">
        <v>24669</v>
      </c>
      <c r="I1580" s="34" t="s">
        <v>56</v>
      </c>
      <c r="J1580" s="34">
        <v>32091</v>
      </c>
      <c r="K1580" s="34" t="s">
        <v>34764</v>
      </c>
      <c r="L1580" s="34" t="s">
        <v>35509</v>
      </c>
      <c r="M1580" s="34" t="s">
        <v>21</v>
      </c>
      <c r="N1580" s="34" t="s">
        <v>34765</v>
      </c>
      <c r="O1580" s="34" t="s">
        <v>372</v>
      </c>
      <c r="P1580" s="34" t="s">
        <v>30089</v>
      </c>
      <c r="Q1580" s="35" t="s">
        <v>34766</v>
      </c>
      <c r="R1580" s="34" t="s">
        <v>94</v>
      </c>
      <c r="S1580" s="34" t="s">
        <v>22</v>
      </c>
      <c r="T1580" s="36" t="s">
        <v>26781</v>
      </c>
      <c r="U1580" s="36" t="s">
        <v>26570</v>
      </c>
      <c r="V1580" s="36" t="s">
        <v>26571</v>
      </c>
      <c r="W1580" s="36" t="s">
        <v>94</v>
      </c>
      <c r="X1580" s="36">
        <v>3886</v>
      </c>
      <c r="Z1580" s="33" t="s">
        <v>42967</v>
      </c>
      <c r="AA1580" s="33">
        <v>6085</v>
      </c>
    </row>
    <row r="1581" spans="1:27" ht="12" customHeight="1" x14ac:dyDescent="0.15">
      <c r="A1581" s="34" t="s">
        <v>34767</v>
      </c>
      <c r="B1581" s="34">
        <v>39</v>
      </c>
      <c r="C1581" s="34" t="s">
        <v>103</v>
      </c>
      <c r="D1581" s="34" t="s">
        <v>31</v>
      </c>
      <c r="E1581" s="35" t="s">
        <v>34768</v>
      </c>
      <c r="F1581" s="67">
        <v>43305</v>
      </c>
      <c r="G1581" s="34" t="s">
        <v>34769</v>
      </c>
      <c r="H1581" s="34" t="s">
        <v>25234</v>
      </c>
      <c r="I1581" s="34" t="s">
        <v>298</v>
      </c>
      <c r="J1581" s="34">
        <v>37379</v>
      </c>
      <c r="K1581" s="34" t="s">
        <v>505</v>
      </c>
      <c r="L1581" s="34" t="s">
        <v>34770</v>
      </c>
      <c r="M1581" s="34" t="s">
        <v>21</v>
      </c>
      <c r="N1581" s="34" t="s">
        <v>34771</v>
      </c>
      <c r="O1581" s="34" t="s">
        <v>372</v>
      </c>
      <c r="P1581" s="34" t="s">
        <v>30089</v>
      </c>
      <c r="Q1581" s="35" t="s">
        <v>34772</v>
      </c>
      <c r="R1581" s="34" t="s">
        <v>94</v>
      </c>
      <c r="S1581" s="34" t="s">
        <v>351</v>
      </c>
      <c r="T1581" s="36" t="s">
        <v>26867</v>
      </c>
      <c r="U1581" s="36" t="s">
        <v>26572</v>
      </c>
      <c r="V1581" s="36" t="s">
        <v>26571</v>
      </c>
      <c r="W1581" s="36" t="s">
        <v>94</v>
      </c>
      <c r="X1581" s="36">
        <v>3882</v>
      </c>
      <c r="Z1581" s="33" t="s">
        <v>42967</v>
      </c>
      <c r="AA1581" s="33">
        <v>6087</v>
      </c>
    </row>
    <row r="1582" spans="1:27" ht="12" customHeight="1" x14ac:dyDescent="0.15">
      <c r="A1582" s="34" t="s">
        <v>34773</v>
      </c>
      <c r="B1582" s="34">
        <v>44</v>
      </c>
      <c r="C1582" s="34" t="s">
        <v>14</v>
      </c>
      <c r="D1582" s="34" t="s">
        <v>31</v>
      </c>
      <c r="E1582" s="34"/>
      <c r="F1582" s="67">
        <v>43305</v>
      </c>
      <c r="G1582" s="34" t="s">
        <v>34774</v>
      </c>
      <c r="H1582" s="34" t="s">
        <v>5376</v>
      </c>
      <c r="I1582" s="34" t="s">
        <v>106</v>
      </c>
      <c r="J1582" s="34">
        <v>97138</v>
      </c>
      <c r="K1582" s="34" t="s">
        <v>20329</v>
      </c>
      <c r="L1582" s="34" t="s">
        <v>5378</v>
      </c>
      <c r="M1582" s="34" t="s">
        <v>21</v>
      </c>
      <c r="N1582" s="34" t="s">
        <v>34775</v>
      </c>
      <c r="O1582" s="34" t="s">
        <v>372</v>
      </c>
      <c r="P1582" s="34" t="s">
        <v>30089</v>
      </c>
      <c r="Q1582" s="35" t="s">
        <v>34776</v>
      </c>
      <c r="R1582" s="34" t="s">
        <v>94</v>
      </c>
      <c r="S1582" s="34" t="s">
        <v>22</v>
      </c>
      <c r="T1582" s="36" t="s">
        <v>26781</v>
      </c>
      <c r="U1582" s="36" t="s">
        <v>26570</v>
      </c>
      <c r="V1582" s="36" t="s">
        <v>26573</v>
      </c>
      <c r="W1582" s="36" t="s">
        <v>512</v>
      </c>
      <c r="X1582" s="36">
        <v>3887</v>
      </c>
      <c r="Z1582" s="33" t="s">
        <v>42967</v>
      </c>
      <c r="AA1582" s="33">
        <v>6086</v>
      </c>
    </row>
    <row r="1583" spans="1:27" ht="12" customHeight="1" x14ac:dyDescent="0.15">
      <c r="A1583" s="34" t="s">
        <v>34781</v>
      </c>
      <c r="B1583" s="34">
        <v>33</v>
      </c>
      <c r="C1583" s="34" t="s">
        <v>14</v>
      </c>
      <c r="D1583" s="34" t="s">
        <v>42</v>
      </c>
      <c r="E1583" s="34"/>
      <c r="F1583" s="67">
        <v>43304</v>
      </c>
      <c r="G1583" s="34" t="s">
        <v>34782</v>
      </c>
      <c r="H1583" s="34" t="s">
        <v>4692</v>
      </c>
      <c r="I1583" s="34" t="s">
        <v>338</v>
      </c>
      <c r="J1583" s="34">
        <v>27215</v>
      </c>
      <c r="K1583" s="34" t="s">
        <v>34783</v>
      </c>
      <c r="L1583" s="34" t="s">
        <v>4694</v>
      </c>
      <c r="M1583" s="34" t="s">
        <v>21</v>
      </c>
      <c r="N1583" s="34" t="s">
        <v>34784</v>
      </c>
      <c r="O1583" s="34" t="s">
        <v>372</v>
      </c>
      <c r="P1583" s="34" t="s">
        <v>30089</v>
      </c>
      <c r="Q1583" s="35" t="s">
        <v>34785</v>
      </c>
      <c r="R1583" s="36" t="s">
        <v>512</v>
      </c>
      <c r="S1583" s="34" t="s">
        <v>22</v>
      </c>
      <c r="T1583" s="36" t="s">
        <v>26593</v>
      </c>
      <c r="U1583" s="36" t="s">
        <v>26570</v>
      </c>
      <c r="V1583" s="36" t="s">
        <v>26573</v>
      </c>
      <c r="W1583" s="36" t="s">
        <v>94</v>
      </c>
      <c r="X1583" s="36">
        <v>3881</v>
      </c>
      <c r="Z1583" s="33" t="s">
        <v>42966</v>
      </c>
      <c r="AA1583" s="33">
        <v>6084</v>
      </c>
    </row>
    <row r="1584" spans="1:27" ht="12" customHeight="1" x14ac:dyDescent="0.15">
      <c r="A1584" s="34" t="s">
        <v>34777</v>
      </c>
      <c r="B1584" s="34">
        <v>30</v>
      </c>
      <c r="C1584" s="34" t="s">
        <v>14</v>
      </c>
      <c r="D1584" s="34" t="s">
        <v>42</v>
      </c>
      <c r="E1584" s="34"/>
      <c r="F1584" s="67">
        <v>43304</v>
      </c>
      <c r="G1584" s="34" t="s">
        <v>34778</v>
      </c>
      <c r="H1584" s="34" t="s">
        <v>2189</v>
      </c>
      <c r="I1584" s="34" t="s">
        <v>46</v>
      </c>
      <c r="J1584" s="34">
        <v>20904</v>
      </c>
      <c r="K1584" s="34" t="s">
        <v>995</v>
      </c>
      <c r="L1584" s="34" t="s">
        <v>2191</v>
      </c>
      <c r="M1584" s="34" t="s">
        <v>21</v>
      </c>
      <c r="N1584" s="34" t="s">
        <v>34779</v>
      </c>
      <c r="O1584" s="34" t="s">
        <v>372</v>
      </c>
      <c r="P1584" s="34" t="s">
        <v>30089</v>
      </c>
      <c r="Q1584" s="35" t="s">
        <v>34780</v>
      </c>
      <c r="R1584" s="36" t="s">
        <v>512</v>
      </c>
      <c r="S1584" s="34" t="s">
        <v>22</v>
      </c>
      <c r="T1584" s="36" t="s">
        <v>26774</v>
      </c>
      <c r="U1584" s="36" t="s">
        <v>26570</v>
      </c>
      <c r="V1584" s="36" t="s">
        <v>26573</v>
      </c>
      <c r="W1584" s="36" t="s">
        <v>94</v>
      </c>
      <c r="X1584" s="36">
        <v>3961</v>
      </c>
      <c r="Z1584" s="33" t="s">
        <v>42968</v>
      </c>
      <c r="AA1584" s="33">
        <v>6083</v>
      </c>
    </row>
    <row r="1585" spans="1:27" ht="12" customHeight="1" x14ac:dyDescent="0.15">
      <c r="A1585" s="34" t="s">
        <v>34786</v>
      </c>
      <c r="B1585" s="34">
        <v>71</v>
      </c>
      <c r="C1585" s="34" t="s">
        <v>14</v>
      </c>
      <c r="D1585" s="34" t="s">
        <v>24</v>
      </c>
      <c r="E1585" s="34"/>
      <c r="F1585" s="67">
        <v>43304</v>
      </c>
      <c r="G1585" s="34" t="s">
        <v>34787</v>
      </c>
      <c r="H1585" s="34" t="s">
        <v>6020</v>
      </c>
      <c r="I1585" s="34" t="s">
        <v>225</v>
      </c>
      <c r="J1585" s="34">
        <v>24201</v>
      </c>
      <c r="K1585" s="34" t="s">
        <v>6020</v>
      </c>
      <c r="L1585" s="34" t="s">
        <v>22395</v>
      </c>
      <c r="M1585" s="34" t="s">
        <v>21</v>
      </c>
      <c r="N1585" s="34" t="s">
        <v>34788</v>
      </c>
      <c r="O1585" s="34" t="s">
        <v>372</v>
      </c>
      <c r="P1585" s="34" t="s">
        <v>30089</v>
      </c>
      <c r="Q1585" s="35" t="s">
        <v>34789</v>
      </c>
      <c r="R1585" s="36" t="s">
        <v>512</v>
      </c>
      <c r="S1585" s="34" t="s">
        <v>22</v>
      </c>
      <c r="T1585" s="36" t="s">
        <v>26781</v>
      </c>
      <c r="U1585" s="36" t="s">
        <v>26572</v>
      </c>
      <c r="V1585" s="36" t="s">
        <v>26573</v>
      </c>
      <c r="W1585" s="36" t="s">
        <v>94</v>
      </c>
      <c r="X1585" s="36">
        <v>3883</v>
      </c>
      <c r="Z1585" s="33" t="s">
        <v>42966</v>
      </c>
      <c r="AA1585" s="33">
        <v>6082</v>
      </c>
    </row>
    <row r="1586" spans="1:27" ht="12" customHeight="1" x14ac:dyDescent="0.15">
      <c r="A1586" s="34" t="s">
        <v>34796</v>
      </c>
      <c r="B1586" s="34">
        <v>18</v>
      </c>
      <c r="C1586" s="34" t="s">
        <v>14</v>
      </c>
      <c r="D1586" s="34" t="s">
        <v>31</v>
      </c>
      <c r="E1586" s="34"/>
      <c r="F1586" s="67">
        <v>43303</v>
      </c>
      <c r="G1586" s="34" t="s">
        <v>34797</v>
      </c>
      <c r="H1586" s="34" t="s">
        <v>18214</v>
      </c>
      <c r="I1586" s="34" t="s">
        <v>192</v>
      </c>
      <c r="J1586" s="34">
        <v>80928</v>
      </c>
      <c r="K1586" s="34" t="s">
        <v>801</v>
      </c>
      <c r="L1586" s="34" t="s">
        <v>32187</v>
      </c>
      <c r="M1586" s="34" t="s">
        <v>21</v>
      </c>
      <c r="N1586" s="34" t="s">
        <v>34798</v>
      </c>
      <c r="O1586" s="34" t="s">
        <v>372</v>
      </c>
      <c r="P1586" s="34" t="s">
        <v>30089</v>
      </c>
      <c r="Q1586" s="35" t="s">
        <v>34799</v>
      </c>
      <c r="R1586" s="34" t="s">
        <v>94</v>
      </c>
      <c r="S1586" s="34" t="s">
        <v>22</v>
      </c>
      <c r="T1586" s="36" t="s">
        <v>26781</v>
      </c>
      <c r="U1586" s="36" t="s">
        <v>26572</v>
      </c>
      <c r="V1586" s="36" t="s">
        <v>26573</v>
      </c>
      <c r="W1586" s="36" t="s">
        <v>94</v>
      </c>
      <c r="X1586" s="36">
        <v>3906</v>
      </c>
      <c r="Z1586" s="33" t="s">
        <v>42967</v>
      </c>
      <c r="AA1586" s="33">
        <v>6079</v>
      </c>
    </row>
    <row r="1587" spans="1:27" ht="12" customHeight="1" x14ac:dyDescent="0.15">
      <c r="A1587" s="34" t="s">
        <v>34790</v>
      </c>
      <c r="B1587" s="34">
        <v>17</v>
      </c>
      <c r="C1587" s="34" t="s">
        <v>14</v>
      </c>
      <c r="D1587" s="34" t="s">
        <v>31</v>
      </c>
      <c r="E1587" s="34"/>
      <c r="F1587" s="67">
        <v>43303</v>
      </c>
      <c r="G1587" s="34" t="s">
        <v>34791</v>
      </c>
      <c r="H1587" s="34" t="s">
        <v>34792</v>
      </c>
      <c r="I1587" s="34" t="s">
        <v>367</v>
      </c>
      <c r="J1587" s="34">
        <v>74008</v>
      </c>
      <c r="K1587" s="34" t="s">
        <v>2307</v>
      </c>
      <c r="L1587" s="34" t="s">
        <v>34793</v>
      </c>
      <c r="M1587" s="34" t="s">
        <v>21</v>
      </c>
      <c r="N1587" s="34" t="s">
        <v>34794</v>
      </c>
      <c r="O1587" s="34" t="s">
        <v>372</v>
      </c>
      <c r="P1587" s="34" t="s">
        <v>30089</v>
      </c>
      <c r="Q1587" s="35" t="s">
        <v>34795</v>
      </c>
      <c r="R1587" s="34" t="s">
        <v>94</v>
      </c>
      <c r="S1587" s="34" t="s">
        <v>351</v>
      </c>
      <c r="T1587" s="36" t="s">
        <v>26867</v>
      </c>
      <c r="U1587" s="36" t="s">
        <v>26572</v>
      </c>
      <c r="V1587" s="36" t="s">
        <v>26571</v>
      </c>
      <c r="W1587" s="36" t="s">
        <v>94</v>
      </c>
      <c r="X1587" s="36">
        <v>3873</v>
      </c>
      <c r="Z1587" s="33" t="s">
        <v>42968</v>
      </c>
      <c r="AA1587" s="33">
        <v>6081</v>
      </c>
    </row>
    <row r="1588" spans="1:27" ht="12" customHeight="1" x14ac:dyDescent="0.15">
      <c r="A1588" s="34" t="s">
        <v>34800</v>
      </c>
      <c r="B1588" s="34">
        <v>32</v>
      </c>
      <c r="C1588" s="34" t="s">
        <v>14</v>
      </c>
      <c r="D1588" s="34" t="s">
        <v>42</v>
      </c>
      <c r="E1588" s="34"/>
      <c r="F1588" s="67">
        <v>43303</v>
      </c>
      <c r="G1588" s="34" t="s">
        <v>34801</v>
      </c>
      <c r="H1588" s="34" t="s">
        <v>2663</v>
      </c>
      <c r="I1588" s="34" t="s">
        <v>39</v>
      </c>
      <c r="J1588" s="34">
        <v>92346</v>
      </c>
      <c r="K1588" s="34" t="s">
        <v>288</v>
      </c>
      <c r="L1588" s="34" t="s">
        <v>32215</v>
      </c>
      <c r="M1588" s="34" t="s">
        <v>21</v>
      </c>
      <c r="N1588" s="34" t="s">
        <v>34802</v>
      </c>
      <c r="O1588" s="34" t="s">
        <v>372</v>
      </c>
      <c r="P1588" s="34" t="s">
        <v>30089</v>
      </c>
      <c r="Q1588" s="35" t="s">
        <v>34803</v>
      </c>
      <c r="R1588" s="34" t="s">
        <v>94</v>
      </c>
      <c r="S1588" s="34" t="s">
        <v>22</v>
      </c>
      <c r="T1588" s="36" t="s">
        <v>26612</v>
      </c>
      <c r="U1588" s="36" t="s">
        <v>26572</v>
      </c>
      <c r="V1588" s="36" t="s">
        <v>26574</v>
      </c>
      <c r="W1588" s="36" t="s">
        <v>94</v>
      </c>
      <c r="X1588" s="36">
        <v>3958</v>
      </c>
      <c r="Z1588" s="33" t="s">
        <v>42968</v>
      </c>
      <c r="AA1588" s="33">
        <v>6078</v>
      </c>
    </row>
    <row r="1589" spans="1:27" ht="12" customHeight="1" x14ac:dyDescent="0.15">
      <c r="A1589" s="34" t="s">
        <v>34804</v>
      </c>
      <c r="B1589" s="34">
        <v>38</v>
      </c>
      <c r="C1589" s="34" t="s">
        <v>14</v>
      </c>
      <c r="D1589" s="34" t="s">
        <v>42</v>
      </c>
      <c r="E1589" s="34"/>
      <c r="F1589" s="67">
        <v>43303</v>
      </c>
      <c r="G1589" s="34" t="s">
        <v>34805</v>
      </c>
      <c r="H1589" s="34" t="s">
        <v>728</v>
      </c>
      <c r="I1589" s="34" t="s">
        <v>39</v>
      </c>
      <c r="J1589" s="34">
        <v>92507</v>
      </c>
      <c r="K1589" s="34" t="s">
        <v>728</v>
      </c>
      <c r="L1589" s="34" t="s">
        <v>34806</v>
      </c>
      <c r="M1589" s="34" t="s">
        <v>21</v>
      </c>
      <c r="N1589" s="34" t="s">
        <v>34807</v>
      </c>
      <c r="O1589" s="34" t="s">
        <v>372</v>
      </c>
      <c r="P1589" s="34" t="s">
        <v>30089</v>
      </c>
      <c r="Q1589" s="35" t="s">
        <v>34808</v>
      </c>
      <c r="R1589" s="34" t="s">
        <v>94</v>
      </c>
      <c r="S1589" s="34" t="s">
        <v>29</v>
      </c>
      <c r="T1589" s="36" t="s">
        <v>26576</v>
      </c>
      <c r="U1589" s="36" t="s">
        <v>26570</v>
      </c>
      <c r="V1589" s="36" t="s">
        <v>26573</v>
      </c>
      <c r="W1589" s="36" t="s">
        <v>94</v>
      </c>
      <c r="X1589" s="36">
        <v>3957</v>
      </c>
      <c r="Z1589" s="33" t="s">
        <v>42968</v>
      </c>
      <c r="AA1589" s="33">
        <v>6080</v>
      </c>
    </row>
    <row r="1590" spans="1:27" ht="12" customHeight="1" x14ac:dyDescent="0.15">
      <c r="A1590" s="34" t="s">
        <v>34827</v>
      </c>
      <c r="B1590" s="34">
        <v>50</v>
      </c>
      <c r="C1590" s="34" t="s">
        <v>14</v>
      </c>
      <c r="D1590" s="34" t="s">
        <v>42</v>
      </c>
      <c r="E1590" s="34"/>
      <c r="F1590" s="67">
        <v>43302</v>
      </c>
      <c r="G1590" s="34" t="s">
        <v>34828</v>
      </c>
      <c r="H1590" s="34" t="s">
        <v>1751</v>
      </c>
      <c r="I1590" s="34" t="s">
        <v>39</v>
      </c>
      <c r="J1590" s="34">
        <v>92805</v>
      </c>
      <c r="K1590" s="34" t="s">
        <v>998</v>
      </c>
      <c r="L1590" s="34" t="s">
        <v>1753</v>
      </c>
      <c r="M1590" s="34" t="s">
        <v>21</v>
      </c>
      <c r="N1590" s="34" t="s">
        <v>34829</v>
      </c>
      <c r="O1590" s="34" t="s">
        <v>372</v>
      </c>
      <c r="P1590" s="34" t="s">
        <v>30089</v>
      </c>
      <c r="Q1590" s="35" t="s">
        <v>34830</v>
      </c>
      <c r="R1590" s="36" t="s">
        <v>512</v>
      </c>
      <c r="S1590" s="34" t="s">
        <v>12</v>
      </c>
      <c r="T1590" s="36" t="s">
        <v>29425</v>
      </c>
      <c r="U1590" s="36" t="s">
        <v>26570</v>
      </c>
      <c r="V1590" s="36" t="s">
        <v>26574</v>
      </c>
      <c r="W1590" s="36" t="s">
        <v>94</v>
      </c>
      <c r="X1590" s="36">
        <v>3947</v>
      </c>
      <c r="Z1590" s="33" t="s">
        <v>42966</v>
      </c>
      <c r="AA1590" s="33">
        <v>6075</v>
      </c>
    </row>
    <row r="1591" spans="1:27" ht="12" customHeight="1" x14ac:dyDescent="0.15">
      <c r="A1591" s="34" t="s">
        <v>34813</v>
      </c>
      <c r="B1591" s="34">
        <v>27</v>
      </c>
      <c r="C1591" s="34" t="s">
        <v>103</v>
      </c>
      <c r="D1591" s="34" t="s">
        <v>42</v>
      </c>
      <c r="E1591" s="35" t="s">
        <v>34814</v>
      </c>
      <c r="F1591" s="67">
        <v>43302</v>
      </c>
      <c r="G1591" s="34" t="s">
        <v>34815</v>
      </c>
      <c r="H1591" s="34" t="s">
        <v>92</v>
      </c>
      <c r="I1591" s="34" t="s">
        <v>39</v>
      </c>
      <c r="J1591" s="34">
        <v>90039</v>
      </c>
      <c r="K1591" s="34" t="s">
        <v>92</v>
      </c>
      <c r="L1591" s="34" t="s">
        <v>93</v>
      </c>
      <c r="M1591" s="34" t="s">
        <v>21</v>
      </c>
      <c r="N1591" s="34" t="s">
        <v>34816</v>
      </c>
      <c r="O1591" s="34" t="s">
        <v>372</v>
      </c>
      <c r="P1591" s="34" t="s">
        <v>30089</v>
      </c>
      <c r="Q1591" s="35" t="s">
        <v>34817</v>
      </c>
      <c r="R1591" s="34" t="s">
        <v>94</v>
      </c>
      <c r="S1591" s="34" t="s">
        <v>12</v>
      </c>
      <c r="T1591" s="36" t="s">
        <v>29705</v>
      </c>
      <c r="U1591" s="36" t="s">
        <v>26570</v>
      </c>
      <c r="V1591" s="36" t="s">
        <v>26574</v>
      </c>
      <c r="W1591" s="36" t="s">
        <v>512</v>
      </c>
      <c r="X1591" s="36">
        <v>3895</v>
      </c>
      <c r="Z1591" s="33" t="s">
        <v>42966</v>
      </c>
      <c r="AA1591" s="33">
        <v>6076</v>
      </c>
    </row>
    <row r="1592" spans="1:27" ht="12" customHeight="1" x14ac:dyDescent="0.15">
      <c r="A1592" s="34" t="s">
        <v>34809</v>
      </c>
      <c r="B1592" s="34">
        <v>21</v>
      </c>
      <c r="C1592" s="34" t="s">
        <v>14</v>
      </c>
      <c r="D1592" s="34" t="s">
        <v>42</v>
      </c>
      <c r="E1592" s="34"/>
      <c r="F1592" s="67">
        <v>43302</v>
      </c>
      <c r="G1592" s="34" t="s">
        <v>34810</v>
      </c>
      <c r="H1592" s="34" t="s">
        <v>1337</v>
      </c>
      <c r="I1592" s="34" t="s">
        <v>112</v>
      </c>
      <c r="J1592" s="34">
        <v>85202</v>
      </c>
      <c r="K1592" s="34" t="s">
        <v>585</v>
      </c>
      <c r="L1592" s="34" t="s">
        <v>1338</v>
      </c>
      <c r="M1592" s="34" t="s">
        <v>21</v>
      </c>
      <c r="N1592" s="34" t="s">
        <v>34811</v>
      </c>
      <c r="O1592" s="34" t="s">
        <v>372</v>
      </c>
      <c r="P1592" s="34" t="s">
        <v>30089</v>
      </c>
      <c r="Q1592" s="35" t="s">
        <v>34812</v>
      </c>
      <c r="R1592" s="34" t="s">
        <v>904</v>
      </c>
      <c r="S1592" s="34" t="s">
        <v>351</v>
      </c>
      <c r="T1592" s="36" t="s">
        <v>26867</v>
      </c>
      <c r="U1592" s="36" t="s">
        <v>26572</v>
      </c>
      <c r="V1592" s="36" t="s">
        <v>26573</v>
      </c>
      <c r="W1592" s="36" t="s">
        <v>94</v>
      </c>
      <c r="X1592" s="36">
        <v>3878</v>
      </c>
      <c r="Z1592" s="33" t="s">
        <v>42966</v>
      </c>
      <c r="AA1592" s="33">
        <v>6077</v>
      </c>
    </row>
    <row r="1593" spans="1:27" ht="12" customHeight="1" x14ac:dyDescent="0.15">
      <c r="A1593" s="34" t="s">
        <v>34822</v>
      </c>
      <c r="B1593" s="34">
        <v>39</v>
      </c>
      <c r="C1593" s="34" t="s">
        <v>14</v>
      </c>
      <c r="D1593" s="34" t="s">
        <v>31</v>
      </c>
      <c r="E1593" s="35" t="s">
        <v>34823</v>
      </c>
      <c r="F1593" s="67">
        <v>43302</v>
      </c>
      <c r="G1593" s="34" t="s">
        <v>34824</v>
      </c>
      <c r="H1593" s="34" t="s">
        <v>518</v>
      </c>
      <c r="I1593" s="34" t="s">
        <v>112</v>
      </c>
      <c r="J1593" s="34">
        <v>85757</v>
      </c>
      <c r="K1593" s="34" t="s">
        <v>519</v>
      </c>
      <c r="L1593" s="34" t="s">
        <v>11583</v>
      </c>
      <c r="M1593" s="34" t="s">
        <v>21</v>
      </c>
      <c r="N1593" s="34" t="s">
        <v>34825</v>
      </c>
      <c r="O1593" s="34" t="s">
        <v>372</v>
      </c>
      <c r="P1593" s="34" t="s">
        <v>30089</v>
      </c>
      <c r="Q1593" s="35" t="s">
        <v>34826</v>
      </c>
      <c r="R1593" s="34" t="s">
        <v>94</v>
      </c>
      <c r="S1593" s="34" t="s">
        <v>22</v>
      </c>
      <c r="T1593" s="36" t="s">
        <v>29833</v>
      </c>
      <c r="U1593" s="36" t="s">
        <v>26572</v>
      </c>
      <c r="V1593" s="36" t="s">
        <v>26574</v>
      </c>
      <c r="W1593" s="36" t="s">
        <v>94</v>
      </c>
      <c r="X1593" s="36">
        <v>3874</v>
      </c>
      <c r="Z1593" s="33" t="s">
        <v>42968</v>
      </c>
      <c r="AA1593" s="33">
        <v>6072</v>
      </c>
    </row>
    <row r="1594" spans="1:27" ht="12" customHeight="1" x14ac:dyDescent="0.15">
      <c r="A1594" s="34" t="s">
        <v>34831</v>
      </c>
      <c r="B1594" s="34">
        <v>57</v>
      </c>
      <c r="C1594" s="34" t="s">
        <v>14</v>
      </c>
      <c r="D1594" s="34" t="s">
        <v>31</v>
      </c>
      <c r="E1594" s="35" t="s">
        <v>34832</v>
      </c>
      <c r="F1594" s="67">
        <v>43302</v>
      </c>
      <c r="G1594" s="34" t="s">
        <v>34833</v>
      </c>
      <c r="H1594" s="34" t="s">
        <v>720</v>
      </c>
      <c r="I1594" s="34" t="s">
        <v>63</v>
      </c>
      <c r="J1594" s="34">
        <v>43614</v>
      </c>
      <c r="K1594" s="34" t="s">
        <v>721</v>
      </c>
      <c r="L1594" s="34" t="s">
        <v>722</v>
      </c>
      <c r="M1594" s="34" t="s">
        <v>21</v>
      </c>
      <c r="N1594" s="34" t="s">
        <v>34834</v>
      </c>
      <c r="O1594" s="34" t="s">
        <v>372</v>
      </c>
      <c r="P1594" s="34" t="s">
        <v>30089</v>
      </c>
      <c r="Q1594" s="35" t="s">
        <v>34835</v>
      </c>
      <c r="R1594" s="34" t="s">
        <v>94</v>
      </c>
      <c r="S1594" s="34" t="s">
        <v>22</v>
      </c>
      <c r="T1594" s="36" t="s">
        <v>26774</v>
      </c>
      <c r="U1594" s="36" t="s">
        <v>26572</v>
      </c>
      <c r="V1594" s="36" t="s">
        <v>26573</v>
      </c>
      <c r="W1594" s="36" t="s">
        <v>94</v>
      </c>
      <c r="X1594" s="36">
        <v>3879</v>
      </c>
      <c r="Z1594" s="33" t="s">
        <v>42968</v>
      </c>
      <c r="AA1594" s="33">
        <v>6073</v>
      </c>
    </row>
    <row r="1595" spans="1:27" ht="12" customHeight="1" x14ac:dyDescent="0.15">
      <c r="A1595" s="34" t="s">
        <v>34818</v>
      </c>
      <c r="B1595" s="34">
        <v>37</v>
      </c>
      <c r="C1595" s="34" t="s">
        <v>14</v>
      </c>
      <c r="D1595" s="34" t="s">
        <v>42</v>
      </c>
      <c r="E1595" s="34"/>
      <c r="F1595" s="67">
        <v>43302</v>
      </c>
      <c r="G1595" s="34" t="s">
        <v>34819</v>
      </c>
      <c r="H1595" s="34" t="s">
        <v>183</v>
      </c>
      <c r="I1595" s="34" t="s">
        <v>39</v>
      </c>
      <c r="J1595" s="34">
        <v>93728</v>
      </c>
      <c r="K1595" s="34" t="s">
        <v>183</v>
      </c>
      <c r="L1595" s="34" t="s">
        <v>184</v>
      </c>
      <c r="M1595" s="34" t="s">
        <v>21</v>
      </c>
      <c r="N1595" s="34" t="s">
        <v>34820</v>
      </c>
      <c r="O1595" s="34" t="s">
        <v>372</v>
      </c>
      <c r="P1595" s="34" t="s">
        <v>30089</v>
      </c>
      <c r="Q1595" s="35" t="s">
        <v>34821</v>
      </c>
      <c r="R1595" s="34" t="s">
        <v>94</v>
      </c>
      <c r="S1595" s="34" t="s">
        <v>12</v>
      </c>
      <c r="T1595" s="36" t="s">
        <v>29425</v>
      </c>
      <c r="U1595" s="36" t="s">
        <v>26572</v>
      </c>
      <c r="V1595" s="36" t="s">
        <v>26573</v>
      </c>
      <c r="W1595" s="36" t="s">
        <v>94</v>
      </c>
      <c r="X1595" s="36">
        <v>3877</v>
      </c>
      <c r="Z1595" s="33" t="s">
        <v>42966</v>
      </c>
      <c r="AA1595" s="33">
        <v>6074</v>
      </c>
    </row>
    <row r="1596" spans="1:27" ht="12" customHeight="1" x14ac:dyDescent="0.15">
      <c r="A1596" s="34" t="s">
        <v>34841</v>
      </c>
      <c r="B1596" s="34">
        <v>33</v>
      </c>
      <c r="C1596" s="34" t="s">
        <v>14</v>
      </c>
      <c r="D1596" s="34" t="s">
        <v>885</v>
      </c>
      <c r="E1596" s="34"/>
      <c r="F1596" s="67">
        <v>43301</v>
      </c>
      <c r="G1596" s="34" t="s">
        <v>34842</v>
      </c>
      <c r="H1596" s="34" t="s">
        <v>34843</v>
      </c>
      <c r="I1596" s="34" t="s">
        <v>814</v>
      </c>
      <c r="J1596" s="34">
        <v>96772</v>
      </c>
      <c r="K1596" s="34" t="s">
        <v>3619</v>
      </c>
      <c r="L1596" s="34" t="s">
        <v>3620</v>
      </c>
      <c r="M1596" s="34" t="s">
        <v>21</v>
      </c>
      <c r="N1596" s="34" t="s">
        <v>34844</v>
      </c>
      <c r="O1596" s="34" t="s">
        <v>372</v>
      </c>
      <c r="P1596" s="34" t="s">
        <v>30089</v>
      </c>
      <c r="Q1596" s="35" t="s">
        <v>34845</v>
      </c>
      <c r="R1596" s="34" t="s">
        <v>94</v>
      </c>
      <c r="S1596" s="34" t="s">
        <v>22</v>
      </c>
      <c r="T1596" s="36" t="s">
        <v>26781</v>
      </c>
      <c r="U1596" s="36" t="s">
        <v>26572</v>
      </c>
      <c r="V1596" s="36" t="s">
        <v>26571</v>
      </c>
      <c r="W1596" s="36" t="s">
        <v>94</v>
      </c>
      <c r="X1596" s="36">
        <v>3944</v>
      </c>
      <c r="Z1596" s="33" t="s">
        <v>42967</v>
      </c>
      <c r="AA1596" s="33">
        <v>6069</v>
      </c>
    </row>
    <row r="1597" spans="1:27" ht="12" customHeight="1" x14ac:dyDescent="0.15">
      <c r="A1597" s="34" t="s">
        <v>34846</v>
      </c>
      <c r="B1597" s="34">
        <v>38</v>
      </c>
      <c r="C1597" s="34" t="s">
        <v>14</v>
      </c>
      <c r="D1597" s="34" t="s">
        <v>31</v>
      </c>
      <c r="E1597" s="35" t="s">
        <v>34847</v>
      </c>
      <c r="F1597" s="67">
        <v>43301</v>
      </c>
      <c r="G1597" s="34" t="s">
        <v>34848</v>
      </c>
      <c r="H1597" s="34" t="s">
        <v>7829</v>
      </c>
      <c r="I1597" s="34" t="s">
        <v>56</v>
      </c>
      <c r="J1597" s="34">
        <v>32162</v>
      </c>
      <c r="K1597" s="34" t="s">
        <v>24786</v>
      </c>
      <c r="L1597" s="34" t="s">
        <v>34849</v>
      </c>
      <c r="M1597" s="34" t="s">
        <v>21</v>
      </c>
      <c r="N1597" s="34" t="s">
        <v>34850</v>
      </c>
      <c r="O1597" s="34" t="s">
        <v>372</v>
      </c>
      <c r="P1597" s="34" t="s">
        <v>30089</v>
      </c>
      <c r="Q1597" s="35" t="s">
        <v>34851</v>
      </c>
      <c r="R1597" s="34" t="s">
        <v>94</v>
      </c>
      <c r="S1597" s="34" t="s">
        <v>22</v>
      </c>
      <c r="T1597" s="36" t="s">
        <v>26781</v>
      </c>
      <c r="U1597" s="36" t="s">
        <v>26572</v>
      </c>
      <c r="V1597" s="36" t="s">
        <v>26573</v>
      </c>
      <c r="W1597" s="36" t="s">
        <v>94</v>
      </c>
      <c r="X1597" s="36">
        <v>3945</v>
      </c>
      <c r="Z1597" s="33" t="s">
        <v>42968</v>
      </c>
      <c r="AA1597" s="33">
        <v>6070</v>
      </c>
    </row>
    <row r="1598" spans="1:27" ht="12" customHeight="1" x14ac:dyDescent="0.15">
      <c r="A1598" s="34" t="s">
        <v>34836</v>
      </c>
      <c r="B1598" s="34">
        <v>19</v>
      </c>
      <c r="C1598" s="34" t="s">
        <v>14</v>
      </c>
      <c r="D1598" s="34" t="s">
        <v>31</v>
      </c>
      <c r="E1598" s="34"/>
      <c r="F1598" s="67">
        <v>43301</v>
      </c>
      <c r="G1598" s="34" t="s">
        <v>34837</v>
      </c>
      <c r="H1598" s="34" t="s">
        <v>674</v>
      </c>
      <c r="I1598" s="34" t="s">
        <v>67</v>
      </c>
      <c r="J1598" s="34">
        <v>77095</v>
      </c>
      <c r="K1598" s="34" t="s">
        <v>515</v>
      </c>
      <c r="L1598" s="34" t="s">
        <v>34838</v>
      </c>
      <c r="M1598" s="34" t="s">
        <v>21</v>
      </c>
      <c r="N1598" s="34" t="s">
        <v>34839</v>
      </c>
      <c r="O1598" s="34" t="s">
        <v>372</v>
      </c>
      <c r="P1598" s="34" t="s">
        <v>30089</v>
      </c>
      <c r="Q1598" s="35" t="s">
        <v>34840</v>
      </c>
      <c r="R1598" s="34" t="s">
        <v>94</v>
      </c>
      <c r="S1598" s="34" t="s">
        <v>22</v>
      </c>
      <c r="T1598" s="36" t="s">
        <v>26781</v>
      </c>
      <c r="U1598" s="36" t="s">
        <v>26572</v>
      </c>
      <c r="V1598" s="36" t="s">
        <v>26574</v>
      </c>
      <c r="W1598" s="36" t="s">
        <v>94</v>
      </c>
      <c r="X1598" s="36">
        <v>3880</v>
      </c>
      <c r="Z1598" s="33" t="s">
        <v>42968</v>
      </c>
      <c r="AA1598" s="33">
        <v>6068</v>
      </c>
    </row>
    <row r="1599" spans="1:27" ht="12" customHeight="1" x14ac:dyDescent="0.15">
      <c r="A1599" s="34" t="s">
        <v>34852</v>
      </c>
      <c r="B1599" s="34">
        <v>45</v>
      </c>
      <c r="C1599" s="34" t="s">
        <v>14</v>
      </c>
      <c r="D1599" s="34" t="s">
        <v>42</v>
      </c>
      <c r="E1599" s="34"/>
      <c r="F1599" s="67">
        <v>43301</v>
      </c>
      <c r="G1599" s="34" t="s">
        <v>34853</v>
      </c>
      <c r="H1599" s="34" t="s">
        <v>728</v>
      </c>
      <c r="I1599" s="34" t="s">
        <v>39</v>
      </c>
      <c r="J1599" s="34">
        <v>92504</v>
      </c>
      <c r="K1599" s="34" t="s">
        <v>728</v>
      </c>
      <c r="L1599" s="34" t="s">
        <v>5461</v>
      </c>
      <c r="M1599" s="34" t="s">
        <v>21</v>
      </c>
      <c r="N1599" s="34" t="s">
        <v>34854</v>
      </c>
      <c r="O1599" s="34" t="s">
        <v>372</v>
      </c>
      <c r="P1599" s="34" t="s">
        <v>30089</v>
      </c>
      <c r="Q1599" s="35" t="s">
        <v>34855</v>
      </c>
      <c r="R1599" s="34" t="s">
        <v>94</v>
      </c>
      <c r="S1599" s="34" t="s">
        <v>22</v>
      </c>
      <c r="T1599" s="36" t="s">
        <v>26781</v>
      </c>
      <c r="U1599" s="36" t="s">
        <v>26572</v>
      </c>
      <c r="V1599" s="36" t="s">
        <v>26571</v>
      </c>
      <c r="W1599" s="36" t="s">
        <v>94</v>
      </c>
      <c r="X1599" s="36">
        <v>3946</v>
      </c>
      <c r="Z1599" s="33" t="s">
        <v>42968</v>
      </c>
      <c r="AA1599" s="33">
        <v>6071</v>
      </c>
    </row>
    <row r="1600" spans="1:27" ht="12" customHeight="1" x14ac:dyDescent="0.15">
      <c r="A1600" s="34" t="s">
        <v>34860</v>
      </c>
      <c r="B1600" s="34">
        <v>22</v>
      </c>
      <c r="C1600" s="34" t="s">
        <v>14</v>
      </c>
      <c r="D1600" s="34" t="s">
        <v>42</v>
      </c>
      <c r="E1600" s="34"/>
      <c r="F1600" s="67">
        <v>43300</v>
      </c>
      <c r="G1600" s="34" t="s">
        <v>34861</v>
      </c>
      <c r="H1600" s="34" t="s">
        <v>7458</v>
      </c>
      <c r="I1600" s="34" t="s">
        <v>39</v>
      </c>
      <c r="J1600" s="34">
        <v>90660</v>
      </c>
      <c r="K1600" s="34" t="s">
        <v>92</v>
      </c>
      <c r="L1600" s="34" t="s">
        <v>386</v>
      </c>
      <c r="M1600" s="34" t="s">
        <v>21</v>
      </c>
      <c r="N1600" s="34" t="s">
        <v>34862</v>
      </c>
      <c r="O1600" s="34" t="s">
        <v>372</v>
      </c>
      <c r="P1600" s="34" t="s">
        <v>30089</v>
      </c>
      <c r="Q1600" s="35" t="s">
        <v>34863</v>
      </c>
      <c r="R1600" s="34" t="s">
        <v>904</v>
      </c>
      <c r="S1600" s="34" t="s">
        <v>22</v>
      </c>
      <c r="T1600" s="36" t="s">
        <v>26781</v>
      </c>
      <c r="U1600" s="36" t="s">
        <v>26570</v>
      </c>
      <c r="V1600" s="36" t="s">
        <v>19228</v>
      </c>
      <c r="W1600" s="36" t="s">
        <v>94</v>
      </c>
      <c r="X1600" s="36">
        <v>3871</v>
      </c>
      <c r="Z1600" s="33" t="s">
        <v>42968</v>
      </c>
      <c r="AA1600" s="33">
        <v>6066</v>
      </c>
    </row>
    <row r="1601" spans="1:27" ht="12" customHeight="1" x14ac:dyDescent="0.15">
      <c r="A1601" s="34" t="s">
        <v>34856</v>
      </c>
      <c r="B1601" s="34">
        <v>19</v>
      </c>
      <c r="C1601" s="34" t="s">
        <v>14</v>
      </c>
      <c r="D1601" s="34" t="s">
        <v>42</v>
      </c>
      <c r="E1601" s="34"/>
      <c r="F1601" s="67">
        <v>43300</v>
      </c>
      <c r="G1601" s="34" t="s">
        <v>34857</v>
      </c>
      <c r="H1601" s="34" t="s">
        <v>3230</v>
      </c>
      <c r="I1601" s="34" t="s">
        <v>38</v>
      </c>
      <c r="J1601" s="34">
        <v>61605</v>
      </c>
      <c r="K1601" s="34" t="s">
        <v>3230</v>
      </c>
      <c r="L1601" s="34" t="s">
        <v>29390</v>
      </c>
      <c r="M1601" s="34" t="s">
        <v>21</v>
      </c>
      <c r="N1601" s="34" t="s">
        <v>34858</v>
      </c>
      <c r="O1601" s="34" t="s">
        <v>372</v>
      </c>
      <c r="P1601" s="34" t="s">
        <v>30089</v>
      </c>
      <c r="Q1601" s="35" t="s">
        <v>34859</v>
      </c>
      <c r="R1601" s="34" t="s">
        <v>94</v>
      </c>
      <c r="S1601" s="34" t="s">
        <v>22</v>
      </c>
      <c r="T1601" s="36" t="s">
        <v>26781</v>
      </c>
      <c r="U1601" s="36" t="s">
        <v>26570</v>
      </c>
      <c r="V1601" s="36" t="s">
        <v>26574</v>
      </c>
      <c r="W1601" s="36" t="s">
        <v>94</v>
      </c>
      <c r="X1601" s="36">
        <v>3870</v>
      </c>
      <c r="Z1601" s="33" t="s">
        <v>42966</v>
      </c>
      <c r="AA1601" s="33">
        <v>6065</v>
      </c>
    </row>
    <row r="1602" spans="1:27" ht="12" customHeight="1" x14ac:dyDescent="0.15">
      <c r="A1602" s="34" t="s">
        <v>34864</v>
      </c>
      <c r="B1602" s="34">
        <v>32</v>
      </c>
      <c r="C1602" s="34" t="s">
        <v>14</v>
      </c>
      <c r="D1602" s="34" t="s">
        <v>31</v>
      </c>
      <c r="E1602" s="34"/>
      <c r="F1602" s="67">
        <v>43300</v>
      </c>
      <c r="G1602" s="34" t="s">
        <v>34865</v>
      </c>
      <c r="H1602" s="34" t="s">
        <v>834</v>
      </c>
      <c r="I1602" s="34" t="s">
        <v>294</v>
      </c>
      <c r="J1602" s="34">
        <v>40220</v>
      </c>
      <c r="K1602" s="34" t="s">
        <v>1659</v>
      </c>
      <c r="L1602" s="34" t="s">
        <v>17106</v>
      </c>
      <c r="M1602" s="34" t="s">
        <v>363</v>
      </c>
      <c r="N1602" s="34" t="s">
        <v>34866</v>
      </c>
      <c r="O1602" s="34" t="s">
        <v>372</v>
      </c>
      <c r="P1602" s="34" t="s">
        <v>30089</v>
      </c>
      <c r="Q1602" s="35" t="s">
        <v>34867</v>
      </c>
      <c r="R1602" s="34" t="s">
        <v>94</v>
      </c>
      <c r="S1602" s="34" t="s">
        <v>22</v>
      </c>
      <c r="T1602" s="34" t="s">
        <v>26774</v>
      </c>
      <c r="U1602" s="34" t="s">
        <v>26570</v>
      </c>
      <c r="V1602" s="34" t="s">
        <v>26574</v>
      </c>
      <c r="W1602" s="34"/>
      <c r="X1602" s="34"/>
      <c r="Z1602" s="33" t="s">
        <v>42968</v>
      </c>
      <c r="AA1602" s="33">
        <v>6067</v>
      </c>
    </row>
    <row r="1603" spans="1:27" ht="12" customHeight="1" x14ac:dyDescent="0.15">
      <c r="A1603" s="34" t="s">
        <v>34874</v>
      </c>
      <c r="B1603" s="34">
        <v>33</v>
      </c>
      <c r="C1603" s="34" t="s">
        <v>14</v>
      </c>
      <c r="D1603" s="34" t="s">
        <v>31</v>
      </c>
      <c r="E1603" s="35" t="s">
        <v>34875</v>
      </c>
      <c r="F1603" s="67">
        <v>43299</v>
      </c>
      <c r="G1603" s="34" t="s">
        <v>34876</v>
      </c>
      <c r="H1603" s="34" t="s">
        <v>34877</v>
      </c>
      <c r="I1603" s="34" t="s">
        <v>338</v>
      </c>
      <c r="J1603" s="34">
        <v>28732</v>
      </c>
      <c r="K1603" s="34" t="s">
        <v>1194</v>
      </c>
      <c r="L1603" s="34" t="s">
        <v>34878</v>
      </c>
      <c r="M1603" s="34" t="s">
        <v>21</v>
      </c>
      <c r="N1603" s="34" t="s">
        <v>34879</v>
      </c>
      <c r="O1603" s="34" t="s">
        <v>372</v>
      </c>
      <c r="P1603" s="34" t="s">
        <v>30089</v>
      </c>
      <c r="Q1603" s="35" t="s">
        <v>34880</v>
      </c>
      <c r="R1603" s="34" t="s">
        <v>94</v>
      </c>
      <c r="S1603" s="34" t="s">
        <v>22</v>
      </c>
      <c r="T1603" s="36" t="s">
        <v>26781</v>
      </c>
      <c r="U1603" s="36" t="s">
        <v>26572</v>
      </c>
      <c r="V1603" s="36" t="s">
        <v>26573</v>
      </c>
      <c r="W1603" s="36" t="s">
        <v>94</v>
      </c>
      <c r="X1603" s="36">
        <v>3869</v>
      </c>
      <c r="Z1603" s="33" t="s">
        <v>42968</v>
      </c>
      <c r="AA1603" s="33">
        <v>6063</v>
      </c>
    </row>
    <row r="1604" spans="1:27" ht="12" customHeight="1" x14ac:dyDescent="0.15">
      <c r="A1604" s="34" t="s">
        <v>34868</v>
      </c>
      <c r="B1604" s="34">
        <v>30</v>
      </c>
      <c r="C1604" s="34" t="s">
        <v>14</v>
      </c>
      <c r="D1604" s="34" t="s">
        <v>42</v>
      </c>
      <c r="E1604" s="35" t="s">
        <v>34869</v>
      </c>
      <c r="F1604" s="67">
        <v>43299</v>
      </c>
      <c r="G1604" s="34" t="s">
        <v>34870</v>
      </c>
      <c r="H1604" s="34" t="s">
        <v>866</v>
      </c>
      <c r="I1604" s="34" t="s">
        <v>178</v>
      </c>
      <c r="J1604" s="34">
        <v>87121</v>
      </c>
      <c r="K1604" s="34" t="s">
        <v>433</v>
      </c>
      <c r="L1604" s="34" t="s">
        <v>34871</v>
      </c>
      <c r="M1604" s="34" t="s">
        <v>21</v>
      </c>
      <c r="N1604" s="34" t="s">
        <v>34872</v>
      </c>
      <c r="O1604" s="34" t="s">
        <v>372</v>
      </c>
      <c r="P1604" s="34" t="s">
        <v>30089</v>
      </c>
      <c r="Q1604" s="35" t="s">
        <v>34873</v>
      </c>
      <c r="R1604" s="34" t="s">
        <v>94</v>
      </c>
      <c r="S1604" s="34" t="s">
        <v>22</v>
      </c>
      <c r="T1604" s="36" t="s">
        <v>26781</v>
      </c>
      <c r="U1604" s="36" t="s">
        <v>26572</v>
      </c>
      <c r="V1604" s="36" t="s">
        <v>26573</v>
      </c>
      <c r="W1604" s="36" t="s">
        <v>94</v>
      </c>
      <c r="X1604" s="36">
        <v>3866</v>
      </c>
      <c r="Z1604" s="33" t="s">
        <v>42968</v>
      </c>
      <c r="AA1604" s="33">
        <v>6062</v>
      </c>
    </row>
    <row r="1605" spans="1:27" ht="12" customHeight="1" x14ac:dyDescent="0.15">
      <c r="A1605" s="34" t="s">
        <v>34881</v>
      </c>
      <c r="B1605" s="34">
        <v>59</v>
      </c>
      <c r="C1605" s="34" t="s">
        <v>14</v>
      </c>
      <c r="D1605" s="34" t="s">
        <v>31</v>
      </c>
      <c r="E1605" s="35" t="s">
        <v>34882</v>
      </c>
      <c r="F1605" s="67">
        <v>43299</v>
      </c>
      <c r="G1605" s="34" t="s">
        <v>34883</v>
      </c>
      <c r="H1605" s="34" t="s">
        <v>34884</v>
      </c>
      <c r="I1605" s="34" t="s">
        <v>67</v>
      </c>
      <c r="J1605" s="34">
        <v>77466</v>
      </c>
      <c r="K1605" s="34" t="s">
        <v>775</v>
      </c>
      <c r="L1605" s="34" t="s">
        <v>1188</v>
      </c>
      <c r="M1605" s="34" t="s">
        <v>21</v>
      </c>
      <c r="N1605" s="34" t="s">
        <v>34885</v>
      </c>
      <c r="O1605" s="34" t="s">
        <v>372</v>
      </c>
      <c r="P1605" s="34" t="s">
        <v>30089</v>
      </c>
      <c r="Q1605" s="35" t="s">
        <v>34886</v>
      </c>
      <c r="R1605" s="34" t="s">
        <v>94</v>
      </c>
      <c r="S1605" s="34" t="s">
        <v>22</v>
      </c>
      <c r="T1605" s="36" t="s">
        <v>26781</v>
      </c>
      <c r="U1605" s="36" t="s">
        <v>26572</v>
      </c>
      <c r="V1605" s="36" t="s">
        <v>26573</v>
      </c>
      <c r="W1605" s="36" t="s">
        <v>94</v>
      </c>
      <c r="X1605" s="36">
        <v>3872</v>
      </c>
      <c r="Z1605" s="33" t="s">
        <v>42967</v>
      </c>
      <c r="AA1605" s="33">
        <v>6064</v>
      </c>
    </row>
    <row r="1606" spans="1:27" ht="12" customHeight="1" x14ac:dyDescent="0.15">
      <c r="A1606" s="34" t="s">
        <v>34898</v>
      </c>
      <c r="B1606" s="34">
        <v>57</v>
      </c>
      <c r="C1606" s="34" t="s">
        <v>14</v>
      </c>
      <c r="D1606" s="34" t="s">
        <v>42</v>
      </c>
      <c r="E1606" s="34"/>
      <c r="F1606" s="67">
        <v>43298</v>
      </c>
      <c r="G1606" s="34" t="s">
        <v>34899</v>
      </c>
      <c r="H1606" s="34" t="s">
        <v>12493</v>
      </c>
      <c r="I1606" s="34" t="s">
        <v>250</v>
      </c>
      <c r="J1606" s="34">
        <v>89431</v>
      </c>
      <c r="K1606" s="34" t="s">
        <v>5732</v>
      </c>
      <c r="L1606" s="34" t="s">
        <v>12495</v>
      </c>
      <c r="M1606" s="34" t="s">
        <v>21</v>
      </c>
      <c r="N1606" s="34" t="s">
        <v>34900</v>
      </c>
      <c r="O1606" s="34" t="s">
        <v>372</v>
      </c>
      <c r="P1606" s="34" t="s">
        <v>30089</v>
      </c>
      <c r="Q1606" s="35" t="s">
        <v>34901</v>
      </c>
      <c r="R1606" s="34" t="s">
        <v>94</v>
      </c>
      <c r="S1606" s="34" t="s">
        <v>22</v>
      </c>
      <c r="T1606" s="36" t="s">
        <v>26781</v>
      </c>
      <c r="U1606" s="36" t="s">
        <v>26570</v>
      </c>
      <c r="V1606" s="36"/>
      <c r="W1606" s="36" t="s">
        <v>94</v>
      </c>
      <c r="X1606" s="36">
        <v>3867</v>
      </c>
      <c r="Z1606" s="33" t="s">
        <v>42968</v>
      </c>
      <c r="AA1606" s="33">
        <v>6058</v>
      </c>
    </row>
    <row r="1607" spans="1:27" ht="12" customHeight="1" x14ac:dyDescent="0.15">
      <c r="A1607" s="34" t="s">
        <v>34892</v>
      </c>
      <c r="B1607" s="34">
        <v>27</v>
      </c>
      <c r="C1607" s="34" t="s">
        <v>14</v>
      </c>
      <c r="D1607" s="34" t="s">
        <v>42</v>
      </c>
      <c r="E1607" s="35" t="s">
        <v>34893</v>
      </c>
      <c r="F1607" s="67">
        <v>43298</v>
      </c>
      <c r="G1607" s="34" t="s">
        <v>34894</v>
      </c>
      <c r="H1607" s="34" t="s">
        <v>518</v>
      </c>
      <c r="I1607" s="34" t="s">
        <v>112</v>
      </c>
      <c r="J1607" s="34">
        <v>85714</v>
      </c>
      <c r="K1607" s="34" t="s">
        <v>519</v>
      </c>
      <c r="L1607" s="34" t="s">
        <v>11583</v>
      </c>
      <c r="M1607" s="34" t="s">
        <v>21</v>
      </c>
      <c r="N1607" s="34" t="s">
        <v>34895</v>
      </c>
      <c r="O1607" s="34" t="s">
        <v>372</v>
      </c>
      <c r="P1607" s="34" t="s">
        <v>30089</v>
      </c>
      <c r="Q1607" s="35" t="s">
        <v>34896</v>
      </c>
      <c r="R1607" s="34" t="s">
        <v>94</v>
      </c>
      <c r="S1607" s="34" t="s">
        <v>22</v>
      </c>
      <c r="T1607" s="36" t="s">
        <v>26781</v>
      </c>
      <c r="U1607" s="36" t="s">
        <v>26572</v>
      </c>
      <c r="V1607" s="36" t="s">
        <v>26571</v>
      </c>
      <c r="W1607" s="36" t="s">
        <v>94</v>
      </c>
      <c r="X1607" s="36">
        <v>3868</v>
      </c>
      <c r="Z1607" s="33" t="s">
        <v>42968</v>
      </c>
      <c r="AA1607" s="33">
        <v>6059</v>
      </c>
    </row>
    <row r="1608" spans="1:27" ht="12" customHeight="1" x14ac:dyDescent="0.15">
      <c r="A1608" s="34" t="s">
        <v>34887</v>
      </c>
      <c r="B1608" s="34">
        <v>25</v>
      </c>
      <c r="C1608" s="34" t="s">
        <v>14</v>
      </c>
      <c r="D1608" s="34" t="s">
        <v>31</v>
      </c>
      <c r="E1608" s="34"/>
      <c r="F1608" s="67">
        <v>43298</v>
      </c>
      <c r="G1608" s="34" t="s">
        <v>34888</v>
      </c>
      <c r="H1608" s="34" t="s">
        <v>34889</v>
      </c>
      <c r="I1608" s="34" t="s">
        <v>342</v>
      </c>
      <c r="J1608" s="34">
        <v>50009</v>
      </c>
      <c r="K1608" s="34" t="s">
        <v>1736</v>
      </c>
      <c r="L1608" s="34" t="s">
        <v>238</v>
      </c>
      <c r="M1608" s="34" t="s">
        <v>21</v>
      </c>
      <c r="N1608" s="34" t="s">
        <v>34890</v>
      </c>
      <c r="O1608" s="34" t="s">
        <v>372</v>
      </c>
      <c r="P1608" s="34" t="s">
        <v>30089</v>
      </c>
      <c r="Q1608" s="35" t="s">
        <v>34891</v>
      </c>
      <c r="R1608" s="34" t="s">
        <v>94</v>
      </c>
      <c r="S1608" s="34" t="s">
        <v>29</v>
      </c>
      <c r="T1608" s="36" t="s">
        <v>26575</v>
      </c>
      <c r="U1608" s="36" t="s">
        <v>26570</v>
      </c>
      <c r="V1608" s="36" t="s">
        <v>26571</v>
      </c>
      <c r="W1608" s="36" t="s">
        <v>94</v>
      </c>
      <c r="X1608" s="36">
        <v>3864</v>
      </c>
      <c r="Z1608" s="33" t="s">
        <v>42968</v>
      </c>
      <c r="AA1608" s="33">
        <v>6061</v>
      </c>
    </row>
    <row r="1609" spans="1:27" ht="12" customHeight="1" x14ac:dyDescent="0.15">
      <c r="A1609" s="34" t="s">
        <v>34897</v>
      </c>
      <c r="B1609" s="34">
        <v>51</v>
      </c>
      <c r="C1609" s="34" t="s">
        <v>14</v>
      </c>
      <c r="D1609" s="34" t="s">
        <v>31</v>
      </c>
      <c r="E1609" s="34"/>
      <c r="F1609" s="67">
        <v>43298</v>
      </c>
      <c r="G1609" s="34"/>
      <c r="H1609" s="34" t="s">
        <v>19413</v>
      </c>
      <c r="I1609" s="34" t="s">
        <v>338</v>
      </c>
      <c r="J1609" s="34"/>
      <c r="K1609" s="34"/>
      <c r="L1609" s="34"/>
      <c r="M1609" s="34" t="s">
        <v>21</v>
      </c>
      <c r="N1609" s="34"/>
      <c r="O1609" s="34" t="s">
        <v>372</v>
      </c>
      <c r="P1609" s="34" t="s">
        <v>30089</v>
      </c>
      <c r="Q1609" s="35"/>
      <c r="R1609" s="34" t="s">
        <v>94</v>
      </c>
      <c r="S1609" s="34" t="s">
        <v>22</v>
      </c>
      <c r="T1609" s="36" t="s">
        <v>26781</v>
      </c>
      <c r="U1609" s="36" t="s">
        <v>26572</v>
      </c>
      <c r="V1609" s="36" t="s">
        <v>26573</v>
      </c>
      <c r="W1609" s="36" t="s">
        <v>94</v>
      </c>
      <c r="X1609" s="36">
        <v>3942</v>
      </c>
      <c r="Z1609" s="33" t="e">
        <v>#N/A</v>
      </c>
      <c r="AA1609" s="33">
        <v>6060</v>
      </c>
    </row>
    <row r="1610" spans="1:27" ht="12" customHeight="1" x14ac:dyDescent="0.15">
      <c r="A1610" s="33" t="s">
        <v>33149</v>
      </c>
      <c r="B1610" s="33">
        <v>25</v>
      </c>
      <c r="C1610" s="33" t="s">
        <v>14</v>
      </c>
      <c r="D1610" s="33" t="s">
        <v>79</v>
      </c>
      <c r="E1610" s="42" t="s">
        <v>33150</v>
      </c>
      <c r="F1610" s="67">
        <v>43296</v>
      </c>
      <c r="G1610" s="33" t="s">
        <v>33151</v>
      </c>
      <c r="H1610" s="33" t="s">
        <v>401</v>
      </c>
      <c r="I1610" s="33" t="s">
        <v>402</v>
      </c>
      <c r="J1610" s="33">
        <v>64128</v>
      </c>
      <c r="K1610" s="33" t="s">
        <v>404</v>
      </c>
      <c r="L1610" s="33" t="s">
        <v>405</v>
      </c>
      <c r="M1610" s="33" t="s">
        <v>21</v>
      </c>
      <c r="N1610" s="33" t="s">
        <v>33152</v>
      </c>
      <c r="O1610" s="33" t="s">
        <v>372</v>
      </c>
      <c r="P1610" s="33" t="s">
        <v>30089</v>
      </c>
      <c r="Q1610" s="42" t="s">
        <v>33153</v>
      </c>
      <c r="R1610" s="33" t="s">
        <v>94</v>
      </c>
      <c r="S1610" s="33" t="s">
        <v>22</v>
      </c>
      <c r="T1610" s="33" t="s">
        <v>26781</v>
      </c>
      <c r="U1610" s="33" t="s">
        <v>26572</v>
      </c>
      <c r="V1610" s="33" t="s">
        <v>26573</v>
      </c>
      <c r="W1610" s="33" t="s">
        <v>94</v>
      </c>
      <c r="X1610" s="33">
        <v>3859</v>
      </c>
      <c r="Z1610" s="33" t="s">
        <v>42966</v>
      </c>
      <c r="AA1610" s="33">
        <v>6056</v>
      </c>
    </row>
    <row r="1611" spans="1:27" ht="12" customHeight="1" x14ac:dyDescent="0.15">
      <c r="A1611" s="33" t="s">
        <v>33970</v>
      </c>
      <c r="B1611" s="33">
        <v>23</v>
      </c>
      <c r="C1611" s="33" t="s">
        <v>14</v>
      </c>
      <c r="D1611" s="33" t="s">
        <v>42</v>
      </c>
      <c r="E1611" s="42"/>
      <c r="F1611" s="67">
        <v>43296</v>
      </c>
      <c r="G1611" s="33" t="s">
        <v>33154</v>
      </c>
      <c r="H1611" s="33" t="s">
        <v>866</v>
      </c>
      <c r="I1611" s="33" t="s">
        <v>178</v>
      </c>
      <c r="J1611" s="33">
        <v>87102</v>
      </c>
      <c r="K1611" s="33" t="s">
        <v>433</v>
      </c>
      <c r="L1611" s="33" t="s">
        <v>2847</v>
      </c>
      <c r="M1611" s="33" t="s">
        <v>21</v>
      </c>
      <c r="N1611" s="33" t="s">
        <v>33155</v>
      </c>
      <c r="O1611" s="33" t="s">
        <v>372</v>
      </c>
      <c r="P1611" s="33" t="s">
        <v>30089</v>
      </c>
      <c r="Q1611" s="42" t="s">
        <v>33156</v>
      </c>
      <c r="R1611" s="33" t="s">
        <v>94</v>
      </c>
      <c r="S1611" s="33" t="s">
        <v>22</v>
      </c>
      <c r="T1611" s="33" t="s">
        <v>26781</v>
      </c>
      <c r="U1611" s="33" t="s">
        <v>26572</v>
      </c>
      <c r="V1611" s="33" t="s">
        <v>26573</v>
      </c>
      <c r="W1611" s="33" t="s">
        <v>94</v>
      </c>
      <c r="X1611" s="33">
        <v>3941</v>
      </c>
      <c r="Z1611" s="33" t="s">
        <v>42966</v>
      </c>
      <c r="AA1611" s="33">
        <v>6057</v>
      </c>
    </row>
    <row r="1612" spans="1:27" ht="12" customHeight="1" x14ac:dyDescent="0.15">
      <c r="A1612" s="34" t="s">
        <v>34902</v>
      </c>
      <c r="B1612" s="34">
        <v>34</v>
      </c>
      <c r="C1612" s="34" t="s">
        <v>14</v>
      </c>
      <c r="D1612" s="34" t="s">
        <v>31</v>
      </c>
      <c r="E1612" s="35" t="s">
        <v>34903</v>
      </c>
      <c r="F1612" s="67">
        <v>43295</v>
      </c>
      <c r="G1612" s="34" t="s">
        <v>34904</v>
      </c>
      <c r="H1612" s="34" t="s">
        <v>34905</v>
      </c>
      <c r="I1612" s="34" t="s">
        <v>67</v>
      </c>
      <c r="J1612" s="34">
        <v>77511</v>
      </c>
      <c r="K1612" s="34" t="s">
        <v>4537</v>
      </c>
      <c r="L1612" s="34" t="s">
        <v>34906</v>
      </c>
      <c r="M1612" s="34" t="s">
        <v>21</v>
      </c>
      <c r="N1612" s="34" t="s">
        <v>36449</v>
      </c>
      <c r="O1612" s="34" t="s">
        <v>372</v>
      </c>
      <c r="P1612" s="34" t="s">
        <v>30089</v>
      </c>
      <c r="Q1612" s="35" t="s">
        <v>34907</v>
      </c>
      <c r="R1612" s="36" t="s">
        <v>512</v>
      </c>
      <c r="S1612" s="34" t="s">
        <v>22</v>
      </c>
      <c r="T1612" s="36" t="s">
        <v>26781</v>
      </c>
      <c r="U1612" s="36" t="s">
        <v>26572</v>
      </c>
      <c r="V1612" s="36" t="s">
        <v>26573</v>
      </c>
      <c r="W1612" s="36" t="s">
        <v>94</v>
      </c>
      <c r="X1612" s="36">
        <v>3860</v>
      </c>
      <c r="Z1612" s="33" t="s">
        <v>42968</v>
      </c>
      <c r="AA1612" s="33">
        <v>6053</v>
      </c>
    </row>
    <row r="1613" spans="1:27" ht="12" customHeight="1" x14ac:dyDescent="0.15">
      <c r="A1613" s="33" t="s">
        <v>33166</v>
      </c>
      <c r="B1613" s="33">
        <v>68</v>
      </c>
      <c r="C1613" s="33" t="s">
        <v>14</v>
      </c>
      <c r="D1613" s="33" t="s">
        <v>79</v>
      </c>
      <c r="E1613" s="42"/>
      <c r="F1613" s="67">
        <v>43295</v>
      </c>
      <c r="G1613" s="33" t="s">
        <v>33167</v>
      </c>
      <c r="H1613" s="33" t="s">
        <v>3040</v>
      </c>
      <c r="I1613" s="33" t="s">
        <v>26</v>
      </c>
      <c r="J1613" s="33">
        <v>29501</v>
      </c>
      <c r="K1613" s="33" t="s">
        <v>3040</v>
      </c>
      <c r="L1613" s="33" t="s">
        <v>7569</v>
      </c>
      <c r="M1613" s="33" t="s">
        <v>21</v>
      </c>
      <c r="N1613" s="33" t="s">
        <v>33168</v>
      </c>
      <c r="O1613" s="33" t="s">
        <v>372</v>
      </c>
      <c r="P1613" s="33" t="s">
        <v>30089</v>
      </c>
      <c r="Q1613" s="42" t="s">
        <v>33169</v>
      </c>
      <c r="R1613" s="33" t="s">
        <v>94</v>
      </c>
      <c r="S1613" s="33" t="s">
        <v>22</v>
      </c>
      <c r="T1613" s="33" t="s">
        <v>26781</v>
      </c>
      <c r="U1613" s="33" t="s">
        <v>26572</v>
      </c>
      <c r="V1613" s="33" t="s">
        <v>26573</v>
      </c>
      <c r="W1613" s="33" t="s">
        <v>94</v>
      </c>
      <c r="X1613" s="33">
        <v>3858</v>
      </c>
      <c r="Z1613" s="33" t="s">
        <v>42968</v>
      </c>
      <c r="AA1613" s="33">
        <v>6052</v>
      </c>
    </row>
    <row r="1614" spans="1:27" ht="12" customHeight="1" x14ac:dyDescent="0.15">
      <c r="A1614" s="33" t="s">
        <v>33157</v>
      </c>
      <c r="B1614" s="33">
        <v>37</v>
      </c>
      <c r="C1614" s="33" t="s">
        <v>14</v>
      </c>
      <c r="D1614" s="33" t="s">
        <v>79</v>
      </c>
      <c r="E1614" s="42"/>
      <c r="F1614" s="67">
        <v>43295</v>
      </c>
      <c r="G1614" s="33" t="s">
        <v>33158</v>
      </c>
      <c r="H1614" s="33" t="s">
        <v>81</v>
      </c>
      <c r="I1614" s="33" t="s">
        <v>38</v>
      </c>
      <c r="J1614" s="33">
        <v>60649</v>
      </c>
      <c r="K1614" s="33" t="s">
        <v>82</v>
      </c>
      <c r="L1614" s="33" t="s">
        <v>83</v>
      </c>
      <c r="M1614" s="33" t="s">
        <v>21</v>
      </c>
      <c r="N1614" s="33" t="s">
        <v>33159</v>
      </c>
      <c r="O1614" s="33" t="s">
        <v>372</v>
      </c>
      <c r="P1614" s="33" t="s">
        <v>30089</v>
      </c>
      <c r="Q1614" s="42" t="s">
        <v>33160</v>
      </c>
      <c r="R1614" s="33" t="s">
        <v>94</v>
      </c>
      <c r="S1614" s="33" t="s">
        <v>22</v>
      </c>
      <c r="T1614" s="33" t="s">
        <v>26781</v>
      </c>
      <c r="U1614" s="33" t="s">
        <v>26570</v>
      </c>
      <c r="V1614" s="33" t="s">
        <v>26574</v>
      </c>
      <c r="W1614" s="33" t="s">
        <v>512</v>
      </c>
      <c r="X1614" s="33">
        <v>3857</v>
      </c>
      <c r="Z1614" s="33" t="s">
        <v>42966</v>
      </c>
      <c r="AA1614" s="33">
        <v>6051</v>
      </c>
    </row>
    <row r="1615" spans="1:27" ht="12" customHeight="1" x14ac:dyDescent="0.15">
      <c r="A1615" s="33" t="s">
        <v>33971</v>
      </c>
      <c r="B1615" s="33">
        <v>25</v>
      </c>
      <c r="C1615" s="33" t="s">
        <v>14</v>
      </c>
      <c r="D1615" s="33" t="s">
        <v>42</v>
      </c>
      <c r="E1615" s="42"/>
      <c r="F1615" s="67">
        <v>43295</v>
      </c>
      <c r="G1615" s="33" t="s">
        <v>33170</v>
      </c>
      <c r="H1615" s="33" t="s">
        <v>4506</v>
      </c>
      <c r="I1615" s="33" t="s">
        <v>39</v>
      </c>
      <c r="J1615" s="33">
        <v>92316</v>
      </c>
      <c r="K1615" s="33" t="s">
        <v>288</v>
      </c>
      <c r="L1615" s="33" t="s">
        <v>100</v>
      </c>
      <c r="M1615" s="33" t="s">
        <v>21</v>
      </c>
      <c r="N1615" s="33" t="s">
        <v>33171</v>
      </c>
      <c r="O1615" s="33" t="s">
        <v>372</v>
      </c>
      <c r="P1615" s="33" t="s">
        <v>30089</v>
      </c>
      <c r="Q1615" s="42" t="s">
        <v>33172</v>
      </c>
      <c r="R1615" s="33" t="s">
        <v>94</v>
      </c>
      <c r="S1615" s="33" t="s">
        <v>22</v>
      </c>
      <c r="T1615" s="33" t="s">
        <v>26781</v>
      </c>
      <c r="Z1615" s="33" t="s">
        <v>42968</v>
      </c>
      <c r="AA1615" s="33">
        <v>6054</v>
      </c>
    </row>
    <row r="1616" spans="1:27" ht="12" customHeight="1" x14ac:dyDescent="0.15">
      <c r="A1616" s="33" t="s">
        <v>33161</v>
      </c>
      <c r="B1616" s="33">
        <v>37</v>
      </c>
      <c r="C1616" s="33" t="s">
        <v>14</v>
      </c>
      <c r="D1616" s="33" t="s">
        <v>79</v>
      </c>
      <c r="E1616" s="42" t="s">
        <v>33162</v>
      </c>
      <c r="F1616" s="67">
        <v>43295</v>
      </c>
      <c r="G1616" s="33" t="s">
        <v>33163</v>
      </c>
      <c r="H1616" s="33" t="s">
        <v>2905</v>
      </c>
      <c r="I1616" s="33" t="s">
        <v>75</v>
      </c>
      <c r="J1616" s="33">
        <v>8360</v>
      </c>
      <c r="K1616" s="33" t="s">
        <v>2907</v>
      </c>
      <c r="L1616" s="33" t="s">
        <v>2908</v>
      </c>
      <c r="M1616" s="33" t="s">
        <v>21</v>
      </c>
      <c r="N1616" s="33" t="s">
        <v>33164</v>
      </c>
      <c r="O1616" s="33" t="s">
        <v>372</v>
      </c>
      <c r="P1616" s="33" t="s">
        <v>30089</v>
      </c>
      <c r="Q1616" s="42" t="s">
        <v>33165</v>
      </c>
      <c r="R1616" s="33" t="s">
        <v>94</v>
      </c>
      <c r="S1616" s="33" t="s">
        <v>12</v>
      </c>
      <c r="T1616" s="33" t="s">
        <v>29705</v>
      </c>
      <c r="U1616" s="33" t="s">
        <v>26575</v>
      </c>
      <c r="W1616" s="33" t="s">
        <v>94</v>
      </c>
      <c r="X1616" s="33">
        <v>3865</v>
      </c>
      <c r="Z1616" s="33" t="s">
        <v>42968</v>
      </c>
      <c r="AA1616" s="33">
        <v>6055</v>
      </c>
    </row>
    <row r="1617" spans="1:27" ht="12" customHeight="1" x14ac:dyDescent="0.15">
      <c r="A1617" s="33" t="s">
        <v>33183</v>
      </c>
      <c r="B1617" s="33">
        <v>25</v>
      </c>
      <c r="C1617" s="33" t="s">
        <v>14</v>
      </c>
      <c r="D1617" s="33" t="s">
        <v>42</v>
      </c>
      <c r="E1617" s="42" t="s">
        <v>33185</v>
      </c>
      <c r="F1617" s="67">
        <v>43294</v>
      </c>
      <c r="G1617" s="33" t="s">
        <v>33186</v>
      </c>
      <c r="H1617" s="33" t="s">
        <v>33184</v>
      </c>
      <c r="I1617" s="33" t="s">
        <v>67</v>
      </c>
      <c r="J1617" s="33">
        <v>78017</v>
      </c>
      <c r="K1617" s="33" t="s">
        <v>33187</v>
      </c>
      <c r="L1617" s="33" t="s">
        <v>33188</v>
      </c>
      <c r="M1617" s="33" t="s">
        <v>21</v>
      </c>
      <c r="N1617" s="33" t="s">
        <v>33189</v>
      </c>
      <c r="O1617" s="33" t="s">
        <v>372</v>
      </c>
      <c r="P1617" s="33" t="s">
        <v>30089</v>
      </c>
      <c r="Q1617" s="42" t="s">
        <v>33190</v>
      </c>
      <c r="R1617" s="33" t="s">
        <v>94</v>
      </c>
      <c r="S1617" s="33" t="s">
        <v>22</v>
      </c>
      <c r="T1617" s="33" t="s">
        <v>26781</v>
      </c>
      <c r="U1617" s="33" t="s">
        <v>26572</v>
      </c>
      <c r="V1617" s="33" t="s">
        <v>26573</v>
      </c>
      <c r="W1617" s="33" t="s">
        <v>512</v>
      </c>
      <c r="X1617" s="33">
        <v>3862</v>
      </c>
      <c r="Z1617" s="33" t="s">
        <v>42967</v>
      </c>
      <c r="AA1617" s="33">
        <v>6047</v>
      </c>
    </row>
    <row r="1618" spans="1:27" ht="12" customHeight="1" x14ac:dyDescent="0.15">
      <c r="A1618" s="33" t="s">
        <v>33177</v>
      </c>
      <c r="B1618" s="33">
        <v>17</v>
      </c>
      <c r="C1618" s="33" t="s">
        <v>14</v>
      </c>
      <c r="D1618" s="33" t="s">
        <v>31</v>
      </c>
      <c r="E1618" s="42" t="s">
        <v>33179</v>
      </c>
      <c r="F1618" s="67">
        <v>43294</v>
      </c>
      <c r="G1618" s="33" t="s">
        <v>33180</v>
      </c>
      <c r="H1618" s="33" t="s">
        <v>33178</v>
      </c>
      <c r="I1618" s="33" t="s">
        <v>122</v>
      </c>
      <c r="J1618" s="33">
        <v>55331</v>
      </c>
      <c r="K1618" s="33" t="s">
        <v>1009</v>
      </c>
      <c r="L1618" s="33" t="s">
        <v>36450</v>
      </c>
      <c r="M1618" s="33" t="s">
        <v>4966</v>
      </c>
      <c r="N1618" s="33" t="s">
        <v>33181</v>
      </c>
      <c r="O1618" s="33" t="s">
        <v>372</v>
      </c>
      <c r="P1618" s="33" t="s">
        <v>30089</v>
      </c>
      <c r="Q1618" s="42" t="s">
        <v>33182</v>
      </c>
      <c r="R1618" s="33" t="s">
        <v>512</v>
      </c>
      <c r="S1618" s="33" t="s">
        <v>22</v>
      </c>
      <c r="T1618" s="33" t="s">
        <v>26774</v>
      </c>
      <c r="U1618" s="33" t="s">
        <v>26572</v>
      </c>
      <c r="V1618" s="33" t="s">
        <v>26573</v>
      </c>
      <c r="W1618" s="33" t="s">
        <v>94</v>
      </c>
      <c r="X1618" s="33">
        <v>3861</v>
      </c>
      <c r="Z1618" s="33" t="s">
        <v>42968</v>
      </c>
      <c r="AA1618" s="33">
        <v>6050</v>
      </c>
    </row>
    <row r="1619" spans="1:27" ht="12" customHeight="1" x14ac:dyDescent="0.15">
      <c r="A1619" s="33" t="s">
        <v>33173</v>
      </c>
      <c r="B1619" s="33">
        <v>17</v>
      </c>
      <c r="C1619" s="33" t="s">
        <v>14</v>
      </c>
      <c r="D1619" s="33" t="s">
        <v>42</v>
      </c>
      <c r="E1619" s="42"/>
      <c r="F1619" s="67">
        <v>43294</v>
      </c>
      <c r="G1619" s="33" t="s">
        <v>33174</v>
      </c>
      <c r="H1619" s="33" t="s">
        <v>266</v>
      </c>
      <c r="I1619" s="33" t="s">
        <v>67</v>
      </c>
      <c r="J1619" s="33">
        <v>75227</v>
      </c>
      <c r="K1619" s="33" t="s">
        <v>266</v>
      </c>
      <c r="L1619" s="33" t="s">
        <v>267</v>
      </c>
      <c r="M1619" s="33" t="s">
        <v>21</v>
      </c>
      <c r="N1619" s="33" t="s">
        <v>33175</v>
      </c>
      <c r="O1619" s="33" t="s">
        <v>372</v>
      </c>
      <c r="P1619" s="33" t="s">
        <v>30089</v>
      </c>
      <c r="Q1619" s="42" t="s">
        <v>33176</v>
      </c>
      <c r="R1619" s="33" t="s">
        <v>94</v>
      </c>
      <c r="S1619" s="33" t="s">
        <v>22</v>
      </c>
      <c r="T1619" s="33" t="s">
        <v>26781</v>
      </c>
      <c r="Z1619" s="33" t="s">
        <v>42968</v>
      </c>
      <c r="AA1619" s="33">
        <v>6048</v>
      </c>
    </row>
    <row r="1620" spans="1:27" ht="12" customHeight="1" x14ac:dyDescent="0.15">
      <c r="A1620" s="33" t="s">
        <v>33191</v>
      </c>
      <c r="B1620" s="33">
        <v>60</v>
      </c>
      <c r="C1620" s="33" t="s">
        <v>14</v>
      </c>
      <c r="D1620" s="33" t="s">
        <v>31</v>
      </c>
      <c r="E1620" s="42"/>
      <c r="F1620" s="67">
        <v>43294</v>
      </c>
      <c r="G1620" s="33" t="s">
        <v>33192</v>
      </c>
      <c r="H1620" s="33" t="s">
        <v>23920</v>
      </c>
      <c r="I1620" s="33" t="s">
        <v>56</v>
      </c>
      <c r="J1620" s="33">
        <v>33579</v>
      </c>
      <c r="K1620" s="33" t="s">
        <v>590</v>
      </c>
      <c r="L1620" s="33" t="s">
        <v>591</v>
      </c>
      <c r="M1620" s="33" t="s">
        <v>21</v>
      </c>
      <c r="N1620" s="33" t="s">
        <v>33193</v>
      </c>
      <c r="O1620" s="33" t="s">
        <v>372</v>
      </c>
      <c r="P1620" s="33" t="s">
        <v>30089</v>
      </c>
      <c r="Q1620" s="42" t="s">
        <v>33194</v>
      </c>
      <c r="R1620" s="33" t="s">
        <v>94</v>
      </c>
      <c r="S1620" s="33" t="s">
        <v>22</v>
      </c>
      <c r="T1620" s="33" t="s">
        <v>26781</v>
      </c>
      <c r="Z1620" s="33" t="s">
        <v>42968</v>
      </c>
      <c r="AA1620" s="33">
        <v>6049</v>
      </c>
    </row>
    <row r="1621" spans="1:27" ht="12" customHeight="1" x14ac:dyDescent="0.15">
      <c r="A1621" s="33" t="s">
        <v>33195</v>
      </c>
      <c r="B1621" s="33">
        <v>40</v>
      </c>
      <c r="C1621" s="33" t="s">
        <v>14</v>
      </c>
      <c r="D1621" s="33" t="s">
        <v>31</v>
      </c>
      <c r="E1621" s="42" t="s">
        <v>33197</v>
      </c>
      <c r="F1621" s="67">
        <v>43293</v>
      </c>
      <c r="G1621" s="33" t="s">
        <v>33198</v>
      </c>
      <c r="H1621" s="33" t="s">
        <v>33196</v>
      </c>
      <c r="I1621" s="33" t="s">
        <v>106</v>
      </c>
      <c r="J1621" s="33">
        <v>97424</v>
      </c>
      <c r="K1621" s="33" t="s">
        <v>2946</v>
      </c>
      <c r="L1621" s="33" t="s">
        <v>17398</v>
      </c>
      <c r="M1621" s="33" t="s">
        <v>21</v>
      </c>
      <c r="N1621" s="33" t="s">
        <v>33199</v>
      </c>
      <c r="O1621" s="33" t="s">
        <v>372</v>
      </c>
      <c r="P1621" s="33" t="s">
        <v>30089</v>
      </c>
      <c r="Q1621" s="42" t="s">
        <v>33200</v>
      </c>
      <c r="R1621" s="33" t="s">
        <v>94</v>
      </c>
      <c r="S1621" s="33" t="s">
        <v>22</v>
      </c>
      <c r="T1621" s="33" t="s">
        <v>26781</v>
      </c>
      <c r="Z1621" s="33" t="s">
        <v>42967</v>
      </c>
      <c r="AA1621" s="33">
        <v>6046</v>
      </c>
    </row>
    <row r="1622" spans="1:27" ht="12" customHeight="1" x14ac:dyDescent="0.15">
      <c r="A1622" s="33" t="s">
        <v>3002</v>
      </c>
      <c r="B1622" s="33" t="s">
        <v>23</v>
      </c>
      <c r="C1622" s="33" t="s">
        <v>103</v>
      </c>
      <c r="D1622" s="33" t="s">
        <v>24</v>
      </c>
      <c r="E1622" s="42"/>
      <c r="F1622" s="67">
        <v>43292</v>
      </c>
      <c r="G1622" s="33" t="s">
        <v>33212</v>
      </c>
      <c r="H1622" s="33" t="s">
        <v>33211</v>
      </c>
      <c r="I1622" s="33" t="s">
        <v>67</v>
      </c>
      <c r="J1622" s="33">
        <v>77318</v>
      </c>
      <c r="K1622" s="33" t="s">
        <v>995</v>
      </c>
      <c r="L1622" s="33" t="s">
        <v>18546</v>
      </c>
      <c r="M1622" s="33" t="s">
        <v>21</v>
      </c>
      <c r="N1622" s="33" t="s">
        <v>33213</v>
      </c>
      <c r="O1622" s="33" t="s">
        <v>372</v>
      </c>
      <c r="P1622" s="33" t="s">
        <v>30089</v>
      </c>
      <c r="Q1622" s="42" t="s">
        <v>33214</v>
      </c>
      <c r="R1622" s="33" t="s">
        <v>512</v>
      </c>
      <c r="S1622" s="33" t="s">
        <v>22</v>
      </c>
      <c r="T1622" s="33" t="s">
        <v>26774</v>
      </c>
      <c r="U1622" s="33" t="s">
        <v>26570</v>
      </c>
      <c r="V1622" s="33" t="s">
        <v>26573</v>
      </c>
      <c r="W1622" s="33" t="s">
        <v>94</v>
      </c>
      <c r="X1622" s="33">
        <v>3852</v>
      </c>
      <c r="Z1622" s="33" t="s">
        <v>42968</v>
      </c>
      <c r="AA1622" s="33">
        <v>6044</v>
      </c>
    </row>
    <row r="1623" spans="1:27" ht="12" customHeight="1" x14ac:dyDescent="0.15">
      <c r="A1623" s="33" t="s">
        <v>33206</v>
      </c>
      <c r="B1623" s="33">
        <v>34</v>
      </c>
      <c r="C1623" s="33" t="s">
        <v>14</v>
      </c>
      <c r="D1623" s="33" t="s">
        <v>42</v>
      </c>
      <c r="E1623" s="42" t="s">
        <v>33207</v>
      </c>
      <c r="F1623" s="67">
        <v>43292</v>
      </c>
      <c r="G1623" s="33" t="s">
        <v>33208</v>
      </c>
      <c r="H1623" s="33" t="s">
        <v>13005</v>
      </c>
      <c r="I1623" s="33" t="s">
        <v>39</v>
      </c>
      <c r="J1623" s="33">
        <v>93635</v>
      </c>
      <c r="K1623" s="33" t="s">
        <v>1332</v>
      </c>
      <c r="L1623" s="33" t="s">
        <v>13007</v>
      </c>
      <c r="M1623" s="33" t="s">
        <v>21</v>
      </c>
      <c r="N1623" s="33" t="s">
        <v>33209</v>
      </c>
      <c r="O1623" s="33" t="s">
        <v>372</v>
      </c>
      <c r="P1623" s="33" t="s">
        <v>30089</v>
      </c>
      <c r="Q1623" s="42" t="s">
        <v>33210</v>
      </c>
      <c r="R1623" s="33" t="s">
        <v>94</v>
      </c>
      <c r="S1623" s="33" t="s">
        <v>12</v>
      </c>
      <c r="T1623" s="33" t="s">
        <v>29425</v>
      </c>
      <c r="U1623" s="33" t="s">
        <v>26570</v>
      </c>
      <c r="V1623" s="33" t="s">
        <v>26573</v>
      </c>
      <c r="W1623" s="33" t="s">
        <v>94</v>
      </c>
      <c r="X1623" s="33">
        <v>3853</v>
      </c>
      <c r="Z1623" s="33" t="s">
        <v>42968</v>
      </c>
      <c r="AA1623" s="33">
        <v>6045</v>
      </c>
    </row>
    <row r="1624" spans="1:27" ht="12" customHeight="1" x14ac:dyDescent="0.15">
      <c r="A1624" s="33" t="s">
        <v>33201</v>
      </c>
      <c r="B1624" s="33">
        <v>22</v>
      </c>
      <c r="C1624" s="33" t="s">
        <v>14</v>
      </c>
      <c r="D1624" s="33" t="s">
        <v>42</v>
      </c>
      <c r="E1624" s="42" t="s">
        <v>33202</v>
      </c>
      <c r="F1624" s="67">
        <v>43292</v>
      </c>
      <c r="G1624" s="33" t="s">
        <v>33203</v>
      </c>
      <c r="H1624" s="33" t="s">
        <v>607</v>
      </c>
      <c r="I1624" s="33" t="s">
        <v>250</v>
      </c>
      <c r="J1624" s="33">
        <v>89101</v>
      </c>
      <c r="K1624" s="33" t="s">
        <v>527</v>
      </c>
      <c r="L1624" s="33" t="s">
        <v>528</v>
      </c>
      <c r="M1624" s="33" t="s">
        <v>21</v>
      </c>
      <c r="N1624" s="33" t="s">
        <v>33204</v>
      </c>
      <c r="O1624" s="33" t="s">
        <v>372</v>
      </c>
      <c r="P1624" s="33" t="s">
        <v>30089</v>
      </c>
      <c r="Q1624" s="42" t="s">
        <v>33205</v>
      </c>
      <c r="R1624" s="33" t="s">
        <v>94</v>
      </c>
      <c r="S1624" s="33" t="s">
        <v>22</v>
      </c>
      <c r="T1624" s="33" t="s">
        <v>26781</v>
      </c>
      <c r="U1624" s="33" t="s">
        <v>26572</v>
      </c>
      <c r="V1624" s="33" t="s">
        <v>26571</v>
      </c>
      <c r="W1624" s="33" t="s">
        <v>94</v>
      </c>
      <c r="X1624" s="33">
        <v>3854</v>
      </c>
      <c r="Z1624" s="33" t="s">
        <v>42966</v>
      </c>
      <c r="AA1624" s="33">
        <v>6043</v>
      </c>
    </row>
    <row r="1625" spans="1:27" ht="12" customHeight="1" x14ac:dyDescent="0.15">
      <c r="A1625" s="33" t="s">
        <v>33218</v>
      </c>
      <c r="B1625" s="33">
        <v>40</v>
      </c>
      <c r="C1625" s="33" t="s">
        <v>14</v>
      </c>
      <c r="D1625" s="33" t="s">
        <v>31</v>
      </c>
      <c r="E1625" s="42"/>
      <c r="F1625" s="67">
        <v>43291</v>
      </c>
      <c r="G1625" s="33" t="s">
        <v>33219</v>
      </c>
      <c r="H1625" s="33" t="s">
        <v>2330</v>
      </c>
      <c r="I1625" s="33" t="s">
        <v>67</v>
      </c>
      <c r="J1625" s="33">
        <v>75043</v>
      </c>
      <c r="K1625" s="33" t="s">
        <v>266</v>
      </c>
      <c r="L1625" s="33" t="s">
        <v>2331</v>
      </c>
      <c r="M1625" s="33" t="s">
        <v>21</v>
      </c>
      <c r="N1625" s="33" t="s">
        <v>33220</v>
      </c>
      <c r="O1625" s="33" t="s">
        <v>372</v>
      </c>
      <c r="P1625" s="33" t="s">
        <v>30089</v>
      </c>
      <c r="Q1625" s="42" t="s">
        <v>33221</v>
      </c>
      <c r="R1625" s="33" t="s">
        <v>512</v>
      </c>
      <c r="S1625" s="33" t="s">
        <v>22</v>
      </c>
      <c r="T1625" s="33" t="s">
        <v>26774</v>
      </c>
      <c r="U1625" s="33" t="s">
        <v>26572</v>
      </c>
      <c r="V1625" s="33" t="s">
        <v>26573</v>
      </c>
      <c r="W1625" s="33" t="s">
        <v>94</v>
      </c>
      <c r="X1625" s="33">
        <v>3855</v>
      </c>
      <c r="Z1625" s="33" t="s">
        <v>42968</v>
      </c>
      <c r="AA1625" s="33">
        <v>6041</v>
      </c>
    </row>
    <row r="1626" spans="1:27" ht="12" customHeight="1" x14ac:dyDescent="0.15">
      <c r="A1626" s="33" t="s">
        <v>36991</v>
      </c>
      <c r="B1626" s="33">
        <v>21</v>
      </c>
      <c r="C1626" s="33" t="s">
        <v>14</v>
      </c>
      <c r="D1626" s="33" t="s">
        <v>31</v>
      </c>
      <c r="E1626" s="42" t="s">
        <v>33215</v>
      </c>
      <c r="F1626" s="67">
        <v>43291</v>
      </c>
      <c r="G1626" s="33" t="s">
        <v>33216</v>
      </c>
      <c r="H1626" s="33" t="s">
        <v>1233</v>
      </c>
      <c r="I1626" s="33" t="s">
        <v>1020</v>
      </c>
      <c r="J1626" s="33">
        <v>82604</v>
      </c>
      <c r="K1626" s="33" t="s">
        <v>1234</v>
      </c>
      <c r="L1626" s="33" t="s">
        <v>1235</v>
      </c>
      <c r="M1626" s="33" t="s">
        <v>21</v>
      </c>
      <c r="N1626" s="33" t="s">
        <v>36451</v>
      </c>
      <c r="O1626" s="33" t="s">
        <v>372</v>
      </c>
      <c r="P1626" s="33" t="s">
        <v>30089</v>
      </c>
      <c r="Q1626" s="42" t="s">
        <v>33217</v>
      </c>
      <c r="R1626" s="33" t="s">
        <v>94</v>
      </c>
      <c r="S1626" s="33" t="s">
        <v>29</v>
      </c>
      <c r="T1626" s="33" t="s">
        <v>26575</v>
      </c>
      <c r="X1626" s="33">
        <v>3976</v>
      </c>
      <c r="Y1626" s="33" t="s">
        <v>42476</v>
      </c>
      <c r="Z1626" s="33" t="s">
        <v>42968</v>
      </c>
      <c r="AA1626" s="33">
        <v>6042</v>
      </c>
    </row>
    <row r="1627" spans="1:27" ht="12" customHeight="1" x14ac:dyDescent="0.15">
      <c r="A1627" s="33" t="s">
        <v>33222</v>
      </c>
      <c r="B1627" s="33">
        <v>53</v>
      </c>
      <c r="C1627" s="33" t="s">
        <v>14</v>
      </c>
      <c r="D1627" s="33" t="s">
        <v>31</v>
      </c>
      <c r="E1627" s="42" t="s">
        <v>33223</v>
      </c>
      <c r="F1627" s="67">
        <v>43291</v>
      </c>
      <c r="G1627" s="33" t="s">
        <v>33224</v>
      </c>
      <c r="H1627" s="33" t="s">
        <v>5902</v>
      </c>
      <c r="I1627" s="33" t="s">
        <v>56</v>
      </c>
      <c r="J1627" s="33">
        <v>33013</v>
      </c>
      <c r="K1627" s="33" t="s">
        <v>148</v>
      </c>
      <c r="L1627" s="33" t="s">
        <v>149</v>
      </c>
      <c r="M1627" s="33" t="s">
        <v>21</v>
      </c>
      <c r="N1627" s="33" t="s">
        <v>33225</v>
      </c>
      <c r="O1627" s="33" t="s">
        <v>372</v>
      </c>
      <c r="P1627" s="33" t="s">
        <v>30089</v>
      </c>
      <c r="Q1627" s="42" t="s">
        <v>33226</v>
      </c>
      <c r="R1627" s="33" t="s">
        <v>94</v>
      </c>
      <c r="S1627" s="33" t="s">
        <v>22</v>
      </c>
      <c r="T1627" s="33" t="s">
        <v>26781</v>
      </c>
      <c r="U1627" s="33" t="s">
        <v>26572</v>
      </c>
      <c r="V1627" s="33" t="s">
        <v>26571</v>
      </c>
      <c r="W1627" s="33" t="s">
        <v>94</v>
      </c>
      <c r="X1627" s="33">
        <v>3856</v>
      </c>
      <c r="Z1627" s="33" t="s">
        <v>42966</v>
      </c>
      <c r="AA1627" s="33">
        <v>6040</v>
      </c>
    </row>
    <row r="1628" spans="1:27" ht="12" customHeight="1" x14ac:dyDescent="0.15">
      <c r="A1628" s="33" t="s">
        <v>33231</v>
      </c>
      <c r="B1628" s="33">
        <v>41</v>
      </c>
      <c r="C1628" s="33" t="s">
        <v>14</v>
      </c>
      <c r="D1628" s="33" t="s">
        <v>31</v>
      </c>
      <c r="E1628" s="42"/>
      <c r="F1628" s="67">
        <v>43289</v>
      </c>
      <c r="G1628" s="33" t="s">
        <v>33232</v>
      </c>
      <c r="H1628" s="33" t="s">
        <v>13776</v>
      </c>
      <c r="I1628" s="33" t="s">
        <v>1605</v>
      </c>
      <c r="J1628" s="33">
        <v>58201</v>
      </c>
      <c r="K1628" s="33" t="s">
        <v>13776</v>
      </c>
      <c r="L1628" s="33" t="s">
        <v>33233</v>
      </c>
      <c r="M1628" s="33" t="s">
        <v>21</v>
      </c>
      <c r="N1628" s="33" t="s">
        <v>33234</v>
      </c>
      <c r="O1628" s="33" t="s">
        <v>372</v>
      </c>
      <c r="P1628" s="33" t="s">
        <v>30089</v>
      </c>
      <c r="Q1628" s="42" t="s">
        <v>33235</v>
      </c>
      <c r="R1628" s="33" t="s">
        <v>512</v>
      </c>
      <c r="S1628" s="33" t="s">
        <v>22</v>
      </c>
      <c r="T1628" s="33" t="s">
        <v>26781</v>
      </c>
      <c r="U1628" s="33" t="s">
        <v>26570</v>
      </c>
      <c r="V1628" s="33" t="s">
        <v>26573</v>
      </c>
      <c r="W1628" s="33" t="s">
        <v>94</v>
      </c>
      <c r="X1628" s="33">
        <v>3833</v>
      </c>
      <c r="Z1628" s="33" t="s">
        <v>42966</v>
      </c>
      <c r="AA1628" s="33">
        <v>6039</v>
      </c>
    </row>
    <row r="1629" spans="1:27" ht="12" customHeight="1" x14ac:dyDescent="0.15">
      <c r="A1629" s="33" t="s">
        <v>33227</v>
      </c>
      <c r="B1629" s="33">
        <v>34</v>
      </c>
      <c r="C1629" s="33" t="s">
        <v>14</v>
      </c>
      <c r="D1629" s="33" t="s">
        <v>31</v>
      </c>
      <c r="E1629" s="42"/>
      <c r="F1629" s="67">
        <v>43289</v>
      </c>
      <c r="G1629" s="33" t="s">
        <v>33228</v>
      </c>
      <c r="H1629" s="33" t="s">
        <v>518</v>
      </c>
      <c r="I1629" s="33" t="s">
        <v>112</v>
      </c>
      <c r="J1629" s="33">
        <v>85748</v>
      </c>
      <c r="K1629" s="33" t="s">
        <v>519</v>
      </c>
      <c r="L1629" s="33" t="s">
        <v>520</v>
      </c>
      <c r="M1629" s="33" t="s">
        <v>21</v>
      </c>
      <c r="N1629" s="33" t="s">
        <v>33229</v>
      </c>
      <c r="O1629" s="33" t="s">
        <v>372</v>
      </c>
      <c r="P1629" s="33" t="s">
        <v>30089</v>
      </c>
      <c r="Q1629" s="42" t="s">
        <v>33230</v>
      </c>
      <c r="R1629" s="33" t="s">
        <v>94</v>
      </c>
      <c r="S1629" s="33" t="s">
        <v>22</v>
      </c>
      <c r="T1629" s="33" t="s">
        <v>26781</v>
      </c>
      <c r="U1629" s="33" t="s">
        <v>26570</v>
      </c>
      <c r="V1629" s="33" t="s">
        <v>26573</v>
      </c>
      <c r="W1629" s="33" t="s">
        <v>94</v>
      </c>
      <c r="X1629" s="33">
        <v>3831</v>
      </c>
      <c r="Z1629" s="33" t="s">
        <v>42968</v>
      </c>
      <c r="AA1629" s="33">
        <v>6038</v>
      </c>
    </row>
    <row r="1630" spans="1:27" ht="12" customHeight="1" x14ac:dyDescent="0.15">
      <c r="A1630" s="33" t="s">
        <v>3002</v>
      </c>
      <c r="B1630" s="33" t="s">
        <v>23</v>
      </c>
      <c r="C1630" s="33" t="s">
        <v>14</v>
      </c>
      <c r="D1630" s="33" t="s">
        <v>24</v>
      </c>
      <c r="E1630" s="42"/>
      <c r="F1630" s="67">
        <v>43289</v>
      </c>
      <c r="G1630" s="33" t="s">
        <v>33236</v>
      </c>
      <c r="H1630" s="33" t="s">
        <v>21113</v>
      </c>
      <c r="I1630" s="33" t="s">
        <v>39</v>
      </c>
      <c r="J1630" s="33">
        <v>92683</v>
      </c>
      <c r="K1630" s="33" t="s">
        <v>998</v>
      </c>
      <c r="L1630" s="33" t="s">
        <v>3385</v>
      </c>
      <c r="M1630" s="33" t="s">
        <v>21</v>
      </c>
      <c r="N1630" s="33" t="s">
        <v>33237</v>
      </c>
      <c r="O1630" s="33" t="s">
        <v>372</v>
      </c>
      <c r="P1630" s="33" t="s">
        <v>30089</v>
      </c>
      <c r="Q1630" s="42" t="s">
        <v>33238</v>
      </c>
      <c r="R1630" s="33" t="s">
        <v>94</v>
      </c>
      <c r="S1630" s="33" t="s">
        <v>22</v>
      </c>
      <c r="T1630" s="33" t="s">
        <v>26781</v>
      </c>
      <c r="U1630" s="33" t="s">
        <v>26570</v>
      </c>
      <c r="V1630" s="33" t="s">
        <v>19228</v>
      </c>
      <c r="W1630" s="33" t="s">
        <v>94</v>
      </c>
      <c r="X1630" s="33">
        <v>3829</v>
      </c>
      <c r="Z1630" s="33" t="s">
        <v>42966</v>
      </c>
      <c r="AA1630" s="33">
        <v>6037</v>
      </c>
    </row>
    <row r="1631" spans="1:27" ht="12" customHeight="1" x14ac:dyDescent="0.15">
      <c r="A1631" s="33" t="s">
        <v>33239</v>
      </c>
      <c r="B1631" s="33">
        <v>27</v>
      </c>
      <c r="C1631" s="33" t="s">
        <v>14</v>
      </c>
      <c r="D1631" s="33" t="s">
        <v>31</v>
      </c>
      <c r="E1631" s="42" t="s">
        <v>33241</v>
      </c>
      <c r="F1631" s="67">
        <v>43288</v>
      </c>
      <c r="G1631" s="33" t="s">
        <v>33242</v>
      </c>
      <c r="H1631" s="33" t="s">
        <v>33240</v>
      </c>
      <c r="I1631" s="33" t="s">
        <v>106</v>
      </c>
      <c r="J1631" s="33">
        <v>97101</v>
      </c>
      <c r="K1631" s="33" t="s">
        <v>1429</v>
      </c>
      <c r="L1631" s="33" t="s">
        <v>1430</v>
      </c>
      <c r="M1631" s="33" t="s">
        <v>21</v>
      </c>
      <c r="N1631" s="33" t="s">
        <v>33243</v>
      </c>
      <c r="O1631" s="33" t="s">
        <v>372</v>
      </c>
      <c r="P1631" s="33" t="s">
        <v>30089</v>
      </c>
      <c r="Q1631" s="42" t="s">
        <v>33244</v>
      </c>
      <c r="R1631" s="33" t="s">
        <v>94</v>
      </c>
      <c r="S1631" s="33" t="s">
        <v>29</v>
      </c>
      <c r="T1631" s="33" t="s">
        <v>26575</v>
      </c>
      <c r="U1631" s="33" t="s">
        <v>26575</v>
      </c>
      <c r="V1631" s="33" t="s">
        <v>26574</v>
      </c>
      <c r="W1631" s="33" t="s">
        <v>94</v>
      </c>
      <c r="X1631" s="33">
        <v>3830</v>
      </c>
      <c r="Z1631" s="33" t="s">
        <v>42967</v>
      </c>
      <c r="AA1631" s="33">
        <v>6035</v>
      </c>
    </row>
    <row r="1632" spans="1:27" ht="12" customHeight="1" x14ac:dyDescent="0.15">
      <c r="A1632" s="33" t="s">
        <v>33245</v>
      </c>
      <c r="B1632" s="33">
        <v>52</v>
      </c>
      <c r="C1632" s="33" t="s">
        <v>14</v>
      </c>
      <c r="D1632" s="33" t="s">
        <v>31</v>
      </c>
      <c r="E1632" s="42" t="s">
        <v>33246</v>
      </c>
      <c r="F1632" s="67">
        <v>43288</v>
      </c>
      <c r="G1632" s="33" t="s">
        <v>33247</v>
      </c>
      <c r="H1632" s="33" t="s">
        <v>603</v>
      </c>
      <c r="I1632" s="33" t="s">
        <v>56</v>
      </c>
      <c r="J1632" s="33">
        <v>32218</v>
      </c>
      <c r="K1632" s="33" t="s">
        <v>604</v>
      </c>
      <c r="L1632" s="33" t="s">
        <v>605</v>
      </c>
      <c r="M1632" s="33" t="s">
        <v>21</v>
      </c>
      <c r="N1632" s="33" t="s">
        <v>33248</v>
      </c>
      <c r="O1632" s="33" t="s">
        <v>372</v>
      </c>
      <c r="P1632" s="33" t="s">
        <v>30089</v>
      </c>
      <c r="Q1632" s="42" t="s">
        <v>33249</v>
      </c>
      <c r="R1632" s="33" t="s">
        <v>512</v>
      </c>
      <c r="S1632" s="33" t="s">
        <v>22</v>
      </c>
      <c r="T1632" s="33" t="s">
        <v>26774</v>
      </c>
      <c r="U1632" s="33" t="s">
        <v>26572</v>
      </c>
      <c r="V1632" s="33" t="s">
        <v>26573</v>
      </c>
      <c r="W1632" s="33" t="s">
        <v>94</v>
      </c>
      <c r="X1632" s="33">
        <v>3832</v>
      </c>
      <c r="Z1632" s="33" t="s">
        <v>42968</v>
      </c>
      <c r="AA1632" s="33">
        <v>6034</v>
      </c>
    </row>
    <row r="1633" spans="1:27" ht="12" customHeight="1" x14ac:dyDescent="0.15">
      <c r="A1633" s="33" t="s">
        <v>3002</v>
      </c>
      <c r="B1633" s="33" t="s">
        <v>23</v>
      </c>
      <c r="C1633" s="33" t="s">
        <v>14</v>
      </c>
      <c r="D1633" s="33" t="s">
        <v>24</v>
      </c>
      <c r="E1633" s="42"/>
      <c r="F1633" s="67">
        <v>43288</v>
      </c>
      <c r="G1633" s="33" t="s">
        <v>33250</v>
      </c>
      <c r="H1633" s="33" t="s">
        <v>1212</v>
      </c>
      <c r="I1633" s="33" t="s">
        <v>192</v>
      </c>
      <c r="J1633" s="33">
        <v>80221</v>
      </c>
      <c r="K1633" s="33" t="s">
        <v>1790</v>
      </c>
      <c r="L1633" s="33" t="s">
        <v>9286</v>
      </c>
      <c r="M1633" s="33" t="s">
        <v>21</v>
      </c>
      <c r="N1633" s="33" t="s">
        <v>33251</v>
      </c>
      <c r="O1633" s="33" t="s">
        <v>372</v>
      </c>
      <c r="P1633" s="33" t="s">
        <v>30089</v>
      </c>
      <c r="Q1633" s="42" t="s">
        <v>33252</v>
      </c>
      <c r="R1633" s="33" t="s">
        <v>94</v>
      </c>
      <c r="S1633" s="33" t="s">
        <v>29</v>
      </c>
      <c r="T1633" s="33" t="s">
        <v>26576</v>
      </c>
      <c r="U1633" s="33" t="s">
        <v>26572</v>
      </c>
      <c r="V1633" s="33" t="s">
        <v>19228</v>
      </c>
      <c r="W1633" s="33" t="s">
        <v>94</v>
      </c>
      <c r="X1633" s="33">
        <v>3835</v>
      </c>
      <c r="Z1633" s="33" t="s">
        <v>42968</v>
      </c>
      <c r="AA1633" s="33">
        <v>6036</v>
      </c>
    </row>
    <row r="1634" spans="1:27" ht="12" customHeight="1" x14ac:dyDescent="0.15">
      <c r="A1634" s="33" t="s">
        <v>33253</v>
      </c>
      <c r="B1634" s="33">
        <v>38</v>
      </c>
      <c r="C1634" s="33" t="s">
        <v>14</v>
      </c>
      <c r="D1634" s="33" t="s">
        <v>128</v>
      </c>
      <c r="E1634" s="42" t="s">
        <v>33255</v>
      </c>
      <c r="F1634" s="67">
        <v>43287</v>
      </c>
      <c r="G1634" s="33" t="s">
        <v>33256</v>
      </c>
      <c r="H1634" s="33" t="s">
        <v>33254</v>
      </c>
      <c r="I1634" s="33" t="s">
        <v>309</v>
      </c>
      <c r="J1634" s="33">
        <v>99573</v>
      </c>
      <c r="K1634" s="33" t="s">
        <v>33257</v>
      </c>
      <c r="L1634" s="33" t="s">
        <v>10186</v>
      </c>
      <c r="M1634" s="33" t="s">
        <v>21</v>
      </c>
      <c r="N1634" s="33" t="s">
        <v>33258</v>
      </c>
      <c r="O1634" s="33" t="s">
        <v>372</v>
      </c>
      <c r="P1634" s="33" t="s">
        <v>30089</v>
      </c>
      <c r="Q1634" s="42" t="s">
        <v>33259</v>
      </c>
      <c r="R1634" s="33" t="s">
        <v>94</v>
      </c>
      <c r="S1634" s="33" t="s">
        <v>29</v>
      </c>
      <c r="T1634" s="33" t="s">
        <v>26575</v>
      </c>
      <c r="X1634" s="33">
        <v>3973</v>
      </c>
      <c r="Z1634" s="33" t="s">
        <v>42967</v>
      </c>
      <c r="AA1634" s="33">
        <v>6033</v>
      </c>
    </row>
    <row r="1635" spans="1:27" ht="12" customHeight="1" x14ac:dyDescent="0.15">
      <c r="A1635" s="33" t="s">
        <v>33260</v>
      </c>
      <c r="B1635" s="33">
        <v>43</v>
      </c>
      <c r="C1635" s="33" t="s">
        <v>14</v>
      </c>
      <c r="D1635" s="33" t="s">
        <v>79</v>
      </c>
      <c r="E1635" s="42" t="s">
        <v>33261</v>
      </c>
      <c r="F1635" s="67">
        <v>43287</v>
      </c>
      <c r="G1635" s="33" t="s">
        <v>33262</v>
      </c>
      <c r="H1635" s="33" t="s">
        <v>31860</v>
      </c>
      <c r="I1635" s="33" t="s">
        <v>337</v>
      </c>
      <c r="J1635" s="33">
        <v>66204</v>
      </c>
      <c r="K1635" s="33" t="s">
        <v>3032</v>
      </c>
      <c r="L1635" s="33" t="s">
        <v>32201</v>
      </c>
      <c r="M1635" s="33" t="s">
        <v>21</v>
      </c>
      <c r="N1635" s="33" t="s">
        <v>33263</v>
      </c>
      <c r="O1635" s="33" t="s">
        <v>372</v>
      </c>
      <c r="P1635" s="33" t="s">
        <v>30089</v>
      </c>
      <c r="Q1635" s="42" t="s">
        <v>33264</v>
      </c>
      <c r="R1635" s="33" t="s">
        <v>94</v>
      </c>
      <c r="S1635" s="33" t="s">
        <v>22</v>
      </c>
      <c r="T1635" s="33" t="s">
        <v>26781</v>
      </c>
      <c r="U1635" s="33" t="s">
        <v>26572</v>
      </c>
      <c r="V1635" s="33" t="s">
        <v>26573</v>
      </c>
      <c r="W1635" s="33" t="s">
        <v>94</v>
      </c>
      <c r="X1635" s="33">
        <v>3828</v>
      </c>
      <c r="Z1635" s="33" t="s">
        <v>42966</v>
      </c>
      <c r="AA1635" s="33">
        <v>6032</v>
      </c>
    </row>
    <row r="1636" spans="1:27" ht="12" customHeight="1" x14ac:dyDescent="0.15">
      <c r="A1636" s="33" t="s">
        <v>33271</v>
      </c>
      <c r="B1636" s="33">
        <v>33</v>
      </c>
      <c r="C1636" s="33" t="s">
        <v>103</v>
      </c>
      <c r="D1636" s="33" t="s">
        <v>42</v>
      </c>
      <c r="E1636" s="42" t="s">
        <v>33272</v>
      </c>
      <c r="F1636" s="67">
        <v>43286</v>
      </c>
      <c r="G1636" s="33" t="s">
        <v>33273</v>
      </c>
      <c r="H1636" s="33" t="s">
        <v>3585</v>
      </c>
      <c r="I1636" s="33" t="s">
        <v>112</v>
      </c>
      <c r="J1636" s="33">
        <v>85042</v>
      </c>
      <c r="K1636" s="33" t="s">
        <v>585</v>
      </c>
      <c r="L1636" s="33" t="s">
        <v>3587</v>
      </c>
      <c r="M1636" s="33" t="s">
        <v>21</v>
      </c>
      <c r="N1636" s="33" t="s">
        <v>33274</v>
      </c>
      <c r="O1636" s="33" t="s">
        <v>372</v>
      </c>
      <c r="P1636" s="33" t="s">
        <v>30089</v>
      </c>
      <c r="Q1636" s="42" t="s">
        <v>33275</v>
      </c>
      <c r="R1636" s="33" t="s">
        <v>94</v>
      </c>
      <c r="S1636" s="33" t="s">
        <v>22</v>
      </c>
      <c r="T1636" s="33" t="s">
        <v>26781</v>
      </c>
      <c r="U1636" s="33" t="s">
        <v>26572</v>
      </c>
      <c r="V1636" s="33" t="s">
        <v>19228</v>
      </c>
      <c r="W1636" s="33" t="s">
        <v>94</v>
      </c>
      <c r="X1636" s="33">
        <v>3827</v>
      </c>
      <c r="Z1636" s="33" t="s">
        <v>42968</v>
      </c>
      <c r="AA1636" s="33">
        <v>6027</v>
      </c>
    </row>
    <row r="1637" spans="1:27" ht="12" customHeight="1" x14ac:dyDescent="0.15">
      <c r="A1637" s="33" t="s">
        <v>36990</v>
      </c>
      <c r="B1637" s="33">
        <v>55</v>
      </c>
      <c r="C1637" s="33" t="s">
        <v>14</v>
      </c>
      <c r="D1637" s="33" t="s">
        <v>31</v>
      </c>
      <c r="E1637" s="42" t="s">
        <v>33284</v>
      </c>
      <c r="F1637" s="67">
        <v>43286</v>
      </c>
      <c r="G1637" s="33" t="s">
        <v>33285</v>
      </c>
      <c r="H1637" s="33" t="s">
        <v>5391</v>
      </c>
      <c r="I1637" s="33" t="s">
        <v>56</v>
      </c>
      <c r="J1637" s="33">
        <v>32726</v>
      </c>
      <c r="K1637" s="33" t="s">
        <v>1179</v>
      </c>
      <c r="L1637" s="33" t="s">
        <v>1180</v>
      </c>
      <c r="M1637" s="33" t="s">
        <v>21</v>
      </c>
      <c r="N1637" s="33" t="s">
        <v>36452</v>
      </c>
      <c r="O1637" s="33" t="s">
        <v>372</v>
      </c>
      <c r="P1637" s="33" t="s">
        <v>30089</v>
      </c>
      <c r="Q1637" s="42" t="s">
        <v>33286</v>
      </c>
      <c r="R1637" s="33" t="s">
        <v>512</v>
      </c>
      <c r="S1637" s="33" t="s">
        <v>22</v>
      </c>
      <c r="T1637" s="33" t="s">
        <v>26781</v>
      </c>
      <c r="X1637" s="33">
        <v>3971</v>
      </c>
      <c r="Z1637" s="33" t="s">
        <v>42968</v>
      </c>
      <c r="AA1637" s="33">
        <v>6028</v>
      </c>
    </row>
    <row r="1638" spans="1:27" ht="12" customHeight="1" x14ac:dyDescent="0.15">
      <c r="A1638" s="33" t="s">
        <v>33276</v>
      </c>
      <c r="B1638" s="33">
        <v>38</v>
      </c>
      <c r="C1638" s="33" t="s">
        <v>14</v>
      </c>
      <c r="D1638" s="33" t="s">
        <v>31</v>
      </c>
      <c r="E1638" s="42" t="s">
        <v>33278</v>
      </c>
      <c r="F1638" s="67">
        <v>43286</v>
      </c>
      <c r="G1638" s="33" t="s">
        <v>33279</v>
      </c>
      <c r="H1638" s="33" t="s">
        <v>33277</v>
      </c>
      <c r="I1638" s="33" t="s">
        <v>39</v>
      </c>
      <c r="J1638" s="33">
        <v>95249</v>
      </c>
      <c r="K1638" s="33" t="s">
        <v>33280</v>
      </c>
      <c r="L1638" s="33" t="s">
        <v>33281</v>
      </c>
      <c r="M1638" s="33" t="s">
        <v>21</v>
      </c>
      <c r="N1638" s="33" t="s">
        <v>33282</v>
      </c>
      <c r="O1638" s="33" t="s">
        <v>372</v>
      </c>
      <c r="P1638" s="33" t="s">
        <v>30089</v>
      </c>
      <c r="Q1638" s="42" t="s">
        <v>33283</v>
      </c>
      <c r="R1638" s="33" t="s">
        <v>512</v>
      </c>
      <c r="S1638" s="33" t="s">
        <v>12</v>
      </c>
      <c r="T1638" s="33" t="s">
        <v>29425</v>
      </c>
      <c r="X1638" s="33">
        <v>3972</v>
      </c>
      <c r="Z1638" s="33" t="s">
        <v>42967</v>
      </c>
      <c r="AA1638" s="33">
        <v>6030</v>
      </c>
    </row>
    <row r="1639" spans="1:27" ht="12" customHeight="1" x14ac:dyDescent="0.15">
      <c r="A1639" s="33" t="s">
        <v>33265</v>
      </c>
      <c r="B1639" s="33">
        <v>26</v>
      </c>
      <c r="C1639" s="33" t="s">
        <v>14</v>
      </c>
      <c r="D1639" s="33" t="s">
        <v>31</v>
      </c>
      <c r="E1639" s="42"/>
      <c r="F1639" s="67">
        <v>43286</v>
      </c>
      <c r="G1639" s="33" t="s">
        <v>33267</v>
      </c>
      <c r="H1639" s="33" t="s">
        <v>33266</v>
      </c>
      <c r="I1639" s="33" t="s">
        <v>1605</v>
      </c>
      <c r="J1639" s="33">
        <v>58301</v>
      </c>
      <c r="K1639" s="33" t="s">
        <v>3291</v>
      </c>
      <c r="L1639" s="33" t="s">
        <v>33268</v>
      </c>
      <c r="M1639" s="33" t="s">
        <v>21</v>
      </c>
      <c r="N1639" s="33" t="s">
        <v>33269</v>
      </c>
      <c r="O1639" s="33" t="s">
        <v>372</v>
      </c>
      <c r="P1639" s="33" t="s">
        <v>30089</v>
      </c>
      <c r="Q1639" s="42" t="s">
        <v>33270</v>
      </c>
      <c r="R1639" s="33" t="s">
        <v>94</v>
      </c>
      <c r="S1639" s="33" t="s">
        <v>12</v>
      </c>
      <c r="T1639" s="33" t="s">
        <v>29705</v>
      </c>
      <c r="U1639" s="33" t="s">
        <v>26572</v>
      </c>
      <c r="V1639" s="33" t="s">
        <v>26573</v>
      </c>
      <c r="W1639" s="33" t="s">
        <v>94</v>
      </c>
      <c r="X1639" s="33">
        <v>3825</v>
      </c>
      <c r="Z1639" s="33" t="s">
        <v>42967</v>
      </c>
      <c r="AA1639" s="33">
        <v>6031</v>
      </c>
    </row>
    <row r="1640" spans="1:27" ht="12" customHeight="1" x14ac:dyDescent="0.15">
      <c r="A1640" s="33" t="s">
        <v>33287</v>
      </c>
      <c r="B1640" s="33">
        <v>62</v>
      </c>
      <c r="C1640" s="33" t="s">
        <v>14</v>
      </c>
      <c r="D1640" s="33" t="s">
        <v>15</v>
      </c>
      <c r="E1640" s="42"/>
      <c r="F1640" s="67">
        <v>43286</v>
      </c>
      <c r="G1640" s="33" t="s">
        <v>33288</v>
      </c>
      <c r="H1640" s="33" t="s">
        <v>834</v>
      </c>
      <c r="I1640" s="33" t="s">
        <v>294</v>
      </c>
      <c r="J1640" s="33">
        <v>40214</v>
      </c>
      <c r="K1640" s="33" t="s">
        <v>1659</v>
      </c>
      <c r="L1640" s="33" t="s">
        <v>835</v>
      </c>
      <c r="M1640" s="33" t="s">
        <v>21</v>
      </c>
      <c r="N1640" s="33" t="s">
        <v>33289</v>
      </c>
      <c r="O1640" s="33" t="s">
        <v>372</v>
      </c>
      <c r="P1640" s="33" t="s">
        <v>30089</v>
      </c>
      <c r="Q1640" s="42" t="s">
        <v>33290</v>
      </c>
      <c r="R1640" s="33" t="s">
        <v>94</v>
      </c>
      <c r="S1640" s="33" t="s">
        <v>22</v>
      </c>
      <c r="T1640" s="33" t="s">
        <v>26774</v>
      </c>
      <c r="U1640" s="33" t="s">
        <v>26570</v>
      </c>
      <c r="V1640" s="33" t="s">
        <v>26573</v>
      </c>
      <c r="W1640" s="33" t="s">
        <v>94</v>
      </c>
      <c r="X1640" s="33">
        <v>3826</v>
      </c>
      <c r="Z1640" s="33" t="s">
        <v>42966</v>
      </c>
      <c r="AA1640" s="33">
        <v>6029</v>
      </c>
    </row>
    <row r="1641" spans="1:27" ht="12" customHeight="1" x14ac:dyDescent="0.15">
      <c r="A1641" s="33" t="s">
        <v>33301</v>
      </c>
      <c r="B1641" s="33">
        <v>52</v>
      </c>
      <c r="C1641" s="33" t="s">
        <v>14</v>
      </c>
      <c r="D1641" s="33" t="s">
        <v>31</v>
      </c>
      <c r="E1641" s="42" t="s">
        <v>33303</v>
      </c>
      <c r="F1641" s="67">
        <v>43285</v>
      </c>
      <c r="G1641" s="33" t="s">
        <v>33304</v>
      </c>
      <c r="H1641" s="33" t="s">
        <v>33302</v>
      </c>
      <c r="I1641" s="33" t="s">
        <v>38</v>
      </c>
      <c r="J1641" s="33">
        <v>60177</v>
      </c>
      <c r="K1641" s="33" t="s">
        <v>7119</v>
      </c>
      <c r="L1641" s="33" t="s">
        <v>36453</v>
      </c>
      <c r="M1641" s="33" t="s">
        <v>21</v>
      </c>
      <c r="N1641" s="33" t="s">
        <v>33305</v>
      </c>
      <c r="O1641" s="33" t="s">
        <v>372</v>
      </c>
      <c r="P1641" s="33" t="s">
        <v>30089</v>
      </c>
      <c r="Q1641" s="42" t="s">
        <v>33306</v>
      </c>
      <c r="R1641" s="33" t="s">
        <v>94</v>
      </c>
      <c r="S1641" s="33" t="s">
        <v>22</v>
      </c>
      <c r="T1641" s="33" t="s">
        <v>26781</v>
      </c>
      <c r="U1641" s="33" t="s">
        <v>26572</v>
      </c>
      <c r="V1641" s="33" t="s">
        <v>26573</v>
      </c>
      <c r="W1641" s="33" t="s">
        <v>94</v>
      </c>
      <c r="X1641" s="33">
        <v>3824</v>
      </c>
      <c r="Z1641" s="33" t="s">
        <v>42968</v>
      </c>
      <c r="AA1641" s="33">
        <v>6025</v>
      </c>
    </row>
    <row r="1642" spans="1:27" ht="12" customHeight="1" x14ac:dyDescent="0.15">
      <c r="A1642" s="33" t="s">
        <v>33296</v>
      </c>
      <c r="B1642" s="33">
        <v>35</v>
      </c>
      <c r="C1642" s="33" t="s">
        <v>14</v>
      </c>
      <c r="D1642" s="33" t="s">
        <v>24</v>
      </c>
      <c r="E1642" s="42"/>
      <c r="F1642" s="67">
        <v>43285</v>
      </c>
      <c r="G1642" s="33" t="s">
        <v>33297</v>
      </c>
      <c r="H1642" s="33" t="s">
        <v>29294</v>
      </c>
      <c r="I1642" s="33" t="s">
        <v>160</v>
      </c>
      <c r="J1642" s="33">
        <v>30223</v>
      </c>
      <c r="K1642" s="33" t="s">
        <v>29295</v>
      </c>
      <c r="L1642" s="33" t="s">
        <v>33298</v>
      </c>
      <c r="M1642" s="33" t="s">
        <v>21</v>
      </c>
      <c r="N1642" s="33" t="s">
        <v>33299</v>
      </c>
      <c r="O1642" s="33" t="s">
        <v>372</v>
      </c>
      <c r="P1642" s="33" t="s">
        <v>30089</v>
      </c>
      <c r="Q1642" s="42" t="s">
        <v>33300</v>
      </c>
      <c r="R1642" s="33" t="s">
        <v>512</v>
      </c>
      <c r="S1642" s="33" t="s">
        <v>22</v>
      </c>
      <c r="T1642" s="33" t="s">
        <v>26781</v>
      </c>
      <c r="U1642" s="33" t="s">
        <v>26572</v>
      </c>
      <c r="V1642" s="33" t="s">
        <v>26573</v>
      </c>
      <c r="W1642" s="33" t="s">
        <v>512</v>
      </c>
      <c r="X1642" s="33">
        <v>3821</v>
      </c>
      <c r="Z1642" s="33" t="s">
        <v>42968</v>
      </c>
      <c r="AA1642" s="33">
        <v>6024</v>
      </c>
    </row>
    <row r="1643" spans="1:27" ht="12" customHeight="1" x14ac:dyDescent="0.15">
      <c r="A1643" s="33" t="s">
        <v>33291</v>
      </c>
      <c r="B1643" s="33">
        <v>32</v>
      </c>
      <c r="C1643" s="33" t="s">
        <v>14</v>
      </c>
      <c r="D1643" s="33" t="s">
        <v>128</v>
      </c>
      <c r="E1643" s="42" t="s">
        <v>33292</v>
      </c>
      <c r="F1643" s="67">
        <v>43285</v>
      </c>
      <c r="G1643" s="33" t="s">
        <v>33293</v>
      </c>
      <c r="H1643" s="33" t="s">
        <v>4307</v>
      </c>
      <c r="I1643" s="33" t="s">
        <v>192</v>
      </c>
      <c r="J1643" s="33">
        <v>81004</v>
      </c>
      <c r="K1643" s="33" t="s">
        <v>4307</v>
      </c>
      <c r="L1643" s="33" t="s">
        <v>4309</v>
      </c>
      <c r="M1643" s="33" t="s">
        <v>21</v>
      </c>
      <c r="N1643" s="33" t="s">
        <v>33294</v>
      </c>
      <c r="O1643" s="33" t="s">
        <v>372</v>
      </c>
      <c r="P1643" s="33" t="s">
        <v>30089</v>
      </c>
      <c r="Q1643" s="42" t="s">
        <v>33295</v>
      </c>
      <c r="R1643" s="33" t="s">
        <v>94</v>
      </c>
      <c r="S1643" s="33" t="s">
        <v>29</v>
      </c>
      <c r="T1643" s="33" t="s">
        <v>26575</v>
      </c>
      <c r="U1643" s="33" t="s">
        <v>26572</v>
      </c>
      <c r="W1643" s="33" t="s">
        <v>94</v>
      </c>
      <c r="X1643" s="33">
        <v>3822</v>
      </c>
      <c r="Z1643" s="33" t="s">
        <v>42968</v>
      </c>
      <c r="AA1643" s="33">
        <v>6026</v>
      </c>
    </row>
    <row r="1644" spans="1:27" ht="12" customHeight="1" x14ac:dyDescent="0.15">
      <c r="A1644" s="33" t="s">
        <v>36989</v>
      </c>
      <c r="B1644" s="33">
        <v>41</v>
      </c>
      <c r="C1644" s="33" t="s">
        <v>14</v>
      </c>
      <c r="D1644" s="33" t="s">
        <v>128</v>
      </c>
      <c r="E1644" s="42" t="s">
        <v>33319</v>
      </c>
      <c r="F1644" s="67">
        <v>43284</v>
      </c>
      <c r="G1644" s="33" t="s">
        <v>33320</v>
      </c>
      <c r="H1644" s="33" t="s">
        <v>10040</v>
      </c>
      <c r="I1644" s="33" t="s">
        <v>367</v>
      </c>
      <c r="J1644" s="33">
        <v>73507</v>
      </c>
      <c r="K1644" s="33" t="s">
        <v>10042</v>
      </c>
      <c r="L1644" s="33" t="s">
        <v>10043</v>
      </c>
      <c r="M1644" s="33" t="s">
        <v>21</v>
      </c>
      <c r="N1644" s="33" t="s">
        <v>33321</v>
      </c>
      <c r="O1644" s="33" t="s">
        <v>372</v>
      </c>
      <c r="P1644" s="33" t="s">
        <v>30089</v>
      </c>
      <c r="Q1644" s="42" t="s">
        <v>33322</v>
      </c>
      <c r="R1644" s="33" t="s">
        <v>94</v>
      </c>
      <c r="S1644" s="33" t="s">
        <v>22</v>
      </c>
      <c r="T1644" s="33" t="s">
        <v>26774</v>
      </c>
      <c r="X1644" s="33">
        <v>3969</v>
      </c>
      <c r="Z1644" s="33" t="s">
        <v>42968</v>
      </c>
      <c r="AA1644" s="33">
        <v>6023</v>
      </c>
    </row>
    <row r="1645" spans="1:27" ht="12" customHeight="1" x14ac:dyDescent="0.15">
      <c r="A1645" s="33" t="s">
        <v>33311</v>
      </c>
      <c r="B1645" s="33">
        <v>33</v>
      </c>
      <c r="C1645" s="33" t="s">
        <v>14</v>
      </c>
      <c r="D1645" s="33" t="s">
        <v>79</v>
      </c>
      <c r="E1645" s="42"/>
      <c r="F1645" s="67">
        <v>43284</v>
      </c>
      <c r="G1645" s="33" t="s">
        <v>33312</v>
      </c>
      <c r="H1645" s="33" t="s">
        <v>81</v>
      </c>
      <c r="I1645" s="33" t="s">
        <v>38</v>
      </c>
      <c r="J1645" s="33">
        <v>60644</v>
      </c>
      <c r="K1645" s="33" t="s">
        <v>82</v>
      </c>
      <c r="L1645" s="33" t="s">
        <v>83</v>
      </c>
      <c r="M1645" s="33" t="s">
        <v>21</v>
      </c>
      <c r="N1645" s="33" t="s">
        <v>33313</v>
      </c>
      <c r="O1645" s="33" t="s">
        <v>372</v>
      </c>
      <c r="P1645" s="33" t="s">
        <v>30089</v>
      </c>
      <c r="Q1645" s="42" t="s">
        <v>33314</v>
      </c>
      <c r="R1645" s="33" t="s">
        <v>94</v>
      </c>
      <c r="S1645" s="33" t="s">
        <v>22</v>
      </c>
      <c r="T1645" s="33" t="s">
        <v>26781</v>
      </c>
      <c r="X1645" s="33">
        <v>3970</v>
      </c>
      <c r="Z1645" s="33" t="s">
        <v>42966</v>
      </c>
      <c r="AA1645" s="33">
        <v>6020</v>
      </c>
    </row>
    <row r="1646" spans="1:27" ht="12" customHeight="1" x14ac:dyDescent="0.15">
      <c r="A1646" s="33" t="s">
        <v>33307</v>
      </c>
      <c r="B1646" s="33">
        <v>24</v>
      </c>
      <c r="C1646" s="33" t="s">
        <v>14</v>
      </c>
      <c r="D1646" s="33" t="s">
        <v>31</v>
      </c>
      <c r="E1646" s="42" t="s">
        <v>33308</v>
      </c>
      <c r="F1646" s="67">
        <v>43284</v>
      </c>
      <c r="G1646" s="33" t="s">
        <v>33309</v>
      </c>
      <c r="H1646" s="33" t="s">
        <v>635</v>
      </c>
      <c r="I1646" s="33" t="s">
        <v>337</v>
      </c>
      <c r="J1646" s="33">
        <v>67212</v>
      </c>
      <c r="K1646" s="33" t="s">
        <v>636</v>
      </c>
      <c r="L1646" s="33" t="s">
        <v>637</v>
      </c>
      <c r="M1646" s="33" t="s">
        <v>21</v>
      </c>
      <c r="N1646" s="33" t="s">
        <v>36454</v>
      </c>
      <c r="O1646" s="33" t="s">
        <v>372</v>
      </c>
      <c r="P1646" s="33" t="s">
        <v>30089</v>
      </c>
      <c r="Q1646" s="42" t="s">
        <v>33310</v>
      </c>
      <c r="R1646" s="33" t="s">
        <v>94</v>
      </c>
      <c r="S1646" s="33" t="s">
        <v>22</v>
      </c>
      <c r="T1646" s="33" t="s">
        <v>26781</v>
      </c>
      <c r="Y1646" s="33" t="s">
        <v>42476</v>
      </c>
      <c r="Z1646" s="33" t="s">
        <v>42968</v>
      </c>
      <c r="AA1646" s="33">
        <v>6021</v>
      </c>
    </row>
    <row r="1647" spans="1:27" ht="12" customHeight="1" x14ac:dyDescent="0.15">
      <c r="A1647" s="33" t="s">
        <v>33315</v>
      </c>
      <c r="B1647" s="33">
        <v>40</v>
      </c>
      <c r="C1647" s="33" t="s">
        <v>14</v>
      </c>
      <c r="D1647" s="33" t="s">
        <v>79</v>
      </c>
      <c r="E1647" s="42"/>
      <c r="F1647" s="67">
        <v>43284</v>
      </c>
      <c r="G1647" s="33" t="s">
        <v>33316</v>
      </c>
      <c r="H1647" s="33" t="s">
        <v>5472</v>
      </c>
      <c r="I1647" s="33" t="s">
        <v>338</v>
      </c>
      <c r="J1647" s="33">
        <v>28314</v>
      </c>
      <c r="K1647" s="33" t="s">
        <v>2907</v>
      </c>
      <c r="L1647" s="33" t="s">
        <v>5474</v>
      </c>
      <c r="M1647" s="33" t="s">
        <v>21</v>
      </c>
      <c r="N1647" s="33" t="s">
        <v>33317</v>
      </c>
      <c r="O1647" s="33" t="s">
        <v>372</v>
      </c>
      <c r="P1647" s="33" t="s">
        <v>30089</v>
      </c>
      <c r="Q1647" s="42" t="s">
        <v>33318</v>
      </c>
      <c r="R1647" s="33" t="s">
        <v>94</v>
      </c>
      <c r="S1647" s="33" t="s">
        <v>22</v>
      </c>
      <c r="T1647" s="33" t="s">
        <v>26774</v>
      </c>
      <c r="X1647" s="33">
        <v>3930</v>
      </c>
      <c r="Z1647" s="33" t="s">
        <v>42968</v>
      </c>
      <c r="AA1647" s="33">
        <v>6022</v>
      </c>
    </row>
    <row r="1648" spans="1:27" ht="12" customHeight="1" x14ac:dyDescent="0.15">
      <c r="A1648" s="33" t="s">
        <v>3002</v>
      </c>
      <c r="B1648" s="33" t="s">
        <v>23</v>
      </c>
      <c r="C1648" s="33" t="s">
        <v>14</v>
      </c>
      <c r="D1648" s="33" t="s">
        <v>24</v>
      </c>
      <c r="E1648" s="42"/>
      <c r="F1648" s="67">
        <v>43282</v>
      </c>
      <c r="G1648" s="33" t="s">
        <v>33342</v>
      </c>
      <c r="H1648" s="33" t="s">
        <v>3383</v>
      </c>
      <c r="I1648" s="33" t="s">
        <v>39</v>
      </c>
      <c r="J1648" s="33">
        <v>92703</v>
      </c>
      <c r="K1648" s="33" t="s">
        <v>998</v>
      </c>
      <c r="L1648" s="33" t="s">
        <v>3385</v>
      </c>
      <c r="M1648" s="33" t="s">
        <v>21</v>
      </c>
      <c r="N1648" s="33" t="s">
        <v>33343</v>
      </c>
      <c r="O1648" s="33" t="s">
        <v>372</v>
      </c>
      <c r="P1648" s="33" t="s">
        <v>30089</v>
      </c>
      <c r="Q1648" s="42" t="s">
        <v>33344</v>
      </c>
      <c r="R1648" s="33" t="s">
        <v>94</v>
      </c>
      <c r="S1648" s="33" t="s">
        <v>29</v>
      </c>
      <c r="T1648" s="33" t="s">
        <v>26620</v>
      </c>
      <c r="U1648" s="33" t="s">
        <v>26575</v>
      </c>
      <c r="V1648" s="33" t="s">
        <v>26573</v>
      </c>
      <c r="W1648" s="33" t="s">
        <v>94</v>
      </c>
      <c r="X1648" s="33">
        <v>3814</v>
      </c>
      <c r="Z1648" s="33" t="s">
        <v>42966</v>
      </c>
      <c r="AA1648" s="33">
        <v>6018</v>
      </c>
    </row>
    <row r="1649" spans="1:27" ht="12" customHeight="1" x14ac:dyDescent="0.15">
      <c r="A1649" s="33" t="s">
        <v>33335</v>
      </c>
      <c r="B1649" s="33">
        <v>60</v>
      </c>
      <c r="C1649" s="33" t="s">
        <v>14</v>
      </c>
      <c r="D1649" s="33" t="s">
        <v>885</v>
      </c>
      <c r="E1649" s="42" t="s">
        <v>33337</v>
      </c>
      <c r="F1649" s="67">
        <v>43282</v>
      </c>
      <c r="G1649" s="33" t="s">
        <v>33338</v>
      </c>
      <c r="H1649" s="33" t="s">
        <v>33336</v>
      </c>
      <c r="I1649" s="33" t="s">
        <v>402</v>
      </c>
      <c r="J1649" s="33">
        <v>64030</v>
      </c>
      <c r="K1649" s="33" t="s">
        <v>404</v>
      </c>
      <c r="L1649" s="33" t="s">
        <v>33339</v>
      </c>
      <c r="M1649" s="33" t="s">
        <v>21</v>
      </c>
      <c r="N1649" s="33" t="s">
        <v>33340</v>
      </c>
      <c r="O1649" s="33" t="s">
        <v>372</v>
      </c>
      <c r="P1649" s="33" t="s">
        <v>30089</v>
      </c>
      <c r="Q1649" s="42" t="s">
        <v>33341</v>
      </c>
      <c r="R1649" s="33" t="s">
        <v>512</v>
      </c>
      <c r="S1649" s="33" t="s">
        <v>22</v>
      </c>
      <c r="T1649" s="33" t="s">
        <v>28239</v>
      </c>
      <c r="U1649" s="33" t="s">
        <v>26570</v>
      </c>
      <c r="V1649" s="33" t="s">
        <v>26573</v>
      </c>
      <c r="W1649" s="33" t="s">
        <v>94</v>
      </c>
      <c r="X1649" s="33">
        <v>3817</v>
      </c>
      <c r="Z1649" s="33" t="s">
        <v>42968</v>
      </c>
      <c r="AA1649" s="33">
        <v>6019</v>
      </c>
    </row>
    <row r="1650" spans="1:27" ht="12" customHeight="1" x14ac:dyDescent="0.15">
      <c r="A1650" s="33" t="s">
        <v>33323</v>
      </c>
      <c r="B1650" s="33">
        <v>26</v>
      </c>
      <c r="C1650" s="33" t="s">
        <v>14</v>
      </c>
      <c r="D1650" s="33" t="s">
        <v>31</v>
      </c>
      <c r="E1650" s="42" t="s">
        <v>33325</v>
      </c>
      <c r="F1650" s="67">
        <v>43282</v>
      </c>
      <c r="G1650" s="33" t="s">
        <v>33326</v>
      </c>
      <c r="H1650" s="33" t="s">
        <v>33324</v>
      </c>
      <c r="I1650" s="33" t="s">
        <v>342</v>
      </c>
      <c r="J1650" s="33">
        <v>50216</v>
      </c>
      <c r="K1650" s="33" t="s">
        <v>4719</v>
      </c>
      <c r="L1650" s="33" t="s">
        <v>33327</v>
      </c>
      <c r="M1650" s="33" t="s">
        <v>21</v>
      </c>
      <c r="N1650" s="33" t="s">
        <v>33328</v>
      </c>
      <c r="O1650" s="33" t="s">
        <v>372</v>
      </c>
      <c r="P1650" s="33" t="s">
        <v>30089</v>
      </c>
      <c r="Q1650" s="42" t="s">
        <v>33329</v>
      </c>
      <c r="R1650" s="33" t="s">
        <v>94</v>
      </c>
      <c r="S1650" s="33" t="s">
        <v>22</v>
      </c>
      <c r="T1650" s="33" t="s">
        <v>26774</v>
      </c>
      <c r="U1650" s="33" t="s">
        <v>26570</v>
      </c>
      <c r="V1650" s="33" t="s">
        <v>26573</v>
      </c>
      <c r="W1650" s="33" t="s">
        <v>94</v>
      </c>
      <c r="X1650" s="33">
        <v>3823</v>
      </c>
      <c r="Z1650" s="33" t="s">
        <v>42967</v>
      </c>
      <c r="AA1650" s="33">
        <v>6017</v>
      </c>
    </row>
    <row r="1651" spans="1:27" ht="12" customHeight="1" x14ac:dyDescent="0.15">
      <c r="A1651" s="33" t="s">
        <v>33330</v>
      </c>
      <c r="B1651" s="33">
        <v>33</v>
      </c>
      <c r="C1651" s="33" t="s">
        <v>14</v>
      </c>
      <c r="D1651" s="33" t="s">
        <v>31</v>
      </c>
      <c r="E1651" s="42" t="s">
        <v>33331</v>
      </c>
      <c r="F1651" s="67">
        <v>43282</v>
      </c>
      <c r="G1651" s="33" t="s">
        <v>33332</v>
      </c>
      <c r="H1651" s="33" t="s">
        <v>3901</v>
      </c>
      <c r="I1651" s="33" t="s">
        <v>735</v>
      </c>
      <c r="J1651" s="33">
        <v>83709</v>
      </c>
      <c r="K1651" s="33" t="s">
        <v>3903</v>
      </c>
      <c r="L1651" s="33" t="s">
        <v>30036</v>
      </c>
      <c r="M1651" s="33" t="s">
        <v>21</v>
      </c>
      <c r="N1651" s="33" t="s">
        <v>33333</v>
      </c>
      <c r="O1651" s="33" t="s">
        <v>372</v>
      </c>
      <c r="P1651" s="33" t="s">
        <v>30089</v>
      </c>
      <c r="Q1651" s="42" t="s">
        <v>33334</v>
      </c>
      <c r="R1651" s="33" t="s">
        <v>94</v>
      </c>
      <c r="S1651" s="33" t="s">
        <v>22</v>
      </c>
      <c r="T1651" s="33" t="s">
        <v>26781</v>
      </c>
      <c r="U1651" s="33" t="s">
        <v>26572</v>
      </c>
      <c r="V1651" s="33" t="s">
        <v>26574</v>
      </c>
      <c r="W1651" s="33" t="s">
        <v>94</v>
      </c>
      <c r="X1651" s="33">
        <v>3816</v>
      </c>
      <c r="Z1651" s="33" t="s">
        <v>42968</v>
      </c>
      <c r="AA1651" s="33">
        <v>6016</v>
      </c>
    </row>
    <row r="1652" spans="1:27" ht="12" customHeight="1" x14ac:dyDescent="0.15">
      <c r="A1652" s="33" t="s">
        <v>33357</v>
      </c>
      <c r="B1652" s="33">
        <v>36</v>
      </c>
      <c r="C1652" s="33" t="s">
        <v>14</v>
      </c>
      <c r="D1652" s="33" t="s">
        <v>31</v>
      </c>
      <c r="E1652" s="42"/>
      <c r="F1652" s="67">
        <v>43280</v>
      </c>
      <c r="G1652" s="33" t="s">
        <v>33358</v>
      </c>
      <c r="H1652" s="33" t="s">
        <v>399</v>
      </c>
      <c r="I1652" s="33" t="s">
        <v>309</v>
      </c>
      <c r="J1652" s="33">
        <v>99705</v>
      </c>
      <c r="K1652" s="33" t="s">
        <v>18138</v>
      </c>
      <c r="L1652" s="33" t="s">
        <v>10186</v>
      </c>
      <c r="M1652" s="33" t="s">
        <v>21</v>
      </c>
      <c r="N1652" s="33" t="s">
        <v>33359</v>
      </c>
      <c r="O1652" s="33" t="s">
        <v>372</v>
      </c>
      <c r="P1652" s="33" t="s">
        <v>30089</v>
      </c>
      <c r="Q1652" s="42" t="s">
        <v>33360</v>
      </c>
      <c r="R1652" s="33" t="s">
        <v>94</v>
      </c>
      <c r="S1652" s="33" t="s">
        <v>22</v>
      </c>
      <c r="T1652" s="33" t="s">
        <v>27020</v>
      </c>
      <c r="U1652" s="33" t="s">
        <v>26570</v>
      </c>
      <c r="W1652" s="33" t="s">
        <v>94</v>
      </c>
      <c r="X1652" s="33">
        <v>3819</v>
      </c>
      <c r="Z1652" s="33" t="s">
        <v>42968</v>
      </c>
      <c r="AA1652" s="33">
        <v>6009</v>
      </c>
    </row>
    <row r="1653" spans="1:27" ht="12" customHeight="1" x14ac:dyDescent="0.15">
      <c r="A1653" s="33" t="s">
        <v>33361</v>
      </c>
      <c r="B1653" s="33">
        <v>36</v>
      </c>
      <c r="C1653" s="33" t="s">
        <v>14</v>
      </c>
      <c r="D1653" s="33" t="s">
        <v>42</v>
      </c>
      <c r="E1653" s="42"/>
      <c r="F1653" s="67">
        <v>43280</v>
      </c>
      <c r="G1653" s="33" t="s">
        <v>33362</v>
      </c>
      <c r="H1653" s="33" t="s">
        <v>3508</v>
      </c>
      <c r="I1653" s="33" t="s">
        <v>192</v>
      </c>
      <c r="J1653" s="33">
        <v>80011</v>
      </c>
      <c r="K1653" s="33" t="s">
        <v>3510</v>
      </c>
      <c r="L1653" s="33" t="s">
        <v>3511</v>
      </c>
      <c r="M1653" s="33" t="s">
        <v>21</v>
      </c>
      <c r="N1653" s="33" t="s">
        <v>33363</v>
      </c>
      <c r="O1653" s="33" t="s">
        <v>372</v>
      </c>
      <c r="P1653" s="33" t="s">
        <v>30089</v>
      </c>
      <c r="Q1653" s="42" t="s">
        <v>33364</v>
      </c>
      <c r="R1653" s="33" t="s">
        <v>94</v>
      </c>
      <c r="S1653" s="33" t="s">
        <v>29</v>
      </c>
      <c r="T1653" s="33" t="s">
        <v>26575</v>
      </c>
      <c r="U1653" s="33" t="s">
        <v>26575</v>
      </c>
      <c r="V1653" s="33" t="s">
        <v>26571</v>
      </c>
      <c r="W1653" s="33" t="s">
        <v>512</v>
      </c>
      <c r="X1653" s="33">
        <v>3808</v>
      </c>
      <c r="Z1653" s="33" t="s">
        <v>42968</v>
      </c>
      <c r="AA1653" s="33">
        <v>6014</v>
      </c>
    </row>
    <row r="1654" spans="1:27" ht="12" customHeight="1" x14ac:dyDescent="0.15">
      <c r="A1654" s="33" t="s">
        <v>3002</v>
      </c>
      <c r="B1654" s="33">
        <v>31</v>
      </c>
      <c r="C1654" s="33" t="s">
        <v>14</v>
      </c>
      <c r="D1654" s="33" t="s">
        <v>24</v>
      </c>
      <c r="E1654" s="42"/>
      <c r="F1654" s="67">
        <v>43280</v>
      </c>
      <c r="G1654" s="33" t="s">
        <v>33349</v>
      </c>
      <c r="H1654" s="33" t="s">
        <v>2654</v>
      </c>
      <c r="I1654" s="33" t="s">
        <v>39</v>
      </c>
      <c r="J1654" s="33">
        <v>91768</v>
      </c>
      <c r="K1654" s="33" t="s">
        <v>92</v>
      </c>
      <c r="L1654" s="33" t="s">
        <v>33350</v>
      </c>
      <c r="M1654" s="33" t="s">
        <v>21</v>
      </c>
      <c r="N1654" s="33" t="s">
        <v>33351</v>
      </c>
      <c r="O1654" s="33" t="s">
        <v>372</v>
      </c>
      <c r="P1654" s="33" t="s">
        <v>30089</v>
      </c>
      <c r="Q1654" s="42" t="s">
        <v>33352</v>
      </c>
      <c r="R1654" s="33" t="s">
        <v>94</v>
      </c>
      <c r="S1654" s="33" t="s">
        <v>29</v>
      </c>
      <c r="T1654" s="33" t="s">
        <v>26576</v>
      </c>
      <c r="U1654" s="33" t="s">
        <v>26575</v>
      </c>
      <c r="V1654" s="33" t="s">
        <v>26571</v>
      </c>
      <c r="W1654" s="33" t="s">
        <v>94</v>
      </c>
      <c r="X1654" s="33">
        <v>3813</v>
      </c>
      <c r="Z1654" s="33" t="s">
        <v>42968</v>
      </c>
      <c r="AA1654" s="33">
        <v>6015</v>
      </c>
    </row>
    <row r="1655" spans="1:27" ht="12" customHeight="1" x14ac:dyDescent="0.15">
      <c r="A1655" s="33" t="s">
        <v>33372</v>
      </c>
      <c r="B1655" s="33" t="s">
        <v>23</v>
      </c>
      <c r="C1655" s="33" t="s">
        <v>14</v>
      </c>
      <c r="D1655" s="33" t="s">
        <v>79</v>
      </c>
      <c r="E1655" s="42" t="s">
        <v>33373</v>
      </c>
      <c r="F1655" s="67">
        <v>43280</v>
      </c>
      <c r="G1655" s="33" t="s">
        <v>33374</v>
      </c>
      <c r="H1655" s="33" t="s">
        <v>1459</v>
      </c>
      <c r="I1655" s="33" t="s">
        <v>106</v>
      </c>
      <c r="J1655" s="33">
        <v>97201</v>
      </c>
      <c r="K1655" s="33" t="s">
        <v>1461</v>
      </c>
      <c r="L1655" s="33" t="s">
        <v>33375</v>
      </c>
      <c r="M1655" s="33" t="s">
        <v>21</v>
      </c>
      <c r="N1655" s="33" t="s">
        <v>33376</v>
      </c>
      <c r="O1655" s="33" t="s">
        <v>372</v>
      </c>
      <c r="P1655" s="33" t="s">
        <v>30089</v>
      </c>
      <c r="Q1655" s="42" t="s">
        <v>33377</v>
      </c>
      <c r="R1655" s="33" t="s">
        <v>94</v>
      </c>
      <c r="S1655" s="33" t="s">
        <v>22</v>
      </c>
      <c r="T1655" s="33" t="s">
        <v>26781</v>
      </c>
      <c r="U1655" s="33" t="s">
        <v>26575</v>
      </c>
      <c r="W1655" s="33" t="s">
        <v>94</v>
      </c>
      <c r="X1655" s="33">
        <v>3815</v>
      </c>
      <c r="Z1655" s="33" t="s">
        <v>42966</v>
      </c>
      <c r="AA1655" s="33">
        <v>6010</v>
      </c>
    </row>
    <row r="1656" spans="1:27" ht="12" customHeight="1" x14ac:dyDescent="0.15">
      <c r="A1656" s="33" t="s">
        <v>33345</v>
      </c>
      <c r="B1656" s="33">
        <v>19</v>
      </c>
      <c r="C1656" s="33" t="s">
        <v>14</v>
      </c>
      <c r="D1656" s="33" t="s">
        <v>79</v>
      </c>
      <c r="E1656" s="42"/>
      <c r="F1656" s="67">
        <v>43280</v>
      </c>
      <c r="G1656" s="33" t="s">
        <v>33346</v>
      </c>
      <c r="H1656" s="33" t="s">
        <v>584</v>
      </c>
      <c r="I1656" s="33" t="s">
        <v>112</v>
      </c>
      <c r="J1656" s="33">
        <v>85019</v>
      </c>
      <c r="K1656" s="33" t="s">
        <v>585</v>
      </c>
      <c r="L1656" s="33" t="s">
        <v>586</v>
      </c>
      <c r="M1656" s="33" t="s">
        <v>21</v>
      </c>
      <c r="N1656" s="33" t="s">
        <v>33347</v>
      </c>
      <c r="O1656" s="33" t="s">
        <v>372</v>
      </c>
      <c r="P1656" s="33" t="s">
        <v>30089</v>
      </c>
      <c r="Q1656" s="42" t="s">
        <v>33348</v>
      </c>
      <c r="R1656" s="33" t="s">
        <v>94</v>
      </c>
      <c r="S1656" s="33" t="s">
        <v>22</v>
      </c>
      <c r="T1656" s="33" t="s">
        <v>26781</v>
      </c>
      <c r="U1656" s="33" t="s">
        <v>26572</v>
      </c>
      <c r="V1656" s="33" t="s">
        <v>26573</v>
      </c>
      <c r="W1656" s="33" t="s">
        <v>94</v>
      </c>
      <c r="X1656" s="33">
        <v>3818</v>
      </c>
      <c r="Z1656" s="33" t="s">
        <v>42968</v>
      </c>
      <c r="AA1656" s="33">
        <v>6011</v>
      </c>
    </row>
    <row r="1657" spans="1:27" ht="12" customHeight="1" x14ac:dyDescent="0.15">
      <c r="A1657" s="33" t="s">
        <v>33365</v>
      </c>
      <c r="B1657" s="33">
        <v>56</v>
      </c>
      <c r="C1657" s="33" t="s">
        <v>14</v>
      </c>
      <c r="D1657" s="33" t="s">
        <v>31</v>
      </c>
      <c r="E1657" s="42" t="s">
        <v>33367</v>
      </c>
      <c r="F1657" s="67">
        <v>43280</v>
      </c>
      <c r="G1657" s="33" t="s">
        <v>33368</v>
      </c>
      <c r="H1657" s="33" t="s">
        <v>33366</v>
      </c>
      <c r="I1657" s="33" t="s">
        <v>51</v>
      </c>
      <c r="J1657" s="33">
        <v>48329</v>
      </c>
      <c r="K1657" s="33" t="s">
        <v>557</v>
      </c>
      <c r="L1657" s="33" t="s">
        <v>33369</v>
      </c>
      <c r="M1657" s="33" t="s">
        <v>21</v>
      </c>
      <c r="N1657" s="33" t="s">
        <v>33370</v>
      </c>
      <c r="O1657" s="33" t="s">
        <v>372</v>
      </c>
      <c r="P1657" s="33" t="s">
        <v>30089</v>
      </c>
      <c r="Q1657" s="42" t="s">
        <v>33371</v>
      </c>
      <c r="R1657" s="33" t="s">
        <v>512</v>
      </c>
      <c r="S1657" s="33" t="s">
        <v>22</v>
      </c>
      <c r="T1657" s="33" t="s">
        <v>26781</v>
      </c>
      <c r="U1657" s="33" t="s">
        <v>26572</v>
      </c>
      <c r="V1657" s="33" t="s">
        <v>26571</v>
      </c>
      <c r="W1657" s="33" t="s">
        <v>94</v>
      </c>
      <c r="X1657" s="33">
        <v>3836</v>
      </c>
      <c r="Z1657" s="33" t="s">
        <v>42968</v>
      </c>
      <c r="AA1657" s="33">
        <v>6012</v>
      </c>
    </row>
    <row r="1658" spans="1:27" ht="12" customHeight="1" x14ac:dyDescent="0.15">
      <c r="A1658" s="33" t="s">
        <v>33353</v>
      </c>
      <c r="B1658" s="33">
        <v>33</v>
      </c>
      <c r="C1658" s="33" t="s">
        <v>14</v>
      </c>
      <c r="D1658" s="33" t="s">
        <v>31</v>
      </c>
      <c r="E1658" s="42"/>
      <c r="F1658" s="67">
        <v>43280</v>
      </c>
      <c r="G1658" s="33" t="s">
        <v>33354</v>
      </c>
      <c r="H1658" s="33" t="s">
        <v>26543</v>
      </c>
      <c r="I1658" s="33" t="s">
        <v>298</v>
      </c>
      <c r="J1658" s="33">
        <v>38464</v>
      </c>
      <c r="K1658" s="33" t="s">
        <v>1924</v>
      </c>
      <c r="L1658" s="33" t="s">
        <v>33355</v>
      </c>
      <c r="M1658" s="33" t="s">
        <v>21</v>
      </c>
      <c r="N1658" s="33" t="s">
        <v>36455</v>
      </c>
      <c r="O1658" s="33" t="s">
        <v>372</v>
      </c>
      <c r="P1658" s="33" t="s">
        <v>30089</v>
      </c>
      <c r="Q1658" s="42" t="s">
        <v>33356</v>
      </c>
      <c r="R1658" s="33" t="s">
        <v>94</v>
      </c>
      <c r="S1658" s="33" t="s">
        <v>22</v>
      </c>
      <c r="T1658" s="33" t="s">
        <v>26774</v>
      </c>
      <c r="U1658" s="33" t="s">
        <v>26570</v>
      </c>
      <c r="V1658" s="33" t="s">
        <v>26574</v>
      </c>
      <c r="W1658" s="33" t="s">
        <v>94</v>
      </c>
      <c r="X1658" s="33">
        <v>3820</v>
      </c>
      <c r="Z1658" s="33" t="s">
        <v>42967</v>
      </c>
      <c r="AA1658" s="33">
        <v>6013</v>
      </c>
    </row>
    <row r="1659" spans="1:27" ht="12" customHeight="1" x14ac:dyDescent="0.15">
      <c r="A1659" s="33" t="s">
        <v>33390</v>
      </c>
      <c r="B1659" s="33">
        <v>36</v>
      </c>
      <c r="C1659" s="33" t="s">
        <v>14</v>
      </c>
      <c r="D1659" s="33" t="s">
        <v>31</v>
      </c>
      <c r="E1659" s="42"/>
      <c r="F1659" s="67">
        <v>43279</v>
      </c>
      <c r="G1659" s="33" t="s">
        <v>33391</v>
      </c>
      <c r="H1659" s="33" t="s">
        <v>9127</v>
      </c>
      <c r="I1659" s="33" t="s">
        <v>56</v>
      </c>
      <c r="J1659" s="33">
        <v>32119</v>
      </c>
      <c r="K1659" s="33" t="s">
        <v>3571</v>
      </c>
      <c r="L1659" s="33" t="s">
        <v>33392</v>
      </c>
      <c r="M1659" s="33" t="s">
        <v>363</v>
      </c>
      <c r="N1659" s="33" t="s">
        <v>33393</v>
      </c>
      <c r="O1659" s="33" t="s">
        <v>372</v>
      </c>
      <c r="P1659" s="33" t="s">
        <v>30089</v>
      </c>
      <c r="Q1659" s="42" t="s">
        <v>33394</v>
      </c>
      <c r="R1659" s="33" t="s">
        <v>23</v>
      </c>
      <c r="S1659" s="33" t="s">
        <v>12</v>
      </c>
      <c r="T1659" s="33" t="s">
        <v>29705</v>
      </c>
      <c r="Z1659" s="33" t="s">
        <v>42968</v>
      </c>
      <c r="AA1659" s="33">
        <v>6008</v>
      </c>
    </row>
    <row r="1660" spans="1:27" ht="12" customHeight="1" x14ac:dyDescent="0.15">
      <c r="A1660" s="33" t="s">
        <v>33397</v>
      </c>
      <c r="B1660" s="33">
        <v>54</v>
      </c>
      <c r="C1660" s="33" t="s">
        <v>14</v>
      </c>
      <c r="D1660" s="33" t="s">
        <v>31</v>
      </c>
      <c r="E1660" s="42"/>
      <c r="F1660" s="67">
        <v>43279</v>
      </c>
      <c r="G1660" s="33" t="s">
        <v>33399</v>
      </c>
      <c r="H1660" s="33" t="s">
        <v>33398</v>
      </c>
      <c r="I1660" s="33" t="s">
        <v>56</v>
      </c>
      <c r="J1660" s="33">
        <v>33525</v>
      </c>
      <c r="K1660" s="33" t="s">
        <v>4016</v>
      </c>
      <c r="L1660" s="33" t="s">
        <v>4955</v>
      </c>
      <c r="M1660" s="33" t="s">
        <v>21</v>
      </c>
      <c r="N1660" s="33" t="s">
        <v>33400</v>
      </c>
      <c r="O1660" s="33" t="s">
        <v>372</v>
      </c>
      <c r="P1660" s="33" t="s">
        <v>30089</v>
      </c>
      <c r="Q1660" s="42" t="s">
        <v>33401</v>
      </c>
      <c r="R1660" s="33" t="s">
        <v>512</v>
      </c>
      <c r="S1660" s="33" t="s">
        <v>22</v>
      </c>
      <c r="T1660" s="33" t="s">
        <v>26781</v>
      </c>
      <c r="U1660" s="33" t="s">
        <v>26572</v>
      </c>
      <c r="V1660" s="33" t="s">
        <v>26573</v>
      </c>
      <c r="W1660" s="33" t="s">
        <v>94</v>
      </c>
      <c r="X1660" s="33">
        <v>3811</v>
      </c>
      <c r="Z1660" s="33" t="s">
        <v>42967</v>
      </c>
      <c r="AA1660" s="33">
        <v>6005</v>
      </c>
    </row>
    <row r="1661" spans="1:27" ht="12" customHeight="1" x14ac:dyDescent="0.15">
      <c r="A1661" s="33" t="s">
        <v>33395</v>
      </c>
      <c r="B1661" s="33">
        <v>39</v>
      </c>
      <c r="C1661" s="33" t="s">
        <v>14</v>
      </c>
      <c r="D1661" s="33" t="s">
        <v>31</v>
      </c>
      <c r="E1661" s="42" t="s">
        <v>33396</v>
      </c>
      <c r="F1661" s="67">
        <v>43279</v>
      </c>
      <c r="G1661" s="33" t="s">
        <v>33381</v>
      </c>
      <c r="H1661" s="33" t="s">
        <v>33379</v>
      </c>
      <c r="I1661" s="33" t="s">
        <v>160</v>
      </c>
      <c r="J1661" s="33">
        <v>31305</v>
      </c>
      <c r="K1661" s="33" t="s">
        <v>19437</v>
      </c>
      <c r="L1661" s="33" t="s">
        <v>33382</v>
      </c>
      <c r="M1661" s="33" t="s">
        <v>21</v>
      </c>
      <c r="N1661" s="33" t="s">
        <v>33383</v>
      </c>
      <c r="O1661" s="33" t="s">
        <v>23116</v>
      </c>
      <c r="P1661" s="33" t="s">
        <v>30089</v>
      </c>
      <c r="Q1661" s="42" t="s">
        <v>33384</v>
      </c>
      <c r="R1661" s="33" t="s">
        <v>94</v>
      </c>
      <c r="S1661" s="33" t="s">
        <v>12</v>
      </c>
      <c r="T1661" s="33" t="s">
        <v>29705</v>
      </c>
      <c r="Y1661" s="33" t="s">
        <v>42476</v>
      </c>
      <c r="Z1661" s="33" t="s">
        <v>42967</v>
      </c>
      <c r="AA1661" s="33">
        <v>6007</v>
      </c>
    </row>
    <row r="1662" spans="1:27" ht="12" customHeight="1" x14ac:dyDescent="0.15">
      <c r="A1662" s="33" t="s">
        <v>33378</v>
      </c>
      <c r="B1662" s="33">
        <v>34</v>
      </c>
      <c r="C1662" s="33" t="s">
        <v>103</v>
      </c>
      <c r="D1662" s="33" t="s">
        <v>31</v>
      </c>
      <c r="E1662" s="42" t="s">
        <v>33380</v>
      </c>
      <c r="F1662" s="67">
        <v>43279</v>
      </c>
      <c r="G1662" s="33" t="s">
        <v>33381</v>
      </c>
      <c r="H1662" s="33" t="s">
        <v>33379</v>
      </c>
      <c r="I1662" s="33" t="s">
        <v>160</v>
      </c>
      <c r="J1662" s="33">
        <v>31305</v>
      </c>
      <c r="K1662" s="33" t="s">
        <v>19437</v>
      </c>
      <c r="L1662" s="33" t="s">
        <v>33382</v>
      </c>
      <c r="M1662" s="33" t="s">
        <v>21</v>
      </c>
      <c r="N1662" s="33" t="s">
        <v>33383</v>
      </c>
      <c r="O1662" s="33" t="s">
        <v>23116</v>
      </c>
      <c r="P1662" s="33" t="s">
        <v>30089</v>
      </c>
      <c r="Q1662" s="42" t="s">
        <v>33384</v>
      </c>
      <c r="R1662" s="33" t="s">
        <v>94</v>
      </c>
      <c r="S1662" s="33" t="s">
        <v>12</v>
      </c>
      <c r="T1662" s="33" t="s">
        <v>29705</v>
      </c>
      <c r="Y1662" s="33" t="s">
        <v>42476</v>
      </c>
      <c r="Z1662" s="33" t="s">
        <v>42967</v>
      </c>
      <c r="AA1662" s="33">
        <v>6006</v>
      </c>
    </row>
    <row r="1663" spans="1:27" ht="12" customHeight="1" x14ac:dyDescent="0.15">
      <c r="A1663" s="33" t="s">
        <v>33385</v>
      </c>
      <c r="B1663" s="33">
        <v>36</v>
      </c>
      <c r="C1663" s="33" t="s">
        <v>14</v>
      </c>
      <c r="D1663" s="33" t="s">
        <v>31</v>
      </c>
      <c r="E1663" s="42" t="s">
        <v>33386</v>
      </c>
      <c r="F1663" s="67">
        <v>43279</v>
      </c>
      <c r="G1663" s="33" t="s">
        <v>33387</v>
      </c>
      <c r="H1663" s="33" t="s">
        <v>5934</v>
      </c>
      <c r="I1663" s="33" t="s">
        <v>918</v>
      </c>
      <c r="J1663" s="33">
        <v>72801</v>
      </c>
      <c r="K1663" s="33" t="s">
        <v>5936</v>
      </c>
      <c r="L1663" s="33" t="s">
        <v>5937</v>
      </c>
      <c r="M1663" s="33" t="s">
        <v>21</v>
      </c>
      <c r="N1663" s="33" t="s">
        <v>33388</v>
      </c>
      <c r="O1663" s="33" t="s">
        <v>372</v>
      </c>
      <c r="P1663" s="33" t="s">
        <v>30089</v>
      </c>
      <c r="Q1663" s="42" t="s">
        <v>33389</v>
      </c>
      <c r="R1663" s="33" t="s">
        <v>94</v>
      </c>
      <c r="S1663" s="33" t="s">
        <v>22</v>
      </c>
      <c r="T1663" s="33" t="s">
        <v>26781</v>
      </c>
      <c r="U1663" s="33" t="s">
        <v>26572</v>
      </c>
      <c r="V1663" s="33" t="s">
        <v>26573</v>
      </c>
      <c r="W1663" s="33" t="s">
        <v>94</v>
      </c>
      <c r="X1663" s="33">
        <v>3809</v>
      </c>
      <c r="Z1663" s="33" t="s">
        <v>42966</v>
      </c>
      <c r="AA1663" s="33">
        <v>6004</v>
      </c>
    </row>
    <row r="1664" spans="1:27" ht="12" customHeight="1" x14ac:dyDescent="0.15">
      <c r="A1664" s="33" t="s">
        <v>33402</v>
      </c>
      <c r="B1664" s="33">
        <v>39</v>
      </c>
      <c r="C1664" s="33" t="s">
        <v>14</v>
      </c>
      <c r="D1664" s="33" t="s">
        <v>79</v>
      </c>
      <c r="E1664" s="42" t="s">
        <v>33403</v>
      </c>
      <c r="F1664" s="67">
        <v>43278</v>
      </c>
      <c r="G1664" s="33" t="s">
        <v>33404</v>
      </c>
      <c r="H1664" s="33" t="s">
        <v>3508</v>
      </c>
      <c r="I1664" s="33" t="s">
        <v>192</v>
      </c>
      <c r="J1664" s="33">
        <v>80010</v>
      </c>
      <c r="K1664" s="33" t="s">
        <v>3510</v>
      </c>
      <c r="L1664" s="33" t="s">
        <v>3511</v>
      </c>
      <c r="M1664" s="33" t="s">
        <v>21</v>
      </c>
      <c r="N1664" s="33" t="s">
        <v>33405</v>
      </c>
      <c r="O1664" s="33" t="s">
        <v>372</v>
      </c>
      <c r="P1664" s="33" t="s">
        <v>30089</v>
      </c>
      <c r="Q1664" s="42" t="s">
        <v>33406</v>
      </c>
      <c r="R1664" s="33" t="s">
        <v>94</v>
      </c>
      <c r="S1664" s="33" t="s">
        <v>22</v>
      </c>
      <c r="T1664" s="33" t="s">
        <v>26781</v>
      </c>
      <c r="U1664" s="33" t="s">
        <v>26572</v>
      </c>
      <c r="V1664" s="33" t="s">
        <v>26574</v>
      </c>
      <c r="W1664" s="33" t="s">
        <v>94</v>
      </c>
      <c r="X1664" s="33">
        <v>3807</v>
      </c>
      <c r="Z1664" s="33" t="s">
        <v>42966</v>
      </c>
      <c r="AA1664" s="33">
        <v>6003</v>
      </c>
    </row>
    <row r="1665" spans="1:27" ht="12" customHeight="1" x14ac:dyDescent="0.15">
      <c r="A1665" s="33" t="s">
        <v>33407</v>
      </c>
      <c r="B1665" s="33">
        <v>18</v>
      </c>
      <c r="C1665" s="33" t="s">
        <v>14</v>
      </c>
      <c r="D1665" s="33" t="s">
        <v>42</v>
      </c>
      <c r="E1665" s="42" t="s">
        <v>33408</v>
      </c>
      <c r="F1665" s="67">
        <v>43276</v>
      </c>
      <c r="G1665" s="33" t="s">
        <v>33409</v>
      </c>
      <c r="H1665" s="33" t="s">
        <v>4843</v>
      </c>
      <c r="I1665" s="33" t="s">
        <v>67</v>
      </c>
      <c r="J1665" s="33">
        <v>77551</v>
      </c>
      <c r="K1665" s="33" t="s">
        <v>4843</v>
      </c>
      <c r="L1665" s="33" t="s">
        <v>20720</v>
      </c>
      <c r="M1665" s="33" t="s">
        <v>21</v>
      </c>
      <c r="N1665" s="33" t="s">
        <v>33410</v>
      </c>
      <c r="O1665" s="33" t="s">
        <v>372</v>
      </c>
      <c r="P1665" s="33" t="s">
        <v>30089</v>
      </c>
      <c r="Q1665" s="42" t="s">
        <v>33411</v>
      </c>
      <c r="R1665" s="33" t="s">
        <v>94</v>
      </c>
      <c r="S1665" s="33" t="s">
        <v>29</v>
      </c>
      <c r="T1665" s="33" t="s">
        <v>26576</v>
      </c>
      <c r="U1665" s="33" t="s">
        <v>26575</v>
      </c>
      <c r="W1665" s="33" t="s">
        <v>94</v>
      </c>
      <c r="X1665" s="33">
        <v>3798</v>
      </c>
      <c r="Z1665" s="33" t="s">
        <v>42968</v>
      </c>
      <c r="AA1665" s="33">
        <v>6001</v>
      </c>
    </row>
    <row r="1666" spans="1:27" ht="12" customHeight="1" x14ac:dyDescent="0.15">
      <c r="A1666" s="33" t="s">
        <v>33417</v>
      </c>
      <c r="B1666" s="33">
        <v>30</v>
      </c>
      <c r="C1666" s="33" t="s">
        <v>14</v>
      </c>
      <c r="D1666" s="33" t="s">
        <v>31</v>
      </c>
      <c r="E1666" s="42" t="s">
        <v>33419</v>
      </c>
      <c r="F1666" s="67">
        <v>43276</v>
      </c>
      <c r="G1666" s="33" t="s">
        <v>33420</v>
      </c>
      <c r="H1666" s="33" t="s">
        <v>33418</v>
      </c>
      <c r="I1666" s="33" t="s">
        <v>621</v>
      </c>
      <c r="J1666" s="33">
        <v>38901</v>
      </c>
      <c r="K1666" s="33" t="s">
        <v>33418</v>
      </c>
      <c r="L1666" s="33" t="s">
        <v>33421</v>
      </c>
      <c r="M1666" s="33" t="s">
        <v>21</v>
      </c>
      <c r="N1666" s="33" t="s">
        <v>33422</v>
      </c>
      <c r="O1666" s="33" t="s">
        <v>372</v>
      </c>
      <c r="P1666" s="33" t="s">
        <v>30089</v>
      </c>
      <c r="Q1666" s="42" t="s">
        <v>33423</v>
      </c>
      <c r="R1666" s="33" t="s">
        <v>94</v>
      </c>
      <c r="S1666" s="33" t="s">
        <v>351</v>
      </c>
      <c r="T1666" s="33" t="s">
        <v>26867</v>
      </c>
      <c r="U1666" s="33" t="s">
        <v>26570</v>
      </c>
      <c r="V1666" s="33" t="s">
        <v>26571</v>
      </c>
      <c r="W1666" s="33" t="s">
        <v>94</v>
      </c>
      <c r="X1666" s="33">
        <v>3838</v>
      </c>
      <c r="Z1666" s="33" t="s">
        <v>42967</v>
      </c>
      <c r="AA1666" s="33">
        <v>6002</v>
      </c>
    </row>
    <row r="1667" spans="1:27" ht="12" customHeight="1" x14ac:dyDescent="0.15">
      <c r="A1667" s="33" t="s">
        <v>33412</v>
      </c>
      <c r="B1667" s="33">
        <v>29</v>
      </c>
      <c r="C1667" s="33" t="s">
        <v>14</v>
      </c>
      <c r="D1667" s="33" t="s">
        <v>31</v>
      </c>
      <c r="E1667" s="42"/>
      <c r="F1667" s="67">
        <v>43276</v>
      </c>
      <c r="G1667" s="33" t="s">
        <v>33413</v>
      </c>
      <c r="H1667" s="33" t="s">
        <v>266</v>
      </c>
      <c r="I1667" s="33" t="s">
        <v>67</v>
      </c>
      <c r="J1667" s="33">
        <v>75218</v>
      </c>
      <c r="K1667" s="33" t="s">
        <v>266</v>
      </c>
      <c r="L1667" s="33" t="s">
        <v>33414</v>
      </c>
      <c r="M1667" s="33" t="s">
        <v>21</v>
      </c>
      <c r="N1667" s="33" t="s">
        <v>33415</v>
      </c>
      <c r="O1667" s="33" t="s">
        <v>372</v>
      </c>
      <c r="P1667" s="33" t="s">
        <v>30089</v>
      </c>
      <c r="Q1667" s="42" t="s">
        <v>33416</v>
      </c>
      <c r="R1667" s="33" t="s">
        <v>94</v>
      </c>
      <c r="S1667" s="33" t="s">
        <v>22</v>
      </c>
      <c r="T1667" s="33" t="s">
        <v>26781</v>
      </c>
      <c r="U1667" s="33" t="s">
        <v>26572</v>
      </c>
      <c r="V1667" s="33" t="s">
        <v>26571</v>
      </c>
      <c r="W1667" s="33" t="s">
        <v>94</v>
      </c>
      <c r="X1667" s="33">
        <v>3803</v>
      </c>
      <c r="Z1667" s="33" t="s">
        <v>42968</v>
      </c>
      <c r="AA1667" s="33">
        <v>5999</v>
      </c>
    </row>
    <row r="1668" spans="1:27" ht="12" customHeight="1" x14ac:dyDescent="0.15">
      <c r="A1668" s="33" t="s">
        <v>33424</v>
      </c>
      <c r="B1668" s="33">
        <v>36</v>
      </c>
      <c r="C1668" s="33" t="s">
        <v>14</v>
      </c>
      <c r="D1668" s="33" t="s">
        <v>24</v>
      </c>
      <c r="E1668" s="42"/>
      <c r="F1668" s="67">
        <v>43276</v>
      </c>
      <c r="G1668" s="33" t="s">
        <v>33426</v>
      </c>
      <c r="H1668" s="33" t="s">
        <v>33425</v>
      </c>
      <c r="I1668" s="33" t="s">
        <v>376</v>
      </c>
      <c r="J1668" s="33">
        <v>18456</v>
      </c>
      <c r="K1668" s="33" t="s">
        <v>1057</v>
      </c>
      <c r="L1668" s="33" t="s">
        <v>473</v>
      </c>
      <c r="M1668" s="33" t="s">
        <v>21</v>
      </c>
      <c r="N1668" s="33" t="s">
        <v>33427</v>
      </c>
      <c r="O1668" s="33" t="s">
        <v>372</v>
      </c>
      <c r="P1668" s="33" t="s">
        <v>30089</v>
      </c>
      <c r="Q1668" s="42" t="s">
        <v>33428</v>
      </c>
      <c r="R1668" s="33" t="s">
        <v>512</v>
      </c>
      <c r="S1668" s="33" t="s">
        <v>22</v>
      </c>
      <c r="T1668" s="33" t="s">
        <v>26781</v>
      </c>
      <c r="U1668" s="33" t="s">
        <v>26572</v>
      </c>
      <c r="V1668" s="33" t="s">
        <v>26573</v>
      </c>
      <c r="W1668" s="33" t="s">
        <v>94</v>
      </c>
      <c r="X1668" s="33">
        <v>3840</v>
      </c>
      <c r="Z1668" s="33" t="s">
        <v>42967</v>
      </c>
      <c r="AA1668" s="33">
        <v>6000</v>
      </c>
    </row>
    <row r="1669" spans="1:27" ht="12" customHeight="1" x14ac:dyDescent="0.15">
      <c r="A1669" s="33" t="s">
        <v>3002</v>
      </c>
      <c r="B1669" s="33" t="s">
        <v>23</v>
      </c>
      <c r="C1669" s="33" t="s">
        <v>14</v>
      </c>
      <c r="D1669" s="33" t="s">
        <v>24</v>
      </c>
      <c r="E1669" s="42"/>
      <c r="F1669" s="67">
        <v>43274</v>
      </c>
      <c r="G1669" s="33" t="s">
        <v>33449</v>
      </c>
      <c r="H1669" s="33" t="s">
        <v>143</v>
      </c>
      <c r="I1669" s="33" t="s">
        <v>39</v>
      </c>
      <c r="J1669" s="33">
        <v>92115</v>
      </c>
      <c r="K1669" s="33" t="s">
        <v>143</v>
      </c>
      <c r="L1669" s="33" t="s">
        <v>144</v>
      </c>
      <c r="M1669" s="33" t="s">
        <v>21</v>
      </c>
      <c r="N1669" s="33" t="s">
        <v>33450</v>
      </c>
      <c r="O1669" s="33" t="s">
        <v>372</v>
      </c>
      <c r="P1669" s="33" t="s">
        <v>30089</v>
      </c>
      <c r="Q1669" s="42" t="s">
        <v>33451</v>
      </c>
      <c r="R1669" s="33" t="s">
        <v>94</v>
      </c>
      <c r="S1669" s="33" t="s">
        <v>22</v>
      </c>
      <c r="T1669" s="33" t="s">
        <v>26781</v>
      </c>
      <c r="U1669" s="33" t="s">
        <v>26572</v>
      </c>
      <c r="V1669" s="33" t="s">
        <v>26573</v>
      </c>
      <c r="W1669" s="33" t="s">
        <v>94</v>
      </c>
      <c r="X1669" s="33">
        <v>3800</v>
      </c>
      <c r="Z1669" s="33" t="s">
        <v>42966</v>
      </c>
      <c r="AA1669" s="33">
        <v>5994</v>
      </c>
    </row>
    <row r="1670" spans="1:27" ht="12" customHeight="1" x14ac:dyDescent="0.15">
      <c r="A1670" s="33" t="s">
        <v>33429</v>
      </c>
      <c r="B1670" s="33">
        <v>30</v>
      </c>
      <c r="C1670" s="33" t="s">
        <v>14</v>
      </c>
      <c r="D1670" s="33" t="s">
        <v>79</v>
      </c>
      <c r="E1670" s="42"/>
      <c r="F1670" s="67">
        <v>43274</v>
      </c>
      <c r="G1670" s="33" t="s">
        <v>33430</v>
      </c>
      <c r="H1670" s="33" t="s">
        <v>6191</v>
      </c>
      <c r="I1670" s="33" t="s">
        <v>122</v>
      </c>
      <c r="J1670" s="33">
        <v>55430</v>
      </c>
      <c r="K1670" s="33" t="s">
        <v>1009</v>
      </c>
      <c r="L1670" s="33" t="s">
        <v>15162</v>
      </c>
      <c r="M1670" s="33" t="s">
        <v>21</v>
      </c>
      <c r="N1670" s="33" t="s">
        <v>33431</v>
      </c>
      <c r="O1670" s="33" t="s">
        <v>372</v>
      </c>
      <c r="P1670" s="33" t="s">
        <v>30089</v>
      </c>
      <c r="Q1670" s="42" t="s">
        <v>33432</v>
      </c>
      <c r="R1670" s="33" t="s">
        <v>904</v>
      </c>
      <c r="S1670" s="33" t="s">
        <v>22</v>
      </c>
      <c r="T1670" s="33" t="s">
        <v>26781</v>
      </c>
      <c r="U1670" s="33" t="s">
        <v>26572</v>
      </c>
      <c r="V1670" s="33" t="s">
        <v>26574</v>
      </c>
      <c r="W1670" s="33" t="s">
        <v>512</v>
      </c>
      <c r="X1670" s="33">
        <v>3796</v>
      </c>
      <c r="Z1670" s="33" t="s">
        <v>42968</v>
      </c>
      <c r="AA1670" s="33">
        <v>5993</v>
      </c>
    </row>
    <row r="1671" spans="1:27" ht="12" customHeight="1" x14ac:dyDescent="0.15">
      <c r="A1671" s="33" t="s">
        <v>33438</v>
      </c>
      <c r="B1671" s="33">
        <v>47</v>
      </c>
      <c r="C1671" s="33" t="s">
        <v>14</v>
      </c>
      <c r="D1671" s="33" t="s">
        <v>31</v>
      </c>
      <c r="E1671" s="42" t="s">
        <v>33440</v>
      </c>
      <c r="F1671" s="67">
        <v>43274</v>
      </c>
      <c r="G1671" s="33" t="s">
        <v>33441</v>
      </c>
      <c r="H1671" s="33" t="s">
        <v>33439</v>
      </c>
      <c r="I1671" s="33" t="s">
        <v>106</v>
      </c>
      <c r="J1671" s="33">
        <v>97420</v>
      </c>
      <c r="K1671" s="33" t="s">
        <v>33442</v>
      </c>
      <c r="L1671" s="33" t="s">
        <v>33443</v>
      </c>
      <c r="M1671" s="33" t="s">
        <v>21</v>
      </c>
      <c r="N1671" s="33" t="s">
        <v>36456</v>
      </c>
      <c r="O1671" s="33" t="s">
        <v>372</v>
      </c>
      <c r="P1671" s="33" t="s">
        <v>30089</v>
      </c>
      <c r="Q1671" s="42" t="s">
        <v>33444</v>
      </c>
      <c r="R1671" s="33" t="s">
        <v>94</v>
      </c>
      <c r="S1671" s="33" t="s">
        <v>22</v>
      </c>
      <c r="T1671" s="33" t="s">
        <v>26781</v>
      </c>
      <c r="U1671" s="33" t="s">
        <v>26572</v>
      </c>
      <c r="V1671" s="33" t="s">
        <v>26573</v>
      </c>
      <c r="W1671" s="33" t="s">
        <v>94</v>
      </c>
      <c r="X1671" s="33">
        <v>3801</v>
      </c>
      <c r="Z1671" s="33" t="s">
        <v>42967</v>
      </c>
      <c r="AA1671" s="33">
        <v>5995</v>
      </c>
    </row>
    <row r="1672" spans="1:27" ht="12" customHeight="1" x14ac:dyDescent="0.15">
      <c r="A1672" s="33" t="s">
        <v>3002</v>
      </c>
      <c r="B1672" s="33" t="s">
        <v>23</v>
      </c>
      <c r="C1672" s="33" t="s">
        <v>14</v>
      </c>
      <c r="D1672" s="33" t="s">
        <v>24</v>
      </c>
      <c r="E1672" s="42"/>
      <c r="F1672" s="67">
        <v>43274</v>
      </c>
      <c r="G1672" s="33" t="s">
        <v>33452</v>
      </c>
      <c r="H1672" s="33" t="s">
        <v>27738</v>
      </c>
      <c r="I1672" s="33" t="s">
        <v>192</v>
      </c>
      <c r="J1672" s="33">
        <v>80111</v>
      </c>
      <c r="K1672" s="33" t="s">
        <v>3510</v>
      </c>
      <c r="L1672" s="33" t="s">
        <v>1791</v>
      </c>
      <c r="M1672" s="33" t="s">
        <v>21</v>
      </c>
      <c r="N1672" s="33" t="s">
        <v>33453</v>
      </c>
      <c r="O1672" s="33" t="s">
        <v>372</v>
      </c>
      <c r="P1672" s="33" t="s">
        <v>30089</v>
      </c>
      <c r="Q1672" s="42" t="s">
        <v>33454</v>
      </c>
      <c r="R1672" s="33" t="s">
        <v>94</v>
      </c>
      <c r="S1672" s="33" t="s">
        <v>22</v>
      </c>
      <c r="T1672" s="33" t="s">
        <v>26781</v>
      </c>
      <c r="U1672" s="33" t="s">
        <v>26572</v>
      </c>
      <c r="V1672" s="33" t="s">
        <v>26571</v>
      </c>
      <c r="W1672" s="33" t="s">
        <v>94</v>
      </c>
      <c r="X1672" s="33">
        <v>3804</v>
      </c>
      <c r="Z1672" s="33" t="s">
        <v>42968</v>
      </c>
      <c r="AA1672" s="33">
        <v>5996</v>
      </c>
    </row>
    <row r="1673" spans="1:27" ht="12" customHeight="1" x14ac:dyDescent="0.15">
      <c r="A1673" s="33" t="s">
        <v>36988</v>
      </c>
      <c r="B1673" s="33">
        <v>25</v>
      </c>
      <c r="C1673" s="33" t="s">
        <v>14</v>
      </c>
      <c r="D1673" s="33" t="s">
        <v>79</v>
      </c>
      <c r="F1673" s="67">
        <v>43274</v>
      </c>
      <c r="G1673" s="10" t="s">
        <v>37018</v>
      </c>
      <c r="H1673" s="10" t="s">
        <v>1037</v>
      </c>
      <c r="I1673" s="33" t="s">
        <v>19</v>
      </c>
      <c r="J1673" s="65">
        <v>71202</v>
      </c>
      <c r="K1673" s="10" t="s">
        <v>5174</v>
      </c>
      <c r="L1673" s="10" t="s">
        <v>35333</v>
      </c>
      <c r="M1673" s="33" t="s">
        <v>21</v>
      </c>
      <c r="N1673" s="10" t="s">
        <v>37047</v>
      </c>
      <c r="O1673" s="10" t="s">
        <v>372</v>
      </c>
      <c r="P1673" s="33" t="s">
        <v>30089</v>
      </c>
      <c r="Q1673" s="64" t="s">
        <v>37048</v>
      </c>
      <c r="R1673" s="33" t="s">
        <v>94</v>
      </c>
      <c r="S1673" s="33" t="s">
        <v>22</v>
      </c>
      <c r="T1673" s="36" t="s">
        <v>26774</v>
      </c>
      <c r="U1673" s="36" t="s">
        <v>26572</v>
      </c>
      <c r="V1673" s="36" t="s">
        <v>26573</v>
      </c>
      <c r="W1673" s="33" t="s">
        <v>94</v>
      </c>
      <c r="X1673" s="33">
        <v>3797</v>
      </c>
      <c r="Z1673" s="33" t="s">
        <v>42968</v>
      </c>
      <c r="AA1673" s="33">
        <v>5998</v>
      </c>
    </row>
    <row r="1674" spans="1:27" ht="12" customHeight="1" x14ac:dyDescent="0.15">
      <c r="A1674" s="33" t="s">
        <v>33445</v>
      </c>
      <c r="B1674" s="33">
        <v>48</v>
      </c>
      <c r="C1674" s="33" t="s">
        <v>14</v>
      </c>
      <c r="D1674" s="33" t="s">
        <v>31</v>
      </c>
      <c r="E1674" s="42"/>
      <c r="F1674" s="67">
        <v>43274</v>
      </c>
      <c r="G1674" s="33" t="s">
        <v>33446</v>
      </c>
      <c r="H1674" s="33" t="s">
        <v>2536</v>
      </c>
      <c r="I1674" s="33" t="s">
        <v>735</v>
      </c>
      <c r="J1674" s="33">
        <v>83646</v>
      </c>
      <c r="K1674" s="33" t="s">
        <v>3903</v>
      </c>
      <c r="L1674" s="33" t="s">
        <v>30036</v>
      </c>
      <c r="M1674" s="33" t="s">
        <v>21</v>
      </c>
      <c r="N1674" s="33" t="s">
        <v>33447</v>
      </c>
      <c r="O1674" s="33" t="s">
        <v>372</v>
      </c>
      <c r="P1674" s="33" t="s">
        <v>30089</v>
      </c>
      <c r="Q1674" s="42" t="s">
        <v>33448</v>
      </c>
      <c r="R1674" s="33" t="s">
        <v>94</v>
      </c>
      <c r="S1674" s="33" t="s">
        <v>22</v>
      </c>
      <c r="T1674" s="33" t="s">
        <v>29419</v>
      </c>
      <c r="U1674" s="33" t="s">
        <v>26570</v>
      </c>
      <c r="V1674" s="33" t="s">
        <v>26573</v>
      </c>
      <c r="W1674" s="33" t="s">
        <v>94</v>
      </c>
      <c r="X1674" s="33">
        <v>3802</v>
      </c>
      <c r="Z1674" s="33" t="s">
        <v>42968</v>
      </c>
      <c r="AA1674" s="33">
        <v>5997</v>
      </c>
    </row>
    <row r="1675" spans="1:27" ht="12" customHeight="1" x14ac:dyDescent="0.15">
      <c r="A1675" s="33" t="s">
        <v>36344</v>
      </c>
      <c r="B1675" s="33">
        <v>32</v>
      </c>
      <c r="C1675" s="33" t="s">
        <v>14</v>
      </c>
      <c r="D1675" s="33" t="s">
        <v>885</v>
      </c>
      <c r="E1675" s="42"/>
      <c r="F1675" s="67">
        <v>43274</v>
      </c>
      <c r="G1675" s="33" t="s">
        <v>33434</v>
      </c>
      <c r="H1675" s="33" t="s">
        <v>33433</v>
      </c>
      <c r="I1675" s="33" t="s">
        <v>814</v>
      </c>
      <c r="J1675" s="33">
        <v>96712</v>
      </c>
      <c r="K1675" s="33" t="s">
        <v>2196</v>
      </c>
      <c r="L1675" s="33" t="s">
        <v>3281</v>
      </c>
      <c r="M1675" s="33" t="s">
        <v>21</v>
      </c>
      <c r="N1675" s="33" t="s">
        <v>33435</v>
      </c>
      <c r="O1675" s="33" t="s">
        <v>372</v>
      </c>
      <c r="P1675" s="33" t="s">
        <v>30089</v>
      </c>
      <c r="Q1675" s="42" t="s">
        <v>33436</v>
      </c>
      <c r="R1675" s="33" t="s">
        <v>512</v>
      </c>
      <c r="S1675" s="33" t="s">
        <v>22</v>
      </c>
      <c r="T1675" s="33" t="s">
        <v>33437</v>
      </c>
      <c r="U1675" s="33" t="s">
        <v>26572</v>
      </c>
      <c r="V1675" s="33" t="s">
        <v>26573</v>
      </c>
      <c r="W1675" s="33" t="s">
        <v>94</v>
      </c>
      <c r="X1675" s="33">
        <v>3841</v>
      </c>
      <c r="Z1675" s="33" t="s">
        <v>42968</v>
      </c>
      <c r="AA1675" s="33">
        <v>5992</v>
      </c>
    </row>
    <row r="1676" spans="1:27" ht="12" customHeight="1" x14ac:dyDescent="0.15">
      <c r="A1676" s="33" t="s">
        <v>33460</v>
      </c>
      <c r="B1676" s="33">
        <v>31</v>
      </c>
      <c r="C1676" s="33" t="s">
        <v>14</v>
      </c>
      <c r="D1676" s="33" t="s">
        <v>24</v>
      </c>
      <c r="E1676" s="42"/>
      <c r="F1676" s="67">
        <v>43273</v>
      </c>
      <c r="G1676" s="33" t="s">
        <v>15007</v>
      </c>
      <c r="H1676" s="33" t="s">
        <v>8049</v>
      </c>
      <c r="I1676" s="33" t="s">
        <v>39</v>
      </c>
      <c r="J1676" s="33">
        <v>90301</v>
      </c>
      <c r="K1676" s="33" t="s">
        <v>92</v>
      </c>
      <c r="L1676" s="33" t="s">
        <v>8051</v>
      </c>
      <c r="M1676" s="33" t="s">
        <v>21</v>
      </c>
      <c r="N1676" s="33" t="s">
        <v>33461</v>
      </c>
      <c r="O1676" s="33" t="s">
        <v>372</v>
      </c>
      <c r="P1676" s="33" t="s">
        <v>30089</v>
      </c>
      <c r="Q1676" s="42" t="s">
        <v>33462</v>
      </c>
      <c r="R1676" s="33" t="s">
        <v>512</v>
      </c>
      <c r="S1676" s="33" t="s">
        <v>12</v>
      </c>
      <c r="T1676" s="33" t="s">
        <v>29425</v>
      </c>
      <c r="U1676" s="33" t="s">
        <v>26572</v>
      </c>
      <c r="V1676" s="33" t="s">
        <v>26573</v>
      </c>
      <c r="W1676" s="33" t="s">
        <v>94</v>
      </c>
      <c r="X1676" s="33">
        <v>3844</v>
      </c>
      <c r="Z1676" s="33" t="s">
        <v>42966</v>
      </c>
      <c r="AA1676" s="33">
        <v>5991</v>
      </c>
    </row>
    <row r="1677" spans="1:27" ht="12" customHeight="1" x14ac:dyDescent="0.15">
      <c r="A1677" s="33" t="s">
        <v>33463</v>
      </c>
      <c r="B1677" s="33">
        <v>31</v>
      </c>
      <c r="C1677" s="33" t="s">
        <v>14</v>
      </c>
      <c r="D1677" s="33" t="s">
        <v>31</v>
      </c>
      <c r="E1677" s="42"/>
      <c r="F1677" s="67">
        <v>43273</v>
      </c>
      <c r="G1677" s="33" t="s">
        <v>33464</v>
      </c>
      <c r="H1677" s="33" t="s">
        <v>275</v>
      </c>
      <c r="I1677" s="33" t="s">
        <v>225</v>
      </c>
      <c r="J1677" s="33">
        <v>22801</v>
      </c>
      <c r="K1677" s="33" t="s">
        <v>33465</v>
      </c>
      <c r="L1677" s="33" t="s">
        <v>276</v>
      </c>
      <c r="M1677" s="33" t="s">
        <v>21</v>
      </c>
      <c r="N1677" s="33" t="s">
        <v>36457</v>
      </c>
      <c r="O1677" s="33" t="s">
        <v>372</v>
      </c>
      <c r="P1677" s="33" t="s">
        <v>30089</v>
      </c>
      <c r="Q1677" s="42" t="s">
        <v>33466</v>
      </c>
      <c r="R1677" s="33" t="s">
        <v>94</v>
      </c>
      <c r="S1677" s="33" t="s">
        <v>22</v>
      </c>
      <c r="T1677" s="33" t="s">
        <v>26774</v>
      </c>
      <c r="U1677" s="33" t="s">
        <v>26572</v>
      </c>
      <c r="V1677" s="33" t="s">
        <v>26573</v>
      </c>
      <c r="W1677" s="33" t="s">
        <v>94</v>
      </c>
      <c r="X1677" s="33">
        <v>3843</v>
      </c>
      <c r="Z1677" s="33" t="s">
        <v>42966</v>
      </c>
      <c r="AA1677" s="33">
        <v>5989</v>
      </c>
    </row>
    <row r="1678" spans="1:27" ht="12" customHeight="1" x14ac:dyDescent="0.15">
      <c r="A1678" s="33" t="s">
        <v>33471</v>
      </c>
      <c r="B1678" s="33">
        <v>37</v>
      </c>
      <c r="C1678" s="33" t="s">
        <v>14</v>
      </c>
      <c r="D1678" s="33" t="s">
        <v>31</v>
      </c>
      <c r="E1678" s="42"/>
      <c r="F1678" s="67">
        <v>43273</v>
      </c>
      <c r="G1678" s="33" t="s">
        <v>33472</v>
      </c>
      <c r="H1678" s="33" t="s">
        <v>4499</v>
      </c>
      <c r="I1678" s="33" t="s">
        <v>63</v>
      </c>
      <c r="J1678" s="33">
        <v>45014</v>
      </c>
      <c r="K1678" s="33" t="s">
        <v>5063</v>
      </c>
      <c r="L1678" s="33" t="s">
        <v>4501</v>
      </c>
      <c r="M1678" s="33" t="s">
        <v>21</v>
      </c>
      <c r="N1678" s="33" t="s">
        <v>33473</v>
      </c>
      <c r="O1678" s="33" t="s">
        <v>372</v>
      </c>
      <c r="P1678" s="33" t="s">
        <v>30089</v>
      </c>
      <c r="Q1678" s="42" t="s">
        <v>33474</v>
      </c>
      <c r="R1678" s="33" t="s">
        <v>94</v>
      </c>
      <c r="S1678" s="33" t="s">
        <v>22</v>
      </c>
      <c r="T1678" s="33" t="s">
        <v>26774</v>
      </c>
      <c r="U1678" s="33" t="s">
        <v>26572</v>
      </c>
      <c r="V1678" s="33" t="s">
        <v>26573</v>
      </c>
      <c r="W1678" s="33" t="s">
        <v>94</v>
      </c>
      <c r="X1678" s="33">
        <v>3795</v>
      </c>
      <c r="Z1678" s="33" t="s">
        <v>42968</v>
      </c>
      <c r="AA1678" s="33">
        <v>5987</v>
      </c>
    </row>
    <row r="1679" spans="1:27" ht="12" customHeight="1" x14ac:dyDescent="0.15">
      <c r="A1679" s="33" t="s">
        <v>33467</v>
      </c>
      <c r="B1679" s="33">
        <v>32</v>
      </c>
      <c r="C1679" s="33" t="s">
        <v>14</v>
      </c>
      <c r="D1679" s="33" t="s">
        <v>79</v>
      </c>
      <c r="E1679" s="42"/>
      <c r="F1679" s="67">
        <v>43273</v>
      </c>
      <c r="G1679" s="33" t="s">
        <v>33468</v>
      </c>
      <c r="H1679" s="33" t="s">
        <v>1309</v>
      </c>
      <c r="I1679" s="33" t="s">
        <v>75</v>
      </c>
      <c r="J1679" s="33">
        <v>8401</v>
      </c>
      <c r="K1679" s="33" t="s">
        <v>1310</v>
      </c>
      <c r="L1679" s="33" t="s">
        <v>1311</v>
      </c>
      <c r="M1679" s="33" t="s">
        <v>21</v>
      </c>
      <c r="N1679" s="33" t="s">
        <v>33469</v>
      </c>
      <c r="O1679" s="33" t="s">
        <v>372</v>
      </c>
      <c r="P1679" s="33" t="s">
        <v>30089</v>
      </c>
      <c r="Q1679" s="42" t="s">
        <v>33470</v>
      </c>
      <c r="R1679" s="33" t="s">
        <v>94</v>
      </c>
      <c r="S1679" s="33" t="s">
        <v>22</v>
      </c>
      <c r="T1679" s="33" t="s">
        <v>26774</v>
      </c>
      <c r="U1679" s="33" t="s">
        <v>26572</v>
      </c>
      <c r="V1679" s="33" t="s">
        <v>26573</v>
      </c>
      <c r="W1679" s="33" t="s">
        <v>512</v>
      </c>
      <c r="X1679" s="33">
        <v>3842</v>
      </c>
      <c r="Z1679" s="33" t="s">
        <v>42966</v>
      </c>
      <c r="AA1679" s="33">
        <v>5988</v>
      </c>
    </row>
    <row r="1680" spans="1:27" ht="12" customHeight="1" x14ac:dyDescent="0.15">
      <c r="A1680" s="33" t="s">
        <v>33455</v>
      </c>
      <c r="B1680" s="33">
        <v>20</v>
      </c>
      <c r="C1680" s="33" t="s">
        <v>14</v>
      </c>
      <c r="D1680" s="33" t="s">
        <v>31</v>
      </c>
      <c r="E1680" s="42" t="s">
        <v>33456</v>
      </c>
      <c r="F1680" s="67">
        <v>43273</v>
      </c>
      <c r="G1680" s="33" t="s">
        <v>33457</v>
      </c>
      <c r="H1680" s="33" t="s">
        <v>2870</v>
      </c>
      <c r="I1680" s="33" t="s">
        <v>395</v>
      </c>
      <c r="J1680" s="33">
        <v>12206</v>
      </c>
      <c r="K1680" s="33" t="s">
        <v>2870</v>
      </c>
      <c r="L1680" s="33" t="s">
        <v>22726</v>
      </c>
      <c r="M1680" s="33" t="s">
        <v>21</v>
      </c>
      <c r="N1680" s="33" t="s">
        <v>33458</v>
      </c>
      <c r="O1680" s="33" t="s">
        <v>372</v>
      </c>
      <c r="P1680" s="33" t="s">
        <v>30089</v>
      </c>
      <c r="Q1680" s="42" t="s">
        <v>33459</v>
      </c>
      <c r="R1680" s="33" t="s">
        <v>512</v>
      </c>
      <c r="S1680" s="33" t="s">
        <v>22</v>
      </c>
      <c r="T1680" s="33" t="s">
        <v>26774</v>
      </c>
      <c r="U1680" s="33" t="s">
        <v>26572</v>
      </c>
      <c r="V1680" s="33" t="s">
        <v>26573</v>
      </c>
      <c r="W1680" s="33" t="s">
        <v>94</v>
      </c>
      <c r="X1680" s="33">
        <v>3845</v>
      </c>
      <c r="Z1680" s="33" t="s">
        <v>42966</v>
      </c>
      <c r="AA1680" s="33">
        <v>5990</v>
      </c>
    </row>
    <row r="1681" spans="1:27" ht="12" customHeight="1" x14ac:dyDescent="0.15">
      <c r="A1681" s="33" t="s">
        <v>33488</v>
      </c>
      <c r="B1681" s="33">
        <v>44</v>
      </c>
      <c r="C1681" s="33" t="s">
        <v>14</v>
      </c>
      <c r="D1681" s="33" t="s">
        <v>31</v>
      </c>
      <c r="E1681" s="42" t="s">
        <v>33489</v>
      </c>
      <c r="F1681" s="67">
        <v>43271</v>
      </c>
      <c r="G1681" s="33" t="s">
        <v>33490</v>
      </c>
      <c r="H1681" s="33" t="s">
        <v>11724</v>
      </c>
      <c r="I1681" s="33" t="s">
        <v>106</v>
      </c>
      <c r="J1681" s="33">
        <v>97701</v>
      </c>
      <c r="K1681" s="33" t="s">
        <v>11726</v>
      </c>
      <c r="L1681" s="33" t="s">
        <v>33491</v>
      </c>
      <c r="M1681" s="33" t="s">
        <v>21</v>
      </c>
      <c r="N1681" s="33" t="s">
        <v>33492</v>
      </c>
      <c r="O1681" s="33" t="s">
        <v>372</v>
      </c>
      <c r="P1681" s="33" t="s">
        <v>30089</v>
      </c>
      <c r="Q1681" s="42" t="s">
        <v>33493</v>
      </c>
      <c r="R1681" s="33" t="s">
        <v>94</v>
      </c>
      <c r="S1681" s="33" t="s">
        <v>29</v>
      </c>
      <c r="T1681" s="33" t="s">
        <v>26575</v>
      </c>
      <c r="U1681" s="33" t="s">
        <v>26575</v>
      </c>
      <c r="W1681" s="33" t="s">
        <v>94</v>
      </c>
      <c r="X1681" s="33">
        <v>3794</v>
      </c>
      <c r="Z1681" s="33" t="s">
        <v>42968</v>
      </c>
      <c r="AA1681" s="33">
        <v>5986</v>
      </c>
    </row>
    <row r="1682" spans="1:27" ht="12" customHeight="1" x14ac:dyDescent="0.15">
      <c r="A1682" s="33" t="s">
        <v>33475</v>
      </c>
      <c r="B1682" s="33">
        <v>29</v>
      </c>
      <c r="C1682" s="33" t="s">
        <v>14</v>
      </c>
      <c r="D1682" s="33" t="s">
        <v>24</v>
      </c>
      <c r="E1682" s="42"/>
      <c r="F1682" s="67">
        <v>43271</v>
      </c>
      <c r="G1682" s="33" t="s">
        <v>33477</v>
      </c>
      <c r="H1682" s="33" t="s">
        <v>33476</v>
      </c>
      <c r="I1682" s="33" t="s">
        <v>63</v>
      </c>
      <c r="J1682" s="33">
        <v>44130</v>
      </c>
      <c r="K1682" s="33" t="s">
        <v>95</v>
      </c>
      <c r="L1682" s="33" t="s">
        <v>33478</v>
      </c>
      <c r="M1682" s="33" t="s">
        <v>21</v>
      </c>
      <c r="N1682" s="33" t="s">
        <v>33479</v>
      </c>
      <c r="O1682" s="33" t="s">
        <v>372</v>
      </c>
      <c r="P1682" s="33" t="s">
        <v>30089</v>
      </c>
      <c r="Q1682" s="42" t="s">
        <v>33480</v>
      </c>
      <c r="R1682" s="33" t="s">
        <v>94</v>
      </c>
      <c r="S1682" s="33" t="s">
        <v>22</v>
      </c>
      <c r="T1682" s="33" t="s">
        <v>26781</v>
      </c>
      <c r="U1682" s="33" t="s">
        <v>26572</v>
      </c>
      <c r="V1682" s="33" t="s">
        <v>26573</v>
      </c>
      <c r="W1682" s="33" t="s">
        <v>94</v>
      </c>
      <c r="X1682" s="33">
        <v>3793</v>
      </c>
      <c r="Z1682" s="33" t="s">
        <v>42968</v>
      </c>
      <c r="AA1682" s="33">
        <v>5984</v>
      </c>
    </row>
    <row r="1683" spans="1:27" ht="12" customHeight="1" x14ac:dyDescent="0.15">
      <c r="A1683" s="33" t="s">
        <v>33481</v>
      </c>
      <c r="B1683" s="33">
        <v>33</v>
      </c>
      <c r="C1683" s="33" t="s">
        <v>14</v>
      </c>
      <c r="D1683" s="33" t="s">
        <v>79</v>
      </c>
      <c r="E1683" s="42" t="s">
        <v>33483</v>
      </c>
      <c r="F1683" s="67">
        <v>43271</v>
      </c>
      <c r="G1683" s="33" t="s">
        <v>33484</v>
      </c>
      <c r="H1683" s="33" t="s">
        <v>33482</v>
      </c>
      <c r="I1683" s="33" t="s">
        <v>160</v>
      </c>
      <c r="J1683" s="33">
        <v>31548</v>
      </c>
      <c r="K1683" s="33" t="s">
        <v>1406</v>
      </c>
      <c r="L1683" s="33" t="s">
        <v>33485</v>
      </c>
      <c r="M1683" s="33" t="s">
        <v>21</v>
      </c>
      <c r="N1683" s="33" t="s">
        <v>33486</v>
      </c>
      <c r="O1683" s="33" t="s">
        <v>372</v>
      </c>
      <c r="P1683" s="33" t="s">
        <v>30089</v>
      </c>
      <c r="Q1683" s="42" t="s">
        <v>33487</v>
      </c>
      <c r="R1683" s="33" t="s">
        <v>94</v>
      </c>
      <c r="S1683" s="33" t="s">
        <v>12</v>
      </c>
      <c r="T1683" s="33" t="s">
        <v>29705</v>
      </c>
      <c r="U1683" s="33" t="s">
        <v>26572</v>
      </c>
      <c r="V1683" s="33" t="s">
        <v>26574</v>
      </c>
      <c r="W1683" s="33" t="s">
        <v>512</v>
      </c>
      <c r="X1683" s="33">
        <v>3792</v>
      </c>
      <c r="Z1683" s="33" t="s">
        <v>42968</v>
      </c>
      <c r="AA1683" s="33">
        <v>5985</v>
      </c>
    </row>
    <row r="1684" spans="1:27" ht="12" customHeight="1" x14ac:dyDescent="0.15">
      <c r="A1684" s="33" t="s">
        <v>33502</v>
      </c>
      <c r="B1684" s="33">
        <v>21</v>
      </c>
      <c r="C1684" s="33" t="s">
        <v>14</v>
      </c>
      <c r="D1684" s="33" t="s">
        <v>79</v>
      </c>
      <c r="E1684" s="42" t="s">
        <v>33503</v>
      </c>
      <c r="F1684" s="67">
        <v>43270</v>
      </c>
      <c r="G1684" s="33" t="s">
        <v>33504</v>
      </c>
      <c r="H1684" s="33" t="s">
        <v>1217</v>
      </c>
      <c r="I1684" s="33" t="s">
        <v>160</v>
      </c>
      <c r="J1684" s="33">
        <v>30088</v>
      </c>
      <c r="K1684" s="33" t="s">
        <v>805</v>
      </c>
      <c r="L1684" s="33" t="s">
        <v>806</v>
      </c>
      <c r="M1684" s="33" t="s">
        <v>21</v>
      </c>
      <c r="N1684" s="33" t="s">
        <v>33505</v>
      </c>
      <c r="O1684" s="33" t="s">
        <v>372</v>
      </c>
      <c r="P1684" s="33" t="s">
        <v>30089</v>
      </c>
      <c r="Q1684" s="42" t="s">
        <v>33506</v>
      </c>
      <c r="R1684" s="33" t="s">
        <v>94</v>
      </c>
      <c r="S1684" s="33" t="s">
        <v>22</v>
      </c>
      <c r="T1684" s="33" t="s">
        <v>26781</v>
      </c>
      <c r="U1684" s="33" t="s">
        <v>26572</v>
      </c>
      <c r="V1684" s="33" t="s">
        <v>26573</v>
      </c>
      <c r="W1684" s="33" t="s">
        <v>94</v>
      </c>
      <c r="X1684" s="33">
        <v>3788</v>
      </c>
      <c r="Z1684" s="33" t="s">
        <v>42968</v>
      </c>
      <c r="AA1684" s="33">
        <v>5981</v>
      </c>
    </row>
    <row r="1685" spans="1:27" ht="12" customHeight="1" x14ac:dyDescent="0.15">
      <c r="A1685" s="33" t="s">
        <v>33515</v>
      </c>
      <c r="B1685" s="33">
        <v>65</v>
      </c>
      <c r="C1685" s="33" t="s">
        <v>14</v>
      </c>
      <c r="D1685" s="33" t="s">
        <v>31</v>
      </c>
      <c r="E1685" s="42" t="s">
        <v>33516</v>
      </c>
      <c r="F1685" s="67">
        <v>43270</v>
      </c>
      <c r="G1685" s="33" t="s">
        <v>33517</v>
      </c>
      <c r="H1685" s="33" t="s">
        <v>8495</v>
      </c>
      <c r="I1685" s="33" t="s">
        <v>160</v>
      </c>
      <c r="J1685" s="33">
        <v>30040</v>
      </c>
      <c r="K1685" s="33" t="s">
        <v>8497</v>
      </c>
      <c r="L1685" s="33" t="s">
        <v>10025</v>
      </c>
      <c r="M1685" s="33" t="s">
        <v>21</v>
      </c>
      <c r="N1685" s="33" t="s">
        <v>33518</v>
      </c>
      <c r="O1685" s="33" t="s">
        <v>372</v>
      </c>
      <c r="P1685" s="33" t="s">
        <v>30089</v>
      </c>
      <c r="Q1685" s="42" t="s">
        <v>33519</v>
      </c>
      <c r="R1685" s="33" t="s">
        <v>94</v>
      </c>
      <c r="S1685" s="33" t="s">
        <v>22</v>
      </c>
      <c r="T1685" s="33" t="s">
        <v>26781</v>
      </c>
      <c r="U1685" s="33" t="s">
        <v>26572</v>
      </c>
      <c r="V1685" s="33" t="s">
        <v>26573</v>
      </c>
      <c r="W1685" s="33" t="s">
        <v>94</v>
      </c>
      <c r="X1685" s="33">
        <v>3787</v>
      </c>
      <c r="Z1685" s="33" t="s">
        <v>42968</v>
      </c>
      <c r="AA1685" s="33">
        <v>5980</v>
      </c>
    </row>
    <row r="1686" spans="1:27" ht="12" customHeight="1" x14ac:dyDescent="0.15">
      <c r="A1686" s="33" t="s">
        <v>33507</v>
      </c>
      <c r="B1686" s="33">
        <v>55</v>
      </c>
      <c r="C1686" s="33" t="s">
        <v>14</v>
      </c>
      <c r="D1686" s="33" t="s">
        <v>31</v>
      </c>
      <c r="E1686" s="42" t="s">
        <v>33509</v>
      </c>
      <c r="F1686" s="67">
        <v>43270</v>
      </c>
      <c r="G1686" s="33" t="s">
        <v>33510</v>
      </c>
      <c r="H1686" s="33" t="s">
        <v>33508</v>
      </c>
      <c r="I1686" s="33" t="s">
        <v>178</v>
      </c>
      <c r="J1686" s="33">
        <v>88401</v>
      </c>
      <c r="K1686" s="33" t="s">
        <v>33511</v>
      </c>
      <c r="L1686" s="33" t="s">
        <v>33512</v>
      </c>
      <c r="M1686" s="33" t="s">
        <v>21</v>
      </c>
      <c r="N1686" s="33" t="s">
        <v>33513</v>
      </c>
      <c r="O1686" s="33" t="s">
        <v>372</v>
      </c>
      <c r="P1686" s="33" t="s">
        <v>30089</v>
      </c>
      <c r="Q1686" s="42" t="s">
        <v>33514</v>
      </c>
      <c r="R1686" s="33" t="s">
        <v>94</v>
      </c>
      <c r="S1686" s="33" t="s">
        <v>22</v>
      </c>
      <c r="T1686" s="33" t="s">
        <v>26774</v>
      </c>
      <c r="U1686" s="33" t="s">
        <v>26572</v>
      </c>
      <c r="V1686" s="33" t="s">
        <v>26573</v>
      </c>
      <c r="W1686" s="33" t="s">
        <v>94</v>
      </c>
      <c r="X1686" s="33">
        <v>3791</v>
      </c>
      <c r="Z1686" s="33" t="s">
        <v>42967</v>
      </c>
      <c r="AA1686" s="33">
        <v>5982</v>
      </c>
    </row>
    <row r="1687" spans="1:27" ht="12" customHeight="1" x14ac:dyDescent="0.15">
      <c r="A1687" s="33" t="s">
        <v>33494</v>
      </c>
      <c r="B1687" s="33">
        <v>17</v>
      </c>
      <c r="C1687" s="33" t="s">
        <v>14</v>
      </c>
      <c r="D1687" s="33" t="s">
        <v>79</v>
      </c>
      <c r="E1687" s="42" t="s">
        <v>33496</v>
      </c>
      <c r="F1687" s="67">
        <v>43270</v>
      </c>
      <c r="G1687" s="33" t="s">
        <v>33497</v>
      </c>
      <c r="H1687" s="33" t="s">
        <v>33495</v>
      </c>
      <c r="I1687" s="33" t="s">
        <v>376</v>
      </c>
      <c r="J1687" s="33">
        <v>15112</v>
      </c>
      <c r="K1687" s="33" t="s">
        <v>1530</v>
      </c>
      <c r="L1687" s="33" t="s">
        <v>33498</v>
      </c>
      <c r="M1687" s="33" t="s">
        <v>21</v>
      </c>
      <c r="N1687" s="33" t="s">
        <v>33499</v>
      </c>
      <c r="O1687" s="33" t="s">
        <v>33500</v>
      </c>
      <c r="P1687" s="33" t="s">
        <v>1084</v>
      </c>
      <c r="Q1687" s="42" t="s">
        <v>33501</v>
      </c>
      <c r="R1687" s="33" t="s">
        <v>94</v>
      </c>
      <c r="S1687" s="33" t="s">
        <v>12</v>
      </c>
      <c r="T1687" s="33" t="s">
        <v>29705</v>
      </c>
      <c r="U1687" s="33" t="s">
        <v>26575</v>
      </c>
      <c r="V1687" s="33" t="s">
        <v>26574</v>
      </c>
      <c r="W1687" s="33" t="s">
        <v>94</v>
      </c>
      <c r="X1687" s="33">
        <v>3789</v>
      </c>
      <c r="Z1687" s="33" t="s">
        <v>42968</v>
      </c>
      <c r="AA1687" s="33">
        <v>5983</v>
      </c>
    </row>
    <row r="1688" spans="1:27" ht="12" customHeight="1" x14ac:dyDescent="0.15">
      <c r="A1688" s="33" t="s">
        <v>33520</v>
      </c>
      <c r="B1688" s="33">
        <v>30</v>
      </c>
      <c r="C1688" s="33" t="s">
        <v>14</v>
      </c>
      <c r="D1688" s="33" t="s">
        <v>31</v>
      </c>
      <c r="E1688" s="42" t="s">
        <v>33521</v>
      </c>
      <c r="F1688" s="67">
        <v>43269</v>
      </c>
      <c r="G1688" s="33" t="s">
        <v>33522</v>
      </c>
      <c r="H1688" s="33" t="s">
        <v>187</v>
      </c>
      <c r="I1688" s="33" t="s">
        <v>63</v>
      </c>
      <c r="J1688" s="33">
        <v>44312</v>
      </c>
      <c r="K1688" s="33" t="s">
        <v>3180</v>
      </c>
      <c r="L1688" s="33" t="s">
        <v>3849</v>
      </c>
      <c r="M1688" s="33" t="s">
        <v>363</v>
      </c>
      <c r="N1688" s="33" t="s">
        <v>33523</v>
      </c>
      <c r="O1688" s="33" t="s">
        <v>372</v>
      </c>
      <c r="P1688" s="33" t="s">
        <v>30089</v>
      </c>
      <c r="Q1688" s="42" t="s">
        <v>33524</v>
      </c>
      <c r="R1688" s="33" t="s">
        <v>94</v>
      </c>
      <c r="S1688" s="33" t="s">
        <v>12</v>
      </c>
      <c r="T1688" s="33" t="s">
        <v>29705</v>
      </c>
      <c r="Z1688" s="33" t="s">
        <v>42968</v>
      </c>
      <c r="AA1688" s="33">
        <v>5979</v>
      </c>
    </row>
    <row r="1689" spans="1:27" ht="12" customHeight="1" x14ac:dyDescent="0.15">
      <c r="A1689" s="33" t="s">
        <v>33530</v>
      </c>
      <c r="B1689" s="33">
        <v>44</v>
      </c>
      <c r="C1689" s="33" t="s">
        <v>14</v>
      </c>
      <c r="D1689" s="33" t="s">
        <v>42</v>
      </c>
      <c r="E1689" s="42" t="s">
        <v>33532</v>
      </c>
      <c r="F1689" s="67">
        <v>43268</v>
      </c>
      <c r="G1689" s="33" t="s">
        <v>33533</v>
      </c>
      <c r="H1689" s="33" t="s">
        <v>33531</v>
      </c>
      <c r="I1689" s="33" t="s">
        <v>221</v>
      </c>
      <c r="J1689" s="33">
        <v>84115</v>
      </c>
      <c r="K1689" s="33" t="s">
        <v>564</v>
      </c>
      <c r="L1689" s="33" t="s">
        <v>33534</v>
      </c>
      <c r="M1689" s="33" t="s">
        <v>21</v>
      </c>
      <c r="N1689" s="33" t="s">
        <v>33535</v>
      </c>
      <c r="O1689" s="33" t="s">
        <v>372</v>
      </c>
      <c r="P1689" s="33" t="s">
        <v>30089</v>
      </c>
      <c r="Q1689" s="42" t="s">
        <v>33536</v>
      </c>
      <c r="R1689" s="33" t="s">
        <v>94</v>
      </c>
      <c r="S1689" s="33" t="s">
        <v>22</v>
      </c>
      <c r="T1689" s="33" t="s">
        <v>26781</v>
      </c>
      <c r="U1689" s="33" t="s">
        <v>26570</v>
      </c>
      <c r="V1689" s="33" t="s">
        <v>26573</v>
      </c>
      <c r="W1689" s="33" t="s">
        <v>94</v>
      </c>
      <c r="X1689" s="33">
        <v>3790</v>
      </c>
      <c r="Z1689" s="33" t="s">
        <v>42968</v>
      </c>
      <c r="AA1689" s="33">
        <v>5978</v>
      </c>
    </row>
    <row r="1690" spans="1:27" ht="12" customHeight="1" x14ac:dyDescent="0.15">
      <c r="A1690" s="33" t="s">
        <v>33525</v>
      </c>
      <c r="B1690" s="33">
        <v>33</v>
      </c>
      <c r="C1690" s="33" t="s">
        <v>14</v>
      </c>
      <c r="D1690" s="33" t="s">
        <v>79</v>
      </c>
      <c r="E1690" s="42" t="s">
        <v>33526</v>
      </c>
      <c r="F1690" s="67">
        <v>43268</v>
      </c>
      <c r="G1690" s="33" t="s">
        <v>33527</v>
      </c>
      <c r="H1690" s="33" t="s">
        <v>1956</v>
      </c>
      <c r="I1690" s="33" t="s">
        <v>75</v>
      </c>
      <c r="J1690" s="33">
        <v>8611</v>
      </c>
      <c r="K1690" s="33" t="s">
        <v>2675</v>
      </c>
      <c r="L1690" s="33" t="s">
        <v>1958</v>
      </c>
      <c r="M1690" s="33" t="s">
        <v>21</v>
      </c>
      <c r="N1690" s="33" t="s">
        <v>33528</v>
      </c>
      <c r="O1690" s="33" t="s">
        <v>372</v>
      </c>
      <c r="P1690" s="33" t="s">
        <v>30089</v>
      </c>
      <c r="Q1690" s="42" t="s">
        <v>33529</v>
      </c>
      <c r="R1690" s="33" t="s">
        <v>94</v>
      </c>
      <c r="S1690" s="33" t="s">
        <v>22</v>
      </c>
      <c r="T1690" s="33" t="s">
        <v>26781</v>
      </c>
      <c r="U1690" s="33" t="s">
        <v>26572</v>
      </c>
      <c r="V1690" s="33" t="s">
        <v>26573</v>
      </c>
      <c r="W1690" s="33" t="s">
        <v>94</v>
      </c>
      <c r="X1690" s="33">
        <v>3785</v>
      </c>
      <c r="Z1690" s="33" t="s">
        <v>42966</v>
      </c>
      <c r="AA1690" s="33">
        <v>5977</v>
      </c>
    </row>
    <row r="1691" spans="1:27" ht="12" customHeight="1" x14ac:dyDescent="0.15">
      <c r="A1691" s="33" t="s">
        <v>3002</v>
      </c>
      <c r="B1691" s="33" t="s">
        <v>23</v>
      </c>
      <c r="C1691" s="33" t="s">
        <v>14</v>
      </c>
      <c r="D1691" s="33" t="s">
        <v>31</v>
      </c>
      <c r="E1691" s="42"/>
      <c r="F1691" s="67">
        <v>43267</v>
      </c>
      <c r="G1691" s="33" t="s">
        <v>33556</v>
      </c>
      <c r="H1691" s="33" t="s">
        <v>5656</v>
      </c>
      <c r="I1691" s="33" t="s">
        <v>39</v>
      </c>
      <c r="J1691" s="33">
        <v>91401</v>
      </c>
      <c r="K1691" s="33" t="s">
        <v>92</v>
      </c>
      <c r="L1691" s="33" t="s">
        <v>93</v>
      </c>
      <c r="M1691" s="33" t="s">
        <v>21</v>
      </c>
      <c r="N1691" s="33" t="s">
        <v>33557</v>
      </c>
      <c r="O1691" s="33" t="s">
        <v>372</v>
      </c>
      <c r="P1691" s="33" t="s">
        <v>30089</v>
      </c>
      <c r="Q1691" s="42" t="s">
        <v>33558</v>
      </c>
      <c r="R1691" s="33" t="s">
        <v>512</v>
      </c>
      <c r="S1691" s="33" t="s">
        <v>22</v>
      </c>
      <c r="T1691" s="33" t="s">
        <v>26774</v>
      </c>
      <c r="U1691" s="33" t="s">
        <v>26572</v>
      </c>
      <c r="V1691" s="33" t="s">
        <v>26573</v>
      </c>
      <c r="W1691" s="33" t="s">
        <v>94</v>
      </c>
      <c r="X1691" s="33">
        <v>3784</v>
      </c>
      <c r="Z1691" s="33" t="s">
        <v>42966</v>
      </c>
      <c r="AA1691" s="33">
        <v>5974</v>
      </c>
    </row>
    <row r="1692" spans="1:27" ht="12" customHeight="1" x14ac:dyDescent="0.15">
      <c r="A1692" s="33" t="s">
        <v>33537</v>
      </c>
      <c r="B1692" s="33">
        <v>37</v>
      </c>
      <c r="C1692" s="33" t="s">
        <v>14</v>
      </c>
      <c r="D1692" s="33" t="s">
        <v>79</v>
      </c>
      <c r="E1692" s="42"/>
      <c r="F1692" s="67">
        <v>43267</v>
      </c>
      <c r="G1692" s="33" t="s">
        <v>33539</v>
      </c>
      <c r="H1692" s="33" t="s">
        <v>33538</v>
      </c>
      <c r="I1692" s="33" t="s">
        <v>395</v>
      </c>
      <c r="J1692" s="33">
        <v>10921</v>
      </c>
      <c r="K1692" s="33" t="s">
        <v>998</v>
      </c>
      <c r="L1692" s="33" t="s">
        <v>33540</v>
      </c>
      <c r="M1692" s="33" t="s">
        <v>21</v>
      </c>
      <c r="N1692" s="33" t="s">
        <v>33541</v>
      </c>
      <c r="O1692" s="33" t="s">
        <v>372</v>
      </c>
      <c r="P1692" s="33" t="s">
        <v>30089</v>
      </c>
      <c r="Q1692" s="42" t="s">
        <v>33542</v>
      </c>
      <c r="R1692" s="33" t="s">
        <v>94</v>
      </c>
      <c r="S1692" s="33" t="s">
        <v>22</v>
      </c>
      <c r="T1692" s="33" t="s">
        <v>26774</v>
      </c>
      <c r="U1692" s="33" t="s">
        <v>26570</v>
      </c>
      <c r="V1692" s="33" t="s">
        <v>26573</v>
      </c>
      <c r="W1692" s="33" t="s">
        <v>94</v>
      </c>
      <c r="X1692" s="33">
        <v>3782</v>
      </c>
      <c r="Z1692" s="33" t="s">
        <v>42968</v>
      </c>
      <c r="AA1692" s="33">
        <v>5973</v>
      </c>
    </row>
    <row r="1693" spans="1:27" ht="12" customHeight="1" x14ac:dyDescent="0.15">
      <c r="A1693" s="33" t="s">
        <v>33543</v>
      </c>
      <c r="B1693" s="33">
        <v>47</v>
      </c>
      <c r="C1693" s="33" t="s">
        <v>14</v>
      </c>
      <c r="D1693" s="33" t="s">
        <v>42</v>
      </c>
      <c r="E1693" s="42" t="s">
        <v>33544</v>
      </c>
      <c r="F1693" s="67">
        <v>43267</v>
      </c>
      <c r="G1693" s="33" t="s">
        <v>33545</v>
      </c>
      <c r="H1693" s="33" t="s">
        <v>866</v>
      </c>
      <c r="I1693" s="33" t="s">
        <v>178</v>
      </c>
      <c r="J1693" s="33">
        <v>87106</v>
      </c>
      <c r="K1693" s="33" t="s">
        <v>433</v>
      </c>
      <c r="L1693" s="33" t="s">
        <v>4562</v>
      </c>
      <c r="M1693" s="33" t="s">
        <v>21</v>
      </c>
      <c r="N1693" s="33" t="s">
        <v>33546</v>
      </c>
      <c r="O1693" s="33" t="s">
        <v>372</v>
      </c>
      <c r="P1693" s="33" t="s">
        <v>30089</v>
      </c>
      <c r="Q1693" s="42" t="s">
        <v>33547</v>
      </c>
      <c r="R1693" s="33" t="s">
        <v>94</v>
      </c>
      <c r="S1693" s="33" t="s">
        <v>12</v>
      </c>
      <c r="T1693" s="33" t="s">
        <v>29705</v>
      </c>
      <c r="U1693" s="33" t="s">
        <v>26572</v>
      </c>
      <c r="V1693" s="33" t="s">
        <v>26571</v>
      </c>
      <c r="W1693" s="33" t="s">
        <v>94</v>
      </c>
      <c r="X1693" s="33">
        <v>3783</v>
      </c>
      <c r="Z1693" s="33" t="s">
        <v>42966</v>
      </c>
      <c r="AA1693" s="33">
        <v>5976</v>
      </c>
    </row>
    <row r="1694" spans="1:27" ht="12" customHeight="1" x14ac:dyDescent="0.15">
      <c r="A1694" s="33" t="s">
        <v>33548</v>
      </c>
      <c r="B1694" s="33">
        <v>48</v>
      </c>
      <c r="C1694" s="33" t="s">
        <v>14</v>
      </c>
      <c r="D1694" s="33" t="s">
        <v>24</v>
      </c>
      <c r="E1694" s="42"/>
      <c r="F1694" s="67">
        <v>43267</v>
      </c>
      <c r="G1694" s="33" t="s">
        <v>33549</v>
      </c>
      <c r="H1694" s="33" t="s">
        <v>584</v>
      </c>
      <c r="I1694" s="33" t="s">
        <v>112</v>
      </c>
      <c r="J1694" s="33">
        <v>85051</v>
      </c>
      <c r="K1694" s="33" t="s">
        <v>585</v>
      </c>
      <c r="L1694" s="33" t="s">
        <v>586</v>
      </c>
      <c r="M1694" s="33" t="s">
        <v>21</v>
      </c>
      <c r="N1694" s="33" t="s">
        <v>33550</v>
      </c>
      <c r="O1694" s="33" t="s">
        <v>372</v>
      </c>
      <c r="P1694" s="33" t="s">
        <v>30089</v>
      </c>
      <c r="Q1694" s="42" t="s">
        <v>33551</v>
      </c>
      <c r="R1694" s="33" t="s">
        <v>94</v>
      </c>
      <c r="S1694" s="33" t="s">
        <v>22</v>
      </c>
      <c r="T1694" s="33" t="s">
        <v>26781</v>
      </c>
      <c r="U1694" s="33" t="s">
        <v>26572</v>
      </c>
      <c r="V1694" s="33" t="s">
        <v>26571</v>
      </c>
      <c r="W1694" s="33" t="s">
        <v>94</v>
      </c>
      <c r="X1694" s="33">
        <v>3786</v>
      </c>
      <c r="Z1694" s="33" t="s">
        <v>42966</v>
      </c>
      <c r="AA1694" s="33">
        <v>5972</v>
      </c>
    </row>
    <row r="1695" spans="1:27" ht="12" customHeight="1" x14ac:dyDescent="0.15">
      <c r="A1695" s="33" t="s">
        <v>33552</v>
      </c>
      <c r="B1695" s="33">
        <v>53</v>
      </c>
      <c r="C1695" s="33" t="s">
        <v>14</v>
      </c>
      <c r="D1695" s="33" t="s">
        <v>24</v>
      </c>
      <c r="E1695" s="42"/>
      <c r="F1695" s="67">
        <v>43267</v>
      </c>
      <c r="G1695" s="33" t="s">
        <v>33553</v>
      </c>
      <c r="H1695" s="33" t="s">
        <v>1337</v>
      </c>
      <c r="I1695" s="33" t="s">
        <v>112</v>
      </c>
      <c r="J1695" s="33">
        <v>85213</v>
      </c>
      <c r="K1695" s="33" t="s">
        <v>585</v>
      </c>
      <c r="L1695" s="33" t="s">
        <v>1338</v>
      </c>
      <c r="M1695" s="33" t="s">
        <v>21</v>
      </c>
      <c r="N1695" s="33" t="s">
        <v>33554</v>
      </c>
      <c r="O1695" s="33" t="s">
        <v>372</v>
      </c>
      <c r="P1695" s="33" t="s">
        <v>30089</v>
      </c>
      <c r="Q1695" s="42" t="s">
        <v>33555</v>
      </c>
      <c r="R1695" s="33" t="s">
        <v>94</v>
      </c>
      <c r="S1695" s="33" t="s">
        <v>12</v>
      </c>
      <c r="T1695" s="33" t="s">
        <v>29425</v>
      </c>
      <c r="U1695" s="33" t="s">
        <v>26572</v>
      </c>
      <c r="V1695" s="33" t="s">
        <v>26573</v>
      </c>
      <c r="W1695" s="33" t="s">
        <v>94</v>
      </c>
      <c r="X1695" s="33">
        <v>3781</v>
      </c>
      <c r="Z1695" s="33" t="s">
        <v>42968</v>
      </c>
      <c r="AA1695" s="33">
        <v>5975</v>
      </c>
    </row>
    <row r="1696" spans="1:27" ht="12" customHeight="1" x14ac:dyDescent="0.15">
      <c r="A1696" s="33" t="s">
        <v>33559</v>
      </c>
      <c r="B1696" s="33">
        <v>40</v>
      </c>
      <c r="C1696" s="33" t="s">
        <v>14</v>
      </c>
      <c r="D1696" s="33" t="s">
        <v>31</v>
      </c>
      <c r="E1696" s="42" t="s">
        <v>33561</v>
      </c>
      <c r="F1696" s="67">
        <v>43266</v>
      </c>
      <c r="G1696" s="33" t="s">
        <v>33562</v>
      </c>
      <c r="H1696" s="33" t="s">
        <v>33560</v>
      </c>
      <c r="I1696" s="33" t="s">
        <v>38</v>
      </c>
      <c r="J1696" s="33">
        <v>62075</v>
      </c>
      <c r="K1696" s="33" t="s">
        <v>995</v>
      </c>
      <c r="L1696" s="33" t="s">
        <v>33563</v>
      </c>
      <c r="M1696" s="33" t="s">
        <v>21</v>
      </c>
      <c r="N1696" s="33" t="s">
        <v>33564</v>
      </c>
      <c r="O1696" s="33" t="s">
        <v>372</v>
      </c>
      <c r="P1696" s="33" t="s">
        <v>30089</v>
      </c>
      <c r="Q1696" s="42" t="s">
        <v>33565</v>
      </c>
      <c r="R1696" s="33" t="s">
        <v>94</v>
      </c>
      <c r="S1696" s="33" t="s">
        <v>29</v>
      </c>
      <c r="T1696" s="33" t="s">
        <v>26575</v>
      </c>
      <c r="U1696" s="33" t="s">
        <v>26570</v>
      </c>
      <c r="V1696" s="33" t="s">
        <v>26574</v>
      </c>
      <c r="W1696" s="33" t="s">
        <v>94</v>
      </c>
      <c r="X1696" s="33">
        <v>3846</v>
      </c>
      <c r="Z1696" s="33" t="s">
        <v>42967</v>
      </c>
      <c r="AA1696" s="33">
        <v>5971</v>
      </c>
    </row>
    <row r="1697" spans="1:27" ht="12" customHeight="1" x14ac:dyDescent="0.15">
      <c r="A1697" s="33" t="s">
        <v>33571</v>
      </c>
      <c r="B1697" s="33">
        <v>28</v>
      </c>
      <c r="C1697" s="33" t="s">
        <v>103</v>
      </c>
      <c r="D1697" s="33" t="s">
        <v>31</v>
      </c>
      <c r="E1697" s="42" t="s">
        <v>33572</v>
      </c>
      <c r="F1697" s="67">
        <v>43265</v>
      </c>
      <c r="G1697" s="33" t="s">
        <v>33573</v>
      </c>
      <c r="H1697" s="33" t="s">
        <v>401</v>
      </c>
      <c r="I1697" s="33" t="s">
        <v>402</v>
      </c>
      <c r="J1697" s="33">
        <v>64117</v>
      </c>
      <c r="K1697" s="33" t="s">
        <v>3117</v>
      </c>
      <c r="L1697" s="33" t="s">
        <v>405</v>
      </c>
      <c r="M1697" s="33" t="s">
        <v>21</v>
      </c>
      <c r="N1697" s="33" t="s">
        <v>36458</v>
      </c>
      <c r="O1697" s="33" t="s">
        <v>372</v>
      </c>
      <c r="P1697" s="33" t="s">
        <v>30089</v>
      </c>
      <c r="Q1697" s="42" t="s">
        <v>33574</v>
      </c>
      <c r="R1697" s="33" t="s">
        <v>94</v>
      </c>
      <c r="S1697" s="33" t="s">
        <v>22</v>
      </c>
      <c r="T1697" s="33" t="s">
        <v>28239</v>
      </c>
      <c r="U1697" s="33" t="s">
        <v>26575</v>
      </c>
      <c r="V1697" s="33" t="s">
        <v>26573</v>
      </c>
      <c r="W1697" s="33" t="s">
        <v>94</v>
      </c>
      <c r="X1697" s="33">
        <v>3778</v>
      </c>
      <c r="Z1697" s="33" t="s">
        <v>42968</v>
      </c>
      <c r="AA1697" s="33">
        <v>5970</v>
      </c>
    </row>
    <row r="1698" spans="1:27" ht="12" customHeight="1" x14ac:dyDescent="0.15">
      <c r="A1698" s="33" t="s">
        <v>33587</v>
      </c>
      <c r="B1698" s="33">
        <v>40</v>
      </c>
      <c r="C1698" s="33" t="s">
        <v>14</v>
      </c>
      <c r="D1698" s="33" t="s">
        <v>42</v>
      </c>
      <c r="E1698" s="42"/>
      <c r="F1698" s="67">
        <v>43265</v>
      </c>
      <c r="G1698" s="33" t="s">
        <v>33588</v>
      </c>
      <c r="H1698" s="33" t="s">
        <v>17114</v>
      </c>
      <c r="I1698" s="33" t="s">
        <v>282</v>
      </c>
      <c r="J1698" s="33">
        <v>98034</v>
      </c>
      <c r="K1698" s="33" t="s">
        <v>1133</v>
      </c>
      <c r="L1698" s="33" t="s">
        <v>22922</v>
      </c>
      <c r="M1698" s="33" t="s">
        <v>21</v>
      </c>
      <c r="N1698" s="33" t="s">
        <v>33589</v>
      </c>
      <c r="O1698" s="33" t="s">
        <v>372</v>
      </c>
      <c r="P1698" s="33" t="s">
        <v>30089</v>
      </c>
      <c r="Q1698" s="42" t="s">
        <v>33590</v>
      </c>
      <c r="R1698" s="33" t="s">
        <v>94</v>
      </c>
      <c r="S1698" s="33" t="s">
        <v>22</v>
      </c>
      <c r="T1698" s="33" t="s">
        <v>26781</v>
      </c>
      <c r="U1698" s="33" t="s">
        <v>26570</v>
      </c>
      <c r="V1698" s="33" t="s">
        <v>26573</v>
      </c>
      <c r="W1698" s="33" t="s">
        <v>94</v>
      </c>
      <c r="X1698" s="33">
        <v>3780</v>
      </c>
      <c r="Z1698" s="33" t="s">
        <v>42968</v>
      </c>
      <c r="AA1698" s="33">
        <v>5968</v>
      </c>
    </row>
    <row r="1699" spans="1:27" ht="12" customHeight="1" x14ac:dyDescent="0.15">
      <c r="A1699" s="33" t="s">
        <v>33566</v>
      </c>
      <c r="B1699" s="33">
        <v>18</v>
      </c>
      <c r="C1699" s="33" t="s">
        <v>14</v>
      </c>
      <c r="D1699" s="33" t="s">
        <v>79</v>
      </c>
      <c r="E1699" s="42" t="s">
        <v>33567</v>
      </c>
      <c r="F1699" s="67">
        <v>43265</v>
      </c>
      <c r="G1699" s="33" t="s">
        <v>33568</v>
      </c>
      <c r="H1699" s="33" t="s">
        <v>607</v>
      </c>
      <c r="I1699" s="33" t="s">
        <v>250</v>
      </c>
      <c r="J1699" s="33">
        <v>89156</v>
      </c>
      <c r="K1699" s="33" t="s">
        <v>527</v>
      </c>
      <c r="L1699" s="33" t="s">
        <v>528</v>
      </c>
      <c r="M1699" s="33" t="s">
        <v>21</v>
      </c>
      <c r="N1699" s="33" t="s">
        <v>33569</v>
      </c>
      <c r="O1699" s="33" t="s">
        <v>372</v>
      </c>
      <c r="P1699" s="33" t="s">
        <v>30089</v>
      </c>
      <c r="Q1699" s="42" t="s">
        <v>33570</v>
      </c>
      <c r="R1699" s="33" t="s">
        <v>94</v>
      </c>
      <c r="S1699" s="33" t="s">
        <v>22</v>
      </c>
      <c r="T1699" s="33" t="s">
        <v>29833</v>
      </c>
      <c r="U1699" s="33" t="s">
        <v>26572</v>
      </c>
      <c r="V1699" s="33" t="s">
        <v>26571</v>
      </c>
      <c r="W1699" s="33" t="s">
        <v>94</v>
      </c>
      <c r="X1699" s="33">
        <v>3773</v>
      </c>
      <c r="Z1699" s="33" t="s">
        <v>42968</v>
      </c>
      <c r="AA1699" s="33">
        <v>5969</v>
      </c>
    </row>
    <row r="1700" spans="1:27" ht="12" customHeight="1" x14ac:dyDescent="0.15">
      <c r="A1700" s="33" t="s">
        <v>3002</v>
      </c>
      <c r="B1700" s="33" t="s">
        <v>23</v>
      </c>
      <c r="C1700" s="33" t="s">
        <v>103</v>
      </c>
      <c r="D1700" s="33" t="s">
        <v>24</v>
      </c>
      <c r="E1700" s="42"/>
      <c r="F1700" s="67">
        <v>43265</v>
      </c>
      <c r="G1700" s="33" t="s">
        <v>33591</v>
      </c>
      <c r="H1700" s="33" t="s">
        <v>1212</v>
      </c>
      <c r="I1700" s="33" t="s">
        <v>192</v>
      </c>
      <c r="J1700" s="33">
        <v>80221</v>
      </c>
      <c r="K1700" s="33" t="s">
        <v>1790</v>
      </c>
      <c r="L1700" s="33" t="s">
        <v>9286</v>
      </c>
      <c r="M1700" s="33" t="s">
        <v>21</v>
      </c>
      <c r="N1700" s="33" t="s">
        <v>33592</v>
      </c>
      <c r="O1700" s="33" t="s">
        <v>372</v>
      </c>
      <c r="P1700" s="33" t="s">
        <v>30089</v>
      </c>
      <c r="Q1700" s="42" t="s">
        <v>33593</v>
      </c>
      <c r="R1700" s="33" t="s">
        <v>94</v>
      </c>
      <c r="S1700" s="33" t="s">
        <v>22</v>
      </c>
      <c r="T1700" s="33" t="s">
        <v>26781</v>
      </c>
      <c r="U1700" s="33" t="s">
        <v>26572</v>
      </c>
      <c r="V1700" s="33" t="s">
        <v>26573</v>
      </c>
      <c r="W1700" s="33" t="s">
        <v>94</v>
      </c>
      <c r="X1700" s="33">
        <v>3770</v>
      </c>
      <c r="Z1700" s="33" t="s">
        <v>42968</v>
      </c>
      <c r="AA1700" s="33">
        <v>5964</v>
      </c>
    </row>
    <row r="1701" spans="1:27" ht="12" customHeight="1" x14ac:dyDescent="0.15">
      <c r="A1701" s="33" t="s">
        <v>33575</v>
      </c>
      <c r="B1701" s="33">
        <v>29</v>
      </c>
      <c r="C1701" s="33" t="s">
        <v>14</v>
      </c>
      <c r="D1701" s="33" t="s">
        <v>42</v>
      </c>
      <c r="E1701" s="42"/>
      <c r="F1701" s="67">
        <v>43265</v>
      </c>
      <c r="G1701" s="33" t="s">
        <v>33576</v>
      </c>
      <c r="H1701" s="33" t="s">
        <v>10316</v>
      </c>
      <c r="I1701" s="33" t="s">
        <v>160</v>
      </c>
      <c r="J1701" s="33">
        <v>30504</v>
      </c>
      <c r="K1701" s="33" t="s">
        <v>18981</v>
      </c>
      <c r="L1701" s="33" t="s">
        <v>33577</v>
      </c>
      <c r="M1701" s="33" t="s">
        <v>21</v>
      </c>
      <c r="N1701" s="33" t="s">
        <v>33578</v>
      </c>
      <c r="O1701" s="33" t="s">
        <v>372</v>
      </c>
      <c r="P1701" s="33" t="s">
        <v>30089</v>
      </c>
      <c r="Q1701" s="42" t="s">
        <v>33579</v>
      </c>
      <c r="R1701" s="33" t="s">
        <v>94</v>
      </c>
      <c r="S1701" s="33" t="s">
        <v>22</v>
      </c>
      <c r="T1701" s="33" t="s">
        <v>26781</v>
      </c>
      <c r="U1701" s="33" t="s">
        <v>26572</v>
      </c>
      <c r="V1701" s="33" t="s">
        <v>26574</v>
      </c>
      <c r="W1701" s="33" t="s">
        <v>94</v>
      </c>
      <c r="X1701" s="33">
        <v>3772</v>
      </c>
      <c r="Z1701" s="33" t="s">
        <v>42968</v>
      </c>
      <c r="AA1701" s="33">
        <v>5965</v>
      </c>
    </row>
    <row r="1702" spans="1:27" ht="12" customHeight="1" x14ac:dyDescent="0.15">
      <c r="A1702" s="33" t="s">
        <v>33585</v>
      </c>
      <c r="B1702" s="33">
        <v>34</v>
      </c>
      <c r="C1702" s="33" t="s">
        <v>14</v>
      </c>
      <c r="D1702" s="33" t="s">
        <v>31</v>
      </c>
      <c r="E1702" s="42" t="s">
        <v>33586</v>
      </c>
      <c r="F1702" s="67">
        <v>43265</v>
      </c>
      <c r="G1702" s="33" t="s">
        <v>33582</v>
      </c>
      <c r="H1702" s="33" t="s">
        <v>401</v>
      </c>
      <c r="I1702" s="33" t="s">
        <v>402</v>
      </c>
      <c r="J1702" s="33">
        <v>64105</v>
      </c>
      <c r="K1702" s="33" t="s">
        <v>404</v>
      </c>
      <c r="L1702" s="33" t="s">
        <v>405</v>
      </c>
      <c r="M1702" s="33" t="s">
        <v>21</v>
      </c>
      <c r="N1702" s="33" t="s">
        <v>33583</v>
      </c>
      <c r="O1702" s="33" t="s">
        <v>372</v>
      </c>
      <c r="P1702" s="33" t="s">
        <v>30089</v>
      </c>
      <c r="Q1702" s="42" t="s">
        <v>33584</v>
      </c>
      <c r="R1702" s="33" t="s">
        <v>512</v>
      </c>
      <c r="S1702" s="33" t="s">
        <v>22</v>
      </c>
      <c r="T1702" s="33" t="s">
        <v>26781</v>
      </c>
      <c r="U1702" s="33" t="s">
        <v>26570</v>
      </c>
      <c r="V1702" s="33" t="s">
        <v>26573</v>
      </c>
      <c r="W1702" s="33" t="s">
        <v>94</v>
      </c>
      <c r="X1702" s="33">
        <v>3779</v>
      </c>
      <c r="Z1702" s="33" t="s">
        <v>42966</v>
      </c>
      <c r="AA1702" s="33">
        <v>5967</v>
      </c>
    </row>
    <row r="1703" spans="1:27" ht="12" customHeight="1" x14ac:dyDescent="0.15">
      <c r="A1703" s="33" t="s">
        <v>33580</v>
      </c>
      <c r="B1703" s="33">
        <v>33</v>
      </c>
      <c r="C1703" s="33" t="s">
        <v>14</v>
      </c>
      <c r="D1703" s="33" t="s">
        <v>79</v>
      </c>
      <c r="E1703" s="42" t="s">
        <v>33581</v>
      </c>
      <c r="F1703" s="67">
        <v>43265</v>
      </c>
      <c r="G1703" s="33" t="s">
        <v>33582</v>
      </c>
      <c r="H1703" s="33" t="s">
        <v>401</v>
      </c>
      <c r="I1703" s="33" t="s">
        <v>402</v>
      </c>
      <c r="J1703" s="33">
        <v>64105</v>
      </c>
      <c r="K1703" s="33" t="s">
        <v>404</v>
      </c>
      <c r="L1703" s="33" t="s">
        <v>405</v>
      </c>
      <c r="M1703" s="33" t="s">
        <v>21</v>
      </c>
      <c r="N1703" s="33" t="s">
        <v>33583</v>
      </c>
      <c r="O1703" s="33" t="s">
        <v>372</v>
      </c>
      <c r="P1703" s="33" t="s">
        <v>30089</v>
      </c>
      <c r="Q1703" s="42" t="s">
        <v>33584</v>
      </c>
      <c r="R1703" s="33" t="s">
        <v>94</v>
      </c>
      <c r="S1703" s="33" t="s">
        <v>22</v>
      </c>
      <c r="T1703" s="33" t="s">
        <v>26781</v>
      </c>
      <c r="U1703" s="33" t="s">
        <v>26572</v>
      </c>
      <c r="V1703" s="33" t="s">
        <v>26573</v>
      </c>
      <c r="W1703" s="33" t="s">
        <v>94</v>
      </c>
      <c r="X1703" s="33">
        <v>3776</v>
      </c>
      <c r="Z1703" s="33" t="s">
        <v>42966</v>
      </c>
      <c r="AA1703" s="33">
        <v>5966</v>
      </c>
    </row>
    <row r="1704" spans="1:27" ht="12" customHeight="1" x14ac:dyDescent="0.15">
      <c r="A1704" s="33" t="s">
        <v>33614</v>
      </c>
      <c r="B1704" s="33">
        <v>63</v>
      </c>
      <c r="C1704" s="33" t="s">
        <v>103</v>
      </c>
      <c r="D1704" s="33" t="s">
        <v>31</v>
      </c>
      <c r="E1704" s="42"/>
      <c r="F1704" s="67">
        <v>43264</v>
      </c>
      <c r="G1704" s="33" t="s">
        <v>33615</v>
      </c>
      <c r="H1704" s="33" t="s">
        <v>1956</v>
      </c>
      <c r="I1704" s="33" t="s">
        <v>63</v>
      </c>
      <c r="J1704" s="33">
        <v>45067</v>
      </c>
      <c r="K1704" s="33" t="s">
        <v>5063</v>
      </c>
      <c r="L1704" s="33" t="s">
        <v>8770</v>
      </c>
      <c r="M1704" s="33" t="s">
        <v>21</v>
      </c>
      <c r="N1704" s="33" t="s">
        <v>36459</v>
      </c>
      <c r="O1704" s="33" t="s">
        <v>372</v>
      </c>
      <c r="P1704" s="33" t="s">
        <v>30089</v>
      </c>
      <c r="Q1704" s="42" t="s">
        <v>33616</v>
      </c>
      <c r="R1704" s="33" t="s">
        <v>94</v>
      </c>
      <c r="S1704" s="33" t="s">
        <v>29</v>
      </c>
      <c r="T1704" s="33" t="s">
        <v>26575</v>
      </c>
      <c r="U1704" s="33" t="s">
        <v>26575</v>
      </c>
      <c r="V1704" s="33" t="s">
        <v>26573</v>
      </c>
      <c r="W1704" s="33" t="s">
        <v>94</v>
      </c>
      <c r="X1704" s="33">
        <v>3775</v>
      </c>
      <c r="Z1704" s="33" t="s">
        <v>42968</v>
      </c>
      <c r="AA1704" s="33">
        <v>5962</v>
      </c>
    </row>
    <row r="1705" spans="1:27" ht="12" customHeight="1" x14ac:dyDescent="0.15">
      <c r="A1705" s="33" t="s">
        <v>33603</v>
      </c>
      <c r="B1705" s="33">
        <v>32</v>
      </c>
      <c r="C1705" s="33" t="s">
        <v>14</v>
      </c>
      <c r="D1705" s="33" t="s">
        <v>79</v>
      </c>
      <c r="E1705" s="42" t="s">
        <v>33604</v>
      </c>
      <c r="F1705" s="67">
        <v>43264</v>
      </c>
      <c r="G1705" s="33" t="s">
        <v>33605</v>
      </c>
      <c r="H1705" s="33" t="s">
        <v>21073</v>
      </c>
      <c r="I1705" s="33" t="s">
        <v>19</v>
      </c>
      <c r="J1705" s="33">
        <v>70520</v>
      </c>
      <c r="K1705" s="33" t="s">
        <v>10335</v>
      </c>
      <c r="L1705" s="33" t="s">
        <v>33606</v>
      </c>
      <c r="M1705" s="33" t="s">
        <v>363</v>
      </c>
      <c r="N1705" s="33" t="s">
        <v>33607</v>
      </c>
      <c r="O1705" s="33" t="s">
        <v>372</v>
      </c>
      <c r="P1705" s="33" t="s">
        <v>30089</v>
      </c>
      <c r="Q1705" s="42" t="s">
        <v>33608</v>
      </c>
      <c r="R1705" s="33" t="s">
        <v>94</v>
      </c>
      <c r="S1705" s="33" t="s">
        <v>29</v>
      </c>
      <c r="T1705" s="33" t="s">
        <v>26575</v>
      </c>
      <c r="Z1705" s="33" t="s">
        <v>42968</v>
      </c>
      <c r="AA1705" s="33">
        <v>5963</v>
      </c>
    </row>
    <row r="1706" spans="1:27" ht="12" customHeight="1" x14ac:dyDescent="0.15">
      <c r="A1706" s="33" t="s">
        <v>33594</v>
      </c>
      <c r="B1706" s="33">
        <v>21</v>
      </c>
      <c r="C1706" s="33" t="s">
        <v>14</v>
      </c>
      <c r="D1706" s="33" t="s">
        <v>31</v>
      </c>
      <c r="E1706" s="42" t="s">
        <v>33595</v>
      </c>
      <c r="F1706" s="67">
        <v>43264</v>
      </c>
      <c r="G1706" s="33" t="s">
        <v>33596</v>
      </c>
      <c r="H1706" s="33" t="s">
        <v>5391</v>
      </c>
      <c r="I1706" s="33" t="s">
        <v>56</v>
      </c>
      <c r="J1706" s="33">
        <v>32726</v>
      </c>
      <c r="K1706" s="33" t="s">
        <v>1179</v>
      </c>
      <c r="L1706" s="33" t="s">
        <v>11067</v>
      </c>
      <c r="M1706" s="33" t="s">
        <v>21</v>
      </c>
      <c r="N1706" s="33" t="s">
        <v>33597</v>
      </c>
      <c r="O1706" s="33" t="s">
        <v>372</v>
      </c>
      <c r="P1706" s="33" t="s">
        <v>30089</v>
      </c>
      <c r="Q1706" s="42" t="s">
        <v>33598</v>
      </c>
      <c r="R1706" s="33" t="s">
        <v>512</v>
      </c>
      <c r="S1706" s="33" t="s">
        <v>12</v>
      </c>
      <c r="T1706" s="33" t="s">
        <v>29425</v>
      </c>
      <c r="U1706" s="33" t="s">
        <v>26572</v>
      </c>
      <c r="V1706" s="33" t="s">
        <v>26573</v>
      </c>
      <c r="W1706" s="33" t="s">
        <v>94</v>
      </c>
      <c r="X1706" s="33">
        <v>3848</v>
      </c>
      <c r="Z1706" s="33" t="s">
        <v>42968</v>
      </c>
      <c r="AA1706" s="33">
        <v>5961</v>
      </c>
    </row>
    <row r="1707" spans="1:27" ht="12" customHeight="1" x14ac:dyDescent="0.15">
      <c r="A1707" s="33" t="s">
        <v>33609</v>
      </c>
      <c r="B1707" s="33">
        <v>44</v>
      </c>
      <c r="C1707" s="33" t="s">
        <v>14</v>
      </c>
      <c r="D1707" s="33" t="s">
        <v>31</v>
      </c>
      <c r="E1707" s="42" t="s">
        <v>33610</v>
      </c>
      <c r="F1707" s="67">
        <v>43264</v>
      </c>
      <c r="G1707" s="33" t="s">
        <v>33611</v>
      </c>
      <c r="H1707" s="33" t="s">
        <v>31654</v>
      </c>
      <c r="I1707" s="33" t="s">
        <v>63</v>
      </c>
      <c r="J1707" s="33">
        <v>45661</v>
      </c>
      <c r="K1707" s="33" t="s">
        <v>2973</v>
      </c>
      <c r="L1707" s="33" t="s">
        <v>1204</v>
      </c>
      <c r="M1707" s="33" t="s">
        <v>21</v>
      </c>
      <c r="N1707" s="33" t="s">
        <v>33612</v>
      </c>
      <c r="O1707" s="33" t="s">
        <v>372</v>
      </c>
      <c r="P1707" s="33" t="s">
        <v>30089</v>
      </c>
      <c r="Q1707" s="42" t="s">
        <v>33613</v>
      </c>
      <c r="R1707" s="33" t="s">
        <v>94</v>
      </c>
      <c r="S1707" s="33" t="s">
        <v>22</v>
      </c>
      <c r="T1707" s="33" t="s">
        <v>26781</v>
      </c>
      <c r="U1707" s="33" t="s">
        <v>26572</v>
      </c>
      <c r="V1707" s="33" t="s">
        <v>26573</v>
      </c>
      <c r="W1707" s="33" t="s">
        <v>94</v>
      </c>
      <c r="X1707" s="33">
        <v>3774</v>
      </c>
      <c r="Z1707" s="33" t="s">
        <v>42967</v>
      </c>
      <c r="AA1707" s="33">
        <v>5960</v>
      </c>
    </row>
    <row r="1708" spans="1:27" ht="12" customHeight="1" x14ac:dyDescent="0.15">
      <c r="A1708" s="33" t="s">
        <v>33599</v>
      </c>
      <c r="B1708" s="33">
        <v>29</v>
      </c>
      <c r="C1708" s="33" t="s">
        <v>14</v>
      </c>
      <c r="D1708" s="33" t="s">
        <v>24</v>
      </c>
      <c r="E1708" s="42"/>
      <c r="F1708" s="67">
        <v>43264</v>
      </c>
      <c r="G1708" s="33" t="s">
        <v>33600</v>
      </c>
      <c r="H1708" s="33" t="s">
        <v>1212</v>
      </c>
      <c r="I1708" s="33" t="s">
        <v>192</v>
      </c>
      <c r="J1708" s="33">
        <v>80203</v>
      </c>
      <c r="K1708" s="33" t="s">
        <v>1212</v>
      </c>
      <c r="L1708" s="33" t="s">
        <v>1213</v>
      </c>
      <c r="M1708" s="33" t="s">
        <v>21</v>
      </c>
      <c r="N1708" s="33" t="s">
        <v>33601</v>
      </c>
      <c r="O1708" s="33" t="s">
        <v>372</v>
      </c>
      <c r="P1708" s="33" t="s">
        <v>30089</v>
      </c>
      <c r="Q1708" s="42" t="s">
        <v>33602</v>
      </c>
      <c r="R1708" s="33" t="s">
        <v>94</v>
      </c>
      <c r="S1708" s="33" t="s">
        <v>22</v>
      </c>
      <c r="T1708" s="33" t="s">
        <v>26781</v>
      </c>
      <c r="U1708" s="33" t="s">
        <v>26572</v>
      </c>
      <c r="V1708" s="33" t="s">
        <v>26574</v>
      </c>
      <c r="W1708" s="33" t="s">
        <v>94</v>
      </c>
      <c r="X1708" s="33">
        <v>3771</v>
      </c>
      <c r="Z1708" s="33" t="s">
        <v>42966</v>
      </c>
      <c r="AA1708" s="33">
        <v>5959</v>
      </c>
    </row>
    <row r="1709" spans="1:27" ht="12" customHeight="1" x14ac:dyDescent="0.15">
      <c r="A1709" s="33" t="s">
        <v>33631</v>
      </c>
      <c r="B1709" s="33">
        <v>34</v>
      </c>
      <c r="C1709" s="33" t="s">
        <v>14</v>
      </c>
      <c r="D1709" s="33" t="s">
        <v>79</v>
      </c>
      <c r="E1709" s="42" t="s">
        <v>33632</v>
      </c>
      <c r="F1709" s="67">
        <v>43263</v>
      </c>
      <c r="G1709" s="33" t="s">
        <v>33633</v>
      </c>
      <c r="H1709" s="33" t="s">
        <v>10392</v>
      </c>
      <c r="I1709" s="33" t="s">
        <v>38</v>
      </c>
      <c r="J1709" s="33">
        <v>61832</v>
      </c>
      <c r="K1709" s="33" t="s">
        <v>10394</v>
      </c>
      <c r="L1709" s="33" t="s">
        <v>10395</v>
      </c>
      <c r="M1709" s="33" t="s">
        <v>21</v>
      </c>
      <c r="N1709" s="33" t="s">
        <v>33634</v>
      </c>
      <c r="O1709" s="33" t="s">
        <v>372</v>
      </c>
      <c r="P1709" s="33" t="s">
        <v>30089</v>
      </c>
      <c r="Q1709" s="42" t="s">
        <v>33635</v>
      </c>
      <c r="R1709" s="33" t="s">
        <v>94</v>
      </c>
      <c r="S1709" s="33" t="s">
        <v>22</v>
      </c>
      <c r="T1709" s="33" t="s">
        <v>26781</v>
      </c>
      <c r="U1709" s="33" t="s">
        <v>26572</v>
      </c>
      <c r="V1709" s="33" t="s">
        <v>26571</v>
      </c>
      <c r="W1709" s="33" t="s">
        <v>94</v>
      </c>
      <c r="X1709" s="33">
        <v>3764</v>
      </c>
      <c r="Z1709" s="33" t="s">
        <v>42966</v>
      </c>
      <c r="AA1709" s="33">
        <v>5954</v>
      </c>
    </row>
    <row r="1710" spans="1:27" ht="12" customHeight="1" x14ac:dyDescent="0.15">
      <c r="A1710" s="33" t="s">
        <v>33625</v>
      </c>
      <c r="B1710" s="33">
        <v>32</v>
      </c>
      <c r="C1710" s="33" t="s">
        <v>14</v>
      </c>
      <c r="D1710" s="33" t="s">
        <v>31</v>
      </c>
      <c r="E1710" s="42" t="s">
        <v>33627</v>
      </c>
      <c r="F1710" s="67">
        <v>43263</v>
      </c>
      <c r="G1710" s="33" t="s">
        <v>33628</v>
      </c>
      <c r="H1710" s="33" t="s">
        <v>33626</v>
      </c>
      <c r="I1710" s="33" t="s">
        <v>75</v>
      </c>
      <c r="J1710" s="33">
        <v>7825</v>
      </c>
      <c r="K1710" s="33" t="s">
        <v>5481</v>
      </c>
      <c r="L1710" s="33" t="s">
        <v>2301</v>
      </c>
      <c r="M1710" s="33" t="s">
        <v>21</v>
      </c>
      <c r="N1710" s="33" t="s">
        <v>33629</v>
      </c>
      <c r="O1710" s="33" t="s">
        <v>372</v>
      </c>
      <c r="P1710" s="33" t="s">
        <v>30089</v>
      </c>
      <c r="Q1710" s="42" t="s">
        <v>33630</v>
      </c>
      <c r="R1710" s="33" t="s">
        <v>94</v>
      </c>
      <c r="S1710" s="33" t="s">
        <v>22</v>
      </c>
      <c r="T1710" s="33" t="s">
        <v>26774</v>
      </c>
      <c r="U1710" s="33" t="s">
        <v>26570</v>
      </c>
      <c r="V1710" s="33" t="s">
        <v>26573</v>
      </c>
      <c r="W1710" s="33" t="s">
        <v>94</v>
      </c>
      <c r="X1710" s="33">
        <v>3769</v>
      </c>
      <c r="Z1710" s="33" t="s">
        <v>42967</v>
      </c>
      <c r="AA1710" s="33">
        <v>5957</v>
      </c>
    </row>
    <row r="1711" spans="1:27" ht="12" customHeight="1" x14ac:dyDescent="0.15">
      <c r="A1711" s="33" t="s">
        <v>33621</v>
      </c>
      <c r="B1711" s="33">
        <v>26</v>
      </c>
      <c r="C1711" s="33" t="s">
        <v>14</v>
      </c>
      <c r="D1711" s="33" t="s">
        <v>79</v>
      </c>
      <c r="E1711" s="42"/>
      <c r="F1711" s="67">
        <v>43263</v>
      </c>
      <c r="G1711" s="33" t="s">
        <v>33622</v>
      </c>
      <c r="H1711" s="33" t="s">
        <v>1037</v>
      </c>
      <c r="I1711" s="33" t="s">
        <v>160</v>
      </c>
      <c r="J1711" s="33">
        <v>30656</v>
      </c>
      <c r="K1711" s="33" t="s">
        <v>24284</v>
      </c>
      <c r="L1711" s="33" t="s">
        <v>24285</v>
      </c>
      <c r="M1711" s="33" t="s">
        <v>21</v>
      </c>
      <c r="N1711" s="33" t="s">
        <v>33623</v>
      </c>
      <c r="P1711" s="33" t="s">
        <v>30089</v>
      </c>
      <c r="Q1711" s="42" t="s">
        <v>33624</v>
      </c>
      <c r="R1711" s="33" t="s">
        <v>512</v>
      </c>
      <c r="S1711" s="33" t="s">
        <v>22</v>
      </c>
      <c r="T1711" s="33" t="s">
        <v>26781</v>
      </c>
      <c r="U1711" s="33" t="s">
        <v>26572</v>
      </c>
      <c r="W1711" s="33" t="s">
        <v>94</v>
      </c>
      <c r="X1711" s="33">
        <v>3768</v>
      </c>
      <c r="Z1711" s="33" t="s">
        <v>42967</v>
      </c>
      <c r="AA1711" s="33">
        <v>5956</v>
      </c>
    </row>
    <row r="1712" spans="1:27" ht="12" customHeight="1" x14ac:dyDescent="0.15">
      <c r="A1712" s="33" t="s">
        <v>33636</v>
      </c>
      <c r="B1712" s="33">
        <v>34</v>
      </c>
      <c r="C1712" s="33" t="s">
        <v>14</v>
      </c>
      <c r="D1712" s="33" t="s">
        <v>31</v>
      </c>
      <c r="E1712" s="42"/>
      <c r="F1712" s="67">
        <v>43263</v>
      </c>
      <c r="G1712" s="33" t="s">
        <v>33637</v>
      </c>
      <c r="H1712" s="33" t="s">
        <v>584</v>
      </c>
      <c r="I1712" s="33" t="s">
        <v>112</v>
      </c>
      <c r="J1712" s="33">
        <v>85013</v>
      </c>
      <c r="K1712" s="33" t="s">
        <v>585</v>
      </c>
      <c r="L1712" s="33" t="s">
        <v>586</v>
      </c>
      <c r="M1712" s="33" t="s">
        <v>21</v>
      </c>
      <c r="N1712" s="33" t="s">
        <v>33638</v>
      </c>
      <c r="O1712" s="33" t="s">
        <v>372</v>
      </c>
      <c r="P1712" s="33" t="s">
        <v>30089</v>
      </c>
      <c r="Q1712" s="42" t="s">
        <v>33639</v>
      </c>
      <c r="R1712" s="33" t="s">
        <v>94</v>
      </c>
      <c r="S1712" s="33" t="s">
        <v>12</v>
      </c>
      <c r="T1712" s="33" t="s">
        <v>29705</v>
      </c>
      <c r="U1712" s="33" t="s">
        <v>26570</v>
      </c>
      <c r="V1712" s="33" t="s">
        <v>26573</v>
      </c>
      <c r="W1712" s="33" t="s">
        <v>94</v>
      </c>
      <c r="X1712" s="33">
        <v>3766</v>
      </c>
      <c r="Z1712" s="33" t="s">
        <v>42966</v>
      </c>
      <c r="AA1712" s="33">
        <v>5958</v>
      </c>
    </row>
    <row r="1713" spans="1:27" ht="12" customHeight="1" x14ac:dyDescent="0.15">
      <c r="A1713" s="33" t="s">
        <v>33617</v>
      </c>
      <c r="B1713" s="33">
        <v>22</v>
      </c>
      <c r="C1713" s="33" t="s">
        <v>14</v>
      </c>
      <c r="D1713" s="33" t="s">
        <v>79</v>
      </c>
      <c r="E1713" s="42"/>
      <c r="F1713" s="67">
        <v>43263</v>
      </c>
      <c r="G1713" s="33" t="s">
        <v>33618</v>
      </c>
      <c r="H1713" s="33" t="s">
        <v>107</v>
      </c>
      <c r="I1713" s="33" t="s">
        <v>3357</v>
      </c>
      <c r="J1713" s="33">
        <v>20032</v>
      </c>
      <c r="K1713" s="33" t="s">
        <v>3359</v>
      </c>
      <c r="L1713" s="33" t="s">
        <v>17581</v>
      </c>
      <c r="M1713" s="33" t="s">
        <v>21</v>
      </c>
      <c r="N1713" s="33" t="s">
        <v>33619</v>
      </c>
      <c r="O1713" s="33" t="s">
        <v>372</v>
      </c>
      <c r="P1713" s="33" t="s">
        <v>30089</v>
      </c>
      <c r="Q1713" s="42" t="s">
        <v>33620</v>
      </c>
      <c r="R1713" s="33" t="s">
        <v>94</v>
      </c>
      <c r="S1713" s="33" t="s">
        <v>22</v>
      </c>
      <c r="T1713" s="33" t="s">
        <v>26781</v>
      </c>
      <c r="U1713" s="33" t="s">
        <v>26572</v>
      </c>
      <c r="V1713" s="33" t="s">
        <v>26573</v>
      </c>
      <c r="W1713" s="33" t="s">
        <v>94</v>
      </c>
      <c r="X1713" s="33">
        <v>3767</v>
      </c>
      <c r="Z1713" s="33" t="s">
        <v>42966</v>
      </c>
      <c r="AA1713" s="33">
        <v>5955</v>
      </c>
    </row>
    <row r="1714" spans="1:27" ht="12" customHeight="1" x14ac:dyDescent="0.15">
      <c r="A1714" s="33" t="s">
        <v>33640</v>
      </c>
      <c r="B1714" s="33">
        <v>20</v>
      </c>
      <c r="C1714" s="33" t="s">
        <v>14</v>
      </c>
      <c r="D1714" s="33" t="s">
        <v>42</v>
      </c>
      <c r="E1714" s="42"/>
      <c r="F1714" s="67">
        <v>43262</v>
      </c>
      <c r="G1714" s="33" t="s">
        <v>33641</v>
      </c>
      <c r="H1714" s="33" t="s">
        <v>907</v>
      </c>
      <c r="I1714" s="33" t="s">
        <v>39</v>
      </c>
      <c r="J1714" s="33">
        <v>90601</v>
      </c>
      <c r="K1714" s="33" t="s">
        <v>92</v>
      </c>
      <c r="L1714" s="33" t="s">
        <v>24463</v>
      </c>
      <c r="M1714" s="33" t="s">
        <v>21</v>
      </c>
      <c r="N1714" s="33" t="s">
        <v>33642</v>
      </c>
      <c r="O1714" s="33" t="s">
        <v>372</v>
      </c>
      <c r="P1714" s="33" t="s">
        <v>30089</v>
      </c>
      <c r="Q1714" s="42" t="s">
        <v>33643</v>
      </c>
      <c r="R1714" s="33" t="s">
        <v>94</v>
      </c>
      <c r="S1714" s="33" t="s">
        <v>22</v>
      </c>
      <c r="T1714" s="33" t="s">
        <v>26774</v>
      </c>
      <c r="U1714" s="33" t="s">
        <v>26570</v>
      </c>
      <c r="V1714" s="33" t="s">
        <v>26571</v>
      </c>
      <c r="W1714" s="33" t="s">
        <v>94</v>
      </c>
      <c r="X1714" s="33">
        <v>3765</v>
      </c>
      <c r="Z1714" s="33" t="s">
        <v>42968</v>
      </c>
      <c r="AA1714" s="33">
        <v>5952</v>
      </c>
    </row>
    <row r="1715" spans="1:27" ht="12" customHeight="1" x14ac:dyDescent="0.15">
      <c r="A1715" s="33" t="s">
        <v>33644</v>
      </c>
      <c r="B1715" s="33">
        <v>41</v>
      </c>
      <c r="C1715" s="33" t="s">
        <v>14</v>
      </c>
      <c r="D1715" s="33" t="s">
        <v>79</v>
      </c>
      <c r="E1715" s="42"/>
      <c r="F1715" s="67">
        <v>43262</v>
      </c>
      <c r="G1715" s="33" t="s">
        <v>33645</v>
      </c>
      <c r="H1715" s="33" t="s">
        <v>2189</v>
      </c>
      <c r="I1715" s="33" t="s">
        <v>46</v>
      </c>
      <c r="J1715" s="33">
        <v>20901</v>
      </c>
      <c r="K1715" s="33" t="s">
        <v>995</v>
      </c>
      <c r="L1715" s="33" t="s">
        <v>2191</v>
      </c>
      <c r="M1715" s="33" t="s">
        <v>21</v>
      </c>
      <c r="N1715" s="33" t="s">
        <v>33646</v>
      </c>
      <c r="O1715" s="33" t="s">
        <v>372</v>
      </c>
      <c r="P1715" s="33" t="s">
        <v>30089</v>
      </c>
      <c r="Q1715" s="42" t="s">
        <v>33647</v>
      </c>
      <c r="R1715" s="33" t="s">
        <v>512</v>
      </c>
      <c r="S1715" s="33" t="s">
        <v>12</v>
      </c>
      <c r="T1715" s="33" t="s">
        <v>29705</v>
      </c>
      <c r="U1715" s="33" t="s">
        <v>26570</v>
      </c>
      <c r="V1715" s="33" t="s">
        <v>26573</v>
      </c>
      <c r="W1715" s="33" t="s">
        <v>512</v>
      </c>
      <c r="X1715" s="33">
        <v>3763</v>
      </c>
      <c r="Z1715" s="33" t="s">
        <v>42966</v>
      </c>
      <c r="AA1715" s="33">
        <v>5953</v>
      </c>
    </row>
    <row r="1716" spans="1:27" ht="12" customHeight="1" x14ac:dyDescent="0.15">
      <c r="A1716" s="33" t="s">
        <v>36345</v>
      </c>
      <c r="B1716" s="33">
        <v>34</v>
      </c>
      <c r="C1716" s="33" t="s">
        <v>14</v>
      </c>
      <c r="D1716" s="33" t="s">
        <v>31</v>
      </c>
      <c r="E1716" s="42"/>
      <c r="F1716" s="67">
        <v>43261</v>
      </c>
      <c r="G1716" s="33" t="s">
        <v>33648</v>
      </c>
      <c r="H1716" s="33" t="s">
        <v>21113</v>
      </c>
      <c r="I1716" s="33" t="s">
        <v>192</v>
      </c>
      <c r="J1716" s="33">
        <v>80021</v>
      </c>
      <c r="K1716" s="33" t="s">
        <v>1659</v>
      </c>
      <c r="L1716" s="33" t="s">
        <v>1944</v>
      </c>
      <c r="M1716" s="33" t="s">
        <v>21</v>
      </c>
      <c r="N1716" s="33" t="s">
        <v>33649</v>
      </c>
      <c r="O1716" s="33" t="s">
        <v>372</v>
      </c>
      <c r="P1716" s="33" t="s">
        <v>30089</v>
      </c>
      <c r="Q1716" s="42" t="s">
        <v>33650</v>
      </c>
      <c r="R1716" s="33" t="s">
        <v>94</v>
      </c>
      <c r="S1716" s="33" t="s">
        <v>29</v>
      </c>
      <c r="T1716" s="33" t="s">
        <v>26576</v>
      </c>
      <c r="U1716" s="33" t="s">
        <v>26570</v>
      </c>
      <c r="V1716" s="33" t="s">
        <v>26574</v>
      </c>
      <c r="W1716" s="33" t="s">
        <v>94</v>
      </c>
      <c r="X1716" s="33">
        <v>3759</v>
      </c>
      <c r="Z1716" s="33" t="s">
        <v>42968</v>
      </c>
      <c r="AA1716" s="33">
        <v>5951</v>
      </c>
    </row>
    <row r="1717" spans="1:27" ht="12" customHeight="1" x14ac:dyDescent="0.15">
      <c r="A1717" s="33" t="s">
        <v>33651</v>
      </c>
      <c r="B1717" s="33">
        <v>36</v>
      </c>
      <c r="C1717" s="33" t="s">
        <v>103</v>
      </c>
      <c r="D1717" s="33" t="s">
        <v>79</v>
      </c>
      <c r="E1717" s="42"/>
      <c r="F1717" s="67">
        <v>43260</v>
      </c>
      <c r="G1717" s="33" t="s">
        <v>33653</v>
      </c>
      <c r="H1717" s="33" t="s">
        <v>33652</v>
      </c>
      <c r="I1717" s="33" t="s">
        <v>75</v>
      </c>
      <c r="J1717" s="33">
        <v>8096</v>
      </c>
      <c r="K1717" s="33" t="s">
        <v>16839</v>
      </c>
      <c r="L1717" s="33" t="s">
        <v>16840</v>
      </c>
      <c r="M1717" s="33" t="s">
        <v>21</v>
      </c>
      <c r="N1717" s="33" t="s">
        <v>33654</v>
      </c>
      <c r="O1717" s="33" t="s">
        <v>372</v>
      </c>
      <c r="P1717" s="33" t="s">
        <v>30089</v>
      </c>
      <c r="Q1717" s="42" t="s">
        <v>33655</v>
      </c>
      <c r="R1717" s="33" t="s">
        <v>94</v>
      </c>
      <c r="S1717" s="33" t="s">
        <v>351</v>
      </c>
      <c r="T1717" s="33" t="s">
        <v>26867</v>
      </c>
      <c r="U1717" s="33" t="s">
        <v>26570</v>
      </c>
      <c r="V1717" s="33" t="s">
        <v>26571</v>
      </c>
      <c r="W1717" s="33" t="s">
        <v>94</v>
      </c>
      <c r="X1717" s="33">
        <v>3760</v>
      </c>
      <c r="Z1717" s="33" t="s">
        <v>42968</v>
      </c>
      <c r="AA1717" s="33">
        <v>5950</v>
      </c>
    </row>
    <row r="1718" spans="1:27" ht="12" customHeight="1" x14ac:dyDescent="0.15">
      <c r="A1718" s="33" t="s">
        <v>33656</v>
      </c>
      <c r="B1718" s="33">
        <v>49</v>
      </c>
      <c r="C1718" s="33" t="s">
        <v>14</v>
      </c>
      <c r="D1718" s="33" t="s">
        <v>31</v>
      </c>
      <c r="E1718" s="42"/>
      <c r="F1718" s="67">
        <v>43260</v>
      </c>
      <c r="G1718" s="33" t="s">
        <v>33657</v>
      </c>
      <c r="H1718" s="33" t="s">
        <v>22777</v>
      </c>
      <c r="I1718" s="33" t="s">
        <v>67</v>
      </c>
      <c r="J1718" s="33">
        <v>76504</v>
      </c>
      <c r="K1718" s="33" t="s">
        <v>7728</v>
      </c>
      <c r="L1718" s="33" t="s">
        <v>22779</v>
      </c>
      <c r="M1718" s="33" t="s">
        <v>21</v>
      </c>
      <c r="N1718" s="33" t="s">
        <v>33658</v>
      </c>
      <c r="O1718" s="33" t="s">
        <v>372</v>
      </c>
      <c r="P1718" s="33" t="s">
        <v>30089</v>
      </c>
      <c r="Q1718" s="42" t="s">
        <v>33659</v>
      </c>
      <c r="R1718" s="33" t="s">
        <v>94</v>
      </c>
      <c r="S1718" s="33" t="s">
        <v>22</v>
      </c>
      <c r="T1718" s="33" t="s">
        <v>26781</v>
      </c>
      <c r="U1718" s="33" t="s">
        <v>26572</v>
      </c>
      <c r="V1718" s="33" t="s">
        <v>26573</v>
      </c>
      <c r="W1718" s="33" t="s">
        <v>94</v>
      </c>
      <c r="X1718" s="33">
        <v>3762</v>
      </c>
      <c r="Z1718" s="33" t="s">
        <v>42968</v>
      </c>
      <c r="AA1718" s="33">
        <v>5949</v>
      </c>
    </row>
    <row r="1719" spans="1:27" ht="12" customHeight="1" x14ac:dyDescent="0.15">
      <c r="A1719" s="33" t="s">
        <v>33660</v>
      </c>
      <c r="B1719" s="33">
        <v>36</v>
      </c>
      <c r="C1719" s="33" t="s">
        <v>14</v>
      </c>
      <c r="D1719" s="33" t="s">
        <v>31</v>
      </c>
      <c r="E1719" s="42" t="s">
        <v>33661</v>
      </c>
      <c r="F1719" s="67">
        <v>43259</v>
      </c>
      <c r="G1719" s="33" t="s">
        <v>33662</v>
      </c>
      <c r="H1719" s="33" t="s">
        <v>7248</v>
      </c>
      <c r="I1719" s="33" t="s">
        <v>621</v>
      </c>
      <c r="J1719" s="33">
        <v>39046</v>
      </c>
      <c r="K1719" s="33" t="s">
        <v>2014</v>
      </c>
      <c r="L1719" s="33" t="s">
        <v>6382</v>
      </c>
      <c r="M1719" s="33" t="s">
        <v>21</v>
      </c>
      <c r="N1719" s="33" t="s">
        <v>33663</v>
      </c>
      <c r="O1719" s="33" t="s">
        <v>372</v>
      </c>
      <c r="P1719" s="33" t="s">
        <v>30089</v>
      </c>
      <c r="Q1719" s="42" t="s">
        <v>33664</v>
      </c>
      <c r="R1719" s="33" t="s">
        <v>94</v>
      </c>
      <c r="S1719" s="33" t="s">
        <v>12</v>
      </c>
      <c r="T1719" s="33" t="s">
        <v>29705</v>
      </c>
      <c r="U1719" s="33" t="s">
        <v>26575</v>
      </c>
      <c r="V1719" s="33" t="s">
        <v>26573</v>
      </c>
      <c r="W1719" s="33" t="s">
        <v>94</v>
      </c>
      <c r="X1719" s="33">
        <v>3761</v>
      </c>
      <c r="Z1719" s="33" t="s">
        <v>42967</v>
      </c>
      <c r="AA1719" s="33">
        <v>5948</v>
      </c>
    </row>
    <row r="1720" spans="1:27" ht="12" customHeight="1" x14ac:dyDescent="0.15">
      <c r="A1720" s="33" t="s">
        <v>33665</v>
      </c>
      <c r="B1720" s="33">
        <v>47</v>
      </c>
      <c r="C1720" s="33" t="s">
        <v>14</v>
      </c>
      <c r="D1720" s="33" t="s">
        <v>31</v>
      </c>
      <c r="E1720" s="42"/>
      <c r="F1720" s="67">
        <v>43259</v>
      </c>
      <c r="G1720" s="33" t="s">
        <v>33666</v>
      </c>
      <c r="H1720" s="33" t="s">
        <v>33626</v>
      </c>
      <c r="I1720" s="33" t="s">
        <v>75</v>
      </c>
      <c r="J1720" s="33">
        <v>7832</v>
      </c>
      <c r="K1720" s="33" t="s">
        <v>5481</v>
      </c>
      <c r="L1720" s="33" t="s">
        <v>2301</v>
      </c>
      <c r="M1720" s="33" t="s">
        <v>21</v>
      </c>
      <c r="N1720" s="33" t="s">
        <v>33667</v>
      </c>
      <c r="O1720" s="33" t="s">
        <v>372</v>
      </c>
      <c r="P1720" s="33" t="s">
        <v>30089</v>
      </c>
      <c r="Q1720" s="42" t="s">
        <v>33668</v>
      </c>
      <c r="R1720" s="33" t="s">
        <v>94</v>
      </c>
      <c r="S1720" s="33" t="s">
        <v>22</v>
      </c>
      <c r="T1720" s="33" t="s">
        <v>26781</v>
      </c>
      <c r="U1720" s="33" t="s">
        <v>26572</v>
      </c>
      <c r="V1720" s="33" t="s">
        <v>26571</v>
      </c>
      <c r="W1720" s="33" t="s">
        <v>94</v>
      </c>
      <c r="X1720" s="33">
        <v>3849</v>
      </c>
      <c r="Z1720" s="33" t="s">
        <v>42967</v>
      </c>
      <c r="AA1720" s="33">
        <v>5947</v>
      </c>
    </row>
    <row r="1721" spans="1:27" ht="12" customHeight="1" x14ac:dyDescent="0.15">
      <c r="A1721" s="33" t="s">
        <v>33678</v>
      </c>
      <c r="B1721" s="33">
        <v>33</v>
      </c>
      <c r="C1721" s="33" t="s">
        <v>14</v>
      </c>
      <c r="D1721" s="33" t="s">
        <v>31</v>
      </c>
      <c r="E1721" s="42"/>
      <c r="F1721" s="67">
        <v>43258</v>
      </c>
      <c r="G1721" s="33" t="s">
        <v>33679</v>
      </c>
      <c r="H1721" s="33" t="s">
        <v>866</v>
      </c>
      <c r="I1721" s="33" t="s">
        <v>178</v>
      </c>
      <c r="J1721" s="33">
        <v>87102</v>
      </c>
      <c r="K1721" s="33" t="s">
        <v>433</v>
      </c>
      <c r="L1721" s="33" t="s">
        <v>5161</v>
      </c>
      <c r="M1721" s="33" t="s">
        <v>21</v>
      </c>
      <c r="N1721" s="33" t="s">
        <v>33680</v>
      </c>
      <c r="O1721" s="33" t="s">
        <v>372</v>
      </c>
      <c r="P1721" s="33" t="s">
        <v>30089</v>
      </c>
      <c r="Q1721" s="42" t="s">
        <v>33681</v>
      </c>
      <c r="R1721" s="33" t="s">
        <v>94</v>
      </c>
      <c r="S1721" s="33" t="s">
        <v>22</v>
      </c>
      <c r="T1721" s="33" t="s">
        <v>26781</v>
      </c>
      <c r="U1721" s="33" t="s">
        <v>26572</v>
      </c>
      <c r="V1721" s="33" t="s">
        <v>26571</v>
      </c>
      <c r="W1721" s="33" t="s">
        <v>94</v>
      </c>
      <c r="X1721" s="33">
        <v>3754</v>
      </c>
      <c r="Z1721" s="33" t="s">
        <v>42966</v>
      </c>
      <c r="AA1721" s="33">
        <v>5943</v>
      </c>
    </row>
    <row r="1722" spans="1:27" ht="12" customHeight="1" x14ac:dyDescent="0.15">
      <c r="A1722" s="33" t="s">
        <v>33682</v>
      </c>
      <c r="B1722" s="33">
        <v>50</v>
      </c>
      <c r="C1722" s="33" t="s">
        <v>14</v>
      </c>
      <c r="D1722" s="33" t="s">
        <v>31</v>
      </c>
      <c r="E1722" s="42" t="s">
        <v>33684</v>
      </c>
      <c r="F1722" s="67">
        <v>43258</v>
      </c>
      <c r="G1722" s="33" t="s">
        <v>33685</v>
      </c>
      <c r="H1722" s="33" t="s">
        <v>33683</v>
      </c>
      <c r="I1722" s="33" t="s">
        <v>282</v>
      </c>
      <c r="J1722" s="33">
        <v>99320</v>
      </c>
      <c r="K1722" s="33" t="s">
        <v>2325</v>
      </c>
      <c r="L1722" s="33" t="s">
        <v>4018</v>
      </c>
      <c r="M1722" s="33" t="s">
        <v>21</v>
      </c>
      <c r="N1722" s="33" t="s">
        <v>33686</v>
      </c>
      <c r="O1722" s="33" t="s">
        <v>372</v>
      </c>
      <c r="P1722" s="33" t="s">
        <v>30089</v>
      </c>
      <c r="Q1722" s="42" t="s">
        <v>33687</v>
      </c>
      <c r="R1722" s="33" t="s">
        <v>512</v>
      </c>
      <c r="S1722" s="33" t="s">
        <v>22</v>
      </c>
      <c r="T1722" s="33" t="s">
        <v>26781</v>
      </c>
      <c r="U1722" s="33" t="s">
        <v>26570</v>
      </c>
      <c r="V1722" s="33" t="s">
        <v>26573</v>
      </c>
      <c r="W1722" s="33" t="s">
        <v>94</v>
      </c>
      <c r="X1722" s="33">
        <v>3851</v>
      </c>
      <c r="Z1722" s="33" t="s">
        <v>42967</v>
      </c>
      <c r="AA1722" s="33">
        <v>5945</v>
      </c>
    </row>
    <row r="1723" spans="1:27" ht="12" customHeight="1" x14ac:dyDescent="0.15">
      <c r="A1723" s="33" t="s">
        <v>33674</v>
      </c>
      <c r="B1723" s="33">
        <v>28</v>
      </c>
      <c r="C1723" s="33" t="s">
        <v>14</v>
      </c>
      <c r="D1723" s="33" t="s">
        <v>79</v>
      </c>
      <c r="E1723" s="42"/>
      <c r="F1723" s="67">
        <v>43258</v>
      </c>
      <c r="G1723" s="33" t="s">
        <v>33675</v>
      </c>
      <c r="H1723" s="33" t="s">
        <v>25537</v>
      </c>
      <c r="I1723" s="33" t="s">
        <v>198</v>
      </c>
      <c r="J1723" s="33">
        <v>46402</v>
      </c>
      <c r="K1723" s="33" t="s">
        <v>1179</v>
      </c>
      <c r="L1723" s="33" t="s">
        <v>32157</v>
      </c>
      <c r="M1723" s="33" t="s">
        <v>21</v>
      </c>
      <c r="N1723" s="33" t="s">
        <v>33676</v>
      </c>
      <c r="O1723" s="33" t="s">
        <v>372</v>
      </c>
      <c r="P1723" s="33" t="s">
        <v>30089</v>
      </c>
      <c r="Q1723" s="42" t="s">
        <v>33677</v>
      </c>
      <c r="R1723" s="33" t="s">
        <v>94</v>
      </c>
      <c r="S1723" s="33" t="s">
        <v>22</v>
      </c>
      <c r="T1723" s="33" t="s">
        <v>26781</v>
      </c>
      <c r="U1723" s="33" t="s">
        <v>26572</v>
      </c>
      <c r="V1723" s="33" t="s">
        <v>26573</v>
      </c>
      <c r="W1723" s="33" t="s">
        <v>94</v>
      </c>
      <c r="X1723" s="33">
        <v>3850</v>
      </c>
      <c r="Z1723" s="33" t="s">
        <v>42966</v>
      </c>
      <c r="AA1723" s="33">
        <v>5944</v>
      </c>
    </row>
    <row r="1724" spans="1:27" ht="12" customHeight="1" x14ac:dyDescent="0.15">
      <c r="A1724" s="33" t="s">
        <v>33669</v>
      </c>
      <c r="B1724" s="33">
        <v>20</v>
      </c>
      <c r="C1724" s="33" t="s">
        <v>103</v>
      </c>
      <c r="D1724" s="33" t="s">
        <v>31</v>
      </c>
      <c r="E1724" s="42" t="s">
        <v>33670</v>
      </c>
      <c r="F1724" s="67">
        <v>43258</v>
      </c>
      <c r="G1724" s="33" t="s">
        <v>33671</v>
      </c>
      <c r="H1724" s="33" t="s">
        <v>1227</v>
      </c>
      <c r="I1724" s="33" t="s">
        <v>67</v>
      </c>
      <c r="J1724" s="33">
        <v>78744</v>
      </c>
      <c r="K1724" s="33" t="s">
        <v>1228</v>
      </c>
      <c r="L1724" s="33" t="s">
        <v>1229</v>
      </c>
      <c r="M1724" s="33" t="s">
        <v>21</v>
      </c>
      <c r="N1724" s="33" t="s">
        <v>33672</v>
      </c>
      <c r="O1724" s="33" t="s">
        <v>372</v>
      </c>
      <c r="P1724" s="33" t="s">
        <v>30089</v>
      </c>
      <c r="Q1724" s="42" t="s">
        <v>33673</v>
      </c>
      <c r="R1724" s="33" t="s">
        <v>904</v>
      </c>
      <c r="S1724" s="33" t="s">
        <v>22</v>
      </c>
      <c r="T1724" s="33" t="s">
        <v>26774</v>
      </c>
      <c r="U1724" s="33" t="s">
        <v>26570</v>
      </c>
      <c r="W1724" s="33" t="s">
        <v>512</v>
      </c>
      <c r="X1724" s="33">
        <v>3756</v>
      </c>
      <c r="Z1724" s="33" t="s">
        <v>42968</v>
      </c>
      <c r="AA1724" s="33">
        <v>5946</v>
      </c>
    </row>
    <row r="1725" spans="1:27" ht="12" customHeight="1" x14ac:dyDescent="0.15">
      <c r="A1725" s="33" t="s">
        <v>33692</v>
      </c>
      <c r="B1725" s="33">
        <v>34</v>
      </c>
      <c r="C1725" s="33" t="s">
        <v>14</v>
      </c>
      <c r="D1725" s="33" t="s">
        <v>31</v>
      </c>
      <c r="E1725" s="42" t="s">
        <v>33693</v>
      </c>
      <c r="F1725" s="67">
        <v>43257</v>
      </c>
      <c r="G1725" s="33" t="s">
        <v>33694</v>
      </c>
      <c r="H1725" s="33" t="s">
        <v>15640</v>
      </c>
      <c r="I1725" s="33" t="s">
        <v>39</v>
      </c>
      <c r="J1725" s="33">
        <v>96080</v>
      </c>
      <c r="K1725" s="33" t="s">
        <v>2722</v>
      </c>
      <c r="L1725" s="33" t="s">
        <v>30210</v>
      </c>
      <c r="M1725" s="33" t="s">
        <v>21</v>
      </c>
      <c r="N1725" s="33" t="s">
        <v>33695</v>
      </c>
      <c r="O1725" s="33" t="s">
        <v>372</v>
      </c>
      <c r="P1725" s="33" t="s">
        <v>30089</v>
      </c>
      <c r="Q1725" s="42" t="s">
        <v>33696</v>
      </c>
      <c r="R1725" s="33" t="s">
        <v>512</v>
      </c>
      <c r="S1725" s="33" t="s">
        <v>22</v>
      </c>
      <c r="T1725" s="33" t="s">
        <v>26781</v>
      </c>
      <c r="U1725" s="33" t="s">
        <v>26572</v>
      </c>
      <c r="V1725" s="33" t="s">
        <v>26573</v>
      </c>
      <c r="W1725" s="33" t="s">
        <v>94</v>
      </c>
      <c r="X1725" s="33">
        <v>3834</v>
      </c>
      <c r="Z1725" s="33" t="s">
        <v>42967</v>
      </c>
      <c r="AA1725" s="33">
        <v>5941</v>
      </c>
    </row>
    <row r="1726" spans="1:27" ht="12" customHeight="1" x14ac:dyDescent="0.15">
      <c r="A1726" s="33" t="s">
        <v>33688</v>
      </c>
      <c r="B1726" s="33">
        <v>24</v>
      </c>
      <c r="C1726" s="33" t="s">
        <v>14</v>
      </c>
      <c r="D1726" s="33" t="s">
        <v>79</v>
      </c>
      <c r="E1726" s="42"/>
      <c r="F1726" s="67">
        <v>43257</v>
      </c>
      <c r="G1726" s="33" t="s">
        <v>33689</v>
      </c>
      <c r="H1726" s="33" t="s">
        <v>81</v>
      </c>
      <c r="I1726" s="33" t="s">
        <v>38</v>
      </c>
      <c r="J1726" s="33">
        <v>60653</v>
      </c>
      <c r="K1726" s="33" t="s">
        <v>82</v>
      </c>
      <c r="L1726" s="33" t="s">
        <v>83</v>
      </c>
      <c r="M1726" s="33" t="s">
        <v>21</v>
      </c>
      <c r="N1726" s="33" t="s">
        <v>33690</v>
      </c>
      <c r="O1726" s="33" t="s">
        <v>372</v>
      </c>
      <c r="P1726" s="33" t="s">
        <v>30089</v>
      </c>
      <c r="Q1726" s="42" t="s">
        <v>33691</v>
      </c>
      <c r="R1726" s="33" t="s">
        <v>94</v>
      </c>
      <c r="S1726" s="33" t="s">
        <v>22</v>
      </c>
      <c r="T1726" s="33" t="s">
        <v>26781</v>
      </c>
      <c r="U1726" s="33" t="s">
        <v>26570</v>
      </c>
      <c r="W1726" s="33" t="s">
        <v>94</v>
      </c>
      <c r="X1726" s="33">
        <v>3755</v>
      </c>
      <c r="Z1726" s="33" t="s">
        <v>42966</v>
      </c>
      <c r="AA1726" s="33">
        <v>5938</v>
      </c>
    </row>
    <row r="1727" spans="1:27" ht="12" customHeight="1" x14ac:dyDescent="0.15">
      <c r="A1727" s="33" t="s">
        <v>33701</v>
      </c>
      <c r="B1727" s="33">
        <v>47</v>
      </c>
      <c r="C1727" s="33" t="s">
        <v>14</v>
      </c>
      <c r="D1727" s="33" t="s">
        <v>31</v>
      </c>
      <c r="E1727" s="42" t="s">
        <v>33703</v>
      </c>
      <c r="F1727" s="67">
        <v>43257</v>
      </c>
      <c r="G1727" s="33" t="s">
        <v>33704</v>
      </c>
      <c r="H1727" s="33" t="s">
        <v>33702</v>
      </c>
      <c r="I1727" s="33" t="s">
        <v>63</v>
      </c>
      <c r="J1727" s="33">
        <v>43074</v>
      </c>
      <c r="K1727" s="33" t="s">
        <v>850</v>
      </c>
      <c r="L1727" s="33" t="s">
        <v>33705</v>
      </c>
      <c r="M1727" s="33" t="s">
        <v>21</v>
      </c>
      <c r="N1727" s="33" t="s">
        <v>33706</v>
      </c>
      <c r="O1727" s="33" t="s">
        <v>372</v>
      </c>
      <c r="P1727" s="33" t="s">
        <v>30089</v>
      </c>
      <c r="Q1727" s="42" t="s">
        <v>33707</v>
      </c>
      <c r="R1727" s="33" t="s">
        <v>512</v>
      </c>
      <c r="S1727" s="33" t="s">
        <v>22</v>
      </c>
      <c r="T1727" s="33" t="s">
        <v>26781</v>
      </c>
      <c r="U1727" s="33" t="s">
        <v>26570</v>
      </c>
      <c r="V1727" s="33" t="s">
        <v>26573</v>
      </c>
      <c r="W1727" s="33" t="s">
        <v>94</v>
      </c>
      <c r="X1727" s="33">
        <v>3805</v>
      </c>
      <c r="Z1727" s="33" t="s">
        <v>42967</v>
      </c>
      <c r="AA1727" s="33">
        <v>5940</v>
      </c>
    </row>
    <row r="1728" spans="1:27" ht="12" customHeight="1" x14ac:dyDescent="0.15">
      <c r="A1728" s="33" t="s">
        <v>33708</v>
      </c>
      <c r="B1728" s="33">
        <v>67</v>
      </c>
      <c r="C1728" s="33" t="s">
        <v>14</v>
      </c>
      <c r="D1728" s="33" t="s">
        <v>31</v>
      </c>
      <c r="E1728" s="42" t="s">
        <v>33709</v>
      </c>
      <c r="F1728" s="67">
        <v>43257</v>
      </c>
      <c r="G1728" s="33" t="s">
        <v>33710</v>
      </c>
      <c r="H1728" s="33" t="s">
        <v>7448</v>
      </c>
      <c r="I1728" s="33" t="s">
        <v>160</v>
      </c>
      <c r="J1728" s="33">
        <v>30241</v>
      </c>
      <c r="K1728" s="33" t="s">
        <v>25726</v>
      </c>
      <c r="L1728" s="33" t="s">
        <v>36460</v>
      </c>
      <c r="M1728" s="33" t="s">
        <v>21</v>
      </c>
      <c r="N1728" s="33" t="s">
        <v>33711</v>
      </c>
      <c r="O1728" s="33" t="s">
        <v>372</v>
      </c>
      <c r="P1728" s="33" t="s">
        <v>30089</v>
      </c>
      <c r="Q1728" s="42" t="s">
        <v>33712</v>
      </c>
      <c r="R1728" s="33" t="s">
        <v>512</v>
      </c>
      <c r="S1728" s="33" t="s">
        <v>22</v>
      </c>
      <c r="T1728" s="33" t="s">
        <v>26781</v>
      </c>
      <c r="U1728" s="33" t="s">
        <v>26572</v>
      </c>
      <c r="V1728" s="33" t="s">
        <v>26573</v>
      </c>
      <c r="W1728" s="33" t="s">
        <v>94</v>
      </c>
      <c r="X1728" s="33">
        <v>3758</v>
      </c>
      <c r="Z1728" s="33" t="s">
        <v>42968</v>
      </c>
      <c r="AA1728" s="33">
        <v>5939</v>
      </c>
    </row>
    <row r="1729" spans="1:27" ht="12" customHeight="1" x14ac:dyDescent="0.15">
      <c r="A1729" s="33" t="s">
        <v>3002</v>
      </c>
      <c r="B1729" s="33">
        <v>43</v>
      </c>
      <c r="C1729" s="33" t="s">
        <v>14</v>
      </c>
      <c r="D1729" s="33" t="s">
        <v>24</v>
      </c>
      <c r="E1729" s="42"/>
      <c r="F1729" s="67">
        <v>43257</v>
      </c>
      <c r="G1729" s="33" t="s">
        <v>33698</v>
      </c>
      <c r="H1729" s="33" t="s">
        <v>33697</v>
      </c>
      <c r="I1729" s="33" t="s">
        <v>395</v>
      </c>
      <c r="J1729" s="33">
        <v>11566</v>
      </c>
      <c r="K1729" s="33" t="s">
        <v>5127</v>
      </c>
      <c r="L1729" s="33" t="s">
        <v>29339</v>
      </c>
      <c r="M1729" s="33" t="s">
        <v>21</v>
      </c>
      <c r="N1729" s="33" t="s">
        <v>33699</v>
      </c>
      <c r="O1729" s="33" t="s">
        <v>372</v>
      </c>
      <c r="P1729" s="33" t="s">
        <v>30089</v>
      </c>
      <c r="Q1729" s="42" t="s">
        <v>33700</v>
      </c>
      <c r="R1729" s="33" t="s">
        <v>94</v>
      </c>
      <c r="S1729" s="33" t="s">
        <v>29</v>
      </c>
      <c r="T1729" s="33" t="s">
        <v>26575</v>
      </c>
      <c r="U1729" s="33" t="s">
        <v>26575</v>
      </c>
      <c r="W1729" s="33" t="s">
        <v>94</v>
      </c>
      <c r="X1729" s="33">
        <v>3757</v>
      </c>
      <c r="Z1729" s="33" t="s">
        <v>42968</v>
      </c>
      <c r="AA1729" s="33">
        <v>5942</v>
      </c>
    </row>
    <row r="1730" spans="1:27" ht="12" customHeight="1" x14ac:dyDescent="0.15">
      <c r="A1730" s="33" t="s">
        <v>33713</v>
      </c>
      <c r="B1730" s="33">
        <v>55</v>
      </c>
      <c r="C1730" s="33" t="s">
        <v>14</v>
      </c>
      <c r="D1730" s="33" t="s">
        <v>42</v>
      </c>
      <c r="E1730" s="42"/>
      <c r="F1730" s="67">
        <v>43256</v>
      </c>
      <c r="G1730" s="33" t="s">
        <v>33714</v>
      </c>
      <c r="H1730" s="33" t="s">
        <v>25098</v>
      </c>
      <c r="I1730" s="33" t="s">
        <v>67</v>
      </c>
      <c r="J1730" s="33">
        <v>77581</v>
      </c>
      <c r="K1730" s="33" t="s">
        <v>4537</v>
      </c>
      <c r="L1730" s="33" t="s">
        <v>14292</v>
      </c>
      <c r="M1730" s="33" t="s">
        <v>21</v>
      </c>
      <c r="N1730" s="33" t="s">
        <v>33715</v>
      </c>
      <c r="O1730" s="33" t="s">
        <v>372</v>
      </c>
      <c r="P1730" s="33" t="s">
        <v>30089</v>
      </c>
      <c r="Q1730" s="42" t="s">
        <v>33716</v>
      </c>
      <c r="R1730" s="33" t="s">
        <v>512</v>
      </c>
      <c r="S1730" s="33" t="s">
        <v>22</v>
      </c>
      <c r="T1730" s="33" t="s">
        <v>26781</v>
      </c>
      <c r="U1730" s="33" t="s">
        <v>26572</v>
      </c>
      <c r="V1730" s="33" t="s">
        <v>26573</v>
      </c>
      <c r="W1730" s="33" t="s">
        <v>94</v>
      </c>
      <c r="X1730" s="33">
        <v>3739</v>
      </c>
      <c r="Z1730" s="33" t="s">
        <v>42968</v>
      </c>
      <c r="AA1730" s="33">
        <v>5937</v>
      </c>
    </row>
    <row r="1731" spans="1:27" ht="12" customHeight="1" x14ac:dyDescent="0.15">
      <c r="A1731" s="33" t="s">
        <v>33722</v>
      </c>
      <c r="B1731" s="33">
        <v>40</v>
      </c>
      <c r="C1731" s="33" t="s">
        <v>14</v>
      </c>
      <c r="D1731" s="33" t="s">
        <v>24</v>
      </c>
      <c r="E1731" s="42"/>
      <c r="F1731" s="67">
        <v>43255</v>
      </c>
      <c r="G1731" s="33" t="s">
        <v>33723</v>
      </c>
      <c r="H1731" s="33" t="s">
        <v>3846</v>
      </c>
      <c r="I1731" s="33" t="s">
        <v>402</v>
      </c>
      <c r="J1731" s="33">
        <v>65803</v>
      </c>
      <c r="K1731" s="33" t="s">
        <v>4549</v>
      </c>
      <c r="L1731" s="33" t="s">
        <v>3849</v>
      </c>
      <c r="M1731" s="33" t="s">
        <v>21</v>
      </c>
      <c r="N1731" s="33" t="s">
        <v>33724</v>
      </c>
      <c r="O1731" s="33" t="s">
        <v>372</v>
      </c>
      <c r="P1731" s="33" t="s">
        <v>30089</v>
      </c>
      <c r="Q1731" s="42" t="s">
        <v>33725</v>
      </c>
      <c r="R1731" s="33" t="s">
        <v>94</v>
      </c>
      <c r="S1731" s="33" t="s">
        <v>22</v>
      </c>
      <c r="T1731" s="33" t="s">
        <v>26781</v>
      </c>
      <c r="U1731" s="33" t="s">
        <v>26572</v>
      </c>
      <c r="V1731" s="33" t="s">
        <v>26574</v>
      </c>
      <c r="W1731" s="33" t="s">
        <v>94</v>
      </c>
      <c r="X1731" s="33">
        <v>3738</v>
      </c>
      <c r="Z1731" s="33" t="s">
        <v>42968</v>
      </c>
      <c r="AA1731" s="33">
        <v>5935</v>
      </c>
    </row>
    <row r="1732" spans="1:27" ht="12" customHeight="1" x14ac:dyDescent="0.15">
      <c r="A1732" s="33" t="s">
        <v>33717</v>
      </c>
      <c r="B1732" s="33">
        <v>20</v>
      </c>
      <c r="C1732" s="33" t="s">
        <v>14</v>
      </c>
      <c r="D1732" s="33" t="s">
        <v>31</v>
      </c>
      <c r="E1732" s="42" t="s">
        <v>33718</v>
      </c>
      <c r="F1732" s="67">
        <v>43255</v>
      </c>
      <c r="G1732" s="33" t="s">
        <v>33719</v>
      </c>
      <c r="H1732" s="33" t="s">
        <v>1355</v>
      </c>
      <c r="I1732" s="33" t="s">
        <v>338</v>
      </c>
      <c r="J1732" s="33">
        <v>28411</v>
      </c>
      <c r="K1732" s="33" t="s">
        <v>7811</v>
      </c>
      <c r="L1732" s="33" t="s">
        <v>7812</v>
      </c>
      <c r="M1732" s="33" t="s">
        <v>21</v>
      </c>
      <c r="N1732" s="33" t="s">
        <v>33720</v>
      </c>
      <c r="O1732" s="33" t="s">
        <v>372</v>
      </c>
      <c r="P1732" s="33" t="s">
        <v>30089</v>
      </c>
      <c r="Q1732" s="42" t="s">
        <v>33721</v>
      </c>
      <c r="R1732" s="33" t="s">
        <v>512</v>
      </c>
      <c r="S1732" s="33" t="s">
        <v>22</v>
      </c>
      <c r="T1732" s="33" t="s">
        <v>26781</v>
      </c>
      <c r="U1732" s="33" t="s">
        <v>26570</v>
      </c>
      <c r="V1732" s="33" t="s">
        <v>26573</v>
      </c>
      <c r="W1732" s="33" t="s">
        <v>94</v>
      </c>
      <c r="X1732" s="33">
        <v>3740</v>
      </c>
      <c r="Z1732" s="33" t="s">
        <v>42968</v>
      </c>
      <c r="AA1732" s="33">
        <v>5936</v>
      </c>
    </row>
    <row r="1733" spans="1:27" ht="12" customHeight="1" x14ac:dyDescent="0.15">
      <c r="A1733" s="33" t="s">
        <v>33732</v>
      </c>
      <c r="B1733" s="33">
        <v>34</v>
      </c>
      <c r="C1733" s="33" t="s">
        <v>14</v>
      </c>
      <c r="D1733" s="33" t="s">
        <v>42</v>
      </c>
      <c r="E1733" s="42"/>
      <c r="F1733" s="67">
        <v>43254</v>
      </c>
      <c r="G1733" s="33" t="s">
        <v>33733</v>
      </c>
      <c r="H1733" s="33" t="s">
        <v>728</v>
      </c>
      <c r="I1733" s="33" t="s">
        <v>39</v>
      </c>
      <c r="J1733" s="33">
        <v>92509</v>
      </c>
      <c r="K1733" s="33" t="s">
        <v>728</v>
      </c>
      <c r="L1733" s="33" t="s">
        <v>729</v>
      </c>
      <c r="M1733" s="33" t="s">
        <v>21</v>
      </c>
      <c r="N1733" s="33" t="s">
        <v>33734</v>
      </c>
      <c r="O1733" s="33" t="s">
        <v>372</v>
      </c>
      <c r="P1733" s="33" t="s">
        <v>30089</v>
      </c>
      <c r="Q1733" s="42" t="s">
        <v>33735</v>
      </c>
      <c r="R1733" s="33" t="s">
        <v>904</v>
      </c>
      <c r="S1733" s="33" t="s">
        <v>22</v>
      </c>
      <c r="T1733" s="33" t="s">
        <v>26781</v>
      </c>
      <c r="U1733" s="33" t="s">
        <v>26572</v>
      </c>
      <c r="V1733" s="33" t="s">
        <v>26571</v>
      </c>
      <c r="W1733" s="33" t="s">
        <v>94</v>
      </c>
      <c r="X1733" s="33">
        <v>3741</v>
      </c>
      <c r="Z1733" s="33" t="s">
        <v>42968</v>
      </c>
      <c r="AA1733" s="33">
        <v>5933</v>
      </c>
    </row>
    <row r="1734" spans="1:27" ht="12" customHeight="1" x14ac:dyDescent="0.15">
      <c r="A1734" s="33" t="s">
        <v>3002</v>
      </c>
      <c r="B1734" s="33" t="s">
        <v>23</v>
      </c>
      <c r="C1734" s="33" t="s">
        <v>14</v>
      </c>
      <c r="D1734" s="33" t="s">
        <v>24</v>
      </c>
      <c r="E1734" s="42"/>
      <c r="F1734" s="67">
        <v>43254</v>
      </c>
      <c r="G1734" s="33" t="s">
        <v>33737</v>
      </c>
      <c r="H1734" s="33" t="s">
        <v>33736</v>
      </c>
      <c r="I1734" s="33" t="s">
        <v>39</v>
      </c>
      <c r="J1734" s="33">
        <v>92254</v>
      </c>
      <c r="K1734" s="33" t="s">
        <v>728</v>
      </c>
      <c r="L1734" s="33" t="s">
        <v>729</v>
      </c>
      <c r="M1734" s="33" t="s">
        <v>21</v>
      </c>
      <c r="N1734" s="33" t="s">
        <v>33738</v>
      </c>
      <c r="O1734" s="33" t="s">
        <v>372</v>
      </c>
      <c r="P1734" s="33" t="s">
        <v>30089</v>
      </c>
      <c r="Q1734" s="42" t="s">
        <v>33739</v>
      </c>
      <c r="R1734" s="33" t="s">
        <v>94</v>
      </c>
      <c r="S1734" s="33" t="s">
        <v>22</v>
      </c>
      <c r="T1734" s="33" t="s">
        <v>27020</v>
      </c>
      <c r="U1734" s="33" t="s">
        <v>26570</v>
      </c>
      <c r="V1734" s="33" t="s">
        <v>26573</v>
      </c>
      <c r="W1734" s="33" t="s">
        <v>94</v>
      </c>
      <c r="X1734" s="33">
        <v>3729</v>
      </c>
      <c r="Z1734" s="33" t="s">
        <v>42967</v>
      </c>
      <c r="AA1734" s="33">
        <v>5932</v>
      </c>
    </row>
    <row r="1735" spans="1:27" ht="12" customHeight="1" x14ac:dyDescent="0.15">
      <c r="A1735" s="33" t="s">
        <v>33726</v>
      </c>
      <c r="B1735" s="33">
        <v>32</v>
      </c>
      <c r="C1735" s="33" t="s">
        <v>14</v>
      </c>
      <c r="D1735" s="33" t="s">
        <v>42</v>
      </c>
      <c r="E1735" s="42"/>
      <c r="F1735" s="67">
        <v>43254</v>
      </c>
      <c r="G1735" s="33" t="s">
        <v>33728</v>
      </c>
      <c r="H1735" s="33" t="s">
        <v>33727</v>
      </c>
      <c r="I1735" s="33" t="s">
        <v>367</v>
      </c>
      <c r="J1735" s="33">
        <v>73079</v>
      </c>
      <c r="K1735" s="33" t="s">
        <v>2382</v>
      </c>
      <c r="L1735" s="33" t="s">
        <v>33729</v>
      </c>
      <c r="M1735" s="33" t="s">
        <v>21</v>
      </c>
      <c r="N1735" s="33" t="s">
        <v>33730</v>
      </c>
      <c r="O1735" s="33" t="s">
        <v>372</v>
      </c>
      <c r="P1735" s="33" t="s">
        <v>30089</v>
      </c>
      <c r="Q1735" s="42" t="s">
        <v>33731</v>
      </c>
      <c r="R1735" s="33" t="s">
        <v>94</v>
      </c>
      <c r="S1735" s="33" t="s">
        <v>29</v>
      </c>
      <c r="T1735" s="33" t="s">
        <v>26575</v>
      </c>
      <c r="U1735" s="33" t="s">
        <v>26570</v>
      </c>
      <c r="V1735" s="33" t="s">
        <v>26571</v>
      </c>
      <c r="W1735" s="33" t="s">
        <v>94</v>
      </c>
      <c r="X1735" s="33">
        <v>3728</v>
      </c>
      <c r="Z1735" s="33" t="s">
        <v>42967</v>
      </c>
      <c r="AA1735" s="33">
        <v>5934</v>
      </c>
    </row>
    <row r="1736" spans="1:27" ht="12" customHeight="1" x14ac:dyDescent="0.15">
      <c r="A1736" s="33" t="s">
        <v>33744</v>
      </c>
      <c r="B1736" s="33">
        <v>43</v>
      </c>
      <c r="C1736" s="33" t="s">
        <v>14</v>
      </c>
      <c r="D1736" s="33" t="s">
        <v>79</v>
      </c>
      <c r="E1736" s="42"/>
      <c r="F1736" s="67">
        <v>43253</v>
      </c>
      <c r="G1736" s="33" t="s">
        <v>33745</v>
      </c>
      <c r="H1736" s="33" t="s">
        <v>81</v>
      </c>
      <c r="I1736" s="33" t="s">
        <v>38</v>
      </c>
      <c r="J1736" s="33">
        <v>60644</v>
      </c>
      <c r="K1736" s="33" t="s">
        <v>82</v>
      </c>
      <c r="L1736" s="33" t="s">
        <v>21893</v>
      </c>
      <c r="M1736" s="33" t="s">
        <v>21</v>
      </c>
      <c r="N1736" s="33" t="s">
        <v>33746</v>
      </c>
      <c r="O1736" s="33" t="s">
        <v>372</v>
      </c>
      <c r="P1736" s="33" t="s">
        <v>30089</v>
      </c>
      <c r="Q1736" s="42" t="s">
        <v>33747</v>
      </c>
      <c r="R1736" s="33" t="s">
        <v>94</v>
      </c>
      <c r="S1736" s="33" t="s">
        <v>351</v>
      </c>
      <c r="T1736" s="33" t="s">
        <v>26867</v>
      </c>
      <c r="U1736" s="33" t="s">
        <v>26572</v>
      </c>
      <c r="V1736" s="33" t="s">
        <v>26571</v>
      </c>
      <c r="W1736" s="33" t="s">
        <v>94</v>
      </c>
      <c r="X1736" s="33">
        <v>3730</v>
      </c>
      <c r="Z1736" s="33" t="s">
        <v>42966</v>
      </c>
      <c r="AA1736" s="33">
        <v>5931</v>
      </c>
    </row>
    <row r="1737" spans="1:27" ht="12" customHeight="1" x14ac:dyDescent="0.15">
      <c r="A1737" s="33" t="s">
        <v>33740</v>
      </c>
      <c r="B1737" s="33">
        <v>39</v>
      </c>
      <c r="C1737" s="33" t="s">
        <v>14</v>
      </c>
      <c r="D1737" s="33" t="s">
        <v>79</v>
      </c>
      <c r="E1737" s="42" t="s">
        <v>33741</v>
      </c>
      <c r="F1737" s="67">
        <v>43253</v>
      </c>
      <c r="G1737" s="33" t="s">
        <v>33742</v>
      </c>
      <c r="H1737" s="33" t="s">
        <v>1447</v>
      </c>
      <c r="I1737" s="33" t="s">
        <v>160</v>
      </c>
      <c r="J1737" s="33">
        <v>31204</v>
      </c>
      <c r="K1737" s="33" t="s">
        <v>23972</v>
      </c>
      <c r="L1737" s="33" t="s">
        <v>23973</v>
      </c>
      <c r="M1737" s="33" t="s">
        <v>21</v>
      </c>
      <c r="N1737" s="33" t="s">
        <v>36461</v>
      </c>
      <c r="O1737" s="33" t="s">
        <v>372</v>
      </c>
      <c r="P1737" s="33" t="s">
        <v>30089</v>
      </c>
      <c r="Q1737" s="42" t="s">
        <v>33743</v>
      </c>
      <c r="R1737" s="33" t="s">
        <v>94</v>
      </c>
      <c r="S1737" s="33" t="s">
        <v>22</v>
      </c>
      <c r="T1737" s="33" t="s">
        <v>26781</v>
      </c>
      <c r="Z1737" s="33" t="s">
        <v>42966</v>
      </c>
      <c r="AA1737" s="33">
        <v>5930</v>
      </c>
    </row>
    <row r="1738" spans="1:27" ht="12" customHeight="1" x14ac:dyDescent="0.15">
      <c r="A1738" s="33" t="s">
        <v>33752</v>
      </c>
      <c r="B1738" s="33">
        <v>38</v>
      </c>
      <c r="C1738" s="33" t="s">
        <v>14</v>
      </c>
      <c r="D1738" s="33" t="s">
        <v>42</v>
      </c>
      <c r="E1738" s="42"/>
      <c r="F1738" s="67">
        <v>43252</v>
      </c>
      <c r="G1738" s="33" t="s">
        <v>33753</v>
      </c>
      <c r="H1738" s="33" t="s">
        <v>11060</v>
      </c>
      <c r="I1738" s="33" t="s">
        <v>39</v>
      </c>
      <c r="J1738" s="33">
        <v>90503</v>
      </c>
      <c r="K1738" s="33" t="s">
        <v>92</v>
      </c>
      <c r="L1738" s="33" t="s">
        <v>11300</v>
      </c>
      <c r="M1738" s="33" t="s">
        <v>21</v>
      </c>
      <c r="N1738" s="33" t="s">
        <v>33754</v>
      </c>
      <c r="O1738" s="33" t="s">
        <v>372</v>
      </c>
      <c r="P1738" s="33" t="s">
        <v>30089</v>
      </c>
      <c r="Q1738" s="42" t="s">
        <v>33755</v>
      </c>
      <c r="R1738" s="33" t="s">
        <v>94</v>
      </c>
      <c r="S1738" s="33" t="s">
        <v>22</v>
      </c>
      <c r="T1738" s="33" t="s">
        <v>26774</v>
      </c>
      <c r="U1738" s="33" t="s">
        <v>26570</v>
      </c>
      <c r="V1738" s="33" t="s">
        <v>26573</v>
      </c>
      <c r="W1738" s="33" t="s">
        <v>94</v>
      </c>
      <c r="X1738" s="33">
        <v>3732</v>
      </c>
      <c r="Z1738" s="33" t="s">
        <v>42966</v>
      </c>
      <c r="AA1738" s="33">
        <v>5928</v>
      </c>
    </row>
    <row r="1739" spans="1:27" ht="12" customHeight="1" x14ac:dyDescent="0.15">
      <c r="A1739" s="33" t="s">
        <v>33756</v>
      </c>
      <c r="B1739" s="33">
        <v>55</v>
      </c>
      <c r="C1739" s="33" t="s">
        <v>14</v>
      </c>
      <c r="D1739" s="33" t="s">
        <v>885</v>
      </c>
      <c r="E1739" s="42" t="s">
        <v>33757</v>
      </c>
      <c r="F1739" s="67">
        <v>43252</v>
      </c>
      <c r="G1739" s="33" t="s">
        <v>33758</v>
      </c>
      <c r="H1739" s="33" t="s">
        <v>11391</v>
      </c>
      <c r="I1739" s="33" t="s">
        <v>814</v>
      </c>
      <c r="J1739" s="33">
        <v>96797</v>
      </c>
      <c r="K1739" s="33" t="s">
        <v>2196</v>
      </c>
      <c r="L1739" s="33" t="s">
        <v>3281</v>
      </c>
      <c r="M1739" s="33" t="s">
        <v>21</v>
      </c>
      <c r="N1739" s="33" t="s">
        <v>33759</v>
      </c>
      <c r="O1739" s="33" t="s">
        <v>372</v>
      </c>
      <c r="P1739" s="33" t="s">
        <v>30089</v>
      </c>
      <c r="Q1739" s="42" t="s">
        <v>33760</v>
      </c>
      <c r="R1739" s="33" t="s">
        <v>512</v>
      </c>
      <c r="S1739" s="33" t="s">
        <v>22</v>
      </c>
      <c r="T1739" s="33" t="s">
        <v>26774</v>
      </c>
      <c r="U1739" s="33" t="s">
        <v>26572</v>
      </c>
      <c r="V1739" s="33" t="s">
        <v>26573</v>
      </c>
      <c r="W1739" s="33" t="s">
        <v>94</v>
      </c>
      <c r="X1739" s="33">
        <v>3731</v>
      </c>
      <c r="Z1739" s="33" t="s">
        <v>42968</v>
      </c>
      <c r="AA1739" s="33">
        <v>5927</v>
      </c>
    </row>
    <row r="1740" spans="1:27" ht="12" customHeight="1" x14ac:dyDescent="0.15">
      <c r="A1740" s="33" t="s">
        <v>33748</v>
      </c>
      <c r="B1740" s="33">
        <v>21</v>
      </c>
      <c r="C1740" s="33" t="s">
        <v>14</v>
      </c>
      <c r="D1740" s="33" t="s">
        <v>42</v>
      </c>
      <c r="E1740" s="42"/>
      <c r="F1740" s="67">
        <v>43252</v>
      </c>
      <c r="G1740" s="33" t="s">
        <v>33749</v>
      </c>
      <c r="H1740" s="33" t="s">
        <v>32229</v>
      </c>
      <c r="I1740" s="33" t="s">
        <v>56</v>
      </c>
      <c r="J1740" s="33">
        <v>33881</v>
      </c>
      <c r="K1740" s="33" t="s">
        <v>1736</v>
      </c>
      <c r="L1740" s="33" t="s">
        <v>238</v>
      </c>
      <c r="M1740" s="33" t="s">
        <v>21</v>
      </c>
      <c r="N1740" s="33" t="s">
        <v>33750</v>
      </c>
      <c r="O1740" s="33" t="s">
        <v>372</v>
      </c>
      <c r="P1740" s="33" t="s">
        <v>30089</v>
      </c>
      <c r="Q1740" s="42" t="s">
        <v>33751</v>
      </c>
      <c r="R1740" s="33" t="s">
        <v>94</v>
      </c>
      <c r="S1740" s="33" t="s">
        <v>29</v>
      </c>
      <c r="T1740" s="33" t="s">
        <v>26575</v>
      </c>
      <c r="U1740" s="33" t="s">
        <v>26572</v>
      </c>
      <c r="W1740" s="33" t="s">
        <v>94</v>
      </c>
      <c r="X1740" s="33">
        <v>3727</v>
      </c>
      <c r="Z1740" s="33" t="s">
        <v>42968</v>
      </c>
      <c r="AA1740" s="33">
        <v>5929</v>
      </c>
    </row>
    <row r="1741" spans="1:27" ht="12" customHeight="1" x14ac:dyDescent="0.15">
      <c r="A1741" s="33" t="s">
        <v>33772</v>
      </c>
      <c r="B1741" s="33">
        <v>46</v>
      </c>
      <c r="C1741" s="33" t="s">
        <v>103</v>
      </c>
      <c r="D1741" s="33" t="s">
        <v>31</v>
      </c>
      <c r="E1741" s="42" t="s">
        <v>33773</v>
      </c>
      <c r="F1741" s="67">
        <v>43251</v>
      </c>
      <c r="G1741" s="33" t="s">
        <v>33774</v>
      </c>
      <c r="H1741" s="33" t="s">
        <v>14507</v>
      </c>
      <c r="I1741" s="33" t="s">
        <v>39</v>
      </c>
      <c r="J1741" s="33">
        <v>92831</v>
      </c>
      <c r="K1741" s="33" t="s">
        <v>998</v>
      </c>
      <c r="L1741" s="33" t="s">
        <v>14508</v>
      </c>
      <c r="M1741" s="33" t="s">
        <v>21</v>
      </c>
      <c r="N1741" s="33" t="s">
        <v>36462</v>
      </c>
      <c r="O1741" s="33" t="s">
        <v>372</v>
      </c>
      <c r="P1741" s="33" t="s">
        <v>30089</v>
      </c>
      <c r="Q1741" s="42" t="s">
        <v>33775</v>
      </c>
      <c r="R1741" s="33" t="s">
        <v>512</v>
      </c>
      <c r="S1741" s="33" t="s">
        <v>22</v>
      </c>
      <c r="T1741" s="33" t="s">
        <v>26774</v>
      </c>
      <c r="U1741" s="33" t="s">
        <v>26570</v>
      </c>
      <c r="V1741" s="33" t="s">
        <v>26573</v>
      </c>
      <c r="W1741" s="33" t="s">
        <v>94</v>
      </c>
      <c r="X1741" s="33">
        <v>3725</v>
      </c>
      <c r="Z1741" s="33" t="s">
        <v>42968</v>
      </c>
      <c r="AA1741" s="33">
        <v>5924</v>
      </c>
    </row>
    <row r="1742" spans="1:27" ht="12" customHeight="1" x14ac:dyDescent="0.15">
      <c r="A1742" s="33" t="s">
        <v>33767</v>
      </c>
      <c r="B1742" s="33">
        <v>42</v>
      </c>
      <c r="C1742" s="33" t="s">
        <v>14</v>
      </c>
      <c r="D1742" s="33" t="s">
        <v>79</v>
      </c>
      <c r="E1742" s="42" t="s">
        <v>33768</v>
      </c>
      <c r="F1742" s="67">
        <v>43251</v>
      </c>
      <c r="G1742" s="33" t="s">
        <v>33769</v>
      </c>
      <c r="H1742" s="33" t="s">
        <v>28206</v>
      </c>
      <c r="I1742" s="33" t="s">
        <v>338</v>
      </c>
      <c r="J1742" s="33">
        <v>27360</v>
      </c>
      <c r="K1742" s="33" t="s">
        <v>823</v>
      </c>
      <c r="L1742" s="33" t="s">
        <v>8942</v>
      </c>
      <c r="M1742" s="33" t="s">
        <v>21</v>
      </c>
      <c r="N1742" s="33" t="s">
        <v>33770</v>
      </c>
      <c r="O1742" s="33" t="s">
        <v>372</v>
      </c>
      <c r="P1742" s="33" t="s">
        <v>30089</v>
      </c>
      <c r="Q1742" s="42" t="s">
        <v>33771</v>
      </c>
      <c r="R1742" s="33" t="s">
        <v>94</v>
      </c>
      <c r="S1742" s="33" t="s">
        <v>22</v>
      </c>
      <c r="T1742" s="33" t="s">
        <v>26774</v>
      </c>
      <c r="U1742" s="33" t="s">
        <v>26572</v>
      </c>
      <c r="V1742" s="33" t="s">
        <v>26571</v>
      </c>
      <c r="W1742" s="33" t="s">
        <v>94</v>
      </c>
      <c r="X1742" s="33">
        <v>3726</v>
      </c>
      <c r="Z1742" s="33" t="s">
        <v>42968</v>
      </c>
      <c r="AA1742" s="33">
        <v>5925</v>
      </c>
    </row>
    <row r="1743" spans="1:27" ht="12" customHeight="1" x14ac:dyDescent="0.15">
      <c r="A1743" s="33" t="s">
        <v>33761</v>
      </c>
      <c r="B1743" s="33">
        <v>39</v>
      </c>
      <c r="C1743" s="33" t="s">
        <v>14</v>
      </c>
      <c r="D1743" s="33" t="s">
        <v>42</v>
      </c>
      <c r="E1743" s="42" t="s">
        <v>33762</v>
      </c>
      <c r="F1743" s="67">
        <v>43251</v>
      </c>
      <c r="G1743" s="33" t="s">
        <v>33763</v>
      </c>
      <c r="H1743" s="33" t="s">
        <v>25524</v>
      </c>
      <c r="I1743" s="33" t="s">
        <v>39</v>
      </c>
      <c r="J1743" s="33">
        <v>93618</v>
      </c>
      <c r="K1743" s="33" t="s">
        <v>1088</v>
      </c>
      <c r="L1743" s="33" t="s">
        <v>33764</v>
      </c>
      <c r="M1743" s="33" t="s">
        <v>21</v>
      </c>
      <c r="N1743" s="33" t="s">
        <v>33765</v>
      </c>
      <c r="O1743" s="33" t="s">
        <v>372</v>
      </c>
      <c r="P1743" s="33" t="s">
        <v>30089</v>
      </c>
      <c r="Q1743" s="42" t="s">
        <v>33766</v>
      </c>
      <c r="R1743" s="33" t="s">
        <v>904</v>
      </c>
      <c r="S1743" s="33" t="s">
        <v>29</v>
      </c>
      <c r="T1743" s="33" t="s">
        <v>26575</v>
      </c>
      <c r="Y1743" s="33" t="s">
        <v>42476</v>
      </c>
      <c r="Z1743" s="33" t="s">
        <v>42968</v>
      </c>
      <c r="AA1743" s="33">
        <v>5926</v>
      </c>
    </row>
    <row r="1744" spans="1:27" ht="12" customHeight="1" x14ac:dyDescent="0.15">
      <c r="A1744" s="33" t="s">
        <v>33781</v>
      </c>
      <c r="B1744" s="33">
        <v>29</v>
      </c>
      <c r="C1744" s="33" t="s">
        <v>14</v>
      </c>
      <c r="D1744" s="33" t="s">
        <v>42</v>
      </c>
      <c r="E1744" s="42"/>
      <c r="F1744" s="67">
        <v>43250</v>
      </c>
      <c r="G1744" s="33" t="s">
        <v>33782</v>
      </c>
      <c r="H1744" s="33" t="s">
        <v>92</v>
      </c>
      <c r="I1744" s="33" t="s">
        <v>39</v>
      </c>
      <c r="J1744" s="33">
        <v>91331</v>
      </c>
      <c r="K1744" s="33" t="s">
        <v>92</v>
      </c>
      <c r="L1744" s="33" t="s">
        <v>93</v>
      </c>
      <c r="M1744" s="33" t="s">
        <v>21</v>
      </c>
      <c r="N1744" s="33" t="s">
        <v>33783</v>
      </c>
      <c r="O1744" s="33" t="s">
        <v>372</v>
      </c>
      <c r="P1744" s="33" t="s">
        <v>30089</v>
      </c>
      <c r="Q1744" s="42" t="s">
        <v>33784</v>
      </c>
      <c r="R1744" s="33" t="s">
        <v>94</v>
      </c>
      <c r="S1744" s="33" t="s">
        <v>22</v>
      </c>
      <c r="T1744" s="33" t="s">
        <v>26607</v>
      </c>
      <c r="U1744" s="33" t="s">
        <v>26572</v>
      </c>
      <c r="V1744" s="33" t="s">
        <v>26574</v>
      </c>
      <c r="W1744" s="33" t="s">
        <v>94</v>
      </c>
      <c r="X1744" s="33">
        <v>3721</v>
      </c>
      <c r="Z1744" s="33" t="s">
        <v>42966</v>
      </c>
      <c r="AA1744" s="33">
        <v>5923</v>
      </c>
    </row>
    <row r="1745" spans="1:27" ht="12" customHeight="1" x14ac:dyDescent="0.15">
      <c r="A1745" s="33" t="s">
        <v>33776</v>
      </c>
      <c r="B1745" s="33">
        <v>23</v>
      </c>
      <c r="C1745" s="33" t="s">
        <v>14</v>
      </c>
      <c r="D1745" s="33" t="s">
        <v>79</v>
      </c>
      <c r="E1745" s="42" t="s">
        <v>33777</v>
      </c>
      <c r="F1745" s="67">
        <v>43250</v>
      </c>
      <c r="G1745" s="33" t="s">
        <v>33778</v>
      </c>
      <c r="H1745" s="33" t="s">
        <v>1148</v>
      </c>
      <c r="I1745" s="33" t="s">
        <v>56</v>
      </c>
      <c r="J1745" s="33">
        <v>33034</v>
      </c>
      <c r="K1745" s="33" t="s">
        <v>148</v>
      </c>
      <c r="L1745" s="33" t="s">
        <v>149</v>
      </c>
      <c r="M1745" s="33" t="s">
        <v>21</v>
      </c>
      <c r="N1745" s="33" t="s">
        <v>33779</v>
      </c>
      <c r="O1745" s="33" t="s">
        <v>372</v>
      </c>
      <c r="P1745" s="33" t="s">
        <v>30089</v>
      </c>
      <c r="Q1745" s="42" t="s">
        <v>33780</v>
      </c>
      <c r="R1745" s="33" t="s">
        <v>94</v>
      </c>
      <c r="S1745" s="33" t="s">
        <v>22</v>
      </c>
      <c r="T1745" s="33" t="s">
        <v>26781</v>
      </c>
      <c r="U1745" s="33" t="s">
        <v>26570</v>
      </c>
      <c r="V1745" s="33" t="s">
        <v>26573</v>
      </c>
      <c r="W1745" s="33" t="s">
        <v>94</v>
      </c>
      <c r="X1745" s="33">
        <v>3734</v>
      </c>
      <c r="Z1745" s="33" t="s">
        <v>42968</v>
      </c>
      <c r="AA1745" s="33">
        <v>5922</v>
      </c>
    </row>
    <row r="1746" spans="1:27" ht="12" customHeight="1" x14ac:dyDescent="0.15">
      <c r="A1746" s="33" t="s">
        <v>33796</v>
      </c>
      <c r="B1746" s="33">
        <v>51</v>
      </c>
      <c r="C1746" s="33" t="s">
        <v>14</v>
      </c>
      <c r="D1746" s="33" t="s">
        <v>42</v>
      </c>
      <c r="E1746" s="42"/>
      <c r="F1746" s="67">
        <v>43249</v>
      </c>
      <c r="G1746" s="33" t="s">
        <v>33798</v>
      </c>
      <c r="H1746" s="33" t="s">
        <v>33797</v>
      </c>
      <c r="I1746" s="33" t="s">
        <v>39</v>
      </c>
      <c r="J1746" s="33">
        <v>95367</v>
      </c>
      <c r="K1746" s="33" t="s">
        <v>2954</v>
      </c>
      <c r="L1746" s="33" t="s">
        <v>33799</v>
      </c>
      <c r="M1746" s="33" t="s">
        <v>21</v>
      </c>
      <c r="N1746" s="33" t="s">
        <v>33800</v>
      </c>
      <c r="O1746" s="33" t="s">
        <v>372</v>
      </c>
      <c r="P1746" s="33" t="s">
        <v>30089</v>
      </c>
      <c r="Q1746" s="42" t="s">
        <v>33801</v>
      </c>
      <c r="R1746" s="33" t="s">
        <v>94</v>
      </c>
      <c r="S1746" s="33" t="s">
        <v>29</v>
      </c>
      <c r="T1746" s="33" t="s">
        <v>26584</v>
      </c>
      <c r="U1746" s="33" t="s">
        <v>26572</v>
      </c>
      <c r="V1746" s="33" t="s">
        <v>26573</v>
      </c>
      <c r="W1746" s="33" t="s">
        <v>94</v>
      </c>
      <c r="X1746" s="33">
        <v>3724</v>
      </c>
      <c r="Z1746" s="33" t="s">
        <v>42968</v>
      </c>
      <c r="AA1746" s="33">
        <v>5920</v>
      </c>
    </row>
    <row r="1747" spans="1:27" ht="12" customHeight="1" x14ac:dyDescent="0.15">
      <c r="A1747" s="33" t="s">
        <v>33791</v>
      </c>
      <c r="B1747" s="33">
        <v>34</v>
      </c>
      <c r="C1747" s="33" t="s">
        <v>14</v>
      </c>
      <c r="D1747" s="33" t="s">
        <v>128</v>
      </c>
      <c r="E1747" s="42" t="s">
        <v>33792</v>
      </c>
      <c r="F1747" s="67">
        <v>43249</v>
      </c>
      <c r="G1747" s="33" t="s">
        <v>33793</v>
      </c>
      <c r="H1747" s="33" t="s">
        <v>584</v>
      </c>
      <c r="I1747" s="33" t="s">
        <v>112</v>
      </c>
      <c r="J1747" s="33">
        <v>85051</v>
      </c>
      <c r="K1747" s="33" t="s">
        <v>585</v>
      </c>
      <c r="L1747" s="33" t="s">
        <v>586</v>
      </c>
      <c r="M1747" s="33" t="s">
        <v>21</v>
      </c>
      <c r="N1747" s="33" t="s">
        <v>33794</v>
      </c>
      <c r="O1747" s="33" t="s">
        <v>372</v>
      </c>
      <c r="P1747" s="33" t="s">
        <v>30089</v>
      </c>
      <c r="Q1747" s="42" t="s">
        <v>33795</v>
      </c>
      <c r="R1747" s="33" t="s">
        <v>94</v>
      </c>
      <c r="S1747" s="33" t="s">
        <v>22</v>
      </c>
      <c r="T1747" s="33" t="s">
        <v>26781</v>
      </c>
      <c r="U1747" s="33" t="s">
        <v>26570</v>
      </c>
      <c r="V1747" s="33" t="s">
        <v>26573</v>
      </c>
      <c r="W1747" s="33" t="s">
        <v>94</v>
      </c>
      <c r="X1747" s="33">
        <v>3722</v>
      </c>
      <c r="Z1747" s="33" t="s">
        <v>42966</v>
      </c>
      <c r="AA1747" s="33">
        <v>5919</v>
      </c>
    </row>
    <row r="1748" spans="1:27" ht="12" customHeight="1" x14ac:dyDescent="0.15">
      <c r="A1748" s="33" t="s">
        <v>33785</v>
      </c>
      <c r="B1748" s="33">
        <v>19</v>
      </c>
      <c r="C1748" s="33" t="s">
        <v>14</v>
      </c>
      <c r="D1748" s="33" t="s">
        <v>31</v>
      </c>
      <c r="E1748" s="42" t="s">
        <v>33787</v>
      </c>
      <c r="F1748" s="67">
        <v>43249</v>
      </c>
      <c r="G1748" s="33" t="s">
        <v>33788</v>
      </c>
      <c r="H1748" s="33" t="s">
        <v>33786</v>
      </c>
      <c r="I1748" s="33" t="s">
        <v>221</v>
      </c>
      <c r="J1748" s="33">
        <v>84121</v>
      </c>
      <c r="K1748" s="33" t="s">
        <v>564</v>
      </c>
      <c r="L1748" s="33" t="s">
        <v>33789</v>
      </c>
      <c r="M1748" s="33" t="s">
        <v>21</v>
      </c>
      <c r="N1748" s="33" t="s">
        <v>36463</v>
      </c>
      <c r="O1748" s="33" t="s">
        <v>372</v>
      </c>
      <c r="P1748" s="33" t="s">
        <v>30089</v>
      </c>
      <c r="Q1748" s="42" t="s">
        <v>33790</v>
      </c>
      <c r="R1748" s="33" t="s">
        <v>94</v>
      </c>
      <c r="S1748" s="33" t="s">
        <v>29</v>
      </c>
      <c r="T1748" s="33" t="s">
        <v>26575</v>
      </c>
      <c r="U1748" s="33" t="s">
        <v>26575</v>
      </c>
      <c r="V1748" s="33" t="s">
        <v>26571</v>
      </c>
      <c r="W1748" s="33" t="s">
        <v>94</v>
      </c>
      <c r="X1748" s="33">
        <v>3733</v>
      </c>
      <c r="Y1748" s="33" t="s">
        <v>42476</v>
      </c>
      <c r="Z1748" s="33" t="s">
        <v>42968</v>
      </c>
      <c r="AA1748" s="33">
        <v>5921</v>
      </c>
    </row>
    <row r="1749" spans="1:27" ht="12" customHeight="1" x14ac:dyDescent="0.15">
      <c r="A1749" s="33" t="s">
        <v>33802</v>
      </c>
      <c r="B1749" s="33">
        <v>23</v>
      </c>
      <c r="C1749" s="33" t="s">
        <v>14</v>
      </c>
      <c r="D1749" s="33" t="s">
        <v>24</v>
      </c>
      <c r="E1749" s="42"/>
      <c r="F1749" s="67">
        <v>43248</v>
      </c>
      <c r="G1749" s="33" t="s">
        <v>33804</v>
      </c>
      <c r="H1749" s="33" t="s">
        <v>33803</v>
      </c>
      <c r="I1749" s="33" t="s">
        <v>221</v>
      </c>
      <c r="J1749" s="33">
        <v>84084</v>
      </c>
      <c r="K1749" s="33" t="s">
        <v>564</v>
      </c>
      <c r="L1749" s="33" t="s">
        <v>565</v>
      </c>
      <c r="M1749" s="33" t="s">
        <v>21</v>
      </c>
      <c r="N1749" s="33" t="s">
        <v>33805</v>
      </c>
      <c r="O1749" s="33" t="s">
        <v>372</v>
      </c>
      <c r="P1749" s="33" t="s">
        <v>30089</v>
      </c>
      <c r="Q1749" s="42" t="s">
        <v>33806</v>
      </c>
      <c r="R1749" s="33" t="s">
        <v>94</v>
      </c>
      <c r="S1749" s="33" t="s">
        <v>22</v>
      </c>
      <c r="T1749" s="33" t="s">
        <v>26781</v>
      </c>
      <c r="U1749" s="33" t="s">
        <v>26572</v>
      </c>
      <c r="V1749" s="33" t="s">
        <v>26571</v>
      </c>
      <c r="W1749" s="33" t="s">
        <v>94</v>
      </c>
      <c r="X1749" s="33">
        <v>3711</v>
      </c>
      <c r="Z1749" s="33" t="s">
        <v>42968</v>
      </c>
      <c r="AA1749" s="33">
        <v>5918</v>
      </c>
    </row>
    <row r="1750" spans="1:27" ht="12" customHeight="1" x14ac:dyDescent="0.15">
      <c r="A1750" s="33" t="s">
        <v>33807</v>
      </c>
      <c r="B1750" s="33">
        <v>42</v>
      </c>
      <c r="C1750" s="33" t="s">
        <v>14</v>
      </c>
      <c r="D1750" s="33" t="s">
        <v>42</v>
      </c>
      <c r="E1750" s="42"/>
      <c r="F1750" s="67">
        <v>43247</v>
      </c>
      <c r="G1750" s="33" t="s">
        <v>33808</v>
      </c>
      <c r="H1750" s="33" t="s">
        <v>143</v>
      </c>
      <c r="I1750" s="33" t="s">
        <v>39</v>
      </c>
      <c r="J1750" s="33">
        <v>92154</v>
      </c>
      <c r="K1750" s="33" t="s">
        <v>143</v>
      </c>
      <c r="L1750" s="33" t="s">
        <v>144</v>
      </c>
      <c r="M1750" s="33" t="s">
        <v>21</v>
      </c>
      <c r="N1750" s="33" t="s">
        <v>33809</v>
      </c>
      <c r="O1750" s="33" t="s">
        <v>372</v>
      </c>
      <c r="P1750" s="33" t="s">
        <v>30089</v>
      </c>
      <c r="Q1750" s="42" t="s">
        <v>33810</v>
      </c>
      <c r="R1750" s="33" t="s">
        <v>512</v>
      </c>
      <c r="S1750" s="33" t="s">
        <v>22</v>
      </c>
      <c r="T1750" s="33" t="s">
        <v>26774</v>
      </c>
      <c r="U1750" s="33" t="s">
        <v>26570</v>
      </c>
      <c r="V1750" s="33" t="s">
        <v>26573</v>
      </c>
      <c r="W1750" s="33" t="s">
        <v>512</v>
      </c>
      <c r="X1750" s="33">
        <v>3712</v>
      </c>
      <c r="Z1750" s="33" t="s">
        <v>42966</v>
      </c>
      <c r="AA1750" s="33">
        <v>5916</v>
      </c>
    </row>
    <row r="1751" spans="1:27" ht="12" customHeight="1" x14ac:dyDescent="0.15">
      <c r="A1751" s="33" t="s">
        <v>33811</v>
      </c>
      <c r="B1751" s="33">
        <v>67</v>
      </c>
      <c r="C1751" s="33" t="s">
        <v>14</v>
      </c>
      <c r="D1751" s="33" t="s">
        <v>24</v>
      </c>
      <c r="E1751" s="42"/>
      <c r="F1751" s="67">
        <v>43247</v>
      </c>
      <c r="G1751" s="33" t="s">
        <v>33812</v>
      </c>
      <c r="H1751" s="33" t="s">
        <v>2129</v>
      </c>
      <c r="I1751" s="33" t="s">
        <v>192</v>
      </c>
      <c r="J1751" s="33">
        <v>81506</v>
      </c>
      <c r="K1751" s="33" t="s">
        <v>1337</v>
      </c>
      <c r="L1751" s="33" t="s">
        <v>33813</v>
      </c>
      <c r="M1751" s="33" t="s">
        <v>21</v>
      </c>
      <c r="N1751" s="33" t="s">
        <v>33814</v>
      </c>
      <c r="O1751" s="33" t="s">
        <v>372</v>
      </c>
      <c r="P1751" s="33" t="s">
        <v>30089</v>
      </c>
      <c r="Q1751" s="42" t="s">
        <v>33815</v>
      </c>
      <c r="R1751" s="33" t="s">
        <v>94</v>
      </c>
      <c r="S1751" s="33" t="s">
        <v>22</v>
      </c>
      <c r="T1751" s="33" t="s">
        <v>26781</v>
      </c>
      <c r="U1751" s="33" t="s">
        <v>26572</v>
      </c>
      <c r="V1751" s="33" t="s">
        <v>26573</v>
      </c>
      <c r="W1751" s="33" t="s">
        <v>94</v>
      </c>
      <c r="X1751" s="33">
        <v>3713</v>
      </c>
      <c r="Z1751" s="33" t="s">
        <v>42968</v>
      </c>
      <c r="AA1751" s="33">
        <v>5915</v>
      </c>
    </row>
    <row r="1752" spans="1:27" ht="12" customHeight="1" x14ac:dyDescent="0.15">
      <c r="A1752" s="33" t="s">
        <v>3002</v>
      </c>
      <c r="B1752" s="33" t="s">
        <v>23</v>
      </c>
      <c r="C1752" s="33" t="s">
        <v>14</v>
      </c>
      <c r="D1752" s="33" t="s">
        <v>24</v>
      </c>
      <c r="E1752" s="42"/>
      <c r="F1752" s="67">
        <v>43247</v>
      </c>
      <c r="H1752" s="33" t="s">
        <v>33816</v>
      </c>
      <c r="I1752" s="33" t="s">
        <v>402</v>
      </c>
      <c r="J1752" s="33">
        <v>65646</v>
      </c>
      <c r="K1752" s="33" t="s">
        <v>33817</v>
      </c>
      <c r="L1752" s="33" t="s">
        <v>36464</v>
      </c>
      <c r="M1752" s="33" t="s">
        <v>21</v>
      </c>
      <c r="N1752" s="33" t="s">
        <v>33818</v>
      </c>
      <c r="O1752" s="33" t="s">
        <v>372</v>
      </c>
      <c r="P1752" s="33" t="s">
        <v>30089</v>
      </c>
      <c r="Q1752" s="42" t="s">
        <v>33819</v>
      </c>
      <c r="R1752" s="33" t="s">
        <v>512</v>
      </c>
      <c r="S1752" s="33" t="s">
        <v>22</v>
      </c>
      <c r="T1752" s="33" t="s">
        <v>26774</v>
      </c>
      <c r="U1752" s="33" t="s">
        <v>26570</v>
      </c>
      <c r="V1752" s="33" t="s">
        <v>26573</v>
      </c>
      <c r="W1752" s="33" t="s">
        <v>94</v>
      </c>
      <c r="X1752" s="33">
        <v>3735</v>
      </c>
      <c r="Z1752" s="33" t="s">
        <v>42967</v>
      </c>
      <c r="AA1752" s="33">
        <v>5917</v>
      </c>
    </row>
    <row r="1753" spans="1:27" ht="12" customHeight="1" x14ac:dyDescent="0.15">
      <c r="A1753" s="33" t="s">
        <v>33820</v>
      </c>
      <c r="B1753" s="33">
        <v>51</v>
      </c>
      <c r="C1753" s="33" t="s">
        <v>14</v>
      </c>
      <c r="D1753" s="33" t="s">
        <v>31</v>
      </c>
      <c r="E1753" s="42"/>
      <c r="F1753" s="67">
        <v>43246</v>
      </c>
      <c r="G1753" s="33" t="s">
        <v>33822</v>
      </c>
      <c r="H1753" s="33" t="s">
        <v>33821</v>
      </c>
      <c r="I1753" s="33" t="s">
        <v>67</v>
      </c>
      <c r="J1753" s="33">
        <v>77656</v>
      </c>
      <c r="K1753" s="33" t="s">
        <v>1316</v>
      </c>
      <c r="L1753" s="33" t="s">
        <v>33823</v>
      </c>
      <c r="M1753" s="33" t="s">
        <v>21</v>
      </c>
      <c r="N1753" s="33" t="s">
        <v>33824</v>
      </c>
      <c r="O1753" s="33" t="s">
        <v>372</v>
      </c>
      <c r="P1753" s="33" t="s">
        <v>30089</v>
      </c>
      <c r="Q1753" s="42" t="s">
        <v>33825</v>
      </c>
      <c r="R1753" s="33" t="s">
        <v>94</v>
      </c>
      <c r="S1753" s="33" t="s">
        <v>22</v>
      </c>
      <c r="T1753" s="33" t="s">
        <v>26781</v>
      </c>
      <c r="U1753" s="33" t="s">
        <v>26570</v>
      </c>
      <c r="V1753" s="33" t="s">
        <v>26573</v>
      </c>
      <c r="W1753" s="33" t="s">
        <v>94</v>
      </c>
      <c r="X1753" s="33">
        <v>3714</v>
      </c>
      <c r="Z1753" s="33" t="s">
        <v>42967</v>
      </c>
      <c r="AA1753" s="33">
        <v>5914</v>
      </c>
    </row>
    <row r="1754" spans="1:27" ht="12" customHeight="1" x14ac:dyDescent="0.15">
      <c r="A1754" s="33" t="s">
        <v>33826</v>
      </c>
      <c r="B1754" s="33">
        <v>29</v>
      </c>
      <c r="C1754" s="33" t="s">
        <v>14</v>
      </c>
      <c r="D1754" s="33" t="s">
        <v>42</v>
      </c>
      <c r="E1754" s="42" t="s">
        <v>33828</v>
      </c>
      <c r="F1754" s="67">
        <v>43245</v>
      </c>
      <c r="G1754" s="33" t="s">
        <v>33829</v>
      </c>
      <c r="H1754" s="33" t="s">
        <v>33827</v>
      </c>
      <c r="I1754" s="33" t="s">
        <v>67</v>
      </c>
      <c r="J1754" s="33">
        <v>79029</v>
      </c>
      <c r="K1754" s="33" t="s">
        <v>2448</v>
      </c>
      <c r="L1754" s="33" t="s">
        <v>33830</v>
      </c>
      <c r="M1754" s="33" t="s">
        <v>21</v>
      </c>
      <c r="N1754" s="33" t="s">
        <v>33831</v>
      </c>
      <c r="O1754" s="33" t="s">
        <v>372</v>
      </c>
      <c r="P1754" s="33" t="s">
        <v>30089</v>
      </c>
      <c r="Q1754" s="42" t="s">
        <v>33832</v>
      </c>
      <c r="R1754" s="33" t="s">
        <v>94</v>
      </c>
      <c r="S1754" s="33" t="s">
        <v>351</v>
      </c>
      <c r="T1754" s="33" t="s">
        <v>26867</v>
      </c>
      <c r="U1754" s="33" t="s">
        <v>26572</v>
      </c>
      <c r="V1754" s="33" t="s">
        <v>26573</v>
      </c>
      <c r="W1754" s="33" t="s">
        <v>94</v>
      </c>
      <c r="X1754" s="33">
        <v>3715</v>
      </c>
      <c r="Z1754" s="33" t="s">
        <v>42967</v>
      </c>
      <c r="AA1754" s="33">
        <v>5913</v>
      </c>
    </row>
    <row r="1755" spans="1:27" ht="12" customHeight="1" x14ac:dyDescent="0.15">
      <c r="A1755" s="33" t="s">
        <v>33833</v>
      </c>
      <c r="B1755" s="33">
        <v>35</v>
      </c>
      <c r="C1755" s="33" t="s">
        <v>14</v>
      </c>
      <c r="D1755" s="33" t="s">
        <v>42</v>
      </c>
      <c r="E1755" s="42" t="s">
        <v>33834</v>
      </c>
      <c r="F1755" s="67">
        <v>43245</v>
      </c>
      <c r="G1755" s="33" t="s">
        <v>33835</v>
      </c>
      <c r="H1755" s="33" t="s">
        <v>6078</v>
      </c>
      <c r="I1755" s="33" t="s">
        <v>67</v>
      </c>
      <c r="J1755" s="33">
        <v>79411</v>
      </c>
      <c r="K1755" s="33" t="s">
        <v>6078</v>
      </c>
      <c r="L1755" s="33" t="s">
        <v>6971</v>
      </c>
      <c r="M1755" s="33" t="s">
        <v>363</v>
      </c>
      <c r="N1755" s="33" t="s">
        <v>33836</v>
      </c>
      <c r="O1755" s="33" t="s">
        <v>372</v>
      </c>
      <c r="P1755" s="33" t="s">
        <v>30089</v>
      </c>
      <c r="Q1755" s="42" t="s">
        <v>33837</v>
      </c>
      <c r="R1755" s="33" t="s">
        <v>512</v>
      </c>
      <c r="S1755" s="33" t="s">
        <v>12</v>
      </c>
      <c r="T1755" s="33" t="s">
        <v>29705</v>
      </c>
      <c r="Z1755" s="33" t="s">
        <v>42966</v>
      </c>
      <c r="AA1755" s="33">
        <v>5911</v>
      </c>
    </row>
    <row r="1756" spans="1:27" ht="12" customHeight="1" x14ac:dyDescent="0.15">
      <c r="A1756" s="33" t="s">
        <v>33838</v>
      </c>
      <c r="B1756" s="33">
        <v>57</v>
      </c>
      <c r="C1756" s="33" t="s">
        <v>14</v>
      </c>
      <c r="D1756" s="33" t="s">
        <v>31</v>
      </c>
      <c r="E1756" s="42"/>
      <c r="F1756" s="67">
        <v>43245</v>
      </c>
      <c r="G1756" s="33" t="s">
        <v>33840</v>
      </c>
      <c r="H1756" s="33" t="s">
        <v>33839</v>
      </c>
      <c r="I1756" s="33" t="s">
        <v>67</v>
      </c>
      <c r="J1756" s="33">
        <v>77355</v>
      </c>
      <c r="K1756" s="33" t="s">
        <v>995</v>
      </c>
      <c r="L1756" s="33" t="s">
        <v>33841</v>
      </c>
      <c r="M1756" s="33" t="s">
        <v>21</v>
      </c>
      <c r="N1756" s="33" t="s">
        <v>33842</v>
      </c>
      <c r="O1756" s="33" t="s">
        <v>32706</v>
      </c>
      <c r="P1756" s="33" t="s">
        <v>30089</v>
      </c>
      <c r="Q1756" s="42" t="s">
        <v>33843</v>
      </c>
      <c r="R1756" s="33" t="s">
        <v>94</v>
      </c>
      <c r="S1756" s="33" t="s">
        <v>29</v>
      </c>
      <c r="T1756" s="33" t="s">
        <v>26575</v>
      </c>
      <c r="Y1756" s="33" t="s">
        <v>42476</v>
      </c>
      <c r="Z1756" s="33" t="s">
        <v>42968</v>
      </c>
      <c r="AA1756" s="33">
        <v>5912</v>
      </c>
    </row>
    <row r="1757" spans="1:27" ht="12" customHeight="1" x14ac:dyDescent="0.15">
      <c r="A1757" s="33" t="s">
        <v>3002</v>
      </c>
      <c r="B1757" s="33" t="s">
        <v>23</v>
      </c>
      <c r="C1757" s="33" t="s">
        <v>14</v>
      </c>
      <c r="D1757" s="33" t="s">
        <v>24</v>
      </c>
      <c r="E1757" s="42"/>
      <c r="F1757" s="67">
        <v>43245</v>
      </c>
      <c r="I1757" s="33" t="s">
        <v>735</v>
      </c>
      <c r="K1757" s="33" t="s">
        <v>3736</v>
      </c>
      <c r="L1757" s="33" t="s">
        <v>23268</v>
      </c>
      <c r="M1757" s="33" t="s">
        <v>21</v>
      </c>
      <c r="N1757" s="33" t="s">
        <v>33844</v>
      </c>
      <c r="O1757" s="33" t="s">
        <v>372</v>
      </c>
      <c r="P1757" s="33" t="s">
        <v>30089</v>
      </c>
      <c r="Q1757" s="42" t="s">
        <v>33845</v>
      </c>
      <c r="R1757" s="33" t="s">
        <v>94</v>
      </c>
      <c r="S1757" s="33" t="s">
        <v>22</v>
      </c>
      <c r="T1757" s="33" t="s">
        <v>26774</v>
      </c>
      <c r="U1757" s="33" t="s">
        <v>26570</v>
      </c>
      <c r="V1757" s="33" t="s">
        <v>26571</v>
      </c>
      <c r="W1757" s="33" t="s">
        <v>94</v>
      </c>
      <c r="X1757" s="33">
        <v>3716</v>
      </c>
      <c r="Z1757" s="33" t="e">
        <v>#N/A</v>
      </c>
      <c r="AA1757" s="33">
        <v>5910</v>
      </c>
    </row>
    <row r="1758" spans="1:27" ht="12" customHeight="1" x14ac:dyDescent="0.15">
      <c r="A1758" s="33" t="s">
        <v>33856</v>
      </c>
      <c r="B1758" s="33">
        <v>33</v>
      </c>
      <c r="C1758" s="33" t="s">
        <v>14</v>
      </c>
      <c r="D1758" s="33" t="s">
        <v>31</v>
      </c>
      <c r="E1758" s="42" t="s">
        <v>33857</v>
      </c>
      <c r="F1758" s="67">
        <v>43244</v>
      </c>
      <c r="G1758" s="33" t="s">
        <v>33858</v>
      </c>
      <c r="H1758" s="33" t="s">
        <v>924</v>
      </c>
      <c r="I1758" s="33" t="s">
        <v>63</v>
      </c>
      <c r="J1758" s="33">
        <v>44111</v>
      </c>
      <c r="K1758" s="33" t="s">
        <v>95</v>
      </c>
      <c r="L1758" s="33" t="s">
        <v>9889</v>
      </c>
      <c r="M1758" s="33" t="s">
        <v>21</v>
      </c>
      <c r="N1758" s="33" t="s">
        <v>33859</v>
      </c>
      <c r="O1758" s="33" t="s">
        <v>372</v>
      </c>
      <c r="P1758" s="33" t="s">
        <v>30089</v>
      </c>
      <c r="Q1758" s="42" t="s">
        <v>33860</v>
      </c>
      <c r="R1758" s="33" t="s">
        <v>94</v>
      </c>
      <c r="S1758" s="33" t="s">
        <v>12</v>
      </c>
      <c r="T1758" s="33" t="s">
        <v>29705</v>
      </c>
      <c r="U1758" s="33" t="s">
        <v>26572</v>
      </c>
      <c r="V1758" s="33" t="s">
        <v>26573</v>
      </c>
      <c r="W1758" s="33" t="s">
        <v>94</v>
      </c>
      <c r="X1758" s="33">
        <v>3737</v>
      </c>
      <c r="Z1758" s="33" t="s">
        <v>42966</v>
      </c>
      <c r="AA1758" s="33">
        <v>5908</v>
      </c>
    </row>
    <row r="1759" spans="1:27" ht="12" customHeight="1" x14ac:dyDescent="0.15">
      <c r="A1759" s="33" t="s">
        <v>33852</v>
      </c>
      <c r="B1759" s="33">
        <v>31</v>
      </c>
      <c r="C1759" s="33" t="s">
        <v>14</v>
      </c>
      <c r="D1759" s="33" t="s">
        <v>31</v>
      </c>
      <c r="E1759" s="42"/>
      <c r="F1759" s="67">
        <v>43244</v>
      </c>
      <c r="G1759" s="33" t="s">
        <v>33853</v>
      </c>
      <c r="H1759" s="33" t="s">
        <v>13198</v>
      </c>
      <c r="I1759" s="33" t="s">
        <v>192</v>
      </c>
      <c r="J1759" s="33">
        <v>80701</v>
      </c>
      <c r="K1759" s="33" t="s">
        <v>4972</v>
      </c>
      <c r="L1759" s="33" t="s">
        <v>36465</v>
      </c>
      <c r="M1759" s="33" t="s">
        <v>21</v>
      </c>
      <c r="N1759" s="33" t="s">
        <v>33854</v>
      </c>
      <c r="O1759" s="33" t="s">
        <v>372</v>
      </c>
      <c r="P1759" s="33" t="s">
        <v>30089</v>
      </c>
      <c r="Q1759" s="42" t="s">
        <v>33855</v>
      </c>
      <c r="R1759" s="33" t="s">
        <v>512</v>
      </c>
      <c r="S1759" s="33" t="s">
        <v>29</v>
      </c>
      <c r="T1759" s="33" t="s">
        <v>26575</v>
      </c>
      <c r="U1759" s="33" t="s">
        <v>26570</v>
      </c>
      <c r="V1759" s="33" t="s">
        <v>26573</v>
      </c>
      <c r="W1759" s="33" t="s">
        <v>94</v>
      </c>
      <c r="X1759" s="33">
        <v>3736</v>
      </c>
      <c r="Z1759" s="33" t="s">
        <v>42967</v>
      </c>
      <c r="AA1759" s="33">
        <v>5909</v>
      </c>
    </row>
    <row r="1760" spans="1:27" ht="12" customHeight="1" x14ac:dyDescent="0.15">
      <c r="A1760" s="33" t="s">
        <v>33846</v>
      </c>
      <c r="B1760" s="33">
        <v>30</v>
      </c>
      <c r="C1760" s="33" t="s">
        <v>14</v>
      </c>
      <c r="D1760" s="33" t="s">
        <v>31</v>
      </c>
      <c r="E1760" s="42" t="s">
        <v>33848</v>
      </c>
      <c r="F1760" s="67">
        <v>43244</v>
      </c>
      <c r="G1760" s="33" t="s">
        <v>33849</v>
      </c>
      <c r="H1760" s="33" t="s">
        <v>33847</v>
      </c>
      <c r="I1760" s="33" t="s">
        <v>56</v>
      </c>
      <c r="J1760" s="33">
        <v>32113</v>
      </c>
      <c r="K1760" s="33" t="s">
        <v>392</v>
      </c>
      <c r="L1760" s="33" t="s">
        <v>6836</v>
      </c>
      <c r="M1760" s="33" t="s">
        <v>21</v>
      </c>
      <c r="N1760" s="33" t="s">
        <v>33850</v>
      </c>
      <c r="O1760" s="33" t="s">
        <v>372</v>
      </c>
      <c r="P1760" s="33" t="s">
        <v>30089</v>
      </c>
      <c r="Q1760" s="42" t="s">
        <v>33851</v>
      </c>
      <c r="R1760" s="33" t="s">
        <v>23</v>
      </c>
      <c r="S1760" s="33" t="s">
        <v>12</v>
      </c>
      <c r="T1760" s="33" t="s">
        <v>29705</v>
      </c>
      <c r="U1760" s="33" t="s">
        <v>26572</v>
      </c>
      <c r="V1760" s="33" t="s">
        <v>26574</v>
      </c>
      <c r="W1760" s="33" t="s">
        <v>512</v>
      </c>
      <c r="X1760" s="33">
        <v>3717</v>
      </c>
      <c r="Z1760" s="33" t="s">
        <v>42967</v>
      </c>
      <c r="AA1760" s="33">
        <v>5907</v>
      </c>
    </row>
    <row r="1761" spans="1:27" ht="12" customHeight="1" x14ac:dyDescent="0.15">
      <c r="A1761" s="33" t="s">
        <v>33867</v>
      </c>
      <c r="B1761" s="33">
        <v>25</v>
      </c>
      <c r="C1761" s="33" t="s">
        <v>14</v>
      </c>
      <c r="D1761" s="33" t="s">
        <v>31</v>
      </c>
      <c r="E1761" s="42"/>
      <c r="F1761" s="67">
        <v>43243</v>
      </c>
      <c r="G1761" s="33" t="s">
        <v>33868</v>
      </c>
      <c r="H1761" s="33" t="s">
        <v>18464</v>
      </c>
      <c r="I1761" s="33" t="s">
        <v>409</v>
      </c>
      <c r="J1761" s="33">
        <v>54956</v>
      </c>
      <c r="K1761" s="33" t="s">
        <v>2173</v>
      </c>
      <c r="L1761" s="33" t="s">
        <v>33869</v>
      </c>
      <c r="M1761" s="33" t="s">
        <v>21</v>
      </c>
      <c r="N1761" s="33" t="s">
        <v>33870</v>
      </c>
      <c r="O1761" s="33" t="s">
        <v>372</v>
      </c>
      <c r="P1761" s="33" t="s">
        <v>30089</v>
      </c>
      <c r="Q1761" s="42" t="s">
        <v>33871</v>
      </c>
      <c r="R1761" s="33" t="s">
        <v>512</v>
      </c>
      <c r="S1761" s="33" t="s">
        <v>22</v>
      </c>
      <c r="T1761" s="33" t="s">
        <v>26774</v>
      </c>
      <c r="U1761" s="33" t="s">
        <v>26570</v>
      </c>
      <c r="V1761" s="33" t="s">
        <v>26573</v>
      </c>
      <c r="W1761" s="33" t="s">
        <v>94</v>
      </c>
      <c r="X1761" s="33">
        <v>3718</v>
      </c>
      <c r="Z1761" s="33" t="s">
        <v>42968</v>
      </c>
      <c r="AA1761" s="33">
        <v>5904</v>
      </c>
    </row>
    <row r="1762" spans="1:27" ht="12" customHeight="1" x14ac:dyDescent="0.15">
      <c r="A1762" s="33" t="s">
        <v>33879</v>
      </c>
      <c r="B1762" s="33">
        <v>46</v>
      </c>
      <c r="C1762" s="33" t="s">
        <v>14</v>
      </c>
      <c r="D1762" s="33" t="s">
        <v>79</v>
      </c>
      <c r="E1762" s="42" t="s">
        <v>33880</v>
      </c>
      <c r="F1762" s="67">
        <v>43243</v>
      </c>
      <c r="G1762" s="33" t="s">
        <v>33881</v>
      </c>
      <c r="H1762" s="33" t="s">
        <v>3212</v>
      </c>
      <c r="I1762" s="33" t="s">
        <v>56</v>
      </c>
      <c r="J1762" s="33">
        <v>32317</v>
      </c>
      <c r="K1762" s="33" t="s">
        <v>3214</v>
      </c>
      <c r="L1762" s="33" t="s">
        <v>33882</v>
      </c>
      <c r="M1762" s="33" t="s">
        <v>363</v>
      </c>
      <c r="N1762" s="33" t="s">
        <v>33883</v>
      </c>
      <c r="O1762" s="33" t="s">
        <v>372</v>
      </c>
      <c r="P1762" s="33" t="s">
        <v>30089</v>
      </c>
      <c r="Q1762" s="42" t="s">
        <v>33884</v>
      </c>
      <c r="R1762" s="33" t="s">
        <v>94</v>
      </c>
      <c r="S1762" s="33" t="s">
        <v>29</v>
      </c>
      <c r="T1762" s="33" t="s">
        <v>33885</v>
      </c>
      <c r="Z1762" s="33" t="s">
        <v>42968</v>
      </c>
      <c r="AA1762" s="33">
        <v>5905</v>
      </c>
    </row>
    <row r="1763" spans="1:27" ht="12" customHeight="1" x14ac:dyDescent="0.15">
      <c r="A1763" s="33" t="s">
        <v>33861</v>
      </c>
      <c r="B1763" s="33">
        <v>20</v>
      </c>
      <c r="C1763" s="33" t="s">
        <v>103</v>
      </c>
      <c r="D1763" s="33" t="s">
        <v>42</v>
      </c>
      <c r="E1763" s="42" t="s">
        <v>33862</v>
      </c>
      <c r="F1763" s="67">
        <v>43243</v>
      </c>
      <c r="G1763" s="33" t="s">
        <v>33863</v>
      </c>
      <c r="H1763" s="33" t="s">
        <v>3942</v>
      </c>
      <c r="I1763" s="33" t="s">
        <v>67</v>
      </c>
      <c r="J1763" s="33">
        <v>78046</v>
      </c>
      <c r="K1763" s="33" t="s">
        <v>3944</v>
      </c>
      <c r="L1763" s="33" t="s">
        <v>33864</v>
      </c>
      <c r="M1763" s="33" t="s">
        <v>21</v>
      </c>
      <c r="N1763" s="33" t="s">
        <v>33865</v>
      </c>
      <c r="O1763" s="33" t="s">
        <v>372</v>
      </c>
      <c r="P1763" s="33" t="s">
        <v>30089</v>
      </c>
      <c r="Q1763" s="42" t="s">
        <v>33866</v>
      </c>
      <c r="R1763" s="33" t="s">
        <v>94</v>
      </c>
      <c r="S1763" s="33" t="s">
        <v>12</v>
      </c>
      <c r="T1763" s="33" t="s">
        <v>29705</v>
      </c>
      <c r="U1763" s="33" t="s">
        <v>26572</v>
      </c>
      <c r="V1763" s="33" t="s">
        <v>26573</v>
      </c>
      <c r="W1763" s="33" t="s">
        <v>94</v>
      </c>
      <c r="X1763" s="33">
        <v>3720</v>
      </c>
      <c r="Z1763" s="33" t="s">
        <v>42968</v>
      </c>
      <c r="AA1763" s="33">
        <v>5906</v>
      </c>
    </row>
    <row r="1764" spans="1:27" ht="12" customHeight="1" x14ac:dyDescent="0.15">
      <c r="A1764" s="33" t="s">
        <v>33872</v>
      </c>
      <c r="B1764" s="33">
        <v>31</v>
      </c>
      <c r="C1764" s="33" t="s">
        <v>103</v>
      </c>
      <c r="D1764" s="33" t="s">
        <v>31</v>
      </c>
      <c r="E1764" s="42" t="s">
        <v>33874</v>
      </c>
      <c r="F1764" s="67">
        <v>43243</v>
      </c>
      <c r="G1764" s="33" t="s">
        <v>33875</v>
      </c>
      <c r="H1764" s="33" t="s">
        <v>33873</v>
      </c>
      <c r="I1764" s="33" t="s">
        <v>38</v>
      </c>
      <c r="J1764" s="33">
        <v>60031</v>
      </c>
      <c r="K1764" s="33" t="s">
        <v>1179</v>
      </c>
      <c r="L1764" s="33" t="s">
        <v>33876</v>
      </c>
      <c r="M1764" s="33" t="s">
        <v>21</v>
      </c>
      <c r="N1764" s="33" t="s">
        <v>33877</v>
      </c>
      <c r="O1764" s="33" t="s">
        <v>372</v>
      </c>
      <c r="P1764" s="33" t="s">
        <v>30089</v>
      </c>
      <c r="Q1764" s="42" t="s">
        <v>33878</v>
      </c>
      <c r="R1764" s="33" t="s">
        <v>94</v>
      </c>
      <c r="S1764" s="33" t="s">
        <v>22</v>
      </c>
      <c r="T1764" s="33" t="s">
        <v>26781</v>
      </c>
      <c r="U1764" s="33" t="s">
        <v>26572</v>
      </c>
      <c r="V1764" s="33" t="s">
        <v>26574</v>
      </c>
      <c r="W1764" s="33" t="s">
        <v>94</v>
      </c>
      <c r="X1764" s="33">
        <v>3710</v>
      </c>
      <c r="Z1764" s="33" t="s">
        <v>42968</v>
      </c>
      <c r="AA1764" s="33">
        <v>5903</v>
      </c>
    </row>
    <row r="1765" spans="1:27" ht="12" customHeight="1" x14ac:dyDescent="0.15">
      <c r="A1765" s="33" t="s">
        <v>33886</v>
      </c>
      <c r="B1765" s="33">
        <v>49</v>
      </c>
      <c r="C1765" s="33" t="s">
        <v>14</v>
      </c>
      <c r="D1765" s="33" t="s">
        <v>42</v>
      </c>
      <c r="E1765" s="42" t="s">
        <v>33888</v>
      </c>
      <c r="F1765" s="67">
        <v>43242</v>
      </c>
      <c r="G1765" s="33" t="s">
        <v>33889</v>
      </c>
      <c r="H1765" s="33" t="s">
        <v>33887</v>
      </c>
      <c r="I1765" s="33" t="s">
        <v>67</v>
      </c>
      <c r="J1765" s="33">
        <v>78368</v>
      </c>
      <c r="K1765" s="33" t="s">
        <v>6699</v>
      </c>
      <c r="L1765" s="33" t="s">
        <v>33890</v>
      </c>
      <c r="M1765" s="33" t="s">
        <v>21</v>
      </c>
      <c r="N1765" s="33" t="s">
        <v>33891</v>
      </c>
      <c r="O1765" s="33" t="s">
        <v>372</v>
      </c>
      <c r="P1765" s="33" t="s">
        <v>30089</v>
      </c>
      <c r="Q1765" s="42" t="s">
        <v>33892</v>
      </c>
      <c r="R1765" s="33" t="s">
        <v>94</v>
      </c>
      <c r="S1765" s="33" t="s">
        <v>22</v>
      </c>
      <c r="T1765" s="33" t="s">
        <v>26774</v>
      </c>
      <c r="U1765" s="33" t="s">
        <v>26570</v>
      </c>
      <c r="V1765" s="33" t="s">
        <v>26573</v>
      </c>
      <c r="W1765" s="33" t="s">
        <v>94</v>
      </c>
      <c r="X1765" s="33">
        <v>3709</v>
      </c>
      <c r="Z1765" s="33" t="s">
        <v>42967</v>
      </c>
      <c r="AA1765" s="33">
        <v>5902</v>
      </c>
    </row>
    <row r="1766" spans="1:27" ht="12" customHeight="1" x14ac:dyDescent="0.15">
      <c r="A1766" s="33" t="s">
        <v>33905</v>
      </c>
      <c r="B1766" s="33">
        <v>47</v>
      </c>
      <c r="C1766" s="33" t="s">
        <v>14</v>
      </c>
      <c r="D1766" s="33" t="s">
        <v>79</v>
      </c>
      <c r="E1766" s="42" t="s">
        <v>33906</v>
      </c>
      <c r="F1766" s="67">
        <v>43241</v>
      </c>
      <c r="G1766" s="33" t="s">
        <v>33907</v>
      </c>
      <c r="H1766" s="33" t="s">
        <v>22692</v>
      </c>
      <c r="I1766" s="33" t="s">
        <v>918</v>
      </c>
      <c r="J1766" s="33">
        <v>72301</v>
      </c>
      <c r="K1766" s="33" t="s">
        <v>5233</v>
      </c>
      <c r="L1766" s="33" t="s">
        <v>26792</v>
      </c>
      <c r="M1766" s="33" t="s">
        <v>21</v>
      </c>
      <c r="N1766" s="33" t="s">
        <v>33908</v>
      </c>
      <c r="O1766" s="33" t="s">
        <v>372</v>
      </c>
      <c r="P1766" s="33" t="s">
        <v>30089</v>
      </c>
      <c r="Q1766" s="42" t="s">
        <v>33909</v>
      </c>
      <c r="R1766" s="33" t="s">
        <v>94</v>
      </c>
      <c r="S1766" s="33" t="s">
        <v>351</v>
      </c>
      <c r="T1766" s="33" t="s">
        <v>26867</v>
      </c>
      <c r="U1766" s="33" t="s">
        <v>26572</v>
      </c>
      <c r="V1766" s="33" t="s">
        <v>26571</v>
      </c>
      <c r="W1766" s="33" t="s">
        <v>94</v>
      </c>
      <c r="X1766" s="33">
        <v>3719</v>
      </c>
      <c r="Z1766" s="33" t="s">
        <v>42968</v>
      </c>
      <c r="AA1766" s="33">
        <v>5901</v>
      </c>
    </row>
    <row r="1767" spans="1:27" ht="12" customHeight="1" x14ac:dyDescent="0.15">
      <c r="A1767" s="33" t="s">
        <v>33910</v>
      </c>
      <c r="B1767" s="33">
        <v>58</v>
      </c>
      <c r="C1767" s="33" t="s">
        <v>14</v>
      </c>
      <c r="D1767" s="33" t="s">
        <v>31</v>
      </c>
      <c r="E1767" s="42"/>
      <c r="F1767" s="67">
        <v>43241</v>
      </c>
      <c r="G1767" s="33" t="s">
        <v>33895</v>
      </c>
      <c r="H1767" s="33" t="s">
        <v>33894</v>
      </c>
      <c r="I1767" s="33" t="s">
        <v>39</v>
      </c>
      <c r="J1767" s="33">
        <v>92284</v>
      </c>
      <c r="K1767" s="33" t="s">
        <v>288</v>
      </c>
      <c r="L1767" s="33" t="s">
        <v>32215</v>
      </c>
      <c r="M1767" s="33" t="s">
        <v>21</v>
      </c>
      <c r="N1767" s="33" t="s">
        <v>33896</v>
      </c>
      <c r="O1767" s="33" t="s">
        <v>372</v>
      </c>
      <c r="P1767" s="33" t="s">
        <v>30089</v>
      </c>
      <c r="Q1767" s="42" t="s">
        <v>33897</v>
      </c>
      <c r="R1767" s="33" t="s">
        <v>512</v>
      </c>
      <c r="S1767" s="33" t="s">
        <v>22</v>
      </c>
      <c r="T1767" s="33" t="s">
        <v>26781</v>
      </c>
      <c r="U1767" s="33" t="s">
        <v>26572</v>
      </c>
      <c r="V1767" s="33" t="s">
        <v>26574</v>
      </c>
      <c r="W1767" s="33" t="s">
        <v>94</v>
      </c>
      <c r="X1767" s="33">
        <v>3707</v>
      </c>
      <c r="Z1767" s="33" t="s">
        <v>42968</v>
      </c>
      <c r="AA1767" s="33">
        <v>5898</v>
      </c>
    </row>
    <row r="1768" spans="1:27" ht="12" customHeight="1" x14ac:dyDescent="0.15">
      <c r="A1768" s="33" t="s">
        <v>33893</v>
      </c>
      <c r="B1768" s="33">
        <v>23</v>
      </c>
      <c r="C1768" s="33" t="s">
        <v>103</v>
      </c>
      <c r="D1768" s="33" t="s">
        <v>31</v>
      </c>
      <c r="E1768" s="42"/>
      <c r="F1768" s="67">
        <v>43241</v>
      </c>
      <c r="G1768" s="33" t="s">
        <v>33895</v>
      </c>
      <c r="H1768" s="33" t="s">
        <v>33894</v>
      </c>
      <c r="I1768" s="33" t="s">
        <v>39</v>
      </c>
      <c r="J1768" s="33">
        <v>92284</v>
      </c>
      <c r="K1768" s="33" t="s">
        <v>288</v>
      </c>
      <c r="L1768" s="33" t="s">
        <v>32215</v>
      </c>
      <c r="M1768" s="33" t="s">
        <v>21</v>
      </c>
      <c r="N1768" s="33" t="s">
        <v>33896</v>
      </c>
      <c r="O1768" s="33" t="s">
        <v>372</v>
      </c>
      <c r="P1768" s="33" t="s">
        <v>30089</v>
      </c>
      <c r="Q1768" s="42" t="s">
        <v>33897</v>
      </c>
      <c r="R1768" s="33" t="s">
        <v>94</v>
      </c>
      <c r="S1768" s="33" t="s">
        <v>22</v>
      </c>
      <c r="T1768" s="33" t="s">
        <v>26781</v>
      </c>
      <c r="Z1768" s="33" t="s">
        <v>42968</v>
      </c>
      <c r="AA1768" s="33">
        <v>5899</v>
      </c>
    </row>
    <row r="1769" spans="1:27" ht="12" customHeight="1" x14ac:dyDescent="0.15">
      <c r="A1769" s="33" t="s">
        <v>33898</v>
      </c>
      <c r="B1769" s="33">
        <v>45</v>
      </c>
      <c r="C1769" s="33" t="s">
        <v>14</v>
      </c>
      <c r="D1769" s="33" t="s">
        <v>31</v>
      </c>
      <c r="E1769" s="42" t="s">
        <v>33900</v>
      </c>
      <c r="F1769" s="67">
        <v>43241</v>
      </c>
      <c r="G1769" s="33" t="s">
        <v>33901</v>
      </c>
      <c r="H1769" s="33" t="s">
        <v>33899</v>
      </c>
      <c r="I1769" s="33" t="s">
        <v>56</v>
      </c>
      <c r="J1769" s="33">
        <v>32904</v>
      </c>
      <c r="K1769" s="33" t="s">
        <v>1654</v>
      </c>
      <c r="L1769" s="33" t="s">
        <v>33902</v>
      </c>
      <c r="M1769" s="33" t="s">
        <v>363</v>
      </c>
      <c r="N1769" s="33" t="s">
        <v>33903</v>
      </c>
      <c r="O1769" s="33" t="s">
        <v>372</v>
      </c>
      <c r="P1769" s="33" t="s">
        <v>30089</v>
      </c>
      <c r="Q1769" s="42" t="s">
        <v>33904</v>
      </c>
      <c r="R1769" s="33" t="s">
        <v>512</v>
      </c>
      <c r="S1769" s="33" t="s">
        <v>12</v>
      </c>
      <c r="T1769" s="33" t="s">
        <v>29705</v>
      </c>
      <c r="Z1769" s="33" t="s">
        <v>42968</v>
      </c>
      <c r="AA1769" s="33">
        <v>5900</v>
      </c>
    </row>
    <row r="1770" spans="1:27" ht="12" customHeight="1" x14ac:dyDescent="0.15">
      <c r="A1770" s="33" t="s">
        <v>33915</v>
      </c>
      <c r="B1770" s="33">
        <v>36</v>
      </c>
      <c r="C1770" s="33" t="s">
        <v>14</v>
      </c>
      <c r="D1770" s="33" t="s">
        <v>31</v>
      </c>
      <c r="E1770" s="42"/>
      <c r="F1770" s="67">
        <v>43240</v>
      </c>
      <c r="G1770" s="33" t="s">
        <v>33916</v>
      </c>
      <c r="H1770" s="33" t="s">
        <v>30979</v>
      </c>
      <c r="I1770" s="33" t="s">
        <v>294</v>
      </c>
      <c r="J1770" s="33">
        <v>40806</v>
      </c>
      <c r="K1770" s="33" t="s">
        <v>23140</v>
      </c>
      <c r="L1770" s="33" t="s">
        <v>18258</v>
      </c>
      <c r="M1770" s="33" t="s">
        <v>21</v>
      </c>
      <c r="N1770" s="33" t="s">
        <v>33917</v>
      </c>
      <c r="O1770" s="33" t="s">
        <v>372</v>
      </c>
      <c r="P1770" s="33" t="s">
        <v>30089</v>
      </c>
      <c r="Q1770" s="42" t="s">
        <v>33918</v>
      </c>
      <c r="R1770" s="33" t="s">
        <v>94</v>
      </c>
      <c r="S1770" s="33" t="s">
        <v>22</v>
      </c>
      <c r="T1770" s="33" t="s">
        <v>26781</v>
      </c>
      <c r="U1770" s="33" t="s">
        <v>26570</v>
      </c>
      <c r="V1770" s="33" t="s">
        <v>26574</v>
      </c>
      <c r="W1770" s="33" t="s">
        <v>94</v>
      </c>
      <c r="X1770" s="33">
        <v>3699</v>
      </c>
      <c r="Z1770" s="33" t="s">
        <v>42967</v>
      </c>
      <c r="AA1770" s="33">
        <v>5896</v>
      </c>
    </row>
    <row r="1771" spans="1:27" ht="12" customHeight="1" x14ac:dyDescent="0.15">
      <c r="A1771" s="33" t="s">
        <v>33911</v>
      </c>
      <c r="B1771" s="33">
        <v>30</v>
      </c>
      <c r="C1771" s="33" t="s">
        <v>14</v>
      </c>
      <c r="D1771" s="33" t="s">
        <v>31</v>
      </c>
      <c r="E1771" s="42"/>
      <c r="F1771" s="67">
        <v>43240</v>
      </c>
      <c r="G1771" s="33" t="s">
        <v>33912</v>
      </c>
      <c r="H1771" s="33" t="s">
        <v>1202</v>
      </c>
      <c r="I1771" s="33" t="s">
        <v>63</v>
      </c>
      <c r="J1771" s="33">
        <v>43222</v>
      </c>
      <c r="K1771" s="33" t="s">
        <v>1203</v>
      </c>
      <c r="L1771" s="33" t="s">
        <v>11441</v>
      </c>
      <c r="M1771" s="33" t="s">
        <v>21</v>
      </c>
      <c r="N1771" s="33" t="s">
        <v>33913</v>
      </c>
      <c r="O1771" s="33" t="s">
        <v>372</v>
      </c>
      <c r="P1771" s="33" t="s">
        <v>30089</v>
      </c>
      <c r="Q1771" s="42" t="s">
        <v>33914</v>
      </c>
      <c r="R1771" s="33" t="s">
        <v>23</v>
      </c>
      <c r="S1771" s="33" t="s">
        <v>22</v>
      </c>
      <c r="T1771" s="33" t="s">
        <v>26781</v>
      </c>
      <c r="U1771" s="33" t="s">
        <v>26572</v>
      </c>
      <c r="V1771" s="33" t="s">
        <v>26573</v>
      </c>
      <c r="W1771" s="33" t="s">
        <v>94</v>
      </c>
      <c r="X1771" s="33">
        <v>3701</v>
      </c>
      <c r="Z1771" s="33" t="s">
        <v>42966</v>
      </c>
      <c r="AA1771" s="33">
        <v>5897</v>
      </c>
    </row>
    <row r="1772" spans="1:27" ht="12" customHeight="1" x14ac:dyDescent="0.15">
      <c r="A1772" s="33" t="s">
        <v>33919</v>
      </c>
      <c r="B1772" s="33">
        <v>36</v>
      </c>
      <c r="C1772" s="33" t="s">
        <v>14</v>
      </c>
      <c r="D1772" s="33" t="s">
        <v>42</v>
      </c>
      <c r="E1772" s="42"/>
      <c r="F1772" s="67">
        <v>43239</v>
      </c>
      <c r="G1772" s="33" t="s">
        <v>33920</v>
      </c>
      <c r="H1772" s="33" t="s">
        <v>4307</v>
      </c>
      <c r="I1772" s="33" t="s">
        <v>192</v>
      </c>
      <c r="J1772" s="33">
        <v>81006</v>
      </c>
      <c r="K1772" s="33" t="s">
        <v>4307</v>
      </c>
      <c r="L1772" s="33" t="s">
        <v>28141</v>
      </c>
      <c r="M1772" s="33" t="s">
        <v>21</v>
      </c>
      <c r="N1772" s="33" t="s">
        <v>33921</v>
      </c>
      <c r="O1772" s="33" t="s">
        <v>372</v>
      </c>
      <c r="P1772" s="33" t="s">
        <v>30089</v>
      </c>
      <c r="Q1772" s="42" t="s">
        <v>33922</v>
      </c>
      <c r="R1772" s="33" t="s">
        <v>94</v>
      </c>
      <c r="S1772" s="33" t="s">
        <v>22</v>
      </c>
      <c r="T1772" s="33" t="s">
        <v>26781</v>
      </c>
      <c r="U1772" s="33" t="s">
        <v>26572</v>
      </c>
      <c r="V1772" s="33" t="s">
        <v>26573</v>
      </c>
      <c r="W1772" s="33" t="s">
        <v>94</v>
      </c>
      <c r="X1772" s="33">
        <v>3702</v>
      </c>
      <c r="Z1772" s="33" t="s">
        <v>42967</v>
      </c>
      <c r="AA1772" s="33">
        <v>5894</v>
      </c>
    </row>
    <row r="1773" spans="1:27" ht="12" customHeight="1" x14ac:dyDescent="0.15">
      <c r="A1773" s="33" t="s">
        <v>33923</v>
      </c>
      <c r="B1773" s="33">
        <v>77</v>
      </c>
      <c r="C1773" s="33" t="s">
        <v>14</v>
      </c>
      <c r="D1773" s="33" t="s">
        <v>31</v>
      </c>
      <c r="E1773" s="42"/>
      <c r="F1773" s="67">
        <v>43239</v>
      </c>
      <c r="G1773" s="33" t="s">
        <v>33924</v>
      </c>
      <c r="H1773" s="33" t="s">
        <v>696</v>
      </c>
      <c r="I1773" s="33" t="s">
        <v>250</v>
      </c>
      <c r="J1773" s="33">
        <v>89705</v>
      </c>
      <c r="K1773" s="33" t="s">
        <v>882</v>
      </c>
      <c r="L1773" s="33" t="s">
        <v>1524</v>
      </c>
      <c r="M1773" s="33" t="s">
        <v>21</v>
      </c>
      <c r="N1773" s="33" t="s">
        <v>33925</v>
      </c>
      <c r="O1773" s="33" t="s">
        <v>372</v>
      </c>
      <c r="P1773" s="33" t="s">
        <v>30089</v>
      </c>
      <c r="Q1773" s="42" t="s">
        <v>33926</v>
      </c>
      <c r="R1773" s="33" t="s">
        <v>904</v>
      </c>
      <c r="S1773" s="33" t="s">
        <v>351</v>
      </c>
      <c r="T1773" s="33" t="s">
        <v>26867</v>
      </c>
      <c r="U1773" s="33" t="s">
        <v>26572</v>
      </c>
      <c r="W1773" s="33" t="s">
        <v>94</v>
      </c>
      <c r="X1773" s="33">
        <v>3700</v>
      </c>
      <c r="Z1773" s="33" t="s">
        <v>42967</v>
      </c>
      <c r="AA1773" s="33">
        <v>5895</v>
      </c>
    </row>
    <row r="1774" spans="1:27" ht="12" customHeight="1" x14ac:dyDescent="0.15">
      <c r="A1774" s="33" t="s">
        <v>33927</v>
      </c>
      <c r="B1774" s="33">
        <v>24</v>
      </c>
      <c r="C1774" s="33" t="s">
        <v>14</v>
      </c>
      <c r="D1774" s="33" t="s">
        <v>31</v>
      </c>
      <c r="E1774" s="42" t="s">
        <v>33928</v>
      </c>
      <c r="F1774" s="67">
        <v>43238</v>
      </c>
      <c r="G1774" s="33" t="s">
        <v>33929</v>
      </c>
      <c r="H1774" s="33" t="s">
        <v>21692</v>
      </c>
      <c r="I1774" s="33" t="s">
        <v>106</v>
      </c>
      <c r="J1774" s="33">
        <v>97080</v>
      </c>
      <c r="K1774" s="33" t="s">
        <v>1461</v>
      </c>
      <c r="L1774" s="33" t="s">
        <v>21693</v>
      </c>
      <c r="M1774" s="33" t="s">
        <v>21</v>
      </c>
      <c r="N1774" s="33" t="s">
        <v>33930</v>
      </c>
      <c r="O1774" s="33" t="s">
        <v>372</v>
      </c>
      <c r="P1774" s="33" t="s">
        <v>30089</v>
      </c>
      <c r="Q1774" s="42" t="s">
        <v>33931</v>
      </c>
      <c r="R1774" s="33" t="s">
        <v>94</v>
      </c>
      <c r="S1774" s="33" t="s">
        <v>22</v>
      </c>
      <c r="T1774" s="33" t="s">
        <v>26585</v>
      </c>
      <c r="U1774" s="33" t="s">
        <v>26570</v>
      </c>
      <c r="V1774" s="33" t="s">
        <v>26571</v>
      </c>
      <c r="W1774" s="33" t="s">
        <v>94</v>
      </c>
      <c r="X1774" s="33">
        <v>3706</v>
      </c>
      <c r="Z1774" s="33" t="s">
        <v>42968</v>
      </c>
      <c r="AA1774" s="33">
        <v>5892</v>
      </c>
    </row>
    <row r="1775" spans="1:27" ht="12" customHeight="1" x14ac:dyDescent="0.15">
      <c r="A1775" s="33" t="s">
        <v>3002</v>
      </c>
      <c r="B1775" s="33" t="s">
        <v>23</v>
      </c>
      <c r="C1775" s="33" t="s">
        <v>14</v>
      </c>
      <c r="D1775" s="33" t="s">
        <v>24</v>
      </c>
      <c r="E1775" s="42"/>
      <c r="F1775" s="67">
        <v>43238</v>
      </c>
      <c r="G1775" s="33" t="s">
        <v>33937</v>
      </c>
      <c r="H1775" s="33" t="s">
        <v>33936</v>
      </c>
      <c r="I1775" s="33" t="s">
        <v>51</v>
      </c>
      <c r="J1775" s="33">
        <v>48150</v>
      </c>
      <c r="K1775" s="33" t="s">
        <v>1057</v>
      </c>
      <c r="L1775" s="33" t="s">
        <v>33938</v>
      </c>
      <c r="M1775" s="33" t="s">
        <v>21</v>
      </c>
      <c r="N1775" s="33" t="s">
        <v>33939</v>
      </c>
      <c r="O1775" s="33" t="s">
        <v>372</v>
      </c>
      <c r="P1775" s="33" t="s">
        <v>30089</v>
      </c>
      <c r="Q1775" s="42" t="s">
        <v>33940</v>
      </c>
      <c r="R1775" s="33" t="s">
        <v>512</v>
      </c>
      <c r="S1775" s="33" t="s">
        <v>22</v>
      </c>
      <c r="T1775" s="33" t="s">
        <v>26781</v>
      </c>
      <c r="U1775" s="33" t="s">
        <v>26572</v>
      </c>
      <c r="V1775" s="33" t="s">
        <v>26574</v>
      </c>
      <c r="W1775" s="33" t="s">
        <v>94</v>
      </c>
      <c r="X1775" s="33">
        <v>3703</v>
      </c>
      <c r="Z1775" s="33" t="s">
        <v>42968</v>
      </c>
      <c r="AA1775" s="33">
        <v>5891</v>
      </c>
    </row>
    <row r="1776" spans="1:27" ht="12" customHeight="1" x14ac:dyDescent="0.15">
      <c r="A1776" s="33" t="s">
        <v>33932</v>
      </c>
      <c r="B1776" s="33">
        <v>29</v>
      </c>
      <c r="C1776" s="33" t="s">
        <v>14</v>
      </c>
      <c r="D1776" s="33" t="s">
        <v>42</v>
      </c>
      <c r="E1776" s="42"/>
      <c r="F1776" s="67">
        <v>43238</v>
      </c>
      <c r="G1776" s="33" t="s">
        <v>33933</v>
      </c>
      <c r="H1776" s="33" t="s">
        <v>3942</v>
      </c>
      <c r="I1776" s="33" t="s">
        <v>67</v>
      </c>
      <c r="J1776" s="33">
        <v>78046</v>
      </c>
      <c r="K1776" s="33" t="s">
        <v>3944</v>
      </c>
      <c r="L1776" s="33" t="s">
        <v>3945</v>
      </c>
      <c r="M1776" s="33" t="s">
        <v>21</v>
      </c>
      <c r="N1776" s="33" t="s">
        <v>33934</v>
      </c>
      <c r="O1776" s="33" t="s">
        <v>372</v>
      </c>
      <c r="P1776" s="33" t="s">
        <v>30089</v>
      </c>
      <c r="Q1776" s="42" t="s">
        <v>33935</v>
      </c>
      <c r="R1776" s="33" t="s">
        <v>94</v>
      </c>
      <c r="S1776" s="33" t="s">
        <v>29</v>
      </c>
      <c r="T1776" s="33" t="s">
        <v>26576</v>
      </c>
      <c r="U1776" s="33" t="s">
        <v>26570</v>
      </c>
      <c r="W1776" s="33" t="s">
        <v>94</v>
      </c>
      <c r="X1776" s="33">
        <v>3704</v>
      </c>
      <c r="Z1776" s="33" t="s">
        <v>42968</v>
      </c>
      <c r="AA1776" s="33">
        <v>5893</v>
      </c>
    </row>
    <row r="1777" spans="1:27" ht="12" customHeight="1" x14ac:dyDescent="0.15">
      <c r="A1777" s="33" t="s">
        <v>33941</v>
      </c>
      <c r="B1777" s="33">
        <v>34</v>
      </c>
      <c r="C1777" s="33" t="s">
        <v>14</v>
      </c>
      <c r="D1777" s="33" t="s">
        <v>31</v>
      </c>
      <c r="E1777" s="42" t="s">
        <v>33942</v>
      </c>
      <c r="F1777" s="67">
        <v>43237</v>
      </c>
      <c r="G1777" s="33" t="s">
        <v>33943</v>
      </c>
      <c r="H1777" s="33" t="s">
        <v>4761</v>
      </c>
      <c r="I1777" s="33" t="s">
        <v>367</v>
      </c>
      <c r="J1777" s="33">
        <v>73026</v>
      </c>
      <c r="K1777" s="33" t="s">
        <v>924</v>
      </c>
      <c r="L1777" s="33" t="s">
        <v>5161</v>
      </c>
      <c r="M1777" s="33" t="s">
        <v>21</v>
      </c>
      <c r="N1777" s="33" t="s">
        <v>36466</v>
      </c>
      <c r="O1777" s="33" t="s">
        <v>372</v>
      </c>
      <c r="P1777" s="33" t="s">
        <v>30089</v>
      </c>
      <c r="Q1777" s="42" t="s">
        <v>33944</v>
      </c>
      <c r="R1777" s="33" t="s">
        <v>94</v>
      </c>
      <c r="S1777" s="33" t="s">
        <v>22</v>
      </c>
      <c r="T1777" s="33" t="s">
        <v>26781</v>
      </c>
      <c r="U1777" s="33" t="s">
        <v>26572</v>
      </c>
      <c r="V1777" s="33" t="s">
        <v>26573</v>
      </c>
      <c r="W1777" s="33" t="s">
        <v>94</v>
      </c>
      <c r="X1777" s="33">
        <v>3708</v>
      </c>
      <c r="Z1777" s="33" t="s">
        <v>42968</v>
      </c>
      <c r="AA1777" s="33">
        <v>5890</v>
      </c>
    </row>
    <row r="1778" spans="1:27" ht="12" customHeight="1" x14ac:dyDescent="0.15">
      <c r="A1778" s="33" t="s">
        <v>33945</v>
      </c>
      <c r="B1778" s="33">
        <v>59</v>
      </c>
      <c r="C1778" s="33" t="s">
        <v>14</v>
      </c>
      <c r="D1778" s="33" t="s">
        <v>31</v>
      </c>
      <c r="E1778" s="42"/>
      <c r="F1778" s="67">
        <v>43236</v>
      </c>
      <c r="G1778" s="33" t="s">
        <v>33947</v>
      </c>
      <c r="H1778" s="33" t="s">
        <v>33946</v>
      </c>
      <c r="I1778" s="33" t="s">
        <v>63</v>
      </c>
      <c r="J1778" s="33">
        <v>43935</v>
      </c>
      <c r="K1778" s="33" t="s">
        <v>33148</v>
      </c>
      <c r="L1778" s="33" t="s">
        <v>33948</v>
      </c>
      <c r="M1778" s="33" t="s">
        <v>21</v>
      </c>
      <c r="N1778" s="33" t="s">
        <v>33949</v>
      </c>
      <c r="O1778" s="33" t="s">
        <v>372</v>
      </c>
      <c r="P1778" s="33" t="s">
        <v>30089</v>
      </c>
      <c r="Q1778" s="42" t="s">
        <v>33950</v>
      </c>
      <c r="R1778" s="33" t="s">
        <v>512</v>
      </c>
      <c r="S1778" s="33" t="s">
        <v>22</v>
      </c>
      <c r="T1778" s="33" t="s">
        <v>26774</v>
      </c>
      <c r="U1778" s="33" t="s">
        <v>26570</v>
      </c>
      <c r="V1778" s="33" t="s">
        <v>26573</v>
      </c>
      <c r="W1778" s="33" t="s">
        <v>94</v>
      </c>
      <c r="X1778" s="33">
        <v>3705</v>
      </c>
      <c r="Z1778" s="33" t="s">
        <v>42968</v>
      </c>
      <c r="AA1778" s="33">
        <v>5889</v>
      </c>
    </row>
    <row r="1779" spans="1:27" ht="12" customHeight="1" x14ac:dyDescent="0.15">
      <c r="A1779" s="33" t="s">
        <v>33951</v>
      </c>
      <c r="B1779" s="33">
        <v>34</v>
      </c>
      <c r="C1779" s="33" t="s">
        <v>14</v>
      </c>
      <c r="D1779" s="33" t="s">
        <v>31</v>
      </c>
      <c r="E1779" s="42" t="s">
        <v>33952</v>
      </c>
      <c r="F1779" s="67">
        <v>43235</v>
      </c>
      <c r="G1779" s="33" t="s">
        <v>33953</v>
      </c>
      <c r="H1779" s="33" t="s">
        <v>33146</v>
      </c>
      <c r="I1779" s="33" t="s">
        <v>56</v>
      </c>
      <c r="J1779" s="33">
        <v>32746</v>
      </c>
      <c r="K1779" s="33" t="s">
        <v>8294</v>
      </c>
      <c r="L1779" s="33" t="s">
        <v>15469</v>
      </c>
      <c r="M1779" s="33" t="s">
        <v>21</v>
      </c>
      <c r="N1779" s="33" t="s">
        <v>33954</v>
      </c>
      <c r="O1779" s="33" t="s">
        <v>372</v>
      </c>
      <c r="P1779" s="33" t="s">
        <v>30089</v>
      </c>
      <c r="Q1779" s="42" t="s">
        <v>33147</v>
      </c>
      <c r="R1779" s="33" t="s">
        <v>94</v>
      </c>
      <c r="S1779" s="33" t="s">
        <v>22</v>
      </c>
      <c r="T1779" s="33" t="s">
        <v>26781</v>
      </c>
      <c r="U1779" s="33" t="s">
        <v>26570</v>
      </c>
      <c r="V1779" s="33" t="s">
        <v>26571</v>
      </c>
      <c r="W1779" s="33" t="s">
        <v>94</v>
      </c>
      <c r="X1779" s="33">
        <v>3698</v>
      </c>
      <c r="Z1779" s="33" t="s">
        <v>42968</v>
      </c>
      <c r="AA1779" s="33">
        <v>5888</v>
      </c>
    </row>
    <row r="1780" spans="1:27" ht="12" customHeight="1" x14ac:dyDescent="0.15">
      <c r="A1780" s="33" t="s">
        <v>32630</v>
      </c>
      <c r="B1780" s="33">
        <v>24</v>
      </c>
      <c r="C1780" s="33" t="s">
        <v>14</v>
      </c>
      <c r="D1780" s="33" t="s">
        <v>79</v>
      </c>
      <c r="E1780" s="42" t="s">
        <v>33956</v>
      </c>
      <c r="F1780" s="67">
        <v>43234</v>
      </c>
      <c r="G1780" s="33" t="s">
        <v>32631</v>
      </c>
      <c r="H1780" s="33" t="s">
        <v>818</v>
      </c>
      <c r="I1780" s="33" t="s">
        <v>225</v>
      </c>
      <c r="J1780" s="33">
        <v>23227</v>
      </c>
      <c r="K1780" s="33" t="s">
        <v>818</v>
      </c>
      <c r="L1780" s="33" t="s">
        <v>32632</v>
      </c>
      <c r="M1780" s="33" t="s">
        <v>4966</v>
      </c>
      <c r="N1780" s="33" t="s">
        <v>32633</v>
      </c>
      <c r="O1780" s="33" t="s">
        <v>372</v>
      </c>
      <c r="P1780" s="33" t="s">
        <v>30089</v>
      </c>
      <c r="Q1780" s="42" t="s">
        <v>32634</v>
      </c>
      <c r="R1780" s="33" t="s">
        <v>94</v>
      </c>
      <c r="S1780" s="33" t="s">
        <v>12</v>
      </c>
      <c r="T1780" s="33" t="s">
        <v>29705</v>
      </c>
      <c r="U1780" s="33" t="s">
        <v>26572</v>
      </c>
      <c r="V1780" s="33" t="s">
        <v>26571</v>
      </c>
      <c r="W1780" s="33" t="s">
        <v>512</v>
      </c>
      <c r="X1780" s="33">
        <v>3696</v>
      </c>
      <c r="Z1780" s="33" t="s">
        <v>42968</v>
      </c>
      <c r="AA1780" s="33">
        <v>5887</v>
      </c>
    </row>
    <row r="1781" spans="1:27" ht="12" customHeight="1" x14ac:dyDescent="0.15">
      <c r="A1781" s="33" t="s">
        <v>33960</v>
      </c>
      <c r="B1781" s="33">
        <v>53</v>
      </c>
      <c r="C1781" s="33" t="s">
        <v>14</v>
      </c>
      <c r="D1781" s="33" t="s">
        <v>31</v>
      </c>
      <c r="E1781" s="42" t="s">
        <v>33961</v>
      </c>
      <c r="F1781" s="67">
        <v>43234</v>
      </c>
      <c r="G1781" s="33" t="s">
        <v>33962</v>
      </c>
      <c r="H1781" s="33" t="s">
        <v>32650</v>
      </c>
      <c r="I1781" s="33" t="s">
        <v>38</v>
      </c>
      <c r="J1781" s="33">
        <v>62301</v>
      </c>
      <c r="K1781" s="33" t="s">
        <v>1790</v>
      </c>
      <c r="L1781" s="33" t="s">
        <v>32651</v>
      </c>
      <c r="M1781" s="33" t="s">
        <v>21</v>
      </c>
      <c r="N1781" s="33" t="s">
        <v>33963</v>
      </c>
      <c r="O1781" s="33" t="s">
        <v>372</v>
      </c>
      <c r="P1781" s="33" t="s">
        <v>30089</v>
      </c>
      <c r="Q1781" s="42" t="s">
        <v>33964</v>
      </c>
      <c r="R1781" s="33" t="s">
        <v>94</v>
      </c>
      <c r="S1781" s="33" t="s">
        <v>22</v>
      </c>
      <c r="T1781" s="33" t="s">
        <v>26781</v>
      </c>
      <c r="U1781" s="33" t="s">
        <v>26570</v>
      </c>
      <c r="V1781" s="33" t="s">
        <v>26573</v>
      </c>
      <c r="W1781" s="33" t="s">
        <v>94</v>
      </c>
      <c r="X1781" s="33">
        <v>3694</v>
      </c>
      <c r="Z1781" s="33" t="s">
        <v>42966</v>
      </c>
      <c r="AA1781" s="33">
        <v>5884</v>
      </c>
    </row>
    <row r="1782" spans="1:27" ht="12" customHeight="1" x14ac:dyDescent="0.15">
      <c r="A1782" s="33" t="s">
        <v>32643</v>
      </c>
      <c r="B1782" s="33">
        <v>54</v>
      </c>
      <c r="C1782" s="33" t="s">
        <v>14</v>
      </c>
      <c r="D1782" s="33" t="s">
        <v>31</v>
      </c>
      <c r="E1782" s="42"/>
      <c r="F1782" s="67">
        <v>43234</v>
      </c>
      <c r="G1782" s="33" t="s">
        <v>32644</v>
      </c>
      <c r="H1782" s="33" t="s">
        <v>32645</v>
      </c>
      <c r="I1782" s="33" t="s">
        <v>4034</v>
      </c>
      <c r="J1782" s="33">
        <v>4280</v>
      </c>
      <c r="K1782" s="33" t="s">
        <v>32646</v>
      </c>
      <c r="L1782" s="33" t="s">
        <v>27634</v>
      </c>
      <c r="M1782" s="33" t="s">
        <v>21</v>
      </c>
      <c r="N1782" s="33" t="s">
        <v>32647</v>
      </c>
      <c r="O1782" s="33" t="s">
        <v>372</v>
      </c>
      <c r="P1782" s="33" t="s">
        <v>30089</v>
      </c>
      <c r="Q1782" s="42" t="s">
        <v>32648</v>
      </c>
      <c r="R1782" s="33" t="s">
        <v>94</v>
      </c>
      <c r="S1782" s="33" t="s">
        <v>22</v>
      </c>
      <c r="T1782" s="33" t="s">
        <v>26781</v>
      </c>
      <c r="U1782" s="33" t="s">
        <v>26572</v>
      </c>
      <c r="V1782" s="33" t="s">
        <v>26573</v>
      </c>
      <c r="W1782" s="33" t="s">
        <v>94</v>
      </c>
      <c r="X1782" s="33">
        <v>3688</v>
      </c>
      <c r="Z1782" s="33" t="s">
        <v>42967</v>
      </c>
      <c r="AA1782" s="33">
        <v>5883</v>
      </c>
    </row>
    <row r="1783" spans="1:27" ht="12" customHeight="1" x14ac:dyDescent="0.15">
      <c r="A1783" s="33" t="s">
        <v>32635</v>
      </c>
      <c r="B1783" s="33">
        <v>24</v>
      </c>
      <c r="C1783" s="33" t="s">
        <v>14</v>
      </c>
      <c r="D1783" s="33" t="s">
        <v>79</v>
      </c>
      <c r="E1783" s="42"/>
      <c r="F1783" s="67">
        <v>43234</v>
      </c>
      <c r="G1783" s="33" t="s">
        <v>32636</v>
      </c>
      <c r="H1783" s="33" t="s">
        <v>5836</v>
      </c>
      <c r="I1783" s="33" t="s">
        <v>46</v>
      </c>
      <c r="J1783" s="33">
        <v>20735</v>
      </c>
      <c r="K1783" s="33" t="s">
        <v>2210</v>
      </c>
      <c r="L1783" s="33" t="s">
        <v>705</v>
      </c>
      <c r="M1783" s="33" t="s">
        <v>21</v>
      </c>
      <c r="N1783" s="33" t="s">
        <v>32637</v>
      </c>
      <c r="O1783" s="33" t="s">
        <v>372</v>
      </c>
      <c r="P1783" s="33" t="s">
        <v>30089</v>
      </c>
      <c r="Q1783" s="42" t="s">
        <v>32638</v>
      </c>
      <c r="S1783" s="33" t="s">
        <v>22</v>
      </c>
      <c r="T1783" s="33" t="s">
        <v>26781</v>
      </c>
      <c r="U1783" s="33" t="s">
        <v>26572</v>
      </c>
      <c r="V1783" s="33" t="s">
        <v>26573</v>
      </c>
      <c r="W1783" s="33" t="s">
        <v>94</v>
      </c>
      <c r="X1783" s="33">
        <v>3685</v>
      </c>
      <c r="Z1783" s="33" t="s">
        <v>42968</v>
      </c>
      <c r="AA1783" s="33">
        <v>5882</v>
      </c>
    </row>
    <row r="1784" spans="1:27" ht="12" customHeight="1" x14ac:dyDescent="0.15">
      <c r="A1784" s="33" t="s">
        <v>32639</v>
      </c>
      <c r="B1784" s="33">
        <v>20</v>
      </c>
      <c r="C1784" s="33" t="s">
        <v>14</v>
      </c>
      <c r="D1784" s="33" t="s">
        <v>31</v>
      </c>
      <c r="E1784" s="42" t="s">
        <v>33955</v>
      </c>
      <c r="F1784" s="67">
        <v>43234</v>
      </c>
      <c r="G1784" s="33" t="s">
        <v>33120</v>
      </c>
      <c r="H1784" s="33" t="s">
        <v>32640</v>
      </c>
      <c r="I1784" s="33" t="s">
        <v>51</v>
      </c>
      <c r="J1784" s="33">
        <v>48067</v>
      </c>
      <c r="K1784" s="33" t="s">
        <v>557</v>
      </c>
      <c r="L1784" s="33" t="s">
        <v>32632</v>
      </c>
      <c r="M1784" s="33" t="s">
        <v>21</v>
      </c>
      <c r="N1784" s="33" t="s">
        <v>32641</v>
      </c>
      <c r="O1784" s="33" t="s">
        <v>372</v>
      </c>
      <c r="P1784" s="33" t="s">
        <v>30089</v>
      </c>
      <c r="Q1784" s="42" t="s">
        <v>32642</v>
      </c>
      <c r="R1784" s="33" t="s">
        <v>23</v>
      </c>
      <c r="S1784" s="33" t="s">
        <v>12</v>
      </c>
      <c r="T1784" s="33" t="s">
        <v>29705</v>
      </c>
      <c r="U1784" s="33" t="s">
        <v>26572</v>
      </c>
      <c r="V1784" s="33" t="s">
        <v>26573</v>
      </c>
      <c r="W1784" s="33" t="s">
        <v>94</v>
      </c>
      <c r="X1784" s="33">
        <v>3687</v>
      </c>
      <c r="Z1784" s="33" t="s">
        <v>42966</v>
      </c>
      <c r="AA1784" s="33">
        <v>5886</v>
      </c>
    </row>
    <row r="1785" spans="1:27" ht="12" customHeight="1" x14ac:dyDescent="0.15">
      <c r="A1785" s="33" t="s">
        <v>32649</v>
      </c>
      <c r="B1785" s="33">
        <v>36</v>
      </c>
      <c r="C1785" s="33" t="s">
        <v>14</v>
      </c>
      <c r="D1785" s="33" t="s">
        <v>42</v>
      </c>
      <c r="E1785" s="42"/>
      <c r="F1785" s="67">
        <v>43234</v>
      </c>
      <c r="G1785" s="33" t="s">
        <v>33957</v>
      </c>
      <c r="H1785" s="33" t="s">
        <v>532</v>
      </c>
      <c r="I1785" s="33" t="s">
        <v>67</v>
      </c>
      <c r="J1785" s="33">
        <v>78203</v>
      </c>
      <c r="K1785" s="33" t="s">
        <v>533</v>
      </c>
      <c r="L1785" s="33" t="s">
        <v>534</v>
      </c>
      <c r="M1785" s="33" t="s">
        <v>21</v>
      </c>
      <c r="N1785" s="33" t="s">
        <v>33958</v>
      </c>
      <c r="O1785" s="33" t="s">
        <v>372</v>
      </c>
      <c r="P1785" s="33" t="s">
        <v>30089</v>
      </c>
      <c r="Q1785" s="42" t="s">
        <v>33959</v>
      </c>
      <c r="R1785" s="33" t="s">
        <v>94</v>
      </c>
      <c r="S1785" s="33" t="s">
        <v>22</v>
      </c>
      <c r="T1785" s="33" t="s">
        <v>26781</v>
      </c>
      <c r="U1785" s="33" t="s">
        <v>26572</v>
      </c>
      <c r="V1785" s="33" t="s">
        <v>26573</v>
      </c>
      <c r="W1785" s="33" t="s">
        <v>94</v>
      </c>
      <c r="X1785" s="33">
        <v>3695</v>
      </c>
      <c r="Z1785" s="33" t="s">
        <v>42966</v>
      </c>
      <c r="AA1785" s="33">
        <v>5885</v>
      </c>
    </row>
    <row r="1786" spans="1:27" ht="12" customHeight="1" x14ac:dyDescent="0.15">
      <c r="A1786" s="33" t="s">
        <v>32652</v>
      </c>
      <c r="B1786" s="33">
        <v>29</v>
      </c>
      <c r="C1786" s="33" t="s">
        <v>14</v>
      </c>
      <c r="D1786" s="33" t="s">
        <v>79</v>
      </c>
      <c r="E1786" s="42" t="s">
        <v>33965</v>
      </c>
      <c r="F1786" s="67">
        <v>43233</v>
      </c>
      <c r="G1786" s="33" t="s">
        <v>33121</v>
      </c>
      <c r="H1786" s="33" t="s">
        <v>2491</v>
      </c>
      <c r="I1786" s="33" t="s">
        <v>225</v>
      </c>
      <c r="J1786" s="33">
        <v>23701</v>
      </c>
      <c r="K1786" s="33" t="s">
        <v>2493</v>
      </c>
      <c r="L1786" s="33" t="s">
        <v>2494</v>
      </c>
      <c r="M1786" s="33" t="s">
        <v>21</v>
      </c>
      <c r="N1786" s="33" t="s">
        <v>32653</v>
      </c>
      <c r="O1786" s="33" t="s">
        <v>372</v>
      </c>
      <c r="P1786" s="33" t="s">
        <v>30089</v>
      </c>
      <c r="Q1786" s="42" t="s">
        <v>32654</v>
      </c>
      <c r="R1786" s="33" t="s">
        <v>94</v>
      </c>
      <c r="S1786" s="33" t="s">
        <v>29</v>
      </c>
      <c r="T1786" s="33" t="s">
        <v>26575</v>
      </c>
      <c r="X1786" s="33">
        <v>3686</v>
      </c>
      <c r="Z1786" s="33" t="s">
        <v>42968</v>
      </c>
      <c r="AA1786" s="33">
        <v>5880</v>
      </c>
    </row>
    <row r="1787" spans="1:27" ht="12" customHeight="1" x14ac:dyDescent="0.15">
      <c r="A1787" s="33" t="s">
        <v>32665</v>
      </c>
      <c r="B1787" s="33">
        <v>36</v>
      </c>
      <c r="C1787" s="33" t="s">
        <v>14</v>
      </c>
      <c r="D1787" s="33" t="s">
        <v>31</v>
      </c>
      <c r="E1787" s="42"/>
      <c r="F1787" s="67">
        <v>43233</v>
      </c>
      <c r="G1787" s="33" t="s">
        <v>33122</v>
      </c>
      <c r="H1787" s="33" t="s">
        <v>13431</v>
      </c>
      <c r="I1787" s="33" t="s">
        <v>19</v>
      </c>
      <c r="J1787" s="33">
        <v>70422</v>
      </c>
      <c r="K1787" s="33" t="s">
        <v>9479</v>
      </c>
      <c r="L1787" s="33" t="s">
        <v>32666</v>
      </c>
      <c r="M1787" s="33" t="s">
        <v>21</v>
      </c>
      <c r="N1787" s="33" t="s">
        <v>32667</v>
      </c>
      <c r="O1787" s="33" t="s">
        <v>372</v>
      </c>
      <c r="P1787" s="33" t="s">
        <v>30089</v>
      </c>
      <c r="Q1787" s="42" t="s">
        <v>32668</v>
      </c>
      <c r="R1787" s="33" t="s">
        <v>94</v>
      </c>
      <c r="S1787" s="33" t="s">
        <v>29</v>
      </c>
      <c r="T1787" s="33" t="s">
        <v>26576</v>
      </c>
      <c r="X1787" s="33">
        <v>3689</v>
      </c>
      <c r="Z1787" s="33" t="s">
        <v>42967</v>
      </c>
      <c r="AA1787" s="33">
        <v>5881</v>
      </c>
    </row>
    <row r="1788" spans="1:27" ht="12" customHeight="1" x14ac:dyDescent="0.15">
      <c r="A1788" s="33" t="s">
        <v>3002</v>
      </c>
      <c r="B1788" s="33" t="s">
        <v>23</v>
      </c>
      <c r="C1788" s="33" t="s">
        <v>14</v>
      </c>
      <c r="D1788" s="33" t="s">
        <v>24</v>
      </c>
      <c r="E1788" s="42"/>
      <c r="F1788" s="67">
        <v>43233</v>
      </c>
      <c r="G1788" s="33" t="s">
        <v>33966</v>
      </c>
      <c r="H1788" s="33" t="s">
        <v>25877</v>
      </c>
      <c r="I1788" s="33" t="s">
        <v>160</v>
      </c>
      <c r="J1788" s="33">
        <v>30297</v>
      </c>
      <c r="K1788" s="33" t="s">
        <v>1669</v>
      </c>
      <c r="L1788" s="33" t="s">
        <v>12258</v>
      </c>
      <c r="M1788" s="33" t="s">
        <v>21</v>
      </c>
      <c r="N1788" s="33" t="s">
        <v>33967</v>
      </c>
      <c r="O1788" s="33" t="s">
        <v>372</v>
      </c>
      <c r="P1788" s="33" t="s">
        <v>30089</v>
      </c>
      <c r="Q1788" s="42" t="s">
        <v>33968</v>
      </c>
      <c r="R1788" s="33" t="s">
        <v>94</v>
      </c>
      <c r="S1788" s="33" t="s">
        <v>22</v>
      </c>
      <c r="T1788" s="33" t="s">
        <v>26781</v>
      </c>
      <c r="Y1788" s="33" t="s">
        <v>42476</v>
      </c>
      <c r="Z1788" s="33" t="s">
        <v>42968</v>
      </c>
      <c r="AA1788" s="33">
        <v>5879</v>
      </c>
    </row>
    <row r="1789" spans="1:27" ht="12" customHeight="1" x14ac:dyDescent="0.15">
      <c r="A1789" s="33" t="s">
        <v>36987</v>
      </c>
      <c r="B1789" s="33">
        <v>38</v>
      </c>
      <c r="C1789" s="33" t="s">
        <v>14</v>
      </c>
      <c r="D1789" s="33" t="s">
        <v>24</v>
      </c>
      <c r="E1789" s="42"/>
      <c r="F1789" s="67">
        <v>43233</v>
      </c>
      <c r="G1789" s="33" t="s">
        <v>32655</v>
      </c>
      <c r="H1789" s="33" t="s">
        <v>32656</v>
      </c>
      <c r="I1789" s="33" t="s">
        <v>51</v>
      </c>
      <c r="J1789" s="33">
        <v>48127</v>
      </c>
      <c r="K1789" s="33" t="s">
        <v>1057</v>
      </c>
      <c r="L1789" s="33" t="s">
        <v>32657</v>
      </c>
      <c r="M1789" s="33" t="s">
        <v>21</v>
      </c>
      <c r="N1789" s="33" t="s">
        <v>32658</v>
      </c>
      <c r="O1789" s="33" t="s">
        <v>372</v>
      </c>
      <c r="P1789" s="33" t="s">
        <v>30089</v>
      </c>
      <c r="Q1789" s="42" t="s">
        <v>32659</v>
      </c>
      <c r="R1789" s="33" t="s">
        <v>94</v>
      </c>
      <c r="S1789" s="33" t="s">
        <v>22</v>
      </c>
      <c r="T1789" s="33" t="s">
        <v>26781</v>
      </c>
      <c r="X1789" s="33">
        <v>3691</v>
      </c>
      <c r="Z1789" s="33" t="s">
        <v>42968</v>
      </c>
      <c r="AA1789" s="33">
        <v>5878</v>
      </c>
    </row>
    <row r="1790" spans="1:27" ht="12" customHeight="1" x14ac:dyDescent="0.15">
      <c r="A1790" s="33" t="s">
        <v>32660</v>
      </c>
      <c r="B1790" s="33">
        <v>54</v>
      </c>
      <c r="C1790" s="33" t="s">
        <v>14</v>
      </c>
      <c r="D1790" s="33" t="s">
        <v>24</v>
      </c>
      <c r="E1790" s="42"/>
      <c r="F1790" s="67">
        <v>43233</v>
      </c>
      <c r="G1790" s="33" t="s">
        <v>32661</v>
      </c>
      <c r="H1790" s="33" t="s">
        <v>32662</v>
      </c>
      <c r="I1790" s="33" t="s">
        <v>160</v>
      </c>
      <c r="J1790" s="33">
        <v>30521</v>
      </c>
      <c r="K1790" s="33" t="s">
        <v>1203</v>
      </c>
      <c r="L1790" s="33" t="s">
        <v>1204</v>
      </c>
      <c r="M1790" s="33" t="s">
        <v>21</v>
      </c>
      <c r="N1790" s="33" t="s">
        <v>32663</v>
      </c>
      <c r="O1790" s="33" t="s">
        <v>372</v>
      </c>
      <c r="P1790" s="33" t="s">
        <v>30089</v>
      </c>
      <c r="Q1790" s="42" t="s">
        <v>32664</v>
      </c>
      <c r="R1790" s="33" t="s">
        <v>94</v>
      </c>
      <c r="S1790" s="33" t="s">
        <v>22</v>
      </c>
      <c r="T1790" s="33" t="s">
        <v>26781</v>
      </c>
      <c r="U1790" s="33" t="s">
        <v>26572</v>
      </c>
      <c r="V1790" s="33" t="s">
        <v>26573</v>
      </c>
      <c r="W1790" s="33" t="s">
        <v>94</v>
      </c>
      <c r="X1790" s="33">
        <v>3690</v>
      </c>
      <c r="Z1790" s="33" t="s">
        <v>42967</v>
      </c>
      <c r="AA1790" s="33">
        <v>5877</v>
      </c>
    </row>
    <row r="1791" spans="1:27" ht="12" customHeight="1" x14ac:dyDescent="0.15">
      <c r="A1791" s="33" t="s">
        <v>32669</v>
      </c>
      <c r="B1791" s="33">
        <v>55</v>
      </c>
      <c r="C1791" s="33" t="s">
        <v>14</v>
      </c>
      <c r="D1791" s="33" t="s">
        <v>31</v>
      </c>
      <c r="E1791" s="42" t="s">
        <v>32670</v>
      </c>
      <c r="F1791" s="67">
        <v>43232</v>
      </c>
      <c r="G1791" s="33" t="s">
        <v>32671</v>
      </c>
      <c r="H1791" s="33" t="s">
        <v>1202</v>
      </c>
      <c r="I1791" s="33" t="s">
        <v>63</v>
      </c>
      <c r="J1791" s="33">
        <v>43223</v>
      </c>
      <c r="K1791" s="33" t="s">
        <v>1203</v>
      </c>
      <c r="L1791" s="33" t="s">
        <v>1204</v>
      </c>
      <c r="M1791" s="33" t="s">
        <v>21</v>
      </c>
      <c r="N1791" s="33" t="s">
        <v>32672</v>
      </c>
      <c r="O1791" s="33" t="s">
        <v>372</v>
      </c>
      <c r="P1791" s="33" t="s">
        <v>30089</v>
      </c>
      <c r="Q1791" s="42" t="s">
        <v>32673</v>
      </c>
      <c r="R1791" s="33" t="s">
        <v>23</v>
      </c>
      <c r="S1791" s="33" t="s">
        <v>22</v>
      </c>
      <c r="T1791" s="33" t="s">
        <v>26781</v>
      </c>
      <c r="U1791" s="33" t="s">
        <v>26572</v>
      </c>
      <c r="V1791" s="33" t="s">
        <v>26571</v>
      </c>
      <c r="W1791" s="33" t="s">
        <v>94</v>
      </c>
      <c r="X1791" s="33">
        <v>3693</v>
      </c>
      <c r="Z1791" s="33" t="s">
        <v>42966</v>
      </c>
      <c r="AA1791" s="33">
        <v>5876</v>
      </c>
    </row>
    <row r="1792" spans="1:27" ht="12" customHeight="1" x14ac:dyDescent="0.15">
      <c r="A1792" s="33" t="s">
        <v>32683</v>
      </c>
      <c r="B1792" s="33">
        <v>51</v>
      </c>
      <c r="C1792" s="33" t="s">
        <v>14</v>
      </c>
      <c r="D1792" s="33" t="s">
        <v>31</v>
      </c>
      <c r="E1792" s="42"/>
      <c r="F1792" s="67">
        <v>43231</v>
      </c>
      <c r="G1792" s="33" t="s">
        <v>33123</v>
      </c>
      <c r="H1792" s="33" t="s">
        <v>20447</v>
      </c>
      <c r="I1792" s="33" t="s">
        <v>198</v>
      </c>
      <c r="J1792" s="33">
        <v>47711</v>
      </c>
      <c r="K1792" s="33" t="s">
        <v>20448</v>
      </c>
      <c r="L1792" s="33" t="s">
        <v>20449</v>
      </c>
      <c r="M1792" s="33" t="s">
        <v>21</v>
      </c>
      <c r="N1792" s="33" t="s">
        <v>32684</v>
      </c>
      <c r="O1792" s="33" t="s">
        <v>372</v>
      </c>
      <c r="P1792" s="33" t="s">
        <v>30089</v>
      </c>
      <c r="Q1792" s="42" t="s">
        <v>32685</v>
      </c>
      <c r="R1792" s="33" t="s">
        <v>23</v>
      </c>
      <c r="S1792" s="33" t="s">
        <v>22</v>
      </c>
      <c r="T1792" s="33" t="s">
        <v>26781</v>
      </c>
      <c r="U1792" s="33" t="s">
        <v>26572</v>
      </c>
      <c r="V1792" s="33" t="s">
        <v>26573</v>
      </c>
      <c r="X1792" s="33">
        <v>3751</v>
      </c>
      <c r="Z1792" s="33" t="s">
        <v>42968</v>
      </c>
      <c r="AA1792" s="33">
        <v>5872</v>
      </c>
    </row>
    <row r="1793" spans="1:27" ht="12" customHeight="1" x14ac:dyDescent="0.15">
      <c r="A1793" s="33" t="s">
        <v>32686</v>
      </c>
      <c r="B1793" s="33">
        <v>24</v>
      </c>
      <c r="C1793" s="33" t="s">
        <v>14</v>
      </c>
      <c r="D1793" s="33" t="s">
        <v>128</v>
      </c>
      <c r="E1793" s="42" t="s">
        <v>32687</v>
      </c>
      <c r="F1793" s="67">
        <v>43231</v>
      </c>
      <c r="G1793" s="33" t="s">
        <v>33124</v>
      </c>
      <c r="H1793" s="33" t="s">
        <v>32688</v>
      </c>
      <c r="I1793" s="33" t="s">
        <v>735</v>
      </c>
      <c r="J1793" s="33">
        <v>83221</v>
      </c>
      <c r="K1793" s="33" t="s">
        <v>32689</v>
      </c>
      <c r="L1793" s="33" t="s">
        <v>32690</v>
      </c>
      <c r="M1793" s="33" t="s">
        <v>21</v>
      </c>
      <c r="N1793" s="33" t="s">
        <v>32691</v>
      </c>
      <c r="O1793" s="33" t="s">
        <v>372</v>
      </c>
      <c r="P1793" s="33" t="s">
        <v>30089</v>
      </c>
      <c r="Q1793" s="42" t="s">
        <v>32692</v>
      </c>
      <c r="R1793" s="33" t="s">
        <v>94</v>
      </c>
      <c r="S1793" s="33" t="s">
        <v>22</v>
      </c>
      <c r="T1793" s="33" t="s">
        <v>26774</v>
      </c>
      <c r="U1793" s="33" t="s">
        <v>26572</v>
      </c>
      <c r="V1793" s="33" t="s">
        <v>26573</v>
      </c>
      <c r="X1793" s="33">
        <v>3753</v>
      </c>
      <c r="Z1793" s="33" t="s">
        <v>42967</v>
      </c>
      <c r="AA1793" s="33">
        <v>5875</v>
      </c>
    </row>
    <row r="1794" spans="1:27" ht="12" customHeight="1" x14ac:dyDescent="0.15">
      <c r="A1794" s="33" t="s">
        <v>36985</v>
      </c>
      <c r="B1794" s="33" t="s">
        <v>23</v>
      </c>
      <c r="C1794" s="33" t="s">
        <v>14</v>
      </c>
      <c r="D1794" s="33" t="s">
        <v>24</v>
      </c>
      <c r="E1794" s="42"/>
      <c r="F1794" s="67">
        <v>43231</v>
      </c>
      <c r="H1794" s="33" t="s">
        <v>32674</v>
      </c>
      <c r="I1794" s="33" t="s">
        <v>409</v>
      </c>
      <c r="J1794" s="33">
        <v>54436</v>
      </c>
      <c r="K1794" s="33" t="s">
        <v>527</v>
      </c>
      <c r="L1794" s="33" t="s">
        <v>32675</v>
      </c>
      <c r="M1794" s="33" t="s">
        <v>21</v>
      </c>
      <c r="N1794" s="33" t="s">
        <v>32676</v>
      </c>
      <c r="O1794" s="33" t="s">
        <v>372</v>
      </c>
      <c r="P1794" s="33" t="s">
        <v>30089</v>
      </c>
      <c r="Q1794" s="42" t="s">
        <v>32677</v>
      </c>
      <c r="R1794" s="33" t="s">
        <v>94</v>
      </c>
      <c r="S1794" s="33" t="s">
        <v>22</v>
      </c>
      <c r="T1794" s="33" t="s">
        <v>26781</v>
      </c>
      <c r="U1794" s="33" t="s">
        <v>26572</v>
      </c>
      <c r="V1794" s="33" t="s">
        <v>26571</v>
      </c>
      <c r="W1794" s="33" t="s">
        <v>94</v>
      </c>
      <c r="X1794" s="33">
        <v>3746</v>
      </c>
      <c r="Z1794" s="33" t="s">
        <v>42967</v>
      </c>
      <c r="AA1794" s="33">
        <v>5871</v>
      </c>
    </row>
    <row r="1795" spans="1:27" ht="12" customHeight="1" x14ac:dyDescent="0.15">
      <c r="A1795" s="33" t="s">
        <v>36346</v>
      </c>
      <c r="B1795" s="33">
        <v>52</v>
      </c>
      <c r="C1795" s="33" t="s">
        <v>14</v>
      </c>
      <c r="D1795" s="33" t="s">
        <v>31</v>
      </c>
      <c r="E1795" s="42"/>
      <c r="F1795" s="67">
        <v>43231</v>
      </c>
      <c r="G1795" s="33" t="s">
        <v>32678</v>
      </c>
      <c r="H1795" s="33" t="s">
        <v>32679</v>
      </c>
      <c r="I1795" s="33" t="s">
        <v>367</v>
      </c>
      <c r="J1795" s="33">
        <v>74571</v>
      </c>
      <c r="K1795" s="33" t="s">
        <v>32680</v>
      </c>
      <c r="L1795" s="33" t="s">
        <v>1904</v>
      </c>
      <c r="M1795" s="33" t="s">
        <v>21</v>
      </c>
      <c r="N1795" s="33" t="s">
        <v>32681</v>
      </c>
      <c r="O1795" s="33" t="s">
        <v>372</v>
      </c>
      <c r="P1795" s="33" t="s">
        <v>30089</v>
      </c>
      <c r="Q1795" s="42" t="s">
        <v>32682</v>
      </c>
      <c r="R1795" s="33" t="s">
        <v>94</v>
      </c>
      <c r="S1795" s="33" t="s">
        <v>22</v>
      </c>
      <c r="T1795" s="33" t="s">
        <v>26781</v>
      </c>
      <c r="U1795" s="33" t="s">
        <v>26572</v>
      </c>
      <c r="V1795" s="33" t="s">
        <v>26573</v>
      </c>
      <c r="X1795" s="33">
        <v>3752</v>
      </c>
      <c r="Z1795" s="33" t="s">
        <v>42967</v>
      </c>
      <c r="AA1795" s="33">
        <v>5873</v>
      </c>
    </row>
    <row r="1796" spans="1:27" ht="12" customHeight="1" x14ac:dyDescent="0.15">
      <c r="A1796" s="33" t="s">
        <v>36986</v>
      </c>
      <c r="B1796" s="33">
        <v>33</v>
      </c>
      <c r="C1796" s="33" t="s">
        <v>14</v>
      </c>
      <c r="D1796" s="33" t="s">
        <v>31</v>
      </c>
      <c r="F1796" s="67">
        <v>43231</v>
      </c>
      <c r="G1796" s="10" t="s">
        <v>37017</v>
      </c>
      <c r="H1796" s="10" t="s">
        <v>36998</v>
      </c>
      <c r="I1796" s="33" t="s">
        <v>19</v>
      </c>
      <c r="J1796" s="65">
        <v>71037</v>
      </c>
      <c r="K1796" s="10" t="s">
        <v>2000</v>
      </c>
      <c r="L1796" s="10" t="s">
        <v>37022</v>
      </c>
      <c r="M1796" s="33" t="s">
        <v>21</v>
      </c>
      <c r="N1796" s="10" t="s">
        <v>37045</v>
      </c>
      <c r="O1796" s="10" t="s">
        <v>372</v>
      </c>
      <c r="P1796" s="33" t="s">
        <v>30089</v>
      </c>
      <c r="Q1796" s="64" t="s">
        <v>37046</v>
      </c>
      <c r="R1796" s="33" t="s">
        <v>94</v>
      </c>
      <c r="S1796" s="33" t="s">
        <v>22</v>
      </c>
      <c r="T1796" s="36" t="s">
        <v>26774</v>
      </c>
      <c r="U1796" s="36" t="s">
        <v>26570</v>
      </c>
      <c r="V1796" s="36" t="s">
        <v>26573</v>
      </c>
      <c r="W1796" s="33" t="s">
        <v>94</v>
      </c>
      <c r="X1796" s="33">
        <v>3749</v>
      </c>
      <c r="Z1796" s="33" t="s">
        <v>42967</v>
      </c>
      <c r="AA1796" s="33">
        <v>5874</v>
      </c>
    </row>
    <row r="1797" spans="1:27" ht="12" customHeight="1" x14ac:dyDescent="0.15">
      <c r="A1797" s="33" t="s">
        <v>32696</v>
      </c>
      <c r="B1797" s="33">
        <v>33</v>
      </c>
      <c r="C1797" s="33" t="s">
        <v>14</v>
      </c>
      <c r="D1797" s="33" t="s">
        <v>31</v>
      </c>
      <c r="E1797" s="42" t="s">
        <v>32697</v>
      </c>
      <c r="F1797" s="67">
        <v>43230</v>
      </c>
      <c r="G1797" s="33" t="s">
        <v>32698</v>
      </c>
      <c r="H1797" s="33" t="s">
        <v>32699</v>
      </c>
      <c r="I1797" s="33" t="s">
        <v>376</v>
      </c>
      <c r="J1797" s="33">
        <v>15068</v>
      </c>
      <c r="K1797" s="33" t="s">
        <v>10921</v>
      </c>
      <c r="L1797" s="33" t="s">
        <v>32700</v>
      </c>
      <c r="M1797" s="33" t="s">
        <v>21</v>
      </c>
      <c r="N1797" s="33" t="s">
        <v>32701</v>
      </c>
      <c r="O1797" s="33" t="s">
        <v>372</v>
      </c>
      <c r="P1797" s="33" t="s">
        <v>30089</v>
      </c>
      <c r="Q1797" s="42" t="s">
        <v>32702</v>
      </c>
      <c r="R1797" s="33" t="s">
        <v>94</v>
      </c>
      <c r="S1797" s="33" t="s">
        <v>22</v>
      </c>
      <c r="T1797" s="33" t="s">
        <v>26781</v>
      </c>
      <c r="U1797" s="33" t="s">
        <v>26570</v>
      </c>
      <c r="V1797" s="33" t="s">
        <v>26573</v>
      </c>
      <c r="W1797" s="33" t="s">
        <v>94</v>
      </c>
      <c r="X1797" s="33">
        <v>3684</v>
      </c>
      <c r="Z1797" s="33" t="s">
        <v>42968</v>
      </c>
      <c r="AA1797" s="33">
        <v>5869</v>
      </c>
    </row>
    <row r="1798" spans="1:27" ht="12" customHeight="1" x14ac:dyDescent="0.15">
      <c r="A1798" s="33" t="s">
        <v>32693</v>
      </c>
      <c r="B1798" s="33">
        <v>46</v>
      </c>
      <c r="C1798" s="33" t="s">
        <v>14</v>
      </c>
      <c r="D1798" s="33" t="s">
        <v>31</v>
      </c>
      <c r="E1798" s="42"/>
      <c r="F1798" s="67">
        <v>43230</v>
      </c>
      <c r="G1798" s="33" t="s">
        <v>33125</v>
      </c>
      <c r="H1798" s="33" t="s">
        <v>1391</v>
      </c>
      <c r="I1798" s="33" t="s">
        <v>298</v>
      </c>
      <c r="J1798" s="33">
        <v>37813</v>
      </c>
      <c r="K1798" s="33" t="s">
        <v>1392</v>
      </c>
      <c r="L1798" s="33" t="s">
        <v>1393</v>
      </c>
      <c r="M1798" s="33" t="s">
        <v>21</v>
      </c>
      <c r="N1798" s="33" t="s">
        <v>32694</v>
      </c>
      <c r="O1798" s="33" t="s">
        <v>372</v>
      </c>
      <c r="P1798" s="33" t="s">
        <v>30089</v>
      </c>
      <c r="Q1798" s="42" t="s">
        <v>32695</v>
      </c>
      <c r="R1798" s="33" t="s">
        <v>94</v>
      </c>
      <c r="S1798" s="33" t="s">
        <v>351</v>
      </c>
      <c r="T1798" s="33" t="s">
        <v>26867</v>
      </c>
      <c r="U1798" s="33" t="s">
        <v>26572</v>
      </c>
      <c r="V1798" s="33" t="s">
        <v>26573</v>
      </c>
      <c r="W1798" s="33" t="s">
        <v>94</v>
      </c>
      <c r="X1798" s="33">
        <v>3683</v>
      </c>
      <c r="Z1798" s="33" t="s">
        <v>42968</v>
      </c>
      <c r="AA1798" s="33">
        <v>5870</v>
      </c>
    </row>
    <row r="1799" spans="1:27" ht="12" customHeight="1" x14ac:dyDescent="0.15">
      <c r="A1799" s="33" t="s">
        <v>32703</v>
      </c>
      <c r="B1799" s="33">
        <v>30</v>
      </c>
      <c r="C1799" s="33" t="s">
        <v>14</v>
      </c>
      <c r="D1799" s="33" t="s">
        <v>79</v>
      </c>
      <c r="E1799" s="42"/>
      <c r="F1799" s="67">
        <v>43229</v>
      </c>
      <c r="G1799" s="33" t="s">
        <v>32704</v>
      </c>
      <c r="H1799" s="33" t="s">
        <v>404</v>
      </c>
      <c r="I1799" s="33" t="s">
        <v>621</v>
      </c>
      <c r="J1799" s="33">
        <v>39212</v>
      </c>
      <c r="K1799" s="33" t="s">
        <v>9141</v>
      </c>
      <c r="L1799" s="33" t="s">
        <v>5717</v>
      </c>
      <c r="M1799" s="33" t="s">
        <v>21</v>
      </c>
      <c r="N1799" s="33" t="s">
        <v>32705</v>
      </c>
      <c r="O1799" s="33" t="s">
        <v>32706</v>
      </c>
      <c r="P1799" s="33" t="s">
        <v>30089</v>
      </c>
      <c r="Q1799" s="42" t="s">
        <v>32707</v>
      </c>
      <c r="R1799" s="33" t="s">
        <v>94</v>
      </c>
      <c r="S1799" s="33" t="s">
        <v>22</v>
      </c>
      <c r="T1799" s="33" t="s">
        <v>26781</v>
      </c>
      <c r="U1799" s="33" t="s">
        <v>26572</v>
      </c>
      <c r="V1799" s="33" t="s">
        <v>26573</v>
      </c>
      <c r="W1799" s="33" t="s">
        <v>94</v>
      </c>
      <c r="X1799" s="33">
        <v>3682</v>
      </c>
      <c r="Z1799" s="33" t="s">
        <v>42968</v>
      </c>
      <c r="AA1799" s="33">
        <v>5868</v>
      </c>
    </row>
    <row r="1800" spans="1:27" ht="12" customHeight="1" x14ac:dyDescent="0.15">
      <c r="A1800" s="33" t="s">
        <v>32708</v>
      </c>
      <c r="B1800" s="33">
        <v>37</v>
      </c>
      <c r="C1800" s="33" t="s">
        <v>14</v>
      </c>
      <c r="D1800" s="33" t="s">
        <v>24</v>
      </c>
      <c r="E1800" s="42"/>
      <c r="F1800" s="67">
        <v>43228</v>
      </c>
      <c r="G1800" s="33" t="s">
        <v>32709</v>
      </c>
      <c r="H1800" s="33" t="s">
        <v>518</v>
      </c>
      <c r="I1800" s="33" t="s">
        <v>112</v>
      </c>
      <c r="J1800" s="33">
        <v>85712</v>
      </c>
      <c r="K1800" s="33" t="s">
        <v>519</v>
      </c>
      <c r="L1800" s="33" t="s">
        <v>520</v>
      </c>
      <c r="M1800" s="33" t="s">
        <v>21</v>
      </c>
      <c r="N1800" s="33" t="s">
        <v>32710</v>
      </c>
      <c r="O1800" s="33" t="s">
        <v>372</v>
      </c>
      <c r="P1800" s="33" t="s">
        <v>30089</v>
      </c>
      <c r="Q1800" s="42" t="s">
        <v>32711</v>
      </c>
      <c r="R1800" s="33" t="s">
        <v>23</v>
      </c>
      <c r="S1800" s="33" t="s">
        <v>22</v>
      </c>
      <c r="T1800" s="33" t="s">
        <v>26774</v>
      </c>
      <c r="U1800" s="33" t="s">
        <v>26570</v>
      </c>
      <c r="V1800" s="33" t="s">
        <v>26574</v>
      </c>
      <c r="W1800" s="33" t="s">
        <v>94</v>
      </c>
      <c r="X1800" s="33">
        <v>3678</v>
      </c>
      <c r="Z1800" s="33" t="s">
        <v>42966</v>
      </c>
      <c r="AA1800" s="33">
        <v>5865</v>
      </c>
    </row>
    <row r="1801" spans="1:27" ht="12" customHeight="1" x14ac:dyDescent="0.15">
      <c r="A1801" s="33" t="s">
        <v>32712</v>
      </c>
      <c r="B1801" s="33">
        <v>37</v>
      </c>
      <c r="C1801" s="33" t="s">
        <v>14</v>
      </c>
      <c r="D1801" s="33" t="s">
        <v>31</v>
      </c>
      <c r="E1801" s="42" t="s">
        <v>32713</v>
      </c>
      <c r="F1801" s="67">
        <v>43228</v>
      </c>
      <c r="G1801" s="33" t="s">
        <v>32714</v>
      </c>
      <c r="H1801" s="33" t="s">
        <v>32715</v>
      </c>
      <c r="I1801" s="33" t="s">
        <v>225</v>
      </c>
      <c r="J1801" s="33">
        <v>24340</v>
      </c>
      <c r="K1801" s="33" t="s">
        <v>107</v>
      </c>
      <c r="L1801" s="33" t="s">
        <v>108</v>
      </c>
      <c r="M1801" s="33" t="s">
        <v>21</v>
      </c>
      <c r="N1801" s="33" t="s">
        <v>32716</v>
      </c>
      <c r="O1801" s="33" t="s">
        <v>372</v>
      </c>
      <c r="P1801" s="33" t="s">
        <v>30089</v>
      </c>
      <c r="Q1801" s="42" t="s">
        <v>32717</v>
      </c>
      <c r="R1801" s="33" t="s">
        <v>94</v>
      </c>
      <c r="S1801" s="33" t="s">
        <v>12</v>
      </c>
      <c r="T1801" s="33" t="s">
        <v>29425</v>
      </c>
      <c r="U1801" s="33" t="s">
        <v>26570</v>
      </c>
      <c r="V1801" s="33" t="s">
        <v>19228</v>
      </c>
      <c r="W1801" s="33" t="s">
        <v>94</v>
      </c>
      <c r="X1801" s="33">
        <v>3679</v>
      </c>
      <c r="Z1801" s="33" t="s">
        <v>42967</v>
      </c>
      <c r="AA1801" s="33">
        <v>5867</v>
      </c>
    </row>
    <row r="1802" spans="1:27" ht="12" customHeight="1" x14ac:dyDescent="0.15">
      <c r="A1802" s="33" t="s">
        <v>32718</v>
      </c>
      <c r="B1802" s="33">
        <v>65</v>
      </c>
      <c r="C1802" s="33" t="s">
        <v>14</v>
      </c>
      <c r="D1802" s="33" t="s">
        <v>31</v>
      </c>
      <c r="E1802" s="42" t="s">
        <v>32719</v>
      </c>
      <c r="F1802" s="67">
        <v>43228</v>
      </c>
      <c r="G1802" s="33" t="s">
        <v>32720</v>
      </c>
      <c r="H1802" s="33" t="s">
        <v>1397</v>
      </c>
      <c r="I1802" s="33" t="s">
        <v>376</v>
      </c>
      <c r="J1802" s="33">
        <v>17601</v>
      </c>
      <c r="K1802" s="33" t="s">
        <v>1397</v>
      </c>
      <c r="L1802" s="33" t="s">
        <v>32721</v>
      </c>
      <c r="M1802" s="33" t="s">
        <v>21</v>
      </c>
      <c r="N1802" s="33" t="s">
        <v>32722</v>
      </c>
      <c r="O1802" s="33" t="s">
        <v>372</v>
      </c>
      <c r="P1802" s="33" t="s">
        <v>30089</v>
      </c>
      <c r="Q1802" s="42" t="s">
        <v>32723</v>
      </c>
      <c r="R1802" s="33" t="s">
        <v>94</v>
      </c>
      <c r="S1802" s="33" t="s">
        <v>22</v>
      </c>
      <c r="T1802" s="33" t="s">
        <v>26781</v>
      </c>
      <c r="U1802" s="33" t="s">
        <v>26572</v>
      </c>
      <c r="V1802" s="33" t="s">
        <v>26573</v>
      </c>
      <c r="W1802" s="33" t="s">
        <v>94</v>
      </c>
      <c r="X1802" s="33">
        <v>3677</v>
      </c>
      <c r="Z1802" s="33" t="s">
        <v>42968</v>
      </c>
      <c r="AA1802" s="33">
        <v>5863</v>
      </c>
    </row>
    <row r="1803" spans="1:27" ht="12" customHeight="1" x14ac:dyDescent="0.15">
      <c r="A1803" s="33" t="s">
        <v>32724</v>
      </c>
      <c r="B1803" s="33">
        <v>23</v>
      </c>
      <c r="C1803" s="33" t="s">
        <v>14</v>
      </c>
      <c r="D1803" s="33" t="s">
        <v>24</v>
      </c>
      <c r="E1803" s="42"/>
      <c r="F1803" s="67">
        <v>43228</v>
      </c>
      <c r="G1803" s="33" t="s">
        <v>32725</v>
      </c>
      <c r="H1803" s="33" t="s">
        <v>1337</v>
      </c>
      <c r="I1803" s="33" t="s">
        <v>112</v>
      </c>
      <c r="J1803" s="33">
        <v>85210</v>
      </c>
      <c r="K1803" s="33" t="s">
        <v>585</v>
      </c>
      <c r="L1803" s="33" t="s">
        <v>17585</v>
      </c>
      <c r="M1803" s="33" t="s">
        <v>21</v>
      </c>
      <c r="N1803" s="33" t="s">
        <v>32726</v>
      </c>
      <c r="O1803" s="33" t="s">
        <v>372</v>
      </c>
      <c r="P1803" s="33" t="s">
        <v>30089</v>
      </c>
      <c r="Q1803" s="42" t="s">
        <v>32727</v>
      </c>
      <c r="R1803" s="33" t="s">
        <v>94</v>
      </c>
      <c r="S1803" s="33" t="s">
        <v>22</v>
      </c>
      <c r="T1803" s="33" t="s">
        <v>26781</v>
      </c>
      <c r="U1803" s="33" t="s">
        <v>26572</v>
      </c>
      <c r="V1803" s="33" t="s">
        <v>26573</v>
      </c>
      <c r="Z1803" s="33" t="s">
        <v>42966</v>
      </c>
      <c r="AA1803" s="33">
        <v>5864</v>
      </c>
    </row>
    <row r="1804" spans="1:27" ht="12" customHeight="1" x14ac:dyDescent="0.15">
      <c r="A1804" s="33" t="s">
        <v>32728</v>
      </c>
      <c r="B1804" s="33">
        <v>45</v>
      </c>
      <c r="C1804" s="33" t="s">
        <v>14</v>
      </c>
      <c r="D1804" s="33" t="s">
        <v>42</v>
      </c>
      <c r="E1804" s="42" t="s">
        <v>32729</v>
      </c>
      <c r="F1804" s="67">
        <v>43228</v>
      </c>
      <c r="G1804" s="33" t="s">
        <v>32730</v>
      </c>
      <c r="H1804" s="33" t="s">
        <v>1592</v>
      </c>
      <c r="I1804" s="33" t="s">
        <v>192</v>
      </c>
      <c r="J1804" s="33">
        <v>80634</v>
      </c>
      <c r="K1804" s="33" t="s">
        <v>1594</v>
      </c>
      <c r="L1804" s="33" t="s">
        <v>1595</v>
      </c>
      <c r="M1804" s="33" t="s">
        <v>21</v>
      </c>
      <c r="N1804" s="33" t="s">
        <v>32731</v>
      </c>
      <c r="O1804" s="33" t="s">
        <v>372</v>
      </c>
      <c r="P1804" s="33" t="s">
        <v>30089</v>
      </c>
      <c r="Q1804" s="42" t="s">
        <v>32732</v>
      </c>
      <c r="R1804" s="33" t="s">
        <v>94</v>
      </c>
      <c r="S1804" s="33" t="s">
        <v>22</v>
      </c>
      <c r="T1804" s="33" t="s">
        <v>26774</v>
      </c>
      <c r="U1804" s="33" t="s">
        <v>26575</v>
      </c>
      <c r="V1804" s="33" t="s">
        <v>26573</v>
      </c>
      <c r="X1804" s="33">
        <v>4274</v>
      </c>
      <c r="Z1804" s="33" t="s">
        <v>42968</v>
      </c>
      <c r="AA1804" s="33">
        <v>5866</v>
      </c>
    </row>
    <row r="1805" spans="1:27" ht="12" customHeight="1" x14ac:dyDescent="0.15">
      <c r="A1805" s="33" t="s">
        <v>32756</v>
      </c>
      <c r="B1805" s="33">
        <v>48</v>
      </c>
      <c r="C1805" s="33" t="s">
        <v>14</v>
      </c>
      <c r="D1805" s="33" t="s">
        <v>31</v>
      </c>
      <c r="E1805" s="42" t="s">
        <v>32757</v>
      </c>
      <c r="F1805" s="67">
        <v>43227</v>
      </c>
      <c r="G1805" s="33" t="s">
        <v>33127</v>
      </c>
      <c r="H1805" s="33" t="s">
        <v>32758</v>
      </c>
      <c r="I1805" s="33" t="s">
        <v>918</v>
      </c>
      <c r="J1805" s="33">
        <v>72937</v>
      </c>
      <c r="K1805" s="33" t="s">
        <v>7331</v>
      </c>
      <c r="L1805" s="33" t="s">
        <v>36813</v>
      </c>
      <c r="M1805" s="33" t="s">
        <v>21</v>
      </c>
      <c r="N1805" s="33" t="s">
        <v>32759</v>
      </c>
      <c r="O1805" s="33" t="s">
        <v>372</v>
      </c>
      <c r="P1805" s="33" t="s">
        <v>30089</v>
      </c>
      <c r="Q1805" s="42" t="s">
        <v>32760</v>
      </c>
      <c r="R1805" s="33" t="s">
        <v>94</v>
      </c>
      <c r="S1805" s="33" t="s">
        <v>22</v>
      </c>
      <c r="T1805" s="33" t="s">
        <v>26781</v>
      </c>
      <c r="U1805" s="33" t="s">
        <v>26572</v>
      </c>
      <c r="V1805" s="33" t="s">
        <v>26573</v>
      </c>
      <c r="X1805" s="33">
        <v>3748</v>
      </c>
      <c r="Z1805" s="33" t="s">
        <v>42967</v>
      </c>
      <c r="AA1805" s="33">
        <v>5861</v>
      </c>
    </row>
    <row r="1806" spans="1:27" ht="12" customHeight="1" x14ac:dyDescent="0.15">
      <c r="A1806" s="33" t="s">
        <v>36984</v>
      </c>
      <c r="B1806" s="33">
        <v>49</v>
      </c>
      <c r="C1806" s="33" t="s">
        <v>103</v>
      </c>
      <c r="D1806" s="33" t="s">
        <v>42</v>
      </c>
      <c r="E1806" s="42" t="s">
        <v>32761</v>
      </c>
      <c r="F1806" s="67">
        <v>43227</v>
      </c>
      <c r="G1806" s="33" t="s">
        <v>33128</v>
      </c>
      <c r="H1806" s="33" t="s">
        <v>12195</v>
      </c>
      <c r="I1806" s="33" t="s">
        <v>112</v>
      </c>
      <c r="J1806" s="33">
        <v>85364</v>
      </c>
      <c r="K1806" s="33" t="s">
        <v>12195</v>
      </c>
      <c r="L1806" s="33" t="s">
        <v>12197</v>
      </c>
      <c r="M1806" s="33" t="s">
        <v>21</v>
      </c>
      <c r="N1806" s="33" t="s">
        <v>32762</v>
      </c>
      <c r="O1806" s="33" t="s">
        <v>372</v>
      </c>
      <c r="P1806" s="33" t="s">
        <v>30089</v>
      </c>
      <c r="Q1806" s="42" t="s">
        <v>32763</v>
      </c>
      <c r="R1806" s="33" t="s">
        <v>94</v>
      </c>
      <c r="S1806" s="33" t="s">
        <v>22</v>
      </c>
      <c r="T1806" s="33" t="s">
        <v>26781</v>
      </c>
      <c r="U1806" s="33" t="s">
        <v>26575</v>
      </c>
      <c r="V1806" s="33" t="s">
        <v>26573</v>
      </c>
      <c r="X1806" s="33">
        <v>3747</v>
      </c>
      <c r="Z1806" s="33" t="s">
        <v>42968</v>
      </c>
      <c r="AA1806" s="33">
        <v>5860</v>
      </c>
    </row>
    <row r="1807" spans="1:27" ht="12" customHeight="1" x14ac:dyDescent="0.15">
      <c r="A1807" s="33" t="s">
        <v>32733</v>
      </c>
      <c r="B1807" s="33">
        <v>55</v>
      </c>
      <c r="C1807" s="33" t="s">
        <v>103</v>
      </c>
      <c r="D1807" s="33" t="s">
        <v>31</v>
      </c>
      <c r="E1807" s="42"/>
      <c r="F1807" s="67">
        <v>43227</v>
      </c>
      <c r="G1807" s="33" t="s">
        <v>32734</v>
      </c>
      <c r="H1807" s="33" t="s">
        <v>3237</v>
      </c>
      <c r="I1807" s="33" t="s">
        <v>160</v>
      </c>
      <c r="J1807" s="33">
        <v>30161</v>
      </c>
      <c r="K1807" s="33" t="s">
        <v>3239</v>
      </c>
      <c r="L1807" s="33" t="s">
        <v>32735</v>
      </c>
      <c r="M1807" s="33" t="s">
        <v>21</v>
      </c>
      <c r="N1807" s="33" t="s">
        <v>32736</v>
      </c>
      <c r="O1807" s="33" t="s">
        <v>372</v>
      </c>
      <c r="P1807" s="33" t="s">
        <v>30089</v>
      </c>
      <c r="Q1807" s="42" t="s">
        <v>32737</v>
      </c>
      <c r="R1807" s="33" t="s">
        <v>94</v>
      </c>
      <c r="S1807" s="33" t="s">
        <v>22</v>
      </c>
      <c r="T1807" s="33" t="s">
        <v>26781</v>
      </c>
      <c r="U1807" s="33" t="s">
        <v>26572</v>
      </c>
      <c r="V1807" s="33" t="s">
        <v>26571</v>
      </c>
      <c r="W1807" s="33" t="s">
        <v>94</v>
      </c>
      <c r="X1807" s="33">
        <v>3675</v>
      </c>
      <c r="Z1807" s="33" t="s">
        <v>42968</v>
      </c>
      <c r="AA1807" s="33">
        <v>5857</v>
      </c>
    </row>
    <row r="1808" spans="1:27" ht="12" customHeight="1" x14ac:dyDescent="0.15">
      <c r="A1808" s="33" t="s">
        <v>32751</v>
      </c>
      <c r="B1808" s="33">
        <v>63</v>
      </c>
      <c r="C1808" s="33" t="s">
        <v>14</v>
      </c>
      <c r="D1808" s="33" t="s">
        <v>24</v>
      </c>
      <c r="E1808" s="42"/>
      <c r="F1808" s="67">
        <v>43227</v>
      </c>
      <c r="G1808" s="33" t="s">
        <v>32752</v>
      </c>
      <c r="H1808" s="33" t="s">
        <v>20547</v>
      </c>
      <c r="I1808" s="33" t="s">
        <v>26</v>
      </c>
      <c r="J1808" s="33">
        <v>29832</v>
      </c>
      <c r="K1808" s="33" t="s">
        <v>10587</v>
      </c>
      <c r="L1808" s="33" t="s">
        <v>32753</v>
      </c>
      <c r="M1808" s="33" t="s">
        <v>21</v>
      </c>
      <c r="N1808" s="33" t="s">
        <v>32754</v>
      </c>
      <c r="O1808" s="33" t="s">
        <v>372</v>
      </c>
      <c r="P1808" s="33" t="s">
        <v>30089</v>
      </c>
      <c r="Q1808" s="42" t="s">
        <v>32755</v>
      </c>
      <c r="S1808" s="33" t="s">
        <v>22</v>
      </c>
      <c r="T1808" s="33" t="s">
        <v>26781</v>
      </c>
      <c r="U1808" s="33" t="s">
        <v>26572</v>
      </c>
      <c r="V1808" s="33" t="s">
        <v>26571</v>
      </c>
      <c r="W1808" s="33" t="s">
        <v>94</v>
      </c>
      <c r="X1808" s="33">
        <v>3676</v>
      </c>
      <c r="Z1808" s="33" t="s">
        <v>42967</v>
      </c>
      <c r="AA1808" s="33">
        <v>5858</v>
      </c>
    </row>
    <row r="1809" spans="1:27" ht="12" customHeight="1" x14ac:dyDescent="0.15">
      <c r="A1809" s="33" t="s">
        <v>32738</v>
      </c>
      <c r="B1809" s="33">
        <v>32</v>
      </c>
      <c r="C1809" s="33" t="s">
        <v>14</v>
      </c>
      <c r="D1809" s="33" t="s">
        <v>42</v>
      </c>
      <c r="E1809" s="42" t="s">
        <v>32739</v>
      </c>
      <c r="F1809" s="67">
        <v>43227</v>
      </c>
      <c r="G1809" s="33" t="s">
        <v>32740</v>
      </c>
      <c r="H1809" s="33" t="s">
        <v>997</v>
      </c>
      <c r="I1809" s="33" t="s">
        <v>56</v>
      </c>
      <c r="J1809" s="33">
        <v>32803</v>
      </c>
      <c r="K1809" s="33" t="s">
        <v>998</v>
      </c>
      <c r="L1809" s="33" t="s">
        <v>999</v>
      </c>
      <c r="M1809" s="33" t="s">
        <v>21</v>
      </c>
      <c r="N1809" s="33" t="s">
        <v>32741</v>
      </c>
      <c r="O1809" s="33" t="s">
        <v>32706</v>
      </c>
      <c r="P1809" s="33" t="s">
        <v>30089</v>
      </c>
      <c r="Q1809" s="42" t="s">
        <v>32742</v>
      </c>
      <c r="R1809" s="33" t="s">
        <v>94</v>
      </c>
      <c r="S1809" s="33" t="s">
        <v>351</v>
      </c>
      <c r="T1809" s="33" t="s">
        <v>26867</v>
      </c>
      <c r="U1809" s="33" t="s">
        <v>26572</v>
      </c>
      <c r="V1809" s="33" t="s">
        <v>26571</v>
      </c>
      <c r="W1809" s="33" t="s">
        <v>94</v>
      </c>
      <c r="X1809" s="33">
        <v>3672</v>
      </c>
      <c r="Z1809" s="33" t="s">
        <v>42968</v>
      </c>
      <c r="AA1809" s="33">
        <v>5862</v>
      </c>
    </row>
    <row r="1810" spans="1:27" ht="12" customHeight="1" x14ac:dyDescent="0.15">
      <c r="A1810" s="33" t="s">
        <v>32743</v>
      </c>
      <c r="B1810" s="33">
        <v>26</v>
      </c>
      <c r="C1810" s="33" t="s">
        <v>14</v>
      </c>
      <c r="D1810" s="33" t="s">
        <v>31</v>
      </c>
      <c r="E1810" s="42"/>
      <c r="F1810" s="67">
        <v>43227</v>
      </c>
      <c r="G1810" s="33" t="s">
        <v>33126</v>
      </c>
      <c r="H1810" s="33" t="s">
        <v>2307</v>
      </c>
      <c r="I1810" s="33" t="s">
        <v>367</v>
      </c>
      <c r="J1810" s="33">
        <v>74145</v>
      </c>
      <c r="K1810" s="33" t="s">
        <v>2307</v>
      </c>
      <c r="L1810" s="33" t="s">
        <v>3108</v>
      </c>
      <c r="M1810" s="33" t="s">
        <v>21</v>
      </c>
      <c r="N1810" s="33" t="s">
        <v>32744</v>
      </c>
      <c r="O1810" s="33" t="s">
        <v>372</v>
      </c>
      <c r="P1810" s="33" t="s">
        <v>30089</v>
      </c>
      <c r="Q1810" s="42" t="s">
        <v>32745</v>
      </c>
      <c r="R1810" s="33" t="s">
        <v>94</v>
      </c>
      <c r="S1810" s="33" t="s">
        <v>22</v>
      </c>
      <c r="T1810" s="33" t="s">
        <v>26781</v>
      </c>
      <c r="U1810" s="33" t="s">
        <v>26570</v>
      </c>
      <c r="V1810" s="33" t="s">
        <v>26573</v>
      </c>
      <c r="W1810" s="33" t="s">
        <v>512</v>
      </c>
      <c r="X1810" s="33">
        <v>3674</v>
      </c>
      <c r="Z1810" s="33" t="s">
        <v>42968</v>
      </c>
      <c r="AA1810" s="33">
        <v>5856</v>
      </c>
    </row>
    <row r="1811" spans="1:27" ht="12" customHeight="1" x14ac:dyDescent="0.15">
      <c r="A1811" s="33" t="s">
        <v>32746</v>
      </c>
      <c r="B1811" s="33">
        <v>50</v>
      </c>
      <c r="C1811" s="33" t="s">
        <v>14</v>
      </c>
      <c r="D1811" s="33" t="s">
        <v>31</v>
      </c>
      <c r="E1811" s="42" t="s">
        <v>32747</v>
      </c>
      <c r="F1811" s="67">
        <v>43227</v>
      </c>
      <c r="G1811" s="33" t="s">
        <v>32748</v>
      </c>
      <c r="H1811" s="33" t="s">
        <v>27448</v>
      </c>
      <c r="I1811" s="33" t="s">
        <v>409</v>
      </c>
      <c r="J1811" s="33">
        <v>54915</v>
      </c>
      <c r="K1811" s="33" t="s">
        <v>27449</v>
      </c>
      <c r="L1811" s="33" t="s">
        <v>27450</v>
      </c>
      <c r="M1811" s="33" t="s">
        <v>21</v>
      </c>
      <c r="N1811" s="33" t="s">
        <v>32749</v>
      </c>
      <c r="O1811" s="33" t="s">
        <v>372</v>
      </c>
      <c r="P1811" s="33" t="s">
        <v>30089</v>
      </c>
      <c r="Q1811" s="42" t="s">
        <v>32750</v>
      </c>
      <c r="R1811" s="33" t="s">
        <v>94</v>
      </c>
      <c r="S1811" s="33" t="s">
        <v>22</v>
      </c>
      <c r="T1811" s="33" t="s">
        <v>26781</v>
      </c>
      <c r="U1811" s="33" t="s">
        <v>26570</v>
      </c>
      <c r="V1811" s="33" t="s">
        <v>26573</v>
      </c>
      <c r="W1811" s="33" t="s">
        <v>94</v>
      </c>
      <c r="X1811" s="33">
        <v>3680</v>
      </c>
      <c r="Z1811" s="33" t="s">
        <v>42968</v>
      </c>
      <c r="AA1811" s="33">
        <v>5859</v>
      </c>
    </row>
    <row r="1812" spans="1:27" ht="12" customHeight="1" x14ac:dyDescent="0.15">
      <c r="A1812" s="33" t="s">
        <v>32764</v>
      </c>
      <c r="B1812" s="33">
        <v>38</v>
      </c>
      <c r="C1812" s="33" t="s">
        <v>14</v>
      </c>
      <c r="D1812" s="33" t="s">
        <v>31</v>
      </c>
      <c r="E1812" s="42"/>
      <c r="F1812" s="67">
        <v>43226</v>
      </c>
      <c r="G1812" s="33" t="s">
        <v>32765</v>
      </c>
      <c r="H1812" s="33" t="s">
        <v>1233</v>
      </c>
      <c r="I1812" s="33" t="s">
        <v>1020</v>
      </c>
      <c r="J1812" s="33">
        <v>82601</v>
      </c>
      <c r="K1812" s="33" t="s">
        <v>1234</v>
      </c>
      <c r="L1812" s="33" t="s">
        <v>1235</v>
      </c>
      <c r="M1812" s="33" t="s">
        <v>21</v>
      </c>
      <c r="N1812" s="33" t="s">
        <v>32766</v>
      </c>
      <c r="O1812" s="33" t="s">
        <v>372</v>
      </c>
      <c r="P1812" s="33" t="s">
        <v>30089</v>
      </c>
      <c r="Q1812" s="42" t="s">
        <v>32767</v>
      </c>
      <c r="R1812" s="33" t="s">
        <v>94</v>
      </c>
      <c r="S1812" s="33" t="s">
        <v>22</v>
      </c>
      <c r="T1812" s="33" t="s">
        <v>26781</v>
      </c>
      <c r="U1812" s="33" t="s">
        <v>26572</v>
      </c>
      <c r="V1812" s="33" t="s">
        <v>26573</v>
      </c>
      <c r="W1812" s="33" t="s">
        <v>94</v>
      </c>
      <c r="X1812" s="33">
        <v>3673</v>
      </c>
      <c r="Z1812" s="33" t="s">
        <v>42968</v>
      </c>
      <c r="AA1812" s="33">
        <v>5854</v>
      </c>
    </row>
    <row r="1813" spans="1:27" ht="12" customHeight="1" x14ac:dyDescent="0.15">
      <c r="A1813" s="33" t="s">
        <v>32768</v>
      </c>
      <c r="B1813" s="33">
        <v>39</v>
      </c>
      <c r="C1813" s="33" t="s">
        <v>14</v>
      </c>
      <c r="D1813" s="33" t="s">
        <v>31</v>
      </c>
      <c r="E1813" s="42"/>
      <c r="F1813" s="67">
        <v>43226</v>
      </c>
      <c r="G1813" s="33" t="s">
        <v>32769</v>
      </c>
      <c r="H1813" s="33" t="s">
        <v>8294</v>
      </c>
      <c r="I1813" s="33" t="s">
        <v>367</v>
      </c>
      <c r="J1813" s="33">
        <v>74868</v>
      </c>
      <c r="K1813" s="33" t="s">
        <v>8294</v>
      </c>
      <c r="L1813" s="33" t="s">
        <v>32770</v>
      </c>
      <c r="M1813" s="33" t="s">
        <v>21</v>
      </c>
      <c r="N1813" s="33" t="s">
        <v>32771</v>
      </c>
      <c r="O1813" s="33" t="s">
        <v>372</v>
      </c>
      <c r="P1813" s="33" t="s">
        <v>30089</v>
      </c>
      <c r="Q1813" s="42" t="s">
        <v>32772</v>
      </c>
      <c r="R1813" s="33" t="s">
        <v>94</v>
      </c>
      <c r="S1813" s="33" t="s">
        <v>22</v>
      </c>
      <c r="T1813" s="33" t="s">
        <v>26781</v>
      </c>
      <c r="U1813" s="33" t="s">
        <v>26572</v>
      </c>
      <c r="V1813" s="33" t="s">
        <v>26571</v>
      </c>
      <c r="W1813" s="33" t="s">
        <v>94</v>
      </c>
      <c r="X1813" s="33">
        <v>3668</v>
      </c>
      <c r="Z1813" s="33" t="s">
        <v>42967</v>
      </c>
      <c r="AA1813" s="33">
        <v>5853</v>
      </c>
    </row>
    <row r="1814" spans="1:27" ht="12" customHeight="1" x14ac:dyDescent="0.15">
      <c r="A1814" s="33" t="s">
        <v>32777</v>
      </c>
      <c r="B1814" s="33">
        <v>73</v>
      </c>
      <c r="C1814" s="33" t="s">
        <v>14</v>
      </c>
      <c r="D1814" s="33" t="s">
        <v>31</v>
      </c>
      <c r="E1814" s="42"/>
      <c r="F1814" s="67">
        <v>43226</v>
      </c>
      <c r="H1814" s="33" t="s">
        <v>7963</v>
      </c>
      <c r="I1814" s="33" t="s">
        <v>63</v>
      </c>
      <c r="J1814" s="33">
        <v>43736</v>
      </c>
      <c r="K1814" s="33" t="s">
        <v>32778</v>
      </c>
      <c r="L1814" s="33" t="s">
        <v>36468</v>
      </c>
      <c r="M1814" s="33" t="s">
        <v>21</v>
      </c>
      <c r="N1814" s="33" t="s">
        <v>36469</v>
      </c>
      <c r="O1814" s="33" t="s">
        <v>372</v>
      </c>
      <c r="P1814" s="33" t="s">
        <v>30089</v>
      </c>
      <c r="Q1814" s="42" t="s">
        <v>32779</v>
      </c>
      <c r="R1814" s="33" t="s">
        <v>512</v>
      </c>
      <c r="S1814" s="33" t="s">
        <v>22</v>
      </c>
      <c r="T1814" s="33" t="s">
        <v>26781</v>
      </c>
      <c r="U1814" s="33" t="s">
        <v>26572</v>
      </c>
      <c r="V1814" s="33" t="s">
        <v>26573</v>
      </c>
      <c r="W1814" s="33" t="s">
        <v>94</v>
      </c>
      <c r="X1814" s="33">
        <v>3667</v>
      </c>
      <c r="Z1814" s="33" t="e">
        <v>#N/A</v>
      </c>
      <c r="AA1814" s="33">
        <v>5852</v>
      </c>
    </row>
    <row r="1815" spans="1:27" ht="12" customHeight="1" x14ac:dyDescent="0.15">
      <c r="A1815" s="33" t="s">
        <v>32773</v>
      </c>
      <c r="B1815" s="33">
        <v>32</v>
      </c>
      <c r="C1815" s="33" t="s">
        <v>14</v>
      </c>
      <c r="D1815" s="33" t="s">
        <v>79</v>
      </c>
      <c r="E1815" s="42"/>
      <c r="F1815" s="67">
        <v>43226</v>
      </c>
      <c r="G1815" s="33" t="s">
        <v>32774</v>
      </c>
      <c r="H1815" s="33" t="s">
        <v>7481</v>
      </c>
      <c r="I1815" s="33" t="s">
        <v>160</v>
      </c>
      <c r="J1815" s="33">
        <v>30344</v>
      </c>
      <c r="K1815" s="33" t="s">
        <v>1454</v>
      </c>
      <c r="L1815" s="33" t="s">
        <v>32775</v>
      </c>
      <c r="M1815" s="33" t="s">
        <v>21</v>
      </c>
      <c r="N1815" s="33" t="s">
        <v>36467</v>
      </c>
      <c r="O1815" s="33" t="s">
        <v>372</v>
      </c>
      <c r="P1815" s="33" t="s">
        <v>30089</v>
      </c>
      <c r="Q1815" s="42" t="s">
        <v>32776</v>
      </c>
      <c r="R1815" s="33" t="s">
        <v>94</v>
      </c>
      <c r="S1815" s="33" t="s">
        <v>22</v>
      </c>
      <c r="T1815" s="33" t="s">
        <v>363</v>
      </c>
      <c r="U1815" s="33" t="s">
        <v>26572</v>
      </c>
      <c r="V1815" s="33" t="s">
        <v>26571</v>
      </c>
      <c r="W1815" s="33" t="s">
        <v>94</v>
      </c>
      <c r="X1815" s="33">
        <v>3669</v>
      </c>
      <c r="Z1815" s="33" t="s">
        <v>42968</v>
      </c>
      <c r="AA1815" s="33">
        <v>5855</v>
      </c>
    </row>
    <row r="1816" spans="1:27" ht="12" customHeight="1" x14ac:dyDescent="0.15">
      <c r="A1816" s="33" t="s">
        <v>32780</v>
      </c>
      <c r="B1816" s="33">
        <v>51</v>
      </c>
      <c r="C1816" s="33" t="s">
        <v>14</v>
      </c>
      <c r="D1816" s="33" t="s">
        <v>24</v>
      </c>
      <c r="E1816" s="42"/>
      <c r="F1816" s="67">
        <v>43225</v>
      </c>
      <c r="G1816" s="33" t="s">
        <v>32781</v>
      </c>
      <c r="H1816" s="33" t="s">
        <v>3585</v>
      </c>
      <c r="I1816" s="33" t="s">
        <v>112</v>
      </c>
      <c r="J1816" s="33">
        <v>85281</v>
      </c>
      <c r="K1816" s="33" t="s">
        <v>585</v>
      </c>
      <c r="L1816" s="33" t="s">
        <v>4494</v>
      </c>
      <c r="M1816" s="33" t="s">
        <v>21</v>
      </c>
      <c r="N1816" s="33" t="s">
        <v>32782</v>
      </c>
      <c r="O1816" s="33" t="s">
        <v>372</v>
      </c>
      <c r="P1816" s="33" t="s">
        <v>30089</v>
      </c>
      <c r="Q1816" s="42" t="s">
        <v>32783</v>
      </c>
      <c r="R1816" s="33" t="s">
        <v>94</v>
      </c>
      <c r="S1816" s="33" t="s">
        <v>22</v>
      </c>
      <c r="T1816" s="33" t="s">
        <v>26781</v>
      </c>
      <c r="U1816" s="33" t="s">
        <v>26572</v>
      </c>
      <c r="V1816" s="33" t="s">
        <v>26574</v>
      </c>
      <c r="W1816" s="33" t="s">
        <v>94</v>
      </c>
      <c r="X1816" s="33">
        <v>3671</v>
      </c>
      <c r="Z1816" s="33" t="s">
        <v>42966</v>
      </c>
      <c r="AA1816" s="33">
        <v>5849</v>
      </c>
    </row>
    <row r="1817" spans="1:27" ht="12" customHeight="1" x14ac:dyDescent="0.15">
      <c r="A1817" s="33" t="s">
        <v>32789</v>
      </c>
      <c r="B1817" s="33">
        <v>59</v>
      </c>
      <c r="C1817" s="33" t="s">
        <v>14</v>
      </c>
      <c r="D1817" s="33" t="s">
        <v>24</v>
      </c>
      <c r="E1817" s="42"/>
      <c r="F1817" s="67">
        <v>43225</v>
      </c>
      <c r="G1817" s="33" t="s">
        <v>33129</v>
      </c>
      <c r="H1817" s="33" t="s">
        <v>532</v>
      </c>
      <c r="I1817" s="33" t="s">
        <v>67</v>
      </c>
      <c r="J1817" s="33">
        <v>78254</v>
      </c>
      <c r="K1817" s="33" t="s">
        <v>533</v>
      </c>
      <c r="L1817" s="33" t="s">
        <v>542</v>
      </c>
      <c r="M1817" s="33" t="s">
        <v>21</v>
      </c>
      <c r="N1817" s="33" t="s">
        <v>32790</v>
      </c>
      <c r="O1817" s="33" t="s">
        <v>372</v>
      </c>
      <c r="P1817" s="33" t="s">
        <v>30089</v>
      </c>
      <c r="Q1817" s="42" t="s">
        <v>32791</v>
      </c>
      <c r="R1817" s="33" t="s">
        <v>94</v>
      </c>
      <c r="S1817" s="33" t="s">
        <v>22</v>
      </c>
      <c r="T1817" s="33" t="s">
        <v>26781</v>
      </c>
      <c r="U1817" s="33" t="s">
        <v>26572</v>
      </c>
      <c r="V1817" s="33" t="s">
        <v>26574</v>
      </c>
      <c r="X1817" s="33">
        <v>3743</v>
      </c>
      <c r="Z1817" s="33" t="s">
        <v>42968</v>
      </c>
      <c r="AA1817" s="33">
        <v>5850</v>
      </c>
    </row>
    <row r="1818" spans="1:27" ht="12" customHeight="1" x14ac:dyDescent="0.15">
      <c r="A1818" s="33" t="s">
        <v>36983</v>
      </c>
      <c r="B1818" s="33">
        <v>21</v>
      </c>
      <c r="C1818" s="33" t="s">
        <v>103</v>
      </c>
      <c r="D1818" s="33" t="s">
        <v>31</v>
      </c>
      <c r="E1818" s="33" t="s">
        <v>37005</v>
      </c>
      <c r="F1818" s="67">
        <v>43225</v>
      </c>
      <c r="G1818" s="10" t="s">
        <v>37010</v>
      </c>
      <c r="H1818" s="10" t="s">
        <v>3508</v>
      </c>
      <c r="I1818" s="33" t="s">
        <v>402</v>
      </c>
      <c r="J1818" s="65">
        <v>65605</v>
      </c>
      <c r="K1818" s="10" t="s">
        <v>1924</v>
      </c>
      <c r="L1818" s="10" t="s">
        <v>3511</v>
      </c>
      <c r="M1818" s="33" t="s">
        <v>21</v>
      </c>
      <c r="N1818" s="10" t="s">
        <v>37042</v>
      </c>
      <c r="O1818" s="10" t="s">
        <v>37043</v>
      </c>
      <c r="P1818" s="33" t="s">
        <v>30089</v>
      </c>
      <c r="Q1818" s="64" t="s">
        <v>37044</v>
      </c>
      <c r="R1818" s="33" t="s">
        <v>94</v>
      </c>
      <c r="S1818" s="33" t="s">
        <v>29</v>
      </c>
      <c r="T1818" s="33" t="s">
        <v>41840</v>
      </c>
      <c r="U1818" s="36" t="s">
        <v>26572</v>
      </c>
      <c r="V1818" s="36" t="s">
        <v>26571</v>
      </c>
      <c r="W1818" s="33" t="s">
        <v>94</v>
      </c>
      <c r="X1818" s="33">
        <v>3745</v>
      </c>
      <c r="Z1818" s="33" t="s">
        <v>42967</v>
      </c>
      <c r="AA1818" s="33">
        <v>5851</v>
      </c>
    </row>
    <row r="1819" spans="1:27" ht="12" customHeight="1" x14ac:dyDescent="0.15">
      <c r="A1819" s="33" t="s">
        <v>32784</v>
      </c>
      <c r="B1819" s="33">
        <v>24</v>
      </c>
      <c r="C1819" s="33" t="s">
        <v>14</v>
      </c>
      <c r="D1819" s="33" t="s">
        <v>31</v>
      </c>
      <c r="E1819" s="42" t="s">
        <v>32785</v>
      </c>
      <c r="F1819" s="67">
        <v>43225</v>
      </c>
      <c r="G1819" s="33" t="s">
        <v>32786</v>
      </c>
      <c r="H1819" s="33" t="s">
        <v>994</v>
      </c>
      <c r="I1819" s="33" t="s">
        <v>63</v>
      </c>
      <c r="J1819" s="33">
        <v>45440</v>
      </c>
      <c r="K1819" s="33" t="s">
        <v>995</v>
      </c>
      <c r="L1819" s="33" t="s">
        <v>28951</v>
      </c>
      <c r="M1819" s="33" t="s">
        <v>21</v>
      </c>
      <c r="N1819" s="33" t="s">
        <v>32787</v>
      </c>
      <c r="O1819" s="33" t="s">
        <v>372</v>
      </c>
      <c r="P1819" s="33" t="s">
        <v>30089</v>
      </c>
      <c r="Q1819" s="42" t="s">
        <v>32788</v>
      </c>
      <c r="R1819" s="33" t="s">
        <v>94</v>
      </c>
      <c r="S1819" s="33" t="s">
        <v>22</v>
      </c>
      <c r="T1819" s="33" t="s">
        <v>26781</v>
      </c>
      <c r="U1819" s="33" t="s">
        <v>26572</v>
      </c>
      <c r="V1819" s="33" t="s">
        <v>26573</v>
      </c>
      <c r="W1819" s="33" t="s">
        <v>94</v>
      </c>
      <c r="X1819" s="33">
        <v>3670</v>
      </c>
      <c r="Z1819" s="33" t="s">
        <v>42968</v>
      </c>
      <c r="AA1819" s="33">
        <v>5848</v>
      </c>
    </row>
    <row r="1820" spans="1:27" ht="12" customHeight="1" x14ac:dyDescent="0.15">
      <c r="A1820" s="33" t="s">
        <v>32797</v>
      </c>
      <c r="B1820" s="33">
        <v>54</v>
      </c>
      <c r="C1820" s="33" t="s">
        <v>14</v>
      </c>
      <c r="D1820" s="33" t="s">
        <v>24</v>
      </c>
      <c r="E1820" s="42"/>
      <c r="F1820" s="67">
        <v>43224</v>
      </c>
      <c r="G1820" s="33" t="s">
        <v>32798</v>
      </c>
      <c r="H1820" s="33" t="s">
        <v>32799</v>
      </c>
      <c r="I1820" s="33" t="s">
        <v>4034</v>
      </c>
      <c r="J1820" s="33">
        <v>4763</v>
      </c>
      <c r="K1820" s="33" t="s">
        <v>4036</v>
      </c>
      <c r="L1820" s="33" t="s">
        <v>27634</v>
      </c>
      <c r="M1820" s="33" t="s">
        <v>21</v>
      </c>
      <c r="N1820" s="33" t="s">
        <v>32800</v>
      </c>
      <c r="O1820" s="33" t="s">
        <v>372</v>
      </c>
      <c r="P1820" s="33" t="s">
        <v>30089</v>
      </c>
      <c r="Q1820" s="42" t="s">
        <v>32801</v>
      </c>
      <c r="R1820" s="33" t="s">
        <v>94</v>
      </c>
      <c r="S1820" s="33" t="s">
        <v>12</v>
      </c>
      <c r="T1820" s="33" t="s">
        <v>29425</v>
      </c>
      <c r="U1820" s="33" t="s">
        <v>26575</v>
      </c>
      <c r="V1820" s="33" t="s">
        <v>26573</v>
      </c>
      <c r="X1820" s="33">
        <v>3744</v>
      </c>
      <c r="Z1820" s="33" t="s">
        <v>42967</v>
      </c>
      <c r="AA1820" s="33">
        <v>5847</v>
      </c>
    </row>
    <row r="1821" spans="1:27" ht="12" customHeight="1" x14ac:dyDescent="0.15">
      <c r="A1821" s="33" t="s">
        <v>36982</v>
      </c>
      <c r="B1821" s="33">
        <v>21</v>
      </c>
      <c r="C1821" s="33" t="s">
        <v>14</v>
      </c>
      <c r="D1821" s="33" t="s">
        <v>31</v>
      </c>
      <c r="E1821" s="42" t="s">
        <v>32792</v>
      </c>
      <c r="F1821" s="67">
        <v>43224</v>
      </c>
      <c r="G1821" s="33" t="s">
        <v>32793</v>
      </c>
      <c r="H1821" s="33" t="s">
        <v>3721</v>
      </c>
      <c r="I1821" s="33" t="s">
        <v>198</v>
      </c>
      <c r="J1821" s="33">
        <v>47802</v>
      </c>
      <c r="K1821" s="33" t="s">
        <v>3722</v>
      </c>
      <c r="L1821" s="33" t="s">
        <v>32794</v>
      </c>
      <c r="M1821" s="33" t="s">
        <v>21</v>
      </c>
      <c r="N1821" s="33" t="s">
        <v>32795</v>
      </c>
      <c r="O1821" s="33" t="s">
        <v>372</v>
      </c>
      <c r="P1821" s="33" t="s">
        <v>30089</v>
      </c>
      <c r="Q1821" s="42" t="s">
        <v>32796</v>
      </c>
      <c r="R1821" s="33" t="s">
        <v>94</v>
      </c>
      <c r="S1821" s="33" t="s">
        <v>22</v>
      </c>
      <c r="T1821" s="33" t="s">
        <v>26781</v>
      </c>
      <c r="U1821" s="33" t="s">
        <v>26572</v>
      </c>
      <c r="V1821" s="33" t="s">
        <v>26573</v>
      </c>
      <c r="X1821" s="33">
        <v>3742</v>
      </c>
      <c r="Z1821" s="33" t="s">
        <v>42967</v>
      </c>
      <c r="AA1821" s="33">
        <v>5846</v>
      </c>
    </row>
    <row r="1822" spans="1:27" ht="12" customHeight="1" x14ac:dyDescent="0.15">
      <c r="A1822" s="33" t="s">
        <v>32802</v>
      </c>
      <c r="B1822" s="33">
        <v>28</v>
      </c>
      <c r="C1822" s="33" t="s">
        <v>14</v>
      </c>
      <c r="D1822" s="33" t="s">
        <v>31</v>
      </c>
      <c r="E1822" s="42"/>
      <c r="F1822" s="67">
        <v>43223</v>
      </c>
      <c r="G1822" s="33" t="s">
        <v>33130</v>
      </c>
      <c r="H1822" s="33" t="s">
        <v>32803</v>
      </c>
      <c r="I1822" s="33" t="s">
        <v>67</v>
      </c>
      <c r="J1822" s="33">
        <v>78383</v>
      </c>
      <c r="K1822" s="33" t="s">
        <v>32804</v>
      </c>
      <c r="L1822" s="33" t="s">
        <v>32805</v>
      </c>
      <c r="M1822" s="33" t="s">
        <v>21</v>
      </c>
      <c r="N1822" s="33" t="s">
        <v>32806</v>
      </c>
      <c r="O1822" s="33" t="s">
        <v>372</v>
      </c>
      <c r="P1822" s="33" t="s">
        <v>30089</v>
      </c>
      <c r="Q1822" s="42" t="s">
        <v>32807</v>
      </c>
      <c r="R1822" s="33" t="s">
        <v>512</v>
      </c>
      <c r="S1822" s="33" t="s">
        <v>22</v>
      </c>
      <c r="T1822" s="33" t="s">
        <v>26774</v>
      </c>
      <c r="U1822" s="33" t="s">
        <v>26572</v>
      </c>
      <c r="V1822" s="33" t="s">
        <v>26573</v>
      </c>
      <c r="W1822" s="33" t="s">
        <v>94</v>
      </c>
      <c r="X1822" s="33">
        <v>3666</v>
      </c>
      <c r="Z1822" s="33" t="s">
        <v>42967</v>
      </c>
      <c r="AA1822" s="33">
        <v>5844</v>
      </c>
    </row>
    <row r="1823" spans="1:27" ht="12" customHeight="1" x14ac:dyDescent="0.15">
      <c r="A1823" s="33" t="s">
        <v>32808</v>
      </c>
      <c r="B1823" s="33">
        <v>26</v>
      </c>
      <c r="C1823" s="33" t="s">
        <v>14</v>
      </c>
      <c r="D1823" s="33" t="s">
        <v>42</v>
      </c>
      <c r="E1823" s="42" t="s">
        <v>32809</v>
      </c>
      <c r="F1823" s="67">
        <v>43223</v>
      </c>
      <c r="G1823" s="33" t="s">
        <v>33131</v>
      </c>
      <c r="H1823" s="33" t="s">
        <v>32810</v>
      </c>
      <c r="I1823" s="33" t="s">
        <v>39</v>
      </c>
      <c r="J1823" s="33">
        <v>93647</v>
      </c>
      <c r="K1823" s="33" t="s">
        <v>1088</v>
      </c>
      <c r="L1823" s="33" t="s">
        <v>18266</v>
      </c>
      <c r="M1823" s="33" t="s">
        <v>21</v>
      </c>
      <c r="N1823" s="33" t="s">
        <v>32811</v>
      </c>
      <c r="O1823" s="33" t="s">
        <v>372</v>
      </c>
      <c r="P1823" s="33" t="s">
        <v>30089</v>
      </c>
      <c r="Q1823" s="42" t="s">
        <v>32812</v>
      </c>
      <c r="R1823" s="33" t="s">
        <v>512</v>
      </c>
      <c r="S1823" s="33" t="s">
        <v>22</v>
      </c>
      <c r="T1823" s="33" t="s">
        <v>26593</v>
      </c>
      <c r="U1823" s="33" t="s">
        <v>26572</v>
      </c>
      <c r="V1823" s="33" t="s">
        <v>26573</v>
      </c>
      <c r="W1823" s="33" t="s">
        <v>94</v>
      </c>
      <c r="X1823" s="33">
        <v>3664</v>
      </c>
      <c r="Z1823" s="33" t="s">
        <v>42967</v>
      </c>
      <c r="AA1823" s="33">
        <v>5845</v>
      </c>
    </row>
    <row r="1824" spans="1:27" ht="12" customHeight="1" x14ac:dyDescent="0.15">
      <c r="A1824" s="33" t="s">
        <v>32832</v>
      </c>
      <c r="B1824" s="33">
        <v>27</v>
      </c>
      <c r="C1824" s="33" t="s">
        <v>14</v>
      </c>
      <c r="D1824" s="33" t="s">
        <v>42</v>
      </c>
      <c r="E1824" s="42" t="s">
        <v>32833</v>
      </c>
      <c r="F1824" s="67">
        <v>43222</v>
      </c>
      <c r="G1824" s="33" t="s">
        <v>32834</v>
      </c>
      <c r="H1824" s="33" t="s">
        <v>401</v>
      </c>
      <c r="I1824" s="33" t="s">
        <v>337</v>
      </c>
      <c r="J1824" s="33">
        <v>66102</v>
      </c>
      <c r="K1824" s="33" t="s">
        <v>554</v>
      </c>
      <c r="L1824" s="33" t="s">
        <v>42466</v>
      </c>
      <c r="M1824" s="33" t="s">
        <v>21</v>
      </c>
      <c r="N1824" s="33" t="s">
        <v>32835</v>
      </c>
      <c r="O1824" s="33" t="s">
        <v>372</v>
      </c>
      <c r="P1824" s="33" t="s">
        <v>30089</v>
      </c>
      <c r="Q1824" s="42" t="s">
        <v>32836</v>
      </c>
      <c r="R1824" s="33" t="s">
        <v>94</v>
      </c>
      <c r="S1824" s="33" t="s">
        <v>29</v>
      </c>
      <c r="T1824" s="33" t="s">
        <v>26575</v>
      </c>
      <c r="U1824" s="33" t="s">
        <v>26570</v>
      </c>
      <c r="W1824" s="33" t="s">
        <v>94</v>
      </c>
      <c r="X1824" s="33">
        <v>3661</v>
      </c>
      <c r="Z1824" s="33" t="s">
        <v>42966</v>
      </c>
      <c r="AA1824" s="33">
        <v>5843</v>
      </c>
    </row>
    <row r="1825" spans="1:27" ht="12" customHeight="1" x14ac:dyDescent="0.15">
      <c r="A1825" s="33" t="s">
        <v>32813</v>
      </c>
      <c r="B1825" s="33">
        <v>44</v>
      </c>
      <c r="C1825" s="33" t="s">
        <v>14</v>
      </c>
      <c r="D1825" s="33" t="s">
        <v>31</v>
      </c>
      <c r="E1825" s="42"/>
      <c r="F1825" s="67">
        <v>43222</v>
      </c>
      <c r="G1825" s="33" t="s">
        <v>32814</v>
      </c>
      <c r="H1825" s="33" t="s">
        <v>15738</v>
      </c>
      <c r="I1825" s="33" t="s">
        <v>132</v>
      </c>
      <c r="J1825" s="33">
        <v>57719</v>
      </c>
      <c r="K1825" s="33" t="s">
        <v>133</v>
      </c>
      <c r="L1825" s="33" t="s">
        <v>32815</v>
      </c>
      <c r="M1825" s="33" t="s">
        <v>21</v>
      </c>
      <c r="N1825" s="33" t="s">
        <v>32816</v>
      </c>
      <c r="O1825" s="33" t="s">
        <v>372</v>
      </c>
      <c r="P1825" s="33" t="s">
        <v>30089</v>
      </c>
      <c r="Q1825" s="42" t="s">
        <v>32817</v>
      </c>
      <c r="R1825" s="33" t="s">
        <v>94</v>
      </c>
      <c r="S1825" s="33" t="s">
        <v>29</v>
      </c>
      <c r="T1825" s="33" t="s">
        <v>26575</v>
      </c>
      <c r="U1825" s="33" t="s">
        <v>26575</v>
      </c>
      <c r="W1825" s="33" t="s">
        <v>94</v>
      </c>
      <c r="X1825" s="33">
        <v>3659</v>
      </c>
      <c r="Z1825" s="33" t="s">
        <v>42967</v>
      </c>
      <c r="AA1825" s="33">
        <v>5842</v>
      </c>
    </row>
    <row r="1826" spans="1:27" ht="12" customHeight="1" x14ac:dyDescent="0.15">
      <c r="A1826" s="33" t="s">
        <v>32818</v>
      </c>
      <c r="B1826" s="33">
        <v>24</v>
      </c>
      <c r="C1826" s="33" t="s">
        <v>14</v>
      </c>
      <c r="D1826" s="33" t="s">
        <v>79</v>
      </c>
      <c r="E1826" s="42"/>
      <c r="F1826" s="67">
        <v>43222</v>
      </c>
      <c r="G1826" s="33" t="s">
        <v>32819</v>
      </c>
      <c r="H1826" s="33" t="s">
        <v>1202</v>
      </c>
      <c r="I1826" s="33" t="s">
        <v>160</v>
      </c>
      <c r="J1826" s="33">
        <v>31904</v>
      </c>
      <c r="K1826" s="33" t="s">
        <v>9779</v>
      </c>
      <c r="L1826" s="33" t="s">
        <v>17580</v>
      </c>
      <c r="M1826" s="33" t="s">
        <v>21</v>
      </c>
      <c r="N1826" s="33" t="s">
        <v>32820</v>
      </c>
      <c r="O1826" s="33" t="s">
        <v>372</v>
      </c>
      <c r="P1826" s="33" t="s">
        <v>30089</v>
      </c>
      <c r="Q1826" s="42" t="s">
        <v>32821</v>
      </c>
      <c r="R1826" s="33" t="s">
        <v>94</v>
      </c>
      <c r="S1826" s="33" t="s">
        <v>22</v>
      </c>
      <c r="T1826" s="33" t="s">
        <v>26781</v>
      </c>
      <c r="U1826" s="33" t="s">
        <v>26570</v>
      </c>
      <c r="V1826" s="33" t="s">
        <v>26571</v>
      </c>
      <c r="W1826" s="33" t="s">
        <v>94</v>
      </c>
      <c r="X1826" s="33">
        <v>3663</v>
      </c>
      <c r="Z1826" s="33" t="s">
        <v>42968</v>
      </c>
      <c r="AA1826" s="33">
        <v>5841</v>
      </c>
    </row>
    <row r="1827" spans="1:27" ht="12" customHeight="1" x14ac:dyDescent="0.15">
      <c r="A1827" s="33" t="s">
        <v>32829</v>
      </c>
      <c r="B1827" s="33">
        <v>67</v>
      </c>
      <c r="C1827" s="33" t="s">
        <v>14</v>
      </c>
      <c r="D1827" s="33" t="s">
        <v>79</v>
      </c>
      <c r="E1827" s="42"/>
      <c r="F1827" s="67">
        <v>43222</v>
      </c>
      <c r="G1827" s="33" t="s">
        <v>33132</v>
      </c>
      <c r="H1827" s="33" t="s">
        <v>266</v>
      </c>
      <c r="I1827" s="33" t="s">
        <v>67</v>
      </c>
      <c r="J1827" s="33">
        <v>75228</v>
      </c>
      <c r="K1827" s="33" t="s">
        <v>266</v>
      </c>
      <c r="L1827" s="33" t="s">
        <v>267</v>
      </c>
      <c r="M1827" s="33" t="s">
        <v>21</v>
      </c>
      <c r="N1827" s="33" t="s">
        <v>32830</v>
      </c>
      <c r="O1827" s="33" t="s">
        <v>372</v>
      </c>
      <c r="P1827" s="33" t="s">
        <v>30089</v>
      </c>
      <c r="Q1827" s="42" t="s">
        <v>32831</v>
      </c>
      <c r="R1827" s="33" t="s">
        <v>94</v>
      </c>
      <c r="S1827" s="33" t="s">
        <v>22</v>
      </c>
      <c r="T1827" s="33" t="s">
        <v>26781</v>
      </c>
      <c r="U1827" s="33" t="s">
        <v>26572</v>
      </c>
      <c r="V1827" s="33" t="s">
        <v>26573</v>
      </c>
      <c r="W1827" s="33" t="s">
        <v>94</v>
      </c>
      <c r="X1827" s="33">
        <v>3662</v>
      </c>
      <c r="Z1827" s="33" t="s">
        <v>42968</v>
      </c>
      <c r="AA1827" s="33">
        <v>5840</v>
      </c>
    </row>
    <row r="1828" spans="1:27" ht="12" customHeight="1" x14ac:dyDescent="0.15">
      <c r="A1828" s="33" t="s">
        <v>32822</v>
      </c>
      <c r="B1828" s="33">
        <v>49</v>
      </c>
      <c r="C1828" s="33" t="s">
        <v>14</v>
      </c>
      <c r="D1828" s="33" t="s">
        <v>31</v>
      </c>
      <c r="E1828" s="42" t="s">
        <v>32823</v>
      </c>
      <c r="F1828" s="67">
        <v>43222</v>
      </c>
      <c r="G1828" s="33" t="s">
        <v>32824</v>
      </c>
      <c r="H1828" s="33" t="s">
        <v>32825</v>
      </c>
      <c r="I1828" s="33" t="s">
        <v>338</v>
      </c>
      <c r="J1828" s="33">
        <v>27298</v>
      </c>
      <c r="K1828" s="33" t="s">
        <v>14479</v>
      </c>
      <c r="L1828" s="33" t="s">
        <v>32826</v>
      </c>
      <c r="M1828" s="33" t="s">
        <v>21</v>
      </c>
      <c r="N1828" s="33" t="s">
        <v>32827</v>
      </c>
      <c r="O1828" s="33" t="s">
        <v>372</v>
      </c>
      <c r="P1828" s="33" t="s">
        <v>30089</v>
      </c>
      <c r="Q1828" s="42" t="s">
        <v>32828</v>
      </c>
      <c r="R1828" s="33" t="s">
        <v>94</v>
      </c>
      <c r="S1828" s="33" t="s">
        <v>22</v>
      </c>
      <c r="T1828" s="33" t="s">
        <v>26781</v>
      </c>
      <c r="U1828" s="33" t="s">
        <v>26572</v>
      </c>
      <c r="V1828" s="33" t="s">
        <v>26573</v>
      </c>
      <c r="W1828" s="33" t="s">
        <v>94</v>
      </c>
      <c r="X1828" s="33">
        <v>3660</v>
      </c>
      <c r="Z1828" s="33" t="s">
        <v>42967</v>
      </c>
      <c r="AA1828" s="33">
        <v>5839</v>
      </c>
    </row>
    <row r="1829" spans="1:27" ht="12" customHeight="1" x14ac:dyDescent="0.15">
      <c r="A1829" s="33" t="s">
        <v>3002</v>
      </c>
      <c r="B1829" s="33" t="s">
        <v>23</v>
      </c>
      <c r="C1829" s="33" t="s">
        <v>14</v>
      </c>
      <c r="D1829" s="33" t="s">
        <v>24</v>
      </c>
      <c r="E1829" s="42"/>
      <c r="F1829" s="67">
        <v>43221</v>
      </c>
      <c r="G1829" s="33" t="s">
        <v>32837</v>
      </c>
      <c r="H1829" s="33" t="s">
        <v>29134</v>
      </c>
      <c r="I1829" s="33" t="s">
        <v>112</v>
      </c>
      <c r="J1829" s="33">
        <v>85346</v>
      </c>
      <c r="K1829" s="33" t="s">
        <v>3670</v>
      </c>
      <c r="L1829" s="33" t="s">
        <v>10122</v>
      </c>
      <c r="M1829" s="33" t="s">
        <v>21</v>
      </c>
      <c r="N1829" s="33" t="s">
        <v>32838</v>
      </c>
      <c r="O1829" s="33" t="s">
        <v>372</v>
      </c>
      <c r="P1829" s="33" t="s">
        <v>30089</v>
      </c>
      <c r="Q1829" s="42" t="s">
        <v>32839</v>
      </c>
      <c r="R1829" s="33" t="s">
        <v>94</v>
      </c>
      <c r="S1829" s="33" t="s">
        <v>22</v>
      </c>
      <c r="T1829" s="33" t="s">
        <v>26781</v>
      </c>
      <c r="U1829" s="33" t="s">
        <v>26572</v>
      </c>
      <c r="V1829" s="33" t="s">
        <v>19228</v>
      </c>
      <c r="W1829" s="33" t="s">
        <v>94</v>
      </c>
      <c r="X1829" s="33">
        <v>3658</v>
      </c>
      <c r="Z1829" s="33" t="s">
        <v>42967</v>
      </c>
      <c r="AA1829" s="33">
        <v>5837</v>
      </c>
    </row>
    <row r="1830" spans="1:27" ht="12" customHeight="1" x14ac:dyDescent="0.15">
      <c r="A1830" s="33" t="s">
        <v>32843</v>
      </c>
      <c r="B1830" s="33">
        <v>49</v>
      </c>
      <c r="C1830" s="33" t="s">
        <v>14</v>
      </c>
      <c r="D1830" s="33" t="s">
        <v>31</v>
      </c>
      <c r="E1830" s="42"/>
      <c r="F1830" s="67">
        <v>43221</v>
      </c>
      <c r="G1830" s="33" t="s">
        <v>32844</v>
      </c>
      <c r="H1830" s="33" t="s">
        <v>31779</v>
      </c>
      <c r="I1830" s="33" t="s">
        <v>67</v>
      </c>
      <c r="J1830" s="33">
        <v>77573</v>
      </c>
      <c r="K1830" s="33" t="s">
        <v>4843</v>
      </c>
      <c r="L1830" s="33" t="s">
        <v>32195</v>
      </c>
      <c r="M1830" s="33" t="s">
        <v>21</v>
      </c>
      <c r="N1830" s="33" t="s">
        <v>32845</v>
      </c>
      <c r="O1830" s="33" t="s">
        <v>372</v>
      </c>
      <c r="P1830" s="33" t="s">
        <v>30089</v>
      </c>
      <c r="Q1830" s="42" t="s">
        <v>32846</v>
      </c>
      <c r="R1830" s="33" t="s">
        <v>94</v>
      </c>
      <c r="S1830" s="33" t="s">
        <v>22</v>
      </c>
      <c r="T1830" s="33" t="s">
        <v>28239</v>
      </c>
      <c r="U1830" s="33" t="s">
        <v>26575</v>
      </c>
      <c r="V1830" s="33" t="s">
        <v>26573</v>
      </c>
      <c r="X1830" s="33">
        <v>4273</v>
      </c>
      <c r="Z1830" s="33" t="s">
        <v>42968</v>
      </c>
      <c r="AA1830" s="33">
        <v>5838</v>
      </c>
    </row>
    <row r="1831" spans="1:27" ht="12" customHeight="1" x14ac:dyDescent="0.15">
      <c r="A1831" s="33" t="s">
        <v>3002</v>
      </c>
      <c r="B1831" s="33" t="s">
        <v>23</v>
      </c>
      <c r="C1831" s="33" t="s">
        <v>14</v>
      </c>
      <c r="D1831" s="33" t="s">
        <v>24</v>
      </c>
      <c r="E1831" s="42"/>
      <c r="F1831" s="67">
        <v>43221</v>
      </c>
      <c r="G1831" s="33" t="s">
        <v>32840</v>
      </c>
      <c r="H1831" s="33" t="s">
        <v>532</v>
      </c>
      <c r="I1831" s="33" t="s">
        <v>67</v>
      </c>
      <c r="J1831" s="33">
        <v>78211</v>
      </c>
      <c r="K1831" s="33" t="s">
        <v>533</v>
      </c>
      <c r="L1831" s="33" t="s">
        <v>17585</v>
      </c>
      <c r="M1831" s="33" t="s">
        <v>21</v>
      </c>
      <c r="N1831" s="33" t="s">
        <v>32841</v>
      </c>
      <c r="O1831" s="33" t="s">
        <v>372</v>
      </c>
      <c r="P1831" s="33" t="s">
        <v>30089</v>
      </c>
      <c r="Q1831" s="42" t="s">
        <v>32842</v>
      </c>
      <c r="R1831" s="33" t="s">
        <v>94</v>
      </c>
      <c r="S1831" s="33" t="s">
        <v>22</v>
      </c>
      <c r="T1831" s="33" t="s">
        <v>26781</v>
      </c>
      <c r="U1831" s="33" t="s">
        <v>26572</v>
      </c>
      <c r="V1831" s="33" t="s">
        <v>26571</v>
      </c>
      <c r="W1831" s="33" t="s">
        <v>94</v>
      </c>
      <c r="X1831" s="33">
        <v>3657</v>
      </c>
      <c r="Z1831" s="33" t="s">
        <v>42968</v>
      </c>
      <c r="AA1831" s="33">
        <v>5836</v>
      </c>
    </row>
    <row r="1832" spans="1:27" ht="12" customHeight="1" x14ac:dyDescent="0.15">
      <c r="A1832" s="33" t="s">
        <v>32847</v>
      </c>
      <c r="B1832" s="33">
        <v>47</v>
      </c>
      <c r="C1832" s="33" t="s">
        <v>14</v>
      </c>
      <c r="D1832" s="33" t="s">
        <v>31</v>
      </c>
      <c r="E1832" s="42"/>
      <c r="F1832" s="67">
        <v>43220</v>
      </c>
      <c r="G1832" s="33" t="s">
        <v>32848</v>
      </c>
      <c r="H1832" s="33" t="s">
        <v>1203</v>
      </c>
      <c r="I1832" s="33" t="s">
        <v>338</v>
      </c>
      <c r="J1832" s="33">
        <v>28734</v>
      </c>
      <c r="K1832" s="33" t="s">
        <v>1447</v>
      </c>
      <c r="L1832" s="33" t="s">
        <v>32849</v>
      </c>
      <c r="M1832" s="33" t="s">
        <v>21</v>
      </c>
      <c r="N1832" s="33" t="s">
        <v>32850</v>
      </c>
      <c r="O1832" s="33" t="s">
        <v>372</v>
      </c>
      <c r="P1832" s="33" t="s">
        <v>30089</v>
      </c>
      <c r="Q1832" s="42" t="s">
        <v>32851</v>
      </c>
      <c r="R1832" s="33" t="s">
        <v>94</v>
      </c>
      <c r="S1832" s="33" t="s">
        <v>22</v>
      </c>
      <c r="T1832" s="33" t="s">
        <v>26781</v>
      </c>
      <c r="U1832" s="33" t="s">
        <v>26572</v>
      </c>
      <c r="V1832" s="33" t="s">
        <v>26573</v>
      </c>
      <c r="W1832" s="33" t="s">
        <v>94</v>
      </c>
      <c r="X1832" s="33">
        <v>3654</v>
      </c>
      <c r="Z1832" s="33" t="s">
        <v>42967</v>
      </c>
      <c r="AA1832" s="33">
        <v>5833</v>
      </c>
    </row>
    <row r="1833" spans="1:27" ht="12" customHeight="1" x14ac:dyDescent="0.15">
      <c r="A1833" s="33" t="s">
        <v>32852</v>
      </c>
      <c r="B1833" s="33">
        <v>59</v>
      </c>
      <c r="C1833" s="33" t="s">
        <v>14</v>
      </c>
      <c r="D1833" s="33" t="s">
        <v>24</v>
      </c>
      <c r="E1833" s="42"/>
      <c r="F1833" s="67">
        <v>43220</v>
      </c>
      <c r="G1833" s="33" t="s">
        <v>32853</v>
      </c>
      <c r="H1833" s="33" t="s">
        <v>1202</v>
      </c>
      <c r="I1833" s="33" t="s">
        <v>63</v>
      </c>
      <c r="J1833" s="33">
        <v>43223</v>
      </c>
      <c r="K1833" s="33" t="s">
        <v>1203</v>
      </c>
      <c r="L1833" s="33" t="s">
        <v>11441</v>
      </c>
      <c r="M1833" s="33" t="s">
        <v>4966</v>
      </c>
      <c r="N1833" s="33" t="s">
        <v>32854</v>
      </c>
      <c r="O1833" s="33" t="s">
        <v>372</v>
      </c>
      <c r="P1833" s="33" t="s">
        <v>30089</v>
      </c>
      <c r="Q1833" s="42" t="s">
        <v>32855</v>
      </c>
      <c r="S1833" s="33" t="s">
        <v>22</v>
      </c>
      <c r="T1833" s="33" t="s">
        <v>26774</v>
      </c>
      <c r="U1833" s="33" t="s">
        <v>26575</v>
      </c>
      <c r="W1833" s="33" t="s">
        <v>94</v>
      </c>
      <c r="X1833" s="33">
        <v>3656</v>
      </c>
      <c r="Z1833" s="33" t="s">
        <v>42966</v>
      </c>
      <c r="AA1833" s="33">
        <v>5835</v>
      </c>
    </row>
    <row r="1834" spans="1:27" ht="12" customHeight="1" x14ac:dyDescent="0.15">
      <c r="A1834" s="33" t="s">
        <v>32856</v>
      </c>
      <c r="B1834" s="33">
        <v>64</v>
      </c>
      <c r="C1834" s="33" t="s">
        <v>14</v>
      </c>
      <c r="D1834" s="33" t="s">
        <v>79</v>
      </c>
      <c r="E1834" s="42"/>
      <c r="F1834" s="67">
        <v>43220</v>
      </c>
      <c r="G1834" s="33" t="s">
        <v>33133</v>
      </c>
      <c r="H1834" s="33" t="s">
        <v>1202</v>
      </c>
      <c r="I1834" s="33" t="s">
        <v>63</v>
      </c>
      <c r="J1834" s="33">
        <v>43224</v>
      </c>
      <c r="K1834" s="33" t="s">
        <v>1203</v>
      </c>
      <c r="L1834" s="33" t="s">
        <v>11441</v>
      </c>
      <c r="M1834" s="33" t="s">
        <v>21</v>
      </c>
      <c r="N1834" s="33" t="s">
        <v>32857</v>
      </c>
      <c r="O1834" s="33" t="s">
        <v>372</v>
      </c>
      <c r="P1834" s="33" t="s">
        <v>30089</v>
      </c>
      <c r="Q1834" s="42" t="s">
        <v>32858</v>
      </c>
      <c r="R1834" s="33" t="s">
        <v>94</v>
      </c>
      <c r="S1834" s="33" t="s">
        <v>22</v>
      </c>
      <c r="T1834" s="33" t="s">
        <v>26774</v>
      </c>
      <c r="X1834" s="33">
        <v>4268</v>
      </c>
      <c r="Z1834" s="33" t="s">
        <v>42966</v>
      </c>
      <c r="AA1834" s="33">
        <v>5834</v>
      </c>
    </row>
    <row r="1835" spans="1:27" ht="12" customHeight="1" x14ac:dyDescent="0.15">
      <c r="A1835" s="33" t="s">
        <v>3002</v>
      </c>
      <c r="B1835" s="33" t="s">
        <v>23</v>
      </c>
      <c r="C1835" s="33" t="s">
        <v>14</v>
      </c>
      <c r="D1835" s="33" t="s">
        <v>31</v>
      </c>
      <c r="E1835" s="42"/>
      <c r="F1835" s="67">
        <v>43219</v>
      </c>
      <c r="G1835" s="33" t="s">
        <v>33134</v>
      </c>
      <c r="H1835" s="33" t="s">
        <v>18423</v>
      </c>
      <c r="I1835" s="33" t="s">
        <v>39</v>
      </c>
      <c r="J1835" s="33">
        <v>92373</v>
      </c>
      <c r="K1835" s="33" t="s">
        <v>288</v>
      </c>
      <c r="L1835" s="33" t="s">
        <v>20241</v>
      </c>
      <c r="M1835" s="33" t="s">
        <v>21</v>
      </c>
      <c r="N1835" s="33" t="s">
        <v>32859</v>
      </c>
      <c r="O1835" s="33" t="s">
        <v>372</v>
      </c>
      <c r="P1835" s="33" t="s">
        <v>30089</v>
      </c>
      <c r="Q1835" s="42" t="s">
        <v>32860</v>
      </c>
      <c r="R1835" s="33" t="s">
        <v>94</v>
      </c>
      <c r="S1835" s="33" t="s">
        <v>29</v>
      </c>
      <c r="T1835" s="33" t="s">
        <v>26575</v>
      </c>
      <c r="U1835" s="33" t="s">
        <v>26575</v>
      </c>
      <c r="V1835" s="33" t="s">
        <v>26573</v>
      </c>
      <c r="W1835" s="33" t="s">
        <v>94</v>
      </c>
      <c r="X1835" s="33">
        <v>3651</v>
      </c>
      <c r="Z1835" s="33" t="s">
        <v>42968</v>
      </c>
      <c r="AA1835" s="33">
        <v>5832</v>
      </c>
    </row>
    <row r="1836" spans="1:27" ht="12" customHeight="1" x14ac:dyDescent="0.15">
      <c r="A1836" s="33" t="s">
        <v>32865</v>
      </c>
      <c r="B1836" s="33">
        <v>26</v>
      </c>
      <c r="C1836" s="33" t="s">
        <v>14</v>
      </c>
      <c r="D1836" s="33" t="s">
        <v>31</v>
      </c>
      <c r="E1836" s="42" t="s">
        <v>32866</v>
      </c>
      <c r="F1836" s="67">
        <v>43219</v>
      </c>
      <c r="G1836" s="33" t="s">
        <v>33135</v>
      </c>
      <c r="H1836" s="33" t="s">
        <v>32867</v>
      </c>
      <c r="I1836" s="33" t="s">
        <v>342</v>
      </c>
      <c r="J1836" s="33">
        <v>50566</v>
      </c>
      <c r="K1836" s="33" t="s">
        <v>3011</v>
      </c>
      <c r="L1836" s="33" t="s">
        <v>32868</v>
      </c>
      <c r="M1836" s="33" t="s">
        <v>21</v>
      </c>
      <c r="N1836" s="33" t="s">
        <v>32869</v>
      </c>
      <c r="O1836" s="33" t="s">
        <v>372</v>
      </c>
      <c r="P1836" s="33" t="s">
        <v>30089</v>
      </c>
      <c r="Q1836" s="42" t="s">
        <v>32870</v>
      </c>
      <c r="R1836" s="33" t="s">
        <v>94</v>
      </c>
      <c r="S1836" s="33" t="s">
        <v>22</v>
      </c>
      <c r="T1836" s="33" t="s">
        <v>26781</v>
      </c>
      <c r="U1836" s="33" t="s">
        <v>26572</v>
      </c>
      <c r="V1836" s="33" t="s">
        <v>26573</v>
      </c>
      <c r="W1836" s="33" t="s">
        <v>94</v>
      </c>
      <c r="X1836" s="33">
        <v>3655</v>
      </c>
      <c r="Z1836" s="33" t="s">
        <v>42967</v>
      </c>
      <c r="AA1836" s="33">
        <v>5830</v>
      </c>
    </row>
    <row r="1837" spans="1:27" ht="12" customHeight="1" x14ac:dyDescent="0.15">
      <c r="A1837" s="33" t="s">
        <v>32861</v>
      </c>
      <c r="B1837" s="33">
        <v>38</v>
      </c>
      <c r="C1837" s="33" t="s">
        <v>14</v>
      </c>
      <c r="D1837" s="33" t="s">
        <v>31</v>
      </c>
      <c r="E1837" s="42"/>
      <c r="F1837" s="67">
        <v>43219</v>
      </c>
      <c r="G1837" s="33" t="s">
        <v>32862</v>
      </c>
      <c r="H1837" s="33" t="s">
        <v>430</v>
      </c>
      <c r="I1837" s="33" t="s">
        <v>19</v>
      </c>
      <c r="J1837" s="33">
        <v>71107</v>
      </c>
      <c r="K1837" s="33" t="s">
        <v>5432</v>
      </c>
      <c r="L1837" s="33" t="s">
        <v>431</v>
      </c>
      <c r="M1837" s="33" t="s">
        <v>21</v>
      </c>
      <c r="N1837" s="33" t="s">
        <v>32863</v>
      </c>
      <c r="O1837" s="33" t="s">
        <v>372</v>
      </c>
      <c r="P1837" s="33" t="s">
        <v>30089</v>
      </c>
      <c r="Q1837" s="42" t="s">
        <v>32864</v>
      </c>
      <c r="R1837" s="33" t="s">
        <v>94</v>
      </c>
      <c r="S1837" s="33" t="s">
        <v>12</v>
      </c>
      <c r="T1837" s="33" t="s">
        <v>29705</v>
      </c>
      <c r="U1837" s="33" t="s">
        <v>26572</v>
      </c>
      <c r="V1837" s="33" t="s">
        <v>26574</v>
      </c>
      <c r="W1837" s="33" t="s">
        <v>94</v>
      </c>
      <c r="X1837" s="33">
        <v>3650</v>
      </c>
      <c r="Z1837" s="33" t="s">
        <v>42968</v>
      </c>
      <c r="AA1837" s="33">
        <v>5831</v>
      </c>
    </row>
    <row r="1838" spans="1:27" ht="12" customHeight="1" x14ac:dyDescent="0.15">
      <c r="A1838" s="33" t="s">
        <v>3002</v>
      </c>
      <c r="B1838" s="33" t="s">
        <v>23</v>
      </c>
      <c r="C1838" s="33" t="s">
        <v>14</v>
      </c>
      <c r="D1838" s="33" t="s">
        <v>24</v>
      </c>
      <c r="E1838" s="42"/>
      <c r="F1838" s="67">
        <v>43218</v>
      </c>
      <c r="G1838" s="33" t="s">
        <v>32871</v>
      </c>
      <c r="H1838" s="33" t="s">
        <v>1212</v>
      </c>
      <c r="I1838" s="33" t="s">
        <v>192</v>
      </c>
      <c r="J1838" s="33">
        <v>80233</v>
      </c>
      <c r="K1838" s="33" t="s">
        <v>1790</v>
      </c>
      <c r="L1838" s="33" t="s">
        <v>21114</v>
      </c>
      <c r="M1838" s="33" t="s">
        <v>21</v>
      </c>
      <c r="N1838" s="33" t="s">
        <v>32872</v>
      </c>
      <c r="O1838" s="33" t="s">
        <v>372</v>
      </c>
      <c r="P1838" s="33" t="s">
        <v>30089</v>
      </c>
      <c r="Q1838" s="42" t="s">
        <v>32873</v>
      </c>
      <c r="R1838" s="33" t="s">
        <v>94</v>
      </c>
      <c r="S1838" s="33" t="s">
        <v>22</v>
      </c>
      <c r="T1838" s="33" t="s">
        <v>26781</v>
      </c>
      <c r="U1838" s="33" t="s">
        <v>26570</v>
      </c>
      <c r="V1838" s="33" t="s">
        <v>26573</v>
      </c>
      <c r="W1838" s="33" t="s">
        <v>94</v>
      </c>
      <c r="X1838" s="33">
        <v>3652</v>
      </c>
      <c r="Z1838" s="33" t="s">
        <v>42968</v>
      </c>
      <c r="AA1838" s="33">
        <v>5825</v>
      </c>
    </row>
    <row r="1839" spans="1:27" ht="12" customHeight="1" x14ac:dyDescent="0.15">
      <c r="A1839" s="33" t="s">
        <v>32874</v>
      </c>
      <c r="B1839" s="33">
        <v>26</v>
      </c>
      <c r="C1839" s="33" t="s">
        <v>14</v>
      </c>
      <c r="D1839" s="33" t="s">
        <v>42</v>
      </c>
      <c r="E1839" s="42"/>
      <c r="F1839" s="67">
        <v>43218</v>
      </c>
      <c r="G1839" s="33" t="s">
        <v>32875</v>
      </c>
      <c r="H1839" s="33" t="s">
        <v>2386</v>
      </c>
      <c r="I1839" s="33" t="s">
        <v>39</v>
      </c>
      <c r="J1839" s="33">
        <v>95758</v>
      </c>
      <c r="K1839" s="33" t="s">
        <v>1537</v>
      </c>
      <c r="L1839" s="33" t="s">
        <v>24929</v>
      </c>
      <c r="M1839" s="33" t="s">
        <v>21</v>
      </c>
      <c r="N1839" s="33" t="s">
        <v>32876</v>
      </c>
      <c r="O1839" s="33" t="s">
        <v>372</v>
      </c>
      <c r="P1839" s="33" t="s">
        <v>30089</v>
      </c>
      <c r="Q1839" s="42" t="s">
        <v>32877</v>
      </c>
      <c r="R1839" s="33" t="s">
        <v>94</v>
      </c>
      <c r="S1839" s="33" t="s">
        <v>22</v>
      </c>
      <c r="T1839" s="33" t="s">
        <v>26781</v>
      </c>
      <c r="U1839" s="33" t="s">
        <v>26572</v>
      </c>
      <c r="V1839" s="33" t="s">
        <v>26573</v>
      </c>
      <c r="W1839" s="33" t="s">
        <v>94</v>
      </c>
      <c r="X1839" s="33">
        <v>3653</v>
      </c>
      <c r="Z1839" s="33" t="s">
        <v>42968</v>
      </c>
      <c r="AA1839" s="33">
        <v>5826</v>
      </c>
    </row>
    <row r="1840" spans="1:27" ht="12" customHeight="1" x14ac:dyDescent="0.15">
      <c r="A1840" s="33" t="s">
        <v>32884</v>
      </c>
      <c r="B1840" s="33">
        <v>35</v>
      </c>
      <c r="C1840" s="33" t="s">
        <v>14</v>
      </c>
      <c r="D1840" s="33" t="s">
        <v>24</v>
      </c>
      <c r="E1840" s="42"/>
      <c r="F1840" s="67">
        <v>43218</v>
      </c>
      <c r="G1840" s="33" t="s">
        <v>33136</v>
      </c>
      <c r="H1840" s="33" t="s">
        <v>32885</v>
      </c>
      <c r="I1840" s="33" t="s">
        <v>51</v>
      </c>
      <c r="J1840" s="33">
        <v>48316</v>
      </c>
      <c r="K1840" s="33" t="s">
        <v>1041</v>
      </c>
      <c r="L1840" s="33" t="s">
        <v>32886</v>
      </c>
      <c r="M1840" s="33" t="s">
        <v>21</v>
      </c>
      <c r="N1840" s="33" t="s">
        <v>32887</v>
      </c>
      <c r="O1840" s="33" t="s">
        <v>372</v>
      </c>
      <c r="P1840" s="33" t="s">
        <v>30089</v>
      </c>
      <c r="Q1840" s="42" t="s">
        <v>32888</v>
      </c>
      <c r="R1840" s="33" t="s">
        <v>512</v>
      </c>
      <c r="S1840" s="33" t="s">
        <v>22</v>
      </c>
      <c r="T1840" s="33" t="s">
        <v>26781</v>
      </c>
      <c r="V1840" s="33" t="s">
        <v>26573</v>
      </c>
      <c r="X1840" s="33">
        <v>4267</v>
      </c>
      <c r="Z1840" s="33" t="s">
        <v>42968</v>
      </c>
      <c r="AA1840" s="33">
        <v>5828</v>
      </c>
    </row>
    <row r="1841" spans="1:27" ht="12" customHeight="1" x14ac:dyDescent="0.15">
      <c r="A1841" s="33" t="s">
        <v>32878</v>
      </c>
      <c r="B1841" s="33">
        <v>36</v>
      </c>
      <c r="C1841" s="33" t="s">
        <v>103</v>
      </c>
      <c r="D1841" s="33" t="s">
        <v>79</v>
      </c>
      <c r="E1841" s="42"/>
      <c r="F1841" s="67">
        <v>43218</v>
      </c>
      <c r="G1841" s="33" t="s">
        <v>32879</v>
      </c>
      <c r="H1841" s="33" t="s">
        <v>32880</v>
      </c>
      <c r="I1841" s="33" t="s">
        <v>160</v>
      </c>
      <c r="J1841" s="33">
        <v>30097</v>
      </c>
      <c r="K1841" s="33" t="s">
        <v>1239</v>
      </c>
      <c r="L1841" s="33" t="s">
        <v>32881</v>
      </c>
      <c r="M1841" s="33" t="s">
        <v>21</v>
      </c>
      <c r="N1841" s="33" t="s">
        <v>32882</v>
      </c>
      <c r="O1841" s="33" t="s">
        <v>372</v>
      </c>
      <c r="P1841" s="33" t="s">
        <v>30089</v>
      </c>
      <c r="Q1841" s="42" t="s">
        <v>32883</v>
      </c>
      <c r="R1841" s="33" t="s">
        <v>512</v>
      </c>
      <c r="S1841" s="33" t="s">
        <v>22</v>
      </c>
      <c r="T1841" s="33" t="s">
        <v>26774</v>
      </c>
      <c r="U1841" s="33" t="s">
        <v>26570</v>
      </c>
      <c r="V1841" s="33" t="s">
        <v>26573</v>
      </c>
      <c r="W1841" s="33" t="s">
        <v>94</v>
      </c>
      <c r="X1841" s="33">
        <v>3649</v>
      </c>
      <c r="Z1841" s="33" t="s">
        <v>42968</v>
      </c>
      <c r="AA1841" s="33">
        <v>5829</v>
      </c>
    </row>
    <row r="1842" spans="1:27" ht="12" customHeight="1" x14ac:dyDescent="0.15">
      <c r="A1842" s="33" t="s">
        <v>36981</v>
      </c>
      <c r="B1842" s="33">
        <v>41</v>
      </c>
      <c r="C1842" s="33" t="s">
        <v>14</v>
      </c>
      <c r="D1842" s="33" t="s">
        <v>31</v>
      </c>
      <c r="F1842" s="67">
        <v>43218</v>
      </c>
      <c r="G1842" s="10" t="s">
        <v>37009</v>
      </c>
      <c r="H1842" s="10" t="s">
        <v>18982</v>
      </c>
      <c r="I1842" s="33" t="s">
        <v>56</v>
      </c>
      <c r="J1842" s="65">
        <v>32707</v>
      </c>
      <c r="K1842" s="10" t="s">
        <v>8294</v>
      </c>
      <c r="L1842" s="10" t="s">
        <v>18985</v>
      </c>
      <c r="M1842" s="33" t="s">
        <v>21</v>
      </c>
      <c r="N1842" s="10" t="s">
        <v>37040</v>
      </c>
      <c r="O1842" s="10" t="s">
        <v>372</v>
      </c>
      <c r="P1842" s="33" t="s">
        <v>30089</v>
      </c>
      <c r="Q1842" s="64" t="s">
        <v>37041</v>
      </c>
      <c r="R1842" s="33" t="s">
        <v>94</v>
      </c>
      <c r="S1842" s="33" t="s">
        <v>22</v>
      </c>
      <c r="T1842" s="36" t="s">
        <v>26781</v>
      </c>
      <c r="U1842" s="36" t="s">
        <v>26572</v>
      </c>
      <c r="V1842" s="36" t="s">
        <v>26573</v>
      </c>
      <c r="W1842" s="33" t="s">
        <v>94</v>
      </c>
      <c r="X1842" s="33">
        <v>3750</v>
      </c>
      <c r="Z1842" s="33" t="s">
        <v>42968</v>
      </c>
      <c r="AA1842" s="33">
        <v>5827</v>
      </c>
    </row>
    <row r="1843" spans="1:27" ht="12" customHeight="1" x14ac:dyDescent="0.15">
      <c r="A1843" s="33" t="s">
        <v>32894</v>
      </c>
      <c r="B1843" s="33">
        <v>56</v>
      </c>
      <c r="C1843" s="33" t="s">
        <v>103</v>
      </c>
      <c r="D1843" s="33" t="s">
        <v>31</v>
      </c>
      <c r="E1843" s="42"/>
      <c r="F1843" s="67">
        <v>43216</v>
      </c>
      <c r="G1843" s="33" t="s">
        <v>33137</v>
      </c>
      <c r="H1843" s="33" t="s">
        <v>8871</v>
      </c>
      <c r="I1843" s="33" t="s">
        <v>39</v>
      </c>
      <c r="J1843" s="33">
        <v>95966</v>
      </c>
      <c r="K1843" s="33" t="s">
        <v>4807</v>
      </c>
      <c r="L1843" s="33" t="s">
        <v>8873</v>
      </c>
      <c r="M1843" s="33" t="s">
        <v>21</v>
      </c>
      <c r="N1843" s="33" t="s">
        <v>32895</v>
      </c>
      <c r="O1843" s="33" t="s">
        <v>372</v>
      </c>
      <c r="P1843" s="33" t="s">
        <v>30089</v>
      </c>
      <c r="Q1843" s="42" t="s">
        <v>32896</v>
      </c>
      <c r="R1843" s="33" t="s">
        <v>94</v>
      </c>
      <c r="S1843" s="33" t="s">
        <v>351</v>
      </c>
      <c r="T1843" s="33" t="s">
        <v>26867</v>
      </c>
      <c r="U1843" s="33" t="s">
        <v>26572</v>
      </c>
      <c r="V1843" s="33" t="s">
        <v>26571</v>
      </c>
      <c r="W1843" s="33" t="s">
        <v>512</v>
      </c>
      <c r="X1843" s="33">
        <v>3648</v>
      </c>
      <c r="Z1843" s="33" t="s">
        <v>42967</v>
      </c>
      <c r="AA1843" s="33">
        <v>5824</v>
      </c>
    </row>
    <row r="1844" spans="1:27" ht="12" customHeight="1" x14ac:dyDescent="0.15">
      <c r="A1844" s="33" t="s">
        <v>32889</v>
      </c>
      <c r="B1844" s="33">
        <v>22</v>
      </c>
      <c r="C1844" s="33" t="s">
        <v>14</v>
      </c>
      <c r="D1844" s="33" t="s">
        <v>24</v>
      </c>
      <c r="E1844" s="42"/>
      <c r="F1844" s="67">
        <v>43216</v>
      </c>
      <c r="G1844" s="33" t="s">
        <v>32890</v>
      </c>
      <c r="H1844" s="33" t="s">
        <v>28081</v>
      </c>
      <c r="I1844" s="33" t="s">
        <v>67</v>
      </c>
      <c r="J1844" s="33">
        <v>76384</v>
      </c>
      <c r="K1844" s="33" t="s">
        <v>32891</v>
      </c>
      <c r="L1844" s="33" t="s">
        <v>262</v>
      </c>
      <c r="M1844" s="33" t="s">
        <v>21</v>
      </c>
      <c r="N1844" s="33" t="s">
        <v>32892</v>
      </c>
      <c r="O1844" s="33" t="s">
        <v>372</v>
      </c>
      <c r="P1844" s="33" t="s">
        <v>30089</v>
      </c>
      <c r="Q1844" s="42" t="s">
        <v>32893</v>
      </c>
      <c r="R1844" s="33" t="s">
        <v>94</v>
      </c>
      <c r="S1844" s="33" t="s">
        <v>22</v>
      </c>
      <c r="T1844" s="33" t="s">
        <v>26774</v>
      </c>
      <c r="U1844" s="33" t="s">
        <v>26572</v>
      </c>
      <c r="V1844" s="33" t="s">
        <v>26571</v>
      </c>
      <c r="W1844" s="33" t="s">
        <v>94</v>
      </c>
      <c r="X1844" s="33">
        <v>3646</v>
      </c>
      <c r="Z1844" s="33" t="s">
        <v>42967</v>
      </c>
      <c r="AA1844" s="33">
        <v>5823</v>
      </c>
    </row>
    <row r="1845" spans="1:27" ht="12" customHeight="1" x14ac:dyDescent="0.15">
      <c r="A1845" s="33" t="s">
        <v>32904</v>
      </c>
      <c r="B1845" s="33">
        <v>41</v>
      </c>
      <c r="C1845" s="33" t="s">
        <v>14</v>
      </c>
      <c r="D1845" s="33" t="s">
        <v>31</v>
      </c>
      <c r="E1845" s="42" t="s">
        <v>32905</v>
      </c>
      <c r="F1845" s="67">
        <v>43215</v>
      </c>
      <c r="G1845" s="33" t="s">
        <v>32906</v>
      </c>
      <c r="H1845" s="33" t="s">
        <v>18214</v>
      </c>
      <c r="I1845" s="33" t="s">
        <v>192</v>
      </c>
      <c r="J1845" s="33">
        <v>80904</v>
      </c>
      <c r="K1845" s="33" t="s">
        <v>801</v>
      </c>
      <c r="L1845" s="33" t="s">
        <v>18216</v>
      </c>
      <c r="M1845" s="33" t="s">
        <v>21</v>
      </c>
      <c r="N1845" s="33" t="s">
        <v>32907</v>
      </c>
      <c r="O1845" s="33" t="s">
        <v>372</v>
      </c>
      <c r="P1845" s="33" t="s">
        <v>30089</v>
      </c>
      <c r="Q1845" s="42" t="s">
        <v>32908</v>
      </c>
      <c r="R1845" s="33" t="s">
        <v>94</v>
      </c>
      <c r="S1845" s="33" t="s">
        <v>22</v>
      </c>
      <c r="T1845" s="33" t="s">
        <v>26781</v>
      </c>
      <c r="U1845" s="33" t="s">
        <v>26572</v>
      </c>
      <c r="V1845" s="33" t="s">
        <v>26574</v>
      </c>
      <c r="W1845" s="33" t="s">
        <v>94</v>
      </c>
      <c r="X1845" s="33">
        <v>3641</v>
      </c>
      <c r="Z1845" s="33" t="s">
        <v>42968</v>
      </c>
      <c r="AA1845" s="33">
        <v>5819</v>
      </c>
    </row>
    <row r="1846" spans="1:27" ht="12" customHeight="1" x14ac:dyDescent="0.15">
      <c r="A1846" s="33" t="s">
        <v>32901</v>
      </c>
      <c r="B1846" s="33">
        <v>42</v>
      </c>
      <c r="C1846" s="33" t="s">
        <v>14</v>
      </c>
      <c r="D1846" s="33" t="s">
        <v>79</v>
      </c>
      <c r="E1846" s="42"/>
      <c r="F1846" s="67">
        <v>43215</v>
      </c>
      <c r="G1846" s="33" t="s">
        <v>33138</v>
      </c>
      <c r="H1846" s="33" t="s">
        <v>834</v>
      </c>
      <c r="I1846" s="33" t="s">
        <v>294</v>
      </c>
      <c r="J1846" s="33">
        <v>40212</v>
      </c>
      <c r="K1846" s="33" t="s">
        <v>1659</v>
      </c>
      <c r="L1846" s="33" t="s">
        <v>835</v>
      </c>
      <c r="M1846" s="33" t="s">
        <v>21</v>
      </c>
      <c r="N1846" s="33" t="s">
        <v>32902</v>
      </c>
      <c r="O1846" s="33" t="s">
        <v>372</v>
      </c>
      <c r="P1846" s="33" t="s">
        <v>30089</v>
      </c>
      <c r="Q1846" s="42" t="s">
        <v>32903</v>
      </c>
      <c r="R1846" s="33" t="s">
        <v>23</v>
      </c>
      <c r="S1846" s="33" t="s">
        <v>22</v>
      </c>
      <c r="T1846" s="33" t="s">
        <v>26774</v>
      </c>
      <c r="U1846" s="33" t="s">
        <v>26572</v>
      </c>
      <c r="V1846" s="33" t="s">
        <v>26573</v>
      </c>
      <c r="W1846" s="33" t="s">
        <v>94</v>
      </c>
      <c r="X1846" s="33">
        <v>3643</v>
      </c>
      <c r="Z1846" s="33" t="s">
        <v>42966</v>
      </c>
      <c r="AA1846" s="33">
        <v>5821</v>
      </c>
    </row>
    <row r="1847" spans="1:27" ht="12" customHeight="1" x14ac:dyDescent="0.15">
      <c r="A1847" s="33" t="s">
        <v>10102</v>
      </c>
      <c r="B1847" s="33">
        <v>39</v>
      </c>
      <c r="C1847" s="33" t="s">
        <v>14</v>
      </c>
      <c r="D1847" s="33" t="s">
        <v>31</v>
      </c>
      <c r="E1847" s="42" t="s">
        <v>32909</v>
      </c>
      <c r="F1847" s="67">
        <v>43215</v>
      </c>
      <c r="G1847" s="33" t="s">
        <v>32910</v>
      </c>
      <c r="H1847" s="33" t="s">
        <v>584</v>
      </c>
      <c r="I1847" s="33" t="s">
        <v>112</v>
      </c>
      <c r="J1847" s="33">
        <v>85012</v>
      </c>
      <c r="K1847" s="33" t="s">
        <v>585</v>
      </c>
      <c r="L1847" s="33" t="s">
        <v>586</v>
      </c>
      <c r="M1847" s="33" t="s">
        <v>363</v>
      </c>
      <c r="N1847" s="33" t="s">
        <v>32911</v>
      </c>
      <c r="O1847" s="33" t="s">
        <v>372</v>
      </c>
      <c r="P1847" s="33" t="s">
        <v>30089</v>
      </c>
      <c r="Q1847" s="42" t="s">
        <v>32912</v>
      </c>
      <c r="R1847" s="33" t="s">
        <v>94</v>
      </c>
      <c r="S1847" s="33" t="s">
        <v>12</v>
      </c>
      <c r="T1847" s="33" t="s">
        <v>29705</v>
      </c>
      <c r="U1847" s="33" t="s">
        <v>26575</v>
      </c>
      <c r="V1847" s="33" t="s">
        <v>26573</v>
      </c>
      <c r="Z1847" s="33" t="s">
        <v>42968</v>
      </c>
      <c r="AA1847" s="33">
        <v>5822</v>
      </c>
    </row>
    <row r="1848" spans="1:27" ht="12" customHeight="1" x14ac:dyDescent="0.15">
      <c r="A1848" s="33" t="s">
        <v>32897</v>
      </c>
      <c r="B1848" s="33">
        <v>36</v>
      </c>
      <c r="C1848" s="33" t="s">
        <v>14</v>
      </c>
      <c r="D1848" s="33" t="s">
        <v>31</v>
      </c>
      <c r="E1848" s="42" t="s">
        <v>32898</v>
      </c>
      <c r="F1848" s="67">
        <v>43215</v>
      </c>
      <c r="G1848" s="33" t="s">
        <v>32899</v>
      </c>
      <c r="H1848" s="33" t="s">
        <v>1212</v>
      </c>
      <c r="I1848" s="33" t="s">
        <v>192</v>
      </c>
      <c r="J1848" s="33">
        <v>80220</v>
      </c>
      <c r="K1848" s="33" t="s">
        <v>1212</v>
      </c>
      <c r="L1848" s="33" t="s">
        <v>1213</v>
      </c>
      <c r="M1848" s="33" t="s">
        <v>21</v>
      </c>
      <c r="N1848" s="33" t="s">
        <v>36470</v>
      </c>
      <c r="O1848" s="33" t="s">
        <v>372</v>
      </c>
      <c r="P1848" s="33" t="s">
        <v>30089</v>
      </c>
      <c r="Q1848" s="42" t="s">
        <v>32900</v>
      </c>
      <c r="R1848" s="33" t="s">
        <v>94</v>
      </c>
      <c r="S1848" s="33" t="s">
        <v>22</v>
      </c>
      <c r="T1848" s="33" t="s">
        <v>26781</v>
      </c>
      <c r="U1848" s="33" t="s">
        <v>26570</v>
      </c>
      <c r="V1848" s="33" t="s">
        <v>26571</v>
      </c>
      <c r="W1848" s="33" t="s">
        <v>94</v>
      </c>
      <c r="X1848" s="33">
        <v>3644</v>
      </c>
      <c r="Z1848" s="33" t="s">
        <v>42966</v>
      </c>
      <c r="AA1848" s="33">
        <v>5820</v>
      </c>
    </row>
    <row r="1849" spans="1:27" ht="12" customHeight="1" x14ac:dyDescent="0.15">
      <c r="A1849" s="33" t="s">
        <v>36347</v>
      </c>
      <c r="B1849" s="33">
        <v>44</v>
      </c>
      <c r="C1849" s="33" t="s">
        <v>14</v>
      </c>
      <c r="D1849" s="33" t="s">
        <v>42</v>
      </c>
      <c r="E1849" s="42"/>
      <c r="F1849" s="67">
        <v>43214</v>
      </c>
      <c r="G1849" s="33" t="s">
        <v>32913</v>
      </c>
      <c r="H1849" s="33" t="s">
        <v>532</v>
      </c>
      <c r="I1849" s="33" t="s">
        <v>67</v>
      </c>
      <c r="J1849" s="33">
        <v>78205</v>
      </c>
      <c r="K1849" s="33" t="s">
        <v>533</v>
      </c>
      <c r="L1849" s="33" t="s">
        <v>32914</v>
      </c>
      <c r="M1849" s="33" t="s">
        <v>21</v>
      </c>
      <c r="N1849" s="33" t="s">
        <v>32915</v>
      </c>
      <c r="O1849" s="33" t="s">
        <v>372</v>
      </c>
      <c r="P1849" s="33" t="s">
        <v>30089</v>
      </c>
      <c r="Q1849" s="42" t="s">
        <v>32916</v>
      </c>
      <c r="R1849" s="33" t="s">
        <v>94</v>
      </c>
      <c r="S1849" s="33" t="s">
        <v>22</v>
      </c>
      <c r="T1849" s="33" t="s">
        <v>26781</v>
      </c>
      <c r="U1849" s="33" t="s">
        <v>26570</v>
      </c>
      <c r="V1849" s="33" t="s">
        <v>26574</v>
      </c>
      <c r="W1849" s="33" t="s">
        <v>94</v>
      </c>
      <c r="X1849" s="33">
        <v>3640</v>
      </c>
      <c r="Z1849" s="33" t="s">
        <v>42966</v>
      </c>
      <c r="AA1849" s="33">
        <v>5816</v>
      </c>
    </row>
    <row r="1850" spans="1:27" ht="12" customHeight="1" x14ac:dyDescent="0.15">
      <c r="A1850" s="33" t="s">
        <v>3002</v>
      </c>
      <c r="B1850" s="33" t="s">
        <v>23</v>
      </c>
      <c r="C1850" s="33" t="s">
        <v>14</v>
      </c>
      <c r="D1850" s="33" t="s">
        <v>24</v>
      </c>
      <c r="E1850" s="42"/>
      <c r="F1850" s="67">
        <v>43214</v>
      </c>
      <c r="G1850" s="33" t="s">
        <v>33139</v>
      </c>
      <c r="H1850" s="33" t="s">
        <v>116</v>
      </c>
      <c r="I1850" s="33" t="s">
        <v>67</v>
      </c>
      <c r="J1850" s="33">
        <v>79109</v>
      </c>
      <c r="K1850" s="33" t="s">
        <v>117</v>
      </c>
      <c r="L1850" s="33" t="s">
        <v>14030</v>
      </c>
      <c r="M1850" s="33" t="s">
        <v>21</v>
      </c>
      <c r="N1850" s="33" t="s">
        <v>32921</v>
      </c>
      <c r="O1850" s="33" t="s">
        <v>372</v>
      </c>
      <c r="P1850" s="33" t="s">
        <v>30089</v>
      </c>
      <c r="Q1850" s="42" t="s">
        <v>32922</v>
      </c>
      <c r="R1850" s="33" t="s">
        <v>512</v>
      </c>
      <c r="S1850" s="33" t="s">
        <v>22</v>
      </c>
      <c r="T1850" s="33" t="s">
        <v>26781</v>
      </c>
      <c r="U1850" s="33" t="s">
        <v>26572</v>
      </c>
      <c r="V1850" s="33" t="s">
        <v>26573</v>
      </c>
      <c r="W1850" s="33" t="s">
        <v>94</v>
      </c>
      <c r="X1850" s="33">
        <v>4266</v>
      </c>
      <c r="Z1850" s="33" t="s">
        <v>42968</v>
      </c>
      <c r="AA1850" s="33">
        <v>5818</v>
      </c>
    </row>
    <row r="1851" spans="1:27" ht="12" customHeight="1" x14ac:dyDescent="0.15">
      <c r="A1851" s="33" t="s">
        <v>32917</v>
      </c>
      <c r="B1851" s="33">
        <v>21</v>
      </c>
      <c r="C1851" s="33" t="s">
        <v>14</v>
      </c>
      <c r="D1851" s="33" t="s">
        <v>79</v>
      </c>
      <c r="E1851" s="42"/>
      <c r="F1851" s="67">
        <v>43214</v>
      </c>
      <c r="G1851" s="33" t="s">
        <v>32918</v>
      </c>
      <c r="H1851" s="33" t="s">
        <v>834</v>
      </c>
      <c r="I1851" s="33" t="s">
        <v>294</v>
      </c>
      <c r="J1851" s="33">
        <v>40212</v>
      </c>
      <c r="K1851" s="33" t="s">
        <v>1659</v>
      </c>
      <c r="L1851" s="33" t="s">
        <v>835</v>
      </c>
      <c r="M1851" s="33" t="s">
        <v>21</v>
      </c>
      <c r="N1851" s="33" t="s">
        <v>32919</v>
      </c>
      <c r="O1851" s="33" t="s">
        <v>372</v>
      </c>
      <c r="P1851" s="33" t="s">
        <v>30089</v>
      </c>
      <c r="Q1851" s="42" t="s">
        <v>32920</v>
      </c>
      <c r="R1851" s="33" t="s">
        <v>94</v>
      </c>
      <c r="S1851" s="33" t="s">
        <v>22</v>
      </c>
      <c r="T1851" s="33" t="s">
        <v>26781</v>
      </c>
      <c r="U1851" s="33" t="s">
        <v>26572</v>
      </c>
      <c r="W1851" s="33" t="s">
        <v>512</v>
      </c>
      <c r="X1851" s="33">
        <v>3642</v>
      </c>
      <c r="Z1851" s="33" t="s">
        <v>42966</v>
      </c>
      <c r="AA1851" s="33">
        <v>5817</v>
      </c>
    </row>
    <row r="1852" spans="1:27" ht="12" customHeight="1" x14ac:dyDescent="0.15">
      <c r="A1852" s="33" t="s">
        <v>32923</v>
      </c>
      <c r="B1852" s="33">
        <v>37</v>
      </c>
      <c r="C1852" s="33" t="s">
        <v>14</v>
      </c>
      <c r="D1852" s="33" t="s">
        <v>79</v>
      </c>
      <c r="E1852" s="42"/>
      <c r="F1852" s="67">
        <v>43213</v>
      </c>
      <c r="G1852" s="33" t="s">
        <v>32924</v>
      </c>
      <c r="H1852" s="33" t="s">
        <v>11306</v>
      </c>
      <c r="I1852" s="33" t="s">
        <v>67</v>
      </c>
      <c r="J1852" s="33">
        <v>75052</v>
      </c>
      <c r="K1852" s="33" t="s">
        <v>266</v>
      </c>
      <c r="L1852" s="33" t="s">
        <v>11308</v>
      </c>
      <c r="M1852" s="33" t="s">
        <v>21</v>
      </c>
      <c r="N1852" s="33" t="s">
        <v>32925</v>
      </c>
      <c r="O1852" s="33" t="s">
        <v>372</v>
      </c>
      <c r="P1852" s="33" t="s">
        <v>30089</v>
      </c>
      <c r="Q1852" s="42" t="s">
        <v>32926</v>
      </c>
      <c r="R1852" s="33" t="s">
        <v>94</v>
      </c>
      <c r="S1852" s="33" t="s">
        <v>22</v>
      </c>
      <c r="T1852" s="33" t="s">
        <v>26781</v>
      </c>
      <c r="U1852" s="33" t="s">
        <v>26575</v>
      </c>
      <c r="V1852" s="33" t="s">
        <v>26573</v>
      </c>
      <c r="X1852" s="33">
        <v>4265</v>
      </c>
      <c r="Z1852" s="33" t="s">
        <v>42968</v>
      </c>
      <c r="AA1852" s="33">
        <v>5815</v>
      </c>
    </row>
    <row r="1853" spans="1:27" ht="12" customHeight="1" x14ac:dyDescent="0.15">
      <c r="A1853" s="33" t="s">
        <v>32932</v>
      </c>
      <c r="B1853" s="33">
        <v>27</v>
      </c>
      <c r="C1853" s="33" t="s">
        <v>14</v>
      </c>
      <c r="D1853" s="33" t="s">
        <v>31</v>
      </c>
      <c r="E1853" s="42" t="s">
        <v>32933</v>
      </c>
      <c r="F1853" s="67">
        <v>43212</v>
      </c>
      <c r="G1853" s="33" t="s">
        <v>32934</v>
      </c>
      <c r="H1853" s="33" t="s">
        <v>32935</v>
      </c>
      <c r="I1853" s="33" t="s">
        <v>51</v>
      </c>
      <c r="J1853" s="33">
        <v>49460</v>
      </c>
      <c r="K1853" s="33" t="s">
        <v>7026</v>
      </c>
      <c r="L1853" s="33" t="s">
        <v>32936</v>
      </c>
      <c r="M1853" s="33" t="s">
        <v>21</v>
      </c>
      <c r="N1853" s="33" t="s">
        <v>32937</v>
      </c>
      <c r="O1853" s="33" t="s">
        <v>372</v>
      </c>
      <c r="P1853" s="33" t="s">
        <v>30089</v>
      </c>
      <c r="Q1853" s="42" t="s">
        <v>32938</v>
      </c>
      <c r="R1853" s="33" t="s">
        <v>94</v>
      </c>
      <c r="S1853" s="33" t="s">
        <v>22</v>
      </c>
      <c r="T1853" s="33" t="s">
        <v>26781</v>
      </c>
      <c r="U1853" s="33" t="s">
        <v>26572</v>
      </c>
      <c r="V1853" s="33" t="s">
        <v>26573</v>
      </c>
      <c r="W1853" s="33" t="s">
        <v>94</v>
      </c>
      <c r="X1853" s="33">
        <v>3635</v>
      </c>
      <c r="Z1853" s="33" t="s">
        <v>42967</v>
      </c>
      <c r="AA1853" s="33">
        <v>5813</v>
      </c>
    </row>
    <row r="1854" spans="1:27" ht="12" customHeight="1" x14ac:dyDescent="0.15">
      <c r="A1854" s="33" t="s">
        <v>32927</v>
      </c>
      <c r="B1854" s="33">
        <v>37</v>
      </c>
      <c r="C1854" s="33" t="s">
        <v>14</v>
      </c>
      <c r="D1854" s="33" t="s">
        <v>42</v>
      </c>
      <c r="E1854" s="42"/>
      <c r="F1854" s="67">
        <v>43212</v>
      </c>
      <c r="G1854" s="33" t="s">
        <v>32928</v>
      </c>
      <c r="H1854" s="33" t="s">
        <v>834</v>
      </c>
      <c r="I1854" s="33" t="s">
        <v>294</v>
      </c>
      <c r="J1854" s="33">
        <v>40218</v>
      </c>
      <c r="K1854" s="33" t="s">
        <v>1659</v>
      </c>
      <c r="L1854" s="33" t="s">
        <v>32929</v>
      </c>
      <c r="M1854" s="33" t="s">
        <v>21</v>
      </c>
      <c r="N1854" s="33" t="s">
        <v>32930</v>
      </c>
      <c r="O1854" s="33" t="s">
        <v>372</v>
      </c>
      <c r="P1854" s="33" t="s">
        <v>30089</v>
      </c>
      <c r="Q1854" s="42" t="s">
        <v>32931</v>
      </c>
      <c r="R1854" s="33" t="s">
        <v>94</v>
      </c>
      <c r="S1854" s="33" t="s">
        <v>22</v>
      </c>
      <c r="T1854" s="33" t="s">
        <v>26781</v>
      </c>
      <c r="U1854" s="33" t="s">
        <v>26572</v>
      </c>
      <c r="V1854" s="33" t="s">
        <v>26574</v>
      </c>
      <c r="W1854" s="33" t="s">
        <v>94</v>
      </c>
      <c r="X1854" s="33">
        <v>3639</v>
      </c>
      <c r="Z1854" s="33" t="s">
        <v>42968</v>
      </c>
      <c r="AA1854" s="33">
        <v>5814</v>
      </c>
    </row>
    <row r="1855" spans="1:27" ht="12" customHeight="1" x14ac:dyDescent="0.15">
      <c r="A1855" s="33" t="s">
        <v>32939</v>
      </c>
      <c r="B1855" s="33">
        <v>48</v>
      </c>
      <c r="C1855" s="33" t="s">
        <v>14</v>
      </c>
      <c r="D1855" s="33" t="s">
        <v>31</v>
      </c>
      <c r="E1855" s="42"/>
      <c r="F1855" s="67">
        <v>43211</v>
      </c>
      <c r="G1855" s="33" t="s">
        <v>32940</v>
      </c>
      <c r="H1855" s="33" t="s">
        <v>2634</v>
      </c>
      <c r="I1855" s="33" t="s">
        <v>342</v>
      </c>
      <c r="J1855" s="33">
        <v>50036</v>
      </c>
      <c r="K1855" s="33" t="s">
        <v>2634</v>
      </c>
      <c r="L1855" s="33" t="s">
        <v>32941</v>
      </c>
      <c r="M1855" s="33" t="s">
        <v>21</v>
      </c>
      <c r="N1855" s="33" t="s">
        <v>32942</v>
      </c>
      <c r="O1855" s="33" t="s">
        <v>372</v>
      </c>
      <c r="P1855" s="33" t="s">
        <v>30089</v>
      </c>
      <c r="Q1855" s="42" t="s">
        <v>32943</v>
      </c>
      <c r="R1855" s="33" t="s">
        <v>94</v>
      </c>
      <c r="S1855" s="33" t="s">
        <v>22</v>
      </c>
      <c r="T1855" s="33" t="s">
        <v>26774</v>
      </c>
      <c r="U1855" s="33" t="s">
        <v>26570</v>
      </c>
      <c r="W1855" s="33" t="s">
        <v>94</v>
      </c>
      <c r="X1855" s="33">
        <v>3632</v>
      </c>
      <c r="Z1855" s="33" t="s">
        <v>42967</v>
      </c>
      <c r="AA1855" s="33">
        <v>5812</v>
      </c>
    </row>
    <row r="1856" spans="1:27" ht="12" customHeight="1" x14ac:dyDescent="0.15">
      <c r="A1856" s="33" t="s">
        <v>32944</v>
      </c>
      <c r="B1856" s="33">
        <v>25</v>
      </c>
      <c r="C1856" s="33" t="s">
        <v>14</v>
      </c>
      <c r="D1856" s="33" t="s">
        <v>79</v>
      </c>
      <c r="E1856" s="42"/>
      <c r="F1856" s="67">
        <v>43211</v>
      </c>
      <c r="G1856" s="33" t="s">
        <v>32945</v>
      </c>
      <c r="H1856" s="33" t="s">
        <v>1116</v>
      </c>
      <c r="I1856" s="33" t="s">
        <v>298</v>
      </c>
      <c r="J1856" s="33">
        <v>38122</v>
      </c>
      <c r="K1856" s="33" t="s">
        <v>1117</v>
      </c>
      <c r="L1856" s="33" t="s">
        <v>1118</v>
      </c>
      <c r="M1856" s="33" t="s">
        <v>21</v>
      </c>
      <c r="N1856" s="33" t="s">
        <v>32946</v>
      </c>
      <c r="O1856" s="33" t="s">
        <v>372</v>
      </c>
      <c r="P1856" s="33" t="s">
        <v>30089</v>
      </c>
      <c r="Q1856" s="42" t="s">
        <v>32947</v>
      </c>
      <c r="R1856" s="33" t="s">
        <v>94</v>
      </c>
      <c r="S1856" s="33" t="s">
        <v>22</v>
      </c>
      <c r="T1856" s="33" t="s">
        <v>26781</v>
      </c>
      <c r="U1856" s="33" t="s">
        <v>26570</v>
      </c>
      <c r="V1856" s="33" t="s">
        <v>26574</v>
      </c>
      <c r="W1856" s="33" t="s">
        <v>94</v>
      </c>
      <c r="X1856" s="33">
        <v>3633</v>
      </c>
      <c r="Z1856" s="33" t="s">
        <v>42966</v>
      </c>
      <c r="AA1856" s="33">
        <v>5810</v>
      </c>
    </row>
    <row r="1857" spans="1:27" ht="12" customHeight="1" x14ac:dyDescent="0.15">
      <c r="A1857" s="33" t="s">
        <v>32948</v>
      </c>
      <c r="B1857" s="33">
        <v>89</v>
      </c>
      <c r="C1857" s="33" t="s">
        <v>14</v>
      </c>
      <c r="D1857" s="33" t="s">
        <v>24</v>
      </c>
      <c r="E1857" s="42"/>
      <c r="F1857" s="67">
        <v>43211</v>
      </c>
      <c r="G1857" s="33" t="s">
        <v>32949</v>
      </c>
      <c r="H1857" s="33" t="s">
        <v>32950</v>
      </c>
      <c r="I1857" s="33" t="s">
        <v>112</v>
      </c>
      <c r="J1857" s="33">
        <v>86337</v>
      </c>
      <c r="K1857" s="33" t="s">
        <v>166</v>
      </c>
      <c r="L1857" s="33" t="s">
        <v>32951</v>
      </c>
      <c r="M1857" s="33" t="s">
        <v>21</v>
      </c>
      <c r="N1857" s="33" t="s">
        <v>32952</v>
      </c>
      <c r="O1857" s="33" t="s">
        <v>372</v>
      </c>
      <c r="P1857" s="33" t="s">
        <v>30089</v>
      </c>
      <c r="Q1857" s="42" t="s">
        <v>32953</v>
      </c>
      <c r="R1857" s="33" t="s">
        <v>23</v>
      </c>
      <c r="S1857" s="33" t="s">
        <v>22</v>
      </c>
      <c r="T1857" s="33" t="s">
        <v>26781</v>
      </c>
      <c r="U1857" s="33" t="s">
        <v>26575</v>
      </c>
      <c r="V1857" s="33" t="s">
        <v>26573</v>
      </c>
      <c r="X1857" s="33">
        <v>4264</v>
      </c>
      <c r="Z1857" s="33" t="s">
        <v>42967</v>
      </c>
      <c r="AA1857" s="33">
        <v>5811</v>
      </c>
    </row>
    <row r="1858" spans="1:27" ht="12" customHeight="1" x14ac:dyDescent="0.15">
      <c r="A1858" s="33" t="s">
        <v>32954</v>
      </c>
      <c r="B1858" s="33">
        <v>18</v>
      </c>
      <c r="C1858" s="33" t="s">
        <v>14</v>
      </c>
      <c r="D1858" s="33" t="s">
        <v>31</v>
      </c>
      <c r="E1858" s="42" t="s">
        <v>32955</v>
      </c>
      <c r="F1858" s="67">
        <v>43210</v>
      </c>
      <c r="G1858" s="33" t="s">
        <v>32956</v>
      </c>
      <c r="H1858" s="33" t="s">
        <v>32957</v>
      </c>
      <c r="I1858" s="33" t="s">
        <v>38</v>
      </c>
      <c r="J1858" s="33">
        <v>61755</v>
      </c>
      <c r="K1858" s="33" t="s">
        <v>8318</v>
      </c>
      <c r="L1858" s="33" t="s">
        <v>36471</v>
      </c>
      <c r="M1858" s="33" t="s">
        <v>21</v>
      </c>
      <c r="N1858" s="33" t="s">
        <v>32958</v>
      </c>
      <c r="O1858" s="33" t="s">
        <v>372</v>
      </c>
      <c r="P1858" s="33" t="s">
        <v>30089</v>
      </c>
      <c r="Q1858" s="42" t="s">
        <v>32959</v>
      </c>
      <c r="R1858" s="33" t="s">
        <v>94</v>
      </c>
      <c r="S1858" s="33" t="s">
        <v>22</v>
      </c>
      <c r="T1858" s="33" t="s">
        <v>26781</v>
      </c>
      <c r="U1858" s="33" t="s">
        <v>26572</v>
      </c>
      <c r="V1858" s="33" t="s">
        <v>26573</v>
      </c>
      <c r="W1858" s="33" t="s">
        <v>94</v>
      </c>
      <c r="X1858" s="33">
        <v>3638</v>
      </c>
      <c r="Z1858" s="33" t="s">
        <v>42967</v>
      </c>
      <c r="AA1858" s="33">
        <v>5807</v>
      </c>
    </row>
    <row r="1859" spans="1:27" ht="12" customHeight="1" x14ac:dyDescent="0.15">
      <c r="A1859" s="33" t="s">
        <v>32960</v>
      </c>
      <c r="B1859" s="33">
        <v>49</v>
      </c>
      <c r="C1859" s="33" t="s">
        <v>14</v>
      </c>
      <c r="D1859" s="33" t="s">
        <v>31</v>
      </c>
      <c r="E1859" s="42" t="s">
        <v>32961</v>
      </c>
      <c r="F1859" s="67">
        <v>43210</v>
      </c>
      <c r="G1859" s="33" t="s">
        <v>32962</v>
      </c>
      <c r="H1859" s="33" t="s">
        <v>32963</v>
      </c>
      <c r="I1859" s="33" t="s">
        <v>39</v>
      </c>
      <c r="J1859" s="33">
        <v>95631</v>
      </c>
      <c r="K1859" s="33" t="s">
        <v>1003</v>
      </c>
      <c r="L1859" s="33" t="s">
        <v>897</v>
      </c>
      <c r="M1859" s="33" t="s">
        <v>21</v>
      </c>
      <c r="N1859" s="33" t="s">
        <v>32964</v>
      </c>
      <c r="O1859" s="33" t="s">
        <v>372</v>
      </c>
      <c r="P1859" s="33" t="s">
        <v>30089</v>
      </c>
      <c r="Q1859" s="42" t="s">
        <v>32965</v>
      </c>
      <c r="R1859" s="33" t="s">
        <v>512</v>
      </c>
      <c r="S1859" s="33" t="s">
        <v>351</v>
      </c>
      <c r="T1859" s="33" t="s">
        <v>26867</v>
      </c>
      <c r="U1859" s="33" t="s">
        <v>26570</v>
      </c>
      <c r="V1859" s="33" t="s">
        <v>26571</v>
      </c>
      <c r="W1859" s="33" t="s">
        <v>94</v>
      </c>
      <c r="X1859" s="33">
        <v>3634</v>
      </c>
      <c r="Z1859" s="33" t="s">
        <v>42967</v>
      </c>
      <c r="AA1859" s="33">
        <v>5809</v>
      </c>
    </row>
    <row r="1860" spans="1:27" ht="12" customHeight="1" x14ac:dyDescent="0.15">
      <c r="A1860" s="33" t="s">
        <v>32966</v>
      </c>
      <c r="B1860" s="33">
        <v>48</v>
      </c>
      <c r="C1860" s="33" t="s">
        <v>14</v>
      </c>
      <c r="D1860" s="33" t="s">
        <v>79</v>
      </c>
      <c r="E1860" s="42"/>
      <c r="F1860" s="67">
        <v>43210</v>
      </c>
      <c r="G1860" s="33" t="s">
        <v>32967</v>
      </c>
      <c r="H1860" s="33" t="s">
        <v>997</v>
      </c>
      <c r="I1860" s="33" t="s">
        <v>56</v>
      </c>
      <c r="J1860" s="33">
        <v>32805</v>
      </c>
      <c r="K1860" s="33" t="s">
        <v>998</v>
      </c>
      <c r="L1860" s="33" t="s">
        <v>4077</v>
      </c>
      <c r="M1860" s="33" t="s">
        <v>21</v>
      </c>
      <c r="N1860" s="33" t="s">
        <v>32968</v>
      </c>
      <c r="O1860" s="33" t="s">
        <v>372</v>
      </c>
      <c r="P1860" s="33" t="s">
        <v>30089</v>
      </c>
      <c r="Q1860" s="42" t="s">
        <v>32969</v>
      </c>
      <c r="R1860" s="33" t="s">
        <v>94</v>
      </c>
      <c r="S1860" s="33" t="s">
        <v>29</v>
      </c>
      <c r="T1860" s="33" t="s">
        <v>26575</v>
      </c>
      <c r="U1860" s="33" t="s">
        <v>26570</v>
      </c>
      <c r="W1860" s="33" t="s">
        <v>94</v>
      </c>
      <c r="X1860" s="33">
        <v>3636</v>
      </c>
      <c r="Z1860" s="33" t="s">
        <v>42966</v>
      </c>
      <c r="AA1860" s="33">
        <v>5808</v>
      </c>
    </row>
    <row r="1861" spans="1:27" ht="12" customHeight="1" x14ac:dyDescent="0.15">
      <c r="A1861" s="33" t="s">
        <v>32984</v>
      </c>
      <c r="B1861" s="33">
        <v>32</v>
      </c>
      <c r="C1861" s="33" t="s">
        <v>14</v>
      </c>
      <c r="D1861" s="33" t="s">
        <v>31</v>
      </c>
      <c r="E1861" s="42" t="s">
        <v>32985</v>
      </c>
      <c r="F1861" s="67">
        <v>43208</v>
      </c>
      <c r="G1861" s="33" t="s">
        <v>32986</v>
      </c>
      <c r="H1861" s="33" t="s">
        <v>18695</v>
      </c>
      <c r="I1861" s="33" t="s">
        <v>160</v>
      </c>
      <c r="J1861" s="33">
        <v>30134</v>
      </c>
      <c r="K1861" s="33" t="s">
        <v>882</v>
      </c>
      <c r="L1861" s="33" t="s">
        <v>1524</v>
      </c>
      <c r="M1861" s="33" t="s">
        <v>21</v>
      </c>
      <c r="N1861" s="33" t="s">
        <v>32987</v>
      </c>
      <c r="O1861" s="33" t="s">
        <v>372</v>
      </c>
      <c r="P1861" s="33" t="s">
        <v>30089</v>
      </c>
      <c r="Q1861" s="42" t="s">
        <v>32988</v>
      </c>
      <c r="R1861" s="33" t="s">
        <v>512</v>
      </c>
      <c r="S1861" s="33" t="s">
        <v>22</v>
      </c>
      <c r="T1861" s="33" t="s">
        <v>26774</v>
      </c>
      <c r="U1861" s="33" t="s">
        <v>26572</v>
      </c>
      <c r="V1861" s="33" t="s">
        <v>26573</v>
      </c>
      <c r="W1861" s="33" t="s">
        <v>512</v>
      </c>
      <c r="X1861" s="33">
        <v>3626</v>
      </c>
      <c r="Z1861" s="33" t="s">
        <v>42968</v>
      </c>
      <c r="AA1861" s="33">
        <v>5805</v>
      </c>
    </row>
    <row r="1862" spans="1:27" ht="12" customHeight="1" x14ac:dyDescent="0.15">
      <c r="A1862" s="33" t="s">
        <v>32980</v>
      </c>
      <c r="B1862" s="33">
        <v>31</v>
      </c>
      <c r="C1862" s="33" t="s">
        <v>14</v>
      </c>
      <c r="D1862" s="33" t="s">
        <v>79</v>
      </c>
      <c r="E1862" s="42" t="s">
        <v>32981</v>
      </c>
      <c r="F1862" s="67">
        <v>43208</v>
      </c>
      <c r="G1862" s="33" t="s">
        <v>33141</v>
      </c>
      <c r="H1862" s="33" t="s">
        <v>2046</v>
      </c>
      <c r="I1862" s="33" t="s">
        <v>56</v>
      </c>
      <c r="J1862" s="33">
        <v>33311</v>
      </c>
      <c r="K1862" s="33" t="s">
        <v>1052</v>
      </c>
      <c r="L1862" s="33" t="s">
        <v>5161</v>
      </c>
      <c r="M1862" s="33" t="s">
        <v>21</v>
      </c>
      <c r="N1862" s="33" t="s">
        <v>32982</v>
      </c>
      <c r="O1862" s="33" t="s">
        <v>372</v>
      </c>
      <c r="P1862" s="33" t="s">
        <v>30089</v>
      </c>
      <c r="Q1862" s="42" t="s">
        <v>32983</v>
      </c>
      <c r="R1862" s="33" t="s">
        <v>94</v>
      </c>
      <c r="S1862" s="33" t="s">
        <v>22</v>
      </c>
      <c r="T1862" s="33" t="s">
        <v>26781</v>
      </c>
      <c r="U1862" s="33" t="s">
        <v>26572</v>
      </c>
      <c r="V1862" s="33" t="s">
        <v>26573</v>
      </c>
      <c r="W1862" s="33" t="s">
        <v>94</v>
      </c>
      <c r="X1862" s="33">
        <v>3628</v>
      </c>
      <c r="Z1862" s="33" t="s">
        <v>42968</v>
      </c>
      <c r="AA1862" s="33">
        <v>5803</v>
      </c>
    </row>
    <row r="1863" spans="1:27" ht="12" customHeight="1" x14ac:dyDescent="0.15">
      <c r="A1863" s="33" t="s">
        <v>32974</v>
      </c>
      <c r="B1863" s="33">
        <v>48</v>
      </c>
      <c r="C1863" s="33" t="s">
        <v>14</v>
      </c>
      <c r="D1863" s="33" t="s">
        <v>79</v>
      </c>
      <c r="E1863" s="42" t="s">
        <v>32975</v>
      </c>
      <c r="F1863" s="67">
        <v>43208</v>
      </c>
      <c r="G1863" s="33" t="s">
        <v>32976</v>
      </c>
      <c r="H1863" s="33" t="s">
        <v>2180</v>
      </c>
      <c r="I1863" s="33" t="s">
        <v>51</v>
      </c>
      <c r="J1863" s="33">
        <v>49048</v>
      </c>
      <c r="K1863" s="33" t="s">
        <v>2180</v>
      </c>
      <c r="L1863" s="33" t="s">
        <v>32977</v>
      </c>
      <c r="M1863" s="33" t="s">
        <v>21</v>
      </c>
      <c r="N1863" s="33" t="s">
        <v>32978</v>
      </c>
      <c r="O1863" s="33" t="s">
        <v>372</v>
      </c>
      <c r="P1863" s="33" t="s">
        <v>30089</v>
      </c>
      <c r="Q1863" s="42" t="s">
        <v>32979</v>
      </c>
      <c r="R1863" s="33" t="s">
        <v>94</v>
      </c>
      <c r="S1863" s="33" t="s">
        <v>22</v>
      </c>
      <c r="T1863" s="33" t="s">
        <v>26781</v>
      </c>
      <c r="U1863" s="33" t="s">
        <v>26572</v>
      </c>
      <c r="V1863" s="33" t="s">
        <v>26573</v>
      </c>
      <c r="W1863" s="33" t="s">
        <v>94</v>
      </c>
      <c r="X1863" s="33">
        <v>3630</v>
      </c>
      <c r="Z1863" s="33" t="s">
        <v>42968</v>
      </c>
      <c r="AA1863" s="33">
        <v>5804</v>
      </c>
    </row>
    <row r="1864" spans="1:27" ht="12" customHeight="1" x14ac:dyDescent="0.15">
      <c r="A1864" s="33" t="s">
        <v>32970</v>
      </c>
      <c r="B1864" s="33">
        <v>45</v>
      </c>
      <c r="C1864" s="33" t="s">
        <v>14</v>
      </c>
      <c r="D1864" s="33" t="s">
        <v>31</v>
      </c>
      <c r="E1864" s="42" t="s">
        <v>32971</v>
      </c>
      <c r="F1864" s="67">
        <v>43208</v>
      </c>
      <c r="G1864" s="33" t="s">
        <v>33140</v>
      </c>
      <c r="H1864" s="33" t="s">
        <v>3846</v>
      </c>
      <c r="I1864" s="33" t="s">
        <v>402</v>
      </c>
      <c r="J1864" s="33">
        <v>65757</v>
      </c>
      <c r="K1864" s="33" t="s">
        <v>4549</v>
      </c>
      <c r="L1864" s="33" t="s">
        <v>11598</v>
      </c>
      <c r="M1864" s="33" t="s">
        <v>21</v>
      </c>
      <c r="N1864" s="33" t="s">
        <v>32972</v>
      </c>
      <c r="O1864" s="33" t="s">
        <v>31862</v>
      </c>
      <c r="P1864" s="33" t="s">
        <v>30089</v>
      </c>
      <c r="Q1864" s="42" t="s">
        <v>32973</v>
      </c>
      <c r="R1864" s="33" t="s">
        <v>94</v>
      </c>
      <c r="S1864" s="33" t="s">
        <v>22</v>
      </c>
      <c r="T1864" s="33" t="s">
        <v>26781</v>
      </c>
      <c r="U1864" s="33" t="s">
        <v>26572</v>
      </c>
      <c r="V1864" s="33" t="s">
        <v>26574</v>
      </c>
      <c r="W1864" s="33" t="s">
        <v>94</v>
      </c>
      <c r="X1864" s="33">
        <v>3627</v>
      </c>
      <c r="Z1864" s="33" t="s">
        <v>42967</v>
      </c>
      <c r="AA1864" s="33">
        <v>5802</v>
      </c>
    </row>
    <row r="1865" spans="1:27" ht="12" customHeight="1" x14ac:dyDescent="0.15">
      <c r="A1865" s="33" t="s">
        <v>32989</v>
      </c>
      <c r="B1865" s="33">
        <v>32</v>
      </c>
      <c r="C1865" s="33" t="s">
        <v>14</v>
      </c>
      <c r="D1865" s="33" t="s">
        <v>128</v>
      </c>
      <c r="E1865" s="42" t="s">
        <v>32990</v>
      </c>
      <c r="F1865" s="67">
        <v>43208</v>
      </c>
      <c r="G1865" s="33" t="s">
        <v>32991</v>
      </c>
      <c r="H1865" s="33" t="s">
        <v>220</v>
      </c>
      <c r="I1865" s="33" t="s">
        <v>221</v>
      </c>
      <c r="J1865" s="33">
        <v>84105</v>
      </c>
      <c r="K1865" s="33" t="s">
        <v>564</v>
      </c>
      <c r="L1865" s="33" t="s">
        <v>222</v>
      </c>
      <c r="M1865" s="33" t="s">
        <v>21</v>
      </c>
      <c r="N1865" s="33" t="s">
        <v>32992</v>
      </c>
      <c r="O1865" s="33" t="s">
        <v>372</v>
      </c>
      <c r="P1865" s="33" t="s">
        <v>30089</v>
      </c>
      <c r="Q1865" s="42" t="s">
        <v>32993</v>
      </c>
      <c r="R1865" s="33" t="s">
        <v>94</v>
      </c>
      <c r="S1865" s="33" t="s">
        <v>29</v>
      </c>
      <c r="T1865" s="33" t="s">
        <v>26575</v>
      </c>
      <c r="U1865" s="33" t="s">
        <v>26570</v>
      </c>
      <c r="V1865" s="33" t="s">
        <v>26573</v>
      </c>
      <c r="W1865" s="33" t="s">
        <v>94</v>
      </c>
      <c r="X1865" s="33">
        <v>3629</v>
      </c>
      <c r="Z1865" s="33" t="s">
        <v>42966</v>
      </c>
      <c r="AA1865" s="33">
        <v>5806</v>
      </c>
    </row>
    <row r="1866" spans="1:27" ht="12" customHeight="1" x14ac:dyDescent="0.15">
      <c r="A1866" s="33" t="s">
        <v>33000</v>
      </c>
      <c r="B1866" s="33">
        <v>25</v>
      </c>
      <c r="C1866" s="33" t="s">
        <v>14</v>
      </c>
      <c r="D1866" s="33" t="s">
        <v>79</v>
      </c>
      <c r="E1866" s="42"/>
      <c r="F1866" s="67">
        <v>43207</v>
      </c>
      <c r="G1866" s="33" t="s">
        <v>33001</v>
      </c>
      <c r="H1866" s="33" t="s">
        <v>27360</v>
      </c>
      <c r="I1866" s="33" t="s">
        <v>160</v>
      </c>
      <c r="J1866" s="33">
        <v>30168</v>
      </c>
      <c r="K1866" s="33" t="s">
        <v>3052</v>
      </c>
      <c r="L1866" s="33" t="s">
        <v>3053</v>
      </c>
      <c r="M1866" s="33" t="s">
        <v>21</v>
      </c>
      <c r="N1866" s="33" t="s">
        <v>33002</v>
      </c>
      <c r="O1866" s="33" t="s">
        <v>372</v>
      </c>
      <c r="P1866" s="33" t="s">
        <v>30089</v>
      </c>
      <c r="Q1866" s="42" t="s">
        <v>33003</v>
      </c>
      <c r="R1866" s="33" t="s">
        <v>904</v>
      </c>
      <c r="S1866" s="33" t="s">
        <v>351</v>
      </c>
      <c r="T1866" s="33" t="s">
        <v>26867</v>
      </c>
      <c r="U1866" s="33" t="s">
        <v>26572</v>
      </c>
      <c r="V1866" s="33" t="s">
        <v>26571</v>
      </c>
      <c r="W1866" s="33" t="s">
        <v>94</v>
      </c>
      <c r="X1866" s="33">
        <v>3624</v>
      </c>
      <c r="Z1866" s="33" t="s">
        <v>42968</v>
      </c>
      <c r="AA1866" s="33">
        <v>5799</v>
      </c>
    </row>
    <row r="1867" spans="1:27" ht="12" customHeight="1" x14ac:dyDescent="0.15">
      <c r="A1867" s="33" t="s">
        <v>33004</v>
      </c>
      <c r="B1867" s="33">
        <v>39</v>
      </c>
      <c r="C1867" s="33" t="s">
        <v>14</v>
      </c>
      <c r="D1867" s="33" t="s">
        <v>31</v>
      </c>
      <c r="E1867" s="42"/>
      <c r="F1867" s="67">
        <v>43207</v>
      </c>
      <c r="G1867" s="33" t="s">
        <v>33142</v>
      </c>
      <c r="H1867" s="33" t="s">
        <v>3928</v>
      </c>
      <c r="I1867" s="33" t="s">
        <v>367</v>
      </c>
      <c r="J1867" s="33">
        <v>73460</v>
      </c>
      <c r="K1867" s="33" t="s">
        <v>20547</v>
      </c>
      <c r="L1867" s="33" t="s">
        <v>33005</v>
      </c>
      <c r="M1867" s="33" t="s">
        <v>21</v>
      </c>
      <c r="N1867" s="33" t="s">
        <v>33006</v>
      </c>
      <c r="O1867" s="33" t="s">
        <v>372</v>
      </c>
      <c r="P1867" s="33" t="s">
        <v>30089</v>
      </c>
      <c r="Q1867" s="42" t="s">
        <v>33007</v>
      </c>
      <c r="R1867" s="33" t="s">
        <v>94</v>
      </c>
      <c r="S1867" s="33" t="s">
        <v>351</v>
      </c>
      <c r="T1867" s="33" t="s">
        <v>26867</v>
      </c>
      <c r="U1867" s="33" t="s">
        <v>26572</v>
      </c>
      <c r="V1867" s="33" t="s">
        <v>26571</v>
      </c>
      <c r="W1867" s="33" t="s">
        <v>94</v>
      </c>
      <c r="X1867" s="33">
        <v>3625</v>
      </c>
      <c r="Z1867" s="33" t="s">
        <v>42967</v>
      </c>
      <c r="AA1867" s="33">
        <v>5800</v>
      </c>
    </row>
    <row r="1868" spans="1:27" ht="12" customHeight="1" x14ac:dyDescent="0.15">
      <c r="A1868" s="33" t="s">
        <v>32994</v>
      </c>
      <c r="B1868" s="33">
        <v>40</v>
      </c>
      <c r="C1868" s="33" t="s">
        <v>14</v>
      </c>
      <c r="D1868" s="33" t="s">
        <v>31</v>
      </c>
      <c r="E1868" s="42" t="s">
        <v>32995</v>
      </c>
      <c r="F1868" s="67">
        <v>43207</v>
      </c>
      <c r="G1868" s="33" t="s">
        <v>32996</v>
      </c>
      <c r="H1868" s="33" t="s">
        <v>17067</v>
      </c>
      <c r="I1868" s="33" t="s">
        <v>294</v>
      </c>
      <c r="J1868" s="33">
        <v>42717</v>
      </c>
      <c r="K1868" s="33" t="s">
        <v>2907</v>
      </c>
      <c r="L1868" s="33" t="s">
        <v>32997</v>
      </c>
      <c r="M1868" s="33" t="s">
        <v>21</v>
      </c>
      <c r="N1868" s="33" t="s">
        <v>32998</v>
      </c>
      <c r="O1868" s="33" t="s">
        <v>372</v>
      </c>
      <c r="P1868" s="33" t="s">
        <v>30089</v>
      </c>
      <c r="Q1868" s="42" t="s">
        <v>32999</v>
      </c>
      <c r="R1868" s="33" t="s">
        <v>94</v>
      </c>
      <c r="S1868" s="33" t="s">
        <v>351</v>
      </c>
      <c r="T1868" s="33" t="s">
        <v>26867</v>
      </c>
      <c r="U1868" s="33" t="s">
        <v>26572</v>
      </c>
      <c r="V1868" s="33" t="s">
        <v>26571</v>
      </c>
      <c r="W1868" s="33" t="s">
        <v>94</v>
      </c>
      <c r="X1868" s="33">
        <v>3631</v>
      </c>
      <c r="Z1868" s="33" t="s">
        <v>42967</v>
      </c>
      <c r="AA1868" s="33">
        <v>5801</v>
      </c>
    </row>
    <row r="1869" spans="1:27" ht="12" customHeight="1" x14ac:dyDescent="0.15">
      <c r="A1869" s="33" t="s">
        <v>33008</v>
      </c>
      <c r="B1869" s="33">
        <v>41</v>
      </c>
      <c r="C1869" s="33" t="s">
        <v>14</v>
      </c>
      <c r="D1869" s="33" t="s">
        <v>79</v>
      </c>
      <c r="E1869" s="42" t="s">
        <v>33009</v>
      </c>
      <c r="F1869" s="67">
        <v>43207</v>
      </c>
      <c r="G1869" s="33" t="s">
        <v>33010</v>
      </c>
      <c r="H1869" s="33" t="s">
        <v>5927</v>
      </c>
      <c r="I1869" s="33" t="s">
        <v>221</v>
      </c>
      <c r="J1869" s="33">
        <v>84044</v>
      </c>
      <c r="K1869" s="33" t="s">
        <v>564</v>
      </c>
      <c r="L1869" s="33" t="s">
        <v>33011</v>
      </c>
      <c r="M1869" s="33" t="s">
        <v>21</v>
      </c>
      <c r="N1869" s="33" t="s">
        <v>33012</v>
      </c>
      <c r="O1869" s="33" t="s">
        <v>372</v>
      </c>
      <c r="P1869" s="33" t="s">
        <v>30089</v>
      </c>
      <c r="Q1869" s="42" t="s">
        <v>33013</v>
      </c>
      <c r="R1869" s="33" t="s">
        <v>512</v>
      </c>
      <c r="S1869" s="33" t="s">
        <v>29</v>
      </c>
      <c r="T1869" s="33" t="s">
        <v>26586</v>
      </c>
      <c r="U1869" s="33" t="s">
        <v>26572</v>
      </c>
      <c r="V1869" s="33" t="s">
        <v>26571</v>
      </c>
      <c r="W1869" s="33" t="s">
        <v>94</v>
      </c>
      <c r="X1869" s="33">
        <v>3622</v>
      </c>
      <c r="Z1869" s="33" t="s">
        <v>42968</v>
      </c>
      <c r="AA1869" s="33">
        <v>5798</v>
      </c>
    </row>
    <row r="1870" spans="1:27" ht="12" customHeight="1" x14ac:dyDescent="0.15">
      <c r="A1870" s="33" t="s">
        <v>33014</v>
      </c>
      <c r="B1870" s="33">
        <v>36</v>
      </c>
      <c r="C1870" s="33" t="s">
        <v>14</v>
      </c>
      <c r="D1870" s="33" t="s">
        <v>128</v>
      </c>
      <c r="E1870" s="42"/>
      <c r="F1870" s="67">
        <v>43205</v>
      </c>
      <c r="G1870" s="33" t="s">
        <v>33015</v>
      </c>
      <c r="H1870" s="33" t="s">
        <v>33016</v>
      </c>
      <c r="I1870" s="33" t="s">
        <v>798</v>
      </c>
      <c r="J1870" s="33">
        <v>59050</v>
      </c>
      <c r="K1870" s="33" t="s">
        <v>7808</v>
      </c>
      <c r="L1870" s="33" t="s">
        <v>33017</v>
      </c>
      <c r="M1870" s="33" t="s">
        <v>21</v>
      </c>
      <c r="N1870" s="33" t="s">
        <v>33018</v>
      </c>
      <c r="O1870" s="33" t="s">
        <v>372</v>
      </c>
      <c r="P1870" s="33" t="s">
        <v>30089</v>
      </c>
      <c r="Q1870" s="42" t="s">
        <v>33019</v>
      </c>
      <c r="R1870" s="33" t="s">
        <v>904</v>
      </c>
      <c r="S1870" s="33" t="s">
        <v>22</v>
      </c>
      <c r="T1870" s="33" t="s">
        <v>26774</v>
      </c>
      <c r="U1870" s="33" t="s">
        <v>26570</v>
      </c>
      <c r="V1870" s="33" t="s">
        <v>26573</v>
      </c>
      <c r="W1870" s="33" t="s">
        <v>94</v>
      </c>
      <c r="X1870" s="33">
        <v>3616</v>
      </c>
      <c r="Z1870" s="33" t="s">
        <v>42967</v>
      </c>
      <c r="AA1870" s="33">
        <v>5797</v>
      </c>
    </row>
    <row r="1871" spans="1:27" ht="12" customHeight="1" x14ac:dyDescent="0.15">
      <c r="A1871" s="33" t="s">
        <v>33026</v>
      </c>
      <c r="B1871" s="33">
        <v>55</v>
      </c>
      <c r="C1871" s="33" t="s">
        <v>14</v>
      </c>
      <c r="D1871" s="33" t="s">
        <v>42</v>
      </c>
      <c r="E1871" s="42"/>
      <c r="F1871" s="67">
        <v>43204</v>
      </c>
      <c r="G1871" s="33" t="s">
        <v>33027</v>
      </c>
      <c r="H1871" s="33" t="s">
        <v>21407</v>
      </c>
      <c r="I1871" s="33" t="s">
        <v>75</v>
      </c>
      <c r="J1871" s="33">
        <v>8332</v>
      </c>
      <c r="K1871" s="33" t="s">
        <v>2907</v>
      </c>
      <c r="L1871" s="33" t="s">
        <v>33028</v>
      </c>
      <c r="M1871" s="33" t="s">
        <v>21</v>
      </c>
      <c r="N1871" s="33" t="s">
        <v>33029</v>
      </c>
      <c r="O1871" s="33" t="s">
        <v>372</v>
      </c>
      <c r="P1871" s="33" t="s">
        <v>30089</v>
      </c>
      <c r="Q1871" s="42" t="s">
        <v>33030</v>
      </c>
      <c r="R1871" s="33" t="s">
        <v>94</v>
      </c>
      <c r="S1871" s="33" t="s">
        <v>29</v>
      </c>
      <c r="T1871" s="33" t="s">
        <v>26575</v>
      </c>
      <c r="U1871" s="33" t="s">
        <v>26570</v>
      </c>
      <c r="V1871" s="33" t="s">
        <v>26571</v>
      </c>
      <c r="W1871" s="33" t="s">
        <v>94</v>
      </c>
      <c r="X1871" s="33">
        <v>3617</v>
      </c>
      <c r="Z1871" s="33" t="s">
        <v>42968</v>
      </c>
      <c r="AA1871" s="33">
        <v>5795</v>
      </c>
    </row>
    <row r="1872" spans="1:27" ht="12" customHeight="1" x14ac:dyDescent="0.15">
      <c r="A1872" s="33" t="s">
        <v>33020</v>
      </c>
      <c r="B1872" s="33">
        <v>32</v>
      </c>
      <c r="C1872" s="33" t="s">
        <v>14</v>
      </c>
      <c r="D1872" s="33" t="s">
        <v>31</v>
      </c>
      <c r="E1872" s="42"/>
      <c r="F1872" s="67">
        <v>43204</v>
      </c>
      <c r="G1872" s="33" t="s">
        <v>33143</v>
      </c>
      <c r="H1872" s="33" t="s">
        <v>1935</v>
      </c>
      <c r="I1872" s="33" t="s">
        <v>160</v>
      </c>
      <c r="J1872" s="33">
        <v>30117</v>
      </c>
      <c r="K1872" s="33" t="s">
        <v>1937</v>
      </c>
      <c r="L1872" s="33" t="s">
        <v>3970</v>
      </c>
      <c r="M1872" s="33" t="s">
        <v>21</v>
      </c>
      <c r="N1872" s="33" t="s">
        <v>36472</v>
      </c>
      <c r="O1872" s="33" t="s">
        <v>372</v>
      </c>
      <c r="P1872" s="33" t="s">
        <v>30089</v>
      </c>
      <c r="Q1872" s="42" t="s">
        <v>33021</v>
      </c>
      <c r="R1872" s="33" t="s">
        <v>904</v>
      </c>
      <c r="S1872" s="33" t="s">
        <v>351</v>
      </c>
      <c r="T1872" s="33" t="s">
        <v>26867</v>
      </c>
      <c r="U1872" s="33" t="s">
        <v>26572</v>
      </c>
      <c r="V1872" s="33" t="s">
        <v>26573</v>
      </c>
      <c r="W1872" s="33" t="s">
        <v>94</v>
      </c>
      <c r="X1872" s="33">
        <v>3619</v>
      </c>
      <c r="Z1872" s="33" t="s">
        <v>42968</v>
      </c>
      <c r="AA1872" s="33">
        <v>5796</v>
      </c>
    </row>
    <row r="1873" spans="1:27" ht="12" customHeight="1" x14ac:dyDescent="0.15">
      <c r="A1873" s="33" t="s">
        <v>33031</v>
      </c>
      <c r="B1873" s="33">
        <v>44</v>
      </c>
      <c r="C1873" s="33" t="s">
        <v>14</v>
      </c>
      <c r="D1873" s="33" t="s">
        <v>42</v>
      </c>
      <c r="E1873" s="42"/>
      <c r="F1873" s="67">
        <v>43204</v>
      </c>
      <c r="G1873" s="33" t="s">
        <v>33032</v>
      </c>
      <c r="H1873" s="33" t="s">
        <v>584</v>
      </c>
      <c r="I1873" s="33" t="s">
        <v>112</v>
      </c>
      <c r="J1873" s="33">
        <v>85041</v>
      </c>
      <c r="K1873" s="33" t="s">
        <v>585</v>
      </c>
      <c r="L1873" s="33" t="s">
        <v>586</v>
      </c>
      <c r="M1873" s="33" t="s">
        <v>21</v>
      </c>
      <c r="N1873" s="33" t="s">
        <v>33033</v>
      </c>
      <c r="O1873" s="33" t="s">
        <v>372</v>
      </c>
      <c r="P1873" s="33" t="s">
        <v>30089</v>
      </c>
      <c r="Q1873" s="42" t="s">
        <v>33034</v>
      </c>
      <c r="R1873" s="33" t="s">
        <v>904</v>
      </c>
      <c r="S1873" s="33" t="s">
        <v>22</v>
      </c>
      <c r="T1873" s="33" t="s">
        <v>26781</v>
      </c>
      <c r="U1873" s="33" t="s">
        <v>26572</v>
      </c>
      <c r="V1873" s="33" t="s">
        <v>26573</v>
      </c>
      <c r="W1873" s="33" t="s">
        <v>94</v>
      </c>
      <c r="X1873" s="33">
        <v>3620</v>
      </c>
      <c r="Z1873" s="33" t="s">
        <v>42968</v>
      </c>
      <c r="AA1873" s="33">
        <v>5794</v>
      </c>
    </row>
    <row r="1874" spans="1:27" ht="12" customHeight="1" x14ac:dyDescent="0.15">
      <c r="A1874" s="33" t="s">
        <v>33022</v>
      </c>
      <c r="B1874" s="33">
        <v>39</v>
      </c>
      <c r="C1874" s="33" t="s">
        <v>14</v>
      </c>
      <c r="D1874" s="33" t="s">
        <v>79</v>
      </c>
      <c r="E1874" s="42"/>
      <c r="F1874" s="67">
        <v>43204</v>
      </c>
      <c r="G1874" s="33" t="s">
        <v>33023</v>
      </c>
      <c r="H1874" s="33" t="s">
        <v>584</v>
      </c>
      <c r="I1874" s="33" t="s">
        <v>112</v>
      </c>
      <c r="J1874" s="33">
        <v>85013</v>
      </c>
      <c r="K1874" s="33" t="s">
        <v>585</v>
      </c>
      <c r="L1874" s="33" t="s">
        <v>586</v>
      </c>
      <c r="M1874" s="33" t="s">
        <v>21</v>
      </c>
      <c r="N1874" s="33" t="s">
        <v>33024</v>
      </c>
      <c r="O1874" s="33" t="s">
        <v>372</v>
      </c>
      <c r="P1874" s="33" t="s">
        <v>30089</v>
      </c>
      <c r="Q1874" s="42" t="s">
        <v>33025</v>
      </c>
      <c r="R1874" s="33" t="s">
        <v>94</v>
      </c>
      <c r="S1874" s="33" t="s">
        <v>22</v>
      </c>
      <c r="T1874" s="33" t="s">
        <v>26781</v>
      </c>
      <c r="U1874" s="33" t="s">
        <v>26572</v>
      </c>
      <c r="V1874" s="33" t="s">
        <v>19228</v>
      </c>
      <c r="W1874" s="33" t="s">
        <v>94</v>
      </c>
      <c r="X1874" s="33">
        <v>3618</v>
      </c>
      <c r="Z1874" s="33" t="s">
        <v>42966</v>
      </c>
      <c r="AA1874" s="33">
        <v>5793</v>
      </c>
    </row>
    <row r="1875" spans="1:27" ht="12" customHeight="1" x14ac:dyDescent="0.15">
      <c r="A1875" s="33" t="s">
        <v>33035</v>
      </c>
      <c r="B1875" s="33">
        <v>31</v>
      </c>
      <c r="C1875" s="33" t="s">
        <v>14</v>
      </c>
      <c r="D1875" s="33" t="s">
        <v>31</v>
      </c>
      <c r="E1875" s="42" t="s">
        <v>33036</v>
      </c>
      <c r="F1875" s="67">
        <v>43203</v>
      </c>
      <c r="G1875" s="33" t="s">
        <v>33037</v>
      </c>
      <c r="H1875" s="33" t="s">
        <v>33038</v>
      </c>
      <c r="I1875" s="33" t="s">
        <v>192</v>
      </c>
      <c r="J1875" s="33">
        <v>80229</v>
      </c>
      <c r="K1875" s="33" t="s">
        <v>1790</v>
      </c>
      <c r="L1875" s="33" t="s">
        <v>5161</v>
      </c>
      <c r="M1875" s="33" t="s">
        <v>21</v>
      </c>
      <c r="N1875" s="33" t="s">
        <v>36473</v>
      </c>
      <c r="O1875" s="33" t="s">
        <v>372</v>
      </c>
      <c r="P1875" s="33" t="s">
        <v>30089</v>
      </c>
      <c r="Q1875" s="42" t="s">
        <v>33039</v>
      </c>
      <c r="R1875" s="33" t="s">
        <v>94</v>
      </c>
      <c r="S1875" s="33" t="s">
        <v>29</v>
      </c>
      <c r="T1875" s="33" t="s">
        <v>26575</v>
      </c>
      <c r="U1875" s="33" t="s">
        <v>26575</v>
      </c>
      <c r="W1875" s="33" t="s">
        <v>94</v>
      </c>
      <c r="X1875" s="33">
        <v>3621</v>
      </c>
      <c r="Z1875" s="33" t="s">
        <v>42968</v>
      </c>
      <c r="AA1875" s="33">
        <v>5792</v>
      </c>
    </row>
    <row r="1876" spans="1:27" ht="12" customHeight="1" x14ac:dyDescent="0.15">
      <c r="A1876" s="33" t="s">
        <v>33040</v>
      </c>
      <c r="B1876" s="33">
        <v>34</v>
      </c>
      <c r="C1876" s="33" t="s">
        <v>14</v>
      </c>
      <c r="D1876" s="33" t="s">
        <v>31</v>
      </c>
      <c r="E1876" s="42" t="s">
        <v>33041</v>
      </c>
      <c r="F1876" s="67">
        <v>43203</v>
      </c>
      <c r="G1876" s="33" t="s">
        <v>33042</v>
      </c>
      <c r="H1876" s="33" t="s">
        <v>743</v>
      </c>
      <c r="I1876" s="33" t="s">
        <v>67</v>
      </c>
      <c r="J1876" s="33">
        <v>76711</v>
      </c>
      <c r="K1876" s="33" t="s">
        <v>744</v>
      </c>
      <c r="L1876" s="33" t="s">
        <v>745</v>
      </c>
      <c r="M1876" s="33" t="s">
        <v>21</v>
      </c>
      <c r="N1876" s="33" t="s">
        <v>33043</v>
      </c>
      <c r="O1876" s="33" t="s">
        <v>372</v>
      </c>
      <c r="P1876" s="33" t="s">
        <v>30089</v>
      </c>
      <c r="Q1876" s="42" t="s">
        <v>33044</v>
      </c>
      <c r="R1876" s="33" t="s">
        <v>94</v>
      </c>
      <c r="S1876" s="33" t="s">
        <v>22</v>
      </c>
      <c r="T1876" s="33" t="s">
        <v>26774</v>
      </c>
      <c r="U1876" s="33" t="s">
        <v>26570</v>
      </c>
      <c r="V1876" s="33" t="s">
        <v>26573</v>
      </c>
      <c r="W1876" s="33" t="s">
        <v>94</v>
      </c>
      <c r="X1876" s="33">
        <v>3612</v>
      </c>
      <c r="Z1876" s="33" t="s">
        <v>42966</v>
      </c>
      <c r="AA1876" s="33">
        <v>5790</v>
      </c>
    </row>
    <row r="1877" spans="1:27" ht="12" customHeight="1" x14ac:dyDescent="0.15">
      <c r="A1877" s="33" t="s">
        <v>33045</v>
      </c>
      <c r="B1877" s="33">
        <v>24</v>
      </c>
      <c r="C1877" s="33" t="s">
        <v>14</v>
      </c>
      <c r="D1877" s="33" t="s">
        <v>31</v>
      </c>
      <c r="E1877" s="42" t="s">
        <v>33046</v>
      </c>
      <c r="F1877" s="67">
        <v>43203</v>
      </c>
      <c r="G1877" s="33" t="s">
        <v>33144</v>
      </c>
      <c r="H1877" s="33" t="s">
        <v>1751</v>
      </c>
      <c r="I1877" s="33" t="s">
        <v>39</v>
      </c>
      <c r="J1877" s="33">
        <v>92805</v>
      </c>
      <c r="K1877" s="33" t="s">
        <v>998</v>
      </c>
      <c r="L1877" s="33" t="s">
        <v>1753</v>
      </c>
      <c r="M1877" s="33" t="s">
        <v>21</v>
      </c>
      <c r="N1877" s="33" t="s">
        <v>33047</v>
      </c>
      <c r="O1877" s="33" t="s">
        <v>372</v>
      </c>
      <c r="P1877" s="33" t="s">
        <v>30089</v>
      </c>
      <c r="Q1877" s="42" t="s">
        <v>33048</v>
      </c>
      <c r="R1877" s="33" t="s">
        <v>512</v>
      </c>
      <c r="S1877" s="33" t="s">
        <v>12</v>
      </c>
      <c r="T1877" s="33" t="s">
        <v>29705</v>
      </c>
      <c r="U1877" s="33" t="s">
        <v>26570</v>
      </c>
      <c r="V1877" s="33" t="s">
        <v>26573</v>
      </c>
      <c r="X1877" s="33">
        <v>4263</v>
      </c>
      <c r="Z1877" s="33" t="s">
        <v>42966</v>
      </c>
      <c r="AA1877" s="33">
        <v>5791</v>
      </c>
    </row>
    <row r="1878" spans="1:27" ht="12" customHeight="1" x14ac:dyDescent="0.15">
      <c r="A1878" s="33" t="s">
        <v>3002</v>
      </c>
      <c r="B1878" s="33" t="s">
        <v>23</v>
      </c>
      <c r="C1878" s="33" t="s">
        <v>14</v>
      </c>
      <c r="D1878" s="33" t="s">
        <v>24</v>
      </c>
      <c r="E1878" s="42"/>
      <c r="F1878" s="67">
        <v>43202</v>
      </c>
      <c r="H1878" s="33" t="s">
        <v>25542</v>
      </c>
      <c r="I1878" s="33" t="s">
        <v>192</v>
      </c>
      <c r="J1878" s="33">
        <v>80117</v>
      </c>
      <c r="K1878" s="33" t="s">
        <v>24190</v>
      </c>
      <c r="L1878" s="33" t="s">
        <v>33072</v>
      </c>
      <c r="M1878" s="33" t="s">
        <v>363</v>
      </c>
      <c r="N1878" s="33" t="s">
        <v>33073</v>
      </c>
      <c r="O1878" s="33" t="s">
        <v>372</v>
      </c>
      <c r="P1878" s="33" t="s">
        <v>30089</v>
      </c>
      <c r="Q1878" s="42" t="s">
        <v>33074</v>
      </c>
      <c r="R1878" s="33" t="s">
        <v>94</v>
      </c>
      <c r="S1878" s="33" t="s">
        <v>22</v>
      </c>
      <c r="T1878" s="33" t="s">
        <v>26781</v>
      </c>
      <c r="U1878" s="33" t="s">
        <v>26575</v>
      </c>
      <c r="V1878" s="33" t="s">
        <v>26573</v>
      </c>
      <c r="Z1878" s="33" t="s">
        <v>42967</v>
      </c>
      <c r="AA1878" s="33">
        <v>5788</v>
      </c>
    </row>
    <row r="1879" spans="1:27" ht="12" customHeight="1" x14ac:dyDescent="0.15">
      <c r="A1879" s="33" t="s">
        <v>33049</v>
      </c>
      <c r="B1879" s="33">
        <v>39</v>
      </c>
      <c r="C1879" s="33" t="s">
        <v>14</v>
      </c>
      <c r="D1879" s="33" t="s">
        <v>79</v>
      </c>
      <c r="E1879" s="42" t="s">
        <v>33050</v>
      </c>
      <c r="F1879" s="67">
        <v>43202</v>
      </c>
      <c r="G1879" s="33" t="s">
        <v>33051</v>
      </c>
      <c r="H1879" s="33" t="s">
        <v>33052</v>
      </c>
      <c r="I1879" s="33" t="s">
        <v>918</v>
      </c>
      <c r="J1879" s="33">
        <v>72390</v>
      </c>
      <c r="K1879" s="33" t="s">
        <v>23373</v>
      </c>
      <c r="L1879" s="33" t="s">
        <v>33053</v>
      </c>
      <c r="M1879" s="33" t="s">
        <v>21</v>
      </c>
      <c r="N1879" s="33" t="s">
        <v>33054</v>
      </c>
      <c r="O1879" s="33" t="s">
        <v>372</v>
      </c>
      <c r="P1879" s="33" t="s">
        <v>30089</v>
      </c>
      <c r="Q1879" s="42" t="s">
        <v>33055</v>
      </c>
      <c r="R1879" s="33" t="s">
        <v>94</v>
      </c>
      <c r="S1879" s="33" t="s">
        <v>22</v>
      </c>
      <c r="T1879" s="33" t="s">
        <v>26774</v>
      </c>
      <c r="U1879" s="33" t="s">
        <v>26572</v>
      </c>
      <c r="V1879" s="33" t="s">
        <v>26573</v>
      </c>
      <c r="W1879" s="33" t="s">
        <v>94</v>
      </c>
      <c r="X1879" s="33">
        <v>3610</v>
      </c>
      <c r="Z1879" s="33" t="s">
        <v>42967</v>
      </c>
      <c r="AA1879" s="33">
        <v>5789</v>
      </c>
    </row>
    <row r="1880" spans="1:27" ht="12" customHeight="1" x14ac:dyDescent="0.15">
      <c r="A1880" s="33" t="s">
        <v>33063</v>
      </c>
      <c r="B1880" s="33">
        <v>30</v>
      </c>
      <c r="C1880" s="33" t="s">
        <v>14</v>
      </c>
      <c r="D1880" s="33" t="s">
        <v>79</v>
      </c>
      <c r="E1880" s="42" t="s">
        <v>33064</v>
      </c>
      <c r="F1880" s="67">
        <v>43202</v>
      </c>
      <c r="G1880" s="33" t="s">
        <v>33145</v>
      </c>
      <c r="H1880" s="33" t="s">
        <v>1786</v>
      </c>
      <c r="I1880" s="33" t="s">
        <v>160</v>
      </c>
      <c r="J1880" s="33">
        <v>30318</v>
      </c>
      <c r="K1880" s="33" t="s">
        <v>1454</v>
      </c>
      <c r="L1880" s="33" t="s">
        <v>2356</v>
      </c>
      <c r="M1880" s="33" t="s">
        <v>21</v>
      </c>
      <c r="N1880" s="33" t="s">
        <v>33065</v>
      </c>
      <c r="O1880" s="33" t="s">
        <v>372</v>
      </c>
      <c r="P1880" s="33" t="s">
        <v>30089</v>
      </c>
      <c r="Q1880" s="42" t="s">
        <v>33066</v>
      </c>
      <c r="R1880" s="33" t="s">
        <v>512</v>
      </c>
      <c r="S1880" s="33" t="s">
        <v>22</v>
      </c>
      <c r="T1880" s="33" t="s">
        <v>26781</v>
      </c>
      <c r="U1880" s="33" t="s">
        <v>26572</v>
      </c>
      <c r="V1880" s="33" t="s">
        <v>26573</v>
      </c>
      <c r="W1880" s="33" t="s">
        <v>94</v>
      </c>
      <c r="X1880" s="33">
        <v>3608</v>
      </c>
      <c r="Z1880" s="33" t="s">
        <v>42968</v>
      </c>
      <c r="AA1880" s="33">
        <v>5785</v>
      </c>
    </row>
    <row r="1881" spans="1:27" ht="12" customHeight="1" x14ac:dyDescent="0.15">
      <c r="A1881" s="33" t="s">
        <v>3002</v>
      </c>
      <c r="B1881" s="33" t="s">
        <v>23</v>
      </c>
      <c r="C1881" s="33" t="s">
        <v>14</v>
      </c>
      <c r="D1881" s="33" t="s">
        <v>24</v>
      </c>
      <c r="E1881" s="42"/>
      <c r="F1881" s="67">
        <v>43202</v>
      </c>
      <c r="G1881" s="33" t="s">
        <v>33056</v>
      </c>
      <c r="H1881" s="33" t="s">
        <v>2444</v>
      </c>
      <c r="I1881" s="33" t="s">
        <v>192</v>
      </c>
      <c r="J1881" s="33">
        <v>81082</v>
      </c>
      <c r="K1881" s="33" t="s">
        <v>2445</v>
      </c>
      <c r="L1881" s="33" t="s">
        <v>2446</v>
      </c>
      <c r="M1881" s="33" t="s">
        <v>21</v>
      </c>
      <c r="N1881" s="33" t="s">
        <v>33057</v>
      </c>
      <c r="O1881" s="33" t="s">
        <v>372</v>
      </c>
      <c r="P1881" s="33" t="s">
        <v>30089</v>
      </c>
      <c r="Q1881" s="42" t="s">
        <v>33058</v>
      </c>
      <c r="R1881" s="33" t="s">
        <v>94</v>
      </c>
      <c r="S1881" s="33" t="s">
        <v>29</v>
      </c>
      <c r="T1881" s="33" t="s">
        <v>26598</v>
      </c>
      <c r="U1881" s="33" t="s">
        <v>26570</v>
      </c>
      <c r="V1881" s="33" t="s">
        <v>26573</v>
      </c>
      <c r="W1881" s="33" t="s">
        <v>94</v>
      </c>
      <c r="X1881" s="33">
        <v>3614</v>
      </c>
      <c r="Z1881" s="33" t="s">
        <v>42967</v>
      </c>
      <c r="AA1881" s="33">
        <v>5784</v>
      </c>
    </row>
    <row r="1882" spans="1:27" ht="12" customHeight="1" x14ac:dyDescent="0.15">
      <c r="A1882" s="33" t="s">
        <v>33059</v>
      </c>
      <c r="B1882" s="33">
        <v>45</v>
      </c>
      <c r="C1882" s="33" t="s">
        <v>14</v>
      </c>
      <c r="D1882" s="33" t="s">
        <v>79</v>
      </c>
      <c r="E1882" s="42"/>
      <c r="F1882" s="67">
        <v>43202</v>
      </c>
      <c r="G1882" s="33" t="s">
        <v>33060</v>
      </c>
      <c r="H1882" s="33" t="s">
        <v>107</v>
      </c>
      <c r="I1882" s="33" t="s">
        <v>376</v>
      </c>
      <c r="J1882" s="33">
        <v>15301</v>
      </c>
      <c r="K1882" s="33" t="s">
        <v>107</v>
      </c>
      <c r="L1882" s="33" t="s">
        <v>473</v>
      </c>
      <c r="M1882" s="33" t="s">
        <v>21</v>
      </c>
      <c r="N1882" s="33" t="s">
        <v>33061</v>
      </c>
      <c r="O1882" s="33" t="s">
        <v>372</v>
      </c>
      <c r="P1882" s="33" t="s">
        <v>30089</v>
      </c>
      <c r="Q1882" s="42" t="s">
        <v>33062</v>
      </c>
      <c r="R1882" s="33" t="s">
        <v>94</v>
      </c>
      <c r="S1882" s="33" t="s">
        <v>22</v>
      </c>
      <c r="T1882" s="33" t="s">
        <v>26781</v>
      </c>
      <c r="U1882" s="33" t="s">
        <v>26572</v>
      </c>
      <c r="V1882" s="33" t="s">
        <v>19228</v>
      </c>
      <c r="W1882" s="33" t="s">
        <v>94</v>
      </c>
      <c r="X1882" s="33">
        <v>3611</v>
      </c>
      <c r="Z1882" s="33" t="s">
        <v>42968</v>
      </c>
      <c r="AA1882" s="33">
        <v>5787</v>
      </c>
    </row>
    <row r="1883" spans="1:27" ht="12" customHeight="1" x14ac:dyDescent="0.15">
      <c r="A1883" s="33" t="s">
        <v>33067</v>
      </c>
      <c r="B1883" s="33">
        <v>23</v>
      </c>
      <c r="C1883" s="33" t="s">
        <v>14</v>
      </c>
      <c r="D1883" s="33" t="s">
        <v>31</v>
      </c>
      <c r="E1883" s="42" t="s">
        <v>33068</v>
      </c>
      <c r="F1883" s="67">
        <v>43202</v>
      </c>
      <c r="G1883" s="33" t="s">
        <v>33069</v>
      </c>
      <c r="H1883" s="33" t="s">
        <v>33070</v>
      </c>
      <c r="I1883" s="33" t="s">
        <v>122</v>
      </c>
      <c r="J1883" s="33">
        <v>55042</v>
      </c>
      <c r="K1883" s="33" t="s">
        <v>107</v>
      </c>
      <c r="L1883" s="33" t="s">
        <v>108</v>
      </c>
      <c r="M1883" s="33" t="s">
        <v>21</v>
      </c>
      <c r="N1883" s="33" t="s">
        <v>36474</v>
      </c>
      <c r="O1883" s="33" t="s">
        <v>372</v>
      </c>
      <c r="P1883" s="33" t="s">
        <v>30089</v>
      </c>
      <c r="Q1883" s="42" t="s">
        <v>33071</v>
      </c>
      <c r="R1883" s="33" t="s">
        <v>512</v>
      </c>
      <c r="S1883" s="33" t="s">
        <v>22</v>
      </c>
      <c r="T1883" s="33" t="s">
        <v>26781</v>
      </c>
      <c r="U1883" s="33" t="s">
        <v>26575</v>
      </c>
      <c r="V1883" s="33" t="s">
        <v>26573</v>
      </c>
      <c r="W1883" s="33" t="s">
        <v>94</v>
      </c>
      <c r="X1883" s="33">
        <v>3609</v>
      </c>
      <c r="Z1883" s="33" t="s">
        <v>42968</v>
      </c>
      <c r="AA1883" s="33">
        <v>5786</v>
      </c>
    </row>
    <row r="1884" spans="1:27" ht="12" customHeight="1" x14ac:dyDescent="0.15">
      <c r="A1884" s="33" t="s">
        <v>33083</v>
      </c>
      <c r="B1884" s="33">
        <v>25</v>
      </c>
      <c r="C1884" s="33" t="s">
        <v>14</v>
      </c>
      <c r="D1884" s="33" t="s">
        <v>79</v>
      </c>
      <c r="E1884" s="42" t="s">
        <v>33084</v>
      </c>
      <c r="F1884" s="67">
        <v>43201</v>
      </c>
      <c r="G1884" s="33" t="s">
        <v>33085</v>
      </c>
      <c r="H1884" s="33" t="s">
        <v>14770</v>
      </c>
      <c r="I1884" s="33" t="s">
        <v>39</v>
      </c>
      <c r="J1884" s="33">
        <v>90249</v>
      </c>
      <c r="K1884" s="33" t="s">
        <v>92</v>
      </c>
      <c r="L1884" s="33" t="s">
        <v>14772</v>
      </c>
      <c r="M1884" s="33" t="s">
        <v>21</v>
      </c>
      <c r="N1884" s="33" t="s">
        <v>33086</v>
      </c>
      <c r="O1884" s="33" t="s">
        <v>372</v>
      </c>
      <c r="P1884" s="33" t="s">
        <v>30089</v>
      </c>
      <c r="Q1884" s="42" t="s">
        <v>33087</v>
      </c>
      <c r="R1884" s="33" t="s">
        <v>94</v>
      </c>
      <c r="S1884" s="33" t="s">
        <v>22</v>
      </c>
      <c r="T1884" s="33" t="s">
        <v>26781</v>
      </c>
      <c r="U1884" s="33" t="s">
        <v>26572</v>
      </c>
      <c r="V1884" s="33" t="s">
        <v>26573</v>
      </c>
      <c r="W1884" s="33" t="s">
        <v>94</v>
      </c>
      <c r="X1884" s="33">
        <v>3606</v>
      </c>
      <c r="Z1884" s="33" t="s">
        <v>42966</v>
      </c>
      <c r="AA1884" s="33">
        <v>5780</v>
      </c>
    </row>
    <row r="1885" spans="1:27" ht="12" customHeight="1" x14ac:dyDescent="0.15">
      <c r="A1885" s="33" t="s">
        <v>33093</v>
      </c>
      <c r="B1885" s="33">
        <v>71</v>
      </c>
      <c r="C1885" s="33" t="s">
        <v>103</v>
      </c>
      <c r="D1885" s="33" t="s">
        <v>31</v>
      </c>
      <c r="E1885" s="42"/>
      <c r="F1885" s="67">
        <v>43201</v>
      </c>
      <c r="G1885" s="33" t="s">
        <v>33089</v>
      </c>
      <c r="H1885" s="33" t="s">
        <v>5831</v>
      </c>
      <c r="I1885" s="33" t="s">
        <v>19</v>
      </c>
      <c r="J1885" s="33">
        <v>71457</v>
      </c>
      <c r="K1885" s="33" t="s">
        <v>5831</v>
      </c>
      <c r="L1885" s="33" t="s">
        <v>33090</v>
      </c>
      <c r="M1885" s="33" t="s">
        <v>21</v>
      </c>
      <c r="N1885" s="33" t="s">
        <v>33091</v>
      </c>
      <c r="O1885" s="33" t="s">
        <v>372</v>
      </c>
      <c r="P1885" s="33" t="s">
        <v>30089</v>
      </c>
      <c r="Q1885" s="42" t="s">
        <v>33094</v>
      </c>
      <c r="R1885" s="33" t="s">
        <v>94</v>
      </c>
      <c r="S1885" s="33" t="s">
        <v>22</v>
      </c>
      <c r="T1885" s="33" t="s">
        <v>26781</v>
      </c>
      <c r="U1885" s="33" t="s">
        <v>26572</v>
      </c>
      <c r="V1885" s="33" t="s">
        <v>26573</v>
      </c>
      <c r="W1885" s="33" t="s">
        <v>94</v>
      </c>
      <c r="X1885" s="33">
        <v>3605</v>
      </c>
      <c r="Z1885" s="33" t="s">
        <v>42968</v>
      </c>
      <c r="AA1885" s="33">
        <v>5779</v>
      </c>
    </row>
    <row r="1886" spans="1:27" ht="12" customHeight="1" x14ac:dyDescent="0.15">
      <c r="A1886" s="33" t="s">
        <v>33088</v>
      </c>
      <c r="B1886" s="33">
        <v>50</v>
      </c>
      <c r="C1886" s="33" t="s">
        <v>14</v>
      </c>
      <c r="D1886" s="33" t="s">
        <v>31</v>
      </c>
      <c r="E1886" s="42"/>
      <c r="F1886" s="67">
        <v>43201</v>
      </c>
      <c r="G1886" s="33" t="s">
        <v>33089</v>
      </c>
      <c r="H1886" s="33" t="s">
        <v>5831</v>
      </c>
      <c r="I1886" s="33" t="s">
        <v>19</v>
      </c>
      <c r="J1886" s="33">
        <v>71457</v>
      </c>
      <c r="K1886" s="33" t="s">
        <v>5831</v>
      </c>
      <c r="L1886" s="33" t="s">
        <v>33090</v>
      </c>
      <c r="M1886" s="33" t="s">
        <v>21</v>
      </c>
      <c r="N1886" s="33" t="s">
        <v>33091</v>
      </c>
      <c r="O1886" s="33" t="s">
        <v>372</v>
      </c>
      <c r="P1886" s="33" t="s">
        <v>30089</v>
      </c>
      <c r="Q1886" s="42" t="s">
        <v>33092</v>
      </c>
      <c r="R1886" s="33" t="s">
        <v>94</v>
      </c>
      <c r="S1886" s="33" t="s">
        <v>22</v>
      </c>
      <c r="T1886" s="33" t="s">
        <v>26781</v>
      </c>
      <c r="U1886" s="33" t="s">
        <v>26572</v>
      </c>
      <c r="V1886" s="33" t="s">
        <v>26573</v>
      </c>
      <c r="W1886" s="33" t="s">
        <v>94</v>
      </c>
      <c r="X1886" s="33">
        <v>3637</v>
      </c>
      <c r="Z1886" s="33" t="s">
        <v>42968</v>
      </c>
      <c r="AA1886" s="33">
        <v>5782</v>
      </c>
    </row>
    <row r="1887" spans="1:27" ht="12" customHeight="1" x14ac:dyDescent="0.15">
      <c r="A1887" s="33" t="s">
        <v>33079</v>
      </c>
      <c r="B1887" s="33">
        <v>61</v>
      </c>
      <c r="C1887" s="33" t="s">
        <v>14</v>
      </c>
      <c r="D1887" s="33" t="s">
        <v>31</v>
      </c>
      <c r="E1887" s="42"/>
      <c r="F1887" s="67">
        <v>43201</v>
      </c>
      <c r="G1887" s="33" t="s">
        <v>33080</v>
      </c>
      <c r="H1887" s="33" t="s">
        <v>33081</v>
      </c>
      <c r="I1887" s="33" t="s">
        <v>395</v>
      </c>
      <c r="J1887" s="33">
        <v>14036</v>
      </c>
      <c r="K1887" s="33" t="s">
        <v>7740</v>
      </c>
      <c r="L1887" s="33" t="s">
        <v>36475</v>
      </c>
      <c r="M1887" s="33" t="s">
        <v>21</v>
      </c>
      <c r="N1887" s="33" t="s">
        <v>36476</v>
      </c>
      <c r="O1887" s="33" t="s">
        <v>372</v>
      </c>
      <c r="P1887" s="33" t="s">
        <v>30089</v>
      </c>
      <c r="Q1887" s="42" t="s">
        <v>33082</v>
      </c>
      <c r="R1887" s="33" t="s">
        <v>94</v>
      </c>
      <c r="S1887" s="33" t="s">
        <v>22</v>
      </c>
      <c r="T1887" s="33" t="s">
        <v>26781</v>
      </c>
      <c r="U1887" s="33" t="s">
        <v>26572</v>
      </c>
      <c r="V1887" s="33" t="s">
        <v>26573</v>
      </c>
      <c r="W1887" s="33" t="s">
        <v>512</v>
      </c>
      <c r="X1887" s="33">
        <v>3607</v>
      </c>
      <c r="Z1887" s="33" t="s">
        <v>42967</v>
      </c>
      <c r="AA1887" s="33">
        <v>5781</v>
      </c>
    </row>
    <row r="1888" spans="1:27" ht="12" customHeight="1" x14ac:dyDescent="0.15">
      <c r="A1888" s="33" t="s">
        <v>33075</v>
      </c>
      <c r="B1888" s="33">
        <v>39</v>
      </c>
      <c r="C1888" s="33" t="s">
        <v>14</v>
      </c>
      <c r="D1888" s="33" t="s">
        <v>31</v>
      </c>
      <c r="E1888" s="42" t="s">
        <v>33076</v>
      </c>
      <c r="F1888" s="67">
        <v>43201</v>
      </c>
      <c r="G1888" s="33" t="s">
        <v>33077</v>
      </c>
      <c r="H1888" s="33" t="s">
        <v>11245</v>
      </c>
      <c r="I1888" s="33" t="s">
        <v>338</v>
      </c>
      <c r="J1888" s="33">
        <v>28675</v>
      </c>
      <c r="K1888" s="33" t="s">
        <v>11247</v>
      </c>
      <c r="L1888" s="33" t="s">
        <v>36477</v>
      </c>
      <c r="M1888" s="33" t="s">
        <v>21</v>
      </c>
      <c r="N1888" s="33" t="s">
        <v>36478</v>
      </c>
      <c r="O1888" s="33" t="s">
        <v>372</v>
      </c>
      <c r="P1888" s="33" t="s">
        <v>30089</v>
      </c>
      <c r="Q1888" s="42" t="s">
        <v>33078</v>
      </c>
      <c r="R1888" s="33" t="s">
        <v>94</v>
      </c>
      <c r="S1888" s="33" t="s">
        <v>22</v>
      </c>
      <c r="T1888" s="33" t="s">
        <v>26593</v>
      </c>
      <c r="U1888" s="33" t="s">
        <v>26570</v>
      </c>
      <c r="V1888" s="33" t="s">
        <v>26573</v>
      </c>
      <c r="W1888" s="33" t="s">
        <v>512</v>
      </c>
      <c r="X1888" s="33">
        <v>3613</v>
      </c>
      <c r="Z1888" s="33" t="s">
        <v>42967</v>
      </c>
      <c r="AA1888" s="33">
        <v>5783</v>
      </c>
    </row>
    <row r="1889" spans="1:27" ht="12" customHeight="1" x14ac:dyDescent="0.15">
      <c r="A1889" s="33" t="s">
        <v>32626</v>
      </c>
      <c r="B1889" s="33">
        <v>44</v>
      </c>
      <c r="C1889" s="33" t="s">
        <v>14</v>
      </c>
      <c r="D1889" s="33" t="s">
        <v>31</v>
      </c>
      <c r="E1889" s="42"/>
      <c r="F1889" s="67">
        <v>43200</v>
      </c>
      <c r="G1889" s="33" t="s">
        <v>32627</v>
      </c>
      <c r="H1889" s="33" t="s">
        <v>4219</v>
      </c>
      <c r="I1889" s="33" t="s">
        <v>798</v>
      </c>
      <c r="J1889" s="33">
        <v>59102</v>
      </c>
      <c r="K1889" s="33" t="s">
        <v>4221</v>
      </c>
      <c r="L1889" s="33" t="s">
        <v>9485</v>
      </c>
      <c r="M1889" s="33" t="s">
        <v>21</v>
      </c>
      <c r="N1889" s="33" t="s">
        <v>32628</v>
      </c>
      <c r="O1889" s="33" t="s">
        <v>372</v>
      </c>
      <c r="P1889" s="33" t="s">
        <v>30089</v>
      </c>
      <c r="Q1889" s="42" t="s">
        <v>32629</v>
      </c>
      <c r="R1889" s="33" t="s">
        <v>23</v>
      </c>
      <c r="S1889" s="33" t="s">
        <v>12</v>
      </c>
      <c r="T1889" s="33" t="s">
        <v>29425</v>
      </c>
      <c r="U1889" s="33" t="s">
        <v>26570</v>
      </c>
      <c r="V1889" s="33" t="s">
        <v>26573</v>
      </c>
      <c r="W1889" s="33" t="s">
        <v>94</v>
      </c>
      <c r="X1889" s="33">
        <v>3600</v>
      </c>
      <c r="Z1889" s="33" t="s">
        <v>42968</v>
      </c>
      <c r="AA1889" s="33">
        <v>5777</v>
      </c>
    </row>
    <row r="1890" spans="1:27" ht="12" customHeight="1" x14ac:dyDescent="0.15">
      <c r="A1890" s="33" t="s">
        <v>33100</v>
      </c>
      <c r="B1890" s="33">
        <v>39</v>
      </c>
      <c r="C1890" s="33" t="s">
        <v>14</v>
      </c>
      <c r="D1890" s="33" t="s">
        <v>24</v>
      </c>
      <c r="E1890" s="42"/>
      <c r="F1890" s="67">
        <v>43200</v>
      </c>
      <c r="G1890" s="33" t="s">
        <v>33101</v>
      </c>
      <c r="H1890" s="33" t="s">
        <v>518</v>
      </c>
      <c r="I1890" s="33" t="s">
        <v>112</v>
      </c>
      <c r="J1890" s="33">
        <v>85719</v>
      </c>
      <c r="K1890" s="33" t="s">
        <v>519</v>
      </c>
      <c r="L1890" s="33" t="s">
        <v>520</v>
      </c>
      <c r="M1890" s="33" t="s">
        <v>21</v>
      </c>
      <c r="N1890" s="33" t="s">
        <v>33102</v>
      </c>
      <c r="O1890" s="33" t="s">
        <v>372</v>
      </c>
      <c r="P1890" s="33" t="s">
        <v>30089</v>
      </c>
      <c r="Q1890" s="42" t="s">
        <v>33103</v>
      </c>
      <c r="R1890" s="33" t="s">
        <v>94</v>
      </c>
      <c r="S1890" s="33" t="s">
        <v>22</v>
      </c>
      <c r="T1890" s="33" t="s">
        <v>26781</v>
      </c>
      <c r="U1890" s="33" t="s">
        <v>26570</v>
      </c>
      <c r="V1890" s="33" t="s">
        <v>26573</v>
      </c>
      <c r="W1890" s="33" t="s">
        <v>94</v>
      </c>
      <c r="X1890" s="33">
        <v>3601</v>
      </c>
      <c r="Z1890" s="33" t="s">
        <v>42968</v>
      </c>
      <c r="AA1890" s="33">
        <v>5775</v>
      </c>
    </row>
    <row r="1891" spans="1:27" ht="12" customHeight="1" x14ac:dyDescent="0.15">
      <c r="A1891" s="33" t="s">
        <v>33095</v>
      </c>
      <c r="B1891" s="33">
        <v>28</v>
      </c>
      <c r="C1891" s="33" t="s">
        <v>14</v>
      </c>
      <c r="D1891" s="33" t="s">
        <v>31</v>
      </c>
      <c r="E1891" s="42" t="s">
        <v>33096</v>
      </c>
      <c r="F1891" s="67">
        <v>43200</v>
      </c>
      <c r="G1891" s="33" t="s">
        <v>33097</v>
      </c>
      <c r="H1891" s="33" t="s">
        <v>32640</v>
      </c>
      <c r="I1891" s="33" t="s">
        <v>51</v>
      </c>
      <c r="J1891" s="33">
        <v>48073</v>
      </c>
      <c r="K1891" s="33" t="s">
        <v>557</v>
      </c>
      <c r="L1891" s="33" t="s">
        <v>32632</v>
      </c>
      <c r="M1891" s="33" t="s">
        <v>21</v>
      </c>
      <c r="N1891" s="33" t="s">
        <v>33098</v>
      </c>
      <c r="O1891" s="33" t="s">
        <v>372</v>
      </c>
      <c r="P1891" s="33" t="s">
        <v>30089</v>
      </c>
      <c r="Q1891" s="42" t="s">
        <v>33099</v>
      </c>
      <c r="R1891" s="33" t="s">
        <v>94</v>
      </c>
      <c r="S1891" s="33" t="s">
        <v>351</v>
      </c>
      <c r="T1891" s="33" t="s">
        <v>26867</v>
      </c>
      <c r="U1891" s="33" t="s">
        <v>26570</v>
      </c>
      <c r="V1891" s="33" t="s">
        <v>26571</v>
      </c>
      <c r="W1891" s="33" t="s">
        <v>94</v>
      </c>
      <c r="X1891" s="33">
        <v>3603</v>
      </c>
      <c r="Z1891" s="33" t="s">
        <v>42968</v>
      </c>
      <c r="AA1891" s="33">
        <v>5778</v>
      </c>
    </row>
    <row r="1892" spans="1:27" ht="12" customHeight="1" x14ac:dyDescent="0.15">
      <c r="A1892" s="33" t="s">
        <v>33104</v>
      </c>
      <c r="B1892" s="33">
        <v>30</v>
      </c>
      <c r="C1892" s="33" t="s">
        <v>14</v>
      </c>
      <c r="D1892" s="33" t="s">
        <v>79</v>
      </c>
      <c r="E1892" s="42" t="s">
        <v>33105</v>
      </c>
      <c r="F1892" s="67">
        <v>43200</v>
      </c>
      <c r="G1892" s="33" t="s">
        <v>33106</v>
      </c>
      <c r="H1892" s="33" t="s">
        <v>92</v>
      </c>
      <c r="I1892" s="33" t="s">
        <v>39</v>
      </c>
      <c r="J1892" s="33">
        <v>90008</v>
      </c>
      <c r="K1892" s="33" t="s">
        <v>92</v>
      </c>
      <c r="L1892" s="33" t="s">
        <v>93</v>
      </c>
      <c r="M1892" s="33" t="s">
        <v>21</v>
      </c>
      <c r="N1892" s="33" t="s">
        <v>33107</v>
      </c>
      <c r="O1892" s="33" t="s">
        <v>372</v>
      </c>
      <c r="P1892" s="33" t="s">
        <v>30089</v>
      </c>
      <c r="Q1892" s="42" t="s">
        <v>33108</v>
      </c>
      <c r="R1892" s="33" t="s">
        <v>512</v>
      </c>
      <c r="S1892" s="33" t="s">
        <v>22</v>
      </c>
      <c r="T1892" s="33" t="s">
        <v>26774</v>
      </c>
      <c r="U1892" s="33" t="s">
        <v>26570</v>
      </c>
      <c r="V1892" s="33" t="s">
        <v>26574</v>
      </c>
      <c r="W1892" s="33" t="s">
        <v>94</v>
      </c>
      <c r="X1892" s="33">
        <v>3602</v>
      </c>
      <c r="Z1892" s="33" t="s">
        <v>42966</v>
      </c>
      <c r="AA1892" s="33">
        <v>5776</v>
      </c>
    </row>
    <row r="1893" spans="1:27" ht="12" customHeight="1" x14ac:dyDescent="0.15">
      <c r="A1893" s="33" t="s">
        <v>32617</v>
      </c>
      <c r="B1893" s="33">
        <v>29</v>
      </c>
      <c r="C1893" s="33" t="s">
        <v>14</v>
      </c>
      <c r="D1893" s="33" t="s">
        <v>31</v>
      </c>
      <c r="E1893" s="42" t="s">
        <v>32618</v>
      </c>
      <c r="F1893" s="67">
        <v>43199</v>
      </c>
      <c r="G1893" s="33" t="s">
        <v>32619</v>
      </c>
      <c r="H1893" s="33" t="s">
        <v>4219</v>
      </c>
      <c r="I1893" s="33" t="s">
        <v>798</v>
      </c>
      <c r="J1893" s="33">
        <v>59101</v>
      </c>
      <c r="K1893" s="33" t="s">
        <v>4221</v>
      </c>
      <c r="L1893" s="33" t="s">
        <v>9485</v>
      </c>
      <c r="M1893" s="33" t="s">
        <v>4966</v>
      </c>
      <c r="N1893" s="33" t="s">
        <v>32620</v>
      </c>
      <c r="O1893" s="33" t="s">
        <v>372</v>
      </c>
      <c r="P1893" s="33" t="s">
        <v>30089</v>
      </c>
      <c r="Q1893" s="42" t="s">
        <v>32621</v>
      </c>
      <c r="R1893" s="33" t="s">
        <v>94</v>
      </c>
      <c r="S1893" s="33" t="s">
        <v>22</v>
      </c>
      <c r="T1893" s="33" t="s">
        <v>26774</v>
      </c>
      <c r="U1893" s="33" t="s">
        <v>26572</v>
      </c>
      <c r="V1893" s="33" t="s">
        <v>26573</v>
      </c>
      <c r="W1893" s="33" t="s">
        <v>512</v>
      </c>
      <c r="X1893" s="33">
        <v>3598</v>
      </c>
      <c r="Z1893" s="33" t="s">
        <v>42968</v>
      </c>
      <c r="AA1893" s="33">
        <v>5772</v>
      </c>
    </row>
    <row r="1894" spans="1:27" ht="12" customHeight="1" x14ac:dyDescent="0.15">
      <c r="A1894" s="33" t="s">
        <v>32609</v>
      </c>
      <c r="B1894" s="33">
        <v>29</v>
      </c>
      <c r="C1894" s="33" t="s">
        <v>14</v>
      </c>
      <c r="D1894" s="33" t="s">
        <v>31</v>
      </c>
      <c r="E1894" s="42"/>
      <c r="F1894" s="67">
        <v>43199</v>
      </c>
      <c r="G1894" s="33" t="s">
        <v>32610</v>
      </c>
      <c r="H1894" s="33" t="s">
        <v>92</v>
      </c>
      <c r="I1894" s="33" t="s">
        <v>39</v>
      </c>
      <c r="J1894" s="33">
        <v>91367</v>
      </c>
      <c r="K1894" s="33" t="s">
        <v>92</v>
      </c>
      <c r="L1894" s="33" t="s">
        <v>93</v>
      </c>
      <c r="M1894" s="33" t="s">
        <v>21</v>
      </c>
      <c r="N1894" s="33" t="s">
        <v>32611</v>
      </c>
      <c r="O1894" s="33" t="s">
        <v>372</v>
      </c>
      <c r="P1894" s="33" t="s">
        <v>30089</v>
      </c>
      <c r="Q1894" s="42" t="s">
        <v>32612</v>
      </c>
      <c r="R1894" s="33" t="s">
        <v>94</v>
      </c>
      <c r="S1894" s="33" t="s">
        <v>22</v>
      </c>
      <c r="T1894" s="33" t="s">
        <v>26781</v>
      </c>
      <c r="U1894" s="33" t="s">
        <v>26570</v>
      </c>
      <c r="V1894" s="33" t="s">
        <v>26574</v>
      </c>
      <c r="W1894" s="33" t="s">
        <v>512</v>
      </c>
      <c r="X1894" s="33">
        <v>3599</v>
      </c>
      <c r="Z1894" s="33" t="s">
        <v>42966</v>
      </c>
      <c r="AA1894" s="33">
        <v>5769</v>
      </c>
    </row>
    <row r="1895" spans="1:27" ht="12" customHeight="1" x14ac:dyDescent="0.15">
      <c r="A1895" s="33" t="s">
        <v>36980</v>
      </c>
      <c r="B1895" s="33">
        <v>34</v>
      </c>
      <c r="C1895" s="33" t="s">
        <v>14</v>
      </c>
      <c r="D1895" s="33" t="s">
        <v>31</v>
      </c>
      <c r="E1895" s="42"/>
      <c r="F1895" s="67">
        <v>43199</v>
      </c>
      <c r="G1895" s="33" t="s">
        <v>32622</v>
      </c>
      <c r="H1895" s="33" t="s">
        <v>32623</v>
      </c>
      <c r="I1895" s="33" t="s">
        <v>367</v>
      </c>
      <c r="J1895" s="33">
        <v>74359</v>
      </c>
      <c r="K1895" s="33" t="s">
        <v>850</v>
      </c>
      <c r="L1895" s="33" t="s">
        <v>32624</v>
      </c>
      <c r="M1895" s="33" t="s">
        <v>21</v>
      </c>
      <c r="N1895" s="33" t="s">
        <v>36479</v>
      </c>
      <c r="O1895" s="33" t="s">
        <v>372</v>
      </c>
      <c r="P1895" s="33" t="s">
        <v>30089</v>
      </c>
      <c r="Q1895" s="42" t="s">
        <v>32625</v>
      </c>
      <c r="R1895" s="33" t="s">
        <v>94</v>
      </c>
      <c r="S1895" s="33" t="s">
        <v>22</v>
      </c>
      <c r="T1895" s="33" t="s">
        <v>26781</v>
      </c>
      <c r="U1895" s="33" t="s">
        <v>26572</v>
      </c>
      <c r="V1895" s="33" t="s">
        <v>26571</v>
      </c>
      <c r="X1895" s="33">
        <v>4262</v>
      </c>
      <c r="Z1895" s="33" t="s">
        <v>42967</v>
      </c>
      <c r="AA1895" s="33">
        <v>5770</v>
      </c>
    </row>
    <row r="1896" spans="1:27" ht="12" customHeight="1" x14ac:dyDescent="0.15">
      <c r="A1896" s="33" t="s">
        <v>32613</v>
      </c>
      <c r="B1896" s="33">
        <v>23</v>
      </c>
      <c r="C1896" s="33" t="s">
        <v>14</v>
      </c>
      <c r="D1896" s="33" t="s">
        <v>885</v>
      </c>
      <c r="E1896" s="42"/>
      <c r="F1896" s="67">
        <v>43199</v>
      </c>
      <c r="G1896" s="33" t="s">
        <v>32614</v>
      </c>
      <c r="H1896" s="33" t="s">
        <v>615</v>
      </c>
      <c r="I1896" s="33" t="s">
        <v>51</v>
      </c>
      <c r="J1896" s="33">
        <v>48085</v>
      </c>
      <c r="K1896" s="33" t="s">
        <v>557</v>
      </c>
      <c r="L1896" s="33" t="s">
        <v>617</v>
      </c>
      <c r="M1896" s="33" t="s">
        <v>4966</v>
      </c>
      <c r="N1896" s="33" t="s">
        <v>32615</v>
      </c>
      <c r="O1896" s="33" t="s">
        <v>372</v>
      </c>
      <c r="P1896" s="33" t="s">
        <v>30089</v>
      </c>
      <c r="Q1896" s="42" t="s">
        <v>32616</v>
      </c>
      <c r="R1896" s="33" t="s">
        <v>94</v>
      </c>
      <c r="S1896" s="33" t="s">
        <v>22</v>
      </c>
      <c r="T1896" s="33" t="s">
        <v>26774</v>
      </c>
      <c r="U1896" s="33" t="s">
        <v>26572</v>
      </c>
      <c r="V1896" s="33" t="s">
        <v>26573</v>
      </c>
      <c r="W1896" s="33" t="s">
        <v>94</v>
      </c>
      <c r="X1896" s="33">
        <v>3597</v>
      </c>
      <c r="Z1896" s="33" t="s">
        <v>42968</v>
      </c>
      <c r="AA1896" s="33">
        <v>5771</v>
      </c>
    </row>
    <row r="1897" spans="1:27" ht="12" customHeight="1" x14ac:dyDescent="0.15">
      <c r="A1897" s="33" t="s">
        <v>33109</v>
      </c>
      <c r="B1897" s="33">
        <v>1</v>
      </c>
      <c r="C1897" s="33" t="s">
        <v>14</v>
      </c>
      <c r="D1897" s="33" t="s">
        <v>42</v>
      </c>
      <c r="E1897" s="42" t="s">
        <v>33110</v>
      </c>
      <c r="F1897" s="67">
        <v>43199</v>
      </c>
      <c r="G1897" s="33" t="s">
        <v>33111</v>
      </c>
      <c r="H1897" s="33" t="s">
        <v>3942</v>
      </c>
      <c r="I1897" s="33" t="s">
        <v>67</v>
      </c>
      <c r="J1897" s="33">
        <v>78045</v>
      </c>
      <c r="K1897" s="33" t="s">
        <v>3944</v>
      </c>
      <c r="L1897" s="33" t="s">
        <v>4359</v>
      </c>
      <c r="M1897" s="33" t="s">
        <v>19228</v>
      </c>
      <c r="N1897" s="33" t="s">
        <v>33112</v>
      </c>
      <c r="O1897" s="33" t="s">
        <v>19483</v>
      </c>
      <c r="P1897" s="33" t="s">
        <v>1084</v>
      </c>
      <c r="Q1897" s="42" t="s">
        <v>33113</v>
      </c>
      <c r="R1897" s="33" t="s">
        <v>94</v>
      </c>
      <c r="S1897" s="33" t="s">
        <v>12</v>
      </c>
      <c r="T1897" s="33" t="s">
        <v>29705</v>
      </c>
      <c r="U1897" s="33" t="s">
        <v>26570</v>
      </c>
      <c r="V1897" s="33" t="s">
        <v>26573</v>
      </c>
      <c r="Z1897" s="33" t="s">
        <v>42968</v>
      </c>
      <c r="AA1897" s="33">
        <v>5774</v>
      </c>
    </row>
    <row r="1898" spans="1:27" ht="12" customHeight="1" x14ac:dyDescent="0.15">
      <c r="A1898" s="33" t="s">
        <v>33114</v>
      </c>
      <c r="B1898" s="33">
        <v>27</v>
      </c>
      <c r="C1898" s="33" t="s">
        <v>103</v>
      </c>
      <c r="D1898" s="33" t="s">
        <v>42</v>
      </c>
      <c r="E1898" s="42" t="s">
        <v>33115</v>
      </c>
      <c r="F1898" s="67">
        <v>43199</v>
      </c>
      <c r="G1898" s="33" t="s">
        <v>33111</v>
      </c>
      <c r="H1898" s="33" t="s">
        <v>3942</v>
      </c>
      <c r="I1898" s="33" t="s">
        <v>67</v>
      </c>
      <c r="J1898" s="33">
        <v>78045</v>
      </c>
      <c r="K1898" s="33" t="s">
        <v>3944</v>
      </c>
      <c r="L1898" s="33" t="s">
        <v>4359</v>
      </c>
      <c r="M1898" s="33" t="s">
        <v>19228</v>
      </c>
      <c r="N1898" s="33" t="s">
        <v>33112</v>
      </c>
      <c r="O1898" s="33" t="s">
        <v>19483</v>
      </c>
      <c r="P1898" s="33" t="s">
        <v>1084</v>
      </c>
      <c r="Q1898" s="42" t="s">
        <v>33113</v>
      </c>
      <c r="R1898" s="33" t="s">
        <v>94</v>
      </c>
      <c r="S1898" s="33" t="s">
        <v>12</v>
      </c>
      <c r="T1898" s="33" t="s">
        <v>29705</v>
      </c>
      <c r="U1898" s="33" t="s">
        <v>26570</v>
      </c>
      <c r="V1898" s="33" t="s">
        <v>26573</v>
      </c>
      <c r="Z1898" s="33" t="s">
        <v>42968</v>
      </c>
      <c r="AA1898" s="33">
        <v>5773</v>
      </c>
    </row>
    <row r="1899" spans="1:27" ht="12" customHeight="1" x14ac:dyDescent="0.15">
      <c r="A1899" s="33" t="s">
        <v>32604</v>
      </c>
      <c r="B1899" s="33">
        <v>25</v>
      </c>
      <c r="C1899" s="33" t="s">
        <v>14</v>
      </c>
      <c r="D1899" s="33" t="s">
        <v>79</v>
      </c>
      <c r="E1899" s="42" t="s">
        <v>32605</v>
      </c>
      <c r="F1899" s="67">
        <v>43198</v>
      </c>
      <c r="G1899" s="33" t="s">
        <v>32606</v>
      </c>
      <c r="H1899" s="33" t="s">
        <v>10392</v>
      </c>
      <c r="I1899" s="33" t="s">
        <v>225</v>
      </c>
      <c r="J1899" s="33">
        <v>24540</v>
      </c>
      <c r="K1899" s="33" t="s">
        <v>32029</v>
      </c>
      <c r="L1899" s="33" t="s">
        <v>10395</v>
      </c>
      <c r="M1899" s="33" t="s">
        <v>21</v>
      </c>
      <c r="N1899" s="33" t="s">
        <v>32607</v>
      </c>
      <c r="O1899" s="33" t="s">
        <v>372</v>
      </c>
      <c r="P1899" s="33" t="s">
        <v>30089</v>
      </c>
      <c r="Q1899" s="42" t="s">
        <v>32608</v>
      </c>
      <c r="R1899" s="33" t="s">
        <v>94</v>
      </c>
      <c r="S1899" s="33" t="s">
        <v>12</v>
      </c>
      <c r="T1899" s="33" t="s">
        <v>29705</v>
      </c>
      <c r="U1899" s="33" t="s">
        <v>26570</v>
      </c>
      <c r="V1899" s="33" t="s">
        <v>19228</v>
      </c>
      <c r="W1899" s="33" t="s">
        <v>512</v>
      </c>
      <c r="X1899" s="33">
        <v>3594</v>
      </c>
      <c r="Z1899" s="33" t="s">
        <v>42968</v>
      </c>
      <c r="AA1899" s="33">
        <v>5767</v>
      </c>
    </row>
    <row r="1900" spans="1:27" ht="12" customHeight="1" x14ac:dyDescent="0.15">
      <c r="A1900" s="33" t="s">
        <v>32597</v>
      </c>
      <c r="B1900" s="33">
        <v>20</v>
      </c>
      <c r="C1900" s="33" t="s">
        <v>14</v>
      </c>
      <c r="D1900" s="33" t="s">
        <v>79</v>
      </c>
      <c r="E1900" s="42" t="s">
        <v>32598</v>
      </c>
      <c r="F1900" s="67">
        <v>43198</v>
      </c>
      <c r="G1900" s="33" t="s">
        <v>32599</v>
      </c>
      <c r="H1900" s="33" t="s">
        <v>32600</v>
      </c>
      <c r="I1900" s="33" t="s">
        <v>221</v>
      </c>
      <c r="J1900" s="33">
        <v>84119</v>
      </c>
      <c r="K1900" s="33" t="s">
        <v>564</v>
      </c>
      <c r="L1900" s="33" t="s">
        <v>32601</v>
      </c>
      <c r="M1900" s="33" t="s">
        <v>21</v>
      </c>
      <c r="N1900" s="33" t="s">
        <v>32602</v>
      </c>
      <c r="O1900" s="33" t="s">
        <v>372</v>
      </c>
      <c r="P1900" s="33" t="s">
        <v>30089</v>
      </c>
      <c r="Q1900" s="42" t="s">
        <v>32603</v>
      </c>
      <c r="R1900" s="33" t="s">
        <v>94</v>
      </c>
      <c r="S1900" s="33" t="s">
        <v>29</v>
      </c>
      <c r="T1900" s="33" t="s">
        <v>26575</v>
      </c>
      <c r="U1900" s="33" t="s">
        <v>26570</v>
      </c>
      <c r="V1900" s="33" t="s">
        <v>26574</v>
      </c>
      <c r="W1900" s="33" t="s">
        <v>512</v>
      </c>
      <c r="X1900" s="33">
        <v>3595</v>
      </c>
      <c r="Z1900" s="33" t="s">
        <v>42968</v>
      </c>
      <c r="AA1900" s="33">
        <v>5768</v>
      </c>
    </row>
    <row r="1901" spans="1:27" ht="12" customHeight="1" x14ac:dyDescent="0.15">
      <c r="A1901" s="33" t="s">
        <v>32589</v>
      </c>
      <c r="B1901" s="33">
        <v>24</v>
      </c>
      <c r="C1901" s="33" t="s">
        <v>14</v>
      </c>
      <c r="D1901" s="33" t="s">
        <v>42</v>
      </c>
      <c r="E1901" s="42"/>
      <c r="F1901" s="67">
        <v>43198</v>
      </c>
      <c r="G1901" s="33" t="s">
        <v>32590</v>
      </c>
      <c r="H1901" s="33" t="s">
        <v>16975</v>
      </c>
      <c r="I1901" s="33" t="s">
        <v>39</v>
      </c>
      <c r="J1901" s="33">
        <v>92234</v>
      </c>
      <c r="K1901" s="33" t="s">
        <v>728</v>
      </c>
      <c r="L1901" s="33" t="s">
        <v>16976</v>
      </c>
      <c r="M1901" s="33" t="s">
        <v>21</v>
      </c>
      <c r="N1901" s="33" t="s">
        <v>32591</v>
      </c>
      <c r="O1901" s="33" t="s">
        <v>372</v>
      </c>
      <c r="P1901" s="33" t="s">
        <v>30089</v>
      </c>
      <c r="Q1901" s="42" t="s">
        <v>32592</v>
      </c>
      <c r="R1901" s="33" t="s">
        <v>94</v>
      </c>
      <c r="S1901" s="33" t="s">
        <v>12</v>
      </c>
      <c r="T1901" s="33" t="s">
        <v>29425</v>
      </c>
      <c r="U1901" s="33" t="s">
        <v>26572</v>
      </c>
      <c r="V1901" s="33" t="s">
        <v>26573</v>
      </c>
      <c r="W1901" s="33" t="s">
        <v>94</v>
      </c>
      <c r="X1901" s="33">
        <v>3593</v>
      </c>
      <c r="Z1901" s="33" t="s">
        <v>42968</v>
      </c>
      <c r="AA1901" s="33">
        <v>5766</v>
      </c>
    </row>
    <row r="1902" spans="1:27" ht="12" customHeight="1" x14ac:dyDescent="0.15">
      <c r="A1902" s="33" t="s">
        <v>32593</v>
      </c>
      <c r="B1902" s="33">
        <v>45</v>
      </c>
      <c r="C1902" s="33" t="s">
        <v>14</v>
      </c>
      <c r="D1902" s="33" t="s">
        <v>31</v>
      </c>
      <c r="E1902" s="42"/>
      <c r="F1902" s="67">
        <v>43198</v>
      </c>
      <c r="G1902" s="33" t="s">
        <v>32594</v>
      </c>
      <c r="H1902" s="33" t="s">
        <v>834</v>
      </c>
      <c r="I1902" s="33" t="s">
        <v>294</v>
      </c>
      <c r="J1902" s="33">
        <v>40258</v>
      </c>
      <c r="K1902" s="33" t="s">
        <v>1659</v>
      </c>
      <c r="L1902" s="33" t="s">
        <v>835</v>
      </c>
      <c r="M1902" s="33" t="s">
        <v>21</v>
      </c>
      <c r="N1902" s="33" t="s">
        <v>32595</v>
      </c>
      <c r="O1902" s="33" t="s">
        <v>372</v>
      </c>
      <c r="P1902" s="33" t="s">
        <v>30089</v>
      </c>
      <c r="Q1902" s="42" t="s">
        <v>32596</v>
      </c>
      <c r="R1902" s="33" t="s">
        <v>904</v>
      </c>
      <c r="S1902" s="33" t="s">
        <v>29</v>
      </c>
      <c r="T1902" s="33" t="s">
        <v>26586</v>
      </c>
      <c r="U1902" s="33" t="s">
        <v>26570</v>
      </c>
      <c r="V1902" s="33" t="s">
        <v>26573</v>
      </c>
      <c r="W1902" s="33" t="s">
        <v>512</v>
      </c>
      <c r="X1902" s="33">
        <v>3596</v>
      </c>
      <c r="Z1902" s="33" t="s">
        <v>42968</v>
      </c>
      <c r="AA1902" s="33">
        <v>5765</v>
      </c>
    </row>
    <row r="1903" spans="1:27" ht="12" customHeight="1" x14ac:dyDescent="0.15">
      <c r="A1903" s="33" t="s">
        <v>32580</v>
      </c>
      <c r="B1903" s="33">
        <v>33</v>
      </c>
      <c r="C1903" s="33" t="s">
        <v>14</v>
      </c>
      <c r="D1903" s="33" t="s">
        <v>31</v>
      </c>
      <c r="E1903" s="42"/>
      <c r="F1903" s="67">
        <v>43197</v>
      </c>
      <c r="G1903" s="33" t="s">
        <v>32581</v>
      </c>
      <c r="H1903" s="33" t="s">
        <v>8871</v>
      </c>
      <c r="I1903" s="33" t="s">
        <v>39</v>
      </c>
      <c r="J1903" s="33">
        <v>95965</v>
      </c>
      <c r="K1903" s="33" t="s">
        <v>4807</v>
      </c>
      <c r="L1903" s="33" t="s">
        <v>8873</v>
      </c>
      <c r="M1903" s="33" t="s">
        <v>21</v>
      </c>
      <c r="N1903" s="33" t="s">
        <v>32582</v>
      </c>
      <c r="O1903" s="33" t="s">
        <v>372</v>
      </c>
      <c r="P1903" s="33" t="s">
        <v>30089</v>
      </c>
      <c r="Q1903" s="42" t="s">
        <v>32583</v>
      </c>
      <c r="R1903" s="33" t="s">
        <v>94</v>
      </c>
      <c r="S1903" s="33" t="s">
        <v>22</v>
      </c>
      <c r="T1903" s="33" t="s">
        <v>26781</v>
      </c>
      <c r="U1903" s="33" t="s">
        <v>26572</v>
      </c>
      <c r="V1903" s="33" t="s">
        <v>26573</v>
      </c>
      <c r="W1903" s="33" t="s">
        <v>94</v>
      </c>
      <c r="X1903" s="33">
        <v>3592</v>
      </c>
      <c r="Z1903" s="33" t="s">
        <v>42967</v>
      </c>
      <c r="AA1903" s="33">
        <v>5763</v>
      </c>
    </row>
    <row r="1904" spans="1:27" ht="12" customHeight="1" x14ac:dyDescent="0.15">
      <c r="A1904" s="33" t="s">
        <v>32584</v>
      </c>
      <c r="B1904" s="33">
        <v>48</v>
      </c>
      <c r="C1904" s="33" t="s">
        <v>14</v>
      </c>
      <c r="D1904" s="33" t="s">
        <v>31</v>
      </c>
      <c r="E1904" s="42" t="s">
        <v>32585</v>
      </c>
      <c r="F1904" s="67">
        <v>43197</v>
      </c>
      <c r="G1904" s="33" t="s">
        <v>32586</v>
      </c>
      <c r="H1904" s="33" t="s">
        <v>1459</v>
      </c>
      <c r="I1904" s="33" t="s">
        <v>106</v>
      </c>
      <c r="J1904" s="33">
        <v>97214</v>
      </c>
      <c r="K1904" s="33" t="s">
        <v>1461</v>
      </c>
      <c r="L1904" s="33" t="s">
        <v>16039</v>
      </c>
      <c r="M1904" s="33" t="s">
        <v>21</v>
      </c>
      <c r="N1904" s="33" t="s">
        <v>32587</v>
      </c>
      <c r="O1904" s="33" t="s">
        <v>372</v>
      </c>
      <c r="P1904" s="33" t="s">
        <v>30089</v>
      </c>
      <c r="Q1904" s="42" t="s">
        <v>32588</v>
      </c>
      <c r="R1904" s="33" t="s">
        <v>512</v>
      </c>
      <c r="S1904" s="33" t="s">
        <v>22</v>
      </c>
      <c r="T1904" s="33" t="s">
        <v>26774</v>
      </c>
      <c r="U1904" s="33" t="s">
        <v>26570</v>
      </c>
      <c r="V1904" s="33" t="s">
        <v>19228</v>
      </c>
      <c r="W1904" s="33" t="s">
        <v>94</v>
      </c>
      <c r="X1904" s="33">
        <v>3591</v>
      </c>
      <c r="Z1904" s="33" t="s">
        <v>42966</v>
      </c>
      <c r="AA1904" s="33">
        <v>5764</v>
      </c>
    </row>
    <row r="1905" spans="1:27" ht="12" customHeight="1" x14ac:dyDescent="0.15">
      <c r="A1905" s="33" t="s">
        <v>32576</v>
      </c>
      <c r="B1905" s="33">
        <v>26</v>
      </c>
      <c r="C1905" s="33" t="s">
        <v>14</v>
      </c>
      <c r="D1905" s="33" t="s">
        <v>24</v>
      </c>
      <c r="E1905" s="42"/>
      <c r="F1905" s="67">
        <v>43196</v>
      </c>
      <c r="G1905" s="33" t="s">
        <v>32577</v>
      </c>
      <c r="H1905" s="33" t="s">
        <v>281</v>
      </c>
      <c r="I1905" s="33" t="s">
        <v>39</v>
      </c>
      <c r="J1905" s="33">
        <v>95901</v>
      </c>
      <c r="K1905" s="33" t="s">
        <v>1245</v>
      </c>
      <c r="L1905" s="33" t="s">
        <v>1246</v>
      </c>
      <c r="M1905" s="33" t="s">
        <v>21</v>
      </c>
      <c r="N1905" s="33" t="s">
        <v>32578</v>
      </c>
      <c r="O1905" s="33" t="s">
        <v>372</v>
      </c>
      <c r="P1905" s="33" t="s">
        <v>30089</v>
      </c>
      <c r="Q1905" s="42" t="s">
        <v>32579</v>
      </c>
      <c r="R1905" s="33" t="s">
        <v>904</v>
      </c>
      <c r="S1905" s="33" t="s">
        <v>22</v>
      </c>
      <c r="T1905" s="33" t="s">
        <v>26781</v>
      </c>
      <c r="U1905" s="33" t="s">
        <v>26572</v>
      </c>
      <c r="V1905" s="33" t="s">
        <v>26571</v>
      </c>
      <c r="W1905" s="33" t="s">
        <v>94</v>
      </c>
      <c r="X1905" s="33">
        <v>3588</v>
      </c>
      <c r="Z1905" s="33" t="s">
        <v>42968</v>
      </c>
      <c r="AA1905" s="33">
        <v>5761</v>
      </c>
    </row>
    <row r="1906" spans="1:27" ht="12" customHeight="1" x14ac:dyDescent="0.15">
      <c r="A1906" s="33" t="s">
        <v>32571</v>
      </c>
      <c r="B1906" s="33">
        <v>23</v>
      </c>
      <c r="C1906" s="33" t="s">
        <v>14</v>
      </c>
      <c r="D1906" s="33" t="s">
        <v>31</v>
      </c>
      <c r="E1906" s="42"/>
      <c r="F1906" s="67">
        <v>43196</v>
      </c>
      <c r="G1906" s="33" t="s">
        <v>32572</v>
      </c>
      <c r="H1906" s="33" t="s">
        <v>611</v>
      </c>
      <c r="I1906" s="33" t="s">
        <v>918</v>
      </c>
      <c r="J1906" s="33">
        <v>72650</v>
      </c>
      <c r="K1906" s="33" t="s">
        <v>6098</v>
      </c>
      <c r="L1906" s="33" t="s">
        <v>32573</v>
      </c>
      <c r="M1906" s="33" t="s">
        <v>21</v>
      </c>
      <c r="N1906" s="33" t="s">
        <v>32574</v>
      </c>
      <c r="O1906" s="33" t="s">
        <v>372</v>
      </c>
      <c r="P1906" s="33" t="s">
        <v>30089</v>
      </c>
      <c r="Q1906" s="42" t="s">
        <v>32575</v>
      </c>
      <c r="R1906" s="33" t="s">
        <v>94</v>
      </c>
      <c r="S1906" s="33" t="s">
        <v>22</v>
      </c>
      <c r="T1906" s="33" t="s">
        <v>26774</v>
      </c>
      <c r="U1906" s="33" t="s">
        <v>26572</v>
      </c>
      <c r="V1906" s="33" t="s">
        <v>26574</v>
      </c>
      <c r="W1906" s="33" t="s">
        <v>94</v>
      </c>
      <c r="X1906" s="33">
        <v>3590</v>
      </c>
      <c r="Z1906" s="33" t="s">
        <v>42967</v>
      </c>
      <c r="AA1906" s="33">
        <v>5762</v>
      </c>
    </row>
    <row r="1907" spans="1:27" ht="12" customHeight="1" x14ac:dyDescent="0.15">
      <c r="A1907" s="33" t="s">
        <v>36979</v>
      </c>
      <c r="B1907" s="33">
        <v>22</v>
      </c>
      <c r="C1907" s="33" t="s">
        <v>14</v>
      </c>
      <c r="D1907" s="33" t="s">
        <v>42</v>
      </c>
      <c r="E1907" s="33" t="s">
        <v>37004</v>
      </c>
      <c r="F1907" s="67">
        <v>43195</v>
      </c>
      <c r="G1907" s="10" t="s">
        <v>37016</v>
      </c>
      <c r="H1907" s="10" t="s">
        <v>607</v>
      </c>
      <c r="I1907" s="33" t="s">
        <v>250</v>
      </c>
      <c r="J1907" s="65">
        <v>89110</v>
      </c>
      <c r="K1907" s="10" t="s">
        <v>527</v>
      </c>
      <c r="L1907" s="10" t="s">
        <v>528</v>
      </c>
      <c r="M1907" s="33" t="s">
        <v>21</v>
      </c>
      <c r="N1907" s="10" t="s">
        <v>37038</v>
      </c>
      <c r="O1907" s="10" t="s">
        <v>372</v>
      </c>
      <c r="P1907" s="33" t="s">
        <v>30089</v>
      </c>
      <c r="Q1907" s="64" t="s">
        <v>37039</v>
      </c>
      <c r="R1907" s="33" t="s">
        <v>512</v>
      </c>
      <c r="S1907" s="33" t="s">
        <v>22</v>
      </c>
      <c r="T1907" s="36" t="s">
        <v>26781</v>
      </c>
      <c r="U1907" s="36" t="s">
        <v>26572</v>
      </c>
      <c r="V1907" s="36" t="s">
        <v>26573</v>
      </c>
      <c r="W1907" s="33" t="s">
        <v>94</v>
      </c>
      <c r="X1907" s="33">
        <v>4260</v>
      </c>
      <c r="Z1907" s="33" t="s">
        <v>42968</v>
      </c>
      <c r="AA1907" s="33">
        <v>5757</v>
      </c>
    </row>
    <row r="1908" spans="1:27" ht="12" customHeight="1" x14ac:dyDescent="0.15">
      <c r="A1908" s="33" t="s">
        <v>33119</v>
      </c>
      <c r="B1908" s="33">
        <v>26</v>
      </c>
      <c r="C1908" s="33" t="s">
        <v>14</v>
      </c>
      <c r="D1908" s="33" t="s">
        <v>79</v>
      </c>
      <c r="E1908" s="42"/>
      <c r="F1908" s="67">
        <v>43195</v>
      </c>
      <c r="G1908" s="33" t="s">
        <v>32542</v>
      </c>
      <c r="H1908" s="33" t="s">
        <v>324</v>
      </c>
      <c r="I1908" s="33" t="s">
        <v>39</v>
      </c>
      <c r="J1908" s="33">
        <v>92311</v>
      </c>
      <c r="K1908" s="33" t="s">
        <v>288</v>
      </c>
      <c r="L1908" s="33" t="s">
        <v>325</v>
      </c>
      <c r="M1908" s="33" t="s">
        <v>21</v>
      </c>
      <c r="N1908" s="33" t="s">
        <v>32543</v>
      </c>
      <c r="O1908" s="33" t="s">
        <v>372</v>
      </c>
      <c r="P1908" s="33" t="s">
        <v>30089</v>
      </c>
      <c r="Q1908" s="42" t="s">
        <v>32544</v>
      </c>
      <c r="R1908" s="33" t="s">
        <v>94</v>
      </c>
      <c r="S1908" s="33" t="s">
        <v>351</v>
      </c>
      <c r="T1908" s="33" t="s">
        <v>26867</v>
      </c>
      <c r="U1908" s="33" t="s">
        <v>26572</v>
      </c>
      <c r="V1908" s="33" t="s">
        <v>26573</v>
      </c>
      <c r="W1908" s="33" t="s">
        <v>94</v>
      </c>
      <c r="X1908" s="33">
        <v>3586</v>
      </c>
      <c r="Z1908" s="33" t="s">
        <v>42968</v>
      </c>
      <c r="AA1908" s="33">
        <v>5760</v>
      </c>
    </row>
    <row r="1909" spans="1:27" ht="12" customHeight="1" x14ac:dyDescent="0.15">
      <c r="A1909" s="33" t="s">
        <v>32549</v>
      </c>
      <c r="B1909" s="33">
        <v>50</v>
      </c>
      <c r="C1909" s="33" t="s">
        <v>103</v>
      </c>
      <c r="D1909" s="33" t="s">
        <v>24</v>
      </c>
      <c r="E1909" s="42"/>
      <c r="F1909" s="67">
        <v>43195</v>
      </c>
      <c r="G1909" s="33" t="s">
        <v>32550</v>
      </c>
      <c r="H1909" s="33" t="s">
        <v>32551</v>
      </c>
      <c r="I1909" s="33" t="s">
        <v>46</v>
      </c>
      <c r="J1909" s="33">
        <v>20640</v>
      </c>
      <c r="K1909" s="33" t="s">
        <v>2616</v>
      </c>
      <c r="L1909" s="33" t="s">
        <v>32552</v>
      </c>
      <c r="M1909" s="33" t="s">
        <v>21</v>
      </c>
      <c r="N1909" s="33" t="s">
        <v>32553</v>
      </c>
      <c r="O1909" s="33" t="s">
        <v>23116</v>
      </c>
      <c r="P1909" s="33" t="s">
        <v>30089</v>
      </c>
      <c r="Q1909" s="42" t="s">
        <v>32554</v>
      </c>
      <c r="R1909" s="33" t="s">
        <v>94</v>
      </c>
      <c r="S1909" s="33" t="s">
        <v>12</v>
      </c>
      <c r="T1909" s="33" t="s">
        <v>29705</v>
      </c>
      <c r="U1909" s="33" t="s">
        <v>26570</v>
      </c>
      <c r="V1909" s="33" t="s">
        <v>26573</v>
      </c>
      <c r="Y1909" s="33" t="s">
        <v>42476</v>
      </c>
      <c r="Z1909" s="33" t="s">
        <v>42967</v>
      </c>
      <c r="AA1909" s="33">
        <v>5759</v>
      </c>
    </row>
    <row r="1910" spans="1:27" ht="12" customHeight="1" x14ac:dyDescent="0.15">
      <c r="A1910" s="33" t="s">
        <v>32560</v>
      </c>
      <c r="B1910" s="33">
        <v>40</v>
      </c>
      <c r="C1910" s="33" t="s">
        <v>14</v>
      </c>
      <c r="D1910" s="33" t="s">
        <v>31</v>
      </c>
      <c r="E1910" s="42" t="s">
        <v>32561</v>
      </c>
      <c r="F1910" s="67">
        <v>43195</v>
      </c>
      <c r="G1910" s="33" t="s">
        <v>32562</v>
      </c>
      <c r="H1910" s="33" t="s">
        <v>32563</v>
      </c>
      <c r="I1910" s="33" t="s">
        <v>376</v>
      </c>
      <c r="J1910" s="33">
        <v>16156</v>
      </c>
      <c r="K1910" s="33" t="s">
        <v>1924</v>
      </c>
      <c r="L1910" s="33" t="s">
        <v>32564</v>
      </c>
      <c r="M1910" s="33" t="s">
        <v>21</v>
      </c>
      <c r="N1910" s="33" t="s">
        <v>32565</v>
      </c>
      <c r="O1910" s="33" t="s">
        <v>372</v>
      </c>
      <c r="P1910" s="33" t="s">
        <v>30089</v>
      </c>
      <c r="Q1910" s="42" t="s">
        <v>32566</v>
      </c>
      <c r="R1910" s="33" t="s">
        <v>94</v>
      </c>
      <c r="S1910" s="33" t="s">
        <v>22</v>
      </c>
      <c r="T1910" s="33" t="s">
        <v>26781</v>
      </c>
      <c r="U1910" s="33" t="s">
        <v>26572</v>
      </c>
      <c r="V1910" s="33" t="s">
        <v>26573</v>
      </c>
      <c r="W1910" s="33" t="s">
        <v>94</v>
      </c>
      <c r="X1910" s="33">
        <v>3582</v>
      </c>
      <c r="Z1910" s="33" t="s">
        <v>42967</v>
      </c>
      <c r="AA1910" s="33">
        <v>5754</v>
      </c>
    </row>
    <row r="1911" spans="1:27" ht="12" customHeight="1" x14ac:dyDescent="0.15">
      <c r="A1911" s="33" t="s">
        <v>32555</v>
      </c>
      <c r="B1911" s="33">
        <v>81</v>
      </c>
      <c r="C1911" s="33" t="s">
        <v>14</v>
      </c>
      <c r="D1911" s="33" t="s">
        <v>31</v>
      </c>
      <c r="E1911" s="42" t="s">
        <v>32556</v>
      </c>
      <c r="F1911" s="67">
        <v>43195</v>
      </c>
      <c r="G1911" s="33" t="s">
        <v>32557</v>
      </c>
      <c r="H1911" s="33" t="s">
        <v>1863</v>
      </c>
      <c r="I1911" s="33" t="s">
        <v>395</v>
      </c>
      <c r="J1911" s="33">
        <v>14612</v>
      </c>
      <c r="K1911" s="33" t="s">
        <v>1037</v>
      </c>
      <c r="L1911" s="33" t="s">
        <v>1865</v>
      </c>
      <c r="M1911" s="33" t="s">
        <v>21</v>
      </c>
      <c r="N1911" s="33" t="s">
        <v>32558</v>
      </c>
      <c r="O1911" s="33" t="s">
        <v>372</v>
      </c>
      <c r="P1911" s="33" t="s">
        <v>30089</v>
      </c>
      <c r="Q1911" s="42" t="s">
        <v>32559</v>
      </c>
      <c r="R1911" s="33" t="s">
        <v>94</v>
      </c>
      <c r="S1911" s="33" t="s">
        <v>22</v>
      </c>
      <c r="T1911" s="33" t="s">
        <v>26781</v>
      </c>
      <c r="U1911" s="33" t="s">
        <v>26572</v>
      </c>
      <c r="V1911" s="33" t="s">
        <v>26573</v>
      </c>
      <c r="W1911" s="33" t="s">
        <v>94</v>
      </c>
      <c r="X1911" s="33">
        <v>3578</v>
      </c>
      <c r="Z1911" s="33" t="s">
        <v>42968</v>
      </c>
      <c r="AA1911" s="33">
        <v>5753</v>
      </c>
    </row>
    <row r="1912" spans="1:27" ht="12" customHeight="1" x14ac:dyDescent="0.15">
      <c r="A1912" s="33" t="s">
        <v>33118</v>
      </c>
      <c r="B1912" s="33">
        <v>18</v>
      </c>
      <c r="C1912" s="33" t="s">
        <v>14</v>
      </c>
      <c r="D1912" s="33" t="s">
        <v>15</v>
      </c>
      <c r="E1912" s="42"/>
      <c r="F1912" s="67">
        <v>43195</v>
      </c>
      <c r="G1912" s="33" t="s">
        <v>32539</v>
      </c>
      <c r="H1912" s="33" t="s">
        <v>1066</v>
      </c>
      <c r="I1912" s="33" t="s">
        <v>39</v>
      </c>
      <c r="J1912" s="33">
        <v>94536</v>
      </c>
      <c r="K1912" s="33" t="s">
        <v>558</v>
      </c>
      <c r="L1912" s="33" t="s">
        <v>1067</v>
      </c>
      <c r="M1912" s="33" t="s">
        <v>21</v>
      </c>
      <c r="N1912" s="33" t="s">
        <v>32540</v>
      </c>
      <c r="O1912" s="33" t="s">
        <v>372</v>
      </c>
      <c r="P1912" s="33" t="s">
        <v>30089</v>
      </c>
      <c r="Q1912" s="42" t="s">
        <v>32541</v>
      </c>
      <c r="R1912" s="33" t="s">
        <v>94</v>
      </c>
      <c r="S1912" s="33" t="s">
        <v>22</v>
      </c>
      <c r="T1912" s="33" t="s">
        <v>26781</v>
      </c>
      <c r="U1912" s="33" t="s">
        <v>26572</v>
      </c>
      <c r="V1912" s="33" t="s">
        <v>26574</v>
      </c>
      <c r="W1912" s="33" t="s">
        <v>94</v>
      </c>
      <c r="X1912" s="33">
        <v>3587</v>
      </c>
      <c r="Z1912" s="33" t="s">
        <v>42968</v>
      </c>
      <c r="AA1912" s="33">
        <v>5755</v>
      </c>
    </row>
    <row r="1913" spans="1:27" ht="12" customHeight="1" x14ac:dyDescent="0.15">
      <c r="A1913" s="33" t="s">
        <v>32545</v>
      </c>
      <c r="B1913" s="33">
        <v>56</v>
      </c>
      <c r="C1913" s="33" t="s">
        <v>14</v>
      </c>
      <c r="D1913" s="33" t="s">
        <v>42</v>
      </c>
      <c r="E1913" s="42"/>
      <c r="F1913" s="67">
        <v>43195</v>
      </c>
      <c r="G1913" s="33" t="s">
        <v>32546</v>
      </c>
      <c r="H1913" s="33" t="s">
        <v>14759</v>
      </c>
      <c r="I1913" s="33" t="s">
        <v>198</v>
      </c>
      <c r="J1913" s="33">
        <v>46619</v>
      </c>
      <c r="K1913" s="33" t="s">
        <v>10132</v>
      </c>
      <c r="L1913" s="33" t="s">
        <v>14761</v>
      </c>
      <c r="M1913" s="33" t="s">
        <v>21</v>
      </c>
      <c r="N1913" s="33" t="s">
        <v>32547</v>
      </c>
      <c r="O1913" s="33" t="s">
        <v>372</v>
      </c>
      <c r="P1913" s="33" t="s">
        <v>30089</v>
      </c>
      <c r="Q1913" s="42" t="s">
        <v>32548</v>
      </c>
      <c r="R1913" s="33" t="s">
        <v>94</v>
      </c>
      <c r="S1913" s="33" t="s">
        <v>22</v>
      </c>
      <c r="T1913" s="33" t="s">
        <v>26774</v>
      </c>
      <c r="U1913" s="33" t="s">
        <v>26575</v>
      </c>
      <c r="V1913" s="33" t="s">
        <v>26573</v>
      </c>
      <c r="X1913" s="33">
        <v>4259</v>
      </c>
      <c r="Z1913" s="33" t="s">
        <v>42966</v>
      </c>
      <c r="AA1913" s="33">
        <v>5758</v>
      </c>
    </row>
    <row r="1914" spans="1:27" ht="12" customHeight="1" x14ac:dyDescent="0.15">
      <c r="A1914" s="33" t="s">
        <v>32567</v>
      </c>
      <c r="B1914" s="33">
        <v>59</v>
      </c>
      <c r="C1914" s="33" t="s">
        <v>14</v>
      </c>
      <c r="D1914" s="33" t="s">
        <v>31</v>
      </c>
      <c r="E1914" s="42" t="s">
        <v>33116</v>
      </c>
      <c r="F1914" s="67">
        <v>43195</v>
      </c>
      <c r="G1914" s="33" t="s">
        <v>32568</v>
      </c>
      <c r="H1914" s="33" t="s">
        <v>32569</v>
      </c>
      <c r="I1914" s="33" t="s">
        <v>139</v>
      </c>
      <c r="J1914" s="33">
        <v>26301</v>
      </c>
      <c r="K1914" s="33" t="s">
        <v>3687</v>
      </c>
      <c r="L1914" s="33" t="s">
        <v>11075</v>
      </c>
      <c r="M1914" s="33" t="s">
        <v>21</v>
      </c>
      <c r="N1914" s="33" t="s">
        <v>33117</v>
      </c>
      <c r="O1914" s="33" t="s">
        <v>372</v>
      </c>
      <c r="P1914" s="33" t="s">
        <v>30089</v>
      </c>
      <c r="Q1914" s="42" t="s">
        <v>32570</v>
      </c>
      <c r="R1914" s="33" t="s">
        <v>94</v>
      </c>
      <c r="S1914" s="33" t="s">
        <v>22</v>
      </c>
      <c r="T1914" s="33" t="s">
        <v>26781</v>
      </c>
      <c r="U1914" s="33" t="s">
        <v>26570</v>
      </c>
      <c r="V1914" s="33" t="s">
        <v>26574</v>
      </c>
      <c r="W1914" s="33" t="s">
        <v>512</v>
      </c>
      <c r="X1914" s="33">
        <v>3623</v>
      </c>
      <c r="Z1914" s="33" t="s">
        <v>42968</v>
      </c>
      <c r="AA1914" s="33">
        <v>5756</v>
      </c>
    </row>
    <row r="1915" spans="1:27" ht="12" customHeight="1" x14ac:dyDescent="0.15">
      <c r="A1915" s="33" t="s">
        <v>3002</v>
      </c>
      <c r="B1915" s="33" t="s">
        <v>23</v>
      </c>
      <c r="C1915" s="33" t="s">
        <v>14</v>
      </c>
      <c r="D1915" s="33" t="s">
        <v>24</v>
      </c>
      <c r="E1915" s="42"/>
      <c r="F1915" s="67">
        <v>43194</v>
      </c>
      <c r="G1915" s="33" t="s">
        <v>32526</v>
      </c>
      <c r="H1915" s="33" t="s">
        <v>6784</v>
      </c>
      <c r="I1915" s="33" t="s">
        <v>367</v>
      </c>
      <c r="J1915" s="33">
        <v>74447</v>
      </c>
      <c r="K1915" s="33" t="s">
        <v>6784</v>
      </c>
      <c r="L1915" s="33" t="s">
        <v>10237</v>
      </c>
      <c r="M1915" s="33" t="s">
        <v>21</v>
      </c>
      <c r="N1915" s="33" t="s">
        <v>32527</v>
      </c>
      <c r="O1915" s="33" t="s">
        <v>372</v>
      </c>
      <c r="P1915" s="33" t="s">
        <v>30089</v>
      </c>
      <c r="Q1915" s="42" t="s">
        <v>32528</v>
      </c>
      <c r="R1915" s="33" t="s">
        <v>512</v>
      </c>
      <c r="S1915" s="33" t="s">
        <v>22</v>
      </c>
      <c r="T1915" s="33" t="s">
        <v>26774</v>
      </c>
      <c r="U1915" s="33" t="s">
        <v>26570</v>
      </c>
      <c r="V1915" s="33" t="s">
        <v>26573</v>
      </c>
      <c r="W1915" s="33" t="s">
        <v>94</v>
      </c>
      <c r="X1915" s="33">
        <v>3574</v>
      </c>
      <c r="Z1915" s="33" t="s">
        <v>42967</v>
      </c>
      <c r="AA1915" s="33">
        <v>5751</v>
      </c>
    </row>
    <row r="1916" spans="1:27" ht="12" customHeight="1" x14ac:dyDescent="0.15">
      <c r="A1916" s="33" t="s">
        <v>32534</v>
      </c>
      <c r="B1916" s="33">
        <v>36</v>
      </c>
      <c r="C1916" s="33" t="s">
        <v>14</v>
      </c>
      <c r="D1916" s="33" t="s">
        <v>31</v>
      </c>
      <c r="E1916" s="42" t="s">
        <v>32535</v>
      </c>
      <c r="F1916" s="67">
        <v>43194</v>
      </c>
      <c r="G1916" s="33" t="s">
        <v>32536</v>
      </c>
      <c r="H1916" s="33" t="s">
        <v>15505</v>
      </c>
      <c r="I1916" s="33" t="s">
        <v>282</v>
      </c>
      <c r="J1916" s="33">
        <v>98003</v>
      </c>
      <c r="K1916" s="33" t="s">
        <v>1133</v>
      </c>
      <c r="L1916" s="33" t="s">
        <v>15507</v>
      </c>
      <c r="M1916" s="33" t="s">
        <v>21</v>
      </c>
      <c r="N1916" s="33" t="s">
        <v>32537</v>
      </c>
      <c r="O1916" s="33" t="s">
        <v>372</v>
      </c>
      <c r="P1916" s="33" t="s">
        <v>30089</v>
      </c>
      <c r="Q1916" s="42" t="s">
        <v>32538</v>
      </c>
      <c r="R1916" s="33" t="s">
        <v>94</v>
      </c>
      <c r="S1916" s="33" t="s">
        <v>22</v>
      </c>
      <c r="T1916" s="33" t="s">
        <v>26781</v>
      </c>
      <c r="U1916" s="33" t="s">
        <v>26572</v>
      </c>
      <c r="V1916" s="33" t="s">
        <v>26573</v>
      </c>
      <c r="X1916" s="33">
        <v>4258</v>
      </c>
      <c r="Z1916" s="33" t="s">
        <v>42968</v>
      </c>
      <c r="AA1916" s="33">
        <v>5749</v>
      </c>
    </row>
    <row r="1917" spans="1:27" ht="12" customHeight="1" x14ac:dyDescent="0.15">
      <c r="A1917" s="33" t="s">
        <v>32512</v>
      </c>
      <c r="B1917" s="33">
        <v>70</v>
      </c>
      <c r="C1917" s="33" t="s">
        <v>14</v>
      </c>
      <c r="D1917" s="33" t="s">
        <v>24</v>
      </c>
      <c r="E1917" s="42"/>
      <c r="F1917" s="67">
        <v>43194</v>
      </c>
      <c r="G1917" s="33" t="s">
        <v>32513</v>
      </c>
      <c r="H1917" s="33" t="s">
        <v>32514</v>
      </c>
      <c r="I1917" s="33" t="s">
        <v>160</v>
      </c>
      <c r="J1917" s="33">
        <v>30258</v>
      </c>
      <c r="K1917" s="33" t="s">
        <v>2973</v>
      </c>
      <c r="L1917" s="33" t="s">
        <v>2974</v>
      </c>
      <c r="M1917" s="33" t="s">
        <v>21</v>
      </c>
      <c r="N1917" s="33" t="s">
        <v>32515</v>
      </c>
      <c r="O1917" s="33" t="s">
        <v>372</v>
      </c>
      <c r="P1917" s="33" t="s">
        <v>30089</v>
      </c>
      <c r="Q1917" s="42" t="s">
        <v>32516</v>
      </c>
      <c r="R1917" s="33" t="s">
        <v>94</v>
      </c>
      <c r="S1917" s="33" t="s">
        <v>22</v>
      </c>
      <c r="T1917" s="33" t="s">
        <v>26781</v>
      </c>
      <c r="U1917" s="33" t="s">
        <v>26572</v>
      </c>
      <c r="V1917" s="33" t="s">
        <v>26573</v>
      </c>
      <c r="W1917" s="33" t="s">
        <v>94</v>
      </c>
      <c r="X1917" s="33">
        <v>3580</v>
      </c>
      <c r="Z1917" s="33" t="s">
        <v>42967</v>
      </c>
      <c r="AA1917" s="33">
        <v>5746</v>
      </c>
    </row>
    <row r="1918" spans="1:27" ht="12" customHeight="1" x14ac:dyDescent="0.15">
      <c r="A1918" s="33" t="s">
        <v>32508</v>
      </c>
      <c r="B1918" s="33">
        <v>30</v>
      </c>
      <c r="C1918" s="33" t="s">
        <v>14</v>
      </c>
      <c r="D1918" s="33" t="s">
        <v>31</v>
      </c>
      <c r="E1918" s="42"/>
      <c r="F1918" s="67">
        <v>43194</v>
      </c>
      <c r="G1918" s="33" t="s">
        <v>32509</v>
      </c>
      <c r="H1918" s="33" t="s">
        <v>1337</v>
      </c>
      <c r="I1918" s="33" t="s">
        <v>112</v>
      </c>
      <c r="J1918" s="33">
        <v>85202</v>
      </c>
      <c r="K1918" s="33" t="s">
        <v>585</v>
      </c>
      <c r="L1918" s="33" t="s">
        <v>1338</v>
      </c>
      <c r="M1918" s="33" t="s">
        <v>21</v>
      </c>
      <c r="N1918" s="33" t="s">
        <v>32510</v>
      </c>
      <c r="O1918" s="33" t="s">
        <v>372</v>
      </c>
      <c r="P1918" s="33" t="s">
        <v>30089</v>
      </c>
      <c r="Q1918" s="42" t="s">
        <v>32511</v>
      </c>
      <c r="R1918" s="33" t="s">
        <v>94</v>
      </c>
      <c r="S1918" s="33" t="s">
        <v>22</v>
      </c>
      <c r="T1918" s="33" t="s">
        <v>26781</v>
      </c>
      <c r="U1918" s="33" t="s">
        <v>26572</v>
      </c>
      <c r="V1918" s="33" t="s">
        <v>26574</v>
      </c>
      <c r="W1918" s="33" t="s">
        <v>94</v>
      </c>
      <c r="X1918" s="33">
        <v>3584</v>
      </c>
      <c r="Z1918" s="33" t="s">
        <v>42966</v>
      </c>
      <c r="AA1918" s="33">
        <v>5748</v>
      </c>
    </row>
    <row r="1919" spans="1:27" ht="12" customHeight="1" x14ac:dyDescent="0.15">
      <c r="A1919" s="33" t="s">
        <v>32529</v>
      </c>
      <c r="B1919" s="33">
        <v>34</v>
      </c>
      <c r="C1919" s="33" t="s">
        <v>14</v>
      </c>
      <c r="D1919" s="33" t="s">
        <v>31</v>
      </c>
      <c r="E1919" s="42" t="s">
        <v>32530</v>
      </c>
      <c r="F1919" s="67">
        <v>43194</v>
      </c>
      <c r="G1919" s="33" t="s">
        <v>32531</v>
      </c>
      <c r="H1919" s="33" t="s">
        <v>11314</v>
      </c>
      <c r="I1919" s="33" t="s">
        <v>67</v>
      </c>
      <c r="J1919" s="33">
        <v>78414</v>
      </c>
      <c r="K1919" s="33" t="s">
        <v>11316</v>
      </c>
      <c r="L1919" s="33" t="s">
        <v>11317</v>
      </c>
      <c r="M1919" s="33" t="s">
        <v>21</v>
      </c>
      <c r="N1919" s="33" t="s">
        <v>32532</v>
      </c>
      <c r="O1919" s="33" t="s">
        <v>372</v>
      </c>
      <c r="P1919" s="33" t="s">
        <v>30089</v>
      </c>
      <c r="Q1919" s="42" t="s">
        <v>32533</v>
      </c>
      <c r="R1919" s="33" t="s">
        <v>94</v>
      </c>
      <c r="S1919" s="33" t="s">
        <v>22</v>
      </c>
      <c r="T1919" s="33" t="s">
        <v>26781</v>
      </c>
      <c r="U1919" s="33" t="s">
        <v>26570</v>
      </c>
      <c r="V1919" s="33" t="s">
        <v>26574</v>
      </c>
      <c r="W1919" s="33" t="s">
        <v>94</v>
      </c>
      <c r="X1919" s="33">
        <v>3575</v>
      </c>
      <c r="Z1919" s="33" t="s">
        <v>42968</v>
      </c>
      <c r="AA1919" s="33">
        <v>5745</v>
      </c>
    </row>
    <row r="1920" spans="1:27" ht="12" customHeight="1" x14ac:dyDescent="0.15">
      <c r="A1920" s="33" t="s">
        <v>32419</v>
      </c>
      <c r="B1920" s="33">
        <v>34</v>
      </c>
      <c r="C1920" s="33" t="s">
        <v>14</v>
      </c>
      <c r="D1920" s="33" t="s">
        <v>79</v>
      </c>
      <c r="E1920" s="42" t="s">
        <v>32522</v>
      </c>
      <c r="F1920" s="67">
        <v>43194</v>
      </c>
      <c r="G1920" s="33" t="s">
        <v>32523</v>
      </c>
      <c r="H1920" s="33" t="s">
        <v>1599</v>
      </c>
      <c r="I1920" s="33" t="s">
        <v>395</v>
      </c>
      <c r="J1920" s="33">
        <v>11213</v>
      </c>
      <c r="K1920" s="33" t="s">
        <v>1601</v>
      </c>
      <c r="L1920" s="33" t="s">
        <v>539</v>
      </c>
      <c r="M1920" s="33" t="s">
        <v>21</v>
      </c>
      <c r="N1920" s="33" t="s">
        <v>32524</v>
      </c>
      <c r="O1920" s="33" t="s">
        <v>372</v>
      </c>
      <c r="P1920" s="33" t="s">
        <v>30089</v>
      </c>
      <c r="Q1920" s="42" t="s">
        <v>32525</v>
      </c>
      <c r="R1920" s="33" t="s">
        <v>512</v>
      </c>
      <c r="S1920" s="33" t="s">
        <v>29</v>
      </c>
      <c r="T1920" s="33" t="s">
        <v>26584</v>
      </c>
      <c r="U1920" s="33" t="s">
        <v>26572</v>
      </c>
      <c r="V1920" s="33" t="s">
        <v>26573</v>
      </c>
      <c r="W1920" s="33" t="s">
        <v>94</v>
      </c>
      <c r="X1920" s="33">
        <v>3577</v>
      </c>
      <c r="Z1920" s="33" t="s">
        <v>42966</v>
      </c>
      <c r="AA1920" s="33">
        <v>5752</v>
      </c>
    </row>
    <row r="1921" spans="1:27" ht="12" customHeight="1" x14ac:dyDescent="0.15">
      <c r="A1921" s="33" t="s">
        <v>32504</v>
      </c>
      <c r="B1921" s="33">
        <v>44</v>
      </c>
      <c r="C1921" s="33" t="s">
        <v>103</v>
      </c>
      <c r="D1921" s="33" t="s">
        <v>31</v>
      </c>
      <c r="E1921" s="42"/>
      <c r="F1921" s="67">
        <v>43194</v>
      </c>
      <c r="G1921" s="33" t="s">
        <v>32505</v>
      </c>
      <c r="H1921" s="33" t="s">
        <v>584</v>
      </c>
      <c r="I1921" s="33" t="s">
        <v>112</v>
      </c>
      <c r="J1921" s="33">
        <v>85308</v>
      </c>
      <c r="K1921" s="33" t="s">
        <v>585</v>
      </c>
      <c r="L1921" s="33" t="s">
        <v>586</v>
      </c>
      <c r="M1921" s="33" t="s">
        <v>21</v>
      </c>
      <c r="N1921" s="33" t="s">
        <v>32506</v>
      </c>
      <c r="O1921" s="33" t="s">
        <v>372</v>
      </c>
      <c r="P1921" s="33" t="s">
        <v>30089</v>
      </c>
      <c r="Q1921" s="42" t="s">
        <v>32507</v>
      </c>
      <c r="R1921" s="33" t="s">
        <v>23</v>
      </c>
      <c r="S1921" s="33" t="s">
        <v>22</v>
      </c>
      <c r="T1921" s="33" t="s">
        <v>26781</v>
      </c>
      <c r="U1921" s="33" t="s">
        <v>26572</v>
      </c>
      <c r="V1921" s="33" t="s">
        <v>26573</v>
      </c>
      <c r="W1921" s="33" t="s">
        <v>94</v>
      </c>
      <c r="X1921" s="33">
        <v>3581</v>
      </c>
      <c r="Z1921" s="33" t="s">
        <v>42968</v>
      </c>
      <c r="AA1921" s="33">
        <v>5747</v>
      </c>
    </row>
    <row r="1922" spans="1:27" ht="12" customHeight="1" x14ac:dyDescent="0.15">
      <c r="A1922" s="33" t="s">
        <v>32517</v>
      </c>
      <c r="B1922" s="33">
        <v>56</v>
      </c>
      <c r="C1922" s="33" t="s">
        <v>14</v>
      </c>
      <c r="D1922" s="33" t="s">
        <v>79</v>
      </c>
      <c r="E1922" s="42" t="s">
        <v>32518</v>
      </c>
      <c r="F1922" s="67">
        <v>43194</v>
      </c>
      <c r="G1922" s="33" t="s">
        <v>32519</v>
      </c>
      <c r="H1922" s="33" t="s">
        <v>415</v>
      </c>
      <c r="I1922" s="33" t="s">
        <v>51</v>
      </c>
      <c r="J1922" s="33">
        <v>48205</v>
      </c>
      <c r="K1922" s="33" t="s">
        <v>1057</v>
      </c>
      <c r="L1922" s="33" t="s">
        <v>28930</v>
      </c>
      <c r="M1922" s="33" t="s">
        <v>21</v>
      </c>
      <c r="N1922" s="33" t="s">
        <v>32520</v>
      </c>
      <c r="O1922" s="33" t="s">
        <v>372</v>
      </c>
      <c r="P1922" s="33" t="s">
        <v>30089</v>
      </c>
      <c r="Q1922" s="42" t="s">
        <v>32521</v>
      </c>
      <c r="R1922" s="33" t="s">
        <v>94</v>
      </c>
      <c r="S1922" s="33" t="s">
        <v>22</v>
      </c>
      <c r="T1922" s="33" t="s">
        <v>26781</v>
      </c>
      <c r="U1922" s="33" t="s">
        <v>26572</v>
      </c>
      <c r="V1922" s="33" t="s">
        <v>26574</v>
      </c>
      <c r="Z1922" s="33" t="s">
        <v>42966</v>
      </c>
      <c r="AA1922" s="33">
        <v>5750</v>
      </c>
    </row>
    <row r="1923" spans="1:27" ht="12" customHeight="1" x14ac:dyDescent="0.15">
      <c r="A1923" s="33" t="s">
        <v>32492</v>
      </c>
      <c r="B1923" s="33">
        <v>49</v>
      </c>
      <c r="C1923" s="33" t="s">
        <v>14</v>
      </c>
      <c r="D1923" s="33" t="s">
        <v>31</v>
      </c>
      <c r="E1923" s="42" t="s">
        <v>32493</v>
      </c>
      <c r="F1923" s="67">
        <v>43193</v>
      </c>
      <c r="G1923" s="33" t="s">
        <v>32494</v>
      </c>
      <c r="H1923" s="33" t="s">
        <v>2012</v>
      </c>
      <c r="I1923" s="33" t="s">
        <v>88</v>
      </c>
      <c r="J1923" s="33">
        <v>35806</v>
      </c>
      <c r="K1923" s="33" t="s">
        <v>2014</v>
      </c>
      <c r="L1923" s="33" t="s">
        <v>2015</v>
      </c>
      <c r="M1923" s="33" t="s">
        <v>21</v>
      </c>
      <c r="N1923" s="33" t="s">
        <v>32495</v>
      </c>
      <c r="O1923" s="33" t="s">
        <v>372</v>
      </c>
      <c r="P1923" s="33" t="s">
        <v>30089</v>
      </c>
      <c r="Q1923" s="42" t="s">
        <v>32496</v>
      </c>
      <c r="R1923" s="33" t="s">
        <v>512</v>
      </c>
      <c r="S1923" s="33" t="s">
        <v>22</v>
      </c>
      <c r="T1923" s="33" t="s">
        <v>26781</v>
      </c>
      <c r="U1923" s="33" t="s">
        <v>26575</v>
      </c>
      <c r="V1923" s="33" t="s">
        <v>26573</v>
      </c>
      <c r="W1923" s="33" t="s">
        <v>512</v>
      </c>
      <c r="X1923" s="33">
        <v>3579</v>
      </c>
      <c r="Z1923" s="33" t="s">
        <v>42966</v>
      </c>
      <c r="AA1923" s="33">
        <v>5743</v>
      </c>
    </row>
    <row r="1924" spans="1:27" ht="12" customHeight="1" x14ac:dyDescent="0.15">
      <c r="A1924" s="33" t="s">
        <v>32497</v>
      </c>
      <c r="B1924" s="33">
        <v>24</v>
      </c>
      <c r="C1924" s="33" t="s">
        <v>14</v>
      </c>
      <c r="D1924" s="33" t="s">
        <v>42</v>
      </c>
      <c r="E1924" s="42" t="s">
        <v>32498</v>
      </c>
      <c r="F1924" s="67">
        <v>43193</v>
      </c>
      <c r="G1924" s="33" t="s">
        <v>32499</v>
      </c>
      <c r="H1924" s="33" t="s">
        <v>32500</v>
      </c>
      <c r="I1924" s="33" t="s">
        <v>39</v>
      </c>
      <c r="J1924" s="33">
        <v>94954</v>
      </c>
      <c r="K1924" s="33" t="s">
        <v>2469</v>
      </c>
      <c r="L1924" s="33" t="s">
        <v>32501</v>
      </c>
      <c r="M1924" s="33" t="s">
        <v>21</v>
      </c>
      <c r="N1924" s="33" t="s">
        <v>32502</v>
      </c>
      <c r="O1924" s="33" t="s">
        <v>372</v>
      </c>
      <c r="P1924" s="33" t="s">
        <v>30089</v>
      </c>
      <c r="Q1924" s="42" t="s">
        <v>32503</v>
      </c>
      <c r="R1924" s="33" t="s">
        <v>94</v>
      </c>
      <c r="S1924" s="33" t="s">
        <v>22</v>
      </c>
      <c r="T1924" s="33" t="s">
        <v>26781</v>
      </c>
      <c r="U1924" s="33" t="s">
        <v>26572</v>
      </c>
      <c r="V1924" s="33" t="s">
        <v>26573</v>
      </c>
      <c r="Z1924" s="33" t="s">
        <v>42968</v>
      </c>
      <c r="AA1924" s="33">
        <v>5744</v>
      </c>
    </row>
    <row r="1925" spans="1:27" ht="12" customHeight="1" x14ac:dyDescent="0.15">
      <c r="A1925" s="33" t="s">
        <v>3002</v>
      </c>
      <c r="B1925" s="33" t="s">
        <v>23</v>
      </c>
      <c r="C1925" s="33" t="s">
        <v>14</v>
      </c>
      <c r="D1925" s="33" t="s">
        <v>31</v>
      </c>
      <c r="E1925" s="42"/>
      <c r="F1925" s="67">
        <v>43191</v>
      </c>
      <c r="G1925" s="33" t="s">
        <v>32409</v>
      </c>
      <c r="H1925" s="33" t="s">
        <v>7726</v>
      </c>
      <c r="I1925" s="33" t="s">
        <v>402</v>
      </c>
      <c r="J1925" s="33">
        <v>64012</v>
      </c>
      <c r="K1925" s="33" t="s">
        <v>7590</v>
      </c>
      <c r="L1925" s="33" t="s">
        <v>32410</v>
      </c>
      <c r="M1925" s="33" t="s">
        <v>21</v>
      </c>
      <c r="N1925" s="33" t="s">
        <v>32411</v>
      </c>
      <c r="O1925" s="33" t="s">
        <v>372</v>
      </c>
      <c r="P1925" s="33" t="s">
        <v>30089</v>
      </c>
      <c r="Q1925" s="42" t="s">
        <v>32412</v>
      </c>
      <c r="R1925" s="33" t="s">
        <v>904</v>
      </c>
      <c r="S1925" s="33" t="s">
        <v>22</v>
      </c>
      <c r="T1925" s="33" t="s">
        <v>26774</v>
      </c>
      <c r="U1925" s="33" t="s">
        <v>26570</v>
      </c>
      <c r="W1925" s="33" t="s">
        <v>94</v>
      </c>
      <c r="X1925" s="33">
        <v>3573</v>
      </c>
      <c r="Z1925" s="33" t="s">
        <v>42968</v>
      </c>
      <c r="AA1925" s="33">
        <v>5742</v>
      </c>
    </row>
    <row r="1926" spans="1:27" ht="12" customHeight="1" x14ac:dyDescent="0.15">
      <c r="A1926" s="33" t="s">
        <v>32401</v>
      </c>
      <c r="B1926" s="33">
        <v>41</v>
      </c>
      <c r="C1926" s="33" t="s">
        <v>14</v>
      </c>
      <c r="D1926" s="33" t="s">
        <v>79</v>
      </c>
      <c r="E1926" s="42" t="s">
        <v>32402</v>
      </c>
      <c r="F1926" s="67">
        <v>43191</v>
      </c>
      <c r="G1926" s="33" t="s">
        <v>32403</v>
      </c>
      <c r="H1926" s="33" t="s">
        <v>27</v>
      </c>
      <c r="I1926" s="33" t="s">
        <v>338</v>
      </c>
      <c r="J1926" s="33">
        <v>28590</v>
      </c>
      <c r="K1926" s="33" t="s">
        <v>770</v>
      </c>
      <c r="L1926" s="33" t="s">
        <v>771</v>
      </c>
      <c r="M1926" s="33" t="s">
        <v>21</v>
      </c>
      <c r="N1926" s="33" t="s">
        <v>32404</v>
      </c>
      <c r="O1926" s="33" t="s">
        <v>372</v>
      </c>
      <c r="P1926" s="33" t="s">
        <v>30089</v>
      </c>
      <c r="Q1926" s="42" t="s">
        <v>32405</v>
      </c>
      <c r="R1926" s="33" t="s">
        <v>94</v>
      </c>
      <c r="S1926" s="33" t="s">
        <v>22</v>
      </c>
      <c r="T1926" s="33" t="s">
        <v>26774</v>
      </c>
      <c r="U1926" s="33" t="s">
        <v>26570</v>
      </c>
      <c r="V1926" s="33" t="s">
        <v>26573</v>
      </c>
      <c r="W1926" s="33" t="s">
        <v>94</v>
      </c>
      <c r="X1926" s="33">
        <v>3565</v>
      </c>
      <c r="Z1926" s="33" t="s">
        <v>42968</v>
      </c>
      <c r="AA1926" s="33">
        <v>5740</v>
      </c>
    </row>
    <row r="1927" spans="1:27" ht="12" customHeight="1" x14ac:dyDescent="0.15">
      <c r="A1927" s="33" t="s">
        <v>32406</v>
      </c>
      <c r="B1927" s="33">
        <v>22</v>
      </c>
      <c r="C1927" s="33" t="s">
        <v>14</v>
      </c>
      <c r="D1927" s="33" t="s">
        <v>42</v>
      </c>
      <c r="E1927" s="42"/>
      <c r="F1927" s="67">
        <v>43191</v>
      </c>
      <c r="G1927" s="33" t="s">
        <v>32407</v>
      </c>
      <c r="H1927" s="33" t="s">
        <v>1122</v>
      </c>
      <c r="I1927" s="33" t="s">
        <v>67</v>
      </c>
      <c r="J1927" s="33">
        <v>78526</v>
      </c>
      <c r="K1927" s="33" t="s">
        <v>1123</v>
      </c>
      <c r="L1927" s="33" t="s">
        <v>36481</v>
      </c>
      <c r="M1927" s="33" t="s">
        <v>21</v>
      </c>
      <c r="N1927" s="33" t="s">
        <v>36482</v>
      </c>
      <c r="O1927" s="33" t="s">
        <v>372</v>
      </c>
      <c r="P1927" s="33" t="s">
        <v>30089</v>
      </c>
      <c r="Q1927" s="42" t="s">
        <v>32408</v>
      </c>
      <c r="R1927" s="33" t="s">
        <v>512</v>
      </c>
      <c r="S1927" s="33" t="s">
        <v>22</v>
      </c>
      <c r="T1927" s="33" t="s">
        <v>26774</v>
      </c>
      <c r="U1927" s="33" t="s">
        <v>26570</v>
      </c>
      <c r="V1927" s="33" t="s">
        <v>26573</v>
      </c>
      <c r="W1927" s="33" t="s">
        <v>94</v>
      </c>
      <c r="X1927" s="33">
        <v>3572</v>
      </c>
      <c r="Z1927" s="33" t="s">
        <v>42968</v>
      </c>
      <c r="AA1927" s="33">
        <v>5741</v>
      </c>
    </row>
    <row r="1928" spans="1:27" ht="12" customHeight="1" x14ac:dyDescent="0.15">
      <c r="A1928" s="33" t="s">
        <v>32349</v>
      </c>
      <c r="B1928" s="33">
        <v>60</v>
      </c>
      <c r="C1928" s="33" t="s">
        <v>14</v>
      </c>
      <c r="D1928" s="33" t="s">
        <v>79</v>
      </c>
      <c r="E1928" s="42"/>
      <c r="F1928" s="67">
        <v>43191</v>
      </c>
      <c r="G1928" s="33" t="s">
        <v>32350</v>
      </c>
      <c r="H1928" s="33" t="s">
        <v>32351</v>
      </c>
      <c r="I1928" s="33" t="s">
        <v>19</v>
      </c>
      <c r="J1928" s="33">
        <v>71461</v>
      </c>
      <c r="K1928" s="33" t="s">
        <v>28081</v>
      </c>
      <c r="L1928" s="33" t="s">
        <v>36480</v>
      </c>
      <c r="M1928" s="33" t="s">
        <v>21</v>
      </c>
      <c r="N1928" s="33" t="s">
        <v>32352</v>
      </c>
      <c r="O1928" s="33" t="s">
        <v>372</v>
      </c>
      <c r="P1928" s="33" t="s">
        <v>30089</v>
      </c>
      <c r="Q1928" s="42" t="s">
        <v>32353</v>
      </c>
      <c r="R1928" s="33" t="s">
        <v>94</v>
      </c>
      <c r="S1928" s="33" t="s">
        <v>22</v>
      </c>
      <c r="T1928" s="33" t="s">
        <v>26781</v>
      </c>
      <c r="U1928" s="33" t="s">
        <v>26572</v>
      </c>
      <c r="V1928" s="33" t="s">
        <v>26573</v>
      </c>
      <c r="W1928" s="33" t="s">
        <v>94</v>
      </c>
      <c r="X1928" s="33">
        <v>3562</v>
      </c>
      <c r="Z1928" s="33" t="s">
        <v>42968</v>
      </c>
      <c r="AA1928" s="33">
        <v>5736</v>
      </c>
    </row>
    <row r="1929" spans="1:27" ht="12" customHeight="1" x14ac:dyDescent="0.15">
      <c r="A1929" s="33" t="s">
        <v>32354</v>
      </c>
      <c r="B1929" s="33">
        <v>34</v>
      </c>
      <c r="C1929" s="33" t="s">
        <v>14</v>
      </c>
      <c r="D1929" s="33" t="s">
        <v>79</v>
      </c>
      <c r="E1929" s="42"/>
      <c r="F1929" s="67">
        <v>43191</v>
      </c>
      <c r="G1929" s="33" t="s">
        <v>32355</v>
      </c>
      <c r="H1929" s="33" t="s">
        <v>4092</v>
      </c>
      <c r="I1929" s="33" t="s">
        <v>51</v>
      </c>
      <c r="J1929" s="33">
        <v>49509</v>
      </c>
      <c r="K1929" s="33" t="s">
        <v>2350</v>
      </c>
      <c r="L1929" s="33" t="s">
        <v>5717</v>
      </c>
      <c r="M1929" s="33" t="s">
        <v>21</v>
      </c>
      <c r="N1929" s="33" t="s">
        <v>32356</v>
      </c>
      <c r="O1929" s="33" t="s">
        <v>372</v>
      </c>
      <c r="P1929" s="33" t="s">
        <v>30089</v>
      </c>
      <c r="Q1929" s="42" t="s">
        <v>32357</v>
      </c>
      <c r="R1929" s="33" t="s">
        <v>512</v>
      </c>
      <c r="S1929" s="33" t="s">
        <v>22</v>
      </c>
      <c r="T1929" s="33" t="s">
        <v>26781</v>
      </c>
      <c r="U1929" s="33" t="s">
        <v>26572</v>
      </c>
      <c r="V1929" s="33" t="s">
        <v>26573</v>
      </c>
      <c r="W1929" s="33" t="s">
        <v>94</v>
      </c>
      <c r="X1929" s="33">
        <v>3566</v>
      </c>
      <c r="Z1929" s="33" t="s">
        <v>42966</v>
      </c>
      <c r="AA1929" s="33">
        <v>5739</v>
      </c>
    </row>
    <row r="1930" spans="1:27" ht="12" customHeight="1" x14ac:dyDescent="0.15">
      <c r="A1930" s="33" t="s">
        <v>32344</v>
      </c>
      <c r="B1930" s="33">
        <v>24</v>
      </c>
      <c r="C1930" s="33" t="s">
        <v>14</v>
      </c>
      <c r="D1930" s="33" t="s">
        <v>31</v>
      </c>
      <c r="E1930" s="42" t="s">
        <v>32345</v>
      </c>
      <c r="F1930" s="67">
        <v>43191</v>
      </c>
      <c r="G1930" s="33" t="s">
        <v>32346</v>
      </c>
      <c r="H1930" s="33" t="s">
        <v>1164</v>
      </c>
      <c r="I1930" s="33" t="s">
        <v>19</v>
      </c>
      <c r="J1930" s="33">
        <v>70433</v>
      </c>
      <c r="K1930" s="33" t="s">
        <v>15980</v>
      </c>
      <c r="L1930" s="33" t="s">
        <v>15981</v>
      </c>
      <c r="M1930" s="33" t="s">
        <v>21</v>
      </c>
      <c r="N1930" s="33" t="s">
        <v>32347</v>
      </c>
      <c r="O1930" s="33" t="s">
        <v>372</v>
      </c>
      <c r="P1930" s="33" t="s">
        <v>30089</v>
      </c>
      <c r="Q1930" s="42" t="s">
        <v>32348</v>
      </c>
      <c r="R1930" s="33" t="s">
        <v>94</v>
      </c>
      <c r="S1930" s="33" t="s">
        <v>22</v>
      </c>
      <c r="T1930" s="33" t="s">
        <v>26781</v>
      </c>
      <c r="U1930" s="33" t="s">
        <v>26572</v>
      </c>
      <c r="V1930" s="33" t="s">
        <v>26571</v>
      </c>
      <c r="W1930" s="33" t="s">
        <v>94</v>
      </c>
      <c r="X1930" s="33">
        <v>3563</v>
      </c>
      <c r="Z1930" s="33" t="s">
        <v>42968</v>
      </c>
      <c r="AA1930" s="33">
        <v>5737</v>
      </c>
    </row>
    <row r="1931" spans="1:27" ht="12" customHeight="1" x14ac:dyDescent="0.15">
      <c r="A1931" s="33" t="s">
        <v>32339</v>
      </c>
      <c r="B1931" s="33">
        <v>41</v>
      </c>
      <c r="C1931" s="33" t="s">
        <v>14</v>
      </c>
      <c r="D1931" s="33" t="s">
        <v>79</v>
      </c>
      <c r="E1931" s="42" t="s">
        <v>32340</v>
      </c>
      <c r="F1931" s="67">
        <v>43191</v>
      </c>
      <c r="G1931" s="33" t="s">
        <v>32341</v>
      </c>
      <c r="H1931" s="33" t="s">
        <v>1463</v>
      </c>
      <c r="I1931" s="33" t="s">
        <v>56</v>
      </c>
      <c r="J1931" s="33">
        <v>33605</v>
      </c>
      <c r="K1931" s="33" t="s">
        <v>590</v>
      </c>
      <c r="L1931" s="33" t="s">
        <v>1465</v>
      </c>
      <c r="M1931" s="33" t="s">
        <v>21</v>
      </c>
      <c r="N1931" s="33" t="s">
        <v>32342</v>
      </c>
      <c r="O1931" s="33" t="s">
        <v>372</v>
      </c>
      <c r="P1931" s="33" t="s">
        <v>30089</v>
      </c>
      <c r="Q1931" s="42" t="s">
        <v>32343</v>
      </c>
      <c r="R1931" s="33" t="s">
        <v>94</v>
      </c>
      <c r="S1931" s="33" t="s">
        <v>22</v>
      </c>
      <c r="T1931" s="33" t="s">
        <v>26781</v>
      </c>
      <c r="U1931" s="33" t="s">
        <v>26572</v>
      </c>
      <c r="V1931" s="33" t="s">
        <v>26571</v>
      </c>
      <c r="W1931" s="33" t="s">
        <v>94</v>
      </c>
      <c r="X1931" s="33">
        <v>3564</v>
      </c>
      <c r="Z1931" s="33" t="s">
        <v>42966</v>
      </c>
      <c r="AA1931" s="33">
        <v>5738</v>
      </c>
    </row>
    <row r="1932" spans="1:27" ht="12" customHeight="1" x14ac:dyDescent="0.15">
      <c r="A1932" s="33" t="s">
        <v>32358</v>
      </c>
      <c r="B1932" s="33">
        <v>33</v>
      </c>
      <c r="C1932" s="33" t="s">
        <v>14</v>
      </c>
      <c r="D1932" s="33" t="s">
        <v>42</v>
      </c>
      <c r="E1932" s="42"/>
      <c r="F1932" s="67">
        <v>43191</v>
      </c>
      <c r="G1932" s="33" t="s">
        <v>32359</v>
      </c>
      <c r="H1932" s="33" t="s">
        <v>532</v>
      </c>
      <c r="I1932" s="33" t="s">
        <v>67</v>
      </c>
      <c r="J1932" s="33">
        <v>78253</v>
      </c>
      <c r="K1932" s="33" t="s">
        <v>533</v>
      </c>
      <c r="L1932" s="33" t="s">
        <v>542</v>
      </c>
      <c r="M1932" s="33" t="s">
        <v>21</v>
      </c>
      <c r="N1932" s="33" t="s">
        <v>32360</v>
      </c>
      <c r="O1932" s="33" t="s">
        <v>372</v>
      </c>
      <c r="P1932" s="33" t="s">
        <v>30089</v>
      </c>
      <c r="Q1932" s="42" t="s">
        <v>32361</v>
      </c>
      <c r="R1932" s="33" t="s">
        <v>94</v>
      </c>
      <c r="S1932" s="33" t="s">
        <v>22</v>
      </c>
      <c r="T1932" s="33" t="s">
        <v>26781</v>
      </c>
      <c r="U1932" s="33" t="s">
        <v>26570</v>
      </c>
      <c r="V1932" s="33" t="s">
        <v>26573</v>
      </c>
      <c r="W1932" s="33" t="s">
        <v>94</v>
      </c>
      <c r="X1932" s="33">
        <v>3561</v>
      </c>
      <c r="Z1932" s="33" t="s">
        <v>42968</v>
      </c>
      <c r="AA1932" s="33">
        <v>5735</v>
      </c>
    </row>
    <row r="1933" spans="1:27" ht="12" customHeight="1" x14ac:dyDescent="0.15">
      <c r="A1933" s="33" t="s">
        <v>32413</v>
      </c>
      <c r="B1933" s="33">
        <v>27</v>
      </c>
      <c r="C1933" s="33" t="s">
        <v>14</v>
      </c>
      <c r="D1933" s="33" t="s">
        <v>31</v>
      </c>
      <c r="E1933" s="42" t="s">
        <v>32414</v>
      </c>
      <c r="F1933" s="67">
        <v>43190</v>
      </c>
      <c r="G1933" s="33" t="s">
        <v>32415</v>
      </c>
      <c r="H1933" s="33" t="s">
        <v>4719</v>
      </c>
      <c r="I1933" s="33" t="s">
        <v>367</v>
      </c>
      <c r="J1933" s="33">
        <v>73044</v>
      </c>
      <c r="K1933" s="33" t="s">
        <v>930</v>
      </c>
      <c r="L1933" s="33" t="s">
        <v>32416</v>
      </c>
      <c r="M1933" s="33" t="s">
        <v>21</v>
      </c>
      <c r="N1933" s="33" t="s">
        <v>32417</v>
      </c>
      <c r="O1933" s="33" t="s">
        <v>372</v>
      </c>
      <c r="P1933" s="33" t="s">
        <v>30089</v>
      </c>
      <c r="Q1933" s="42" t="s">
        <v>32418</v>
      </c>
      <c r="R1933" s="33" t="s">
        <v>94</v>
      </c>
      <c r="S1933" s="33" t="s">
        <v>22</v>
      </c>
      <c r="T1933" s="33" t="s">
        <v>26593</v>
      </c>
      <c r="U1933" s="33" t="s">
        <v>26572</v>
      </c>
      <c r="V1933" s="33" t="s">
        <v>26573</v>
      </c>
      <c r="W1933" s="33" t="s">
        <v>94</v>
      </c>
      <c r="X1933" s="33">
        <v>3567</v>
      </c>
      <c r="Z1933" s="33" t="s">
        <v>42967</v>
      </c>
      <c r="AA1933" s="33">
        <v>5733</v>
      </c>
    </row>
    <row r="1934" spans="1:27" ht="12" customHeight="1" x14ac:dyDescent="0.15">
      <c r="A1934" s="33" t="s">
        <v>32460</v>
      </c>
      <c r="B1934" s="33">
        <v>21</v>
      </c>
      <c r="C1934" s="33" t="s">
        <v>14</v>
      </c>
      <c r="D1934" s="33" t="s">
        <v>42</v>
      </c>
      <c r="E1934" s="42" t="s">
        <v>32461</v>
      </c>
      <c r="F1934" s="67">
        <v>43190</v>
      </c>
      <c r="G1934" s="33" t="s">
        <v>32462</v>
      </c>
      <c r="H1934" s="33" t="s">
        <v>1506</v>
      </c>
      <c r="I1934" s="33" t="s">
        <v>250</v>
      </c>
      <c r="J1934" s="33">
        <v>89502</v>
      </c>
      <c r="K1934" s="33" t="s">
        <v>5732</v>
      </c>
      <c r="L1934" s="33" t="s">
        <v>6817</v>
      </c>
      <c r="M1934" s="33" t="s">
        <v>21</v>
      </c>
      <c r="N1934" s="33" t="s">
        <v>32463</v>
      </c>
      <c r="O1934" s="33" t="s">
        <v>372</v>
      </c>
      <c r="P1934" s="33" t="s">
        <v>30089</v>
      </c>
      <c r="Q1934" s="42" t="s">
        <v>32464</v>
      </c>
      <c r="R1934" s="33" t="s">
        <v>94</v>
      </c>
      <c r="S1934" s="33" t="s">
        <v>29</v>
      </c>
      <c r="T1934" s="33" t="s">
        <v>26575</v>
      </c>
      <c r="U1934" s="33" t="s">
        <v>26575</v>
      </c>
      <c r="V1934" s="33" t="s">
        <v>26573</v>
      </c>
      <c r="W1934" s="33" t="s">
        <v>94</v>
      </c>
      <c r="X1934" s="33">
        <v>3576</v>
      </c>
      <c r="Z1934" s="33" t="s">
        <v>42968</v>
      </c>
      <c r="AA1934" s="33">
        <v>5734</v>
      </c>
    </row>
    <row r="1935" spans="1:27" ht="12" customHeight="1" x14ac:dyDescent="0.15">
      <c r="A1935" s="33" t="s">
        <v>32335</v>
      </c>
      <c r="B1935" s="33">
        <v>58</v>
      </c>
      <c r="C1935" s="33" t="s">
        <v>14</v>
      </c>
      <c r="D1935" s="33" t="s">
        <v>128</v>
      </c>
      <c r="E1935" s="42"/>
      <c r="F1935" s="67">
        <v>43190</v>
      </c>
      <c r="G1935" s="33" t="s">
        <v>32336</v>
      </c>
      <c r="H1935" s="33" t="s">
        <v>584</v>
      </c>
      <c r="I1935" s="33" t="s">
        <v>112</v>
      </c>
      <c r="J1935" s="33">
        <v>85008</v>
      </c>
      <c r="K1935" s="33" t="s">
        <v>585</v>
      </c>
      <c r="L1935" s="33" t="s">
        <v>586</v>
      </c>
      <c r="M1935" s="33" t="s">
        <v>21</v>
      </c>
      <c r="N1935" s="33" t="s">
        <v>32337</v>
      </c>
      <c r="O1935" s="33" t="s">
        <v>372</v>
      </c>
      <c r="P1935" s="33" t="s">
        <v>30089</v>
      </c>
      <c r="Q1935" s="42" t="s">
        <v>32338</v>
      </c>
      <c r="R1935" s="33" t="s">
        <v>94</v>
      </c>
      <c r="S1935" s="33" t="s">
        <v>22</v>
      </c>
      <c r="T1935" s="33" t="s">
        <v>26781</v>
      </c>
      <c r="U1935" s="33" t="s">
        <v>26572</v>
      </c>
      <c r="V1935" s="33" t="s">
        <v>26574</v>
      </c>
      <c r="W1935" s="33" t="s">
        <v>94</v>
      </c>
      <c r="X1935" s="33">
        <v>4255</v>
      </c>
      <c r="Z1935" s="33" t="s">
        <v>42968</v>
      </c>
      <c r="AA1935" s="33">
        <v>5732</v>
      </c>
    </row>
    <row r="1936" spans="1:27" ht="12" customHeight="1" x14ac:dyDescent="0.15">
      <c r="A1936" s="33" t="s">
        <v>32330</v>
      </c>
      <c r="B1936" s="33">
        <v>60</v>
      </c>
      <c r="C1936" s="33" t="s">
        <v>14</v>
      </c>
      <c r="D1936" s="33" t="s">
        <v>79</v>
      </c>
      <c r="E1936" s="42" t="s">
        <v>32331</v>
      </c>
      <c r="F1936" s="67">
        <v>43189</v>
      </c>
      <c r="G1936" s="33" t="s">
        <v>32332</v>
      </c>
      <c r="H1936" s="33" t="s">
        <v>18513</v>
      </c>
      <c r="I1936" s="33" t="s">
        <v>338</v>
      </c>
      <c r="J1936" s="33">
        <v>27105</v>
      </c>
      <c r="K1936" s="33" t="s">
        <v>8497</v>
      </c>
      <c r="L1936" s="33" t="s">
        <v>18512</v>
      </c>
      <c r="M1936" s="33" t="s">
        <v>21</v>
      </c>
      <c r="N1936" s="33" t="s">
        <v>32333</v>
      </c>
      <c r="O1936" s="33" t="s">
        <v>372</v>
      </c>
      <c r="P1936" s="33" t="s">
        <v>30089</v>
      </c>
      <c r="Q1936" s="42" t="s">
        <v>32334</v>
      </c>
      <c r="R1936" s="33" t="s">
        <v>94</v>
      </c>
      <c r="S1936" s="33" t="s">
        <v>22</v>
      </c>
      <c r="T1936" s="33" t="s">
        <v>26781</v>
      </c>
      <c r="U1936" s="33" t="s">
        <v>26570</v>
      </c>
      <c r="V1936" s="33" t="s">
        <v>26573</v>
      </c>
      <c r="W1936" s="33" t="s">
        <v>94</v>
      </c>
      <c r="X1936" s="33">
        <v>3560</v>
      </c>
      <c r="Z1936" s="33" t="s">
        <v>42968</v>
      </c>
      <c r="AA1936" s="33">
        <v>5730</v>
      </c>
    </row>
    <row r="1937" spans="1:27" ht="12" customHeight="1" x14ac:dyDescent="0.15">
      <c r="A1937" s="33" t="s">
        <v>32420</v>
      </c>
      <c r="B1937" s="33">
        <v>42</v>
      </c>
      <c r="C1937" s="33" t="s">
        <v>14</v>
      </c>
      <c r="D1937" s="33" t="s">
        <v>31</v>
      </c>
      <c r="E1937" s="42" t="s">
        <v>32421</v>
      </c>
      <c r="F1937" s="67">
        <v>43189</v>
      </c>
      <c r="G1937" s="33" t="s">
        <v>32422</v>
      </c>
      <c r="H1937" s="33" t="s">
        <v>1331</v>
      </c>
      <c r="I1937" s="33" t="s">
        <v>39</v>
      </c>
      <c r="J1937" s="33">
        <v>95301</v>
      </c>
      <c r="K1937" s="33" t="s">
        <v>1332</v>
      </c>
      <c r="L1937" s="33" t="s">
        <v>32423</v>
      </c>
      <c r="M1937" s="33" t="s">
        <v>21</v>
      </c>
      <c r="N1937" s="33" t="s">
        <v>32424</v>
      </c>
      <c r="O1937" s="33" t="s">
        <v>372</v>
      </c>
      <c r="P1937" s="33" t="s">
        <v>30089</v>
      </c>
      <c r="Q1937" s="42" t="s">
        <v>32425</v>
      </c>
      <c r="R1937" s="33" t="s">
        <v>94</v>
      </c>
      <c r="S1937" s="33" t="s">
        <v>29</v>
      </c>
      <c r="T1937" s="33" t="s">
        <v>29425</v>
      </c>
      <c r="U1937" s="33" t="s">
        <v>26570</v>
      </c>
      <c r="V1937" s="33" t="s">
        <v>26573</v>
      </c>
      <c r="W1937" s="33" t="s">
        <v>94</v>
      </c>
      <c r="X1937" s="33">
        <v>3568</v>
      </c>
      <c r="Z1937" s="33" t="s">
        <v>42968</v>
      </c>
      <c r="AA1937" s="33">
        <v>5731</v>
      </c>
    </row>
    <row r="1938" spans="1:27" ht="12" customHeight="1" x14ac:dyDescent="0.15">
      <c r="A1938" s="33" t="s">
        <v>32320</v>
      </c>
      <c r="B1938" s="33">
        <v>44</v>
      </c>
      <c r="C1938" s="33" t="s">
        <v>14</v>
      </c>
      <c r="D1938" s="33" t="s">
        <v>31</v>
      </c>
      <c r="E1938" s="42"/>
      <c r="F1938" s="67">
        <v>43188</v>
      </c>
      <c r="G1938" s="33" t="s">
        <v>32321</v>
      </c>
      <c r="H1938" s="33" t="s">
        <v>15398</v>
      </c>
      <c r="I1938" s="33" t="s">
        <v>67</v>
      </c>
      <c r="J1938" s="33">
        <v>77502</v>
      </c>
      <c r="K1938" s="33" t="s">
        <v>515</v>
      </c>
      <c r="L1938" s="33" t="s">
        <v>23881</v>
      </c>
      <c r="M1938" s="33" t="s">
        <v>21</v>
      </c>
      <c r="N1938" s="33" t="s">
        <v>32322</v>
      </c>
      <c r="O1938" s="33" t="s">
        <v>372</v>
      </c>
      <c r="P1938" s="33" t="s">
        <v>30089</v>
      </c>
      <c r="Q1938" s="42" t="s">
        <v>32323</v>
      </c>
      <c r="R1938" s="33" t="s">
        <v>512</v>
      </c>
      <c r="S1938" s="33" t="s">
        <v>22</v>
      </c>
      <c r="T1938" s="33" t="s">
        <v>26781</v>
      </c>
      <c r="U1938" s="33" t="s">
        <v>26572</v>
      </c>
      <c r="V1938" s="33" t="s">
        <v>19228</v>
      </c>
      <c r="W1938" s="33" t="s">
        <v>512</v>
      </c>
      <c r="X1938" s="33">
        <v>3555</v>
      </c>
      <c r="Z1938" s="33" t="s">
        <v>42968</v>
      </c>
      <c r="AA1938" s="33">
        <v>5725</v>
      </c>
    </row>
    <row r="1939" spans="1:27" ht="12" customHeight="1" x14ac:dyDescent="0.15">
      <c r="A1939" s="33" t="s">
        <v>32314</v>
      </c>
      <c r="B1939" s="33">
        <v>19</v>
      </c>
      <c r="C1939" s="33" t="s">
        <v>14</v>
      </c>
      <c r="D1939" s="33" t="s">
        <v>79</v>
      </c>
      <c r="E1939" s="42" t="s">
        <v>32315</v>
      </c>
      <c r="F1939" s="67">
        <v>43188</v>
      </c>
      <c r="G1939" s="33" t="s">
        <v>32316</v>
      </c>
      <c r="H1939" s="33" t="s">
        <v>2833</v>
      </c>
      <c r="I1939" s="33" t="s">
        <v>38</v>
      </c>
      <c r="J1939" s="33">
        <v>60099</v>
      </c>
      <c r="K1939" s="33" t="s">
        <v>1179</v>
      </c>
      <c r="L1939" s="33" t="s">
        <v>32317</v>
      </c>
      <c r="M1939" s="33" t="s">
        <v>21</v>
      </c>
      <c r="N1939" s="33" t="s">
        <v>32318</v>
      </c>
      <c r="O1939" s="33" t="s">
        <v>372</v>
      </c>
      <c r="P1939" s="33" t="s">
        <v>30089</v>
      </c>
      <c r="Q1939" s="42" t="s">
        <v>32319</v>
      </c>
      <c r="R1939" s="33" t="s">
        <v>94</v>
      </c>
      <c r="S1939" s="33" t="s">
        <v>22</v>
      </c>
      <c r="T1939" s="33" t="s">
        <v>26781</v>
      </c>
      <c r="U1939" s="33" t="s">
        <v>26572</v>
      </c>
      <c r="V1939" s="33" t="s">
        <v>26573</v>
      </c>
      <c r="Z1939" s="33" t="s">
        <v>42968</v>
      </c>
      <c r="AA1939" s="33">
        <v>5727</v>
      </c>
    </row>
    <row r="1940" spans="1:27" ht="12" customHeight="1" x14ac:dyDescent="0.15">
      <c r="A1940" s="33" t="s">
        <v>32454</v>
      </c>
      <c r="B1940" s="33">
        <v>34</v>
      </c>
      <c r="C1940" s="33" t="s">
        <v>14</v>
      </c>
      <c r="D1940" s="33" t="s">
        <v>31</v>
      </c>
      <c r="E1940" s="42" t="s">
        <v>32455</v>
      </c>
      <c r="F1940" s="67">
        <v>43188</v>
      </c>
      <c r="G1940" s="33" t="s">
        <v>32456</v>
      </c>
      <c r="H1940" s="33" t="s">
        <v>29995</v>
      </c>
      <c r="I1940" s="33" t="s">
        <v>298</v>
      </c>
      <c r="J1940" s="33">
        <v>37040</v>
      </c>
      <c r="K1940" s="33" t="s">
        <v>995</v>
      </c>
      <c r="L1940" s="33" t="s">
        <v>32457</v>
      </c>
      <c r="M1940" s="33" t="s">
        <v>21</v>
      </c>
      <c r="N1940" s="33" t="s">
        <v>32458</v>
      </c>
      <c r="O1940" s="33" t="s">
        <v>372</v>
      </c>
      <c r="P1940" s="33" t="s">
        <v>30089</v>
      </c>
      <c r="Q1940" s="42" t="s">
        <v>32459</v>
      </c>
      <c r="R1940" s="33" t="s">
        <v>94</v>
      </c>
      <c r="S1940" s="33" t="s">
        <v>29</v>
      </c>
      <c r="T1940" s="33" t="s">
        <v>26575</v>
      </c>
      <c r="U1940" s="33" t="s">
        <v>26575</v>
      </c>
      <c r="V1940" s="33" t="s">
        <v>19228</v>
      </c>
      <c r="W1940" s="33" t="s">
        <v>94</v>
      </c>
      <c r="X1940" s="33">
        <v>3559</v>
      </c>
      <c r="Y1940" s="33" t="s">
        <v>42476</v>
      </c>
      <c r="Z1940" s="33" t="s">
        <v>42966</v>
      </c>
      <c r="AA1940" s="33">
        <v>5729</v>
      </c>
    </row>
    <row r="1941" spans="1:27" ht="12" customHeight="1" x14ac:dyDescent="0.15">
      <c r="A1941" s="33" t="s">
        <v>32397</v>
      </c>
      <c r="B1941" s="33">
        <v>39</v>
      </c>
      <c r="C1941" s="33" t="s">
        <v>14</v>
      </c>
      <c r="D1941" s="33" t="s">
        <v>31</v>
      </c>
      <c r="E1941" s="42" t="s">
        <v>32398</v>
      </c>
      <c r="F1941" s="67">
        <v>43188</v>
      </c>
      <c r="G1941" s="33" t="s">
        <v>21131</v>
      </c>
      <c r="H1941" s="33" t="s">
        <v>607</v>
      </c>
      <c r="I1941" s="33" t="s">
        <v>250</v>
      </c>
      <c r="J1941" s="33">
        <v>89104</v>
      </c>
      <c r="K1941" s="33" t="s">
        <v>527</v>
      </c>
      <c r="L1941" s="33" t="s">
        <v>528</v>
      </c>
      <c r="M1941" s="33" t="s">
        <v>4966</v>
      </c>
      <c r="N1941" s="33" t="s">
        <v>32399</v>
      </c>
      <c r="O1941" s="33" t="s">
        <v>372</v>
      </c>
      <c r="P1941" s="33" t="s">
        <v>30089</v>
      </c>
      <c r="Q1941" s="42" t="s">
        <v>32400</v>
      </c>
      <c r="R1941" s="33" t="s">
        <v>94</v>
      </c>
      <c r="S1941" s="33" t="s">
        <v>22</v>
      </c>
      <c r="T1941" s="33" t="s">
        <v>26774</v>
      </c>
      <c r="U1941" s="33" t="s">
        <v>26570</v>
      </c>
      <c r="V1941" s="33" t="s">
        <v>26573</v>
      </c>
      <c r="W1941" s="33" t="s">
        <v>512</v>
      </c>
      <c r="X1941" s="33">
        <v>3557</v>
      </c>
      <c r="Z1941" s="33" t="s">
        <v>42966</v>
      </c>
      <c r="AA1941" s="33">
        <v>5728</v>
      </c>
    </row>
    <row r="1942" spans="1:27" ht="12" customHeight="1" x14ac:dyDescent="0.15">
      <c r="A1942" s="33" t="s">
        <v>32324</v>
      </c>
      <c r="B1942" s="33">
        <v>39</v>
      </c>
      <c r="C1942" s="33" t="s">
        <v>14</v>
      </c>
      <c r="D1942" s="33" t="s">
        <v>79</v>
      </c>
      <c r="E1942" s="42" t="s">
        <v>32325</v>
      </c>
      <c r="F1942" s="67">
        <v>43188</v>
      </c>
      <c r="G1942" s="33" t="s">
        <v>32326</v>
      </c>
      <c r="H1942" s="33" t="s">
        <v>2064</v>
      </c>
      <c r="I1942" s="33" t="s">
        <v>139</v>
      </c>
      <c r="J1942" s="33">
        <v>25302</v>
      </c>
      <c r="K1942" s="33" t="s">
        <v>859</v>
      </c>
      <c r="L1942" s="33" t="s">
        <v>32327</v>
      </c>
      <c r="M1942" s="33" t="s">
        <v>21</v>
      </c>
      <c r="N1942" s="33" t="s">
        <v>32328</v>
      </c>
      <c r="O1942" s="33" t="s">
        <v>372</v>
      </c>
      <c r="P1942" s="33" t="s">
        <v>30089</v>
      </c>
      <c r="Q1942" s="42" t="s">
        <v>32329</v>
      </c>
      <c r="R1942" s="33" t="s">
        <v>512</v>
      </c>
      <c r="S1942" s="33" t="s">
        <v>22</v>
      </c>
      <c r="T1942" s="33" t="s">
        <v>26781</v>
      </c>
      <c r="U1942" s="33" t="s">
        <v>26572</v>
      </c>
      <c r="V1942" s="33" t="s">
        <v>26571</v>
      </c>
      <c r="W1942" s="33" t="s">
        <v>94</v>
      </c>
      <c r="X1942" s="33">
        <v>3556</v>
      </c>
      <c r="Z1942" s="33" t="s">
        <v>42968</v>
      </c>
      <c r="AA1942" s="33">
        <v>5726</v>
      </c>
    </row>
    <row r="1943" spans="1:27" ht="12" customHeight="1" x14ac:dyDescent="0.15">
      <c r="A1943" s="33" t="s">
        <v>32362</v>
      </c>
      <c r="B1943" s="33">
        <v>31</v>
      </c>
      <c r="C1943" s="33" t="s">
        <v>14</v>
      </c>
      <c r="D1943" s="33" t="s">
        <v>31</v>
      </c>
      <c r="E1943" s="42"/>
      <c r="F1943" s="67">
        <v>43187</v>
      </c>
      <c r="G1943" s="33" t="s">
        <v>32363</v>
      </c>
      <c r="H1943" s="33" t="s">
        <v>4228</v>
      </c>
      <c r="I1943" s="33" t="s">
        <v>367</v>
      </c>
      <c r="J1943" s="33">
        <v>74075</v>
      </c>
      <c r="K1943" s="33" t="s">
        <v>523</v>
      </c>
      <c r="L1943" s="33" t="s">
        <v>4230</v>
      </c>
      <c r="M1943" s="33" t="s">
        <v>21</v>
      </c>
      <c r="N1943" s="33" t="s">
        <v>32364</v>
      </c>
      <c r="O1943" s="33" t="s">
        <v>372</v>
      </c>
      <c r="P1943" s="33" t="s">
        <v>30089</v>
      </c>
      <c r="Q1943" s="42" t="s">
        <v>32365</v>
      </c>
      <c r="R1943" s="33" t="s">
        <v>512</v>
      </c>
      <c r="S1943" s="33" t="s">
        <v>22</v>
      </c>
      <c r="T1943" s="33" t="s">
        <v>29419</v>
      </c>
      <c r="U1943" s="33" t="s">
        <v>26570</v>
      </c>
      <c r="V1943" s="33" t="s">
        <v>26573</v>
      </c>
      <c r="W1943" s="33" t="s">
        <v>94</v>
      </c>
      <c r="X1943" s="33">
        <v>3544</v>
      </c>
      <c r="Z1943" s="33" t="s">
        <v>42968</v>
      </c>
      <c r="AA1943" s="33">
        <v>5721</v>
      </c>
    </row>
    <row r="1944" spans="1:27" ht="12" customHeight="1" x14ac:dyDescent="0.15">
      <c r="A1944" s="33" t="s">
        <v>32486</v>
      </c>
      <c r="B1944" s="33">
        <v>64</v>
      </c>
      <c r="C1944" s="33" t="s">
        <v>14</v>
      </c>
      <c r="D1944" s="33" t="s">
        <v>31</v>
      </c>
      <c r="E1944" s="42" t="s">
        <v>32487</v>
      </c>
      <c r="F1944" s="67">
        <v>43187</v>
      </c>
      <c r="G1944" s="33" t="s">
        <v>32488</v>
      </c>
      <c r="H1944" s="33" t="s">
        <v>354</v>
      </c>
      <c r="I1944" s="33" t="s">
        <v>88</v>
      </c>
      <c r="J1944" s="33">
        <v>35151</v>
      </c>
      <c r="K1944" s="33" t="s">
        <v>18106</v>
      </c>
      <c r="L1944" s="33" t="s">
        <v>1614</v>
      </c>
      <c r="M1944" s="33" t="s">
        <v>21</v>
      </c>
      <c r="N1944" s="33" t="s">
        <v>32489</v>
      </c>
      <c r="O1944" s="33" t="s">
        <v>372</v>
      </c>
      <c r="P1944" s="33" t="s">
        <v>30089</v>
      </c>
      <c r="Q1944" s="42" t="s">
        <v>32490</v>
      </c>
      <c r="R1944" s="33" t="s">
        <v>94</v>
      </c>
      <c r="S1944" s="33" t="s">
        <v>351</v>
      </c>
      <c r="T1944" s="33" t="s">
        <v>26867</v>
      </c>
      <c r="U1944" s="33" t="s">
        <v>26572</v>
      </c>
      <c r="V1944" s="33" t="s">
        <v>26571</v>
      </c>
      <c r="W1944" s="33" t="s">
        <v>94</v>
      </c>
      <c r="X1944" s="33">
        <v>3547</v>
      </c>
      <c r="Z1944" s="33" t="s">
        <v>42967</v>
      </c>
      <c r="AA1944" s="33">
        <v>5724</v>
      </c>
    </row>
    <row r="1945" spans="1:27" ht="12" customHeight="1" x14ac:dyDescent="0.15">
      <c r="A1945" s="33" t="s">
        <v>32435</v>
      </c>
      <c r="B1945" s="33">
        <v>44</v>
      </c>
      <c r="C1945" s="33" t="s">
        <v>14</v>
      </c>
      <c r="D1945" s="33" t="s">
        <v>24</v>
      </c>
      <c r="E1945" s="42"/>
      <c r="F1945" s="67">
        <v>43187</v>
      </c>
      <c r="G1945" s="33" t="s">
        <v>32436</v>
      </c>
      <c r="H1945" s="33" t="s">
        <v>2469</v>
      </c>
      <c r="I1945" s="33" t="s">
        <v>39</v>
      </c>
      <c r="J1945" s="33">
        <v>95476</v>
      </c>
      <c r="K1945" s="33" t="s">
        <v>2469</v>
      </c>
      <c r="L1945" s="33" t="s">
        <v>12301</v>
      </c>
      <c r="M1945" s="33" t="s">
        <v>363</v>
      </c>
      <c r="N1945" s="33" t="s">
        <v>32437</v>
      </c>
      <c r="O1945" s="33" t="s">
        <v>372</v>
      </c>
      <c r="P1945" s="33" t="s">
        <v>30089</v>
      </c>
      <c r="Q1945" s="42" t="s">
        <v>32438</v>
      </c>
      <c r="R1945" s="33" t="s">
        <v>512</v>
      </c>
      <c r="S1945" s="33" t="s">
        <v>12</v>
      </c>
      <c r="T1945" s="33" t="s">
        <v>29705</v>
      </c>
      <c r="U1945" s="33" t="s">
        <v>26575</v>
      </c>
      <c r="V1945" s="33" t="s">
        <v>26573</v>
      </c>
      <c r="Z1945" s="33" t="s">
        <v>42968</v>
      </c>
      <c r="AA1945" s="33">
        <v>5723</v>
      </c>
    </row>
    <row r="1946" spans="1:27" ht="12" customHeight="1" x14ac:dyDescent="0.15">
      <c r="A1946" s="33" t="s">
        <v>32304</v>
      </c>
      <c r="B1946" s="33">
        <v>26</v>
      </c>
      <c r="C1946" s="33" t="s">
        <v>14</v>
      </c>
      <c r="D1946" s="33" t="s">
        <v>31</v>
      </c>
      <c r="E1946" s="42" t="s">
        <v>32305</v>
      </c>
      <c r="F1946" s="67">
        <v>43187</v>
      </c>
      <c r="G1946" s="33" t="s">
        <v>32306</v>
      </c>
      <c r="H1946" s="33" t="s">
        <v>3751</v>
      </c>
      <c r="I1946" s="33" t="s">
        <v>376</v>
      </c>
      <c r="J1946" s="33">
        <v>18106</v>
      </c>
      <c r="K1946" s="33" t="s">
        <v>3753</v>
      </c>
      <c r="L1946" s="33" t="s">
        <v>473</v>
      </c>
      <c r="M1946" s="33" t="s">
        <v>21</v>
      </c>
      <c r="N1946" s="33" t="s">
        <v>32307</v>
      </c>
      <c r="O1946" s="33" t="s">
        <v>372</v>
      </c>
      <c r="P1946" s="33" t="s">
        <v>30089</v>
      </c>
      <c r="Q1946" s="42" t="s">
        <v>32308</v>
      </c>
      <c r="R1946" s="33" t="s">
        <v>94</v>
      </c>
      <c r="S1946" s="33" t="s">
        <v>22</v>
      </c>
      <c r="T1946" s="33" t="s">
        <v>26781</v>
      </c>
      <c r="U1946" s="33" t="s">
        <v>26572</v>
      </c>
      <c r="V1946" s="33" t="s">
        <v>26574</v>
      </c>
      <c r="W1946" s="33" t="s">
        <v>94</v>
      </c>
      <c r="X1946" s="33">
        <v>3545</v>
      </c>
      <c r="Z1946" s="33" t="s">
        <v>42968</v>
      </c>
      <c r="AA1946" s="33">
        <v>5718</v>
      </c>
    </row>
    <row r="1947" spans="1:27" ht="12" customHeight="1" x14ac:dyDescent="0.15">
      <c r="A1947" s="33" t="s">
        <v>32298</v>
      </c>
      <c r="B1947" s="33">
        <v>51</v>
      </c>
      <c r="C1947" s="33" t="s">
        <v>14</v>
      </c>
      <c r="D1947" s="33" t="s">
        <v>31</v>
      </c>
      <c r="E1947" s="42" t="s">
        <v>32299</v>
      </c>
      <c r="F1947" s="67">
        <v>43187</v>
      </c>
      <c r="G1947" s="33" t="s">
        <v>32300</v>
      </c>
      <c r="H1947" s="33" t="s">
        <v>1315</v>
      </c>
      <c r="I1947" s="33" t="s">
        <v>294</v>
      </c>
      <c r="J1947" s="33">
        <v>42701</v>
      </c>
      <c r="K1947" s="33" t="s">
        <v>1316</v>
      </c>
      <c r="L1947" s="33" t="s">
        <v>32301</v>
      </c>
      <c r="M1947" s="33" t="s">
        <v>21</v>
      </c>
      <c r="N1947" s="33" t="s">
        <v>32302</v>
      </c>
      <c r="O1947" s="33" t="s">
        <v>372</v>
      </c>
      <c r="P1947" s="33" t="s">
        <v>30089</v>
      </c>
      <c r="Q1947" s="42" t="s">
        <v>32303</v>
      </c>
      <c r="R1947" s="33" t="s">
        <v>94</v>
      </c>
      <c r="S1947" s="33" t="s">
        <v>22</v>
      </c>
      <c r="T1947" s="33" t="s">
        <v>26781</v>
      </c>
      <c r="U1947" s="33" t="s">
        <v>26572</v>
      </c>
      <c r="V1947" s="33" t="s">
        <v>26573</v>
      </c>
      <c r="W1947" s="33" t="s">
        <v>94</v>
      </c>
      <c r="X1947" s="33">
        <v>3546</v>
      </c>
      <c r="Z1947" s="33" t="s">
        <v>42966</v>
      </c>
      <c r="AA1947" s="33">
        <v>5719</v>
      </c>
    </row>
    <row r="1948" spans="1:27" ht="12" customHeight="1" x14ac:dyDescent="0.15">
      <c r="A1948" s="33" t="s">
        <v>32309</v>
      </c>
      <c r="B1948" s="33">
        <v>29</v>
      </c>
      <c r="C1948" s="33" t="s">
        <v>14</v>
      </c>
      <c r="D1948" s="33" t="s">
        <v>31</v>
      </c>
      <c r="E1948" s="42" t="s">
        <v>32310</v>
      </c>
      <c r="F1948" s="67">
        <v>43187</v>
      </c>
      <c r="G1948" s="33" t="s">
        <v>32311</v>
      </c>
      <c r="H1948" s="33" t="s">
        <v>14421</v>
      </c>
      <c r="I1948" s="33" t="s">
        <v>26</v>
      </c>
      <c r="J1948" s="33">
        <v>29172</v>
      </c>
      <c r="K1948" s="33" t="s">
        <v>947</v>
      </c>
      <c r="L1948" s="33" t="s">
        <v>2514</v>
      </c>
      <c r="M1948" s="33" t="s">
        <v>21</v>
      </c>
      <c r="N1948" s="33" t="s">
        <v>32312</v>
      </c>
      <c r="O1948" s="33" t="s">
        <v>372</v>
      </c>
      <c r="P1948" s="33" t="s">
        <v>30089</v>
      </c>
      <c r="Q1948" s="42" t="s">
        <v>32313</v>
      </c>
      <c r="R1948" s="33" t="s">
        <v>512</v>
      </c>
      <c r="S1948" s="33" t="s">
        <v>22</v>
      </c>
      <c r="T1948" s="33" t="s">
        <v>26781</v>
      </c>
      <c r="U1948" s="33" t="s">
        <v>26570</v>
      </c>
      <c r="V1948" s="33" t="s">
        <v>26571</v>
      </c>
      <c r="W1948" s="33" t="s">
        <v>94</v>
      </c>
      <c r="X1948" s="33">
        <v>3549</v>
      </c>
      <c r="Z1948" s="33" t="s">
        <v>42968</v>
      </c>
      <c r="AA1948" s="33">
        <v>5720</v>
      </c>
    </row>
    <row r="1949" spans="1:27" ht="12" customHeight="1" x14ac:dyDescent="0.15">
      <c r="A1949" s="33" t="s">
        <v>32392</v>
      </c>
      <c r="B1949" s="33">
        <v>61</v>
      </c>
      <c r="C1949" s="33" t="s">
        <v>14</v>
      </c>
      <c r="D1949" s="33" t="s">
        <v>31</v>
      </c>
      <c r="E1949" s="42" t="s">
        <v>32393</v>
      </c>
      <c r="F1949" s="67">
        <v>43187</v>
      </c>
      <c r="G1949" s="33" t="s">
        <v>32394</v>
      </c>
      <c r="H1949" s="33" t="s">
        <v>16868</v>
      </c>
      <c r="I1949" s="33" t="s">
        <v>112</v>
      </c>
      <c r="J1949" s="33">
        <v>85378</v>
      </c>
      <c r="K1949" s="33" t="s">
        <v>585</v>
      </c>
      <c r="L1949" s="33" t="s">
        <v>16870</v>
      </c>
      <c r="M1949" s="33" t="s">
        <v>21</v>
      </c>
      <c r="N1949" s="33" t="s">
        <v>32395</v>
      </c>
      <c r="O1949" s="33" t="s">
        <v>372</v>
      </c>
      <c r="P1949" s="33" t="s">
        <v>30089</v>
      </c>
      <c r="Q1949" s="42" t="s">
        <v>32396</v>
      </c>
      <c r="R1949" s="33" t="s">
        <v>23</v>
      </c>
      <c r="S1949" s="33" t="s">
        <v>22</v>
      </c>
      <c r="T1949" s="33" t="s">
        <v>26774</v>
      </c>
      <c r="U1949" s="33" t="s">
        <v>26570</v>
      </c>
      <c r="V1949" s="33" t="s">
        <v>26573</v>
      </c>
      <c r="W1949" s="33" t="s">
        <v>94</v>
      </c>
      <c r="X1949" s="33">
        <v>3550</v>
      </c>
      <c r="Z1949" s="33" t="e">
        <v>#N/A</v>
      </c>
      <c r="AA1949" s="33">
        <v>5722</v>
      </c>
    </row>
    <row r="1950" spans="1:27" ht="12" customHeight="1" x14ac:dyDescent="0.15">
      <c r="A1950" s="33" t="s">
        <v>32294</v>
      </c>
      <c r="B1950" s="33">
        <v>41</v>
      </c>
      <c r="C1950" s="33" t="s">
        <v>14</v>
      </c>
      <c r="D1950" s="33" t="s">
        <v>79</v>
      </c>
      <c r="E1950" s="42"/>
      <c r="F1950" s="67">
        <v>43186</v>
      </c>
      <c r="G1950" s="33" t="s">
        <v>32295</v>
      </c>
      <c r="H1950" s="33" t="s">
        <v>5084</v>
      </c>
      <c r="I1950" s="33" t="s">
        <v>338</v>
      </c>
      <c r="J1950" s="33">
        <v>27330</v>
      </c>
      <c r="K1950" s="33" t="s">
        <v>5086</v>
      </c>
      <c r="L1950" s="33" t="s">
        <v>8338</v>
      </c>
      <c r="M1950" s="33" t="s">
        <v>21</v>
      </c>
      <c r="N1950" s="33" t="s">
        <v>32296</v>
      </c>
      <c r="O1950" s="33" t="s">
        <v>372</v>
      </c>
      <c r="P1950" s="33" t="s">
        <v>30089</v>
      </c>
      <c r="Q1950" s="42" t="s">
        <v>32297</v>
      </c>
      <c r="R1950" s="33" t="s">
        <v>94</v>
      </c>
      <c r="S1950" s="33" t="s">
        <v>22</v>
      </c>
      <c r="T1950" s="33" t="s">
        <v>26781</v>
      </c>
      <c r="U1950" s="33" t="s">
        <v>26572</v>
      </c>
      <c r="V1950" s="33" t="s">
        <v>26573</v>
      </c>
      <c r="W1950" s="33" t="s">
        <v>512</v>
      </c>
      <c r="X1950" s="33">
        <v>3548</v>
      </c>
      <c r="Z1950" s="33" t="s">
        <v>42968</v>
      </c>
      <c r="AA1950" s="33">
        <v>5713</v>
      </c>
    </row>
    <row r="1951" spans="1:27" ht="12" customHeight="1" x14ac:dyDescent="0.15">
      <c r="A1951" s="33" t="s">
        <v>32430</v>
      </c>
      <c r="B1951" s="33">
        <v>24</v>
      </c>
      <c r="C1951" s="33" t="s">
        <v>14</v>
      </c>
      <c r="D1951" s="33" t="s">
        <v>31</v>
      </c>
      <c r="E1951" s="42"/>
      <c r="F1951" s="67">
        <v>43186</v>
      </c>
      <c r="G1951" s="33" t="s">
        <v>32431</v>
      </c>
      <c r="H1951" s="33" t="s">
        <v>32432</v>
      </c>
      <c r="I1951" s="33" t="s">
        <v>56</v>
      </c>
      <c r="J1951" s="33">
        <v>32563</v>
      </c>
      <c r="K1951" s="33" t="s">
        <v>2742</v>
      </c>
      <c r="L1951" s="33" t="s">
        <v>2743</v>
      </c>
      <c r="M1951" s="33" t="s">
        <v>21</v>
      </c>
      <c r="N1951" s="33" t="s">
        <v>32433</v>
      </c>
      <c r="O1951" s="33" t="s">
        <v>372</v>
      </c>
      <c r="P1951" s="33" t="s">
        <v>30089</v>
      </c>
      <c r="Q1951" s="42" t="s">
        <v>32434</v>
      </c>
      <c r="R1951" s="33" t="s">
        <v>94</v>
      </c>
      <c r="S1951" s="33" t="s">
        <v>12</v>
      </c>
      <c r="T1951" s="33" t="s">
        <v>29705</v>
      </c>
      <c r="U1951" s="33" t="s">
        <v>26572</v>
      </c>
      <c r="V1951" s="33" t="s">
        <v>19228</v>
      </c>
      <c r="W1951" s="33" t="s">
        <v>94</v>
      </c>
      <c r="X1951" s="33">
        <v>3551</v>
      </c>
      <c r="Z1951" s="33" t="s">
        <v>42968</v>
      </c>
      <c r="AA1951" s="33">
        <v>5715</v>
      </c>
    </row>
    <row r="1952" spans="1:27" ht="12" customHeight="1" x14ac:dyDescent="0.15">
      <c r="A1952" s="33" t="s">
        <v>32471</v>
      </c>
      <c r="B1952" s="33">
        <v>29</v>
      </c>
      <c r="C1952" s="33" t="s">
        <v>14</v>
      </c>
      <c r="D1952" s="33" t="s">
        <v>31</v>
      </c>
      <c r="E1952" s="42" t="s">
        <v>32472</v>
      </c>
      <c r="F1952" s="67">
        <v>43186</v>
      </c>
      <c r="G1952" s="33" t="s">
        <v>32473</v>
      </c>
      <c r="H1952" s="33" t="s">
        <v>31492</v>
      </c>
      <c r="I1952" s="33" t="s">
        <v>735</v>
      </c>
      <c r="J1952" s="33">
        <v>83687</v>
      </c>
      <c r="K1952" s="33" t="s">
        <v>3223</v>
      </c>
      <c r="L1952" s="33" t="s">
        <v>32182</v>
      </c>
      <c r="M1952" s="33" t="s">
        <v>21</v>
      </c>
      <c r="N1952" s="33" t="s">
        <v>32474</v>
      </c>
      <c r="O1952" s="33" t="s">
        <v>372</v>
      </c>
      <c r="P1952" s="33" t="s">
        <v>30089</v>
      </c>
      <c r="Q1952" s="42" t="s">
        <v>32475</v>
      </c>
      <c r="R1952" s="33" t="s">
        <v>94</v>
      </c>
      <c r="S1952" s="33" t="s">
        <v>29</v>
      </c>
      <c r="T1952" s="33" t="s">
        <v>26576</v>
      </c>
      <c r="U1952" s="33" t="s">
        <v>26575</v>
      </c>
      <c r="V1952" s="33" t="s">
        <v>26573</v>
      </c>
      <c r="W1952" s="33" t="s">
        <v>94</v>
      </c>
      <c r="X1952" s="33">
        <v>3552</v>
      </c>
      <c r="Z1952" s="33" t="s">
        <v>42968</v>
      </c>
      <c r="AA1952" s="33">
        <v>5716</v>
      </c>
    </row>
    <row r="1953" spans="1:27" ht="12" customHeight="1" x14ac:dyDescent="0.15">
      <c r="A1953" s="33" t="s">
        <v>32290</v>
      </c>
      <c r="B1953" s="33">
        <v>44</v>
      </c>
      <c r="C1953" s="33" t="s">
        <v>14</v>
      </c>
      <c r="D1953" s="33" t="s">
        <v>42</v>
      </c>
      <c r="E1953" s="42"/>
      <c r="F1953" s="67">
        <v>43186</v>
      </c>
      <c r="G1953" s="33" t="s">
        <v>32291</v>
      </c>
      <c r="H1953" s="33" t="s">
        <v>584</v>
      </c>
      <c r="I1953" s="33" t="s">
        <v>112</v>
      </c>
      <c r="J1953" s="33">
        <v>85009</v>
      </c>
      <c r="K1953" s="33" t="s">
        <v>585</v>
      </c>
      <c r="L1953" s="33" t="s">
        <v>586</v>
      </c>
      <c r="M1953" s="33" t="s">
        <v>21</v>
      </c>
      <c r="N1953" s="33" t="s">
        <v>32292</v>
      </c>
      <c r="O1953" s="33" t="s">
        <v>372</v>
      </c>
      <c r="P1953" s="33" t="s">
        <v>30089</v>
      </c>
      <c r="Q1953" s="42" t="s">
        <v>32293</v>
      </c>
      <c r="R1953" s="33" t="s">
        <v>94</v>
      </c>
      <c r="S1953" s="33" t="s">
        <v>22</v>
      </c>
      <c r="T1953" s="33" t="s">
        <v>26781</v>
      </c>
      <c r="U1953" s="33" t="s">
        <v>26572</v>
      </c>
      <c r="V1953" s="33" t="s">
        <v>26573</v>
      </c>
      <c r="W1953" s="33" t="s">
        <v>94</v>
      </c>
      <c r="X1953" s="33">
        <v>3554</v>
      </c>
      <c r="Z1953" s="33" t="s">
        <v>42966</v>
      </c>
      <c r="AA1953" s="33">
        <v>5714</v>
      </c>
    </row>
    <row r="1954" spans="1:27" ht="12" customHeight="1" x14ac:dyDescent="0.15">
      <c r="A1954" s="33" t="s">
        <v>32482</v>
      </c>
      <c r="B1954" s="33">
        <v>33</v>
      </c>
      <c r="C1954" s="33" t="s">
        <v>103</v>
      </c>
      <c r="D1954" s="33" t="s">
        <v>31</v>
      </c>
      <c r="E1954" s="42"/>
      <c r="F1954" s="67">
        <v>43186</v>
      </c>
      <c r="G1954" s="33" t="s">
        <v>32483</v>
      </c>
      <c r="H1954" s="33" t="s">
        <v>995</v>
      </c>
      <c r="I1954" s="33" t="s">
        <v>88</v>
      </c>
      <c r="J1954" s="33">
        <v>36110</v>
      </c>
      <c r="K1954" s="33" t="s">
        <v>995</v>
      </c>
      <c r="L1954" s="33" t="s">
        <v>19481</v>
      </c>
      <c r="M1954" s="33" t="s">
        <v>21</v>
      </c>
      <c r="N1954" s="33" t="s">
        <v>32484</v>
      </c>
      <c r="O1954" s="33" t="s">
        <v>372</v>
      </c>
      <c r="P1954" s="33" t="s">
        <v>30089</v>
      </c>
      <c r="Q1954" s="42" t="s">
        <v>32485</v>
      </c>
      <c r="R1954" s="33" t="s">
        <v>94</v>
      </c>
      <c r="S1954" s="33" t="s">
        <v>351</v>
      </c>
      <c r="T1954" s="33" t="s">
        <v>26867</v>
      </c>
      <c r="U1954" s="33" t="s">
        <v>26572</v>
      </c>
      <c r="V1954" s="33" t="s">
        <v>26571</v>
      </c>
      <c r="W1954" s="33" t="s">
        <v>94</v>
      </c>
      <c r="X1954" s="33">
        <v>3553</v>
      </c>
      <c r="Z1954" s="33" t="s">
        <v>42968</v>
      </c>
      <c r="AA1954" s="33">
        <v>5717</v>
      </c>
    </row>
    <row r="1955" spans="1:27" ht="12" customHeight="1" x14ac:dyDescent="0.15">
      <c r="A1955" s="33" t="s">
        <v>32283</v>
      </c>
      <c r="B1955" s="33">
        <v>34</v>
      </c>
      <c r="C1955" s="33" t="s">
        <v>14</v>
      </c>
      <c r="D1955" s="33" t="s">
        <v>31</v>
      </c>
      <c r="E1955" s="42" t="s">
        <v>32284</v>
      </c>
      <c r="F1955" s="67">
        <v>43185</v>
      </c>
      <c r="G1955" s="33" t="s">
        <v>32285</v>
      </c>
      <c r="H1955" s="33" t="s">
        <v>32286</v>
      </c>
      <c r="I1955" s="33" t="s">
        <v>225</v>
      </c>
      <c r="J1955" s="33">
        <v>24219</v>
      </c>
      <c r="K1955" s="33" t="s">
        <v>32287</v>
      </c>
      <c r="L1955" s="33" t="s">
        <v>36483</v>
      </c>
      <c r="M1955" s="33" t="s">
        <v>21</v>
      </c>
      <c r="N1955" s="33" t="s">
        <v>32288</v>
      </c>
      <c r="O1955" s="33" t="s">
        <v>372</v>
      </c>
      <c r="P1955" s="33" t="s">
        <v>30089</v>
      </c>
      <c r="Q1955" s="42" t="s">
        <v>32289</v>
      </c>
      <c r="R1955" s="33" t="s">
        <v>23</v>
      </c>
      <c r="S1955" s="33" t="s">
        <v>22</v>
      </c>
      <c r="T1955" s="33" t="s">
        <v>26781</v>
      </c>
      <c r="U1955" s="33" t="s">
        <v>26570</v>
      </c>
      <c r="V1955" s="33" t="s">
        <v>26571</v>
      </c>
      <c r="W1955" s="33" t="s">
        <v>94</v>
      </c>
      <c r="X1955" s="33">
        <v>3543</v>
      </c>
      <c r="Z1955" s="33" t="s">
        <v>42967</v>
      </c>
      <c r="AA1955" s="33">
        <v>5712</v>
      </c>
    </row>
    <row r="1956" spans="1:27" ht="12" customHeight="1" x14ac:dyDescent="0.15">
      <c r="A1956" s="33" t="s">
        <v>36348</v>
      </c>
      <c r="B1956" s="33">
        <v>28</v>
      </c>
      <c r="C1956" s="33" t="s">
        <v>14</v>
      </c>
      <c r="D1956" s="33" t="s">
        <v>42</v>
      </c>
      <c r="E1956" s="42"/>
      <c r="F1956" s="67">
        <v>43184</v>
      </c>
      <c r="G1956" s="33" t="s">
        <v>32280</v>
      </c>
      <c r="H1956" s="33" t="s">
        <v>1227</v>
      </c>
      <c r="I1956" s="33" t="s">
        <v>67</v>
      </c>
      <c r="J1956" s="33">
        <v>78744</v>
      </c>
      <c r="K1956" s="33" t="s">
        <v>1228</v>
      </c>
      <c r="L1956" s="33" t="s">
        <v>1229</v>
      </c>
      <c r="M1956" s="33" t="s">
        <v>21</v>
      </c>
      <c r="N1956" s="33" t="s">
        <v>32281</v>
      </c>
      <c r="O1956" s="33" t="s">
        <v>372</v>
      </c>
      <c r="P1956" s="33" t="s">
        <v>30089</v>
      </c>
      <c r="Q1956" s="42" t="s">
        <v>32282</v>
      </c>
      <c r="R1956" s="33" t="s">
        <v>94</v>
      </c>
      <c r="S1956" s="33" t="s">
        <v>22</v>
      </c>
      <c r="T1956" s="33" t="s">
        <v>26781</v>
      </c>
      <c r="U1956" s="33" t="s">
        <v>26572</v>
      </c>
      <c r="V1956" s="33" t="s">
        <v>26573</v>
      </c>
      <c r="W1956" s="33" t="s">
        <v>94</v>
      </c>
      <c r="X1956" s="33">
        <v>3535</v>
      </c>
      <c r="Z1956" s="33" t="s">
        <v>42968</v>
      </c>
      <c r="AA1956" s="33">
        <v>5711</v>
      </c>
    </row>
    <row r="1957" spans="1:27" ht="12" customHeight="1" x14ac:dyDescent="0.15">
      <c r="A1957" s="33" t="s">
        <v>32275</v>
      </c>
      <c r="B1957" s="33">
        <v>25</v>
      </c>
      <c r="C1957" s="33" t="s">
        <v>103</v>
      </c>
      <c r="D1957" s="33" t="s">
        <v>31</v>
      </c>
      <c r="E1957" s="42" t="s">
        <v>32276</v>
      </c>
      <c r="F1957" s="67">
        <v>43183</v>
      </c>
      <c r="G1957" s="33" t="s">
        <v>32277</v>
      </c>
      <c r="H1957" s="33" t="s">
        <v>1202</v>
      </c>
      <c r="I1957" s="33" t="s">
        <v>63</v>
      </c>
      <c r="J1957" s="33">
        <v>43110</v>
      </c>
      <c r="K1957" s="33" t="s">
        <v>1203</v>
      </c>
      <c r="L1957" s="33" t="s">
        <v>11441</v>
      </c>
      <c r="M1957" s="33" t="s">
        <v>21</v>
      </c>
      <c r="N1957" s="33" t="s">
        <v>32278</v>
      </c>
      <c r="O1957" s="33" t="s">
        <v>372</v>
      </c>
      <c r="P1957" s="33" t="s">
        <v>30089</v>
      </c>
      <c r="Q1957" s="42" t="s">
        <v>32279</v>
      </c>
      <c r="R1957" s="33" t="s">
        <v>94</v>
      </c>
      <c r="S1957" s="33" t="s">
        <v>22</v>
      </c>
      <c r="T1957" s="33" t="s">
        <v>26781</v>
      </c>
      <c r="U1957" s="33" t="s">
        <v>26572</v>
      </c>
      <c r="V1957" s="33" t="s">
        <v>26573</v>
      </c>
      <c r="W1957" s="33" t="s">
        <v>94</v>
      </c>
      <c r="X1957" s="33">
        <v>3539</v>
      </c>
      <c r="Z1957" s="33" t="s">
        <v>42968</v>
      </c>
      <c r="AA1957" s="33">
        <v>5708</v>
      </c>
    </row>
    <row r="1958" spans="1:27" ht="12" customHeight="1" x14ac:dyDescent="0.15">
      <c r="A1958" s="33" t="s">
        <v>32449</v>
      </c>
      <c r="B1958" s="33">
        <v>42</v>
      </c>
      <c r="C1958" s="33" t="s">
        <v>14</v>
      </c>
      <c r="D1958" s="33" t="s">
        <v>31</v>
      </c>
      <c r="E1958" s="42"/>
      <c r="F1958" s="67">
        <v>43183</v>
      </c>
      <c r="G1958" s="33" t="s">
        <v>32450</v>
      </c>
      <c r="H1958" s="33" t="s">
        <v>32451</v>
      </c>
      <c r="I1958" s="33" t="s">
        <v>309</v>
      </c>
      <c r="J1958" s="33">
        <v>99556</v>
      </c>
      <c r="K1958" s="33" t="s">
        <v>18249</v>
      </c>
      <c r="L1958" s="33" t="s">
        <v>10186</v>
      </c>
      <c r="M1958" s="33" t="s">
        <v>21</v>
      </c>
      <c r="N1958" s="33" t="s">
        <v>32452</v>
      </c>
      <c r="O1958" s="33" t="s">
        <v>372</v>
      </c>
      <c r="P1958" s="33" t="s">
        <v>30089</v>
      </c>
      <c r="Q1958" s="42" t="s">
        <v>32453</v>
      </c>
      <c r="R1958" s="33" t="s">
        <v>94</v>
      </c>
      <c r="S1958" s="33" t="s">
        <v>29</v>
      </c>
      <c r="T1958" s="33" t="s">
        <v>26575</v>
      </c>
      <c r="U1958" s="33" t="s">
        <v>26572</v>
      </c>
      <c r="V1958" s="33" t="s">
        <v>26573</v>
      </c>
      <c r="W1958" s="33" t="s">
        <v>94</v>
      </c>
      <c r="X1958" s="33">
        <v>3537</v>
      </c>
      <c r="Z1958" s="33" t="s">
        <v>42967</v>
      </c>
      <c r="AA1958" s="33">
        <v>5710</v>
      </c>
    </row>
    <row r="1959" spans="1:27" ht="12" customHeight="1" x14ac:dyDescent="0.15">
      <c r="A1959" s="33" t="s">
        <v>32388</v>
      </c>
      <c r="B1959" s="33" t="s">
        <v>23</v>
      </c>
      <c r="C1959" s="33" t="s">
        <v>14</v>
      </c>
      <c r="D1959" s="33" t="s">
        <v>128</v>
      </c>
      <c r="E1959" s="42"/>
      <c r="F1959" s="67">
        <v>43183</v>
      </c>
      <c r="G1959" s="33" t="s">
        <v>32389</v>
      </c>
      <c r="H1959" s="33" t="s">
        <v>4070</v>
      </c>
      <c r="I1959" s="33" t="s">
        <v>309</v>
      </c>
      <c r="J1959" s="33">
        <v>99508</v>
      </c>
      <c r="K1959" s="33" t="s">
        <v>4070</v>
      </c>
      <c r="L1959" s="33" t="s">
        <v>4072</v>
      </c>
      <c r="M1959" s="33" t="s">
        <v>21</v>
      </c>
      <c r="N1959" s="33" t="s">
        <v>32390</v>
      </c>
      <c r="O1959" s="33" t="s">
        <v>372</v>
      </c>
      <c r="P1959" s="33" t="s">
        <v>30089</v>
      </c>
      <c r="Q1959" s="42" t="s">
        <v>32391</v>
      </c>
      <c r="R1959" s="33" t="s">
        <v>94</v>
      </c>
      <c r="S1959" s="33" t="s">
        <v>22</v>
      </c>
      <c r="T1959" s="33" t="s">
        <v>26774</v>
      </c>
      <c r="U1959" s="33" t="s">
        <v>26570</v>
      </c>
      <c r="V1959" s="33" t="s">
        <v>26574</v>
      </c>
      <c r="W1959" s="33" t="s">
        <v>94</v>
      </c>
      <c r="X1959" s="33">
        <v>3538</v>
      </c>
      <c r="Z1959" s="33" t="s">
        <v>42968</v>
      </c>
      <c r="AA1959" s="33">
        <v>5709</v>
      </c>
    </row>
    <row r="1960" spans="1:27" ht="12" customHeight="1" x14ac:dyDescent="0.15">
      <c r="A1960" s="33" t="s">
        <v>32366</v>
      </c>
      <c r="B1960" s="33" t="s">
        <v>23</v>
      </c>
      <c r="C1960" s="33" t="s">
        <v>14</v>
      </c>
      <c r="D1960" s="33" t="s">
        <v>42</v>
      </c>
      <c r="E1960" s="42"/>
      <c r="F1960" s="67">
        <v>43182</v>
      </c>
      <c r="G1960" s="33" t="s">
        <v>32367</v>
      </c>
      <c r="H1960" s="33" t="s">
        <v>518</v>
      </c>
      <c r="I1960" s="33" t="s">
        <v>112</v>
      </c>
      <c r="J1960" s="33">
        <v>85719</v>
      </c>
      <c r="K1960" s="33" t="s">
        <v>519</v>
      </c>
      <c r="L1960" s="33" t="s">
        <v>4175</v>
      </c>
      <c r="M1960" s="33" t="s">
        <v>21</v>
      </c>
      <c r="N1960" s="33" t="s">
        <v>32368</v>
      </c>
      <c r="O1960" s="33" t="s">
        <v>372</v>
      </c>
      <c r="P1960" s="33" t="s">
        <v>30089</v>
      </c>
      <c r="Q1960" s="42" t="s">
        <v>32369</v>
      </c>
      <c r="R1960" s="33" t="s">
        <v>94</v>
      </c>
      <c r="S1960" s="33" t="s">
        <v>22</v>
      </c>
      <c r="T1960" s="33" t="s">
        <v>32370</v>
      </c>
      <c r="U1960" s="33" t="s">
        <v>26570</v>
      </c>
      <c r="V1960" s="33" t="s">
        <v>26573</v>
      </c>
      <c r="W1960" s="33" t="s">
        <v>94</v>
      </c>
      <c r="X1960" s="33">
        <v>3542</v>
      </c>
      <c r="Z1960" s="33" t="s">
        <v>42968</v>
      </c>
      <c r="AA1960" s="33">
        <v>5702</v>
      </c>
    </row>
    <row r="1961" spans="1:27" ht="12" customHeight="1" x14ac:dyDescent="0.15">
      <c r="A1961" s="33" t="s">
        <v>32264</v>
      </c>
      <c r="B1961" s="33">
        <v>29</v>
      </c>
      <c r="C1961" s="33" t="s">
        <v>14</v>
      </c>
      <c r="D1961" s="33" t="s">
        <v>31</v>
      </c>
      <c r="E1961" s="42" t="s">
        <v>32265</v>
      </c>
      <c r="F1961" s="67">
        <v>43182</v>
      </c>
      <c r="G1961" s="33" t="s">
        <v>32266</v>
      </c>
      <c r="H1961" s="33" t="s">
        <v>6652</v>
      </c>
      <c r="I1961" s="33" t="s">
        <v>67</v>
      </c>
      <c r="J1961" s="33">
        <v>79605</v>
      </c>
      <c r="K1961" s="33" t="s">
        <v>6654</v>
      </c>
      <c r="L1961" s="33" t="s">
        <v>6655</v>
      </c>
      <c r="M1961" s="33" t="s">
        <v>21</v>
      </c>
      <c r="N1961" s="33" t="s">
        <v>32267</v>
      </c>
      <c r="O1961" s="33" t="s">
        <v>372</v>
      </c>
      <c r="P1961" s="33" t="s">
        <v>30089</v>
      </c>
      <c r="Q1961" s="42" t="s">
        <v>32268</v>
      </c>
      <c r="R1961" s="33" t="s">
        <v>94</v>
      </c>
      <c r="S1961" s="33" t="s">
        <v>22</v>
      </c>
      <c r="T1961" s="33" t="s">
        <v>26781</v>
      </c>
      <c r="U1961" s="33" t="s">
        <v>26572</v>
      </c>
      <c r="V1961" s="33" t="s">
        <v>26573</v>
      </c>
      <c r="W1961" s="33" t="s">
        <v>94</v>
      </c>
      <c r="X1961" s="33">
        <v>3522</v>
      </c>
      <c r="Z1961" s="33" t="s">
        <v>42968</v>
      </c>
      <c r="AA1961" s="33">
        <v>5700</v>
      </c>
    </row>
    <row r="1962" spans="1:27" ht="12" customHeight="1" x14ac:dyDescent="0.15">
      <c r="A1962" s="33" t="s">
        <v>32465</v>
      </c>
      <c r="B1962" s="33">
        <v>40</v>
      </c>
      <c r="C1962" s="33" t="s">
        <v>14</v>
      </c>
      <c r="D1962" s="33" t="s">
        <v>31</v>
      </c>
      <c r="E1962" s="42" t="s">
        <v>32466</v>
      </c>
      <c r="F1962" s="67">
        <v>43182</v>
      </c>
      <c r="G1962" s="33" t="s">
        <v>32467</v>
      </c>
      <c r="H1962" s="33" t="s">
        <v>7981</v>
      </c>
      <c r="I1962" s="33" t="s">
        <v>51</v>
      </c>
      <c r="J1962" s="33">
        <v>48506</v>
      </c>
      <c r="K1962" s="33" t="s">
        <v>7740</v>
      </c>
      <c r="L1962" s="33" t="s">
        <v>32468</v>
      </c>
      <c r="M1962" s="33" t="s">
        <v>21</v>
      </c>
      <c r="N1962" s="33" t="s">
        <v>32469</v>
      </c>
      <c r="O1962" s="33" t="s">
        <v>372</v>
      </c>
      <c r="P1962" s="33" t="s">
        <v>30089</v>
      </c>
      <c r="Q1962" s="42" t="s">
        <v>32470</v>
      </c>
      <c r="R1962" s="33" t="s">
        <v>94</v>
      </c>
      <c r="S1962" s="33" t="s">
        <v>29</v>
      </c>
      <c r="T1962" s="33" t="s">
        <v>26576</v>
      </c>
      <c r="U1962" s="33" t="s">
        <v>26570</v>
      </c>
      <c r="V1962" s="33" t="s">
        <v>26571</v>
      </c>
      <c r="W1962" s="33" t="s">
        <v>94</v>
      </c>
      <c r="X1962" s="33">
        <v>3541</v>
      </c>
      <c r="Z1962" s="33" t="s">
        <v>42966</v>
      </c>
      <c r="AA1962" s="33">
        <v>5705</v>
      </c>
    </row>
    <row r="1963" spans="1:27" ht="12" customHeight="1" x14ac:dyDescent="0.15">
      <c r="A1963" s="33" t="s">
        <v>32443</v>
      </c>
      <c r="B1963" s="33">
        <v>32</v>
      </c>
      <c r="C1963" s="33" t="s">
        <v>14</v>
      </c>
      <c r="D1963" s="33" t="s">
        <v>24</v>
      </c>
      <c r="E1963" s="42"/>
      <c r="F1963" s="67">
        <v>43182</v>
      </c>
      <c r="G1963" s="33" t="s">
        <v>32444</v>
      </c>
      <c r="H1963" s="33" t="s">
        <v>32445</v>
      </c>
      <c r="I1963" s="33" t="s">
        <v>19</v>
      </c>
      <c r="J1963" s="33">
        <v>70427</v>
      </c>
      <c r="K1963" s="33" t="s">
        <v>107</v>
      </c>
      <c r="L1963" s="33" t="s">
        <v>32446</v>
      </c>
      <c r="M1963" s="33" t="s">
        <v>21</v>
      </c>
      <c r="N1963" s="33" t="s">
        <v>32447</v>
      </c>
      <c r="O1963" s="33" t="s">
        <v>372</v>
      </c>
      <c r="P1963" s="33" t="s">
        <v>30089</v>
      </c>
      <c r="Q1963" s="42" t="s">
        <v>32448</v>
      </c>
      <c r="R1963" s="33" t="s">
        <v>94</v>
      </c>
      <c r="S1963" s="33" t="s">
        <v>29</v>
      </c>
      <c r="T1963" s="33" t="s">
        <v>26575</v>
      </c>
      <c r="U1963" s="33" t="s">
        <v>26572</v>
      </c>
      <c r="V1963" s="33" t="s">
        <v>26573</v>
      </c>
      <c r="W1963" s="33" t="s">
        <v>94</v>
      </c>
      <c r="X1963" s="33">
        <v>3526</v>
      </c>
      <c r="Z1963" s="33" t="s">
        <v>42967</v>
      </c>
      <c r="AA1963" s="33">
        <v>5704</v>
      </c>
    </row>
    <row r="1964" spans="1:27" ht="12" customHeight="1" x14ac:dyDescent="0.15">
      <c r="A1964" s="33" t="s">
        <v>32384</v>
      </c>
      <c r="B1964" s="33">
        <v>23</v>
      </c>
      <c r="C1964" s="33" t="s">
        <v>14</v>
      </c>
      <c r="D1964" s="33" t="s">
        <v>31</v>
      </c>
      <c r="E1964" s="42"/>
      <c r="F1964" s="67">
        <v>43182</v>
      </c>
      <c r="G1964" s="33" t="s">
        <v>32385</v>
      </c>
      <c r="H1964" s="33" t="s">
        <v>584</v>
      </c>
      <c r="I1964" s="33" t="s">
        <v>112</v>
      </c>
      <c r="J1964" s="33">
        <v>85033</v>
      </c>
      <c r="K1964" s="33" t="s">
        <v>585</v>
      </c>
      <c r="L1964" s="33" t="s">
        <v>586</v>
      </c>
      <c r="M1964" s="33" t="s">
        <v>4966</v>
      </c>
      <c r="N1964" s="33" t="s">
        <v>32386</v>
      </c>
      <c r="O1964" s="33" t="s">
        <v>372</v>
      </c>
      <c r="P1964" s="33" t="s">
        <v>30089</v>
      </c>
      <c r="Q1964" s="42" t="s">
        <v>32387</v>
      </c>
      <c r="R1964" s="33" t="s">
        <v>94</v>
      </c>
      <c r="S1964" s="33" t="s">
        <v>22</v>
      </c>
      <c r="T1964" s="33" t="s">
        <v>26774</v>
      </c>
      <c r="U1964" s="33" t="s">
        <v>26572</v>
      </c>
      <c r="V1964" s="33" t="s">
        <v>26573</v>
      </c>
      <c r="W1964" s="33" t="s">
        <v>94</v>
      </c>
      <c r="X1964" s="33">
        <v>3540</v>
      </c>
      <c r="Z1964" s="33" t="s">
        <v>42966</v>
      </c>
      <c r="AA1964" s="33">
        <v>5703</v>
      </c>
    </row>
    <row r="1965" spans="1:27" ht="12" customHeight="1" x14ac:dyDescent="0.15">
      <c r="A1965" s="33" t="s">
        <v>32476</v>
      </c>
      <c r="B1965" s="33">
        <v>30</v>
      </c>
      <c r="C1965" s="33" t="s">
        <v>14</v>
      </c>
      <c r="D1965" s="33" t="s">
        <v>79</v>
      </c>
      <c r="E1965" s="42" t="s">
        <v>32477</v>
      </c>
      <c r="F1965" s="67">
        <v>43182</v>
      </c>
      <c r="G1965" s="33" t="s">
        <v>32478</v>
      </c>
      <c r="H1965" s="33" t="s">
        <v>26778</v>
      </c>
      <c r="I1965" s="33" t="s">
        <v>56</v>
      </c>
      <c r="J1965" s="33">
        <v>33770</v>
      </c>
      <c r="K1965" s="33" t="s">
        <v>2152</v>
      </c>
      <c r="L1965" s="33" t="s">
        <v>32479</v>
      </c>
      <c r="M1965" s="33" t="s">
        <v>21</v>
      </c>
      <c r="N1965" s="33" t="s">
        <v>32480</v>
      </c>
      <c r="O1965" s="33" t="s">
        <v>372</v>
      </c>
      <c r="P1965" s="33" t="s">
        <v>30089</v>
      </c>
      <c r="Q1965" s="42" t="s">
        <v>32481</v>
      </c>
      <c r="R1965" s="33" t="s">
        <v>94</v>
      </c>
      <c r="S1965" s="33" t="s">
        <v>351</v>
      </c>
      <c r="T1965" s="33" t="s">
        <v>26867</v>
      </c>
      <c r="U1965" s="33" t="s">
        <v>26572</v>
      </c>
      <c r="V1965" s="33" t="s">
        <v>26573</v>
      </c>
      <c r="W1965" s="33" t="s">
        <v>94</v>
      </c>
      <c r="X1965" s="33">
        <v>3536</v>
      </c>
      <c r="Z1965" s="33" t="s">
        <v>42966</v>
      </c>
      <c r="AA1965" s="33">
        <v>5707</v>
      </c>
    </row>
    <row r="1966" spans="1:27" ht="12" customHeight="1" x14ac:dyDescent="0.15">
      <c r="A1966" s="33" t="s">
        <v>32269</v>
      </c>
      <c r="B1966" s="33">
        <v>20</v>
      </c>
      <c r="C1966" s="33" t="s">
        <v>14</v>
      </c>
      <c r="D1966" s="33" t="s">
        <v>42</v>
      </c>
      <c r="E1966" s="42"/>
      <c r="F1966" s="67">
        <v>43182</v>
      </c>
      <c r="G1966" s="33" t="s">
        <v>32270</v>
      </c>
      <c r="H1966" s="33" t="s">
        <v>32271</v>
      </c>
      <c r="I1966" s="33" t="s">
        <v>67</v>
      </c>
      <c r="J1966" s="33">
        <v>79201</v>
      </c>
      <c r="K1966" s="33" t="s">
        <v>32271</v>
      </c>
      <c r="L1966" s="33" t="s">
        <v>32272</v>
      </c>
      <c r="M1966" s="33" t="s">
        <v>21</v>
      </c>
      <c r="N1966" s="33" t="s">
        <v>32273</v>
      </c>
      <c r="O1966" s="33" t="s">
        <v>372</v>
      </c>
      <c r="P1966" s="33" t="s">
        <v>30089</v>
      </c>
      <c r="Q1966" s="42" t="s">
        <v>32274</v>
      </c>
      <c r="R1966" s="33" t="s">
        <v>94</v>
      </c>
      <c r="S1966" s="33" t="s">
        <v>22</v>
      </c>
      <c r="T1966" s="33" t="s">
        <v>26781</v>
      </c>
      <c r="U1966" s="33" t="s">
        <v>26572</v>
      </c>
      <c r="V1966" s="33" t="s">
        <v>26574</v>
      </c>
      <c r="W1966" s="33" t="s">
        <v>94</v>
      </c>
      <c r="X1966" s="33">
        <v>3527</v>
      </c>
      <c r="Z1966" s="33" t="s">
        <v>42967</v>
      </c>
      <c r="AA1966" s="33">
        <v>5701</v>
      </c>
    </row>
    <row r="1967" spans="1:27" ht="12" customHeight="1" x14ac:dyDescent="0.15">
      <c r="A1967" s="33" t="s">
        <v>3002</v>
      </c>
      <c r="B1967" s="33" t="s">
        <v>23</v>
      </c>
      <c r="C1967" s="33" t="s">
        <v>14</v>
      </c>
      <c r="D1967" s="33" t="s">
        <v>24</v>
      </c>
      <c r="E1967" s="42"/>
      <c r="F1967" s="67">
        <v>43182</v>
      </c>
      <c r="H1967" s="33" t="s">
        <v>639</v>
      </c>
      <c r="I1967" s="33" t="s">
        <v>112</v>
      </c>
      <c r="M1967" s="33" t="s">
        <v>21</v>
      </c>
      <c r="O1967" s="33" t="s">
        <v>372</v>
      </c>
      <c r="P1967" s="33" t="s">
        <v>30089</v>
      </c>
      <c r="Q1967" s="42"/>
      <c r="R1967" s="33" t="s">
        <v>94</v>
      </c>
      <c r="S1967" s="33" t="s">
        <v>29</v>
      </c>
      <c r="T1967" s="33" t="s">
        <v>26576</v>
      </c>
      <c r="U1967" s="33" t="s">
        <v>26570</v>
      </c>
      <c r="V1967" s="33" t="s">
        <v>26573</v>
      </c>
      <c r="W1967" s="33" t="s">
        <v>94</v>
      </c>
      <c r="X1967" s="33">
        <v>3569</v>
      </c>
      <c r="Z1967" s="33" t="e">
        <v>#N/A</v>
      </c>
      <c r="AA1967" s="33">
        <v>5706</v>
      </c>
    </row>
    <row r="1968" spans="1:27" ht="12" customHeight="1" x14ac:dyDescent="0.15">
      <c r="A1968" s="33" t="s">
        <v>32259</v>
      </c>
      <c r="B1968" s="33">
        <v>36</v>
      </c>
      <c r="C1968" s="33" t="s">
        <v>14</v>
      </c>
      <c r="D1968" s="33" t="s">
        <v>42</v>
      </c>
      <c r="E1968" s="42" t="s">
        <v>32260</v>
      </c>
      <c r="F1968" s="67">
        <v>43181</v>
      </c>
      <c r="G1968" s="33" t="s">
        <v>32261</v>
      </c>
      <c r="H1968" s="33" t="s">
        <v>3508</v>
      </c>
      <c r="I1968" s="33" t="s">
        <v>38</v>
      </c>
      <c r="J1968" s="33">
        <v>60505</v>
      </c>
      <c r="K1968" s="33" t="s">
        <v>7119</v>
      </c>
      <c r="L1968" s="33" t="s">
        <v>3511</v>
      </c>
      <c r="M1968" s="33" t="s">
        <v>21</v>
      </c>
      <c r="N1968" s="33" t="s">
        <v>32262</v>
      </c>
      <c r="O1968" s="33" t="s">
        <v>372</v>
      </c>
      <c r="P1968" s="33" t="s">
        <v>30089</v>
      </c>
      <c r="Q1968" s="42" t="s">
        <v>32263</v>
      </c>
      <c r="R1968" s="33" t="s">
        <v>94</v>
      </c>
      <c r="S1968" s="33" t="s">
        <v>22</v>
      </c>
      <c r="T1968" s="33" t="s">
        <v>26781</v>
      </c>
      <c r="U1968" s="33" t="s">
        <v>26572</v>
      </c>
      <c r="V1968" s="33" t="s">
        <v>26574</v>
      </c>
      <c r="W1968" s="33" t="s">
        <v>94</v>
      </c>
      <c r="X1968" s="33">
        <v>3521</v>
      </c>
      <c r="Z1968" s="33" t="s">
        <v>42968</v>
      </c>
      <c r="AA1968" s="33">
        <v>5698</v>
      </c>
    </row>
    <row r="1969" spans="1:27" ht="12" customHeight="1" x14ac:dyDescent="0.15">
      <c r="A1969" s="33" t="s">
        <v>32426</v>
      </c>
      <c r="B1969" s="33">
        <v>34</v>
      </c>
      <c r="C1969" s="33" t="s">
        <v>14</v>
      </c>
      <c r="D1969" s="33" t="s">
        <v>79</v>
      </c>
      <c r="E1969" s="42"/>
      <c r="F1969" s="67">
        <v>43181</v>
      </c>
      <c r="G1969" s="33" t="s">
        <v>32427</v>
      </c>
      <c r="H1969" s="33" t="s">
        <v>674</v>
      </c>
      <c r="I1969" s="33" t="s">
        <v>67</v>
      </c>
      <c r="J1969" s="33">
        <v>77060</v>
      </c>
      <c r="K1969" s="33" t="s">
        <v>515</v>
      </c>
      <c r="L1969" s="33" t="s">
        <v>516</v>
      </c>
      <c r="M1969" s="33" t="s">
        <v>21</v>
      </c>
      <c r="N1969" s="33" t="s">
        <v>32428</v>
      </c>
      <c r="O1969" s="33" t="s">
        <v>372</v>
      </c>
      <c r="P1969" s="33" t="s">
        <v>30089</v>
      </c>
      <c r="Q1969" s="42" t="s">
        <v>32429</v>
      </c>
      <c r="R1969" s="33" t="s">
        <v>512</v>
      </c>
      <c r="S1969" s="33" t="s">
        <v>12</v>
      </c>
      <c r="T1969" s="33" t="s">
        <v>29705</v>
      </c>
      <c r="U1969" s="33" t="s">
        <v>26572</v>
      </c>
      <c r="V1969" s="33" t="s">
        <v>26573</v>
      </c>
      <c r="W1969" s="33" t="s">
        <v>94</v>
      </c>
      <c r="X1969" s="33">
        <v>3529</v>
      </c>
      <c r="Z1969" s="33" t="s">
        <v>42966</v>
      </c>
      <c r="AA1969" s="33">
        <v>5699</v>
      </c>
    </row>
    <row r="1970" spans="1:27" ht="12" customHeight="1" x14ac:dyDescent="0.15">
      <c r="A1970" s="33" t="s">
        <v>32255</v>
      </c>
      <c r="B1970" s="33">
        <v>21</v>
      </c>
      <c r="C1970" s="33" t="s">
        <v>14</v>
      </c>
      <c r="D1970" s="33" t="s">
        <v>15</v>
      </c>
      <c r="E1970" s="42"/>
      <c r="F1970" s="67">
        <v>43180</v>
      </c>
      <c r="G1970" s="33" t="s">
        <v>32256</v>
      </c>
      <c r="H1970" s="33" t="s">
        <v>886</v>
      </c>
      <c r="I1970" s="33" t="s">
        <v>39</v>
      </c>
      <c r="J1970" s="33">
        <v>94112</v>
      </c>
      <c r="K1970" s="33" t="s">
        <v>886</v>
      </c>
      <c r="L1970" s="33" t="s">
        <v>887</v>
      </c>
      <c r="M1970" s="33" t="s">
        <v>21</v>
      </c>
      <c r="N1970" s="33" t="s">
        <v>32257</v>
      </c>
      <c r="O1970" s="33" t="s">
        <v>372</v>
      </c>
      <c r="P1970" s="33" t="s">
        <v>30089</v>
      </c>
      <c r="Q1970" s="42" t="s">
        <v>32258</v>
      </c>
      <c r="R1970" s="33" t="s">
        <v>94</v>
      </c>
      <c r="S1970" s="33" t="s">
        <v>22</v>
      </c>
      <c r="T1970" s="33" t="s">
        <v>26781</v>
      </c>
      <c r="U1970" s="33" t="s">
        <v>26572</v>
      </c>
      <c r="V1970" s="33" t="s">
        <v>26573</v>
      </c>
      <c r="W1970" s="33" t="s">
        <v>94</v>
      </c>
      <c r="X1970" s="33">
        <v>3534</v>
      </c>
      <c r="Z1970" s="33" t="s">
        <v>42966</v>
      </c>
      <c r="AA1970" s="33">
        <v>5695</v>
      </c>
    </row>
    <row r="1971" spans="1:27" ht="12" customHeight="1" x14ac:dyDescent="0.15">
      <c r="A1971" s="33" t="s">
        <v>36978</v>
      </c>
      <c r="B1971" s="33">
        <v>18</v>
      </c>
      <c r="C1971" s="33" t="s">
        <v>14</v>
      </c>
      <c r="D1971" s="33" t="s">
        <v>42</v>
      </c>
      <c r="E1971" s="42" t="s">
        <v>32371</v>
      </c>
      <c r="F1971" s="67">
        <v>43180</v>
      </c>
      <c r="G1971" s="33" t="s">
        <v>32372</v>
      </c>
      <c r="H1971" s="33" t="s">
        <v>6868</v>
      </c>
      <c r="I1971" s="33" t="s">
        <v>67</v>
      </c>
      <c r="J1971" s="33">
        <v>79339</v>
      </c>
      <c r="K1971" s="33" t="s">
        <v>32373</v>
      </c>
      <c r="L1971" s="33" t="s">
        <v>32374</v>
      </c>
      <c r="M1971" s="33" t="s">
        <v>21</v>
      </c>
      <c r="N1971" s="33" t="s">
        <v>32375</v>
      </c>
      <c r="O1971" s="33" t="s">
        <v>372</v>
      </c>
      <c r="P1971" s="33" t="s">
        <v>30089</v>
      </c>
      <c r="Q1971" s="42" t="s">
        <v>32376</v>
      </c>
      <c r="R1971" s="33" t="s">
        <v>94</v>
      </c>
      <c r="S1971" s="33" t="s">
        <v>22</v>
      </c>
      <c r="T1971" s="33" t="s">
        <v>26774</v>
      </c>
      <c r="U1971" s="33" t="s">
        <v>26572</v>
      </c>
      <c r="V1971" s="33" t="s">
        <v>26573</v>
      </c>
      <c r="W1971" s="33" t="s">
        <v>94</v>
      </c>
      <c r="X1971" s="33">
        <v>4256</v>
      </c>
      <c r="Z1971" s="33" t="s">
        <v>42967</v>
      </c>
      <c r="AA1971" s="33">
        <v>5697</v>
      </c>
    </row>
    <row r="1972" spans="1:27" ht="12" customHeight="1" x14ac:dyDescent="0.15">
      <c r="A1972" s="33" t="s">
        <v>32377</v>
      </c>
      <c r="B1972" s="33">
        <v>47</v>
      </c>
      <c r="C1972" s="33" t="s">
        <v>14</v>
      </c>
      <c r="D1972" s="33" t="s">
        <v>31</v>
      </c>
      <c r="E1972" s="42" t="s">
        <v>32378</v>
      </c>
      <c r="F1972" s="67">
        <v>43180</v>
      </c>
      <c r="G1972" s="33" t="s">
        <v>32379</v>
      </c>
      <c r="H1972" s="33" t="s">
        <v>32380</v>
      </c>
      <c r="I1972" s="33" t="s">
        <v>367</v>
      </c>
      <c r="J1972" s="33">
        <v>74044</v>
      </c>
      <c r="K1972" s="33" t="s">
        <v>1903</v>
      </c>
      <c r="L1972" s="33" t="s">
        <v>32381</v>
      </c>
      <c r="M1972" s="33" t="s">
        <v>21</v>
      </c>
      <c r="N1972" s="33" t="s">
        <v>32382</v>
      </c>
      <c r="O1972" s="33" t="s">
        <v>372</v>
      </c>
      <c r="P1972" s="33" t="s">
        <v>30089</v>
      </c>
      <c r="Q1972" s="42" t="s">
        <v>32383</v>
      </c>
      <c r="R1972" s="33" t="s">
        <v>512</v>
      </c>
      <c r="S1972" s="33" t="s">
        <v>22</v>
      </c>
      <c r="T1972" s="33" t="s">
        <v>26774</v>
      </c>
      <c r="U1972" s="33" t="s">
        <v>26570</v>
      </c>
      <c r="V1972" s="33" t="s">
        <v>26573</v>
      </c>
      <c r="W1972" s="33" t="s">
        <v>94</v>
      </c>
      <c r="X1972" s="33">
        <v>3524</v>
      </c>
      <c r="Z1972" s="33" t="s">
        <v>42967</v>
      </c>
      <c r="AA1972" s="33">
        <v>5696</v>
      </c>
    </row>
    <row r="1973" spans="1:27" ht="12" customHeight="1" x14ac:dyDescent="0.15">
      <c r="A1973" s="33" t="s">
        <v>32244</v>
      </c>
      <c r="B1973" s="33">
        <v>39</v>
      </c>
      <c r="C1973" s="33" t="s">
        <v>14</v>
      </c>
      <c r="D1973" s="33" t="s">
        <v>128</v>
      </c>
      <c r="E1973" s="42"/>
      <c r="F1973" s="67">
        <v>43180</v>
      </c>
      <c r="G1973" s="33" t="s">
        <v>32245</v>
      </c>
      <c r="H1973" s="33" t="s">
        <v>32246</v>
      </c>
      <c r="I1973" s="33" t="s">
        <v>367</v>
      </c>
      <c r="J1973" s="33">
        <v>74055</v>
      </c>
      <c r="K1973" s="33" t="s">
        <v>2307</v>
      </c>
      <c r="L1973" s="33" t="s">
        <v>32247</v>
      </c>
      <c r="M1973" s="33" t="s">
        <v>21</v>
      </c>
      <c r="N1973" s="33" t="s">
        <v>32248</v>
      </c>
      <c r="O1973" s="33" t="s">
        <v>372</v>
      </c>
      <c r="P1973" s="33" t="s">
        <v>30089</v>
      </c>
      <c r="Q1973" s="42" t="s">
        <v>32249</v>
      </c>
      <c r="R1973" s="33" t="s">
        <v>512</v>
      </c>
      <c r="S1973" s="33" t="s">
        <v>22</v>
      </c>
      <c r="T1973" s="33" t="s">
        <v>26781</v>
      </c>
      <c r="U1973" s="33" t="s">
        <v>26572</v>
      </c>
      <c r="V1973" s="33" t="s">
        <v>26573</v>
      </c>
      <c r="W1973" s="33" t="s">
        <v>512</v>
      </c>
      <c r="X1973" s="33">
        <v>3523</v>
      </c>
      <c r="Z1973" s="33" t="s">
        <v>42968</v>
      </c>
      <c r="AA1973" s="33">
        <v>5693</v>
      </c>
    </row>
    <row r="1974" spans="1:27" ht="12" customHeight="1" x14ac:dyDescent="0.15">
      <c r="A1974" s="33" t="s">
        <v>32250</v>
      </c>
      <c r="B1974" s="33">
        <v>25</v>
      </c>
      <c r="C1974" s="33" t="s">
        <v>14</v>
      </c>
      <c r="D1974" s="33" t="s">
        <v>31</v>
      </c>
      <c r="E1974" s="42" t="s">
        <v>32251</v>
      </c>
      <c r="F1974" s="67">
        <v>43180</v>
      </c>
      <c r="G1974" s="33" t="s">
        <v>32252</v>
      </c>
      <c r="H1974" s="33" t="s">
        <v>10611</v>
      </c>
      <c r="I1974" s="33" t="s">
        <v>56</v>
      </c>
      <c r="J1974" s="33">
        <v>32034</v>
      </c>
      <c r="K1974" s="33" t="s">
        <v>5127</v>
      </c>
      <c r="L1974" s="33" t="s">
        <v>5128</v>
      </c>
      <c r="M1974" s="33" t="s">
        <v>21</v>
      </c>
      <c r="N1974" s="33" t="s">
        <v>32253</v>
      </c>
      <c r="O1974" s="33" t="s">
        <v>372</v>
      </c>
      <c r="P1974" s="33" t="s">
        <v>30089</v>
      </c>
      <c r="Q1974" s="42" t="s">
        <v>32254</v>
      </c>
      <c r="R1974" s="33" t="s">
        <v>512</v>
      </c>
      <c r="S1974" s="33" t="s">
        <v>22</v>
      </c>
      <c r="T1974" s="33" t="s">
        <v>26781</v>
      </c>
      <c r="U1974" s="33" t="s">
        <v>26572</v>
      </c>
      <c r="V1974" s="33" t="s">
        <v>26573</v>
      </c>
      <c r="W1974" s="33" t="s">
        <v>94</v>
      </c>
      <c r="X1974" s="33">
        <v>3525</v>
      </c>
      <c r="Z1974" s="33" t="s">
        <v>42968</v>
      </c>
      <c r="AA1974" s="33">
        <v>5694</v>
      </c>
    </row>
    <row r="1975" spans="1:27" ht="12" customHeight="1" x14ac:dyDescent="0.15">
      <c r="A1975" s="33" t="s">
        <v>32232</v>
      </c>
      <c r="B1975" s="33">
        <v>56</v>
      </c>
      <c r="C1975" s="33" t="s">
        <v>14</v>
      </c>
      <c r="D1975" s="33" t="s">
        <v>31</v>
      </c>
      <c r="E1975" s="42"/>
      <c r="F1975" s="67">
        <v>43179</v>
      </c>
      <c r="G1975" s="33" t="s">
        <v>32233</v>
      </c>
      <c r="H1975" s="33" t="s">
        <v>32234</v>
      </c>
      <c r="I1975" s="33" t="s">
        <v>338</v>
      </c>
      <c r="J1975" s="33">
        <v>27583</v>
      </c>
      <c r="K1975" s="33" t="s">
        <v>32235</v>
      </c>
      <c r="L1975" s="33" t="s">
        <v>32236</v>
      </c>
      <c r="M1975" s="33" t="s">
        <v>21</v>
      </c>
      <c r="N1975" s="33" t="s">
        <v>32237</v>
      </c>
      <c r="O1975" s="33" t="s">
        <v>372</v>
      </c>
      <c r="P1975" s="33" t="s">
        <v>30089</v>
      </c>
      <c r="Q1975" s="42" t="s">
        <v>32238</v>
      </c>
      <c r="R1975" s="33" t="s">
        <v>512</v>
      </c>
      <c r="S1975" s="33" t="s">
        <v>22</v>
      </c>
      <c r="T1975" s="33" t="s">
        <v>26781</v>
      </c>
      <c r="U1975" s="33" t="s">
        <v>26572</v>
      </c>
      <c r="V1975" s="33" t="s">
        <v>26573</v>
      </c>
      <c r="W1975" s="33" t="s">
        <v>94</v>
      </c>
      <c r="X1975" s="33">
        <v>3519</v>
      </c>
      <c r="Z1975" s="33" t="s">
        <v>42967</v>
      </c>
      <c r="AA1975" s="33">
        <v>5690</v>
      </c>
    </row>
    <row r="1976" spans="1:27" ht="12" customHeight="1" x14ac:dyDescent="0.15">
      <c r="A1976" s="33" t="s">
        <v>32226</v>
      </c>
      <c r="B1976" s="33">
        <v>20</v>
      </c>
      <c r="C1976" s="33" t="s">
        <v>14</v>
      </c>
      <c r="D1976" s="33" t="s">
        <v>31</v>
      </c>
      <c r="E1976" s="42" t="s">
        <v>32227</v>
      </c>
      <c r="F1976" s="67">
        <v>43179</v>
      </c>
      <c r="G1976" s="33" t="s">
        <v>32228</v>
      </c>
      <c r="H1976" s="33" t="s">
        <v>32229</v>
      </c>
      <c r="I1976" s="33" t="s">
        <v>56</v>
      </c>
      <c r="J1976" s="33">
        <v>33880</v>
      </c>
      <c r="K1976" s="33" t="s">
        <v>1736</v>
      </c>
      <c r="L1976" s="33" t="s">
        <v>238</v>
      </c>
      <c r="M1976" s="33" t="s">
        <v>21</v>
      </c>
      <c r="N1976" s="33" t="s">
        <v>32230</v>
      </c>
      <c r="O1976" s="33" t="s">
        <v>372</v>
      </c>
      <c r="P1976" s="33" t="s">
        <v>30089</v>
      </c>
      <c r="Q1976" s="42" t="s">
        <v>32231</v>
      </c>
      <c r="R1976" s="33" t="s">
        <v>512</v>
      </c>
      <c r="S1976" s="33" t="s">
        <v>22</v>
      </c>
      <c r="T1976" s="33" t="s">
        <v>26781</v>
      </c>
      <c r="U1976" s="33" t="s">
        <v>26572</v>
      </c>
      <c r="V1976" s="33" t="s">
        <v>26573</v>
      </c>
      <c r="W1976" s="33" t="s">
        <v>94</v>
      </c>
      <c r="X1976" s="33">
        <v>3528</v>
      </c>
      <c r="Z1976" s="33" t="s">
        <v>42968</v>
      </c>
      <c r="AA1976" s="33">
        <v>5691</v>
      </c>
    </row>
    <row r="1977" spans="1:27" ht="12" customHeight="1" x14ac:dyDescent="0.15">
      <c r="A1977" s="33" t="s">
        <v>32239</v>
      </c>
      <c r="B1977" s="33">
        <v>56</v>
      </c>
      <c r="C1977" s="33" t="s">
        <v>14</v>
      </c>
      <c r="D1977" s="33" t="s">
        <v>31</v>
      </c>
      <c r="E1977" s="42"/>
      <c r="F1977" s="67">
        <v>43179</v>
      </c>
      <c r="G1977" s="33" t="s">
        <v>32240</v>
      </c>
      <c r="H1977" s="33" t="s">
        <v>7859</v>
      </c>
      <c r="I1977" s="33" t="s">
        <v>75</v>
      </c>
      <c r="J1977" s="33">
        <v>8542</v>
      </c>
      <c r="K1977" s="33" t="s">
        <v>2675</v>
      </c>
      <c r="L1977" s="33" t="s">
        <v>32241</v>
      </c>
      <c r="M1977" s="33" t="s">
        <v>21</v>
      </c>
      <c r="N1977" s="33" t="s">
        <v>32242</v>
      </c>
      <c r="O1977" s="33" t="s">
        <v>372</v>
      </c>
      <c r="P1977" s="33" t="s">
        <v>30089</v>
      </c>
      <c r="Q1977" s="42" t="s">
        <v>32243</v>
      </c>
      <c r="R1977" s="33" t="s">
        <v>23</v>
      </c>
      <c r="S1977" s="33" t="s">
        <v>22</v>
      </c>
      <c r="T1977" s="33" t="s">
        <v>26781</v>
      </c>
      <c r="U1977" s="33" t="s">
        <v>26570</v>
      </c>
      <c r="V1977" s="33" t="s">
        <v>26573</v>
      </c>
      <c r="W1977" s="33" t="s">
        <v>94</v>
      </c>
      <c r="X1977" s="33">
        <v>3533</v>
      </c>
      <c r="Z1977" s="33" t="s">
        <v>42968</v>
      </c>
      <c r="AA1977" s="33">
        <v>5692</v>
      </c>
    </row>
    <row r="1978" spans="1:27" ht="12" customHeight="1" x14ac:dyDescent="0.15">
      <c r="A1978" s="33" t="s">
        <v>30971</v>
      </c>
      <c r="B1978" s="33">
        <v>32</v>
      </c>
      <c r="C1978" s="33" t="s">
        <v>14</v>
      </c>
      <c r="D1978" s="33" t="s">
        <v>31</v>
      </c>
      <c r="E1978" s="42"/>
      <c r="F1978" s="67">
        <v>43179</v>
      </c>
      <c r="G1978" s="33" t="s">
        <v>30972</v>
      </c>
      <c r="H1978" s="33" t="s">
        <v>7825</v>
      </c>
      <c r="I1978" s="33" t="s">
        <v>294</v>
      </c>
      <c r="J1978" s="33">
        <v>40324</v>
      </c>
      <c r="K1978" s="33" t="s">
        <v>6440</v>
      </c>
      <c r="L1978" s="33" t="s">
        <v>32151</v>
      </c>
      <c r="M1978" s="33" t="s">
        <v>21</v>
      </c>
      <c r="N1978" s="33" t="s">
        <v>30973</v>
      </c>
      <c r="O1978" s="33" t="s">
        <v>372</v>
      </c>
      <c r="P1978" s="33" t="s">
        <v>30089</v>
      </c>
      <c r="Q1978" s="42" t="s">
        <v>30974</v>
      </c>
      <c r="R1978" s="33" t="s">
        <v>94</v>
      </c>
      <c r="S1978" s="33" t="s">
        <v>22</v>
      </c>
      <c r="T1978" s="33" t="s">
        <v>26781</v>
      </c>
      <c r="U1978" s="33" t="s">
        <v>26572</v>
      </c>
      <c r="V1978" s="33" t="s">
        <v>26573</v>
      </c>
      <c r="W1978" s="33" t="s">
        <v>94</v>
      </c>
      <c r="X1978" s="33">
        <v>3518</v>
      </c>
      <c r="Z1978" s="33" t="s">
        <v>42968</v>
      </c>
      <c r="AA1978" s="33">
        <v>5689</v>
      </c>
    </row>
    <row r="1979" spans="1:27" ht="12" customHeight="1" x14ac:dyDescent="0.15">
      <c r="A1979" s="33" t="s">
        <v>30982</v>
      </c>
      <c r="B1979" s="33">
        <v>24</v>
      </c>
      <c r="C1979" s="33" t="s">
        <v>14</v>
      </c>
      <c r="D1979" s="33" t="s">
        <v>79</v>
      </c>
      <c r="E1979" s="42" t="s">
        <v>30983</v>
      </c>
      <c r="F1979" s="67">
        <v>43178</v>
      </c>
      <c r="G1979" s="33" t="s">
        <v>30984</v>
      </c>
      <c r="H1979" s="33" t="s">
        <v>2057</v>
      </c>
      <c r="I1979" s="33" t="s">
        <v>294</v>
      </c>
      <c r="J1979" s="33">
        <v>42376</v>
      </c>
      <c r="K1979" s="33" t="s">
        <v>2059</v>
      </c>
      <c r="L1979" s="33" t="s">
        <v>18258</v>
      </c>
      <c r="M1979" s="33" t="s">
        <v>21</v>
      </c>
      <c r="N1979" s="33" t="s">
        <v>30985</v>
      </c>
      <c r="O1979" s="33" t="s">
        <v>372</v>
      </c>
      <c r="P1979" s="33" t="s">
        <v>30089</v>
      </c>
      <c r="Q1979" s="42" t="s">
        <v>30986</v>
      </c>
      <c r="R1979" s="33" t="s">
        <v>94</v>
      </c>
      <c r="S1979" s="33" t="s">
        <v>22</v>
      </c>
      <c r="T1979" s="33" t="s">
        <v>26781</v>
      </c>
      <c r="U1979" s="33" t="s">
        <v>26575</v>
      </c>
      <c r="V1979" s="33" t="s">
        <v>26571</v>
      </c>
      <c r="W1979" s="33" t="s">
        <v>94</v>
      </c>
      <c r="X1979" s="33">
        <v>3516</v>
      </c>
      <c r="Z1979" s="33" t="s">
        <v>42967</v>
      </c>
      <c r="AA1979" s="33">
        <v>5685</v>
      </c>
    </row>
    <row r="1980" spans="1:27" ht="12" customHeight="1" x14ac:dyDescent="0.15">
      <c r="A1980" s="33" t="s">
        <v>30975</v>
      </c>
      <c r="B1980" s="33">
        <v>50</v>
      </c>
      <c r="C1980" s="33" t="s">
        <v>14</v>
      </c>
      <c r="D1980" s="33" t="s">
        <v>31</v>
      </c>
      <c r="E1980" s="42" t="s">
        <v>30976</v>
      </c>
      <c r="F1980" s="67">
        <v>43178</v>
      </c>
      <c r="G1980" s="33" t="s">
        <v>30977</v>
      </c>
      <c r="H1980" s="33" t="s">
        <v>30978</v>
      </c>
      <c r="I1980" s="33" t="s">
        <v>918</v>
      </c>
      <c r="J1980" s="33">
        <v>72658</v>
      </c>
      <c r="K1980" s="33" t="s">
        <v>30979</v>
      </c>
      <c r="L1980" s="33" t="s">
        <v>32152</v>
      </c>
      <c r="M1980" s="33" t="s">
        <v>21</v>
      </c>
      <c r="N1980" s="33" t="s">
        <v>30980</v>
      </c>
      <c r="O1980" s="33" t="s">
        <v>372</v>
      </c>
      <c r="P1980" s="33" t="s">
        <v>30089</v>
      </c>
      <c r="Q1980" s="42" t="s">
        <v>30981</v>
      </c>
      <c r="R1980" s="33" t="s">
        <v>94</v>
      </c>
      <c r="S1980" s="33" t="s">
        <v>22</v>
      </c>
      <c r="T1980" s="33" t="s">
        <v>26587</v>
      </c>
      <c r="U1980" s="33" t="s">
        <v>26570</v>
      </c>
      <c r="V1980" s="33" t="s">
        <v>26573</v>
      </c>
      <c r="W1980" s="33" t="s">
        <v>94</v>
      </c>
      <c r="X1980" s="33">
        <v>3517</v>
      </c>
      <c r="Z1980" s="33" t="s">
        <v>42967</v>
      </c>
      <c r="AA1980" s="33">
        <v>5684</v>
      </c>
    </row>
    <row r="1981" spans="1:27" ht="12" customHeight="1" x14ac:dyDescent="0.15">
      <c r="A1981" s="33" t="s">
        <v>30987</v>
      </c>
      <c r="B1981" s="33">
        <v>35</v>
      </c>
      <c r="C1981" s="33" t="s">
        <v>14</v>
      </c>
      <c r="D1981" s="33" t="s">
        <v>79</v>
      </c>
      <c r="E1981" s="42" t="s">
        <v>30988</v>
      </c>
      <c r="F1981" s="67">
        <v>43178</v>
      </c>
      <c r="G1981" s="33" t="s">
        <v>30989</v>
      </c>
      <c r="H1981" s="33" t="s">
        <v>27</v>
      </c>
      <c r="I1981" s="33" t="s">
        <v>26</v>
      </c>
      <c r="J1981" s="33">
        <v>29609</v>
      </c>
      <c r="K1981" s="33" t="s">
        <v>27</v>
      </c>
      <c r="L1981" s="33" t="s">
        <v>28</v>
      </c>
      <c r="M1981" s="33" t="s">
        <v>21</v>
      </c>
      <c r="N1981" s="33" t="s">
        <v>30990</v>
      </c>
      <c r="O1981" s="33" t="s">
        <v>372</v>
      </c>
      <c r="P1981" s="33" t="s">
        <v>30089</v>
      </c>
      <c r="Q1981" s="42" t="s">
        <v>30991</v>
      </c>
      <c r="R1981" s="33" t="s">
        <v>94</v>
      </c>
      <c r="S1981" s="33" t="s">
        <v>22</v>
      </c>
      <c r="T1981" s="33" t="s">
        <v>26774</v>
      </c>
      <c r="U1981" s="33" t="s">
        <v>26570</v>
      </c>
      <c r="V1981" s="33" t="s">
        <v>26573</v>
      </c>
      <c r="W1981" s="33" t="s">
        <v>94</v>
      </c>
      <c r="X1981" s="33">
        <v>3515</v>
      </c>
      <c r="Z1981" s="33" t="s">
        <v>42968</v>
      </c>
      <c r="AA1981" s="33">
        <v>5687</v>
      </c>
    </row>
    <row r="1982" spans="1:27" ht="12" customHeight="1" x14ac:dyDescent="0.15">
      <c r="A1982" s="33" t="s">
        <v>32439</v>
      </c>
      <c r="B1982" s="33">
        <v>27</v>
      </c>
      <c r="C1982" s="33" t="s">
        <v>14</v>
      </c>
      <c r="D1982" s="33" t="s">
        <v>15</v>
      </c>
      <c r="E1982" s="42"/>
      <c r="F1982" s="67">
        <v>43178</v>
      </c>
      <c r="G1982" s="33" t="s">
        <v>32440</v>
      </c>
      <c r="H1982" s="33" t="s">
        <v>1212</v>
      </c>
      <c r="I1982" s="33" t="s">
        <v>192</v>
      </c>
      <c r="J1982" s="33">
        <v>80216</v>
      </c>
      <c r="K1982" s="33" t="s">
        <v>1212</v>
      </c>
      <c r="L1982" s="33" t="s">
        <v>1213</v>
      </c>
      <c r="M1982" s="33" t="s">
        <v>21</v>
      </c>
      <c r="N1982" s="33" t="s">
        <v>32441</v>
      </c>
      <c r="O1982" s="33" t="s">
        <v>372</v>
      </c>
      <c r="P1982" s="33" t="s">
        <v>30089</v>
      </c>
      <c r="Q1982" s="42" t="s">
        <v>32442</v>
      </c>
      <c r="R1982" s="33" t="s">
        <v>94</v>
      </c>
      <c r="S1982" s="33" t="s">
        <v>29</v>
      </c>
      <c r="T1982" s="33" t="s">
        <v>26575</v>
      </c>
      <c r="U1982" s="33" t="s">
        <v>26575</v>
      </c>
      <c r="V1982" s="33" t="s">
        <v>26571</v>
      </c>
      <c r="W1982" s="33" t="s">
        <v>94</v>
      </c>
      <c r="X1982" s="33">
        <v>3520</v>
      </c>
      <c r="Z1982" s="33" t="s">
        <v>42966</v>
      </c>
      <c r="AA1982" s="33">
        <v>5688</v>
      </c>
    </row>
    <row r="1983" spans="1:27" ht="12" customHeight="1" x14ac:dyDescent="0.15">
      <c r="A1983" s="33" t="s">
        <v>32224</v>
      </c>
      <c r="B1983" s="33">
        <v>50</v>
      </c>
      <c r="C1983" s="33" t="s">
        <v>14</v>
      </c>
      <c r="D1983" s="33" t="s">
        <v>128</v>
      </c>
      <c r="E1983" s="42"/>
      <c r="F1983" s="67">
        <v>43178</v>
      </c>
      <c r="H1983" s="33" t="s">
        <v>32225</v>
      </c>
      <c r="I1983" s="33" t="s">
        <v>294</v>
      </c>
      <c r="M1983" s="33" t="s">
        <v>21</v>
      </c>
      <c r="O1983" s="33" t="s">
        <v>372</v>
      </c>
      <c r="P1983" s="33" t="s">
        <v>30089</v>
      </c>
      <c r="Q1983" s="42"/>
      <c r="S1983" s="33" t="s">
        <v>22</v>
      </c>
      <c r="T1983" s="33" t="s">
        <v>26781</v>
      </c>
      <c r="U1983" s="33" t="s">
        <v>26572</v>
      </c>
      <c r="V1983" s="33" t="s">
        <v>19228</v>
      </c>
      <c r="W1983" s="33" t="s">
        <v>94</v>
      </c>
      <c r="X1983" s="33">
        <v>3516</v>
      </c>
      <c r="Z1983" s="33" t="e">
        <v>#N/A</v>
      </c>
      <c r="AA1983" s="33">
        <v>5686</v>
      </c>
    </row>
    <row r="1984" spans="1:27" ht="12" customHeight="1" x14ac:dyDescent="0.15">
      <c r="A1984" s="33" t="s">
        <v>30996</v>
      </c>
      <c r="B1984" s="33">
        <v>23</v>
      </c>
      <c r="C1984" s="33" t="s">
        <v>14</v>
      </c>
      <c r="D1984" s="33" t="s">
        <v>79</v>
      </c>
      <c r="E1984" s="42" t="s">
        <v>30997</v>
      </c>
      <c r="F1984" s="67">
        <v>43177</v>
      </c>
      <c r="G1984" s="33" t="s">
        <v>30998</v>
      </c>
      <c r="H1984" s="33" t="s">
        <v>1537</v>
      </c>
      <c r="I1984" s="33" t="s">
        <v>39</v>
      </c>
      <c r="J1984" s="33">
        <v>95822</v>
      </c>
      <c r="K1984" s="33" t="s">
        <v>1537</v>
      </c>
      <c r="L1984" s="33" t="s">
        <v>2166</v>
      </c>
      <c r="M1984" s="33" t="s">
        <v>21</v>
      </c>
      <c r="N1984" s="33" t="s">
        <v>30999</v>
      </c>
      <c r="O1984" s="33" t="s">
        <v>372</v>
      </c>
      <c r="P1984" s="33" t="s">
        <v>30089</v>
      </c>
      <c r="Q1984" s="42" t="s">
        <v>31000</v>
      </c>
      <c r="R1984" s="33" t="s">
        <v>94</v>
      </c>
      <c r="S1984" s="33" t="s">
        <v>12</v>
      </c>
      <c r="T1984" s="33" t="s">
        <v>29705</v>
      </c>
      <c r="U1984" s="33" t="s">
        <v>26570</v>
      </c>
      <c r="V1984" s="33" t="s">
        <v>26574</v>
      </c>
      <c r="W1984" s="33" t="s">
        <v>94</v>
      </c>
      <c r="X1984" s="33">
        <v>3506</v>
      </c>
      <c r="Z1984" s="33" t="s">
        <v>42968</v>
      </c>
      <c r="AA1984" s="33">
        <v>5682</v>
      </c>
    </row>
    <row r="1985" spans="1:27" ht="12" customHeight="1" x14ac:dyDescent="0.15">
      <c r="A1985" s="33" t="s">
        <v>3002</v>
      </c>
      <c r="B1985" s="33" t="s">
        <v>23</v>
      </c>
      <c r="C1985" s="33" t="s">
        <v>14</v>
      </c>
      <c r="D1985" s="33" t="s">
        <v>24</v>
      </c>
      <c r="E1985" s="42"/>
      <c r="F1985" s="67">
        <v>43177</v>
      </c>
      <c r="G1985" s="33" t="s">
        <v>31001</v>
      </c>
      <c r="H1985" s="33" t="s">
        <v>1397</v>
      </c>
      <c r="I1985" s="33" t="s">
        <v>67</v>
      </c>
      <c r="J1985" s="33">
        <v>75134</v>
      </c>
      <c r="K1985" s="33" t="s">
        <v>266</v>
      </c>
      <c r="L1985" s="33" t="s">
        <v>2121</v>
      </c>
      <c r="M1985" s="33" t="s">
        <v>21</v>
      </c>
      <c r="N1985" s="33" t="s">
        <v>31002</v>
      </c>
      <c r="O1985" s="33" t="s">
        <v>372</v>
      </c>
      <c r="P1985" s="33" t="s">
        <v>30089</v>
      </c>
      <c r="Q1985" s="42" t="s">
        <v>31003</v>
      </c>
      <c r="R1985" s="33" t="s">
        <v>94</v>
      </c>
      <c r="S1985" s="33" t="s">
        <v>351</v>
      </c>
      <c r="T1985" s="33" t="s">
        <v>26867</v>
      </c>
      <c r="U1985" s="33" t="s">
        <v>26572</v>
      </c>
      <c r="V1985" s="33" t="s">
        <v>26571</v>
      </c>
      <c r="W1985" s="33" t="s">
        <v>94</v>
      </c>
      <c r="X1985" s="33">
        <v>3502</v>
      </c>
      <c r="Z1985" s="33" t="s">
        <v>42968</v>
      </c>
      <c r="AA1985" s="33">
        <v>5683</v>
      </c>
    </row>
    <row r="1986" spans="1:27" ht="12" customHeight="1" x14ac:dyDescent="0.15">
      <c r="A1986" s="33" t="s">
        <v>30992</v>
      </c>
      <c r="B1986" s="33">
        <v>40</v>
      </c>
      <c r="C1986" s="33" t="s">
        <v>14</v>
      </c>
      <c r="D1986" s="33" t="s">
        <v>42</v>
      </c>
      <c r="E1986" s="42"/>
      <c r="F1986" s="67">
        <v>43177</v>
      </c>
      <c r="G1986" s="33" t="s">
        <v>30993</v>
      </c>
      <c r="H1986" s="33" t="s">
        <v>2305</v>
      </c>
      <c r="I1986" s="33" t="s">
        <v>39</v>
      </c>
      <c r="J1986" s="33">
        <v>91733</v>
      </c>
      <c r="K1986" s="33" t="s">
        <v>92</v>
      </c>
      <c r="L1986" s="33" t="s">
        <v>386</v>
      </c>
      <c r="M1986" s="33" t="s">
        <v>21</v>
      </c>
      <c r="N1986" s="33" t="s">
        <v>30994</v>
      </c>
      <c r="O1986" s="33" t="s">
        <v>372</v>
      </c>
      <c r="P1986" s="33" t="s">
        <v>30089</v>
      </c>
      <c r="Q1986" s="42" t="s">
        <v>30995</v>
      </c>
      <c r="R1986" s="33" t="s">
        <v>94</v>
      </c>
      <c r="S1986" s="33" t="s">
        <v>22</v>
      </c>
      <c r="T1986" s="33" t="s">
        <v>26774</v>
      </c>
      <c r="U1986" s="33" t="s">
        <v>26570</v>
      </c>
      <c r="V1986" s="33" t="s">
        <v>26574</v>
      </c>
      <c r="W1986" s="33" t="s">
        <v>94</v>
      </c>
      <c r="X1986" s="33">
        <v>3509</v>
      </c>
      <c r="Z1986" s="33" t="s">
        <v>42968</v>
      </c>
      <c r="AA1986" s="33">
        <v>5681</v>
      </c>
    </row>
    <row r="1987" spans="1:27" ht="12" customHeight="1" x14ac:dyDescent="0.15">
      <c r="A1987" s="33" t="s">
        <v>32223</v>
      </c>
      <c r="B1987" s="33">
        <v>50</v>
      </c>
      <c r="C1987" s="33" t="s">
        <v>14</v>
      </c>
      <c r="D1987" s="33" t="s">
        <v>42</v>
      </c>
      <c r="E1987" s="42"/>
      <c r="F1987" s="67">
        <v>43176</v>
      </c>
      <c r="G1987" s="33" t="s">
        <v>31004</v>
      </c>
      <c r="H1987" s="33" t="s">
        <v>31005</v>
      </c>
      <c r="I1987" s="33" t="s">
        <v>39</v>
      </c>
      <c r="J1987" s="33">
        <v>92082</v>
      </c>
      <c r="K1987" s="33" t="s">
        <v>143</v>
      </c>
      <c r="L1987" s="33" t="s">
        <v>15261</v>
      </c>
      <c r="M1987" s="33" t="s">
        <v>21</v>
      </c>
      <c r="N1987" s="33" t="s">
        <v>31006</v>
      </c>
      <c r="O1987" s="33" t="s">
        <v>372</v>
      </c>
      <c r="P1987" s="33" t="s">
        <v>30089</v>
      </c>
      <c r="Q1987" s="42" t="s">
        <v>31007</v>
      </c>
      <c r="R1987" s="33" t="s">
        <v>94</v>
      </c>
      <c r="S1987" s="33" t="s">
        <v>22</v>
      </c>
      <c r="T1987" s="33" t="s">
        <v>26781</v>
      </c>
      <c r="U1987" s="33" t="s">
        <v>26570</v>
      </c>
      <c r="V1987" s="33" t="s">
        <v>26571</v>
      </c>
      <c r="W1987" s="33" t="s">
        <v>94</v>
      </c>
      <c r="X1987" s="33">
        <v>3504</v>
      </c>
      <c r="Z1987" s="33" t="s">
        <v>42967</v>
      </c>
      <c r="AA1987" s="33">
        <v>5680</v>
      </c>
    </row>
    <row r="1988" spans="1:27" ht="12" customHeight="1" x14ac:dyDescent="0.15">
      <c r="A1988" s="33" t="s">
        <v>31017</v>
      </c>
      <c r="B1988" s="33">
        <v>28</v>
      </c>
      <c r="C1988" s="33" t="s">
        <v>14</v>
      </c>
      <c r="D1988" s="33" t="s">
        <v>31</v>
      </c>
      <c r="E1988" s="42"/>
      <c r="F1988" s="67">
        <v>43175</v>
      </c>
      <c r="G1988" s="33" t="s">
        <v>31018</v>
      </c>
      <c r="H1988" s="33" t="s">
        <v>22864</v>
      </c>
      <c r="I1988" s="33" t="s">
        <v>282</v>
      </c>
      <c r="J1988" s="33">
        <v>98387</v>
      </c>
      <c r="K1988" s="33" t="s">
        <v>827</v>
      </c>
      <c r="L1988" s="33" t="s">
        <v>19834</v>
      </c>
      <c r="M1988" s="33" t="s">
        <v>21</v>
      </c>
      <c r="N1988" s="33" t="s">
        <v>31019</v>
      </c>
      <c r="O1988" s="33" t="s">
        <v>372</v>
      </c>
      <c r="P1988" s="33" t="s">
        <v>30089</v>
      </c>
      <c r="Q1988" s="42" t="s">
        <v>31020</v>
      </c>
      <c r="R1988" s="33" t="s">
        <v>512</v>
      </c>
      <c r="S1988" s="33" t="s">
        <v>22</v>
      </c>
      <c r="T1988" s="33" t="s">
        <v>26774</v>
      </c>
      <c r="U1988" s="33" t="s">
        <v>26570</v>
      </c>
      <c r="V1988" s="33" t="s">
        <v>26573</v>
      </c>
      <c r="W1988" s="33" t="s">
        <v>94</v>
      </c>
      <c r="X1988" s="33">
        <v>3510</v>
      </c>
      <c r="Z1988" s="33" t="s">
        <v>42968</v>
      </c>
      <c r="AA1988" s="33">
        <v>5678</v>
      </c>
    </row>
    <row r="1989" spans="1:27" ht="12" customHeight="1" x14ac:dyDescent="0.15">
      <c r="A1989" s="33" t="s">
        <v>31008</v>
      </c>
      <c r="B1989" s="33">
        <v>62</v>
      </c>
      <c r="C1989" s="33" t="s">
        <v>14</v>
      </c>
      <c r="D1989" s="33" t="s">
        <v>31</v>
      </c>
      <c r="E1989" s="42" t="s">
        <v>31009</v>
      </c>
      <c r="F1989" s="67">
        <v>43175</v>
      </c>
      <c r="G1989" s="33" t="s">
        <v>36484</v>
      </c>
      <c r="H1989" s="33" t="s">
        <v>19323</v>
      </c>
      <c r="I1989" s="33" t="s">
        <v>338</v>
      </c>
      <c r="J1989" s="33">
        <v>28714</v>
      </c>
      <c r="K1989" s="33" t="s">
        <v>31010</v>
      </c>
      <c r="L1989" s="33" t="s">
        <v>32154</v>
      </c>
      <c r="M1989" s="33" t="s">
        <v>21</v>
      </c>
      <c r="N1989" s="33" t="s">
        <v>31011</v>
      </c>
      <c r="O1989" s="33" t="s">
        <v>372</v>
      </c>
      <c r="P1989" s="33" t="s">
        <v>30089</v>
      </c>
      <c r="Q1989" s="42" t="s">
        <v>31012</v>
      </c>
      <c r="R1989" s="33" t="s">
        <v>94</v>
      </c>
      <c r="S1989" s="33" t="s">
        <v>22</v>
      </c>
      <c r="T1989" s="33" t="s">
        <v>27020</v>
      </c>
      <c r="U1989" s="33" t="s">
        <v>26570</v>
      </c>
      <c r="W1989" s="33" t="s">
        <v>94</v>
      </c>
      <c r="X1989" s="33">
        <v>3512</v>
      </c>
      <c r="Z1989" s="33" t="s">
        <v>42967</v>
      </c>
      <c r="AA1989" s="33">
        <v>5675</v>
      </c>
    </row>
    <row r="1990" spans="1:27" ht="12" customHeight="1" x14ac:dyDescent="0.15">
      <c r="A1990" s="33" t="s">
        <v>3002</v>
      </c>
      <c r="B1990" s="33" t="s">
        <v>23</v>
      </c>
      <c r="C1990" s="33" t="s">
        <v>14</v>
      </c>
      <c r="D1990" s="33" t="s">
        <v>24</v>
      </c>
      <c r="E1990" s="42"/>
      <c r="F1990" s="67">
        <v>43175</v>
      </c>
      <c r="G1990" s="33" t="s">
        <v>31026</v>
      </c>
      <c r="H1990" s="33" t="s">
        <v>23727</v>
      </c>
      <c r="I1990" s="33" t="s">
        <v>67</v>
      </c>
      <c r="J1990" s="33">
        <v>77379</v>
      </c>
      <c r="K1990" s="33" t="s">
        <v>515</v>
      </c>
      <c r="L1990" s="33" t="s">
        <v>516</v>
      </c>
      <c r="M1990" s="33" t="s">
        <v>21</v>
      </c>
      <c r="N1990" s="33" t="s">
        <v>31027</v>
      </c>
      <c r="O1990" s="33" t="s">
        <v>372</v>
      </c>
      <c r="P1990" s="33" t="s">
        <v>30089</v>
      </c>
      <c r="Q1990" s="42" t="s">
        <v>31028</v>
      </c>
      <c r="R1990" s="33" t="s">
        <v>94</v>
      </c>
      <c r="S1990" s="33" t="s">
        <v>29</v>
      </c>
      <c r="T1990" s="33" t="s">
        <v>26575</v>
      </c>
      <c r="U1990" s="33" t="s">
        <v>26572</v>
      </c>
      <c r="V1990" s="33" t="s">
        <v>26573</v>
      </c>
      <c r="X1990" s="33">
        <v>4257</v>
      </c>
      <c r="Z1990" s="33" t="s">
        <v>42968</v>
      </c>
      <c r="AA1990" s="33">
        <v>5679</v>
      </c>
    </row>
    <row r="1991" spans="1:27" ht="12" customHeight="1" x14ac:dyDescent="0.15">
      <c r="A1991" s="33" t="s">
        <v>31021</v>
      </c>
      <c r="B1991" s="33">
        <v>26</v>
      </c>
      <c r="C1991" s="33" t="s">
        <v>14</v>
      </c>
      <c r="D1991" s="33" t="s">
        <v>31</v>
      </c>
      <c r="E1991" s="42"/>
      <c r="F1991" s="67">
        <v>43175</v>
      </c>
      <c r="G1991" s="33" t="s">
        <v>31022</v>
      </c>
      <c r="H1991" s="33" t="s">
        <v>31023</v>
      </c>
      <c r="I1991" s="33" t="s">
        <v>298</v>
      </c>
      <c r="J1991" s="33">
        <v>37659</v>
      </c>
      <c r="K1991" s="33" t="s">
        <v>107</v>
      </c>
      <c r="L1991" s="33" t="s">
        <v>32153</v>
      </c>
      <c r="M1991" s="33" t="s">
        <v>21</v>
      </c>
      <c r="N1991" s="33" t="s">
        <v>31024</v>
      </c>
      <c r="O1991" s="33" t="s">
        <v>372</v>
      </c>
      <c r="P1991" s="33" t="s">
        <v>30089</v>
      </c>
      <c r="Q1991" s="42" t="s">
        <v>31025</v>
      </c>
      <c r="R1991" s="33" t="s">
        <v>512</v>
      </c>
      <c r="S1991" s="33" t="s">
        <v>22</v>
      </c>
      <c r="T1991" s="33" t="s">
        <v>26774</v>
      </c>
      <c r="U1991" s="33" t="s">
        <v>26570</v>
      </c>
      <c r="V1991" s="33" t="s">
        <v>26574</v>
      </c>
      <c r="W1991" s="33" t="s">
        <v>94</v>
      </c>
      <c r="X1991" s="33">
        <v>3508</v>
      </c>
      <c r="Z1991" s="33" t="s">
        <v>42967</v>
      </c>
      <c r="AA1991" s="33">
        <v>5677</v>
      </c>
    </row>
    <row r="1992" spans="1:27" ht="12" customHeight="1" x14ac:dyDescent="0.15">
      <c r="A1992" s="33" t="s">
        <v>31013</v>
      </c>
      <c r="B1992" s="33">
        <v>49</v>
      </c>
      <c r="C1992" s="33" t="s">
        <v>14</v>
      </c>
      <c r="D1992" s="33" t="s">
        <v>79</v>
      </c>
      <c r="E1992" s="42"/>
      <c r="F1992" s="67">
        <v>43175</v>
      </c>
      <c r="G1992" s="33" t="s">
        <v>31014</v>
      </c>
      <c r="H1992" s="33" t="s">
        <v>29995</v>
      </c>
      <c r="I1992" s="33" t="s">
        <v>298</v>
      </c>
      <c r="J1992" s="33">
        <v>37040</v>
      </c>
      <c r="K1992" s="33" t="s">
        <v>995</v>
      </c>
      <c r="L1992" s="33" t="s">
        <v>29996</v>
      </c>
      <c r="M1992" s="33" t="s">
        <v>21</v>
      </c>
      <c r="N1992" s="33" t="s">
        <v>31015</v>
      </c>
      <c r="O1992" s="33" t="s">
        <v>372</v>
      </c>
      <c r="P1992" s="33" t="s">
        <v>30089</v>
      </c>
      <c r="Q1992" s="42" t="s">
        <v>31016</v>
      </c>
      <c r="R1992" s="33" t="s">
        <v>94</v>
      </c>
      <c r="S1992" s="33" t="s">
        <v>22</v>
      </c>
      <c r="T1992" s="33" t="s">
        <v>26781</v>
      </c>
      <c r="U1992" s="33" t="s">
        <v>26572</v>
      </c>
      <c r="V1992" s="33" t="s">
        <v>26573</v>
      </c>
      <c r="W1992" s="33" t="s">
        <v>94</v>
      </c>
      <c r="X1992" s="33">
        <v>3507</v>
      </c>
      <c r="Z1992" s="33" t="s">
        <v>42966</v>
      </c>
      <c r="AA1992" s="33">
        <v>5676</v>
      </c>
    </row>
    <row r="1993" spans="1:27" ht="12" customHeight="1" x14ac:dyDescent="0.15">
      <c r="A1993" s="33" t="s">
        <v>31029</v>
      </c>
      <c r="B1993" s="33">
        <v>27</v>
      </c>
      <c r="C1993" s="33" t="s">
        <v>14</v>
      </c>
      <c r="D1993" s="33" t="s">
        <v>79</v>
      </c>
      <c r="E1993" s="42"/>
      <c r="F1993" s="67">
        <v>43174</v>
      </c>
      <c r="G1993" s="33" t="s">
        <v>31030</v>
      </c>
      <c r="H1993" s="33" t="s">
        <v>24470</v>
      </c>
      <c r="I1993" s="33" t="s">
        <v>112</v>
      </c>
      <c r="J1993" s="33">
        <v>85122</v>
      </c>
      <c r="K1993" s="33" t="s">
        <v>2223</v>
      </c>
      <c r="L1993" s="33" t="s">
        <v>24471</v>
      </c>
      <c r="M1993" s="33" t="s">
        <v>4966</v>
      </c>
      <c r="N1993" s="33" t="s">
        <v>31031</v>
      </c>
      <c r="O1993" s="33" t="s">
        <v>372</v>
      </c>
      <c r="P1993" s="33" t="s">
        <v>30089</v>
      </c>
      <c r="Q1993" s="42" t="s">
        <v>31032</v>
      </c>
      <c r="R1993" s="33" t="s">
        <v>94</v>
      </c>
      <c r="S1993" s="33" t="s">
        <v>29</v>
      </c>
      <c r="T1993" s="33" t="s">
        <v>26575</v>
      </c>
      <c r="U1993" s="33" t="s">
        <v>26572</v>
      </c>
      <c r="V1993" s="33" t="s">
        <v>26573</v>
      </c>
      <c r="W1993" s="33" t="s">
        <v>94</v>
      </c>
      <c r="X1993" s="33">
        <v>3514</v>
      </c>
      <c r="Z1993" s="33" t="s">
        <v>42968</v>
      </c>
      <c r="AA1993" s="33">
        <v>5674</v>
      </c>
    </row>
    <row r="1994" spans="1:27" ht="12" customHeight="1" x14ac:dyDescent="0.15">
      <c r="A1994" s="33" t="s">
        <v>3002</v>
      </c>
      <c r="B1994" s="33" t="s">
        <v>23</v>
      </c>
      <c r="C1994" s="33" t="s">
        <v>14</v>
      </c>
      <c r="D1994" s="33" t="s">
        <v>24</v>
      </c>
      <c r="E1994" s="42"/>
      <c r="F1994" s="67">
        <v>43173</v>
      </c>
      <c r="H1994" s="33" t="s">
        <v>31038</v>
      </c>
      <c r="I1994" s="33" t="s">
        <v>132</v>
      </c>
      <c r="J1994" s="33">
        <v>57566</v>
      </c>
      <c r="K1994" s="33" t="s">
        <v>19824</v>
      </c>
      <c r="L1994" s="33" t="s">
        <v>32156</v>
      </c>
      <c r="M1994" s="33" t="s">
        <v>21</v>
      </c>
      <c r="N1994" s="33" t="s">
        <v>31039</v>
      </c>
      <c r="O1994" s="33" t="s">
        <v>372</v>
      </c>
      <c r="P1994" s="33" t="s">
        <v>30089</v>
      </c>
      <c r="Q1994" s="42" t="s">
        <v>31040</v>
      </c>
      <c r="R1994" s="33" t="s">
        <v>94</v>
      </c>
      <c r="S1994" s="33" t="s">
        <v>29</v>
      </c>
      <c r="T1994" s="33" t="s">
        <v>26575</v>
      </c>
      <c r="U1994" s="33" t="s">
        <v>26570</v>
      </c>
      <c r="W1994" s="33" t="s">
        <v>94</v>
      </c>
      <c r="X1994" s="33">
        <v>3513</v>
      </c>
      <c r="Z1994" s="33" t="s">
        <v>42967</v>
      </c>
      <c r="AA1994" s="33">
        <v>5672</v>
      </c>
    </row>
    <row r="1995" spans="1:27" ht="12" customHeight="1" x14ac:dyDescent="0.15">
      <c r="A1995" s="33" t="s">
        <v>31041</v>
      </c>
      <c r="B1995" s="33">
        <v>26</v>
      </c>
      <c r="C1995" s="33" t="s">
        <v>14</v>
      </c>
      <c r="D1995" s="33" t="s">
        <v>31</v>
      </c>
      <c r="E1995" s="42"/>
      <c r="F1995" s="67">
        <v>43173</v>
      </c>
      <c r="G1995" s="33" t="s">
        <v>31042</v>
      </c>
      <c r="H1995" s="33" t="s">
        <v>31043</v>
      </c>
      <c r="I1995" s="33" t="s">
        <v>106</v>
      </c>
      <c r="J1995" s="33">
        <v>97303</v>
      </c>
      <c r="K1995" s="33" t="s">
        <v>392</v>
      </c>
      <c r="L1995" s="33" t="s">
        <v>32155</v>
      </c>
      <c r="M1995" s="33" t="s">
        <v>21</v>
      </c>
      <c r="N1995" s="33" t="s">
        <v>31044</v>
      </c>
      <c r="O1995" s="33" t="s">
        <v>372</v>
      </c>
      <c r="P1995" s="33" t="s">
        <v>30089</v>
      </c>
      <c r="Q1995" s="42" t="s">
        <v>31045</v>
      </c>
      <c r="R1995" s="33" t="s">
        <v>94</v>
      </c>
      <c r="S1995" s="33" t="s">
        <v>351</v>
      </c>
      <c r="T1995" s="33" t="s">
        <v>26867</v>
      </c>
      <c r="U1995" s="33" t="s">
        <v>26570</v>
      </c>
      <c r="V1995" s="33" t="s">
        <v>26574</v>
      </c>
      <c r="W1995" s="33" t="s">
        <v>94</v>
      </c>
      <c r="X1995" s="33">
        <v>3500</v>
      </c>
      <c r="Z1995" s="33" t="s">
        <v>42968</v>
      </c>
      <c r="AA1995" s="33">
        <v>5673</v>
      </c>
    </row>
    <row r="1996" spans="1:27" ht="12" customHeight="1" x14ac:dyDescent="0.15">
      <c r="A1996" s="33" t="s">
        <v>31033</v>
      </c>
      <c r="B1996" s="33">
        <v>31</v>
      </c>
      <c r="C1996" s="33" t="s">
        <v>14</v>
      </c>
      <c r="D1996" s="33" t="s">
        <v>79</v>
      </c>
      <c r="E1996" s="42" t="s">
        <v>31034</v>
      </c>
      <c r="F1996" s="67">
        <v>43173</v>
      </c>
      <c r="G1996" s="33" t="s">
        <v>31035</v>
      </c>
      <c r="H1996" s="33" t="s">
        <v>172</v>
      </c>
      <c r="I1996" s="33" t="s">
        <v>19</v>
      </c>
      <c r="J1996" s="33">
        <v>70806</v>
      </c>
      <c r="K1996" s="33" t="s">
        <v>3435</v>
      </c>
      <c r="L1996" s="33" t="s">
        <v>173</v>
      </c>
      <c r="M1996" s="33" t="s">
        <v>21</v>
      </c>
      <c r="N1996" s="33" t="s">
        <v>31036</v>
      </c>
      <c r="O1996" s="33" t="s">
        <v>372</v>
      </c>
      <c r="P1996" s="33" t="s">
        <v>30089</v>
      </c>
      <c r="Q1996" s="42" t="s">
        <v>31037</v>
      </c>
      <c r="R1996" s="33" t="s">
        <v>512</v>
      </c>
      <c r="S1996" s="33" t="s">
        <v>29</v>
      </c>
      <c r="T1996" s="33" t="s">
        <v>26575</v>
      </c>
      <c r="U1996" s="33" t="s">
        <v>26572</v>
      </c>
      <c r="V1996" s="33" t="s">
        <v>26573</v>
      </c>
      <c r="W1996" s="33" t="s">
        <v>94</v>
      </c>
      <c r="X1996" s="33">
        <v>3511</v>
      </c>
      <c r="Z1996" s="33" t="s">
        <v>42968</v>
      </c>
      <c r="AA1996" s="33">
        <v>5671</v>
      </c>
    </row>
    <row r="1997" spans="1:27" ht="12" customHeight="1" x14ac:dyDescent="0.15">
      <c r="A1997" s="33" t="s">
        <v>31046</v>
      </c>
      <c r="B1997" s="33">
        <v>31</v>
      </c>
      <c r="C1997" s="33" t="s">
        <v>14</v>
      </c>
      <c r="D1997" s="33" t="s">
        <v>31</v>
      </c>
      <c r="E1997" s="42" t="s">
        <v>31047</v>
      </c>
      <c r="F1997" s="67">
        <v>43172</v>
      </c>
      <c r="G1997" s="33" t="s">
        <v>31048</v>
      </c>
      <c r="H1997" s="33" t="s">
        <v>31049</v>
      </c>
      <c r="I1997" s="33" t="s">
        <v>221</v>
      </c>
      <c r="J1997" s="33">
        <v>84070</v>
      </c>
      <c r="K1997" s="33" t="s">
        <v>564</v>
      </c>
      <c r="L1997" s="33" t="s">
        <v>32157</v>
      </c>
      <c r="M1997" s="33" t="s">
        <v>21</v>
      </c>
      <c r="N1997" s="33" t="s">
        <v>31050</v>
      </c>
      <c r="O1997" s="33" t="s">
        <v>372</v>
      </c>
      <c r="P1997" s="33" t="s">
        <v>30089</v>
      </c>
      <c r="Q1997" s="42" t="s">
        <v>31051</v>
      </c>
      <c r="R1997" s="33" t="s">
        <v>94</v>
      </c>
      <c r="S1997" s="33" t="s">
        <v>22</v>
      </c>
      <c r="T1997" s="33" t="s">
        <v>26781</v>
      </c>
      <c r="U1997" s="33" t="s">
        <v>26570</v>
      </c>
      <c r="V1997" s="33" t="s">
        <v>26573</v>
      </c>
      <c r="W1997" s="33" t="s">
        <v>94</v>
      </c>
      <c r="X1997" s="33">
        <v>3501</v>
      </c>
      <c r="Z1997" s="33" t="s">
        <v>42968</v>
      </c>
      <c r="AA1997" s="33">
        <v>5670</v>
      </c>
    </row>
    <row r="1998" spans="1:27" ht="12" customHeight="1" x14ac:dyDescent="0.15">
      <c r="A1998" s="33" t="s">
        <v>31057</v>
      </c>
      <c r="B1998" s="33">
        <v>27</v>
      </c>
      <c r="C1998" s="33" t="s">
        <v>14</v>
      </c>
      <c r="D1998" s="33" t="s">
        <v>79</v>
      </c>
      <c r="E1998" s="42" t="s">
        <v>31058</v>
      </c>
      <c r="F1998" s="67">
        <v>43171</v>
      </c>
      <c r="G1998" s="33" t="s">
        <v>31059</v>
      </c>
      <c r="H1998" s="33" t="s">
        <v>1088</v>
      </c>
      <c r="I1998" s="33" t="s">
        <v>39</v>
      </c>
      <c r="J1998" s="33">
        <v>93274</v>
      </c>
      <c r="K1998" s="33" t="s">
        <v>1088</v>
      </c>
      <c r="L1998" s="33" t="s">
        <v>16589</v>
      </c>
      <c r="M1998" s="33" t="s">
        <v>4966</v>
      </c>
      <c r="N1998" s="33" t="s">
        <v>31060</v>
      </c>
      <c r="O1998" s="33" t="s">
        <v>372</v>
      </c>
      <c r="P1998" s="33" t="s">
        <v>30089</v>
      </c>
      <c r="Q1998" s="42" t="s">
        <v>31061</v>
      </c>
      <c r="R1998" s="33" t="s">
        <v>512</v>
      </c>
      <c r="S1998" s="33" t="s">
        <v>22</v>
      </c>
      <c r="T1998" s="33" t="s">
        <v>26592</v>
      </c>
      <c r="U1998" s="33" t="s">
        <v>26572</v>
      </c>
      <c r="V1998" s="33" t="s">
        <v>26574</v>
      </c>
      <c r="W1998" s="33" t="s">
        <v>94</v>
      </c>
      <c r="X1998" s="33">
        <v>3503</v>
      </c>
      <c r="Z1998" s="33" t="s">
        <v>42968</v>
      </c>
      <c r="AA1998" s="33">
        <v>5664</v>
      </c>
    </row>
    <row r="1999" spans="1:27" ht="12" customHeight="1" x14ac:dyDescent="0.15">
      <c r="A1999" s="33" t="s">
        <v>31052</v>
      </c>
      <c r="B1999" s="33">
        <v>46</v>
      </c>
      <c r="C1999" s="33" t="s">
        <v>14</v>
      </c>
      <c r="D1999" s="33" t="s">
        <v>79</v>
      </c>
      <c r="E1999" s="42" t="s">
        <v>31053</v>
      </c>
      <c r="F1999" s="67">
        <v>43171</v>
      </c>
      <c r="G1999" s="33" t="s">
        <v>31054</v>
      </c>
      <c r="H1999" s="33" t="s">
        <v>31055</v>
      </c>
      <c r="I1999" s="33" t="s">
        <v>395</v>
      </c>
      <c r="J1999" s="33">
        <v>11023</v>
      </c>
      <c r="K1999" s="33" t="s">
        <v>5127</v>
      </c>
      <c r="L1999" s="33" t="s">
        <v>29339</v>
      </c>
      <c r="M1999" s="33" t="s">
        <v>4966</v>
      </c>
      <c r="N1999" s="33" t="s">
        <v>36485</v>
      </c>
      <c r="O1999" s="33" t="s">
        <v>372</v>
      </c>
      <c r="P1999" s="33" t="s">
        <v>30089</v>
      </c>
      <c r="Q1999" s="42" t="s">
        <v>31056</v>
      </c>
      <c r="R1999" s="33" t="s">
        <v>94</v>
      </c>
      <c r="S1999" s="33" t="s">
        <v>22</v>
      </c>
      <c r="T1999" s="33" t="s">
        <v>26580</v>
      </c>
      <c r="U1999" s="33" t="s">
        <v>26572</v>
      </c>
      <c r="V1999" s="33" t="s">
        <v>26573</v>
      </c>
      <c r="W1999" s="33" t="s">
        <v>94</v>
      </c>
      <c r="X1999" s="33">
        <v>3497</v>
      </c>
      <c r="Z1999" s="33" t="s">
        <v>42968</v>
      </c>
      <c r="AA1999" s="33">
        <v>5663</v>
      </c>
    </row>
    <row r="2000" spans="1:27" ht="12" customHeight="1" x14ac:dyDescent="0.15">
      <c r="A2000" s="33" t="s">
        <v>31072</v>
      </c>
      <c r="B2000" s="33">
        <v>31</v>
      </c>
      <c r="C2000" s="33" t="s">
        <v>14</v>
      </c>
      <c r="D2000" s="33" t="s">
        <v>31</v>
      </c>
      <c r="E2000" s="42" t="s">
        <v>31073</v>
      </c>
      <c r="F2000" s="67">
        <v>43171</v>
      </c>
      <c r="G2000" s="33" t="s">
        <v>31074</v>
      </c>
      <c r="H2000" s="33" t="s">
        <v>18214</v>
      </c>
      <c r="I2000" s="33" t="s">
        <v>192</v>
      </c>
      <c r="J2000" s="33">
        <v>80905</v>
      </c>
      <c r="K2000" s="33" t="s">
        <v>801</v>
      </c>
      <c r="L2000" s="33" t="s">
        <v>18216</v>
      </c>
      <c r="M2000" s="33" t="s">
        <v>21</v>
      </c>
      <c r="N2000" s="33" t="s">
        <v>31075</v>
      </c>
      <c r="O2000" s="33" t="s">
        <v>372</v>
      </c>
      <c r="P2000" s="33" t="s">
        <v>30089</v>
      </c>
      <c r="Q2000" s="42" t="s">
        <v>31076</v>
      </c>
      <c r="R2000" s="33" t="s">
        <v>94</v>
      </c>
      <c r="S2000" s="33" t="s">
        <v>22</v>
      </c>
      <c r="T2000" s="33" t="s">
        <v>26781</v>
      </c>
      <c r="U2000" s="33" t="s">
        <v>26572</v>
      </c>
      <c r="V2000" s="33" t="s">
        <v>26573</v>
      </c>
      <c r="X2000" s="33">
        <v>4251</v>
      </c>
      <c r="Z2000" s="33" t="s">
        <v>42966</v>
      </c>
      <c r="AA2000" s="33">
        <v>5667</v>
      </c>
    </row>
    <row r="2001" spans="1:27" ht="12" customHeight="1" x14ac:dyDescent="0.15">
      <c r="A2001" s="33" t="s">
        <v>31077</v>
      </c>
      <c r="B2001" s="33">
        <v>34</v>
      </c>
      <c r="C2001" s="33" t="s">
        <v>103</v>
      </c>
      <c r="D2001" s="33" t="s">
        <v>79</v>
      </c>
      <c r="E2001" s="42" t="s">
        <v>31078</v>
      </c>
      <c r="F2001" s="67">
        <v>43171</v>
      </c>
      <c r="G2001" s="33" t="s">
        <v>31079</v>
      </c>
      <c r="H2001" s="33" t="s">
        <v>31080</v>
      </c>
      <c r="I2001" s="33" t="s">
        <v>38</v>
      </c>
      <c r="J2001" s="33">
        <v>60120</v>
      </c>
      <c r="K2001" s="33" t="s">
        <v>7119</v>
      </c>
      <c r="L2001" s="33" t="s">
        <v>32159</v>
      </c>
      <c r="M2001" s="33" t="s">
        <v>21</v>
      </c>
      <c r="N2001" s="33" t="s">
        <v>31081</v>
      </c>
      <c r="O2001" s="33" t="s">
        <v>372</v>
      </c>
      <c r="P2001" s="33" t="s">
        <v>30089</v>
      </c>
      <c r="Q2001" s="42" t="s">
        <v>31082</v>
      </c>
      <c r="R2001" s="33" t="s">
        <v>23</v>
      </c>
      <c r="S2001" s="33" t="s">
        <v>22</v>
      </c>
      <c r="T2001" s="33" t="s">
        <v>26774</v>
      </c>
      <c r="U2001" s="33" t="s">
        <v>26570</v>
      </c>
      <c r="V2001" s="33" t="s">
        <v>26571</v>
      </c>
      <c r="W2001" s="33" t="s">
        <v>512</v>
      </c>
      <c r="X2001" s="33">
        <v>3487</v>
      </c>
      <c r="Z2001" s="33" t="s">
        <v>42968</v>
      </c>
      <c r="AA2001" s="33">
        <v>5668</v>
      </c>
    </row>
    <row r="2002" spans="1:27" ht="12" customHeight="1" x14ac:dyDescent="0.15">
      <c r="A2002" s="33" t="s">
        <v>31083</v>
      </c>
      <c r="B2002" s="33">
        <v>32</v>
      </c>
      <c r="C2002" s="33" t="s">
        <v>14</v>
      </c>
      <c r="D2002" s="33" t="s">
        <v>31</v>
      </c>
      <c r="E2002" s="42" t="s">
        <v>31084</v>
      </c>
      <c r="F2002" s="67">
        <v>43171</v>
      </c>
      <c r="G2002" s="33" t="s">
        <v>31085</v>
      </c>
      <c r="H2002" s="33" t="s">
        <v>31086</v>
      </c>
      <c r="I2002" s="33" t="s">
        <v>1605</v>
      </c>
      <c r="J2002" s="33">
        <v>58078</v>
      </c>
      <c r="K2002" s="33" t="s">
        <v>7590</v>
      </c>
      <c r="L2002" s="33" t="s">
        <v>32158</v>
      </c>
      <c r="M2002" s="33" t="s">
        <v>21</v>
      </c>
      <c r="N2002" s="33" t="s">
        <v>31087</v>
      </c>
      <c r="O2002" s="33" t="s">
        <v>372</v>
      </c>
      <c r="P2002" s="33" t="s">
        <v>30089</v>
      </c>
      <c r="Q2002" s="42" t="s">
        <v>31088</v>
      </c>
      <c r="R2002" s="33" t="s">
        <v>94</v>
      </c>
      <c r="S2002" s="33" t="s">
        <v>351</v>
      </c>
      <c r="T2002" s="33" t="s">
        <v>26867</v>
      </c>
      <c r="U2002" s="33" t="s">
        <v>26572</v>
      </c>
      <c r="V2002" s="33" t="s">
        <v>26571</v>
      </c>
      <c r="W2002" s="33" t="s">
        <v>94</v>
      </c>
      <c r="X2002" s="33">
        <v>3496</v>
      </c>
      <c r="Z2002" s="33" t="s">
        <v>42968</v>
      </c>
      <c r="AA2002" s="33">
        <v>5669</v>
      </c>
    </row>
    <row r="2003" spans="1:27" ht="12" customHeight="1" x14ac:dyDescent="0.15">
      <c r="A2003" s="33" t="s">
        <v>31062</v>
      </c>
      <c r="B2003" s="33">
        <v>16</v>
      </c>
      <c r="C2003" s="33" t="s">
        <v>14</v>
      </c>
      <c r="D2003" s="33" t="s">
        <v>31</v>
      </c>
      <c r="E2003" s="42" t="s">
        <v>31063</v>
      </c>
      <c r="F2003" s="67">
        <v>43171</v>
      </c>
      <c r="G2003" s="33" t="s">
        <v>31064</v>
      </c>
      <c r="H2003" s="33" t="s">
        <v>1807</v>
      </c>
      <c r="I2003" s="33" t="s">
        <v>51</v>
      </c>
      <c r="J2003" s="33">
        <v>48642</v>
      </c>
      <c r="K2003" s="33" t="s">
        <v>1807</v>
      </c>
      <c r="L2003" s="33" t="s">
        <v>1809</v>
      </c>
      <c r="M2003" s="33" t="s">
        <v>21</v>
      </c>
      <c r="N2003" s="33" t="s">
        <v>31065</v>
      </c>
      <c r="O2003" s="33" t="s">
        <v>372</v>
      </c>
      <c r="P2003" s="33" t="s">
        <v>30089</v>
      </c>
      <c r="Q2003" s="42" t="s">
        <v>31066</v>
      </c>
      <c r="R2003" s="33" t="s">
        <v>512</v>
      </c>
      <c r="S2003" s="33" t="s">
        <v>22</v>
      </c>
      <c r="T2003" s="33" t="s">
        <v>26781</v>
      </c>
      <c r="U2003" s="33" t="s">
        <v>26572</v>
      </c>
      <c r="V2003" s="33" t="s">
        <v>26574</v>
      </c>
      <c r="W2003" s="33" t="s">
        <v>94</v>
      </c>
      <c r="X2003" s="33">
        <v>3489</v>
      </c>
      <c r="Z2003" s="33" t="s">
        <v>42968</v>
      </c>
      <c r="AA2003" s="33">
        <v>5665</v>
      </c>
    </row>
    <row r="2004" spans="1:27" ht="12" customHeight="1" x14ac:dyDescent="0.15">
      <c r="A2004" s="33" t="s">
        <v>31067</v>
      </c>
      <c r="B2004" s="33">
        <v>61</v>
      </c>
      <c r="C2004" s="33" t="s">
        <v>14</v>
      </c>
      <c r="D2004" s="33" t="s">
        <v>31</v>
      </c>
      <c r="E2004" s="42" t="s">
        <v>31068</v>
      </c>
      <c r="F2004" s="67">
        <v>43171</v>
      </c>
      <c r="G2004" s="33" t="s">
        <v>31069</v>
      </c>
      <c r="H2004" s="33" t="s">
        <v>947</v>
      </c>
      <c r="I2004" s="33" t="s">
        <v>338</v>
      </c>
      <c r="J2004" s="33">
        <v>27295</v>
      </c>
      <c r="K2004" s="33" t="s">
        <v>823</v>
      </c>
      <c r="L2004" s="33" t="s">
        <v>5897</v>
      </c>
      <c r="M2004" s="33" t="s">
        <v>21</v>
      </c>
      <c r="N2004" s="33" t="s">
        <v>31070</v>
      </c>
      <c r="O2004" s="33" t="s">
        <v>372</v>
      </c>
      <c r="P2004" s="33" t="s">
        <v>30089</v>
      </c>
      <c r="Q2004" s="42" t="s">
        <v>31071</v>
      </c>
      <c r="R2004" s="33" t="s">
        <v>94</v>
      </c>
      <c r="S2004" s="33" t="s">
        <v>22</v>
      </c>
      <c r="T2004" s="33" t="s">
        <v>26781</v>
      </c>
      <c r="U2004" s="33" t="s">
        <v>26572</v>
      </c>
      <c r="V2004" s="33" t="s">
        <v>26573</v>
      </c>
      <c r="W2004" s="33" t="s">
        <v>94</v>
      </c>
      <c r="X2004" s="33">
        <v>3495</v>
      </c>
      <c r="Z2004" s="33" t="s">
        <v>42968</v>
      </c>
      <c r="AA2004" s="33">
        <v>5666</v>
      </c>
    </row>
    <row r="2005" spans="1:27" ht="12" customHeight="1" x14ac:dyDescent="0.15">
      <c r="A2005" s="33" t="s">
        <v>31103</v>
      </c>
      <c r="B2005" s="33">
        <v>48</v>
      </c>
      <c r="C2005" s="33" t="s">
        <v>14</v>
      </c>
      <c r="D2005" s="33" t="s">
        <v>31</v>
      </c>
      <c r="E2005" s="42" t="s">
        <v>31104</v>
      </c>
      <c r="F2005" s="67">
        <v>43170</v>
      </c>
      <c r="G2005" s="33" t="s">
        <v>31105</v>
      </c>
      <c r="H2005" s="33" t="s">
        <v>31106</v>
      </c>
      <c r="I2005" s="33" t="s">
        <v>178</v>
      </c>
      <c r="J2005" s="33">
        <v>88119</v>
      </c>
      <c r="K2005" s="33" t="s">
        <v>31107</v>
      </c>
      <c r="L2005" s="33" t="s">
        <v>2847</v>
      </c>
      <c r="M2005" s="33" t="s">
        <v>21</v>
      </c>
      <c r="N2005" s="33" t="s">
        <v>36487</v>
      </c>
      <c r="O2005" s="33" t="s">
        <v>372</v>
      </c>
      <c r="P2005" s="33" t="s">
        <v>30089</v>
      </c>
      <c r="Q2005" s="42" t="s">
        <v>31108</v>
      </c>
      <c r="R2005" s="33" t="s">
        <v>94</v>
      </c>
      <c r="S2005" s="33" t="s">
        <v>29</v>
      </c>
      <c r="T2005" s="33" t="s">
        <v>26575</v>
      </c>
      <c r="U2005" s="33" t="s">
        <v>26570</v>
      </c>
      <c r="V2005" s="33" t="s">
        <v>26573</v>
      </c>
      <c r="W2005" s="33" t="s">
        <v>94</v>
      </c>
      <c r="X2005" s="33">
        <v>3498</v>
      </c>
      <c r="Z2005" s="33" t="s">
        <v>42967</v>
      </c>
      <c r="AA2005" s="33">
        <v>5662</v>
      </c>
    </row>
    <row r="2006" spans="1:27" ht="12" customHeight="1" x14ac:dyDescent="0.15">
      <c r="A2006" s="33" t="s">
        <v>31094</v>
      </c>
      <c r="B2006" s="33">
        <v>32</v>
      </c>
      <c r="C2006" s="33" t="s">
        <v>14</v>
      </c>
      <c r="D2006" s="33" t="s">
        <v>24</v>
      </c>
      <c r="E2006" s="42"/>
      <c r="F2006" s="67">
        <v>43170</v>
      </c>
      <c r="G2006" s="33" t="s">
        <v>31095</v>
      </c>
      <c r="H2006" s="33" t="s">
        <v>557</v>
      </c>
      <c r="I2006" s="33" t="s">
        <v>39</v>
      </c>
      <c r="J2006" s="33">
        <v>94608</v>
      </c>
      <c r="K2006" s="33" t="s">
        <v>558</v>
      </c>
      <c r="L2006" s="33" t="s">
        <v>559</v>
      </c>
      <c r="M2006" s="33" t="s">
        <v>21</v>
      </c>
      <c r="N2006" s="33" t="s">
        <v>31096</v>
      </c>
      <c r="O2006" s="33" t="s">
        <v>372</v>
      </c>
      <c r="P2006" s="33" t="s">
        <v>30089</v>
      </c>
      <c r="Q2006" s="42" t="s">
        <v>31097</v>
      </c>
      <c r="R2006" s="33" t="s">
        <v>512</v>
      </c>
      <c r="S2006" s="33" t="s">
        <v>22</v>
      </c>
      <c r="T2006" s="33" t="s">
        <v>26781</v>
      </c>
      <c r="U2006" s="33" t="s">
        <v>26572</v>
      </c>
      <c r="V2006" s="33" t="s">
        <v>26573</v>
      </c>
      <c r="W2006" s="33" t="s">
        <v>94</v>
      </c>
      <c r="X2006" s="33">
        <v>3486</v>
      </c>
      <c r="Z2006" s="33" t="s">
        <v>42966</v>
      </c>
      <c r="AA2006" s="33">
        <v>5659</v>
      </c>
    </row>
    <row r="2007" spans="1:27" ht="12" customHeight="1" x14ac:dyDescent="0.15">
      <c r="A2007" s="33" t="s">
        <v>31098</v>
      </c>
      <c r="B2007" s="33">
        <v>47</v>
      </c>
      <c r="C2007" s="33" t="s">
        <v>14</v>
      </c>
      <c r="D2007" s="33" t="s">
        <v>31</v>
      </c>
      <c r="E2007" s="42" t="s">
        <v>31099</v>
      </c>
      <c r="F2007" s="67">
        <v>43170</v>
      </c>
      <c r="G2007" s="33" t="s">
        <v>31100</v>
      </c>
      <c r="H2007" s="33" t="s">
        <v>404</v>
      </c>
      <c r="I2007" s="33" t="s">
        <v>51</v>
      </c>
      <c r="J2007" s="33">
        <v>49203</v>
      </c>
      <c r="K2007" s="33" t="s">
        <v>404</v>
      </c>
      <c r="L2007" s="33" t="s">
        <v>32160</v>
      </c>
      <c r="M2007" s="33" t="s">
        <v>21</v>
      </c>
      <c r="N2007" s="33" t="s">
        <v>31101</v>
      </c>
      <c r="O2007" s="33" t="s">
        <v>372</v>
      </c>
      <c r="P2007" s="33" t="s">
        <v>30089</v>
      </c>
      <c r="Q2007" s="42" t="s">
        <v>31102</v>
      </c>
      <c r="R2007" s="33" t="s">
        <v>94</v>
      </c>
      <c r="S2007" s="33" t="s">
        <v>22</v>
      </c>
      <c r="T2007" s="33" t="s">
        <v>26781</v>
      </c>
      <c r="U2007" s="33" t="s">
        <v>26572</v>
      </c>
      <c r="V2007" s="33" t="s">
        <v>26574</v>
      </c>
      <c r="W2007" s="33" t="s">
        <v>94</v>
      </c>
      <c r="X2007" s="33">
        <v>3490</v>
      </c>
      <c r="Z2007" s="33" t="s">
        <v>42968</v>
      </c>
      <c r="AA2007" s="33">
        <v>5660</v>
      </c>
    </row>
    <row r="2008" spans="1:27" ht="12" customHeight="1" x14ac:dyDescent="0.15">
      <c r="A2008" s="33" t="s">
        <v>31089</v>
      </c>
      <c r="B2008" s="33">
        <v>57</v>
      </c>
      <c r="C2008" s="33" t="s">
        <v>14</v>
      </c>
      <c r="D2008" s="33" t="s">
        <v>42</v>
      </c>
      <c r="E2008" s="42" t="s">
        <v>31090</v>
      </c>
      <c r="F2008" s="67">
        <v>43170</v>
      </c>
      <c r="G2008" s="33" t="s">
        <v>31091</v>
      </c>
      <c r="H2008" s="33" t="s">
        <v>1807</v>
      </c>
      <c r="I2008" s="33" t="s">
        <v>67</v>
      </c>
      <c r="J2008" s="33">
        <v>79706</v>
      </c>
      <c r="K2008" s="33" t="s">
        <v>1807</v>
      </c>
      <c r="L2008" s="33" t="s">
        <v>36486</v>
      </c>
      <c r="M2008" s="33" t="s">
        <v>21</v>
      </c>
      <c r="N2008" s="33" t="s">
        <v>31092</v>
      </c>
      <c r="O2008" s="33" t="s">
        <v>372</v>
      </c>
      <c r="P2008" s="33" t="s">
        <v>30089</v>
      </c>
      <c r="Q2008" s="42" t="s">
        <v>31093</v>
      </c>
      <c r="R2008" s="33" t="s">
        <v>94</v>
      </c>
      <c r="S2008" s="33" t="s">
        <v>22</v>
      </c>
      <c r="T2008" s="33" t="s">
        <v>26781</v>
      </c>
      <c r="U2008" s="33" t="s">
        <v>26572</v>
      </c>
      <c r="V2008" s="33" t="s">
        <v>26573</v>
      </c>
      <c r="W2008" s="33" t="s">
        <v>94</v>
      </c>
      <c r="X2008" s="33">
        <v>3499</v>
      </c>
      <c r="Z2008" s="33" t="s">
        <v>42967</v>
      </c>
      <c r="AA2008" s="33">
        <v>5661</v>
      </c>
    </row>
    <row r="2009" spans="1:27" ht="12" customHeight="1" x14ac:dyDescent="0.15">
      <c r="A2009" s="33" t="s">
        <v>31113</v>
      </c>
      <c r="B2009" s="33">
        <v>20</v>
      </c>
      <c r="C2009" s="33" t="s">
        <v>14</v>
      </c>
      <c r="D2009" s="33" t="s">
        <v>79</v>
      </c>
      <c r="E2009" s="42"/>
      <c r="F2009" s="67">
        <v>43169</v>
      </c>
      <c r="G2009" s="33" t="s">
        <v>31114</v>
      </c>
      <c r="H2009" s="33" t="s">
        <v>12216</v>
      </c>
      <c r="I2009" s="33" t="s">
        <v>106</v>
      </c>
      <c r="J2009" s="33">
        <v>97123</v>
      </c>
      <c r="K2009" s="33" t="s">
        <v>107</v>
      </c>
      <c r="L2009" s="33" t="s">
        <v>12218</v>
      </c>
      <c r="M2009" s="33" t="s">
        <v>21</v>
      </c>
      <c r="N2009" s="33" t="s">
        <v>31115</v>
      </c>
      <c r="O2009" s="33" t="s">
        <v>372</v>
      </c>
      <c r="P2009" s="33" t="s">
        <v>30089</v>
      </c>
      <c r="Q2009" s="42" t="s">
        <v>31116</v>
      </c>
      <c r="R2009" s="33" t="s">
        <v>512</v>
      </c>
      <c r="S2009" s="33" t="s">
        <v>22</v>
      </c>
      <c r="T2009" s="33" t="s">
        <v>26781</v>
      </c>
      <c r="U2009" s="33" t="s">
        <v>26572</v>
      </c>
      <c r="V2009" s="33" t="s">
        <v>26573</v>
      </c>
      <c r="W2009" s="33" t="s">
        <v>94</v>
      </c>
      <c r="X2009" s="33">
        <v>3488</v>
      </c>
      <c r="Z2009" s="33" t="s">
        <v>42968</v>
      </c>
      <c r="AA2009" s="33">
        <v>5657</v>
      </c>
    </row>
    <row r="2010" spans="1:27" ht="12" customHeight="1" x14ac:dyDescent="0.15">
      <c r="A2010" s="33" t="s">
        <v>31109</v>
      </c>
      <c r="B2010" s="33">
        <v>45</v>
      </c>
      <c r="C2010" s="33" t="s">
        <v>14</v>
      </c>
      <c r="D2010" s="33" t="s">
        <v>42</v>
      </c>
      <c r="E2010" s="42"/>
      <c r="F2010" s="67">
        <v>43169</v>
      </c>
      <c r="G2010" s="33" t="s">
        <v>31110</v>
      </c>
      <c r="H2010" s="33" t="s">
        <v>387</v>
      </c>
      <c r="I2010" s="33" t="s">
        <v>39</v>
      </c>
      <c r="J2010" s="33">
        <v>92336</v>
      </c>
      <c r="K2010" s="33" t="s">
        <v>288</v>
      </c>
      <c r="L2010" s="33" t="s">
        <v>388</v>
      </c>
      <c r="M2010" s="33" t="s">
        <v>21</v>
      </c>
      <c r="N2010" s="33" t="s">
        <v>31111</v>
      </c>
      <c r="O2010" s="33" t="s">
        <v>372</v>
      </c>
      <c r="P2010" s="33" t="s">
        <v>30089</v>
      </c>
      <c r="Q2010" s="42" t="s">
        <v>31112</v>
      </c>
      <c r="R2010" s="33" t="s">
        <v>94</v>
      </c>
      <c r="S2010" s="33" t="s">
        <v>22</v>
      </c>
      <c r="T2010" s="33" t="s">
        <v>26781</v>
      </c>
      <c r="U2010" s="33" t="s">
        <v>26572</v>
      </c>
      <c r="V2010" s="33" t="s">
        <v>26573</v>
      </c>
      <c r="W2010" s="33" t="s">
        <v>94</v>
      </c>
      <c r="X2010" s="33">
        <v>3491</v>
      </c>
      <c r="Z2010" s="33" t="s">
        <v>42968</v>
      </c>
      <c r="AA2010" s="33">
        <v>5658</v>
      </c>
    </row>
    <row r="2011" spans="1:27" ht="12" customHeight="1" x14ac:dyDescent="0.15">
      <c r="A2011" s="33" t="s">
        <v>31121</v>
      </c>
      <c r="B2011" s="33">
        <v>33</v>
      </c>
      <c r="C2011" s="33" t="s">
        <v>103</v>
      </c>
      <c r="D2011" s="33" t="s">
        <v>31</v>
      </c>
      <c r="E2011" s="42"/>
      <c r="F2011" s="67">
        <v>43168</v>
      </c>
      <c r="G2011" s="33" t="s">
        <v>31122</v>
      </c>
      <c r="H2011" s="33" t="s">
        <v>27300</v>
      </c>
      <c r="I2011" s="33" t="s">
        <v>56</v>
      </c>
      <c r="J2011" s="33">
        <v>34689</v>
      </c>
      <c r="K2011" s="33" t="s">
        <v>2152</v>
      </c>
      <c r="L2011" s="33" t="s">
        <v>27301</v>
      </c>
      <c r="M2011" s="33" t="s">
        <v>21</v>
      </c>
      <c r="N2011" s="33" t="s">
        <v>31123</v>
      </c>
      <c r="O2011" s="33" t="s">
        <v>372</v>
      </c>
      <c r="P2011" s="33" t="s">
        <v>30089</v>
      </c>
      <c r="Q2011" s="42" t="s">
        <v>31124</v>
      </c>
      <c r="R2011" s="33" t="s">
        <v>23</v>
      </c>
      <c r="S2011" s="33" t="s">
        <v>22</v>
      </c>
      <c r="T2011" s="33" t="s">
        <v>26774</v>
      </c>
      <c r="U2011" s="33" t="s">
        <v>26570</v>
      </c>
      <c r="V2011" s="33" t="s">
        <v>26573</v>
      </c>
      <c r="W2011" s="33" t="s">
        <v>94</v>
      </c>
      <c r="X2011" s="33">
        <v>3485</v>
      </c>
      <c r="Z2011" s="33" t="s">
        <v>42968</v>
      </c>
      <c r="AA2011" s="33">
        <v>5655</v>
      </c>
    </row>
    <row r="2012" spans="1:27" ht="12" customHeight="1" x14ac:dyDescent="0.15">
      <c r="A2012" s="33" t="s">
        <v>31125</v>
      </c>
      <c r="B2012" s="33" t="s">
        <v>23</v>
      </c>
      <c r="C2012" s="33" t="s">
        <v>14</v>
      </c>
      <c r="D2012" s="33" t="s">
        <v>31</v>
      </c>
      <c r="E2012" s="42" t="s">
        <v>31126</v>
      </c>
      <c r="F2012" s="67">
        <v>43168</v>
      </c>
      <c r="G2012" s="33" t="s">
        <v>31127</v>
      </c>
      <c r="H2012" s="33" t="s">
        <v>31128</v>
      </c>
      <c r="I2012" s="33" t="s">
        <v>376</v>
      </c>
      <c r="J2012" s="33">
        <v>19464</v>
      </c>
      <c r="K2012" s="33" t="s">
        <v>995</v>
      </c>
      <c r="L2012" s="33" t="s">
        <v>32161</v>
      </c>
      <c r="M2012" s="33" t="s">
        <v>21</v>
      </c>
      <c r="N2012" s="33" t="s">
        <v>31129</v>
      </c>
      <c r="O2012" s="33" t="s">
        <v>372</v>
      </c>
      <c r="P2012" s="33" t="s">
        <v>30089</v>
      </c>
      <c r="Q2012" s="42" t="s">
        <v>31130</v>
      </c>
      <c r="R2012" s="33" t="s">
        <v>512</v>
      </c>
      <c r="S2012" s="33" t="s">
        <v>12</v>
      </c>
      <c r="T2012" s="33" t="s">
        <v>29425</v>
      </c>
      <c r="U2012" s="33" t="s">
        <v>26575</v>
      </c>
      <c r="V2012" s="33" t="s">
        <v>26573</v>
      </c>
      <c r="W2012" s="33" t="s">
        <v>94</v>
      </c>
      <c r="X2012" s="33">
        <v>3493</v>
      </c>
      <c r="Z2012" s="33" t="s">
        <v>42968</v>
      </c>
      <c r="AA2012" s="33">
        <v>5656</v>
      </c>
    </row>
    <row r="2013" spans="1:27" ht="12" customHeight="1" x14ac:dyDescent="0.15">
      <c r="A2013" s="33" t="s">
        <v>31117</v>
      </c>
      <c r="B2013" s="33">
        <v>27</v>
      </c>
      <c r="C2013" s="33" t="s">
        <v>14</v>
      </c>
      <c r="D2013" s="33" t="s">
        <v>42</v>
      </c>
      <c r="E2013" s="42"/>
      <c r="F2013" s="67">
        <v>43168</v>
      </c>
      <c r="G2013" s="33" t="s">
        <v>31118</v>
      </c>
      <c r="H2013" s="33" t="s">
        <v>584</v>
      </c>
      <c r="I2013" s="33" t="s">
        <v>112</v>
      </c>
      <c r="J2013" s="33">
        <v>85033</v>
      </c>
      <c r="K2013" s="33" t="s">
        <v>585</v>
      </c>
      <c r="L2013" s="33" t="s">
        <v>586</v>
      </c>
      <c r="M2013" s="33" t="s">
        <v>21</v>
      </c>
      <c r="N2013" s="33" t="s">
        <v>31119</v>
      </c>
      <c r="O2013" s="33" t="s">
        <v>372</v>
      </c>
      <c r="P2013" s="33" t="s">
        <v>30089</v>
      </c>
      <c r="Q2013" s="42" t="s">
        <v>31120</v>
      </c>
      <c r="R2013" s="33" t="s">
        <v>94</v>
      </c>
      <c r="S2013" s="33" t="s">
        <v>22</v>
      </c>
      <c r="T2013" s="33" t="s">
        <v>26781</v>
      </c>
      <c r="U2013" s="33" t="s">
        <v>26572</v>
      </c>
      <c r="V2013" s="33" t="s">
        <v>26574</v>
      </c>
      <c r="W2013" s="33" t="s">
        <v>94</v>
      </c>
      <c r="X2013" s="33">
        <v>3492</v>
      </c>
      <c r="Z2013" s="33" t="s">
        <v>42966</v>
      </c>
      <c r="AA2013" s="33">
        <v>5654</v>
      </c>
    </row>
    <row r="2014" spans="1:27" ht="12" customHeight="1" x14ac:dyDescent="0.15">
      <c r="A2014" s="33" t="s">
        <v>3002</v>
      </c>
      <c r="B2014" s="33" t="s">
        <v>23</v>
      </c>
      <c r="C2014" s="33" t="s">
        <v>14</v>
      </c>
      <c r="D2014" s="33" t="s">
        <v>30751</v>
      </c>
      <c r="E2014" s="42"/>
      <c r="F2014" s="67">
        <v>43167</v>
      </c>
      <c r="G2014" s="33" t="s">
        <v>31144</v>
      </c>
      <c r="H2014" s="33" t="s">
        <v>728</v>
      </c>
      <c r="I2014" s="33" t="s">
        <v>39</v>
      </c>
      <c r="J2014" s="33">
        <v>92509</v>
      </c>
      <c r="K2014" s="33" t="s">
        <v>728</v>
      </c>
      <c r="L2014" s="33" t="s">
        <v>729</v>
      </c>
      <c r="M2014" s="33" t="s">
        <v>21</v>
      </c>
      <c r="N2014" s="33" t="s">
        <v>31145</v>
      </c>
      <c r="O2014" s="33" t="s">
        <v>372</v>
      </c>
      <c r="P2014" s="33" t="s">
        <v>30089</v>
      </c>
      <c r="Q2014" s="42" t="s">
        <v>31146</v>
      </c>
      <c r="R2014" s="33" t="s">
        <v>94</v>
      </c>
      <c r="S2014" s="33" t="s">
        <v>29</v>
      </c>
      <c r="T2014" s="33" t="s">
        <v>26575</v>
      </c>
      <c r="U2014" s="33" t="s">
        <v>26575</v>
      </c>
      <c r="V2014" s="33" t="s">
        <v>26573</v>
      </c>
      <c r="W2014" s="33" t="s">
        <v>94</v>
      </c>
      <c r="X2014" s="33">
        <v>4254</v>
      </c>
      <c r="Z2014" s="33" t="s">
        <v>42968</v>
      </c>
      <c r="AA2014" s="33">
        <v>5653</v>
      </c>
    </row>
    <row r="2015" spans="1:27" ht="12" customHeight="1" x14ac:dyDescent="0.15">
      <c r="A2015" s="33" t="s">
        <v>31136</v>
      </c>
      <c r="B2015" s="33">
        <v>16</v>
      </c>
      <c r="C2015" s="33" t="s">
        <v>14</v>
      </c>
      <c r="D2015" s="33" t="s">
        <v>79</v>
      </c>
      <c r="E2015" s="42"/>
      <c r="F2015" s="67">
        <v>43167</v>
      </c>
      <c r="G2015" s="33" t="s">
        <v>31137</v>
      </c>
      <c r="H2015" s="33" t="s">
        <v>20686</v>
      </c>
      <c r="I2015" s="33" t="s">
        <v>225</v>
      </c>
      <c r="J2015" s="33">
        <v>22407</v>
      </c>
      <c r="K2015" s="33" t="s">
        <v>31138</v>
      </c>
      <c r="L2015" s="33" t="s">
        <v>32162</v>
      </c>
      <c r="M2015" s="33" t="s">
        <v>21</v>
      </c>
      <c r="N2015" s="33" t="s">
        <v>31139</v>
      </c>
      <c r="O2015" s="33" t="s">
        <v>372</v>
      </c>
      <c r="P2015" s="33" t="s">
        <v>30089</v>
      </c>
      <c r="Q2015" s="42" t="s">
        <v>31140</v>
      </c>
      <c r="R2015" s="33" t="s">
        <v>94</v>
      </c>
      <c r="S2015" s="33" t="s">
        <v>22</v>
      </c>
      <c r="T2015" s="33" t="s">
        <v>26781</v>
      </c>
      <c r="U2015" s="33" t="s">
        <v>26572</v>
      </c>
      <c r="V2015" s="33" t="s">
        <v>19228</v>
      </c>
      <c r="W2015" s="33" t="s">
        <v>94</v>
      </c>
      <c r="X2015" s="33">
        <v>3483</v>
      </c>
      <c r="Z2015" s="33" t="s">
        <v>42968</v>
      </c>
      <c r="AA2015" s="33">
        <v>5650</v>
      </c>
    </row>
    <row r="2016" spans="1:27" ht="12" customHeight="1" x14ac:dyDescent="0.15">
      <c r="A2016" s="33" t="s">
        <v>36977</v>
      </c>
      <c r="B2016" s="33">
        <v>38</v>
      </c>
      <c r="C2016" s="33" t="s">
        <v>14</v>
      </c>
      <c r="D2016" s="33" t="s">
        <v>30751</v>
      </c>
      <c r="E2016" s="42"/>
      <c r="F2016" s="67">
        <v>43167</v>
      </c>
      <c r="G2016" s="33" t="s">
        <v>31141</v>
      </c>
      <c r="H2016" s="33" t="s">
        <v>787</v>
      </c>
      <c r="I2016" s="33" t="s">
        <v>67</v>
      </c>
      <c r="J2016" s="33">
        <v>76017</v>
      </c>
      <c r="K2016" s="33" t="s">
        <v>68</v>
      </c>
      <c r="L2016" s="33" t="s">
        <v>788</v>
      </c>
      <c r="M2016" s="33" t="s">
        <v>21</v>
      </c>
      <c r="N2016" s="33" t="s">
        <v>31142</v>
      </c>
      <c r="O2016" s="33" t="s">
        <v>372</v>
      </c>
      <c r="P2016" s="33" t="s">
        <v>30089</v>
      </c>
      <c r="Q2016" s="42" t="s">
        <v>31143</v>
      </c>
      <c r="R2016" s="33" t="s">
        <v>94</v>
      </c>
      <c r="S2016" s="33" t="s">
        <v>22</v>
      </c>
      <c r="T2016" s="33" t="s">
        <v>26774</v>
      </c>
      <c r="U2016" s="33" t="s">
        <v>26572</v>
      </c>
      <c r="V2016" s="33" t="s">
        <v>26573</v>
      </c>
      <c r="X2016" s="33">
        <v>4253</v>
      </c>
      <c r="Z2016" s="33" t="s">
        <v>42968</v>
      </c>
      <c r="AA2016" s="33">
        <v>5652</v>
      </c>
    </row>
    <row r="2017" spans="1:27" ht="12" customHeight="1" x14ac:dyDescent="0.15">
      <c r="A2017" s="33" t="s">
        <v>31131</v>
      </c>
      <c r="B2017" s="33">
        <v>27</v>
      </c>
      <c r="C2017" s="33" t="s">
        <v>14</v>
      </c>
      <c r="D2017" s="33" t="s">
        <v>128</v>
      </c>
      <c r="E2017" s="42"/>
      <c r="F2017" s="67">
        <v>43167</v>
      </c>
      <c r="H2017" s="33" t="s">
        <v>31132</v>
      </c>
      <c r="I2017" s="33" t="s">
        <v>309</v>
      </c>
      <c r="J2017" s="33">
        <v>99650</v>
      </c>
      <c r="K2017" s="33" t="s">
        <v>31133</v>
      </c>
      <c r="L2017" s="33" t="s">
        <v>10186</v>
      </c>
      <c r="M2017" s="33" t="s">
        <v>21</v>
      </c>
      <c r="N2017" s="33" t="s">
        <v>31134</v>
      </c>
      <c r="O2017" s="33" t="s">
        <v>372</v>
      </c>
      <c r="P2017" s="33" t="s">
        <v>30089</v>
      </c>
      <c r="Q2017" s="42" t="s">
        <v>31135</v>
      </c>
      <c r="R2017" s="33" t="s">
        <v>94</v>
      </c>
      <c r="S2017" s="33" t="s">
        <v>22</v>
      </c>
      <c r="T2017" s="33" t="s">
        <v>26781</v>
      </c>
      <c r="U2017" s="33" t="s">
        <v>26572</v>
      </c>
      <c r="V2017" s="33" t="s">
        <v>26574</v>
      </c>
      <c r="W2017" s="33" t="s">
        <v>94</v>
      </c>
      <c r="X2017" s="33">
        <v>3494</v>
      </c>
      <c r="Z2017" s="33" t="s">
        <v>42967</v>
      </c>
      <c r="AA2017" s="33">
        <v>5651</v>
      </c>
    </row>
    <row r="2018" spans="1:27" ht="12" customHeight="1" x14ac:dyDescent="0.15">
      <c r="A2018" s="33" t="s">
        <v>36976</v>
      </c>
      <c r="B2018" s="33">
        <v>84</v>
      </c>
      <c r="C2018" s="33" t="s">
        <v>103</v>
      </c>
      <c r="D2018" s="33" t="s">
        <v>31</v>
      </c>
      <c r="E2018" s="33" t="s">
        <v>37003</v>
      </c>
      <c r="F2018" s="67">
        <v>43166</v>
      </c>
      <c r="G2018" s="10" t="s">
        <v>37015</v>
      </c>
      <c r="H2018" s="10" t="s">
        <v>532</v>
      </c>
      <c r="I2018" s="33" t="s">
        <v>67</v>
      </c>
      <c r="J2018" s="65">
        <v>78255</v>
      </c>
      <c r="K2018" s="10" t="s">
        <v>533</v>
      </c>
      <c r="L2018" s="10" t="s">
        <v>542</v>
      </c>
      <c r="M2018" s="33" t="s">
        <v>21</v>
      </c>
      <c r="N2018" s="10" t="s">
        <v>37036</v>
      </c>
      <c r="O2018" s="10" t="s">
        <v>372</v>
      </c>
      <c r="P2018" s="33" t="s">
        <v>30089</v>
      </c>
      <c r="Q2018" s="64" t="s">
        <v>37037</v>
      </c>
      <c r="R2018" s="10" t="s">
        <v>512</v>
      </c>
      <c r="S2018" s="33" t="s">
        <v>12</v>
      </c>
      <c r="T2018" s="36" t="s">
        <v>29705</v>
      </c>
      <c r="U2018" s="36" t="s">
        <v>26570</v>
      </c>
      <c r="V2018" s="36" t="s">
        <v>26573</v>
      </c>
      <c r="W2018" s="33" t="s">
        <v>94</v>
      </c>
      <c r="X2018" s="33">
        <v>4252</v>
      </c>
      <c r="Z2018" s="33" t="s">
        <v>42968</v>
      </c>
      <c r="AA2018" s="33">
        <v>5649</v>
      </c>
    </row>
    <row r="2019" spans="1:27" ht="12" customHeight="1" x14ac:dyDescent="0.15">
      <c r="A2019" s="33" t="s">
        <v>31147</v>
      </c>
      <c r="B2019" s="33">
        <v>53</v>
      </c>
      <c r="C2019" s="33" t="s">
        <v>14</v>
      </c>
      <c r="D2019" s="33" t="s">
        <v>31</v>
      </c>
      <c r="E2019" s="42" t="s">
        <v>31148</v>
      </c>
      <c r="F2019" s="67">
        <v>43166</v>
      </c>
      <c r="G2019" s="33" t="s">
        <v>31149</v>
      </c>
      <c r="H2019" s="33" t="s">
        <v>451</v>
      </c>
      <c r="I2019" s="33" t="s">
        <v>39</v>
      </c>
      <c r="J2019" s="33">
        <v>90802</v>
      </c>
      <c r="K2019" s="33" t="s">
        <v>92</v>
      </c>
      <c r="L2019" s="33" t="s">
        <v>452</v>
      </c>
      <c r="M2019" s="33" t="s">
        <v>21</v>
      </c>
      <c r="N2019" s="33" t="s">
        <v>31150</v>
      </c>
      <c r="O2019" s="33" t="s">
        <v>372</v>
      </c>
      <c r="P2019" s="33" t="s">
        <v>30089</v>
      </c>
      <c r="Q2019" s="42" t="s">
        <v>31151</v>
      </c>
      <c r="R2019" s="33" t="s">
        <v>94</v>
      </c>
      <c r="S2019" s="33" t="s">
        <v>22</v>
      </c>
      <c r="T2019" s="33" t="s">
        <v>26781</v>
      </c>
      <c r="U2019" s="33" t="s">
        <v>26572</v>
      </c>
      <c r="V2019" s="33" t="s">
        <v>26573</v>
      </c>
      <c r="W2019" s="33" t="s">
        <v>94</v>
      </c>
      <c r="X2019" s="33">
        <v>3479</v>
      </c>
      <c r="Z2019" s="33" t="s">
        <v>42966</v>
      </c>
      <c r="AA2019" s="33">
        <v>5647</v>
      </c>
    </row>
    <row r="2020" spans="1:27" ht="12" customHeight="1" x14ac:dyDescent="0.15">
      <c r="A2020" s="33" t="s">
        <v>31152</v>
      </c>
      <c r="B2020" s="33">
        <v>46</v>
      </c>
      <c r="C2020" s="33" t="s">
        <v>14</v>
      </c>
      <c r="D2020" s="33" t="s">
        <v>42</v>
      </c>
      <c r="E2020" s="42" t="s">
        <v>31153</v>
      </c>
      <c r="F2020" s="67">
        <v>43166</v>
      </c>
      <c r="G2020" s="33" t="s">
        <v>31154</v>
      </c>
      <c r="H2020" s="33" t="s">
        <v>1227</v>
      </c>
      <c r="I2020" s="33" t="s">
        <v>67</v>
      </c>
      <c r="J2020" s="33">
        <v>78721</v>
      </c>
      <c r="K2020" s="33" t="s">
        <v>1228</v>
      </c>
      <c r="L2020" s="33" t="s">
        <v>1229</v>
      </c>
      <c r="M2020" s="33" t="s">
        <v>4966</v>
      </c>
      <c r="N2020" s="33" t="s">
        <v>31155</v>
      </c>
      <c r="O2020" s="33" t="s">
        <v>372</v>
      </c>
      <c r="P2020" s="33" t="s">
        <v>30089</v>
      </c>
      <c r="Q2020" s="42" t="s">
        <v>31156</v>
      </c>
      <c r="R2020" s="33" t="s">
        <v>512</v>
      </c>
      <c r="S2020" s="33" t="s">
        <v>22</v>
      </c>
      <c r="T2020" s="33" t="s">
        <v>26607</v>
      </c>
      <c r="U2020" s="33" t="s">
        <v>26570</v>
      </c>
      <c r="V2020" s="33" t="s">
        <v>26573</v>
      </c>
      <c r="W2020" s="33" t="s">
        <v>94</v>
      </c>
      <c r="X2020" s="33">
        <v>3482</v>
      </c>
      <c r="Z2020" s="33" t="s">
        <v>42968</v>
      </c>
      <c r="AA2020" s="33">
        <v>5648</v>
      </c>
    </row>
    <row r="2021" spans="1:27" ht="12" customHeight="1" x14ac:dyDescent="0.15">
      <c r="A2021" s="33" t="s">
        <v>31157</v>
      </c>
      <c r="B2021" s="33">
        <v>37</v>
      </c>
      <c r="C2021" s="33" t="s">
        <v>14</v>
      </c>
      <c r="D2021" s="33" t="s">
        <v>79</v>
      </c>
      <c r="E2021" s="42" t="s">
        <v>31158</v>
      </c>
      <c r="F2021" s="67">
        <v>43165</v>
      </c>
      <c r="G2021" s="33" t="s">
        <v>31159</v>
      </c>
      <c r="H2021" s="33" t="s">
        <v>5836</v>
      </c>
      <c r="I2021" s="33" t="s">
        <v>402</v>
      </c>
      <c r="J2021" s="33">
        <v>64735</v>
      </c>
      <c r="K2021" s="33" t="s">
        <v>7624</v>
      </c>
      <c r="L2021" s="33" t="s">
        <v>19924</v>
      </c>
      <c r="M2021" s="33" t="s">
        <v>21</v>
      </c>
      <c r="N2021" s="33" t="s">
        <v>31160</v>
      </c>
      <c r="O2021" s="33" t="s">
        <v>372</v>
      </c>
      <c r="P2021" s="33" t="s">
        <v>30089</v>
      </c>
      <c r="Q2021" s="42" t="s">
        <v>31161</v>
      </c>
      <c r="R2021" s="33" t="s">
        <v>512</v>
      </c>
      <c r="S2021" s="33" t="s">
        <v>22</v>
      </c>
      <c r="T2021" s="33" t="s">
        <v>26781</v>
      </c>
      <c r="U2021" s="33" t="s">
        <v>26572</v>
      </c>
      <c r="V2021" s="33" t="s">
        <v>26573</v>
      </c>
      <c r="W2021" s="33" t="s">
        <v>94</v>
      </c>
      <c r="X2021" s="33">
        <v>3481</v>
      </c>
      <c r="Z2021" s="33" t="s">
        <v>42967</v>
      </c>
      <c r="AA2021" s="33">
        <v>5644</v>
      </c>
    </row>
    <row r="2022" spans="1:27" ht="12" customHeight="1" x14ac:dyDescent="0.15">
      <c r="A2022" s="33" t="s">
        <v>31184</v>
      </c>
      <c r="B2022" s="33">
        <v>40</v>
      </c>
      <c r="C2022" s="33" t="s">
        <v>14</v>
      </c>
      <c r="D2022" s="33" t="s">
        <v>31</v>
      </c>
      <c r="E2022" s="42" t="s">
        <v>31185</v>
      </c>
      <c r="F2022" s="67">
        <v>43165</v>
      </c>
      <c r="G2022" s="33" t="s">
        <v>31186</v>
      </c>
      <c r="H2022" s="33" t="s">
        <v>31187</v>
      </c>
      <c r="I2022" s="33" t="s">
        <v>198</v>
      </c>
      <c r="J2022" s="33">
        <v>46962</v>
      </c>
      <c r="K2022" s="33" t="s">
        <v>31188</v>
      </c>
      <c r="L2022" s="33" t="s">
        <v>32163</v>
      </c>
      <c r="M2022" s="33" t="s">
        <v>21</v>
      </c>
      <c r="N2022" s="33" t="s">
        <v>31189</v>
      </c>
      <c r="O2022" s="33" t="s">
        <v>372</v>
      </c>
      <c r="P2022" s="33" t="s">
        <v>30089</v>
      </c>
      <c r="Q2022" s="42" t="s">
        <v>31190</v>
      </c>
      <c r="R2022" s="33" t="s">
        <v>94</v>
      </c>
      <c r="S2022" s="33" t="s">
        <v>29</v>
      </c>
      <c r="T2022" s="33" t="s">
        <v>26575</v>
      </c>
      <c r="U2022" s="33" t="s">
        <v>26570</v>
      </c>
      <c r="V2022" s="33" t="s">
        <v>26573</v>
      </c>
      <c r="W2022" s="33" t="s">
        <v>512</v>
      </c>
      <c r="X2022" s="33">
        <v>3475</v>
      </c>
      <c r="Z2022" s="33" t="s">
        <v>42967</v>
      </c>
      <c r="AA2022" s="33">
        <v>5646</v>
      </c>
    </row>
    <row r="2023" spans="1:27" ht="12" customHeight="1" x14ac:dyDescent="0.15">
      <c r="A2023" s="33" t="s">
        <v>31174</v>
      </c>
      <c r="B2023" s="33">
        <v>70</v>
      </c>
      <c r="C2023" s="33" t="s">
        <v>14</v>
      </c>
      <c r="D2023" s="33" t="s">
        <v>31</v>
      </c>
      <c r="E2023" s="42" t="s">
        <v>31175</v>
      </c>
      <c r="F2023" s="67">
        <v>43165</v>
      </c>
      <c r="G2023" s="33" t="s">
        <v>31176</v>
      </c>
      <c r="H2023" s="33" t="s">
        <v>270</v>
      </c>
      <c r="I2023" s="33" t="s">
        <v>67</v>
      </c>
      <c r="J2023" s="33">
        <v>75973</v>
      </c>
      <c r="K2023" s="33" t="s">
        <v>1117</v>
      </c>
      <c r="L2023" s="33" t="s">
        <v>22474</v>
      </c>
      <c r="M2023" s="33" t="s">
        <v>21</v>
      </c>
      <c r="N2023" s="33" t="s">
        <v>31177</v>
      </c>
      <c r="O2023" s="33" t="s">
        <v>372</v>
      </c>
      <c r="P2023" s="33" t="s">
        <v>30089</v>
      </c>
      <c r="Q2023" s="42" t="s">
        <v>31178</v>
      </c>
      <c r="R2023" s="33" t="s">
        <v>94</v>
      </c>
      <c r="S2023" s="33" t="s">
        <v>22</v>
      </c>
      <c r="T2023" s="33" t="s">
        <v>26781</v>
      </c>
      <c r="U2023" s="33" t="s">
        <v>26570</v>
      </c>
      <c r="V2023" s="33" t="s">
        <v>26573</v>
      </c>
      <c r="W2023" s="33" t="s">
        <v>94</v>
      </c>
      <c r="X2023" s="33">
        <v>3480</v>
      </c>
      <c r="Z2023" s="33" t="s">
        <v>42967</v>
      </c>
      <c r="AA2023" s="33">
        <v>5643</v>
      </c>
    </row>
    <row r="2024" spans="1:27" ht="12" customHeight="1" x14ac:dyDescent="0.15">
      <c r="A2024" s="33" t="s">
        <v>31179</v>
      </c>
      <c r="B2024" s="33">
        <v>25</v>
      </c>
      <c r="C2024" s="33" t="s">
        <v>14</v>
      </c>
      <c r="D2024" s="33" t="s">
        <v>128</v>
      </c>
      <c r="E2024" s="42" t="s">
        <v>31180</v>
      </c>
      <c r="F2024" s="67">
        <v>43165</v>
      </c>
      <c r="G2024" s="33" t="s">
        <v>31181</v>
      </c>
      <c r="H2024" s="33" t="s">
        <v>11426</v>
      </c>
      <c r="I2024" s="33" t="s">
        <v>178</v>
      </c>
      <c r="J2024" s="33">
        <v>87401</v>
      </c>
      <c r="K2024" s="33" t="s">
        <v>5263</v>
      </c>
      <c r="L2024" s="33" t="s">
        <v>11428</v>
      </c>
      <c r="M2024" s="33" t="s">
        <v>21</v>
      </c>
      <c r="N2024" s="33" t="s">
        <v>31182</v>
      </c>
      <c r="O2024" s="33" t="s">
        <v>372</v>
      </c>
      <c r="P2024" s="33" t="s">
        <v>30089</v>
      </c>
      <c r="Q2024" s="42" t="s">
        <v>31183</v>
      </c>
      <c r="R2024" s="33" t="s">
        <v>94</v>
      </c>
      <c r="S2024" s="33" t="s">
        <v>22</v>
      </c>
      <c r="T2024" s="33" t="s">
        <v>26774</v>
      </c>
      <c r="U2024" s="33" t="s">
        <v>26570</v>
      </c>
      <c r="V2024" s="33" t="s">
        <v>26573</v>
      </c>
      <c r="W2024" s="33" t="s">
        <v>94</v>
      </c>
      <c r="X2024" s="33">
        <v>3474</v>
      </c>
      <c r="Z2024" s="33" t="s">
        <v>42966</v>
      </c>
      <c r="AA2024" s="33">
        <v>5645</v>
      </c>
    </row>
    <row r="2025" spans="1:27" ht="12" customHeight="1" x14ac:dyDescent="0.15">
      <c r="A2025" s="33" t="s">
        <v>31169</v>
      </c>
      <c r="B2025" s="33">
        <v>36</v>
      </c>
      <c r="C2025" s="33" t="s">
        <v>14</v>
      </c>
      <c r="D2025" s="33" t="s">
        <v>31</v>
      </c>
      <c r="E2025" s="42" t="s">
        <v>31170</v>
      </c>
      <c r="F2025" s="67">
        <v>43165</v>
      </c>
      <c r="G2025" s="33" t="s">
        <v>31171</v>
      </c>
      <c r="H2025" s="33" t="s">
        <v>3721</v>
      </c>
      <c r="I2025" s="33" t="s">
        <v>198</v>
      </c>
      <c r="J2025" s="33">
        <v>47807</v>
      </c>
      <c r="K2025" s="33" t="s">
        <v>3722</v>
      </c>
      <c r="L2025" s="33" t="s">
        <v>18119</v>
      </c>
      <c r="M2025" s="33" t="s">
        <v>21</v>
      </c>
      <c r="N2025" s="33" t="s">
        <v>31172</v>
      </c>
      <c r="O2025" s="33" t="s">
        <v>372</v>
      </c>
      <c r="P2025" s="33" t="s">
        <v>30089</v>
      </c>
      <c r="Q2025" s="42" t="s">
        <v>31173</v>
      </c>
      <c r="R2025" s="33" t="s">
        <v>512</v>
      </c>
      <c r="S2025" s="33" t="s">
        <v>22</v>
      </c>
      <c r="T2025" s="33" t="s">
        <v>26781</v>
      </c>
      <c r="U2025" s="33" t="s">
        <v>26572</v>
      </c>
      <c r="V2025" s="33" t="s">
        <v>26573</v>
      </c>
      <c r="W2025" s="33" t="s">
        <v>94</v>
      </c>
      <c r="X2025" s="33">
        <v>3476</v>
      </c>
      <c r="Z2025" s="33" t="s">
        <v>42966</v>
      </c>
      <c r="AA2025" s="33">
        <v>5640</v>
      </c>
    </row>
    <row r="2026" spans="1:27" ht="12" customHeight="1" x14ac:dyDescent="0.15">
      <c r="A2026" s="33" t="s">
        <v>31165</v>
      </c>
      <c r="B2026" s="33">
        <v>55</v>
      </c>
      <c r="C2026" s="33" t="s">
        <v>14</v>
      </c>
      <c r="D2026" s="33" t="s">
        <v>31</v>
      </c>
      <c r="E2026" s="42"/>
      <c r="F2026" s="67">
        <v>43165</v>
      </c>
      <c r="G2026" s="33" t="s">
        <v>31166</v>
      </c>
      <c r="H2026" s="33" t="s">
        <v>4307</v>
      </c>
      <c r="I2026" s="33" t="s">
        <v>192</v>
      </c>
      <c r="J2026" s="33">
        <v>81001</v>
      </c>
      <c r="K2026" s="33" t="s">
        <v>4307</v>
      </c>
      <c r="L2026" s="33" t="s">
        <v>4309</v>
      </c>
      <c r="M2026" s="33" t="s">
        <v>21</v>
      </c>
      <c r="N2026" s="33" t="s">
        <v>31167</v>
      </c>
      <c r="O2026" s="33" t="s">
        <v>372</v>
      </c>
      <c r="P2026" s="33" t="s">
        <v>30089</v>
      </c>
      <c r="Q2026" s="42" t="s">
        <v>31168</v>
      </c>
      <c r="R2026" s="33" t="s">
        <v>94</v>
      </c>
      <c r="S2026" s="33" t="s">
        <v>22</v>
      </c>
      <c r="T2026" s="33" t="s">
        <v>26781</v>
      </c>
      <c r="U2026" s="33" t="s">
        <v>26572</v>
      </c>
      <c r="V2026" s="33" t="s">
        <v>26574</v>
      </c>
      <c r="W2026" s="33" t="s">
        <v>94</v>
      </c>
      <c r="X2026" s="33">
        <v>3477</v>
      </c>
      <c r="Z2026" s="33" t="s">
        <v>42968</v>
      </c>
      <c r="AA2026" s="33">
        <v>5641</v>
      </c>
    </row>
    <row r="2027" spans="1:27" ht="12" customHeight="1" x14ac:dyDescent="0.15">
      <c r="A2027" s="33" t="s">
        <v>31162</v>
      </c>
      <c r="B2027" s="33">
        <v>19</v>
      </c>
      <c r="C2027" s="33" t="s">
        <v>14</v>
      </c>
      <c r="D2027" s="33" t="s">
        <v>42</v>
      </c>
      <c r="E2027" s="42"/>
      <c r="F2027" s="67">
        <v>43165</v>
      </c>
      <c r="G2027" s="33" t="s">
        <v>31163</v>
      </c>
      <c r="H2027" s="33" t="s">
        <v>886</v>
      </c>
      <c r="I2027" s="33" t="s">
        <v>39</v>
      </c>
      <c r="J2027" s="33">
        <v>94110</v>
      </c>
      <c r="K2027" s="33" t="s">
        <v>886</v>
      </c>
      <c r="L2027" s="33" t="s">
        <v>887</v>
      </c>
      <c r="M2027" s="33" t="s">
        <v>21</v>
      </c>
      <c r="N2027" s="33" t="s">
        <v>36488</v>
      </c>
      <c r="O2027" s="33" t="s">
        <v>372</v>
      </c>
      <c r="P2027" s="33" t="s">
        <v>30089</v>
      </c>
      <c r="Q2027" s="42" t="s">
        <v>31164</v>
      </c>
      <c r="R2027" s="33" t="s">
        <v>94</v>
      </c>
      <c r="S2027" s="33" t="s">
        <v>22</v>
      </c>
      <c r="T2027" s="33" t="s">
        <v>26781</v>
      </c>
      <c r="U2027" s="33" t="s">
        <v>26572</v>
      </c>
      <c r="V2027" s="33" t="s">
        <v>26573</v>
      </c>
      <c r="W2027" s="33" t="s">
        <v>94</v>
      </c>
      <c r="X2027" s="33">
        <v>3478</v>
      </c>
      <c r="Z2027" s="33" t="s">
        <v>42966</v>
      </c>
      <c r="AA2027" s="33">
        <v>5642</v>
      </c>
    </row>
    <row r="2028" spans="1:27" ht="12" customHeight="1" x14ac:dyDescent="0.15">
      <c r="A2028" s="33" t="s">
        <v>31194</v>
      </c>
      <c r="B2028" s="33">
        <v>19</v>
      </c>
      <c r="C2028" s="33" t="s">
        <v>14</v>
      </c>
      <c r="D2028" s="33" t="s">
        <v>79</v>
      </c>
      <c r="E2028" s="42"/>
      <c r="F2028" s="67">
        <v>43164</v>
      </c>
      <c r="G2028" s="33" t="s">
        <v>31195</v>
      </c>
      <c r="H2028" s="33" t="s">
        <v>1599</v>
      </c>
      <c r="I2028" s="33" t="s">
        <v>395</v>
      </c>
      <c r="J2028" s="33">
        <v>11236</v>
      </c>
      <c r="K2028" s="33" t="s">
        <v>1601</v>
      </c>
      <c r="L2028" s="33" t="s">
        <v>539</v>
      </c>
      <c r="M2028" s="33" t="s">
        <v>21</v>
      </c>
      <c r="N2028" s="33" t="s">
        <v>31196</v>
      </c>
      <c r="O2028" s="33" t="s">
        <v>372</v>
      </c>
      <c r="P2028" s="33" t="s">
        <v>30089</v>
      </c>
      <c r="Q2028" s="42" t="s">
        <v>31197</v>
      </c>
      <c r="R2028" s="33" t="s">
        <v>94</v>
      </c>
      <c r="S2028" s="33" t="s">
        <v>22</v>
      </c>
      <c r="T2028" s="33" t="s">
        <v>26781</v>
      </c>
      <c r="U2028" s="33" t="s">
        <v>26572</v>
      </c>
      <c r="V2028" s="33" t="s">
        <v>26573</v>
      </c>
      <c r="Y2028" s="33" t="s">
        <v>42476</v>
      </c>
      <c r="Z2028" s="33" t="s">
        <v>42966</v>
      </c>
      <c r="AA2028" s="33">
        <v>5637</v>
      </c>
    </row>
    <row r="2029" spans="1:27" ht="12" customHeight="1" x14ac:dyDescent="0.15">
      <c r="A2029" s="33" t="s">
        <v>31203</v>
      </c>
      <c r="B2029" s="33">
        <v>65</v>
      </c>
      <c r="C2029" s="33" t="s">
        <v>14</v>
      </c>
      <c r="D2029" s="33" t="s">
        <v>31</v>
      </c>
      <c r="E2029" s="42" t="s">
        <v>31204</v>
      </c>
      <c r="F2029" s="67">
        <v>43164</v>
      </c>
      <c r="G2029" s="33" t="s">
        <v>31205</v>
      </c>
      <c r="H2029" s="33" t="s">
        <v>29809</v>
      </c>
      <c r="I2029" s="33" t="s">
        <v>88</v>
      </c>
      <c r="J2029" s="33">
        <v>36532</v>
      </c>
      <c r="K2029" s="33" t="s">
        <v>3400</v>
      </c>
      <c r="L2029" s="33" t="s">
        <v>3401</v>
      </c>
      <c r="M2029" s="33" t="s">
        <v>21</v>
      </c>
      <c r="N2029" s="33" t="s">
        <v>31206</v>
      </c>
      <c r="O2029" s="33" t="s">
        <v>372</v>
      </c>
      <c r="P2029" s="33" t="s">
        <v>30089</v>
      </c>
      <c r="Q2029" s="42" t="s">
        <v>31207</v>
      </c>
      <c r="R2029" s="33" t="s">
        <v>94</v>
      </c>
      <c r="S2029" s="33" t="s">
        <v>22</v>
      </c>
      <c r="T2029" s="33" t="s">
        <v>26781</v>
      </c>
      <c r="U2029" s="33" t="s">
        <v>26572</v>
      </c>
      <c r="V2029" s="33" t="s">
        <v>26573</v>
      </c>
      <c r="W2029" s="33" t="s">
        <v>94</v>
      </c>
      <c r="X2029" s="33">
        <v>3464</v>
      </c>
      <c r="Z2029" s="33" t="s">
        <v>42966</v>
      </c>
      <c r="AA2029" s="33">
        <v>5634</v>
      </c>
    </row>
    <row r="2030" spans="1:27" ht="12" customHeight="1" x14ac:dyDescent="0.15">
      <c r="A2030" s="33" t="s">
        <v>3002</v>
      </c>
      <c r="B2030" s="33" t="s">
        <v>23</v>
      </c>
      <c r="C2030" s="33" t="s">
        <v>14</v>
      </c>
      <c r="D2030" s="33" t="s">
        <v>79</v>
      </c>
      <c r="E2030" s="42"/>
      <c r="F2030" s="67">
        <v>43164</v>
      </c>
      <c r="G2030" s="33" t="s">
        <v>31191</v>
      </c>
      <c r="H2030" s="33" t="s">
        <v>401</v>
      </c>
      <c r="I2030" s="33" t="s">
        <v>402</v>
      </c>
      <c r="J2030" s="33">
        <v>64129</v>
      </c>
      <c r="K2030" s="33" t="s">
        <v>404</v>
      </c>
      <c r="L2030" s="33" t="s">
        <v>405</v>
      </c>
      <c r="M2030" s="33" t="s">
        <v>21</v>
      </c>
      <c r="N2030" s="33" t="s">
        <v>31192</v>
      </c>
      <c r="O2030" s="33" t="s">
        <v>372</v>
      </c>
      <c r="P2030" s="33" t="s">
        <v>30089</v>
      </c>
      <c r="Q2030" s="42" t="s">
        <v>31193</v>
      </c>
      <c r="R2030" s="33" t="s">
        <v>94</v>
      </c>
      <c r="S2030" s="33" t="s">
        <v>22</v>
      </c>
      <c r="T2030" s="33" t="s">
        <v>26781</v>
      </c>
      <c r="U2030" s="33" t="s">
        <v>26572</v>
      </c>
      <c r="W2030" s="33" t="s">
        <v>94</v>
      </c>
      <c r="X2030" s="33">
        <v>3469</v>
      </c>
      <c r="Z2030" s="33" t="s">
        <v>42966</v>
      </c>
      <c r="AA2030" s="33">
        <v>5635</v>
      </c>
    </row>
    <row r="2031" spans="1:27" ht="12" customHeight="1" x14ac:dyDescent="0.15">
      <c r="A2031" s="33" t="s">
        <v>31208</v>
      </c>
      <c r="B2031" s="33">
        <v>28</v>
      </c>
      <c r="C2031" s="33" t="s">
        <v>14</v>
      </c>
      <c r="D2031" s="33" t="s">
        <v>31</v>
      </c>
      <c r="E2031" s="42" t="s">
        <v>31209</v>
      </c>
      <c r="F2031" s="67">
        <v>43164</v>
      </c>
      <c r="G2031" s="33" t="s">
        <v>31210</v>
      </c>
      <c r="H2031" s="33" t="s">
        <v>734</v>
      </c>
      <c r="I2031" s="33" t="s">
        <v>735</v>
      </c>
      <c r="J2031" s="33">
        <v>83864</v>
      </c>
      <c r="K2031" s="33" t="s">
        <v>736</v>
      </c>
      <c r="L2031" s="33" t="s">
        <v>32164</v>
      </c>
      <c r="M2031" s="33" t="s">
        <v>21</v>
      </c>
      <c r="N2031" s="33" t="s">
        <v>31211</v>
      </c>
      <c r="O2031" s="33" t="s">
        <v>372</v>
      </c>
      <c r="P2031" s="33" t="s">
        <v>30089</v>
      </c>
      <c r="Q2031" s="42" t="s">
        <v>31212</v>
      </c>
      <c r="R2031" s="33" t="s">
        <v>512</v>
      </c>
      <c r="S2031" s="33" t="s">
        <v>22</v>
      </c>
      <c r="T2031" s="33" t="s">
        <v>26781</v>
      </c>
      <c r="U2031" s="33" t="s">
        <v>26572</v>
      </c>
      <c r="V2031" s="33" t="s">
        <v>26573</v>
      </c>
      <c r="W2031" s="33" t="s">
        <v>94</v>
      </c>
      <c r="X2031" s="33">
        <v>3452</v>
      </c>
      <c r="Z2031" s="33" t="s">
        <v>42967</v>
      </c>
      <c r="AA2031" s="33">
        <v>5633</v>
      </c>
    </row>
    <row r="2032" spans="1:27" ht="12" customHeight="1" x14ac:dyDescent="0.15">
      <c r="A2032" s="33" t="s">
        <v>31213</v>
      </c>
      <c r="B2032" s="33">
        <v>44</v>
      </c>
      <c r="C2032" s="33" t="s">
        <v>14</v>
      </c>
      <c r="D2032" s="33" t="s">
        <v>31</v>
      </c>
      <c r="E2032" s="42" t="s">
        <v>31214</v>
      </c>
      <c r="F2032" s="67">
        <v>43164</v>
      </c>
      <c r="G2032" s="33" t="s">
        <v>31215</v>
      </c>
      <c r="H2032" s="33" t="s">
        <v>3692</v>
      </c>
      <c r="I2032" s="33" t="s">
        <v>56</v>
      </c>
      <c r="J2032" s="33">
        <v>33811</v>
      </c>
      <c r="K2032" s="33" t="s">
        <v>1736</v>
      </c>
      <c r="L2032" s="33" t="s">
        <v>238</v>
      </c>
      <c r="M2032" s="33" t="s">
        <v>21</v>
      </c>
      <c r="N2032" s="33" t="s">
        <v>36489</v>
      </c>
      <c r="O2032" s="33" t="s">
        <v>372</v>
      </c>
      <c r="P2032" s="33" t="s">
        <v>30089</v>
      </c>
      <c r="Q2032" s="42" t="s">
        <v>31216</v>
      </c>
      <c r="R2032" s="33" t="s">
        <v>904</v>
      </c>
      <c r="S2032" s="33" t="s">
        <v>22</v>
      </c>
      <c r="T2032" s="33" t="s">
        <v>26774</v>
      </c>
      <c r="U2032" s="33" t="s">
        <v>26570</v>
      </c>
      <c r="V2032" s="33" t="s">
        <v>26574</v>
      </c>
      <c r="W2032" s="33" t="s">
        <v>94</v>
      </c>
      <c r="X2032" s="33">
        <v>3463</v>
      </c>
      <c r="Z2032" s="33" t="s">
        <v>42968</v>
      </c>
      <c r="AA2032" s="33">
        <v>5638</v>
      </c>
    </row>
    <row r="2033" spans="1:27" ht="12" customHeight="1" x14ac:dyDescent="0.15">
      <c r="A2033" s="33" t="s">
        <v>31217</v>
      </c>
      <c r="B2033" s="33">
        <v>33</v>
      </c>
      <c r="C2033" s="33" t="s">
        <v>14</v>
      </c>
      <c r="D2033" s="33" t="s">
        <v>31</v>
      </c>
      <c r="E2033" s="42"/>
      <c r="F2033" s="67">
        <v>43164</v>
      </c>
      <c r="G2033" s="33" t="s">
        <v>31218</v>
      </c>
      <c r="H2033" s="33" t="s">
        <v>22777</v>
      </c>
      <c r="I2033" s="33" t="s">
        <v>160</v>
      </c>
      <c r="J2033" s="33">
        <v>30179</v>
      </c>
      <c r="K2033" s="33" t="s">
        <v>1937</v>
      </c>
      <c r="L2033" s="33" t="s">
        <v>3970</v>
      </c>
      <c r="M2033" s="33" t="s">
        <v>21</v>
      </c>
      <c r="N2033" s="33" t="s">
        <v>31219</v>
      </c>
      <c r="O2033" s="33" t="s">
        <v>372</v>
      </c>
      <c r="P2033" s="33" t="s">
        <v>30089</v>
      </c>
      <c r="Q2033" s="42" t="s">
        <v>31220</v>
      </c>
      <c r="R2033" s="33" t="s">
        <v>94</v>
      </c>
      <c r="S2033" s="33" t="s">
        <v>12</v>
      </c>
      <c r="T2033" s="33" t="s">
        <v>29425</v>
      </c>
      <c r="U2033" s="33" t="s">
        <v>26572</v>
      </c>
      <c r="V2033" s="33" t="s">
        <v>26573</v>
      </c>
      <c r="W2033" s="33" t="s">
        <v>94</v>
      </c>
      <c r="X2033" s="33">
        <v>3461</v>
      </c>
      <c r="Z2033" s="33" t="s">
        <v>42967</v>
      </c>
      <c r="AA2033" s="33">
        <v>5639</v>
      </c>
    </row>
    <row r="2034" spans="1:27" ht="12" customHeight="1" x14ac:dyDescent="0.15">
      <c r="A2034" s="33" t="s">
        <v>31198</v>
      </c>
      <c r="B2034" s="33">
        <v>35</v>
      </c>
      <c r="C2034" s="33" t="s">
        <v>14</v>
      </c>
      <c r="D2034" s="33" t="s">
        <v>31</v>
      </c>
      <c r="E2034" s="42"/>
      <c r="F2034" s="67">
        <v>43164</v>
      </c>
      <c r="G2034" s="33" t="s">
        <v>31199</v>
      </c>
      <c r="H2034" s="33" t="s">
        <v>31200</v>
      </c>
      <c r="I2034" s="33" t="s">
        <v>294</v>
      </c>
      <c r="J2034" s="33">
        <v>41238</v>
      </c>
      <c r="K2034" s="33" t="s">
        <v>3032</v>
      </c>
      <c r="L2034" s="33" t="s">
        <v>13908</v>
      </c>
      <c r="M2034" s="33" t="s">
        <v>21</v>
      </c>
      <c r="N2034" s="33" t="s">
        <v>31201</v>
      </c>
      <c r="O2034" s="33" t="s">
        <v>372</v>
      </c>
      <c r="P2034" s="33" t="s">
        <v>30089</v>
      </c>
      <c r="Q2034" s="42" t="s">
        <v>31202</v>
      </c>
      <c r="R2034" s="33" t="s">
        <v>512</v>
      </c>
      <c r="S2034" s="33" t="s">
        <v>22</v>
      </c>
      <c r="T2034" s="33" t="s">
        <v>26781</v>
      </c>
      <c r="U2034" s="33" t="s">
        <v>26572</v>
      </c>
      <c r="V2034" s="33" t="s">
        <v>26573</v>
      </c>
      <c r="W2034" s="33" t="s">
        <v>94</v>
      </c>
      <c r="X2034" s="33">
        <v>3472</v>
      </c>
      <c r="Z2034" s="33" t="s">
        <v>42967</v>
      </c>
      <c r="AA2034" s="33">
        <v>5636</v>
      </c>
    </row>
    <row r="2035" spans="1:27" ht="12" customHeight="1" x14ac:dyDescent="0.15">
      <c r="A2035" s="33" t="s">
        <v>3002</v>
      </c>
      <c r="B2035" s="33" t="s">
        <v>23</v>
      </c>
      <c r="C2035" s="33" t="s">
        <v>14</v>
      </c>
      <c r="D2035" s="33" t="s">
        <v>42</v>
      </c>
      <c r="E2035" s="42"/>
      <c r="F2035" s="67">
        <v>43163</v>
      </c>
      <c r="G2035" s="33" t="s">
        <v>31221</v>
      </c>
      <c r="H2035" s="33" t="s">
        <v>31222</v>
      </c>
      <c r="I2035" s="33" t="s">
        <v>376</v>
      </c>
      <c r="J2035" s="33">
        <v>19027</v>
      </c>
      <c r="K2035" s="33" t="s">
        <v>995</v>
      </c>
      <c r="L2035" s="33" t="s">
        <v>32165</v>
      </c>
      <c r="M2035" s="33" t="s">
        <v>21</v>
      </c>
      <c r="N2035" s="33" t="s">
        <v>31223</v>
      </c>
      <c r="O2035" s="33" t="s">
        <v>372</v>
      </c>
      <c r="P2035" s="33" t="s">
        <v>30089</v>
      </c>
      <c r="Q2035" s="42" t="s">
        <v>31224</v>
      </c>
      <c r="R2035" s="33" t="s">
        <v>94</v>
      </c>
      <c r="S2035" s="33" t="s">
        <v>22</v>
      </c>
      <c r="T2035" s="33" t="s">
        <v>26781</v>
      </c>
      <c r="U2035" s="33" t="s">
        <v>26570</v>
      </c>
      <c r="V2035" s="33" t="s">
        <v>26573</v>
      </c>
      <c r="W2035" s="33" t="s">
        <v>94</v>
      </c>
      <c r="X2035" s="33">
        <v>3462</v>
      </c>
      <c r="Z2035" s="33" t="s">
        <v>42968</v>
      </c>
      <c r="AA2035" s="33">
        <v>5632</v>
      </c>
    </row>
    <row r="2036" spans="1:27" ht="12" customHeight="1" x14ac:dyDescent="0.15">
      <c r="A2036" s="33" t="s">
        <v>31229</v>
      </c>
      <c r="B2036" s="33">
        <v>70</v>
      </c>
      <c r="C2036" s="33" t="s">
        <v>14</v>
      </c>
      <c r="D2036" s="33" t="s">
        <v>30751</v>
      </c>
      <c r="E2036" s="42"/>
      <c r="F2036" s="67">
        <v>43162</v>
      </c>
      <c r="G2036" s="33" t="s">
        <v>31230</v>
      </c>
      <c r="H2036" s="33" t="s">
        <v>31231</v>
      </c>
      <c r="I2036" s="33" t="s">
        <v>402</v>
      </c>
      <c r="J2036" s="33">
        <v>64019</v>
      </c>
      <c r="K2036" s="33" t="s">
        <v>3032</v>
      </c>
      <c r="L2036" s="33" t="s">
        <v>13908</v>
      </c>
      <c r="M2036" s="33" t="s">
        <v>21</v>
      </c>
      <c r="N2036" s="33" t="s">
        <v>31232</v>
      </c>
      <c r="O2036" s="33" t="s">
        <v>372</v>
      </c>
      <c r="P2036" s="33" t="s">
        <v>30089</v>
      </c>
      <c r="Q2036" s="42" t="s">
        <v>31233</v>
      </c>
      <c r="R2036" s="33" t="s">
        <v>94</v>
      </c>
      <c r="S2036" s="33" t="s">
        <v>22</v>
      </c>
      <c r="T2036" s="33" t="s">
        <v>26781</v>
      </c>
      <c r="U2036" s="33" t="s">
        <v>26572</v>
      </c>
      <c r="V2036" s="33" t="s">
        <v>26573</v>
      </c>
      <c r="W2036" s="33" t="s">
        <v>94</v>
      </c>
      <c r="X2036" s="33">
        <v>3457</v>
      </c>
      <c r="Z2036" s="33" t="s">
        <v>42967</v>
      </c>
      <c r="AA2036" s="33">
        <v>5629</v>
      </c>
    </row>
    <row r="2037" spans="1:27" ht="12" customHeight="1" x14ac:dyDescent="0.15">
      <c r="A2037" s="33" t="s">
        <v>31234</v>
      </c>
      <c r="B2037" s="33">
        <v>38</v>
      </c>
      <c r="C2037" s="33" t="s">
        <v>103</v>
      </c>
      <c r="D2037" s="33" t="s">
        <v>42</v>
      </c>
      <c r="E2037" s="42"/>
      <c r="F2037" s="67">
        <v>43162</v>
      </c>
      <c r="G2037" s="33" t="s">
        <v>31235</v>
      </c>
      <c r="H2037" s="33" t="s">
        <v>518</v>
      </c>
      <c r="I2037" s="33" t="s">
        <v>112</v>
      </c>
      <c r="J2037" s="33">
        <v>85757</v>
      </c>
      <c r="K2037" s="33" t="s">
        <v>519</v>
      </c>
      <c r="L2037" s="33" t="s">
        <v>11583</v>
      </c>
      <c r="M2037" s="33" t="s">
        <v>21</v>
      </c>
      <c r="N2037" s="33" t="s">
        <v>31236</v>
      </c>
      <c r="O2037" s="33" t="s">
        <v>372</v>
      </c>
      <c r="P2037" s="33" t="s">
        <v>30089</v>
      </c>
      <c r="Q2037" s="42" t="s">
        <v>31237</v>
      </c>
      <c r="R2037" s="33" t="s">
        <v>94</v>
      </c>
      <c r="S2037" s="33" t="s">
        <v>29</v>
      </c>
      <c r="T2037" s="33" t="s">
        <v>26582</v>
      </c>
      <c r="U2037" s="33" t="s">
        <v>26570</v>
      </c>
      <c r="V2037" s="33" t="s">
        <v>26573</v>
      </c>
      <c r="W2037" s="33" t="s">
        <v>94</v>
      </c>
      <c r="X2037" s="33">
        <v>3455</v>
      </c>
      <c r="Z2037" s="33" t="s">
        <v>42968</v>
      </c>
      <c r="AA2037" s="33">
        <v>5631</v>
      </c>
    </row>
    <row r="2038" spans="1:27" ht="12" customHeight="1" x14ac:dyDescent="0.15">
      <c r="A2038" s="33" t="s">
        <v>31225</v>
      </c>
      <c r="B2038" s="33">
        <v>41</v>
      </c>
      <c r="C2038" s="33" t="s">
        <v>14</v>
      </c>
      <c r="D2038" s="33" t="s">
        <v>79</v>
      </c>
      <c r="E2038" s="42"/>
      <c r="F2038" s="67">
        <v>43162</v>
      </c>
      <c r="G2038" s="33" t="s">
        <v>31226</v>
      </c>
      <c r="H2038" s="33" t="s">
        <v>3685</v>
      </c>
      <c r="I2038" s="33" t="s">
        <v>621</v>
      </c>
      <c r="J2038" s="33">
        <v>39507</v>
      </c>
      <c r="K2038" s="33" t="s">
        <v>3687</v>
      </c>
      <c r="L2038" s="33" t="s">
        <v>3688</v>
      </c>
      <c r="M2038" s="33" t="s">
        <v>21</v>
      </c>
      <c r="N2038" s="33" t="s">
        <v>31227</v>
      </c>
      <c r="O2038" s="33" t="s">
        <v>372</v>
      </c>
      <c r="P2038" s="33" t="s">
        <v>30089</v>
      </c>
      <c r="Q2038" s="42" t="s">
        <v>31228</v>
      </c>
      <c r="R2038" s="33" t="s">
        <v>94</v>
      </c>
      <c r="S2038" s="33" t="s">
        <v>22</v>
      </c>
      <c r="T2038" s="33" t="s">
        <v>26781</v>
      </c>
      <c r="U2038" s="33" t="s">
        <v>26572</v>
      </c>
      <c r="V2038" s="33" t="s">
        <v>26573</v>
      </c>
      <c r="W2038" s="33" t="s">
        <v>94</v>
      </c>
      <c r="X2038" s="33">
        <v>3467</v>
      </c>
      <c r="Z2038" s="33" t="s">
        <v>42968</v>
      </c>
      <c r="AA2038" s="33">
        <v>5630</v>
      </c>
    </row>
    <row r="2039" spans="1:27" ht="12" customHeight="1" x14ac:dyDescent="0.15">
      <c r="A2039" s="33" t="s">
        <v>31248</v>
      </c>
      <c r="B2039" s="33">
        <v>36</v>
      </c>
      <c r="C2039" s="33" t="s">
        <v>14</v>
      </c>
      <c r="D2039" s="33" t="s">
        <v>31</v>
      </c>
      <c r="E2039" s="42"/>
      <c r="F2039" s="67">
        <v>43161</v>
      </c>
      <c r="G2039" s="33" t="s">
        <v>31249</v>
      </c>
      <c r="H2039" s="33" t="s">
        <v>1337</v>
      </c>
      <c r="I2039" s="33" t="s">
        <v>112</v>
      </c>
      <c r="J2039" s="33">
        <v>85209</v>
      </c>
      <c r="K2039" s="33" t="s">
        <v>585</v>
      </c>
      <c r="L2039" s="33" t="s">
        <v>1338</v>
      </c>
      <c r="M2039" s="33" t="s">
        <v>21</v>
      </c>
      <c r="N2039" s="33" t="s">
        <v>31250</v>
      </c>
      <c r="O2039" s="33" t="s">
        <v>372</v>
      </c>
      <c r="P2039" s="33" t="s">
        <v>30089</v>
      </c>
      <c r="Q2039" s="42" t="s">
        <v>31251</v>
      </c>
      <c r="R2039" s="33" t="s">
        <v>94</v>
      </c>
      <c r="S2039" s="33" t="s">
        <v>22</v>
      </c>
      <c r="T2039" s="33" t="s">
        <v>26774</v>
      </c>
      <c r="U2039" s="33" t="s">
        <v>26570</v>
      </c>
      <c r="V2039" s="33" t="s">
        <v>26573</v>
      </c>
      <c r="W2039" s="33" t="s">
        <v>94</v>
      </c>
      <c r="X2039" s="33">
        <v>3458</v>
      </c>
      <c r="Z2039" s="33" t="s">
        <v>42968</v>
      </c>
      <c r="AA2039" s="33">
        <v>5624</v>
      </c>
    </row>
    <row r="2040" spans="1:27" ht="12" customHeight="1" x14ac:dyDescent="0.15">
      <c r="A2040" s="33" t="s">
        <v>3002</v>
      </c>
      <c r="B2040" s="33" t="s">
        <v>23</v>
      </c>
      <c r="C2040" s="33" t="s">
        <v>14</v>
      </c>
      <c r="D2040" s="33" t="s">
        <v>79</v>
      </c>
      <c r="E2040" s="42"/>
      <c r="F2040" s="67">
        <v>43161</v>
      </c>
      <c r="G2040" s="33" t="s">
        <v>31260</v>
      </c>
      <c r="H2040" s="33" t="s">
        <v>3788</v>
      </c>
      <c r="I2040" s="33" t="s">
        <v>67</v>
      </c>
      <c r="J2040" s="33">
        <v>75426</v>
      </c>
      <c r="K2040" s="33" t="s">
        <v>28361</v>
      </c>
      <c r="L2040" s="33" t="s">
        <v>32169</v>
      </c>
      <c r="M2040" s="33" t="s">
        <v>21</v>
      </c>
      <c r="N2040" s="33" t="s">
        <v>31261</v>
      </c>
      <c r="O2040" s="33" t="s">
        <v>372</v>
      </c>
      <c r="P2040" s="33" t="s">
        <v>30089</v>
      </c>
      <c r="Q2040" s="42" t="s">
        <v>31262</v>
      </c>
      <c r="R2040" s="33" t="s">
        <v>94</v>
      </c>
      <c r="S2040" s="33" t="s">
        <v>29</v>
      </c>
      <c r="T2040" s="33" t="s">
        <v>26575</v>
      </c>
      <c r="U2040" s="33" t="s">
        <v>26572</v>
      </c>
      <c r="V2040" s="33" t="s">
        <v>26573</v>
      </c>
      <c r="W2040" s="33" t="s">
        <v>512</v>
      </c>
      <c r="X2040" s="33">
        <v>3465</v>
      </c>
      <c r="Z2040" s="33" t="s">
        <v>42967</v>
      </c>
      <c r="AA2040" s="33">
        <v>5627</v>
      </c>
    </row>
    <row r="2041" spans="1:27" ht="12" customHeight="1" x14ac:dyDescent="0.15">
      <c r="A2041" s="33" t="s">
        <v>31255</v>
      </c>
      <c r="B2041" s="33">
        <v>29</v>
      </c>
      <c r="C2041" s="33" t="s">
        <v>14</v>
      </c>
      <c r="D2041" s="33" t="s">
        <v>42</v>
      </c>
      <c r="E2041" s="42"/>
      <c r="F2041" s="67">
        <v>43161</v>
      </c>
      <c r="G2041" s="33" t="s">
        <v>31256</v>
      </c>
      <c r="H2041" s="33" t="s">
        <v>31257</v>
      </c>
      <c r="I2041" s="33" t="s">
        <v>376</v>
      </c>
      <c r="J2041" s="33">
        <v>19055</v>
      </c>
      <c r="K2041" s="33" t="s">
        <v>15580</v>
      </c>
      <c r="L2041" s="33" t="s">
        <v>32166</v>
      </c>
      <c r="M2041" s="33" t="s">
        <v>21</v>
      </c>
      <c r="N2041" s="33" t="s">
        <v>31258</v>
      </c>
      <c r="O2041" s="33" t="s">
        <v>372</v>
      </c>
      <c r="P2041" s="33" t="s">
        <v>30089</v>
      </c>
      <c r="Q2041" s="42" t="s">
        <v>31259</v>
      </c>
      <c r="R2041" s="33" t="s">
        <v>94</v>
      </c>
      <c r="S2041" s="33" t="s">
        <v>29</v>
      </c>
      <c r="T2041" s="33" t="s">
        <v>26575</v>
      </c>
      <c r="U2041" s="33" t="s">
        <v>26570</v>
      </c>
      <c r="V2041" s="33" t="s">
        <v>26573</v>
      </c>
      <c r="W2041" s="33" t="s">
        <v>94</v>
      </c>
      <c r="X2041" s="33">
        <v>3453</v>
      </c>
      <c r="Z2041" s="33" t="s">
        <v>42968</v>
      </c>
      <c r="AA2041" s="33">
        <v>5625</v>
      </c>
    </row>
    <row r="2042" spans="1:27" ht="12" customHeight="1" x14ac:dyDescent="0.15">
      <c r="A2042" s="33" t="s">
        <v>31263</v>
      </c>
      <c r="B2042" s="33">
        <v>31</v>
      </c>
      <c r="C2042" s="33" t="s">
        <v>14</v>
      </c>
      <c r="D2042" s="33" t="s">
        <v>31</v>
      </c>
      <c r="E2042" s="42"/>
      <c r="F2042" s="67">
        <v>43161</v>
      </c>
      <c r="G2042" s="33" t="s">
        <v>31264</v>
      </c>
      <c r="H2042" s="33" t="s">
        <v>31265</v>
      </c>
      <c r="I2042" s="33" t="s">
        <v>160</v>
      </c>
      <c r="J2042" s="33">
        <v>31643</v>
      </c>
      <c r="K2042" s="33" t="s">
        <v>31266</v>
      </c>
      <c r="L2042" s="33" t="s">
        <v>32167</v>
      </c>
      <c r="M2042" s="33" t="s">
        <v>21</v>
      </c>
      <c r="N2042" s="33" t="s">
        <v>31267</v>
      </c>
      <c r="O2042" s="33" t="s">
        <v>372</v>
      </c>
      <c r="P2042" s="33" t="s">
        <v>30089</v>
      </c>
      <c r="Q2042" s="42" t="s">
        <v>31268</v>
      </c>
      <c r="R2042" s="33" t="s">
        <v>94</v>
      </c>
      <c r="S2042" s="33" t="s">
        <v>29</v>
      </c>
      <c r="T2042" s="33" t="s">
        <v>26575</v>
      </c>
      <c r="U2042" s="33" t="s">
        <v>26575</v>
      </c>
      <c r="V2042" s="33" t="s">
        <v>26573</v>
      </c>
      <c r="Z2042" s="33" t="s">
        <v>42967</v>
      </c>
      <c r="AA2042" s="33">
        <v>5628</v>
      </c>
    </row>
    <row r="2043" spans="1:27" ht="12" customHeight="1" x14ac:dyDescent="0.15">
      <c r="A2043" s="33" t="s">
        <v>31243</v>
      </c>
      <c r="B2043" s="33">
        <v>44</v>
      </c>
      <c r="C2043" s="33" t="s">
        <v>14</v>
      </c>
      <c r="D2043" s="33" t="s">
        <v>31</v>
      </c>
      <c r="E2043" s="42" t="s">
        <v>31244</v>
      </c>
      <c r="F2043" s="67">
        <v>43161</v>
      </c>
      <c r="G2043" s="33" t="s">
        <v>31245</v>
      </c>
      <c r="H2043" s="33" t="s">
        <v>3067</v>
      </c>
      <c r="I2043" s="33" t="s">
        <v>112</v>
      </c>
      <c r="J2043" s="33">
        <v>85302</v>
      </c>
      <c r="K2043" s="33" t="s">
        <v>585</v>
      </c>
      <c r="L2043" s="33" t="s">
        <v>32168</v>
      </c>
      <c r="M2043" s="33" t="s">
        <v>21</v>
      </c>
      <c r="N2043" s="33" t="s">
        <v>31246</v>
      </c>
      <c r="O2043" s="33" t="s">
        <v>372</v>
      </c>
      <c r="P2043" s="33" t="s">
        <v>30089</v>
      </c>
      <c r="Q2043" s="42" t="s">
        <v>31247</v>
      </c>
      <c r="R2043" s="33" t="s">
        <v>94</v>
      </c>
      <c r="S2043" s="33" t="s">
        <v>22</v>
      </c>
      <c r="T2043" s="33" t="s">
        <v>26781</v>
      </c>
      <c r="U2043" s="33" t="s">
        <v>26572</v>
      </c>
      <c r="V2043" s="33" t="s">
        <v>26574</v>
      </c>
      <c r="W2043" s="33" t="s">
        <v>94</v>
      </c>
      <c r="X2043" s="33">
        <v>3454</v>
      </c>
      <c r="Z2043" s="33" t="s">
        <v>42966</v>
      </c>
      <c r="AA2043" s="33">
        <v>5622</v>
      </c>
    </row>
    <row r="2044" spans="1:27" ht="12" customHeight="1" x14ac:dyDescent="0.15">
      <c r="A2044" s="33" t="s">
        <v>31238</v>
      </c>
      <c r="B2044" s="33">
        <v>48</v>
      </c>
      <c r="C2044" s="33" t="s">
        <v>14</v>
      </c>
      <c r="D2044" s="33" t="s">
        <v>31</v>
      </c>
      <c r="E2044" s="42" t="s">
        <v>31239</v>
      </c>
      <c r="F2044" s="67">
        <v>43161</v>
      </c>
      <c r="G2044" s="33" t="s">
        <v>31240</v>
      </c>
      <c r="H2044" s="33" t="s">
        <v>639</v>
      </c>
      <c r="I2044" s="33" t="s">
        <v>112</v>
      </c>
      <c r="J2044" s="33">
        <v>85258</v>
      </c>
      <c r="K2044" s="33" t="s">
        <v>585</v>
      </c>
      <c r="L2044" s="33" t="s">
        <v>17585</v>
      </c>
      <c r="M2044" s="33" t="s">
        <v>21</v>
      </c>
      <c r="N2044" s="33" t="s">
        <v>31241</v>
      </c>
      <c r="O2044" s="33" t="s">
        <v>372</v>
      </c>
      <c r="P2044" s="33" t="s">
        <v>30089</v>
      </c>
      <c r="Q2044" s="42" t="s">
        <v>31242</v>
      </c>
      <c r="R2044" s="33" t="s">
        <v>94</v>
      </c>
      <c r="S2044" s="33" t="s">
        <v>22</v>
      </c>
      <c r="T2044" s="33" t="s">
        <v>26781</v>
      </c>
      <c r="U2044" s="33" t="s">
        <v>26570</v>
      </c>
      <c r="V2044" s="33" t="s">
        <v>26573</v>
      </c>
      <c r="W2044" s="33" t="s">
        <v>94</v>
      </c>
      <c r="X2044" s="33">
        <v>3460</v>
      </c>
      <c r="Z2044" s="33" t="s">
        <v>42968</v>
      </c>
      <c r="AA2044" s="33">
        <v>5623</v>
      </c>
    </row>
    <row r="2045" spans="1:27" ht="12" customHeight="1" x14ac:dyDescent="0.15">
      <c r="A2045" s="33" t="s">
        <v>3002</v>
      </c>
      <c r="B2045" s="33">
        <v>31</v>
      </c>
      <c r="C2045" s="33" t="s">
        <v>14</v>
      </c>
      <c r="D2045" s="33" t="s">
        <v>30751</v>
      </c>
      <c r="E2045" s="42"/>
      <c r="F2045" s="67">
        <v>43161</v>
      </c>
      <c r="G2045" s="33" t="s">
        <v>31252</v>
      </c>
      <c r="H2045" s="33" t="s">
        <v>3383</v>
      </c>
      <c r="I2045" s="33" t="s">
        <v>39</v>
      </c>
      <c r="J2045" s="33">
        <v>92705</v>
      </c>
      <c r="K2045" s="33" t="s">
        <v>998</v>
      </c>
      <c r="L2045" s="33" t="s">
        <v>5808</v>
      </c>
      <c r="M2045" s="33" t="s">
        <v>21</v>
      </c>
      <c r="N2045" s="33" t="s">
        <v>31253</v>
      </c>
      <c r="O2045" s="33" t="s">
        <v>372</v>
      </c>
      <c r="P2045" s="33" t="s">
        <v>30089</v>
      </c>
      <c r="Q2045" s="42" t="s">
        <v>31254</v>
      </c>
      <c r="R2045" s="33" t="s">
        <v>94</v>
      </c>
      <c r="S2045" s="33" t="s">
        <v>29</v>
      </c>
      <c r="T2045" s="33" t="s">
        <v>26575</v>
      </c>
      <c r="U2045" s="33" t="s">
        <v>26575</v>
      </c>
      <c r="V2045" s="33" t="s">
        <v>26573</v>
      </c>
      <c r="W2045" s="33" t="s">
        <v>94</v>
      </c>
      <c r="X2045" s="33">
        <v>3459</v>
      </c>
      <c r="Z2045" s="33" t="s">
        <v>42968</v>
      </c>
      <c r="AA2045" s="33">
        <v>5626</v>
      </c>
    </row>
    <row r="2046" spans="1:27" ht="12" customHeight="1" x14ac:dyDescent="0.15">
      <c r="A2046" s="33" t="s">
        <v>31269</v>
      </c>
      <c r="B2046" s="33">
        <v>40</v>
      </c>
      <c r="C2046" s="33" t="s">
        <v>14</v>
      </c>
      <c r="D2046" s="33" t="s">
        <v>79</v>
      </c>
      <c r="E2046" s="42"/>
      <c r="F2046" s="67">
        <v>43160</v>
      </c>
      <c r="G2046" s="33" t="s">
        <v>31270</v>
      </c>
      <c r="H2046" s="33" t="s">
        <v>31271</v>
      </c>
      <c r="I2046" s="33" t="s">
        <v>225</v>
      </c>
      <c r="J2046" s="33">
        <v>23150</v>
      </c>
      <c r="K2046" s="33" t="s">
        <v>27272</v>
      </c>
      <c r="L2046" s="33" t="s">
        <v>32170</v>
      </c>
      <c r="M2046" s="33" t="s">
        <v>21</v>
      </c>
      <c r="N2046" s="33" t="s">
        <v>31272</v>
      </c>
      <c r="O2046" s="33" t="s">
        <v>372</v>
      </c>
      <c r="P2046" s="33" t="s">
        <v>30089</v>
      </c>
      <c r="Q2046" s="42" t="s">
        <v>31273</v>
      </c>
      <c r="R2046" s="33" t="s">
        <v>94</v>
      </c>
      <c r="S2046" s="33" t="s">
        <v>22</v>
      </c>
      <c r="T2046" s="33" t="s">
        <v>26593</v>
      </c>
      <c r="U2046" s="33" t="s">
        <v>26570</v>
      </c>
      <c r="V2046" s="33" t="s">
        <v>26571</v>
      </c>
      <c r="W2046" s="33" t="s">
        <v>94</v>
      </c>
      <c r="X2046" s="33">
        <v>3451</v>
      </c>
      <c r="Z2046" s="33" t="s">
        <v>42968</v>
      </c>
      <c r="AA2046" s="33">
        <v>5620</v>
      </c>
    </row>
    <row r="2047" spans="1:27" ht="12" customHeight="1" x14ac:dyDescent="0.15">
      <c r="A2047" s="33" t="s">
        <v>36975</v>
      </c>
      <c r="B2047" s="33">
        <v>29</v>
      </c>
      <c r="C2047" s="33" t="s">
        <v>14</v>
      </c>
      <c r="D2047" s="33" t="s">
        <v>42</v>
      </c>
      <c r="E2047" s="33" t="s">
        <v>37002</v>
      </c>
      <c r="F2047" s="67">
        <v>43160</v>
      </c>
      <c r="G2047" s="10" t="s">
        <v>37008</v>
      </c>
      <c r="H2047" s="10" t="s">
        <v>518</v>
      </c>
      <c r="I2047" s="33" t="s">
        <v>112</v>
      </c>
      <c r="J2047" s="66">
        <v>85713</v>
      </c>
      <c r="K2047" s="10" t="s">
        <v>519</v>
      </c>
      <c r="L2047" s="10" t="s">
        <v>37021</v>
      </c>
      <c r="M2047" s="33" t="s">
        <v>21</v>
      </c>
      <c r="N2047" s="10" t="s">
        <v>37034</v>
      </c>
      <c r="O2047" s="10" t="s">
        <v>372</v>
      </c>
      <c r="P2047" s="33" t="s">
        <v>30089</v>
      </c>
      <c r="Q2047" s="64" t="s">
        <v>37035</v>
      </c>
      <c r="R2047" s="33" t="s">
        <v>94</v>
      </c>
      <c r="S2047" s="33" t="s">
        <v>29</v>
      </c>
      <c r="T2047" s="36" t="s">
        <v>2244</v>
      </c>
      <c r="U2047" s="36" t="s">
        <v>26570</v>
      </c>
      <c r="V2047" s="36" t="s">
        <v>26573</v>
      </c>
      <c r="W2047" s="33" t="s">
        <v>94</v>
      </c>
      <c r="X2047" s="33">
        <v>3466</v>
      </c>
      <c r="Z2047" s="33" t="s">
        <v>42968</v>
      </c>
      <c r="AA2047" s="33">
        <v>5621</v>
      </c>
    </row>
    <row r="2048" spans="1:27" ht="12" customHeight="1" x14ac:dyDescent="0.15">
      <c r="A2048" s="33" t="s">
        <v>31274</v>
      </c>
      <c r="B2048" s="33">
        <v>48</v>
      </c>
      <c r="C2048" s="33" t="s">
        <v>14</v>
      </c>
      <c r="D2048" s="33" t="s">
        <v>79</v>
      </c>
      <c r="E2048" s="42"/>
      <c r="F2048" s="67">
        <v>43159</v>
      </c>
      <c r="G2048" s="33" t="s">
        <v>31275</v>
      </c>
      <c r="H2048" s="33" t="s">
        <v>997</v>
      </c>
      <c r="I2048" s="33" t="s">
        <v>56</v>
      </c>
      <c r="J2048" s="33">
        <v>32801</v>
      </c>
      <c r="K2048" s="33" t="s">
        <v>998</v>
      </c>
      <c r="L2048" s="33" t="s">
        <v>999</v>
      </c>
      <c r="M2048" s="33" t="s">
        <v>21</v>
      </c>
      <c r="N2048" s="33" t="s">
        <v>31276</v>
      </c>
      <c r="O2048" s="33" t="s">
        <v>372</v>
      </c>
      <c r="P2048" s="33" t="s">
        <v>30089</v>
      </c>
      <c r="Q2048" s="42" t="s">
        <v>31277</v>
      </c>
      <c r="R2048" s="33" t="s">
        <v>94</v>
      </c>
      <c r="S2048" s="33" t="s">
        <v>22</v>
      </c>
      <c r="T2048" s="33" t="s">
        <v>26781</v>
      </c>
      <c r="U2048" s="33" t="s">
        <v>26572</v>
      </c>
      <c r="V2048" s="33" t="s">
        <v>26573</v>
      </c>
      <c r="W2048" s="33" t="s">
        <v>94</v>
      </c>
      <c r="X2048" s="33">
        <v>3450</v>
      </c>
      <c r="Z2048" s="33" t="s">
        <v>42966</v>
      </c>
      <c r="AA2048" s="33">
        <v>5618</v>
      </c>
    </row>
    <row r="2049" spans="1:27" ht="12" customHeight="1" x14ac:dyDescent="0.15">
      <c r="A2049" s="33" t="s">
        <v>36974</v>
      </c>
      <c r="B2049" s="33">
        <v>47</v>
      </c>
      <c r="C2049" s="33" t="s">
        <v>14</v>
      </c>
      <c r="D2049" s="33" t="s">
        <v>42</v>
      </c>
      <c r="E2049" s="33" t="s">
        <v>37001</v>
      </c>
      <c r="F2049" s="67">
        <v>43159</v>
      </c>
      <c r="G2049" s="10" t="s">
        <v>37014</v>
      </c>
      <c r="H2049" s="10" t="s">
        <v>34285</v>
      </c>
      <c r="I2049" s="33" t="s">
        <v>192</v>
      </c>
      <c r="J2049" s="65">
        <v>81101</v>
      </c>
      <c r="K2049" s="10" t="s">
        <v>34285</v>
      </c>
      <c r="L2049" s="10" t="s">
        <v>37020</v>
      </c>
      <c r="M2049" s="33" t="s">
        <v>21</v>
      </c>
      <c r="N2049" s="10" t="s">
        <v>37032</v>
      </c>
      <c r="O2049" s="10" t="s">
        <v>372</v>
      </c>
      <c r="P2049" s="33" t="s">
        <v>30089</v>
      </c>
      <c r="Q2049" s="64" t="s">
        <v>37033</v>
      </c>
      <c r="R2049" s="10" t="s">
        <v>23</v>
      </c>
      <c r="S2049" s="33" t="s">
        <v>29</v>
      </c>
      <c r="T2049" s="36" t="s">
        <v>2244</v>
      </c>
      <c r="U2049" s="36" t="s">
        <v>26570</v>
      </c>
      <c r="V2049" s="36" t="s">
        <v>26573</v>
      </c>
      <c r="W2049" s="33" t="s">
        <v>94</v>
      </c>
      <c r="X2049" s="33">
        <v>4249</v>
      </c>
      <c r="Z2049" s="33" t="s">
        <v>42967</v>
      </c>
      <c r="AA2049" s="33">
        <v>5619</v>
      </c>
    </row>
    <row r="2050" spans="1:27" ht="12" customHeight="1" x14ac:dyDescent="0.15">
      <c r="A2050" s="33" t="s">
        <v>31283</v>
      </c>
      <c r="B2050" s="33">
        <v>33</v>
      </c>
      <c r="C2050" s="33" t="s">
        <v>14</v>
      </c>
      <c r="D2050" s="33" t="s">
        <v>31</v>
      </c>
      <c r="E2050" s="42"/>
      <c r="F2050" s="67">
        <v>43158</v>
      </c>
      <c r="G2050" s="33" t="s">
        <v>31284</v>
      </c>
      <c r="H2050" s="33" t="s">
        <v>8504</v>
      </c>
      <c r="I2050" s="33" t="s">
        <v>735</v>
      </c>
      <c r="J2050" s="33">
        <v>83814</v>
      </c>
      <c r="K2050" s="33" t="s">
        <v>8506</v>
      </c>
      <c r="L2050" s="33" t="s">
        <v>8507</v>
      </c>
      <c r="M2050" s="33" t="s">
        <v>21</v>
      </c>
      <c r="N2050" s="33" t="s">
        <v>31285</v>
      </c>
      <c r="O2050" s="33" t="s">
        <v>372</v>
      </c>
      <c r="P2050" s="33" t="s">
        <v>30089</v>
      </c>
      <c r="Q2050" s="42" t="s">
        <v>31286</v>
      </c>
      <c r="R2050" s="33" t="s">
        <v>94</v>
      </c>
      <c r="S2050" s="33" t="s">
        <v>22</v>
      </c>
      <c r="T2050" s="33" t="s">
        <v>26781</v>
      </c>
      <c r="U2050" s="33" t="s">
        <v>26572</v>
      </c>
      <c r="V2050" s="33" t="s">
        <v>26573</v>
      </c>
      <c r="W2050" s="33" t="s">
        <v>94</v>
      </c>
      <c r="X2050" s="33">
        <v>3449</v>
      </c>
      <c r="Z2050" s="33" t="s">
        <v>42968</v>
      </c>
      <c r="AA2050" s="33">
        <v>5617</v>
      </c>
    </row>
    <row r="2051" spans="1:27" ht="12" customHeight="1" x14ac:dyDescent="0.15">
      <c r="A2051" s="33" t="s">
        <v>31287</v>
      </c>
      <c r="B2051" s="33">
        <v>20</v>
      </c>
      <c r="C2051" s="33" t="s">
        <v>14</v>
      </c>
      <c r="D2051" s="33" t="s">
        <v>31</v>
      </c>
      <c r="E2051" s="42"/>
      <c r="F2051" s="67">
        <v>43158</v>
      </c>
      <c r="G2051" s="33" t="s">
        <v>31288</v>
      </c>
      <c r="H2051" s="33" t="s">
        <v>375</v>
      </c>
      <c r="I2051" s="33" t="s">
        <v>26</v>
      </c>
      <c r="J2051" s="33">
        <v>29706</v>
      </c>
      <c r="K2051" s="33" t="s">
        <v>375</v>
      </c>
      <c r="L2051" s="33" t="s">
        <v>32171</v>
      </c>
      <c r="M2051" s="33" t="s">
        <v>21</v>
      </c>
      <c r="N2051" s="33" t="s">
        <v>31289</v>
      </c>
      <c r="O2051" s="33" t="s">
        <v>372</v>
      </c>
      <c r="P2051" s="33" t="s">
        <v>30089</v>
      </c>
      <c r="Q2051" s="42" t="s">
        <v>31290</v>
      </c>
      <c r="R2051" s="33" t="s">
        <v>94</v>
      </c>
      <c r="S2051" s="33" t="s">
        <v>22</v>
      </c>
      <c r="T2051" s="33" t="s">
        <v>26781</v>
      </c>
      <c r="U2051" s="33" t="s">
        <v>26570</v>
      </c>
      <c r="V2051" s="33" t="s">
        <v>26571</v>
      </c>
      <c r="W2051" s="33" t="s">
        <v>512</v>
      </c>
      <c r="X2051" s="33">
        <v>3448</v>
      </c>
      <c r="Z2051" s="33" t="s">
        <v>42967</v>
      </c>
      <c r="AA2051" s="33">
        <v>5616</v>
      </c>
    </row>
    <row r="2052" spans="1:27" ht="12" customHeight="1" x14ac:dyDescent="0.15">
      <c r="A2052" s="33" t="s">
        <v>31278</v>
      </c>
      <c r="B2052" s="33">
        <v>29</v>
      </c>
      <c r="C2052" s="33" t="s">
        <v>14</v>
      </c>
      <c r="D2052" s="33" t="s">
        <v>79</v>
      </c>
      <c r="E2052" s="42" t="s">
        <v>31279</v>
      </c>
      <c r="F2052" s="67">
        <v>43158</v>
      </c>
      <c r="G2052" s="33" t="s">
        <v>31280</v>
      </c>
      <c r="H2052" s="33" t="s">
        <v>266</v>
      </c>
      <c r="I2052" s="33" t="s">
        <v>67</v>
      </c>
      <c r="J2052" s="33">
        <v>75203</v>
      </c>
      <c r="K2052" s="33" t="s">
        <v>266</v>
      </c>
      <c r="L2052" s="33" t="s">
        <v>267</v>
      </c>
      <c r="M2052" s="33" t="s">
        <v>21</v>
      </c>
      <c r="N2052" s="33" t="s">
        <v>31281</v>
      </c>
      <c r="O2052" s="33" t="s">
        <v>372</v>
      </c>
      <c r="P2052" s="33" t="s">
        <v>30089</v>
      </c>
      <c r="Q2052" s="42" t="s">
        <v>31282</v>
      </c>
      <c r="R2052" s="33" t="s">
        <v>94</v>
      </c>
      <c r="S2052" s="33" t="s">
        <v>22</v>
      </c>
      <c r="T2052" s="33" t="s">
        <v>26781</v>
      </c>
      <c r="U2052" s="33" t="s">
        <v>26572</v>
      </c>
      <c r="V2052" s="33" t="s">
        <v>26573</v>
      </c>
      <c r="W2052" s="33" t="s">
        <v>94</v>
      </c>
      <c r="X2052" s="33">
        <v>3447</v>
      </c>
      <c r="Z2052" s="33" t="s">
        <v>42966</v>
      </c>
      <c r="AA2052" s="33">
        <v>5615</v>
      </c>
    </row>
    <row r="2053" spans="1:27" ht="12" customHeight="1" x14ac:dyDescent="0.15">
      <c r="A2053" s="33" t="s">
        <v>31299</v>
      </c>
      <c r="B2053" s="33">
        <v>25</v>
      </c>
      <c r="C2053" s="33" t="s">
        <v>14</v>
      </c>
      <c r="D2053" s="33" t="s">
        <v>31</v>
      </c>
      <c r="E2053" s="42"/>
      <c r="F2053" s="67">
        <v>43157</v>
      </c>
      <c r="G2053" s="33" t="s">
        <v>31300</v>
      </c>
      <c r="H2053" s="33" t="s">
        <v>31301</v>
      </c>
      <c r="I2053" s="33" t="s">
        <v>337</v>
      </c>
      <c r="J2053" s="33">
        <v>66547</v>
      </c>
      <c r="K2053" s="33" t="s">
        <v>2794</v>
      </c>
      <c r="L2053" s="33" t="s">
        <v>32172</v>
      </c>
      <c r="M2053" s="33" t="s">
        <v>21</v>
      </c>
      <c r="N2053" s="33" t="s">
        <v>31302</v>
      </c>
      <c r="O2053" s="33" t="s">
        <v>372</v>
      </c>
      <c r="P2053" s="33" t="s">
        <v>30089</v>
      </c>
      <c r="Q2053" s="42" t="s">
        <v>31303</v>
      </c>
      <c r="R2053" s="33" t="s">
        <v>94</v>
      </c>
      <c r="S2053" s="33" t="s">
        <v>22</v>
      </c>
      <c r="T2053" s="33" t="s">
        <v>26781</v>
      </c>
      <c r="U2053" s="33" t="s">
        <v>26572</v>
      </c>
      <c r="V2053" s="33" t="s">
        <v>26573</v>
      </c>
      <c r="W2053" s="33" t="s">
        <v>94</v>
      </c>
      <c r="X2053" s="33">
        <v>3439</v>
      </c>
      <c r="Z2053" s="33" t="s">
        <v>42967</v>
      </c>
      <c r="AA2053" s="33">
        <v>5611</v>
      </c>
    </row>
    <row r="2054" spans="1:27" ht="12" customHeight="1" x14ac:dyDescent="0.15">
      <c r="A2054" s="33" t="s">
        <v>31309</v>
      </c>
      <c r="B2054" s="33">
        <v>22</v>
      </c>
      <c r="C2054" s="33" t="s">
        <v>14</v>
      </c>
      <c r="D2054" s="33" t="s">
        <v>31</v>
      </c>
      <c r="E2054" s="42"/>
      <c r="F2054" s="67">
        <v>43157</v>
      </c>
      <c r="G2054" s="33" t="s">
        <v>31310</v>
      </c>
      <c r="H2054" s="33" t="s">
        <v>31311</v>
      </c>
      <c r="I2054" s="33" t="s">
        <v>39</v>
      </c>
      <c r="J2054" s="33">
        <v>91402</v>
      </c>
      <c r="K2054" s="33" t="s">
        <v>92</v>
      </c>
      <c r="L2054" s="33" t="s">
        <v>93</v>
      </c>
      <c r="M2054" s="33" t="s">
        <v>4966</v>
      </c>
      <c r="N2054" s="33" t="s">
        <v>31312</v>
      </c>
      <c r="O2054" s="33" t="s">
        <v>372</v>
      </c>
      <c r="P2054" s="33" t="s">
        <v>30089</v>
      </c>
      <c r="Q2054" s="42" t="s">
        <v>31313</v>
      </c>
      <c r="R2054" s="33" t="s">
        <v>512</v>
      </c>
      <c r="S2054" s="33" t="s">
        <v>22</v>
      </c>
      <c r="T2054" s="33" t="s">
        <v>26593</v>
      </c>
      <c r="U2054" s="33" t="s">
        <v>26570</v>
      </c>
      <c r="V2054" s="33" t="s">
        <v>26573</v>
      </c>
      <c r="W2054" s="33" t="s">
        <v>512</v>
      </c>
      <c r="X2054" s="33">
        <v>3443</v>
      </c>
      <c r="Z2054" s="33" t="s">
        <v>42966</v>
      </c>
      <c r="AA2054" s="33">
        <v>5613</v>
      </c>
    </row>
    <row r="2055" spans="1:27" ht="12" customHeight="1" x14ac:dyDescent="0.15">
      <c r="A2055" s="33" t="s">
        <v>31304</v>
      </c>
      <c r="B2055" s="33">
        <v>27</v>
      </c>
      <c r="C2055" s="33" t="s">
        <v>14</v>
      </c>
      <c r="D2055" s="33" t="s">
        <v>31</v>
      </c>
      <c r="E2055" s="42" t="s">
        <v>31305</v>
      </c>
      <c r="F2055" s="67">
        <v>43157</v>
      </c>
      <c r="G2055" s="33" t="s">
        <v>31306</v>
      </c>
      <c r="H2055" s="33" t="s">
        <v>31307</v>
      </c>
      <c r="I2055" s="33" t="s">
        <v>63</v>
      </c>
      <c r="J2055" s="33">
        <v>44887</v>
      </c>
      <c r="K2055" s="33" t="s">
        <v>10271</v>
      </c>
      <c r="L2055" s="33" t="s">
        <v>36490</v>
      </c>
      <c r="M2055" s="33" t="s">
        <v>21</v>
      </c>
      <c r="N2055" s="33" t="s">
        <v>36491</v>
      </c>
      <c r="O2055" s="33" t="s">
        <v>372</v>
      </c>
      <c r="P2055" s="33" t="s">
        <v>30089</v>
      </c>
      <c r="Q2055" s="42" t="s">
        <v>31308</v>
      </c>
      <c r="R2055" s="33" t="s">
        <v>94</v>
      </c>
      <c r="S2055" s="33" t="s">
        <v>22</v>
      </c>
      <c r="T2055" s="33" t="s">
        <v>26781</v>
      </c>
      <c r="U2055" s="33" t="s">
        <v>26572</v>
      </c>
      <c r="V2055" s="33" t="s">
        <v>26574</v>
      </c>
      <c r="W2055" s="33" t="s">
        <v>94</v>
      </c>
      <c r="X2055" s="33">
        <v>3437</v>
      </c>
      <c r="Z2055" s="33" t="s">
        <v>42967</v>
      </c>
      <c r="AA2055" s="33">
        <v>5609</v>
      </c>
    </row>
    <row r="2056" spans="1:27" ht="12" customHeight="1" x14ac:dyDescent="0.15">
      <c r="A2056" s="33" t="s">
        <v>31291</v>
      </c>
      <c r="B2056" s="33">
        <v>40</v>
      </c>
      <c r="C2056" s="33" t="s">
        <v>14</v>
      </c>
      <c r="D2056" s="33" t="s">
        <v>79</v>
      </c>
      <c r="E2056" s="42"/>
      <c r="F2056" s="67">
        <v>43157</v>
      </c>
      <c r="G2056" s="33" t="s">
        <v>31292</v>
      </c>
      <c r="H2056" s="33" t="s">
        <v>661</v>
      </c>
      <c r="I2056" s="33" t="s">
        <v>402</v>
      </c>
      <c r="J2056" s="33">
        <v>63137</v>
      </c>
      <c r="K2056" s="33" t="s">
        <v>661</v>
      </c>
      <c r="L2056" s="33" t="s">
        <v>6535</v>
      </c>
      <c r="M2056" s="33" t="s">
        <v>21</v>
      </c>
      <c r="N2056" s="33" t="s">
        <v>31293</v>
      </c>
      <c r="O2056" s="33" t="s">
        <v>372</v>
      </c>
      <c r="P2056" s="33" t="s">
        <v>30089</v>
      </c>
      <c r="Q2056" s="42" t="s">
        <v>31294</v>
      </c>
      <c r="R2056" s="33" t="s">
        <v>94</v>
      </c>
      <c r="S2056" s="33" t="s">
        <v>22</v>
      </c>
      <c r="T2056" s="33" t="s">
        <v>26781</v>
      </c>
      <c r="U2056" s="33" t="s">
        <v>26572</v>
      </c>
      <c r="V2056" s="33" t="s">
        <v>26573</v>
      </c>
      <c r="W2056" s="33" t="s">
        <v>94</v>
      </c>
      <c r="X2056" s="33">
        <v>3446</v>
      </c>
      <c r="Z2056" s="33" t="s">
        <v>42968</v>
      </c>
      <c r="AA2056" s="33">
        <v>5612</v>
      </c>
    </row>
    <row r="2057" spans="1:27" ht="12" customHeight="1" x14ac:dyDescent="0.15">
      <c r="A2057" s="33" t="s">
        <v>31314</v>
      </c>
      <c r="B2057" s="33">
        <v>39</v>
      </c>
      <c r="C2057" s="33" t="s">
        <v>14</v>
      </c>
      <c r="D2057" s="33" t="s">
        <v>31</v>
      </c>
      <c r="E2057" s="42" t="s">
        <v>31315</v>
      </c>
      <c r="F2057" s="67">
        <v>43157</v>
      </c>
      <c r="G2057" s="33" t="s">
        <v>31316</v>
      </c>
      <c r="H2057" s="33" t="s">
        <v>11083</v>
      </c>
      <c r="I2057" s="33" t="s">
        <v>160</v>
      </c>
      <c r="J2057" s="33">
        <v>31525</v>
      </c>
      <c r="K2057" s="33" t="s">
        <v>27834</v>
      </c>
      <c r="L2057" s="33" t="s">
        <v>17985</v>
      </c>
      <c r="M2057" s="33" t="s">
        <v>351</v>
      </c>
      <c r="N2057" s="33" t="s">
        <v>31317</v>
      </c>
      <c r="O2057" s="33" t="s">
        <v>372</v>
      </c>
      <c r="P2057" s="33" t="s">
        <v>30089</v>
      </c>
      <c r="Q2057" s="42" t="s">
        <v>31318</v>
      </c>
      <c r="R2057" s="33" t="s">
        <v>94</v>
      </c>
      <c r="S2057" s="33" t="s">
        <v>351</v>
      </c>
      <c r="T2057" s="33" t="s">
        <v>26867</v>
      </c>
      <c r="U2057" s="33" t="s">
        <v>26570</v>
      </c>
      <c r="V2057" s="33" t="s">
        <v>26571</v>
      </c>
      <c r="Z2057" s="33" t="s">
        <v>42968</v>
      </c>
      <c r="AA2057" s="33">
        <v>5614</v>
      </c>
    </row>
    <row r="2058" spans="1:27" ht="12" customHeight="1" x14ac:dyDescent="0.15">
      <c r="A2058" s="33" t="s">
        <v>31295</v>
      </c>
      <c r="B2058" s="33">
        <v>37</v>
      </c>
      <c r="C2058" s="33" t="s">
        <v>14</v>
      </c>
      <c r="D2058" s="33" t="s">
        <v>31</v>
      </c>
      <c r="E2058" s="42"/>
      <c r="F2058" s="67">
        <v>43157</v>
      </c>
      <c r="G2058" s="33" t="s">
        <v>31296</v>
      </c>
      <c r="H2058" s="33" t="s">
        <v>750</v>
      </c>
      <c r="I2058" s="33" t="s">
        <v>112</v>
      </c>
      <c r="J2058" s="33">
        <v>85234</v>
      </c>
      <c r="K2058" s="33" t="s">
        <v>585</v>
      </c>
      <c r="L2058" s="33" t="s">
        <v>751</v>
      </c>
      <c r="M2058" s="33" t="s">
        <v>21</v>
      </c>
      <c r="N2058" s="33" t="s">
        <v>31297</v>
      </c>
      <c r="O2058" s="33" t="s">
        <v>372</v>
      </c>
      <c r="P2058" s="33" t="s">
        <v>30089</v>
      </c>
      <c r="Q2058" s="42" t="s">
        <v>31298</v>
      </c>
      <c r="R2058" s="33" t="s">
        <v>512</v>
      </c>
      <c r="S2058" s="33" t="s">
        <v>22</v>
      </c>
      <c r="T2058" s="33" t="s">
        <v>26781</v>
      </c>
      <c r="U2058" s="33" t="s">
        <v>26572</v>
      </c>
      <c r="W2058" s="33" t="s">
        <v>94</v>
      </c>
      <c r="X2058" s="33">
        <v>3438</v>
      </c>
      <c r="Z2058" s="33" t="s">
        <v>42968</v>
      </c>
      <c r="AA2058" s="33">
        <v>5610</v>
      </c>
    </row>
    <row r="2059" spans="1:27" ht="12" customHeight="1" x14ac:dyDescent="0.15">
      <c r="A2059" s="33" t="s">
        <v>31331</v>
      </c>
      <c r="B2059" s="33">
        <v>42</v>
      </c>
      <c r="C2059" s="33" t="s">
        <v>14</v>
      </c>
      <c r="D2059" s="33" t="s">
        <v>42</v>
      </c>
      <c r="E2059" s="42" t="s">
        <v>31332</v>
      </c>
      <c r="F2059" s="67">
        <v>43156</v>
      </c>
      <c r="G2059" s="33" t="s">
        <v>31333</v>
      </c>
      <c r="H2059" s="33" t="s">
        <v>18629</v>
      </c>
      <c r="I2059" s="33" t="s">
        <v>39</v>
      </c>
      <c r="J2059" s="33">
        <v>95020</v>
      </c>
      <c r="K2059" s="33" t="s">
        <v>561</v>
      </c>
      <c r="L2059" s="33" t="s">
        <v>18630</v>
      </c>
      <c r="M2059" s="33" t="s">
        <v>363</v>
      </c>
      <c r="N2059" s="33" t="s">
        <v>31334</v>
      </c>
      <c r="O2059" s="33" t="s">
        <v>372</v>
      </c>
      <c r="P2059" s="33" t="s">
        <v>30089</v>
      </c>
      <c r="Q2059" s="42" t="s">
        <v>31335</v>
      </c>
      <c r="R2059" s="33" t="s">
        <v>94</v>
      </c>
      <c r="S2059" s="33" t="s">
        <v>12</v>
      </c>
      <c r="T2059" s="33" t="s">
        <v>29705</v>
      </c>
      <c r="U2059" s="33" t="s">
        <v>26572</v>
      </c>
      <c r="V2059" s="33" t="s">
        <v>26573</v>
      </c>
      <c r="Z2059" s="33" t="s">
        <v>42968</v>
      </c>
      <c r="AA2059" s="33">
        <v>5608</v>
      </c>
    </row>
    <row r="2060" spans="1:27" ht="12" customHeight="1" x14ac:dyDescent="0.15">
      <c r="A2060" s="33" t="s">
        <v>31322</v>
      </c>
      <c r="B2060" s="33">
        <v>25</v>
      </c>
      <c r="C2060" s="33" t="s">
        <v>14</v>
      </c>
      <c r="D2060" s="33" t="s">
        <v>79</v>
      </c>
      <c r="E2060" s="42" t="s">
        <v>31323</v>
      </c>
      <c r="F2060" s="67">
        <v>43156</v>
      </c>
      <c r="G2060" s="33" t="s">
        <v>31324</v>
      </c>
      <c r="H2060" s="33" t="s">
        <v>1027</v>
      </c>
      <c r="I2060" s="33" t="s">
        <v>367</v>
      </c>
      <c r="J2060" s="33">
        <v>73120</v>
      </c>
      <c r="K2060" s="33" t="s">
        <v>1028</v>
      </c>
      <c r="L2060" s="33" t="s">
        <v>1029</v>
      </c>
      <c r="M2060" s="33" t="s">
        <v>21</v>
      </c>
      <c r="N2060" s="33" t="s">
        <v>31325</v>
      </c>
      <c r="O2060" s="33" t="s">
        <v>372</v>
      </c>
      <c r="P2060" s="33" t="s">
        <v>30089</v>
      </c>
      <c r="Q2060" s="42" t="s">
        <v>31326</v>
      </c>
      <c r="R2060" s="33" t="s">
        <v>23</v>
      </c>
      <c r="S2060" s="33" t="s">
        <v>22</v>
      </c>
      <c r="T2060" s="33" t="s">
        <v>26774</v>
      </c>
      <c r="U2060" s="33" t="s">
        <v>26572</v>
      </c>
      <c r="V2060" s="33" t="s">
        <v>26573</v>
      </c>
      <c r="W2060" s="33" t="s">
        <v>94</v>
      </c>
      <c r="X2060" s="33">
        <v>3442</v>
      </c>
      <c r="Z2060" s="33" t="s">
        <v>42966</v>
      </c>
      <c r="AA2060" s="33">
        <v>5606</v>
      </c>
    </row>
    <row r="2061" spans="1:27" ht="12" customHeight="1" x14ac:dyDescent="0.15">
      <c r="A2061" s="33" t="s">
        <v>31327</v>
      </c>
      <c r="B2061" s="33">
        <v>36</v>
      </c>
      <c r="C2061" s="33" t="s">
        <v>14</v>
      </c>
      <c r="D2061" s="33" t="s">
        <v>31</v>
      </c>
      <c r="E2061" s="42"/>
      <c r="F2061" s="67">
        <v>43156</v>
      </c>
      <c r="G2061" s="33" t="s">
        <v>31328</v>
      </c>
      <c r="H2061" s="33" t="s">
        <v>1233</v>
      </c>
      <c r="I2061" s="33" t="s">
        <v>1020</v>
      </c>
      <c r="J2061" s="33">
        <v>82609</v>
      </c>
      <c r="K2061" s="33" t="s">
        <v>1234</v>
      </c>
      <c r="L2061" s="33" t="s">
        <v>1235</v>
      </c>
      <c r="M2061" s="33" t="s">
        <v>21</v>
      </c>
      <c r="N2061" s="33" t="s">
        <v>31329</v>
      </c>
      <c r="O2061" s="33" t="s">
        <v>372</v>
      </c>
      <c r="P2061" s="33" t="s">
        <v>30089</v>
      </c>
      <c r="Q2061" s="42" t="s">
        <v>31330</v>
      </c>
      <c r="R2061" s="33" t="s">
        <v>23</v>
      </c>
      <c r="S2061" s="33" t="s">
        <v>22</v>
      </c>
      <c r="T2061" s="33" t="s">
        <v>28239</v>
      </c>
      <c r="U2061" s="33" t="s">
        <v>26570</v>
      </c>
      <c r="V2061" s="33" t="s">
        <v>26574</v>
      </c>
      <c r="W2061" s="33" t="s">
        <v>94</v>
      </c>
      <c r="X2061" s="33">
        <v>3444</v>
      </c>
      <c r="Z2061" s="33" t="s">
        <v>42966</v>
      </c>
      <c r="AA2061" s="33">
        <v>5607</v>
      </c>
    </row>
    <row r="2062" spans="1:27" ht="12" customHeight="1" x14ac:dyDescent="0.15">
      <c r="A2062" s="33" t="s">
        <v>3002</v>
      </c>
      <c r="B2062" s="33" t="s">
        <v>23</v>
      </c>
      <c r="C2062" s="33" t="s">
        <v>14</v>
      </c>
      <c r="D2062" s="33" t="s">
        <v>42</v>
      </c>
      <c r="E2062" s="42"/>
      <c r="F2062" s="67">
        <v>43156</v>
      </c>
      <c r="G2062" s="33" t="s">
        <v>31319</v>
      </c>
      <c r="H2062" s="33" t="s">
        <v>92</v>
      </c>
      <c r="I2062" s="33" t="s">
        <v>39</v>
      </c>
      <c r="J2062" s="33">
        <v>90047</v>
      </c>
      <c r="K2062" s="33" t="s">
        <v>92</v>
      </c>
      <c r="L2062" s="33" t="s">
        <v>93</v>
      </c>
      <c r="M2062" s="33" t="s">
        <v>21</v>
      </c>
      <c r="N2062" s="33" t="s">
        <v>31320</v>
      </c>
      <c r="O2062" s="33" t="s">
        <v>372</v>
      </c>
      <c r="P2062" s="33" t="s">
        <v>30089</v>
      </c>
      <c r="Q2062" s="42" t="s">
        <v>31321</v>
      </c>
      <c r="R2062" s="33" t="s">
        <v>94</v>
      </c>
      <c r="S2062" s="33" t="s">
        <v>22</v>
      </c>
      <c r="T2062" s="33" t="s">
        <v>26781</v>
      </c>
      <c r="U2062" s="33" t="s">
        <v>26572</v>
      </c>
      <c r="V2062" s="33" t="s">
        <v>26573</v>
      </c>
      <c r="W2062" s="33" t="s">
        <v>94</v>
      </c>
      <c r="X2062" s="33">
        <v>3445</v>
      </c>
      <c r="Z2062" s="33" t="s">
        <v>42966</v>
      </c>
      <c r="AA2062" s="33">
        <v>5605</v>
      </c>
    </row>
    <row r="2063" spans="1:27" ht="12" customHeight="1" x14ac:dyDescent="0.15">
      <c r="A2063" s="33" t="s">
        <v>36973</v>
      </c>
      <c r="B2063" s="33">
        <v>62</v>
      </c>
      <c r="C2063" s="33" t="s">
        <v>14</v>
      </c>
      <c r="D2063" s="33" t="s">
        <v>31</v>
      </c>
      <c r="E2063" s="33" t="s">
        <v>37000</v>
      </c>
      <c r="F2063" s="67">
        <v>43155</v>
      </c>
      <c r="G2063" s="10" t="s">
        <v>37007</v>
      </c>
      <c r="H2063" s="10" t="s">
        <v>1800</v>
      </c>
      <c r="I2063" s="33" t="s">
        <v>139</v>
      </c>
      <c r="J2063" s="65">
        <v>26501</v>
      </c>
      <c r="K2063" s="10" t="s">
        <v>1802</v>
      </c>
      <c r="L2063" s="10" t="s">
        <v>22896</v>
      </c>
      <c r="M2063" s="33" t="s">
        <v>21</v>
      </c>
      <c r="N2063" s="10" t="s">
        <v>37030</v>
      </c>
      <c r="O2063" s="10" t="s">
        <v>372</v>
      </c>
      <c r="P2063" s="33" t="s">
        <v>30089</v>
      </c>
      <c r="Q2063" s="64" t="s">
        <v>37031</v>
      </c>
      <c r="R2063" s="10" t="s">
        <v>904</v>
      </c>
      <c r="S2063" s="33" t="s">
        <v>12</v>
      </c>
      <c r="T2063" s="36" t="s">
        <v>29425</v>
      </c>
      <c r="U2063" s="36" t="s">
        <v>26572</v>
      </c>
      <c r="V2063" s="36" t="s">
        <v>26573</v>
      </c>
      <c r="W2063" s="33" t="s">
        <v>512</v>
      </c>
      <c r="X2063" s="33">
        <v>4247</v>
      </c>
      <c r="Z2063" s="33" t="s">
        <v>42968</v>
      </c>
      <c r="AA2063" s="33">
        <v>5604</v>
      </c>
    </row>
    <row r="2064" spans="1:27" ht="12" customHeight="1" x14ac:dyDescent="0.15">
      <c r="A2064" s="33" t="s">
        <v>31340</v>
      </c>
      <c r="B2064" s="33">
        <v>37</v>
      </c>
      <c r="C2064" s="33" t="s">
        <v>14</v>
      </c>
      <c r="D2064" s="33" t="s">
        <v>79</v>
      </c>
      <c r="E2064" s="42" t="s">
        <v>31341</v>
      </c>
      <c r="F2064" s="67">
        <v>43154</v>
      </c>
      <c r="G2064" s="33" t="s">
        <v>31342</v>
      </c>
      <c r="H2064" s="33" t="s">
        <v>31343</v>
      </c>
      <c r="I2064" s="33" t="s">
        <v>225</v>
      </c>
      <c r="J2064" s="33">
        <v>22025</v>
      </c>
      <c r="K2064" s="33" t="s">
        <v>29153</v>
      </c>
      <c r="L2064" s="33" t="s">
        <v>32173</v>
      </c>
      <c r="M2064" s="33" t="s">
        <v>21</v>
      </c>
      <c r="N2064" s="33" t="s">
        <v>31344</v>
      </c>
      <c r="O2064" s="33" t="s">
        <v>372</v>
      </c>
      <c r="P2064" s="33" t="s">
        <v>30089</v>
      </c>
      <c r="Q2064" s="42" t="s">
        <v>31345</v>
      </c>
      <c r="R2064" s="33" t="s">
        <v>94</v>
      </c>
      <c r="S2064" s="33" t="s">
        <v>29</v>
      </c>
      <c r="T2064" s="33" t="s">
        <v>26575</v>
      </c>
      <c r="U2064" s="33" t="s">
        <v>26570</v>
      </c>
      <c r="V2064" s="33" t="s">
        <v>26574</v>
      </c>
      <c r="W2064" s="33" t="s">
        <v>94</v>
      </c>
      <c r="X2064" s="33">
        <v>3434</v>
      </c>
      <c r="Z2064" s="33" t="s">
        <v>42968</v>
      </c>
      <c r="AA2064" s="33">
        <v>5603</v>
      </c>
    </row>
    <row r="2065" spans="1:27" ht="12" customHeight="1" x14ac:dyDescent="0.15">
      <c r="A2065" s="33" t="s">
        <v>31336</v>
      </c>
      <c r="B2065" s="33">
        <v>58</v>
      </c>
      <c r="C2065" s="33" t="s">
        <v>14</v>
      </c>
      <c r="D2065" s="33" t="s">
        <v>31</v>
      </c>
      <c r="E2065" s="42"/>
      <c r="F2065" s="67">
        <v>43154</v>
      </c>
      <c r="G2065" s="33" t="s">
        <v>31337</v>
      </c>
      <c r="H2065" s="33" t="s">
        <v>20447</v>
      </c>
      <c r="I2065" s="33" t="s">
        <v>198</v>
      </c>
      <c r="J2065" s="33">
        <v>47714</v>
      </c>
      <c r="K2065" s="33" t="s">
        <v>20448</v>
      </c>
      <c r="L2065" s="33" t="s">
        <v>20449</v>
      </c>
      <c r="M2065" s="33" t="s">
        <v>21</v>
      </c>
      <c r="N2065" s="33" t="s">
        <v>31338</v>
      </c>
      <c r="O2065" s="33" t="s">
        <v>372</v>
      </c>
      <c r="P2065" s="33" t="s">
        <v>30089</v>
      </c>
      <c r="Q2065" s="42" t="s">
        <v>31339</v>
      </c>
      <c r="R2065" s="33" t="s">
        <v>23</v>
      </c>
      <c r="S2065" s="33" t="s">
        <v>12</v>
      </c>
      <c r="T2065" s="33" t="s">
        <v>29425</v>
      </c>
      <c r="U2065" s="33" t="s">
        <v>26570</v>
      </c>
      <c r="V2065" s="33" t="s">
        <v>26573</v>
      </c>
      <c r="W2065" s="33" t="s">
        <v>94</v>
      </c>
      <c r="X2065" s="33">
        <v>3435</v>
      </c>
      <c r="Z2065" s="33" t="s">
        <v>42966</v>
      </c>
      <c r="AA2065" s="33">
        <v>5602</v>
      </c>
    </row>
    <row r="2066" spans="1:27" ht="12" customHeight="1" x14ac:dyDescent="0.15">
      <c r="A2066" s="33" t="s">
        <v>31355</v>
      </c>
      <c r="B2066" s="33">
        <v>35</v>
      </c>
      <c r="C2066" s="33" t="s">
        <v>14</v>
      </c>
      <c r="D2066" s="33" t="s">
        <v>31</v>
      </c>
      <c r="E2066" s="42" t="s">
        <v>31356</v>
      </c>
      <c r="F2066" s="67">
        <v>43153</v>
      </c>
      <c r="G2066" s="33" t="s">
        <v>31357</v>
      </c>
      <c r="H2066" s="33" t="s">
        <v>10919</v>
      </c>
      <c r="I2066" s="33" t="s">
        <v>376</v>
      </c>
      <c r="J2066" s="33">
        <v>15601</v>
      </c>
      <c r="K2066" s="33" t="s">
        <v>10921</v>
      </c>
      <c r="L2066" s="33" t="s">
        <v>32175</v>
      </c>
      <c r="M2066" s="33" t="s">
        <v>363</v>
      </c>
      <c r="N2066" s="33" t="s">
        <v>31358</v>
      </c>
      <c r="O2066" s="33" t="s">
        <v>372</v>
      </c>
      <c r="P2066" s="33" t="s">
        <v>30089</v>
      </c>
      <c r="Q2066" s="42" t="s">
        <v>31359</v>
      </c>
      <c r="R2066" s="33" t="s">
        <v>94</v>
      </c>
      <c r="S2066" s="33" t="s">
        <v>12</v>
      </c>
      <c r="T2066" s="33" t="s">
        <v>29705</v>
      </c>
      <c r="U2066" s="33" t="s">
        <v>26572</v>
      </c>
      <c r="V2066" s="33" t="s">
        <v>26573</v>
      </c>
      <c r="Z2066" s="33" t="s">
        <v>42968</v>
      </c>
      <c r="AA2066" s="33">
        <v>5601</v>
      </c>
    </row>
    <row r="2067" spans="1:27" ht="12" customHeight="1" x14ac:dyDescent="0.15">
      <c r="A2067" s="33" t="s">
        <v>31350</v>
      </c>
      <c r="B2067" s="33">
        <v>26</v>
      </c>
      <c r="C2067" s="33" t="s">
        <v>14</v>
      </c>
      <c r="D2067" s="33" t="s">
        <v>79</v>
      </c>
      <c r="E2067" s="42"/>
      <c r="F2067" s="67">
        <v>43153</v>
      </c>
      <c r="G2067" s="33" t="s">
        <v>31351</v>
      </c>
      <c r="H2067" s="33" t="s">
        <v>31352</v>
      </c>
      <c r="I2067" s="33" t="s">
        <v>298</v>
      </c>
      <c r="J2067" s="33">
        <v>37642</v>
      </c>
      <c r="K2067" s="33" t="s">
        <v>29907</v>
      </c>
      <c r="L2067" s="33" t="s">
        <v>32174</v>
      </c>
      <c r="M2067" s="33" t="s">
        <v>21</v>
      </c>
      <c r="N2067" s="33" t="s">
        <v>31353</v>
      </c>
      <c r="O2067" s="33" t="s">
        <v>372</v>
      </c>
      <c r="P2067" s="33" t="s">
        <v>30089</v>
      </c>
      <c r="Q2067" s="42" t="s">
        <v>31354</v>
      </c>
      <c r="R2067" s="33" t="s">
        <v>94</v>
      </c>
      <c r="S2067" s="33" t="s">
        <v>22</v>
      </c>
      <c r="T2067" s="33" t="s">
        <v>26781</v>
      </c>
      <c r="U2067" s="33" t="s">
        <v>26570</v>
      </c>
      <c r="W2067" s="33" t="s">
        <v>94</v>
      </c>
      <c r="X2067" s="33">
        <v>3431</v>
      </c>
      <c r="Z2067" s="33" t="s">
        <v>42968</v>
      </c>
      <c r="AA2067" s="33">
        <v>5599</v>
      </c>
    </row>
    <row r="2068" spans="1:27" ht="12" customHeight="1" x14ac:dyDescent="0.15">
      <c r="A2068" s="33" t="s">
        <v>31346</v>
      </c>
      <c r="B2068" s="33">
        <v>27</v>
      </c>
      <c r="C2068" s="33" t="s">
        <v>14</v>
      </c>
      <c r="D2068" s="33" t="s">
        <v>31</v>
      </c>
      <c r="E2068" s="42"/>
      <c r="F2068" s="67">
        <v>43153</v>
      </c>
      <c r="G2068" s="33" t="s">
        <v>31347</v>
      </c>
      <c r="H2068" s="33" t="s">
        <v>584</v>
      </c>
      <c r="I2068" s="33" t="s">
        <v>112</v>
      </c>
      <c r="J2068" s="33">
        <v>85353</v>
      </c>
      <c r="K2068" s="33" t="s">
        <v>585</v>
      </c>
      <c r="L2068" s="33" t="s">
        <v>586</v>
      </c>
      <c r="M2068" s="33" t="s">
        <v>21</v>
      </c>
      <c r="N2068" s="33" t="s">
        <v>31348</v>
      </c>
      <c r="O2068" s="33" t="s">
        <v>372</v>
      </c>
      <c r="P2068" s="33" t="s">
        <v>30089</v>
      </c>
      <c r="Q2068" s="42" t="s">
        <v>31349</v>
      </c>
      <c r="R2068" s="33" t="s">
        <v>94</v>
      </c>
      <c r="S2068" s="33" t="s">
        <v>22</v>
      </c>
      <c r="T2068" s="33" t="s">
        <v>26781</v>
      </c>
      <c r="U2068" s="33" t="s">
        <v>26570</v>
      </c>
      <c r="V2068" s="33" t="s">
        <v>26574</v>
      </c>
      <c r="W2068" s="33" t="s">
        <v>94</v>
      </c>
      <c r="X2068" s="33">
        <v>3432</v>
      </c>
      <c r="Z2068" s="33" t="s">
        <v>42968</v>
      </c>
      <c r="AA2068" s="33">
        <v>5600</v>
      </c>
    </row>
    <row r="2069" spans="1:27" ht="12" customHeight="1" x14ac:dyDescent="0.15">
      <c r="A2069" s="33" t="s">
        <v>31360</v>
      </c>
      <c r="B2069" s="33">
        <v>39</v>
      </c>
      <c r="C2069" s="33" t="s">
        <v>14</v>
      </c>
      <c r="D2069" s="33" t="s">
        <v>79</v>
      </c>
      <c r="E2069" s="42"/>
      <c r="F2069" s="67">
        <v>43152</v>
      </c>
      <c r="G2069" s="33" t="s">
        <v>31361</v>
      </c>
      <c r="H2069" s="33" t="s">
        <v>584</v>
      </c>
      <c r="I2069" s="33" t="s">
        <v>112</v>
      </c>
      <c r="J2069" s="33">
        <v>85009</v>
      </c>
      <c r="K2069" s="33" t="s">
        <v>585</v>
      </c>
      <c r="L2069" s="33" t="s">
        <v>705</v>
      </c>
      <c r="M2069" s="33" t="s">
        <v>21</v>
      </c>
      <c r="N2069" s="33" t="s">
        <v>31362</v>
      </c>
      <c r="O2069" s="33" t="s">
        <v>372</v>
      </c>
      <c r="P2069" s="33" t="s">
        <v>30089</v>
      </c>
      <c r="Q2069" s="42" t="s">
        <v>31363</v>
      </c>
      <c r="R2069" s="33" t="s">
        <v>94</v>
      </c>
      <c r="S2069" s="33" t="s">
        <v>22</v>
      </c>
      <c r="T2069" s="33" t="s">
        <v>26781</v>
      </c>
      <c r="U2069" s="33" t="s">
        <v>26572</v>
      </c>
      <c r="V2069" s="33" t="s">
        <v>26571</v>
      </c>
      <c r="W2069" s="33" t="s">
        <v>94</v>
      </c>
      <c r="X2069" s="33">
        <v>3430</v>
      </c>
      <c r="Z2069" s="33" t="s">
        <v>42966</v>
      </c>
      <c r="AA2069" s="33">
        <v>5596</v>
      </c>
    </row>
    <row r="2070" spans="1:27" ht="12" customHeight="1" x14ac:dyDescent="0.15">
      <c r="A2070" s="33" t="s">
        <v>31383</v>
      </c>
      <c r="B2070" s="33">
        <v>22</v>
      </c>
      <c r="C2070" s="33" t="s">
        <v>14</v>
      </c>
      <c r="D2070" s="33" t="s">
        <v>79</v>
      </c>
      <c r="E2070" s="42"/>
      <c r="F2070" s="67">
        <v>43152</v>
      </c>
      <c r="G2070" s="33" t="s">
        <v>31384</v>
      </c>
      <c r="H2070" s="33" t="s">
        <v>31385</v>
      </c>
      <c r="I2070" s="33" t="s">
        <v>67</v>
      </c>
      <c r="J2070" s="33">
        <v>79084</v>
      </c>
      <c r="K2070" s="33" t="s">
        <v>13100</v>
      </c>
      <c r="L2070" s="33" t="s">
        <v>32176</v>
      </c>
      <c r="M2070" s="33" t="s">
        <v>21</v>
      </c>
      <c r="N2070" s="33" t="s">
        <v>31386</v>
      </c>
      <c r="O2070" s="33" t="s">
        <v>372</v>
      </c>
      <c r="P2070" s="33" t="s">
        <v>30089</v>
      </c>
      <c r="Q2070" s="42" t="s">
        <v>31387</v>
      </c>
      <c r="R2070" s="33" t="s">
        <v>94</v>
      </c>
      <c r="S2070" s="33" t="s">
        <v>29</v>
      </c>
      <c r="T2070" s="33" t="s">
        <v>26575</v>
      </c>
      <c r="U2070" s="33" t="s">
        <v>26575</v>
      </c>
      <c r="W2070" s="33" t="s">
        <v>94</v>
      </c>
      <c r="X2070" s="33">
        <v>3441</v>
      </c>
      <c r="Z2070" s="33" t="s">
        <v>42967</v>
      </c>
      <c r="AA2070" s="33">
        <v>5598</v>
      </c>
    </row>
    <row r="2071" spans="1:27" ht="12" customHeight="1" x14ac:dyDescent="0.15">
      <c r="A2071" s="33" t="s">
        <v>31364</v>
      </c>
      <c r="B2071" s="33">
        <v>37</v>
      </c>
      <c r="C2071" s="33" t="s">
        <v>14</v>
      </c>
      <c r="D2071" s="33" t="s">
        <v>79</v>
      </c>
      <c r="E2071" s="42"/>
      <c r="F2071" s="67">
        <v>43152</v>
      </c>
      <c r="G2071" s="33" t="s">
        <v>31365</v>
      </c>
      <c r="H2071" s="33" t="s">
        <v>31366</v>
      </c>
      <c r="I2071" s="33" t="s">
        <v>46</v>
      </c>
      <c r="J2071" s="33">
        <v>20744</v>
      </c>
      <c r="K2071" s="33" t="s">
        <v>2210</v>
      </c>
      <c r="L2071" s="33" t="s">
        <v>586</v>
      </c>
      <c r="M2071" s="33" t="s">
        <v>21</v>
      </c>
      <c r="N2071" s="33" t="s">
        <v>31367</v>
      </c>
      <c r="O2071" s="33" t="s">
        <v>372</v>
      </c>
      <c r="P2071" s="33" t="s">
        <v>30089</v>
      </c>
      <c r="Q2071" s="42" t="s">
        <v>31368</v>
      </c>
      <c r="R2071" s="33" t="s">
        <v>94</v>
      </c>
      <c r="S2071" s="33" t="s">
        <v>22</v>
      </c>
      <c r="T2071" s="33" t="s">
        <v>26781</v>
      </c>
      <c r="U2071" s="33" t="s">
        <v>26572</v>
      </c>
      <c r="V2071" s="33" t="s">
        <v>26571</v>
      </c>
      <c r="W2071" s="33" t="s">
        <v>94</v>
      </c>
      <c r="X2071" s="33">
        <v>3427</v>
      </c>
      <c r="Z2071" s="33" t="s">
        <v>42968</v>
      </c>
      <c r="AA2071" s="33">
        <v>5593</v>
      </c>
    </row>
    <row r="2072" spans="1:27" ht="12" customHeight="1" x14ac:dyDescent="0.15">
      <c r="A2072" s="33" t="s">
        <v>31373</v>
      </c>
      <c r="B2072" s="33">
        <v>21</v>
      </c>
      <c r="C2072" s="33" t="s">
        <v>14</v>
      </c>
      <c r="D2072" s="33" t="s">
        <v>79</v>
      </c>
      <c r="E2072" s="42"/>
      <c r="F2072" s="67">
        <v>43152</v>
      </c>
      <c r="G2072" s="33" t="s">
        <v>31374</v>
      </c>
      <c r="H2072" s="33" t="s">
        <v>995</v>
      </c>
      <c r="I2072" s="33" t="s">
        <v>88</v>
      </c>
      <c r="J2072" s="33">
        <v>36108</v>
      </c>
      <c r="K2072" s="33" t="s">
        <v>995</v>
      </c>
      <c r="L2072" s="33" t="s">
        <v>19481</v>
      </c>
      <c r="M2072" s="33" t="s">
        <v>21</v>
      </c>
      <c r="N2072" s="33" t="s">
        <v>31375</v>
      </c>
      <c r="O2072" s="33" t="s">
        <v>372</v>
      </c>
      <c r="P2072" s="33" t="s">
        <v>30089</v>
      </c>
      <c r="Q2072" s="42" t="s">
        <v>31376</v>
      </c>
      <c r="R2072" s="33" t="s">
        <v>94</v>
      </c>
      <c r="S2072" s="33" t="s">
        <v>22</v>
      </c>
      <c r="T2072" s="33" t="s">
        <v>26781</v>
      </c>
      <c r="U2072" s="33" t="s">
        <v>26572</v>
      </c>
      <c r="V2072" s="33" t="s">
        <v>26574</v>
      </c>
      <c r="W2072" s="33" t="s">
        <v>94</v>
      </c>
      <c r="X2072" s="33">
        <v>3428</v>
      </c>
      <c r="Z2072" s="33" t="s">
        <v>42968</v>
      </c>
      <c r="AA2072" s="33">
        <v>5594</v>
      </c>
    </row>
    <row r="2073" spans="1:27" ht="12" customHeight="1" x14ac:dyDescent="0.15">
      <c r="A2073" s="33" t="s">
        <v>31369</v>
      </c>
      <c r="B2073" s="33">
        <v>37</v>
      </c>
      <c r="C2073" s="33" t="s">
        <v>14</v>
      </c>
      <c r="D2073" s="33" t="s">
        <v>79</v>
      </c>
      <c r="E2073" s="42"/>
      <c r="F2073" s="67">
        <v>43152</v>
      </c>
      <c r="G2073" s="33" t="s">
        <v>31370</v>
      </c>
      <c r="H2073" s="33" t="s">
        <v>404</v>
      </c>
      <c r="I2073" s="33" t="s">
        <v>621</v>
      </c>
      <c r="J2073" s="33">
        <v>39203</v>
      </c>
      <c r="K2073" s="33" t="s">
        <v>9141</v>
      </c>
      <c r="L2073" s="33" t="s">
        <v>5717</v>
      </c>
      <c r="M2073" s="33" t="s">
        <v>21</v>
      </c>
      <c r="N2073" s="33" t="s">
        <v>31371</v>
      </c>
      <c r="O2073" s="33" t="s">
        <v>372</v>
      </c>
      <c r="P2073" s="33" t="s">
        <v>30089</v>
      </c>
      <c r="Q2073" s="42" t="s">
        <v>31372</v>
      </c>
      <c r="R2073" s="33" t="s">
        <v>94</v>
      </c>
      <c r="S2073" s="33" t="s">
        <v>22</v>
      </c>
      <c r="T2073" s="33" t="s">
        <v>26781</v>
      </c>
      <c r="U2073" s="33" t="s">
        <v>26572</v>
      </c>
      <c r="V2073" s="33" t="s">
        <v>26574</v>
      </c>
      <c r="W2073" s="33" t="s">
        <v>94</v>
      </c>
      <c r="X2073" s="33">
        <v>3440</v>
      </c>
      <c r="Z2073" s="33" t="s">
        <v>42966</v>
      </c>
      <c r="AA2073" s="33">
        <v>5597</v>
      </c>
    </row>
    <row r="2074" spans="1:27" ht="12" customHeight="1" x14ac:dyDescent="0.15">
      <c r="A2074" s="33" t="s">
        <v>31377</v>
      </c>
      <c r="B2074" s="33">
        <v>28</v>
      </c>
      <c r="C2074" s="33" t="s">
        <v>14</v>
      </c>
      <c r="D2074" s="33" t="s">
        <v>31</v>
      </c>
      <c r="E2074" s="42"/>
      <c r="F2074" s="67">
        <v>43152</v>
      </c>
      <c r="G2074" s="33" t="s">
        <v>31378</v>
      </c>
      <c r="H2074" s="33" t="s">
        <v>31379</v>
      </c>
      <c r="I2074" s="33" t="s">
        <v>1605</v>
      </c>
      <c r="J2074" s="33">
        <v>58496</v>
      </c>
      <c r="K2074" s="33" t="s">
        <v>31380</v>
      </c>
      <c r="L2074" s="33" t="s">
        <v>36492</v>
      </c>
      <c r="M2074" s="33" t="s">
        <v>21</v>
      </c>
      <c r="N2074" s="33" t="s">
        <v>31381</v>
      </c>
      <c r="O2074" s="33" t="s">
        <v>372</v>
      </c>
      <c r="P2074" s="33" t="s">
        <v>30089</v>
      </c>
      <c r="Q2074" s="42" t="s">
        <v>31382</v>
      </c>
      <c r="R2074" s="33" t="s">
        <v>94</v>
      </c>
      <c r="S2074" s="33" t="s">
        <v>22</v>
      </c>
      <c r="T2074" s="33" t="s">
        <v>26781</v>
      </c>
      <c r="U2074" s="33" t="s">
        <v>26572</v>
      </c>
      <c r="V2074" s="33" t="s">
        <v>26571</v>
      </c>
      <c r="W2074" s="33" t="s">
        <v>94</v>
      </c>
      <c r="X2074" s="33">
        <v>3429</v>
      </c>
      <c r="Z2074" s="33" t="e">
        <v>#N/A</v>
      </c>
      <c r="AA2074" s="33">
        <v>5595</v>
      </c>
    </row>
    <row r="2075" spans="1:27" ht="12" customHeight="1" x14ac:dyDescent="0.15">
      <c r="A2075" s="33" t="s">
        <v>31392</v>
      </c>
      <c r="B2075" s="33">
        <v>41</v>
      </c>
      <c r="C2075" s="33" t="s">
        <v>14</v>
      </c>
      <c r="D2075" s="33" t="s">
        <v>30751</v>
      </c>
      <c r="E2075" s="42"/>
      <c r="F2075" s="67">
        <v>43150</v>
      </c>
      <c r="G2075" s="33" t="s">
        <v>31393</v>
      </c>
      <c r="H2075" s="33" t="s">
        <v>1132</v>
      </c>
      <c r="I2075" s="33" t="s">
        <v>282</v>
      </c>
      <c r="J2075" s="33">
        <v>98105</v>
      </c>
      <c r="K2075" s="33" t="s">
        <v>1133</v>
      </c>
      <c r="L2075" s="33" t="s">
        <v>1134</v>
      </c>
      <c r="M2075" s="33" t="s">
        <v>21</v>
      </c>
      <c r="N2075" s="33" t="s">
        <v>31394</v>
      </c>
      <c r="O2075" s="33" t="s">
        <v>372</v>
      </c>
      <c r="P2075" s="33" t="s">
        <v>30089</v>
      </c>
      <c r="Q2075" s="42" t="s">
        <v>31395</v>
      </c>
      <c r="R2075" s="33" t="s">
        <v>94</v>
      </c>
      <c r="S2075" s="33" t="s">
        <v>22</v>
      </c>
      <c r="T2075" s="33" t="s">
        <v>26781</v>
      </c>
      <c r="U2075" s="33" t="s">
        <v>26572</v>
      </c>
      <c r="V2075" s="33" t="s">
        <v>26573</v>
      </c>
      <c r="W2075" s="33" t="s">
        <v>94</v>
      </c>
      <c r="X2075" s="33">
        <v>3406</v>
      </c>
      <c r="Z2075" s="33" t="s">
        <v>42966</v>
      </c>
      <c r="AA2075" s="33">
        <v>5589</v>
      </c>
    </row>
    <row r="2076" spans="1:27" ht="12" customHeight="1" x14ac:dyDescent="0.15">
      <c r="A2076" s="33" t="s">
        <v>31396</v>
      </c>
      <c r="B2076" s="33">
        <v>45</v>
      </c>
      <c r="C2076" s="33" t="s">
        <v>14</v>
      </c>
      <c r="D2076" s="33" t="s">
        <v>79</v>
      </c>
      <c r="E2076" s="42"/>
      <c r="F2076" s="67">
        <v>43150</v>
      </c>
      <c r="G2076" s="33" t="s">
        <v>31397</v>
      </c>
      <c r="H2076" s="33" t="s">
        <v>153</v>
      </c>
      <c r="I2076" s="33" t="s">
        <v>67</v>
      </c>
      <c r="J2076" s="33">
        <v>76205</v>
      </c>
      <c r="K2076" s="33" t="s">
        <v>153</v>
      </c>
      <c r="L2076" s="33" t="s">
        <v>32178</v>
      </c>
      <c r="M2076" s="33" t="s">
        <v>21</v>
      </c>
      <c r="N2076" s="33" t="s">
        <v>31398</v>
      </c>
      <c r="O2076" s="33" t="s">
        <v>372</v>
      </c>
      <c r="P2076" s="33" t="s">
        <v>30089</v>
      </c>
      <c r="Q2076" s="42" t="s">
        <v>31399</v>
      </c>
      <c r="R2076" s="33" t="s">
        <v>94</v>
      </c>
      <c r="S2076" s="33" t="s">
        <v>22</v>
      </c>
      <c r="T2076" s="33" t="s">
        <v>26774</v>
      </c>
      <c r="U2076" s="33" t="s">
        <v>26570</v>
      </c>
      <c r="V2076" s="33" t="s">
        <v>26574</v>
      </c>
      <c r="W2076" s="33" t="s">
        <v>94</v>
      </c>
      <c r="X2076" s="33">
        <v>3412</v>
      </c>
      <c r="Z2076" s="33" t="s">
        <v>42966</v>
      </c>
      <c r="AA2076" s="33">
        <v>5591</v>
      </c>
    </row>
    <row r="2077" spans="1:27" ht="12" customHeight="1" x14ac:dyDescent="0.15">
      <c r="A2077" s="33" t="s">
        <v>31388</v>
      </c>
      <c r="B2077" s="33">
        <v>23</v>
      </c>
      <c r="C2077" s="33" t="s">
        <v>14</v>
      </c>
      <c r="D2077" s="33" t="s">
        <v>42</v>
      </c>
      <c r="E2077" s="42"/>
      <c r="F2077" s="67">
        <v>43150</v>
      </c>
      <c r="G2077" s="33" t="s">
        <v>31389</v>
      </c>
      <c r="H2077" s="33" t="s">
        <v>1227</v>
      </c>
      <c r="I2077" s="33" t="s">
        <v>67</v>
      </c>
      <c r="J2077" s="33">
        <v>78744</v>
      </c>
      <c r="K2077" s="33" t="s">
        <v>1228</v>
      </c>
      <c r="L2077" s="33" t="s">
        <v>1229</v>
      </c>
      <c r="M2077" s="33" t="s">
        <v>21</v>
      </c>
      <c r="N2077" s="33" t="s">
        <v>31390</v>
      </c>
      <c r="O2077" s="33" t="s">
        <v>372</v>
      </c>
      <c r="P2077" s="33" t="s">
        <v>30089</v>
      </c>
      <c r="Q2077" s="42" t="s">
        <v>31391</v>
      </c>
      <c r="R2077" s="33" t="s">
        <v>512</v>
      </c>
      <c r="S2077" s="33" t="s">
        <v>22</v>
      </c>
      <c r="T2077" s="33" t="s">
        <v>26781</v>
      </c>
      <c r="U2077" s="33" t="s">
        <v>26572</v>
      </c>
      <c r="V2077" s="33" t="s">
        <v>19228</v>
      </c>
      <c r="W2077" s="33" t="s">
        <v>94</v>
      </c>
      <c r="X2077" s="33">
        <v>3407</v>
      </c>
      <c r="Z2077" s="33" t="s">
        <v>42968</v>
      </c>
      <c r="AA2077" s="33">
        <v>5590</v>
      </c>
    </row>
    <row r="2078" spans="1:27" ht="12" customHeight="1" x14ac:dyDescent="0.15">
      <c r="A2078" s="33" t="s">
        <v>31400</v>
      </c>
      <c r="B2078" s="33">
        <v>33</v>
      </c>
      <c r="C2078" s="33" t="s">
        <v>14</v>
      </c>
      <c r="D2078" s="33" t="s">
        <v>30751</v>
      </c>
      <c r="E2078" s="42"/>
      <c r="F2078" s="67">
        <v>43150</v>
      </c>
      <c r="G2078" s="33" t="s">
        <v>31401</v>
      </c>
      <c r="H2078" s="33" t="s">
        <v>2536</v>
      </c>
      <c r="I2078" s="33" t="s">
        <v>621</v>
      </c>
      <c r="J2078" s="33">
        <v>39307</v>
      </c>
      <c r="K2078" s="33" t="s">
        <v>2538</v>
      </c>
      <c r="L2078" s="33" t="s">
        <v>32177</v>
      </c>
      <c r="M2078" s="33" t="s">
        <v>21</v>
      </c>
      <c r="N2078" s="33" t="s">
        <v>31402</v>
      </c>
      <c r="O2078" s="33" t="s">
        <v>372</v>
      </c>
      <c r="P2078" s="33" t="s">
        <v>30089</v>
      </c>
      <c r="Q2078" s="42" t="s">
        <v>31403</v>
      </c>
      <c r="R2078" s="33" t="s">
        <v>94</v>
      </c>
      <c r="S2078" s="33" t="s">
        <v>12</v>
      </c>
      <c r="T2078" s="33" t="s">
        <v>29705</v>
      </c>
      <c r="U2078" s="33" t="s">
        <v>26575</v>
      </c>
      <c r="V2078" s="33" t="s">
        <v>26571</v>
      </c>
      <c r="Z2078" s="33" t="s">
        <v>42968</v>
      </c>
      <c r="AA2078" s="33">
        <v>5592</v>
      </c>
    </row>
    <row r="2079" spans="1:27" ht="12" customHeight="1" x14ac:dyDescent="0.15">
      <c r="A2079" s="33" t="s">
        <v>31409</v>
      </c>
      <c r="B2079" s="33">
        <v>51</v>
      </c>
      <c r="C2079" s="33" t="s">
        <v>14</v>
      </c>
      <c r="D2079" s="33" t="s">
        <v>42</v>
      </c>
      <c r="E2079" s="42"/>
      <c r="F2079" s="67">
        <v>43149</v>
      </c>
      <c r="G2079" s="33" t="s">
        <v>31410</v>
      </c>
      <c r="H2079" s="33" t="s">
        <v>639</v>
      </c>
      <c r="I2079" s="33" t="s">
        <v>112</v>
      </c>
      <c r="J2079" s="33">
        <v>85251</v>
      </c>
      <c r="K2079" s="33" t="s">
        <v>585</v>
      </c>
      <c r="L2079" s="33" t="s">
        <v>4494</v>
      </c>
      <c r="M2079" s="33" t="s">
        <v>21</v>
      </c>
      <c r="N2079" s="33" t="s">
        <v>31411</v>
      </c>
      <c r="O2079" s="33" t="s">
        <v>372</v>
      </c>
      <c r="P2079" s="33" t="s">
        <v>30089</v>
      </c>
      <c r="Q2079" s="42" t="s">
        <v>31412</v>
      </c>
      <c r="R2079" s="33" t="s">
        <v>512</v>
      </c>
      <c r="S2079" s="33" t="s">
        <v>22</v>
      </c>
      <c r="T2079" s="33" t="s">
        <v>26781</v>
      </c>
      <c r="U2079" s="33" t="s">
        <v>26572</v>
      </c>
      <c r="V2079" s="33" t="s">
        <v>26573</v>
      </c>
      <c r="Y2079" s="33" t="s">
        <v>42476</v>
      </c>
      <c r="Z2079" s="33" t="s">
        <v>42966</v>
      </c>
      <c r="AA2079" s="33">
        <v>5588</v>
      </c>
    </row>
    <row r="2080" spans="1:27" ht="12" customHeight="1" x14ac:dyDescent="0.15">
      <c r="A2080" s="33" t="s">
        <v>31404</v>
      </c>
      <c r="B2080" s="33">
        <v>33</v>
      </c>
      <c r="C2080" s="33" t="s">
        <v>14</v>
      </c>
      <c r="D2080" s="33" t="s">
        <v>42</v>
      </c>
      <c r="E2080" s="42" t="s">
        <v>31405</v>
      </c>
      <c r="F2080" s="67">
        <v>43149</v>
      </c>
      <c r="G2080" s="33" t="s">
        <v>31406</v>
      </c>
      <c r="H2080" s="33" t="s">
        <v>1021</v>
      </c>
      <c r="I2080" s="33" t="s">
        <v>67</v>
      </c>
      <c r="J2080" s="33">
        <v>78109</v>
      </c>
      <c r="K2080" s="33" t="s">
        <v>533</v>
      </c>
      <c r="L2080" s="33" t="s">
        <v>262</v>
      </c>
      <c r="M2080" s="33" t="s">
        <v>21</v>
      </c>
      <c r="N2080" s="33" t="s">
        <v>31407</v>
      </c>
      <c r="O2080" s="33" t="s">
        <v>372</v>
      </c>
      <c r="P2080" s="33" t="s">
        <v>30089</v>
      </c>
      <c r="Q2080" s="42" t="s">
        <v>31408</v>
      </c>
      <c r="R2080" s="33" t="s">
        <v>94</v>
      </c>
      <c r="S2080" s="33" t="s">
        <v>22</v>
      </c>
      <c r="T2080" s="33" t="s">
        <v>26781</v>
      </c>
      <c r="U2080" s="33" t="s">
        <v>26572</v>
      </c>
      <c r="V2080" s="33" t="s">
        <v>26571</v>
      </c>
      <c r="W2080" s="33" t="s">
        <v>94</v>
      </c>
      <c r="X2080" s="33">
        <v>3426</v>
      </c>
      <c r="Z2080" s="33" t="s">
        <v>42968</v>
      </c>
      <c r="AA2080" s="33">
        <v>5587</v>
      </c>
    </row>
    <row r="2081" spans="1:27" ht="12" customHeight="1" x14ac:dyDescent="0.15">
      <c r="A2081" s="33" t="s">
        <v>3002</v>
      </c>
      <c r="B2081" s="33" t="s">
        <v>23</v>
      </c>
      <c r="C2081" s="33" t="s">
        <v>14</v>
      </c>
      <c r="D2081" s="33" t="s">
        <v>31</v>
      </c>
      <c r="E2081" s="42"/>
      <c r="F2081" s="67">
        <v>43148</v>
      </c>
      <c r="G2081" s="33" t="s">
        <v>31413</v>
      </c>
      <c r="H2081" s="33" t="s">
        <v>10328</v>
      </c>
      <c r="I2081" s="33" t="s">
        <v>367</v>
      </c>
      <c r="J2081" s="33">
        <v>74015</v>
      </c>
      <c r="K2081" s="33" t="s">
        <v>31414</v>
      </c>
      <c r="L2081" s="33" t="s">
        <v>32179</v>
      </c>
      <c r="M2081" s="33" t="s">
        <v>21</v>
      </c>
      <c r="N2081" s="33" t="s">
        <v>31415</v>
      </c>
      <c r="O2081" s="33" t="s">
        <v>372</v>
      </c>
      <c r="P2081" s="33" t="s">
        <v>30089</v>
      </c>
      <c r="Q2081" s="42" t="s">
        <v>31416</v>
      </c>
      <c r="R2081" s="33" t="s">
        <v>23</v>
      </c>
      <c r="S2081" s="33" t="s">
        <v>22</v>
      </c>
      <c r="T2081" s="33" t="s">
        <v>26781</v>
      </c>
      <c r="U2081" s="33" t="s">
        <v>26572</v>
      </c>
      <c r="V2081" s="33" t="s">
        <v>26573</v>
      </c>
      <c r="W2081" s="33" t="s">
        <v>94</v>
      </c>
      <c r="X2081" s="33">
        <v>3425</v>
      </c>
      <c r="Z2081" s="33" t="s">
        <v>42967</v>
      </c>
      <c r="AA2081" s="33">
        <v>5583</v>
      </c>
    </row>
    <row r="2082" spans="1:27" ht="12" customHeight="1" x14ac:dyDescent="0.15">
      <c r="A2082" s="33" t="s">
        <v>31424</v>
      </c>
      <c r="B2082" s="33">
        <v>23</v>
      </c>
      <c r="C2082" s="33" t="s">
        <v>14</v>
      </c>
      <c r="D2082" s="33" t="s">
        <v>42</v>
      </c>
      <c r="E2082" s="42" t="s">
        <v>31425</v>
      </c>
      <c r="F2082" s="67">
        <v>43148</v>
      </c>
      <c r="G2082" s="33" t="s">
        <v>31426</v>
      </c>
      <c r="H2082" s="33" t="s">
        <v>911</v>
      </c>
      <c r="I2082" s="33" t="s">
        <v>178</v>
      </c>
      <c r="J2082" s="33">
        <v>88001</v>
      </c>
      <c r="K2082" s="33" t="s">
        <v>912</v>
      </c>
      <c r="L2082" s="33" t="s">
        <v>6512</v>
      </c>
      <c r="M2082" s="33" t="s">
        <v>21</v>
      </c>
      <c r="N2082" s="33" t="s">
        <v>36495</v>
      </c>
      <c r="O2082" s="33" t="s">
        <v>372</v>
      </c>
      <c r="P2082" s="33" t="s">
        <v>30089</v>
      </c>
      <c r="Q2082" s="42" t="s">
        <v>31427</v>
      </c>
      <c r="R2082" s="33" t="s">
        <v>94</v>
      </c>
      <c r="S2082" s="33" t="s">
        <v>351</v>
      </c>
      <c r="T2082" s="33" t="s">
        <v>26867</v>
      </c>
      <c r="U2082" s="33" t="s">
        <v>26570</v>
      </c>
      <c r="V2082" s="33" t="s">
        <v>26571</v>
      </c>
      <c r="W2082" s="33" t="s">
        <v>94</v>
      </c>
      <c r="X2082" s="33">
        <v>3424</v>
      </c>
      <c r="Z2082" s="33" t="s">
        <v>42968</v>
      </c>
      <c r="AA2082" s="33">
        <v>5586</v>
      </c>
    </row>
    <row r="2083" spans="1:27" ht="12" customHeight="1" x14ac:dyDescent="0.15">
      <c r="A2083" s="33" t="s">
        <v>31420</v>
      </c>
      <c r="B2083" s="33">
        <v>24</v>
      </c>
      <c r="C2083" s="33" t="s">
        <v>14</v>
      </c>
      <c r="D2083" s="33" t="s">
        <v>79</v>
      </c>
      <c r="E2083" s="42"/>
      <c r="F2083" s="67">
        <v>43148</v>
      </c>
      <c r="G2083" s="33" t="s">
        <v>31421</v>
      </c>
      <c r="H2083" s="33" t="s">
        <v>31422</v>
      </c>
      <c r="I2083" s="33" t="s">
        <v>26</v>
      </c>
      <c r="J2083" s="33">
        <v>29940</v>
      </c>
      <c r="K2083" s="33" t="s">
        <v>12027</v>
      </c>
      <c r="L2083" s="33" t="s">
        <v>36493</v>
      </c>
      <c r="M2083" s="33" t="s">
        <v>363</v>
      </c>
      <c r="N2083" s="33" t="s">
        <v>36494</v>
      </c>
      <c r="O2083" s="33" t="s">
        <v>372</v>
      </c>
      <c r="P2083" s="33" t="s">
        <v>30089</v>
      </c>
      <c r="Q2083" s="42" t="s">
        <v>31423</v>
      </c>
      <c r="R2083" s="33" t="s">
        <v>512</v>
      </c>
      <c r="S2083" s="33" t="s">
        <v>12</v>
      </c>
      <c r="T2083" s="33" t="s">
        <v>29705</v>
      </c>
      <c r="U2083" s="33" t="s">
        <v>26570</v>
      </c>
      <c r="V2083" s="33" t="s">
        <v>26573</v>
      </c>
      <c r="Z2083" s="33" t="s">
        <v>42967</v>
      </c>
      <c r="AA2083" s="33">
        <v>5584</v>
      </c>
    </row>
    <row r="2084" spans="1:27" ht="12" customHeight="1" x14ac:dyDescent="0.15">
      <c r="A2084" s="33" t="s">
        <v>31428</v>
      </c>
      <c r="B2084" s="33">
        <v>28</v>
      </c>
      <c r="C2084" s="33" t="s">
        <v>14</v>
      </c>
      <c r="D2084" s="33" t="s">
        <v>31</v>
      </c>
      <c r="E2084" s="42"/>
      <c r="F2084" s="67">
        <v>43148</v>
      </c>
      <c r="G2084" s="33" t="s">
        <v>31429</v>
      </c>
      <c r="H2084" s="33" t="s">
        <v>8841</v>
      </c>
      <c r="I2084" s="33" t="s">
        <v>56</v>
      </c>
      <c r="J2084" s="33">
        <v>34442</v>
      </c>
      <c r="K2084" s="33" t="s">
        <v>5505</v>
      </c>
      <c r="L2084" s="33" t="s">
        <v>5506</v>
      </c>
      <c r="M2084" s="33" t="s">
        <v>21</v>
      </c>
      <c r="N2084" s="33" t="s">
        <v>36496</v>
      </c>
      <c r="O2084" s="33" t="s">
        <v>372</v>
      </c>
      <c r="P2084" s="33" t="s">
        <v>30089</v>
      </c>
      <c r="Q2084" s="42" t="s">
        <v>31430</v>
      </c>
      <c r="R2084" s="33" t="s">
        <v>94</v>
      </c>
      <c r="S2084" s="33" t="s">
        <v>351</v>
      </c>
      <c r="T2084" s="33" t="s">
        <v>26867</v>
      </c>
      <c r="U2084" s="33" t="s">
        <v>26570</v>
      </c>
      <c r="V2084" s="33" t="s">
        <v>26573</v>
      </c>
      <c r="W2084" s="33" t="s">
        <v>94</v>
      </c>
      <c r="X2084" s="33">
        <v>3423</v>
      </c>
      <c r="Z2084" s="33" t="s">
        <v>42968</v>
      </c>
      <c r="AA2084" s="33">
        <v>5585</v>
      </c>
    </row>
    <row r="2085" spans="1:27" ht="12" customHeight="1" x14ac:dyDescent="0.15">
      <c r="A2085" s="33" t="s">
        <v>3002</v>
      </c>
      <c r="B2085" s="33" t="s">
        <v>23</v>
      </c>
      <c r="C2085" s="33" t="s">
        <v>14</v>
      </c>
      <c r="D2085" s="33" t="s">
        <v>79</v>
      </c>
      <c r="E2085" s="42"/>
      <c r="F2085" s="67">
        <v>43148</v>
      </c>
      <c r="G2085" s="33" t="s">
        <v>31417</v>
      </c>
      <c r="H2085" s="33" t="s">
        <v>29338</v>
      </c>
      <c r="I2085" s="33" t="s">
        <v>139</v>
      </c>
      <c r="J2085" s="33">
        <v>25428</v>
      </c>
      <c r="K2085" s="33" t="s">
        <v>4889</v>
      </c>
      <c r="L2085" s="33" t="s">
        <v>17498</v>
      </c>
      <c r="M2085" s="33" t="s">
        <v>21</v>
      </c>
      <c r="N2085" s="33" t="s">
        <v>31418</v>
      </c>
      <c r="O2085" s="33" t="s">
        <v>372</v>
      </c>
      <c r="P2085" s="33" t="s">
        <v>30089</v>
      </c>
      <c r="Q2085" s="42" t="s">
        <v>31419</v>
      </c>
      <c r="R2085" s="33" t="s">
        <v>94</v>
      </c>
      <c r="S2085" s="33" t="s">
        <v>22</v>
      </c>
      <c r="T2085" s="33" t="s">
        <v>26781</v>
      </c>
      <c r="U2085" s="33" t="s">
        <v>26572</v>
      </c>
      <c r="V2085" s="33" t="s">
        <v>26573</v>
      </c>
      <c r="W2085" s="33" t="s">
        <v>94</v>
      </c>
      <c r="X2085" s="33">
        <v>3422</v>
      </c>
      <c r="Z2085" s="33" t="s">
        <v>42968</v>
      </c>
      <c r="AA2085" s="33">
        <v>5582</v>
      </c>
    </row>
    <row r="2086" spans="1:27" ht="12" customHeight="1" x14ac:dyDescent="0.15">
      <c r="A2086" s="33" t="s">
        <v>31436</v>
      </c>
      <c r="B2086" s="33">
        <v>39</v>
      </c>
      <c r="C2086" s="33" t="s">
        <v>14</v>
      </c>
      <c r="D2086" s="33" t="s">
        <v>31</v>
      </c>
      <c r="E2086" s="42" t="s">
        <v>31437</v>
      </c>
      <c r="F2086" s="67">
        <v>43147</v>
      </c>
      <c r="G2086" s="33" t="s">
        <v>31438</v>
      </c>
      <c r="H2086" s="33" t="s">
        <v>2064</v>
      </c>
      <c r="I2086" s="33" t="s">
        <v>139</v>
      </c>
      <c r="J2086" s="33">
        <v>25320</v>
      </c>
      <c r="K2086" s="33" t="s">
        <v>859</v>
      </c>
      <c r="L2086" s="33" t="s">
        <v>5161</v>
      </c>
      <c r="M2086" s="33" t="s">
        <v>21</v>
      </c>
      <c r="N2086" s="33" t="s">
        <v>31439</v>
      </c>
      <c r="O2086" s="33" t="s">
        <v>372</v>
      </c>
      <c r="P2086" s="33" t="s">
        <v>30089</v>
      </c>
      <c r="Q2086" s="42" t="s">
        <v>31440</v>
      </c>
      <c r="R2086" s="33" t="s">
        <v>512</v>
      </c>
      <c r="S2086" s="33" t="s">
        <v>29</v>
      </c>
      <c r="T2086" s="33" t="s">
        <v>26575</v>
      </c>
      <c r="U2086" s="33" t="s">
        <v>26575</v>
      </c>
      <c r="W2086" s="33" t="s">
        <v>94</v>
      </c>
      <c r="X2086" s="33">
        <v>3421</v>
      </c>
      <c r="Z2086" s="33" t="s">
        <v>42967</v>
      </c>
      <c r="AA2086" s="33">
        <v>5581</v>
      </c>
    </row>
    <row r="2087" spans="1:27" ht="12" customHeight="1" x14ac:dyDescent="0.15">
      <c r="A2087" s="33" t="s">
        <v>31431</v>
      </c>
      <c r="B2087" s="33">
        <v>59</v>
      </c>
      <c r="C2087" s="33" t="s">
        <v>14</v>
      </c>
      <c r="D2087" s="33" t="s">
        <v>31</v>
      </c>
      <c r="E2087" s="42"/>
      <c r="F2087" s="67">
        <v>43147</v>
      </c>
      <c r="G2087" s="33" t="s">
        <v>31432</v>
      </c>
      <c r="H2087" s="33" t="s">
        <v>31433</v>
      </c>
      <c r="I2087" s="33" t="s">
        <v>56</v>
      </c>
      <c r="J2087" s="33">
        <v>32931</v>
      </c>
      <c r="K2087" s="33" t="s">
        <v>1654</v>
      </c>
      <c r="L2087" s="33" t="s">
        <v>32180</v>
      </c>
      <c r="M2087" s="33" t="s">
        <v>21</v>
      </c>
      <c r="N2087" s="33" t="s">
        <v>31434</v>
      </c>
      <c r="O2087" s="33" t="s">
        <v>372</v>
      </c>
      <c r="P2087" s="33" t="s">
        <v>30089</v>
      </c>
      <c r="Q2087" s="42" t="s">
        <v>31435</v>
      </c>
      <c r="R2087" s="33" t="s">
        <v>904</v>
      </c>
      <c r="S2087" s="33" t="s">
        <v>22</v>
      </c>
      <c r="T2087" s="33" t="s">
        <v>26781</v>
      </c>
      <c r="U2087" s="33" t="s">
        <v>26575</v>
      </c>
      <c r="V2087" s="33" t="s">
        <v>26573</v>
      </c>
      <c r="W2087" s="33" t="s">
        <v>94</v>
      </c>
      <c r="X2087" s="33">
        <v>3420</v>
      </c>
      <c r="Z2087" s="33" t="s">
        <v>42968</v>
      </c>
      <c r="AA2087" s="33">
        <v>5580</v>
      </c>
    </row>
    <row r="2088" spans="1:27" ht="12" customHeight="1" x14ac:dyDescent="0.15">
      <c r="A2088" s="33" t="s">
        <v>31445</v>
      </c>
      <c r="B2088" s="33">
        <v>58</v>
      </c>
      <c r="C2088" s="33" t="s">
        <v>14</v>
      </c>
      <c r="D2088" s="33" t="s">
        <v>31</v>
      </c>
      <c r="E2088" s="42"/>
      <c r="F2088" s="67">
        <v>43146</v>
      </c>
      <c r="G2088" s="33" t="s">
        <v>31446</v>
      </c>
      <c r="H2088" s="33" t="s">
        <v>1194</v>
      </c>
      <c r="I2088" s="33" t="s">
        <v>338</v>
      </c>
      <c r="J2088" s="33">
        <v>27536</v>
      </c>
      <c r="K2088" s="33" t="s">
        <v>31447</v>
      </c>
      <c r="L2088" s="33" t="s">
        <v>36351</v>
      </c>
      <c r="M2088" s="33" t="s">
        <v>21</v>
      </c>
      <c r="N2088" s="33" t="s">
        <v>31448</v>
      </c>
      <c r="O2088" s="33" t="s">
        <v>372</v>
      </c>
      <c r="P2088" s="33" t="s">
        <v>30089</v>
      </c>
      <c r="Q2088" s="42" t="s">
        <v>31449</v>
      </c>
      <c r="R2088" s="33" t="s">
        <v>94</v>
      </c>
      <c r="S2088" s="33" t="s">
        <v>22</v>
      </c>
      <c r="T2088" s="33" t="s">
        <v>26781</v>
      </c>
      <c r="U2088" s="33" t="s">
        <v>26572</v>
      </c>
      <c r="V2088" s="33" t="s">
        <v>26573</v>
      </c>
      <c r="W2088" s="33" t="s">
        <v>94</v>
      </c>
      <c r="X2088" s="33">
        <v>3418</v>
      </c>
      <c r="Z2088" s="33" t="s">
        <v>42966</v>
      </c>
      <c r="AA2088" s="33">
        <v>5579</v>
      </c>
    </row>
    <row r="2089" spans="1:27" ht="12" customHeight="1" x14ac:dyDescent="0.15">
      <c r="A2089" s="33" t="s">
        <v>31454</v>
      </c>
      <c r="B2089" s="33">
        <v>27</v>
      </c>
      <c r="C2089" s="33" t="s">
        <v>14</v>
      </c>
      <c r="D2089" s="33" t="s">
        <v>31</v>
      </c>
      <c r="E2089" s="42"/>
      <c r="F2089" s="67">
        <v>43146</v>
      </c>
      <c r="G2089" s="33" t="s">
        <v>31455</v>
      </c>
      <c r="H2089" s="33" t="s">
        <v>31456</v>
      </c>
      <c r="I2089" s="33" t="s">
        <v>402</v>
      </c>
      <c r="J2089" s="33">
        <v>64083</v>
      </c>
      <c r="K2089" s="33" t="s">
        <v>7590</v>
      </c>
      <c r="L2089" s="33" t="s">
        <v>8998</v>
      </c>
      <c r="M2089" s="33" t="s">
        <v>21</v>
      </c>
      <c r="N2089" s="33" t="s">
        <v>31457</v>
      </c>
      <c r="O2089" s="33" t="s">
        <v>372</v>
      </c>
      <c r="P2089" s="33" t="s">
        <v>30089</v>
      </c>
      <c r="Q2089" s="42" t="s">
        <v>31458</v>
      </c>
      <c r="R2089" s="33" t="s">
        <v>512</v>
      </c>
      <c r="S2089" s="33" t="s">
        <v>22</v>
      </c>
      <c r="T2089" s="33" t="s">
        <v>26781</v>
      </c>
      <c r="U2089" s="33" t="s">
        <v>26572</v>
      </c>
      <c r="V2089" s="33" t="s">
        <v>19228</v>
      </c>
      <c r="W2089" s="33" t="s">
        <v>94</v>
      </c>
      <c r="X2089" s="33">
        <v>3415</v>
      </c>
      <c r="Z2089" s="33" t="s">
        <v>42968</v>
      </c>
      <c r="AA2089" s="33">
        <v>5577</v>
      </c>
    </row>
    <row r="2090" spans="1:27" ht="12" customHeight="1" x14ac:dyDescent="0.15">
      <c r="A2090" s="33" t="s">
        <v>3002</v>
      </c>
      <c r="B2090" s="33" t="s">
        <v>23</v>
      </c>
      <c r="C2090" s="33" t="s">
        <v>14</v>
      </c>
      <c r="D2090" s="33" t="s">
        <v>128</v>
      </c>
      <c r="E2090" s="42"/>
      <c r="F2090" s="67">
        <v>43146</v>
      </c>
      <c r="G2090" s="33" t="s">
        <v>31450</v>
      </c>
      <c r="H2090" s="33" t="s">
        <v>31451</v>
      </c>
      <c r="I2090" s="33" t="s">
        <v>221</v>
      </c>
      <c r="J2090" s="33">
        <v>84534</v>
      </c>
      <c r="K2090" s="33" t="s">
        <v>5263</v>
      </c>
      <c r="L2090" s="33" t="s">
        <v>27817</v>
      </c>
      <c r="M2090" s="33" t="s">
        <v>21</v>
      </c>
      <c r="N2090" s="33" t="s">
        <v>31452</v>
      </c>
      <c r="O2090" s="33" t="s">
        <v>372</v>
      </c>
      <c r="P2090" s="33" t="s">
        <v>30089</v>
      </c>
      <c r="Q2090" s="42" t="s">
        <v>31453</v>
      </c>
      <c r="R2090" s="33" t="s">
        <v>94</v>
      </c>
      <c r="S2090" s="33" t="s">
        <v>22</v>
      </c>
      <c r="T2090" s="33" t="s">
        <v>26781</v>
      </c>
      <c r="U2090" s="33" t="s">
        <v>26572</v>
      </c>
      <c r="V2090" s="33" t="s">
        <v>26571</v>
      </c>
      <c r="W2090" s="33" t="s">
        <v>94</v>
      </c>
      <c r="X2090" s="33">
        <v>3417</v>
      </c>
      <c r="Z2090" s="33" t="s">
        <v>42967</v>
      </c>
      <c r="AA2090" s="33">
        <v>5578</v>
      </c>
    </row>
    <row r="2091" spans="1:27" ht="12" customHeight="1" x14ac:dyDescent="0.15">
      <c r="A2091" s="33" t="s">
        <v>31441</v>
      </c>
      <c r="B2091" s="33">
        <v>57</v>
      </c>
      <c r="C2091" s="33" t="s">
        <v>14</v>
      </c>
      <c r="D2091" s="33" t="s">
        <v>42</v>
      </c>
      <c r="E2091" s="42"/>
      <c r="F2091" s="67">
        <v>43146</v>
      </c>
      <c r="G2091" s="33" t="s">
        <v>31442</v>
      </c>
      <c r="H2091" s="33" t="s">
        <v>1337</v>
      </c>
      <c r="I2091" s="33" t="s">
        <v>112</v>
      </c>
      <c r="J2091" s="33">
        <v>85204</v>
      </c>
      <c r="K2091" s="33" t="s">
        <v>585</v>
      </c>
      <c r="L2091" s="33" t="s">
        <v>1338</v>
      </c>
      <c r="M2091" s="33" t="s">
        <v>21</v>
      </c>
      <c r="N2091" s="33" t="s">
        <v>31443</v>
      </c>
      <c r="O2091" s="33" t="s">
        <v>372</v>
      </c>
      <c r="P2091" s="33" t="s">
        <v>30089</v>
      </c>
      <c r="Q2091" s="42" t="s">
        <v>31444</v>
      </c>
      <c r="R2091" s="33" t="s">
        <v>23</v>
      </c>
      <c r="S2091" s="33" t="s">
        <v>22</v>
      </c>
      <c r="T2091" s="33" t="s">
        <v>26781</v>
      </c>
      <c r="U2091" s="33" t="s">
        <v>26572</v>
      </c>
      <c r="V2091" s="33" t="s">
        <v>26573</v>
      </c>
      <c r="W2091" s="33" t="s">
        <v>94</v>
      </c>
      <c r="X2091" s="33">
        <v>3408</v>
      </c>
      <c r="Z2091" s="33" t="s">
        <v>42968</v>
      </c>
      <c r="AA2091" s="33">
        <v>5576</v>
      </c>
    </row>
    <row r="2092" spans="1:27" ht="12" customHeight="1" x14ac:dyDescent="0.15">
      <c r="A2092" s="33" t="s">
        <v>31459</v>
      </c>
      <c r="B2092" s="33">
        <v>29</v>
      </c>
      <c r="C2092" s="33" t="s">
        <v>14</v>
      </c>
      <c r="D2092" s="33" t="s">
        <v>31</v>
      </c>
      <c r="E2092" s="42"/>
      <c r="F2092" s="67">
        <v>43145</v>
      </c>
      <c r="G2092" s="33" t="s">
        <v>31460</v>
      </c>
      <c r="H2092" s="33" t="s">
        <v>31461</v>
      </c>
      <c r="I2092" s="33" t="s">
        <v>198</v>
      </c>
      <c r="J2092" s="33">
        <v>46990</v>
      </c>
      <c r="K2092" s="33" t="s">
        <v>31188</v>
      </c>
      <c r="L2092" s="33" t="s">
        <v>36497</v>
      </c>
      <c r="M2092" s="33" t="s">
        <v>21</v>
      </c>
      <c r="N2092" s="33" t="s">
        <v>31462</v>
      </c>
      <c r="O2092" s="33" t="s">
        <v>372</v>
      </c>
      <c r="P2092" s="33" t="s">
        <v>30089</v>
      </c>
      <c r="Q2092" s="42" t="s">
        <v>31463</v>
      </c>
      <c r="R2092" s="33" t="s">
        <v>94</v>
      </c>
      <c r="S2092" s="33" t="s">
        <v>22</v>
      </c>
      <c r="T2092" s="33" t="s">
        <v>26781</v>
      </c>
      <c r="U2092" s="33" t="s">
        <v>26570</v>
      </c>
      <c r="V2092" s="33" t="s">
        <v>26573</v>
      </c>
      <c r="W2092" s="33" t="s">
        <v>94</v>
      </c>
      <c r="X2092" s="33">
        <v>3414</v>
      </c>
      <c r="Z2092" s="33" t="s">
        <v>42967</v>
      </c>
      <c r="AA2092" s="33">
        <v>5573</v>
      </c>
    </row>
    <row r="2093" spans="1:27" ht="12" customHeight="1" x14ac:dyDescent="0.15">
      <c r="A2093" s="33" t="s">
        <v>31467</v>
      </c>
      <c r="B2093" s="33">
        <v>41</v>
      </c>
      <c r="C2093" s="33" t="s">
        <v>14</v>
      </c>
      <c r="D2093" s="33" t="s">
        <v>31</v>
      </c>
      <c r="E2093" s="42"/>
      <c r="F2093" s="67">
        <v>43145</v>
      </c>
      <c r="G2093" s="33" t="s">
        <v>31468</v>
      </c>
      <c r="H2093" s="33" t="s">
        <v>12671</v>
      </c>
      <c r="I2093" s="33" t="s">
        <v>88</v>
      </c>
      <c r="J2093" s="33">
        <v>36618</v>
      </c>
      <c r="K2093" s="33" t="s">
        <v>12671</v>
      </c>
      <c r="L2093" s="33" t="s">
        <v>12949</v>
      </c>
      <c r="M2093" s="33" t="s">
        <v>21</v>
      </c>
      <c r="N2093" s="33" t="s">
        <v>31469</v>
      </c>
      <c r="O2093" s="33" t="s">
        <v>372</v>
      </c>
      <c r="P2093" s="33" t="s">
        <v>30089</v>
      </c>
      <c r="Q2093" s="42" t="s">
        <v>31470</v>
      </c>
      <c r="R2093" s="33" t="s">
        <v>512</v>
      </c>
      <c r="S2093" s="33" t="s">
        <v>22</v>
      </c>
      <c r="T2093" s="33" t="s">
        <v>26781</v>
      </c>
      <c r="U2093" s="33" t="s">
        <v>26572</v>
      </c>
      <c r="V2093" s="33" t="s">
        <v>26573</v>
      </c>
      <c r="W2093" s="33" t="s">
        <v>94</v>
      </c>
      <c r="X2093" s="33">
        <v>3416</v>
      </c>
      <c r="Z2093" s="33" t="s">
        <v>42968</v>
      </c>
      <c r="AA2093" s="33">
        <v>5574</v>
      </c>
    </row>
    <row r="2094" spans="1:27" ht="12" customHeight="1" x14ac:dyDescent="0.15">
      <c r="A2094" s="33" t="s">
        <v>31471</v>
      </c>
      <c r="B2094" s="33">
        <v>30</v>
      </c>
      <c r="C2094" s="33" t="s">
        <v>14</v>
      </c>
      <c r="D2094" s="33" t="s">
        <v>79</v>
      </c>
      <c r="E2094" s="42"/>
      <c r="F2094" s="67">
        <v>43145</v>
      </c>
      <c r="G2094" s="33" t="s">
        <v>31472</v>
      </c>
      <c r="H2094" s="33" t="s">
        <v>31473</v>
      </c>
      <c r="I2094" s="33" t="s">
        <v>198</v>
      </c>
      <c r="J2094" s="33">
        <v>46410</v>
      </c>
      <c r="K2094" s="33" t="s">
        <v>1179</v>
      </c>
      <c r="L2094" s="33" t="s">
        <v>32181</v>
      </c>
      <c r="M2094" s="33" t="s">
        <v>21</v>
      </c>
      <c r="N2094" s="33" t="s">
        <v>31474</v>
      </c>
      <c r="O2094" s="33" t="s">
        <v>372</v>
      </c>
      <c r="P2094" s="33" t="s">
        <v>30089</v>
      </c>
      <c r="Q2094" s="42" t="s">
        <v>31475</v>
      </c>
      <c r="R2094" s="33" t="s">
        <v>94</v>
      </c>
      <c r="S2094" s="33" t="s">
        <v>22</v>
      </c>
      <c r="T2094" s="33" t="s">
        <v>26774</v>
      </c>
      <c r="U2094" s="33" t="s">
        <v>26572</v>
      </c>
      <c r="V2094" s="33" t="s">
        <v>26573</v>
      </c>
      <c r="W2094" s="33" t="s">
        <v>94</v>
      </c>
      <c r="X2094" s="33">
        <v>3413</v>
      </c>
      <c r="Z2094" s="33" t="s">
        <v>42968</v>
      </c>
      <c r="AA2094" s="33">
        <v>5575</v>
      </c>
    </row>
    <row r="2095" spans="1:27" ht="12" customHeight="1" x14ac:dyDescent="0.15">
      <c r="A2095" s="33" t="s">
        <v>3002</v>
      </c>
      <c r="B2095" s="33" t="s">
        <v>23</v>
      </c>
      <c r="C2095" s="33" t="s">
        <v>14</v>
      </c>
      <c r="D2095" s="33" t="s">
        <v>30751</v>
      </c>
      <c r="E2095" s="42"/>
      <c r="F2095" s="67">
        <v>43145</v>
      </c>
      <c r="G2095" s="33" t="s">
        <v>31464</v>
      </c>
      <c r="H2095" s="33" t="s">
        <v>870</v>
      </c>
      <c r="I2095" s="33" t="s">
        <v>67</v>
      </c>
      <c r="J2095" s="33">
        <v>76177</v>
      </c>
      <c r="K2095" s="33" t="s">
        <v>68</v>
      </c>
      <c r="L2095" s="33" t="s">
        <v>871</v>
      </c>
      <c r="M2095" s="33" t="s">
        <v>21</v>
      </c>
      <c r="N2095" s="33" t="s">
        <v>31465</v>
      </c>
      <c r="O2095" s="33" t="s">
        <v>372</v>
      </c>
      <c r="P2095" s="33" t="s">
        <v>30089</v>
      </c>
      <c r="Q2095" s="42" t="s">
        <v>31466</v>
      </c>
      <c r="R2095" s="33" t="s">
        <v>94</v>
      </c>
      <c r="S2095" s="33" t="s">
        <v>22</v>
      </c>
      <c r="T2095" s="33" t="s">
        <v>26781</v>
      </c>
      <c r="U2095" s="33" t="s">
        <v>26572</v>
      </c>
      <c r="V2095" s="33" t="s">
        <v>26574</v>
      </c>
      <c r="W2095" s="33" t="s">
        <v>94</v>
      </c>
      <c r="X2095" s="33">
        <v>3409</v>
      </c>
      <c r="Z2095" s="33" t="s">
        <v>42968</v>
      </c>
      <c r="AA2095" s="33">
        <v>5572</v>
      </c>
    </row>
    <row r="2096" spans="1:27" ht="12" customHeight="1" x14ac:dyDescent="0.15">
      <c r="A2096" s="33" t="s">
        <v>3002</v>
      </c>
      <c r="B2096" s="33" t="s">
        <v>23</v>
      </c>
      <c r="C2096" s="33" t="s">
        <v>14</v>
      </c>
      <c r="D2096" s="33" t="s">
        <v>30751</v>
      </c>
      <c r="E2096" s="42"/>
      <c r="F2096" s="67">
        <v>43144</v>
      </c>
      <c r="G2096" s="33" t="s">
        <v>31476</v>
      </c>
      <c r="H2096" s="33" t="s">
        <v>369</v>
      </c>
      <c r="I2096" s="33" t="s">
        <v>367</v>
      </c>
      <c r="J2096" s="33">
        <v>74738</v>
      </c>
      <c r="K2096" s="33" t="s">
        <v>1070</v>
      </c>
      <c r="L2096" s="33" t="s">
        <v>7222</v>
      </c>
      <c r="M2096" s="33" t="s">
        <v>21</v>
      </c>
      <c r="N2096" s="33" t="s">
        <v>31477</v>
      </c>
      <c r="O2096" s="33" t="s">
        <v>372</v>
      </c>
      <c r="P2096" s="33" t="s">
        <v>30089</v>
      </c>
      <c r="Q2096" s="42" t="s">
        <v>31478</v>
      </c>
      <c r="R2096" s="33" t="s">
        <v>94</v>
      </c>
      <c r="S2096" s="33" t="s">
        <v>22</v>
      </c>
      <c r="T2096" s="33" t="s">
        <v>26781</v>
      </c>
      <c r="U2096" s="33" t="s">
        <v>26572</v>
      </c>
      <c r="V2096" s="33" t="s">
        <v>26573</v>
      </c>
      <c r="W2096" s="33" t="s">
        <v>94</v>
      </c>
      <c r="X2096" s="33">
        <v>3410</v>
      </c>
      <c r="Z2096" s="33" t="s">
        <v>42967</v>
      </c>
      <c r="AA2096" s="33">
        <v>5568</v>
      </c>
    </row>
    <row r="2097" spans="1:27" ht="12" customHeight="1" x14ac:dyDescent="0.15">
      <c r="A2097" s="33" t="s">
        <v>31487</v>
      </c>
      <c r="B2097" s="33">
        <v>32</v>
      </c>
      <c r="C2097" s="33" t="s">
        <v>14</v>
      </c>
      <c r="D2097" s="33" t="s">
        <v>79</v>
      </c>
      <c r="E2097" s="42" t="s">
        <v>31488</v>
      </c>
      <c r="F2097" s="67">
        <v>43144</v>
      </c>
      <c r="G2097" s="33" t="s">
        <v>31489</v>
      </c>
      <c r="H2097" s="33" t="s">
        <v>3143</v>
      </c>
      <c r="I2097" s="33" t="s">
        <v>39</v>
      </c>
      <c r="J2097" s="33">
        <v>94590</v>
      </c>
      <c r="K2097" s="33" t="s">
        <v>3145</v>
      </c>
      <c r="L2097" s="33" t="s">
        <v>3146</v>
      </c>
      <c r="M2097" s="33" t="s">
        <v>21</v>
      </c>
      <c r="N2097" s="33" t="s">
        <v>31490</v>
      </c>
      <c r="O2097" s="33" t="s">
        <v>372</v>
      </c>
      <c r="P2097" s="33" t="s">
        <v>30089</v>
      </c>
      <c r="Q2097" s="42" t="s">
        <v>31491</v>
      </c>
      <c r="R2097" s="33" t="s">
        <v>94</v>
      </c>
      <c r="S2097" s="33" t="s">
        <v>12</v>
      </c>
      <c r="T2097" s="33" t="s">
        <v>29705</v>
      </c>
      <c r="U2097" s="33" t="s">
        <v>26572</v>
      </c>
      <c r="V2097" s="33" t="s">
        <v>26574</v>
      </c>
      <c r="W2097" s="33" t="s">
        <v>94</v>
      </c>
      <c r="X2097" s="33">
        <v>3405</v>
      </c>
      <c r="Z2097" s="33" t="s">
        <v>42966</v>
      </c>
      <c r="AA2097" s="33">
        <v>5571</v>
      </c>
    </row>
    <row r="2098" spans="1:27" ht="12" customHeight="1" x14ac:dyDescent="0.15">
      <c r="A2098" s="33" t="s">
        <v>31483</v>
      </c>
      <c r="B2098" s="33">
        <v>52</v>
      </c>
      <c r="C2098" s="33" t="s">
        <v>14</v>
      </c>
      <c r="D2098" s="33" t="s">
        <v>15</v>
      </c>
      <c r="E2098" s="42"/>
      <c r="F2098" s="67">
        <v>43144</v>
      </c>
      <c r="G2098" s="33" t="s">
        <v>31484</v>
      </c>
      <c r="H2098" s="33" t="s">
        <v>1212</v>
      </c>
      <c r="I2098" s="33" t="s">
        <v>192</v>
      </c>
      <c r="J2098" s="33">
        <v>80207</v>
      </c>
      <c r="K2098" s="33" t="s">
        <v>1212</v>
      </c>
      <c r="L2098" s="33" t="s">
        <v>1213</v>
      </c>
      <c r="M2098" s="33" t="s">
        <v>21</v>
      </c>
      <c r="N2098" s="33" t="s">
        <v>31485</v>
      </c>
      <c r="O2098" s="33" t="s">
        <v>372</v>
      </c>
      <c r="P2098" s="33" t="s">
        <v>30089</v>
      </c>
      <c r="Q2098" s="42" t="s">
        <v>31486</v>
      </c>
      <c r="R2098" s="33" t="s">
        <v>94</v>
      </c>
      <c r="S2098" s="33" t="s">
        <v>22</v>
      </c>
      <c r="T2098" s="33" t="s">
        <v>29419</v>
      </c>
      <c r="U2098" s="33" t="s">
        <v>26570</v>
      </c>
      <c r="V2098" s="33" t="s">
        <v>26573</v>
      </c>
      <c r="W2098" s="33" t="s">
        <v>94</v>
      </c>
      <c r="X2098" s="33">
        <v>3411</v>
      </c>
      <c r="Z2098" s="33" t="s">
        <v>42968</v>
      </c>
      <c r="AA2098" s="33">
        <v>5570</v>
      </c>
    </row>
    <row r="2099" spans="1:27" ht="12" customHeight="1" x14ac:dyDescent="0.15">
      <c r="A2099" s="33" t="s">
        <v>31479</v>
      </c>
      <c r="B2099" s="33">
        <v>48</v>
      </c>
      <c r="C2099" s="33" t="s">
        <v>103</v>
      </c>
      <c r="D2099" s="33" t="s">
        <v>31</v>
      </c>
      <c r="E2099" s="42"/>
      <c r="F2099" s="67">
        <v>43144</v>
      </c>
      <c r="G2099" s="33" t="s">
        <v>31480</v>
      </c>
      <c r="H2099" s="33" t="s">
        <v>8373</v>
      </c>
      <c r="I2099" s="33" t="s">
        <v>39</v>
      </c>
      <c r="J2099" s="33">
        <v>95490</v>
      </c>
      <c r="K2099" s="33" t="s">
        <v>5291</v>
      </c>
      <c r="L2099" s="33" t="s">
        <v>36498</v>
      </c>
      <c r="M2099" s="33" t="s">
        <v>21</v>
      </c>
      <c r="N2099" s="33" t="s">
        <v>31481</v>
      </c>
      <c r="O2099" s="33" t="s">
        <v>372</v>
      </c>
      <c r="P2099" s="33" t="s">
        <v>30089</v>
      </c>
      <c r="Q2099" s="42" t="s">
        <v>31482</v>
      </c>
      <c r="R2099" s="33" t="s">
        <v>94</v>
      </c>
      <c r="S2099" s="33" t="s">
        <v>22</v>
      </c>
      <c r="T2099" s="33" t="s">
        <v>26781</v>
      </c>
      <c r="U2099" s="33" t="s">
        <v>26575</v>
      </c>
      <c r="V2099" s="33" t="s">
        <v>26571</v>
      </c>
      <c r="X2099" s="33">
        <v>4250</v>
      </c>
      <c r="Z2099" s="33" t="s">
        <v>42967</v>
      </c>
      <c r="AA2099" s="33">
        <v>5569</v>
      </c>
    </row>
    <row r="2100" spans="1:27" ht="12" customHeight="1" x14ac:dyDescent="0.15">
      <c r="A2100" s="33" t="s">
        <v>23703</v>
      </c>
      <c r="B2100" s="33">
        <v>29</v>
      </c>
      <c r="C2100" s="33" t="s">
        <v>14</v>
      </c>
      <c r="D2100" s="33" t="s">
        <v>79</v>
      </c>
      <c r="E2100" s="42"/>
      <c r="F2100" s="67">
        <v>43143</v>
      </c>
      <c r="G2100" s="33" t="s">
        <v>31497</v>
      </c>
      <c r="H2100" s="33" t="s">
        <v>1148</v>
      </c>
      <c r="I2100" s="33" t="s">
        <v>56</v>
      </c>
      <c r="J2100" s="33">
        <v>33032</v>
      </c>
      <c r="K2100" s="33" t="s">
        <v>148</v>
      </c>
      <c r="L2100" s="33" t="s">
        <v>27366</v>
      </c>
      <c r="M2100" s="33" t="s">
        <v>21</v>
      </c>
      <c r="N2100" s="33" t="s">
        <v>31498</v>
      </c>
      <c r="O2100" s="33" t="s">
        <v>372</v>
      </c>
      <c r="P2100" s="33" t="s">
        <v>30089</v>
      </c>
      <c r="Q2100" s="42" t="s">
        <v>31499</v>
      </c>
      <c r="R2100" s="33" t="s">
        <v>94</v>
      </c>
      <c r="S2100" s="33" t="s">
        <v>29</v>
      </c>
      <c r="T2100" s="33" t="s">
        <v>26575</v>
      </c>
      <c r="U2100" s="33" t="s">
        <v>26572</v>
      </c>
      <c r="V2100" s="33" t="s">
        <v>26573</v>
      </c>
      <c r="Z2100" s="33" t="s">
        <v>42968</v>
      </c>
      <c r="AA2100" s="33">
        <v>5567</v>
      </c>
    </row>
    <row r="2101" spans="1:27" ht="12" customHeight="1" x14ac:dyDescent="0.15">
      <c r="A2101" s="33" t="s">
        <v>31493</v>
      </c>
      <c r="B2101" s="33">
        <v>84</v>
      </c>
      <c r="C2101" s="33" t="s">
        <v>14</v>
      </c>
      <c r="D2101" s="33" t="s">
        <v>31</v>
      </c>
      <c r="E2101" s="42"/>
      <c r="F2101" s="67">
        <v>43143</v>
      </c>
      <c r="G2101" s="33" t="s">
        <v>31494</v>
      </c>
      <c r="H2101" s="33" t="s">
        <v>196</v>
      </c>
      <c r="I2101" s="33" t="s">
        <v>56</v>
      </c>
      <c r="J2101" s="33">
        <v>33032</v>
      </c>
      <c r="K2101" s="33" t="s">
        <v>148</v>
      </c>
      <c r="L2101" s="33" t="s">
        <v>149</v>
      </c>
      <c r="M2101" s="33" t="s">
        <v>21</v>
      </c>
      <c r="N2101" s="33" t="s">
        <v>31495</v>
      </c>
      <c r="O2101" s="33" t="s">
        <v>372</v>
      </c>
      <c r="P2101" s="33" t="s">
        <v>30089</v>
      </c>
      <c r="Q2101" s="42" t="s">
        <v>31496</v>
      </c>
      <c r="R2101" s="33" t="s">
        <v>512</v>
      </c>
      <c r="S2101" s="33" t="s">
        <v>22</v>
      </c>
      <c r="T2101" s="33" t="s">
        <v>26781</v>
      </c>
      <c r="U2101" s="33" t="s">
        <v>26572</v>
      </c>
      <c r="V2101" s="33" t="s">
        <v>26573</v>
      </c>
      <c r="W2101" s="33" t="s">
        <v>94</v>
      </c>
      <c r="X2101" s="33">
        <v>3403</v>
      </c>
      <c r="Z2101" s="33" t="s">
        <v>42968</v>
      </c>
      <c r="AA2101" s="33">
        <v>5566</v>
      </c>
    </row>
    <row r="2102" spans="1:27" ht="12" customHeight="1" x14ac:dyDescent="0.15">
      <c r="A2102" s="33" t="s">
        <v>31505</v>
      </c>
      <c r="B2102" s="33">
        <v>42</v>
      </c>
      <c r="C2102" s="33" t="s">
        <v>14</v>
      </c>
      <c r="D2102" s="33" t="s">
        <v>31</v>
      </c>
      <c r="E2102" s="42" t="s">
        <v>31506</v>
      </c>
      <c r="F2102" s="67">
        <v>43142</v>
      </c>
      <c r="G2102" s="33" t="s">
        <v>31507</v>
      </c>
      <c r="H2102" s="33" t="s">
        <v>713</v>
      </c>
      <c r="I2102" s="33" t="s">
        <v>9710</v>
      </c>
      <c r="J2102" s="33">
        <v>5676</v>
      </c>
      <c r="K2102" s="33" t="s">
        <v>107</v>
      </c>
      <c r="L2102" s="33" t="s">
        <v>32184</v>
      </c>
      <c r="M2102" s="33" t="s">
        <v>21</v>
      </c>
      <c r="N2102" s="33" t="s">
        <v>31508</v>
      </c>
      <c r="O2102" s="33" t="s">
        <v>372</v>
      </c>
      <c r="P2102" s="33" t="s">
        <v>30089</v>
      </c>
      <c r="Q2102" s="42" t="s">
        <v>31509</v>
      </c>
      <c r="R2102" s="33" t="s">
        <v>94</v>
      </c>
      <c r="S2102" s="33" t="s">
        <v>22</v>
      </c>
      <c r="T2102" s="33" t="s">
        <v>26781</v>
      </c>
      <c r="U2102" s="33" t="s">
        <v>26570</v>
      </c>
      <c r="V2102" s="33" t="s">
        <v>26573</v>
      </c>
      <c r="W2102" s="33" t="s">
        <v>94</v>
      </c>
      <c r="X2102" s="33">
        <v>3396</v>
      </c>
      <c r="Z2102" s="33" t="s">
        <v>42967</v>
      </c>
      <c r="AA2102" s="33">
        <v>5564</v>
      </c>
    </row>
    <row r="2103" spans="1:27" ht="12" customHeight="1" x14ac:dyDescent="0.15">
      <c r="A2103" s="33" t="s">
        <v>31500</v>
      </c>
      <c r="B2103" s="33">
        <v>39</v>
      </c>
      <c r="C2103" s="33" t="s">
        <v>14</v>
      </c>
      <c r="D2103" s="33" t="s">
        <v>79</v>
      </c>
      <c r="E2103" s="42" t="s">
        <v>31501</v>
      </c>
      <c r="F2103" s="67">
        <v>43142</v>
      </c>
      <c r="G2103" s="33" t="s">
        <v>31502</v>
      </c>
      <c r="H2103" s="33" t="s">
        <v>1528</v>
      </c>
      <c r="I2103" s="33" t="s">
        <v>376</v>
      </c>
      <c r="J2103" s="33">
        <v>15208</v>
      </c>
      <c r="K2103" s="33" t="s">
        <v>1530</v>
      </c>
      <c r="L2103" s="33" t="s">
        <v>32183</v>
      </c>
      <c r="M2103" s="33" t="s">
        <v>21</v>
      </c>
      <c r="N2103" s="33" t="s">
        <v>31503</v>
      </c>
      <c r="O2103" s="33" t="s">
        <v>372</v>
      </c>
      <c r="P2103" s="33" t="s">
        <v>30089</v>
      </c>
      <c r="Q2103" s="42" t="s">
        <v>31504</v>
      </c>
      <c r="R2103" s="33" t="s">
        <v>94</v>
      </c>
      <c r="S2103" s="33" t="s">
        <v>22</v>
      </c>
      <c r="T2103" s="33" t="s">
        <v>26781</v>
      </c>
      <c r="U2103" s="33" t="s">
        <v>26572</v>
      </c>
      <c r="V2103" s="33" t="s">
        <v>26574</v>
      </c>
      <c r="W2103" s="33" t="s">
        <v>94</v>
      </c>
      <c r="X2103" s="33">
        <v>3400</v>
      </c>
      <c r="Z2103" s="33" t="s">
        <v>42966</v>
      </c>
      <c r="AA2103" s="33">
        <v>5565</v>
      </c>
    </row>
    <row r="2104" spans="1:27" ht="12" customHeight="1" x14ac:dyDescent="0.15">
      <c r="A2104" s="33" t="s">
        <v>31528</v>
      </c>
      <c r="B2104" s="33">
        <v>25</v>
      </c>
      <c r="C2104" s="33" t="s">
        <v>14</v>
      </c>
      <c r="D2104" s="33" t="s">
        <v>31</v>
      </c>
      <c r="E2104" s="42"/>
      <c r="F2104" s="67">
        <v>43141</v>
      </c>
      <c r="G2104" s="33" t="s">
        <v>31529</v>
      </c>
      <c r="H2104" s="33" t="s">
        <v>1202</v>
      </c>
      <c r="I2104" s="33" t="s">
        <v>63</v>
      </c>
      <c r="J2104" s="33">
        <v>43204</v>
      </c>
      <c r="K2104" s="33" t="s">
        <v>1203</v>
      </c>
      <c r="L2104" s="33" t="s">
        <v>11441</v>
      </c>
      <c r="M2104" s="33" t="s">
        <v>21</v>
      </c>
      <c r="N2104" s="33" t="s">
        <v>31530</v>
      </c>
      <c r="O2104" s="33" t="s">
        <v>372</v>
      </c>
      <c r="P2104" s="33" t="s">
        <v>30089</v>
      </c>
      <c r="Q2104" s="42" t="s">
        <v>31531</v>
      </c>
      <c r="R2104" s="33" t="s">
        <v>94</v>
      </c>
      <c r="S2104" s="33" t="s">
        <v>29</v>
      </c>
      <c r="T2104" s="33" t="s">
        <v>26575</v>
      </c>
      <c r="U2104" s="33" t="s">
        <v>26575</v>
      </c>
      <c r="V2104" s="33" t="s">
        <v>26574</v>
      </c>
      <c r="W2104" s="33" t="s">
        <v>94</v>
      </c>
      <c r="X2104" s="33">
        <v>3397</v>
      </c>
      <c r="Z2104" s="33" t="s">
        <v>42968</v>
      </c>
      <c r="AA2104" s="33">
        <v>5562</v>
      </c>
    </row>
    <row r="2105" spans="1:27" ht="12" customHeight="1" x14ac:dyDescent="0.15">
      <c r="A2105" s="33" t="s">
        <v>31514</v>
      </c>
      <c r="B2105" s="33">
        <v>48</v>
      </c>
      <c r="C2105" s="33" t="s">
        <v>14</v>
      </c>
      <c r="D2105" s="33" t="s">
        <v>79</v>
      </c>
      <c r="E2105" s="42" t="s">
        <v>31515</v>
      </c>
      <c r="F2105" s="67">
        <v>43141</v>
      </c>
      <c r="G2105" s="33" t="s">
        <v>31516</v>
      </c>
      <c r="H2105" s="33" t="s">
        <v>1463</v>
      </c>
      <c r="I2105" s="33" t="s">
        <v>56</v>
      </c>
      <c r="J2105" s="33">
        <v>33612</v>
      </c>
      <c r="K2105" s="33" t="s">
        <v>590</v>
      </c>
      <c r="L2105" s="33" t="s">
        <v>1465</v>
      </c>
      <c r="M2105" s="33" t="s">
        <v>4966</v>
      </c>
      <c r="N2105" s="33" t="s">
        <v>31517</v>
      </c>
      <c r="O2105" s="33" t="s">
        <v>372</v>
      </c>
      <c r="P2105" s="33" t="s">
        <v>30089</v>
      </c>
      <c r="Q2105" s="42" t="s">
        <v>31518</v>
      </c>
      <c r="R2105" s="33" t="s">
        <v>23</v>
      </c>
      <c r="S2105" s="33" t="s">
        <v>22</v>
      </c>
      <c r="T2105" s="33" t="s">
        <v>26593</v>
      </c>
      <c r="U2105" s="33" t="s">
        <v>26570</v>
      </c>
      <c r="V2105" s="33" t="s">
        <v>26573</v>
      </c>
      <c r="W2105" s="33" t="s">
        <v>94</v>
      </c>
      <c r="X2105" s="33">
        <v>3399</v>
      </c>
      <c r="Z2105" s="33" t="s">
        <v>42968</v>
      </c>
      <c r="AA2105" s="33">
        <v>5560</v>
      </c>
    </row>
    <row r="2106" spans="1:27" ht="12" customHeight="1" x14ac:dyDescent="0.15">
      <c r="A2106" s="33" t="s">
        <v>31524</v>
      </c>
      <c r="B2106" s="33">
        <v>41</v>
      </c>
      <c r="C2106" s="33" t="s">
        <v>14</v>
      </c>
      <c r="D2106" s="33" t="s">
        <v>31</v>
      </c>
      <c r="E2106" s="42"/>
      <c r="F2106" s="67">
        <v>43141</v>
      </c>
      <c r="G2106" s="33" t="s">
        <v>31525</v>
      </c>
      <c r="H2106" s="33" t="s">
        <v>3508</v>
      </c>
      <c r="I2106" s="33" t="s">
        <v>192</v>
      </c>
      <c r="J2106" s="33">
        <v>80015</v>
      </c>
      <c r="K2106" s="33" t="s">
        <v>3510</v>
      </c>
      <c r="L2106" s="33" t="s">
        <v>3511</v>
      </c>
      <c r="M2106" s="33" t="s">
        <v>21</v>
      </c>
      <c r="N2106" s="33" t="s">
        <v>31526</v>
      </c>
      <c r="O2106" s="33" t="s">
        <v>372</v>
      </c>
      <c r="P2106" s="33" t="s">
        <v>30089</v>
      </c>
      <c r="Q2106" s="42" t="s">
        <v>31527</v>
      </c>
      <c r="R2106" s="33" t="s">
        <v>94</v>
      </c>
      <c r="S2106" s="33" t="s">
        <v>29</v>
      </c>
      <c r="T2106" s="33" t="s">
        <v>26575</v>
      </c>
      <c r="U2106" s="33" t="s">
        <v>26575</v>
      </c>
      <c r="W2106" s="33" t="s">
        <v>94</v>
      </c>
      <c r="X2106" s="33">
        <v>3398</v>
      </c>
      <c r="Z2106" s="33" t="s">
        <v>42968</v>
      </c>
      <c r="AA2106" s="33">
        <v>5563</v>
      </c>
    </row>
    <row r="2107" spans="1:27" ht="12" customHeight="1" x14ac:dyDescent="0.15">
      <c r="A2107" s="33" t="s">
        <v>31519</v>
      </c>
      <c r="B2107" s="33">
        <v>20</v>
      </c>
      <c r="C2107" s="33" t="s">
        <v>14</v>
      </c>
      <c r="D2107" s="33" t="s">
        <v>31</v>
      </c>
      <c r="E2107" s="42" t="s">
        <v>31520</v>
      </c>
      <c r="F2107" s="67">
        <v>43141</v>
      </c>
      <c r="G2107" s="33" t="s">
        <v>31521</v>
      </c>
      <c r="H2107" s="33" t="s">
        <v>3212</v>
      </c>
      <c r="I2107" s="33" t="s">
        <v>56</v>
      </c>
      <c r="J2107" s="33">
        <v>32304</v>
      </c>
      <c r="K2107" s="33" t="s">
        <v>3214</v>
      </c>
      <c r="L2107" s="33" t="s">
        <v>3215</v>
      </c>
      <c r="M2107" s="33" t="s">
        <v>363</v>
      </c>
      <c r="N2107" s="33" t="s">
        <v>31522</v>
      </c>
      <c r="O2107" s="33" t="s">
        <v>372</v>
      </c>
      <c r="P2107" s="33" t="s">
        <v>30089</v>
      </c>
      <c r="Q2107" s="42" t="s">
        <v>31523</v>
      </c>
      <c r="R2107" s="33" t="s">
        <v>512</v>
      </c>
      <c r="S2107" s="33" t="s">
        <v>12</v>
      </c>
      <c r="T2107" s="33" t="s">
        <v>29705</v>
      </c>
      <c r="U2107" s="33" t="s">
        <v>26572</v>
      </c>
      <c r="V2107" s="33" t="s">
        <v>26573</v>
      </c>
      <c r="Z2107" s="33" t="s">
        <v>42968</v>
      </c>
      <c r="AA2107" s="33">
        <v>5561</v>
      </c>
    </row>
    <row r="2108" spans="1:27" ht="12" customHeight="1" x14ac:dyDescent="0.15">
      <c r="A2108" s="33" t="s">
        <v>31510</v>
      </c>
      <c r="B2108" s="33">
        <v>63</v>
      </c>
      <c r="C2108" s="33" t="s">
        <v>14</v>
      </c>
      <c r="D2108" s="33" t="s">
        <v>31</v>
      </c>
      <c r="E2108" s="42"/>
      <c r="F2108" s="67">
        <v>43141</v>
      </c>
      <c r="G2108" s="33" t="s">
        <v>31511</v>
      </c>
      <c r="H2108" s="33" t="s">
        <v>3413</v>
      </c>
      <c r="I2108" s="33" t="s">
        <v>112</v>
      </c>
      <c r="J2108" s="33">
        <v>86409</v>
      </c>
      <c r="K2108" s="33" t="s">
        <v>5363</v>
      </c>
      <c r="L2108" s="33" t="s">
        <v>22880</v>
      </c>
      <c r="M2108" s="33" t="s">
        <v>21</v>
      </c>
      <c r="N2108" s="33" t="s">
        <v>31512</v>
      </c>
      <c r="O2108" s="33" t="s">
        <v>372</v>
      </c>
      <c r="P2108" s="33" t="s">
        <v>30089</v>
      </c>
      <c r="Q2108" s="42" t="s">
        <v>31513</v>
      </c>
      <c r="R2108" s="33" t="s">
        <v>94</v>
      </c>
      <c r="S2108" s="33" t="s">
        <v>22</v>
      </c>
      <c r="T2108" s="33" t="s">
        <v>26781</v>
      </c>
      <c r="U2108" s="33" t="s">
        <v>26572</v>
      </c>
      <c r="V2108" s="33" t="s">
        <v>26573</v>
      </c>
      <c r="W2108" s="33" t="s">
        <v>512</v>
      </c>
      <c r="X2108" s="33">
        <v>3404</v>
      </c>
      <c r="Z2108" s="33" t="s">
        <v>42967</v>
      </c>
      <c r="AA2108" s="33">
        <v>5559</v>
      </c>
    </row>
    <row r="2109" spans="1:27" ht="12" customHeight="1" x14ac:dyDescent="0.15">
      <c r="A2109" s="33" t="s">
        <v>31542</v>
      </c>
      <c r="B2109" s="33">
        <v>35</v>
      </c>
      <c r="C2109" s="33" t="s">
        <v>14</v>
      </c>
      <c r="D2109" s="33" t="s">
        <v>42</v>
      </c>
      <c r="E2109" s="42" t="s">
        <v>31543</v>
      </c>
      <c r="F2109" s="67">
        <v>43140</v>
      </c>
      <c r="G2109" s="33" t="s">
        <v>31544</v>
      </c>
      <c r="H2109" s="33" t="s">
        <v>31545</v>
      </c>
      <c r="I2109" s="33" t="s">
        <v>56</v>
      </c>
      <c r="J2109" s="33">
        <v>32949</v>
      </c>
      <c r="K2109" s="33" t="s">
        <v>1654</v>
      </c>
      <c r="L2109" s="33" t="s">
        <v>3452</v>
      </c>
      <c r="M2109" s="33" t="s">
        <v>21</v>
      </c>
      <c r="N2109" s="33" t="s">
        <v>31546</v>
      </c>
      <c r="O2109" s="33" t="s">
        <v>372</v>
      </c>
      <c r="P2109" s="33" t="s">
        <v>30089</v>
      </c>
      <c r="Q2109" s="42" t="s">
        <v>31547</v>
      </c>
      <c r="R2109" s="33" t="s">
        <v>512</v>
      </c>
      <c r="S2109" s="33" t="s">
        <v>22</v>
      </c>
      <c r="T2109" s="33" t="s">
        <v>26774</v>
      </c>
      <c r="U2109" s="33" t="s">
        <v>26570</v>
      </c>
      <c r="V2109" s="33" t="s">
        <v>26573</v>
      </c>
      <c r="W2109" s="33" t="s">
        <v>94</v>
      </c>
      <c r="X2109" s="33">
        <v>3393</v>
      </c>
      <c r="Z2109" s="33" t="s">
        <v>42968</v>
      </c>
      <c r="AA2109" s="33">
        <v>5557</v>
      </c>
    </row>
    <row r="2110" spans="1:27" ht="12" customHeight="1" x14ac:dyDescent="0.15">
      <c r="A2110" s="33" t="s">
        <v>31548</v>
      </c>
      <c r="B2110" s="33">
        <v>36</v>
      </c>
      <c r="C2110" s="33" t="s">
        <v>14</v>
      </c>
      <c r="D2110" s="33" t="s">
        <v>79</v>
      </c>
      <c r="E2110" s="42"/>
      <c r="F2110" s="67">
        <v>43140</v>
      </c>
      <c r="G2110" s="33" t="s">
        <v>31549</v>
      </c>
      <c r="H2110" s="33" t="s">
        <v>1786</v>
      </c>
      <c r="I2110" s="33" t="s">
        <v>160</v>
      </c>
      <c r="J2110" s="33">
        <v>30315</v>
      </c>
      <c r="K2110" s="33" t="s">
        <v>1454</v>
      </c>
      <c r="L2110" s="33" t="s">
        <v>2356</v>
      </c>
      <c r="M2110" s="33" t="s">
        <v>21</v>
      </c>
      <c r="N2110" s="33" t="s">
        <v>31550</v>
      </c>
      <c r="O2110" s="33" t="s">
        <v>372</v>
      </c>
      <c r="P2110" s="33" t="s">
        <v>30089</v>
      </c>
      <c r="Q2110" s="42" t="s">
        <v>31551</v>
      </c>
      <c r="R2110" s="33" t="s">
        <v>94</v>
      </c>
      <c r="S2110" s="33" t="s">
        <v>351</v>
      </c>
      <c r="T2110" s="33" t="s">
        <v>26867</v>
      </c>
      <c r="U2110" s="33" t="s">
        <v>26570</v>
      </c>
      <c r="V2110" s="33" t="s">
        <v>26571</v>
      </c>
      <c r="W2110" s="33" t="s">
        <v>94</v>
      </c>
      <c r="X2110" s="33">
        <v>3395</v>
      </c>
      <c r="Z2110" s="33" t="s">
        <v>42968</v>
      </c>
      <c r="AA2110" s="33">
        <v>5558</v>
      </c>
    </row>
    <row r="2111" spans="1:27" ht="12" customHeight="1" x14ac:dyDescent="0.15">
      <c r="A2111" s="33" t="s">
        <v>31532</v>
      </c>
      <c r="B2111" s="33">
        <v>39</v>
      </c>
      <c r="C2111" s="33" t="s">
        <v>14</v>
      </c>
      <c r="D2111" s="33" t="s">
        <v>79</v>
      </c>
      <c r="E2111" s="42" t="s">
        <v>31533</v>
      </c>
      <c r="F2111" s="67">
        <v>43140</v>
      </c>
      <c r="G2111" s="33" t="s">
        <v>31534</v>
      </c>
      <c r="H2111" s="33" t="s">
        <v>31535</v>
      </c>
      <c r="I2111" s="33" t="s">
        <v>160</v>
      </c>
      <c r="J2111" s="33">
        <v>30248</v>
      </c>
      <c r="K2111" s="33" t="s">
        <v>7624</v>
      </c>
      <c r="L2111" s="33" t="s">
        <v>32185</v>
      </c>
      <c r="M2111" s="33" t="s">
        <v>21</v>
      </c>
      <c r="N2111" s="33" t="s">
        <v>31536</v>
      </c>
      <c r="O2111" s="33" t="s">
        <v>372</v>
      </c>
      <c r="P2111" s="33" t="s">
        <v>30089</v>
      </c>
      <c r="Q2111" s="42" t="s">
        <v>31537</v>
      </c>
      <c r="R2111" s="33" t="s">
        <v>94</v>
      </c>
      <c r="S2111" s="33" t="s">
        <v>22</v>
      </c>
      <c r="T2111" s="33" t="s">
        <v>26781</v>
      </c>
      <c r="U2111" s="33" t="s">
        <v>26572</v>
      </c>
      <c r="V2111" s="33" t="s">
        <v>26573</v>
      </c>
      <c r="W2111" s="33" t="s">
        <v>94</v>
      </c>
      <c r="X2111" s="33">
        <v>3394</v>
      </c>
      <c r="Z2111" s="33" t="s">
        <v>42968</v>
      </c>
      <c r="AA2111" s="33">
        <v>5555</v>
      </c>
    </row>
    <row r="2112" spans="1:27" ht="12" customHeight="1" x14ac:dyDescent="0.15">
      <c r="A2112" s="33" t="s">
        <v>31538</v>
      </c>
      <c r="B2112" s="33">
        <v>78</v>
      </c>
      <c r="C2112" s="33" t="s">
        <v>14</v>
      </c>
      <c r="D2112" s="33" t="s">
        <v>31</v>
      </c>
      <c r="E2112" s="42"/>
      <c r="F2112" s="67">
        <v>43140</v>
      </c>
      <c r="G2112" s="33" t="s">
        <v>31539</v>
      </c>
      <c r="H2112" s="33" t="s">
        <v>6279</v>
      </c>
      <c r="I2112" s="33" t="s">
        <v>112</v>
      </c>
      <c r="J2112" s="33">
        <v>86001</v>
      </c>
      <c r="K2112" s="33" t="s">
        <v>21652</v>
      </c>
      <c r="L2112" s="33" t="s">
        <v>23528</v>
      </c>
      <c r="M2112" s="33" t="s">
        <v>21</v>
      </c>
      <c r="N2112" s="33" t="s">
        <v>31540</v>
      </c>
      <c r="O2112" s="33" t="s">
        <v>372</v>
      </c>
      <c r="P2112" s="33" t="s">
        <v>30089</v>
      </c>
      <c r="Q2112" s="42" t="s">
        <v>31541</v>
      </c>
      <c r="R2112" s="33" t="s">
        <v>23</v>
      </c>
      <c r="S2112" s="33" t="s">
        <v>22</v>
      </c>
      <c r="T2112" s="33" t="s">
        <v>26781</v>
      </c>
      <c r="U2112" s="33" t="s">
        <v>26570</v>
      </c>
      <c r="V2112" s="33" t="s">
        <v>26573</v>
      </c>
      <c r="W2112" s="33" t="s">
        <v>512</v>
      </c>
      <c r="X2112" s="33">
        <v>3402</v>
      </c>
      <c r="Z2112" s="33" t="s">
        <v>42968</v>
      </c>
      <c r="AA2112" s="33">
        <v>5556</v>
      </c>
    </row>
    <row r="2113" spans="1:27" ht="12" customHeight="1" x14ac:dyDescent="0.15">
      <c r="A2113" s="33" t="s">
        <v>31552</v>
      </c>
      <c r="B2113" s="33">
        <v>40</v>
      </c>
      <c r="C2113" s="33" t="s">
        <v>14</v>
      </c>
      <c r="D2113" s="33" t="s">
        <v>31</v>
      </c>
      <c r="E2113" s="42" t="s">
        <v>31553</v>
      </c>
      <c r="F2113" s="67">
        <v>43139</v>
      </c>
      <c r="G2113" s="33" t="s">
        <v>31554</v>
      </c>
      <c r="H2113" s="33" t="s">
        <v>822</v>
      </c>
      <c r="I2113" s="33" t="s">
        <v>39</v>
      </c>
      <c r="J2113" s="33">
        <v>94531</v>
      </c>
      <c r="K2113" s="33" t="s">
        <v>4146</v>
      </c>
      <c r="L2113" s="33" t="s">
        <v>13144</v>
      </c>
      <c r="M2113" s="33" t="s">
        <v>21</v>
      </c>
      <c r="N2113" s="33" t="s">
        <v>31555</v>
      </c>
      <c r="O2113" s="33" t="s">
        <v>372</v>
      </c>
      <c r="P2113" s="33" t="s">
        <v>30089</v>
      </c>
      <c r="Q2113" s="42" t="s">
        <v>31556</v>
      </c>
      <c r="R2113" s="33" t="s">
        <v>94</v>
      </c>
      <c r="S2113" s="33" t="s">
        <v>12</v>
      </c>
      <c r="T2113" s="33" t="s">
        <v>29425</v>
      </c>
      <c r="U2113" s="33" t="s">
        <v>26570</v>
      </c>
      <c r="V2113" s="33" t="s">
        <v>26573</v>
      </c>
      <c r="W2113" s="33" t="s">
        <v>94</v>
      </c>
      <c r="X2113" s="33">
        <v>3392</v>
      </c>
      <c r="Z2113" s="33" t="s">
        <v>42968</v>
      </c>
      <c r="AA2113" s="33">
        <v>5554</v>
      </c>
    </row>
    <row r="2114" spans="1:27" ht="12" customHeight="1" x14ac:dyDescent="0.15">
      <c r="A2114" s="33" t="s">
        <v>31557</v>
      </c>
      <c r="B2114" s="33">
        <v>65</v>
      </c>
      <c r="C2114" s="33" t="s">
        <v>14</v>
      </c>
      <c r="D2114" s="33" t="s">
        <v>30751</v>
      </c>
      <c r="E2114" s="42"/>
      <c r="F2114" s="67">
        <v>43138</v>
      </c>
      <c r="G2114" s="33" t="s">
        <v>31558</v>
      </c>
      <c r="H2114" s="33" t="s">
        <v>31559</v>
      </c>
      <c r="I2114" s="33" t="s">
        <v>39</v>
      </c>
      <c r="J2114" s="33">
        <v>92236</v>
      </c>
      <c r="K2114" s="33" t="s">
        <v>728</v>
      </c>
      <c r="L2114" s="33" t="s">
        <v>2204</v>
      </c>
      <c r="M2114" s="33" t="s">
        <v>21</v>
      </c>
      <c r="N2114" s="33" t="s">
        <v>31560</v>
      </c>
      <c r="O2114" s="33" t="s">
        <v>372</v>
      </c>
      <c r="P2114" s="33" t="s">
        <v>30089</v>
      </c>
      <c r="Q2114" s="42" t="s">
        <v>31561</v>
      </c>
      <c r="R2114" s="33" t="s">
        <v>94</v>
      </c>
      <c r="S2114" s="33" t="s">
        <v>22</v>
      </c>
      <c r="T2114" s="33" t="s">
        <v>26781</v>
      </c>
      <c r="U2114" s="33" t="s">
        <v>26572</v>
      </c>
      <c r="V2114" s="33" t="s">
        <v>26573</v>
      </c>
      <c r="W2114" s="33" t="s">
        <v>94</v>
      </c>
      <c r="X2114" s="33">
        <v>3388</v>
      </c>
      <c r="Z2114" s="33" t="s">
        <v>42968</v>
      </c>
      <c r="AA2114" s="33">
        <v>5552</v>
      </c>
    </row>
    <row r="2115" spans="1:27" ht="12" customHeight="1" x14ac:dyDescent="0.15">
      <c r="A2115" s="33" t="s">
        <v>31562</v>
      </c>
      <c r="B2115" s="33">
        <v>22</v>
      </c>
      <c r="C2115" s="33" t="s">
        <v>14</v>
      </c>
      <c r="D2115" s="33" t="s">
        <v>31</v>
      </c>
      <c r="E2115" s="42" t="s">
        <v>31563</v>
      </c>
      <c r="F2115" s="67">
        <v>43138</v>
      </c>
      <c r="G2115" s="33" t="s">
        <v>31564</v>
      </c>
      <c r="H2115" s="33" t="s">
        <v>31565</v>
      </c>
      <c r="I2115" s="33" t="s">
        <v>56</v>
      </c>
      <c r="J2115" s="33">
        <v>33462</v>
      </c>
      <c r="K2115" s="33" t="s">
        <v>4878</v>
      </c>
      <c r="L2115" s="33" t="s">
        <v>57</v>
      </c>
      <c r="M2115" s="33" t="s">
        <v>4966</v>
      </c>
      <c r="N2115" s="33" t="s">
        <v>31566</v>
      </c>
      <c r="O2115" s="33" t="s">
        <v>372</v>
      </c>
      <c r="P2115" s="33" t="s">
        <v>30089</v>
      </c>
      <c r="Q2115" s="42" t="s">
        <v>31567</v>
      </c>
      <c r="R2115" s="33" t="s">
        <v>94</v>
      </c>
      <c r="S2115" s="33" t="s">
        <v>351</v>
      </c>
      <c r="T2115" s="33" t="s">
        <v>26867</v>
      </c>
      <c r="U2115" s="33" t="s">
        <v>26572</v>
      </c>
      <c r="V2115" s="33" t="s">
        <v>26571</v>
      </c>
      <c r="W2115" s="33" t="s">
        <v>94</v>
      </c>
      <c r="X2115" s="33">
        <v>3390</v>
      </c>
      <c r="Z2115" s="33" t="s">
        <v>42968</v>
      </c>
      <c r="AA2115" s="33">
        <v>5553</v>
      </c>
    </row>
    <row r="2116" spans="1:27" ht="12" customHeight="1" x14ac:dyDescent="0.15">
      <c r="A2116" s="33" t="s">
        <v>3002</v>
      </c>
      <c r="B2116" s="33" t="s">
        <v>23</v>
      </c>
      <c r="C2116" s="33" t="s">
        <v>14</v>
      </c>
      <c r="D2116" s="33" t="s">
        <v>42</v>
      </c>
      <c r="E2116" s="42"/>
      <c r="F2116" s="67">
        <v>43137</v>
      </c>
      <c r="G2116" s="33" t="s">
        <v>31578</v>
      </c>
      <c r="H2116" s="33" t="s">
        <v>92</v>
      </c>
      <c r="I2116" s="33" t="s">
        <v>39</v>
      </c>
      <c r="J2116" s="33">
        <v>90022</v>
      </c>
      <c r="K2116" s="33" t="s">
        <v>92</v>
      </c>
      <c r="L2116" s="33" t="s">
        <v>386</v>
      </c>
      <c r="M2116" s="33" t="s">
        <v>21</v>
      </c>
      <c r="N2116" s="33" t="s">
        <v>31579</v>
      </c>
      <c r="O2116" s="33" t="s">
        <v>372</v>
      </c>
      <c r="P2116" s="33" t="s">
        <v>30089</v>
      </c>
      <c r="Q2116" s="42" t="s">
        <v>31580</v>
      </c>
      <c r="R2116" s="33" t="s">
        <v>94</v>
      </c>
      <c r="S2116" s="33" t="s">
        <v>351</v>
      </c>
      <c r="T2116" s="33" t="s">
        <v>26867</v>
      </c>
      <c r="U2116" s="33" t="s">
        <v>26570</v>
      </c>
      <c r="V2116" s="33" t="s">
        <v>26571</v>
      </c>
      <c r="W2116" s="33" t="s">
        <v>94</v>
      </c>
      <c r="X2116" s="33">
        <v>3389</v>
      </c>
      <c r="Z2116" s="33" t="s">
        <v>42966</v>
      </c>
      <c r="AA2116" s="33">
        <v>5551</v>
      </c>
    </row>
    <row r="2117" spans="1:27" ht="12" customHeight="1" x14ac:dyDescent="0.15">
      <c r="A2117" s="33" t="s">
        <v>31573</v>
      </c>
      <c r="B2117" s="33">
        <v>59</v>
      </c>
      <c r="C2117" s="33" t="s">
        <v>14</v>
      </c>
      <c r="D2117" s="33" t="s">
        <v>31</v>
      </c>
      <c r="E2117" s="42" t="s">
        <v>31574</v>
      </c>
      <c r="F2117" s="67">
        <v>43137</v>
      </c>
      <c r="G2117" s="33" t="s">
        <v>31575</v>
      </c>
      <c r="H2117" s="33" t="s">
        <v>4802</v>
      </c>
      <c r="I2117" s="33" t="s">
        <v>56</v>
      </c>
      <c r="J2117" s="33">
        <v>32092</v>
      </c>
      <c r="K2117" s="33" t="s">
        <v>2230</v>
      </c>
      <c r="L2117" s="33" t="s">
        <v>32186</v>
      </c>
      <c r="M2117" s="33" t="s">
        <v>21</v>
      </c>
      <c r="N2117" s="33" t="s">
        <v>31576</v>
      </c>
      <c r="O2117" s="33" t="s">
        <v>372</v>
      </c>
      <c r="P2117" s="33" t="s">
        <v>30089</v>
      </c>
      <c r="Q2117" s="42" t="s">
        <v>31577</v>
      </c>
      <c r="R2117" s="33" t="s">
        <v>94</v>
      </c>
      <c r="S2117" s="33" t="s">
        <v>29</v>
      </c>
      <c r="T2117" s="33" t="s">
        <v>26575</v>
      </c>
      <c r="U2117" s="33" t="s">
        <v>26570</v>
      </c>
      <c r="V2117" s="33" t="s">
        <v>26573</v>
      </c>
      <c r="W2117" s="33" t="s">
        <v>94</v>
      </c>
      <c r="X2117" s="33">
        <v>3386</v>
      </c>
      <c r="Z2117" s="33" t="s">
        <v>42967</v>
      </c>
      <c r="AA2117" s="33">
        <v>5550</v>
      </c>
    </row>
    <row r="2118" spans="1:27" ht="12" customHeight="1" x14ac:dyDescent="0.15">
      <c r="A2118" s="33" t="s">
        <v>31568</v>
      </c>
      <c r="B2118" s="33">
        <v>29</v>
      </c>
      <c r="C2118" s="33" t="s">
        <v>14</v>
      </c>
      <c r="D2118" s="33" t="s">
        <v>42</v>
      </c>
      <c r="E2118" s="42" t="s">
        <v>31569</v>
      </c>
      <c r="F2118" s="67">
        <v>43137</v>
      </c>
      <c r="G2118" s="33" t="s">
        <v>31570</v>
      </c>
      <c r="H2118" s="33" t="s">
        <v>1212</v>
      </c>
      <c r="I2118" s="33" t="s">
        <v>192</v>
      </c>
      <c r="J2118" s="33">
        <v>80211</v>
      </c>
      <c r="K2118" s="33" t="s">
        <v>1212</v>
      </c>
      <c r="L2118" s="33" t="s">
        <v>1213</v>
      </c>
      <c r="M2118" s="33" t="s">
        <v>21</v>
      </c>
      <c r="N2118" s="33" t="s">
        <v>31571</v>
      </c>
      <c r="O2118" s="33" t="s">
        <v>372</v>
      </c>
      <c r="P2118" s="33" t="s">
        <v>30089</v>
      </c>
      <c r="Q2118" s="42" t="s">
        <v>31572</v>
      </c>
      <c r="R2118" s="33" t="s">
        <v>94</v>
      </c>
      <c r="S2118" s="33" t="s">
        <v>22</v>
      </c>
      <c r="T2118" s="33" t="s">
        <v>26774</v>
      </c>
      <c r="U2118" s="33" t="s">
        <v>26570</v>
      </c>
      <c r="V2118" s="33" t="s">
        <v>26573</v>
      </c>
      <c r="W2118" s="33" t="s">
        <v>94</v>
      </c>
      <c r="X2118" s="33">
        <v>3387</v>
      </c>
      <c r="Z2118" s="33" t="s">
        <v>42966</v>
      </c>
      <c r="AA2118" s="33">
        <v>5549</v>
      </c>
    </row>
    <row r="2119" spans="1:27" ht="12" customHeight="1" x14ac:dyDescent="0.15">
      <c r="A2119" s="33" t="s">
        <v>31585</v>
      </c>
      <c r="B2119" s="33">
        <v>35</v>
      </c>
      <c r="C2119" s="33" t="s">
        <v>14</v>
      </c>
      <c r="D2119" s="33" t="s">
        <v>31</v>
      </c>
      <c r="E2119" s="42"/>
      <c r="F2119" s="67">
        <v>43136</v>
      </c>
      <c r="G2119" s="33" t="s">
        <v>31586</v>
      </c>
      <c r="H2119" s="33" t="s">
        <v>31587</v>
      </c>
      <c r="I2119" s="33" t="s">
        <v>39</v>
      </c>
      <c r="J2119" s="33">
        <v>95464</v>
      </c>
      <c r="K2119" s="33" t="s">
        <v>1179</v>
      </c>
      <c r="L2119" s="33" t="s">
        <v>1180</v>
      </c>
      <c r="M2119" s="33" t="s">
        <v>21</v>
      </c>
      <c r="N2119" s="33" t="s">
        <v>31588</v>
      </c>
      <c r="O2119" s="33" t="s">
        <v>372</v>
      </c>
      <c r="P2119" s="33" t="s">
        <v>30089</v>
      </c>
      <c r="Q2119" s="42" t="s">
        <v>31589</v>
      </c>
      <c r="R2119" s="33" t="s">
        <v>94</v>
      </c>
      <c r="S2119" s="33" t="s">
        <v>22</v>
      </c>
      <c r="T2119" s="33" t="s">
        <v>26781</v>
      </c>
      <c r="U2119" s="33" t="s">
        <v>26570</v>
      </c>
      <c r="V2119" s="33" t="s">
        <v>26573</v>
      </c>
      <c r="W2119" s="33" t="s">
        <v>94</v>
      </c>
      <c r="X2119" s="33">
        <v>3384</v>
      </c>
      <c r="Z2119" s="33" t="s">
        <v>42968</v>
      </c>
      <c r="AA2119" s="33">
        <v>5547</v>
      </c>
    </row>
    <row r="2120" spans="1:27" ht="12" customHeight="1" x14ac:dyDescent="0.15">
      <c r="A2120" s="33" t="s">
        <v>31590</v>
      </c>
      <c r="B2120" s="33">
        <v>49</v>
      </c>
      <c r="C2120" s="33" t="s">
        <v>14</v>
      </c>
      <c r="D2120" s="33" t="s">
        <v>31</v>
      </c>
      <c r="E2120" s="42" t="s">
        <v>31591</v>
      </c>
      <c r="F2120" s="67">
        <v>43136</v>
      </c>
      <c r="G2120" s="33" t="s">
        <v>31592</v>
      </c>
      <c r="H2120" s="33" t="s">
        <v>3685</v>
      </c>
      <c r="I2120" s="33" t="s">
        <v>621</v>
      </c>
      <c r="J2120" s="33">
        <v>39501</v>
      </c>
      <c r="K2120" s="33" t="s">
        <v>3687</v>
      </c>
      <c r="L2120" s="33" t="s">
        <v>11075</v>
      </c>
      <c r="M2120" s="33" t="s">
        <v>21</v>
      </c>
      <c r="N2120" s="33" t="s">
        <v>31593</v>
      </c>
      <c r="O2120" s="33" t="s">
        <v>372</v>
      </c>
      <c r="P2120" s="33" t="s">
        <v>30089</v>
      </c>
      <c r="Q2120" s="42" t="s">
        <v>31594</v>
      </c>
      <c r="R2120" s="33" t="s">
        <v>904</v>
      </c>
      <c r="S2120" s="33" t="s">
        <v>22</v>
      </c>
      <c r="T2120" s="33" t="s">
        <v>26781</v>
      </c>
      <c r="U2120" s="33" t="s">
        <v>26572</v>
      </c>
      <c r="V2120" s="33" t="s">
        <v>26574</v>
      </c>
      <c r="W2120" s="33" t="s">
        <v>94</v>
      </c>
      <c r="X2120" s="33">
        <v>3383</v>
      </c>
      <c r="Z2120" s="33" t="s">
        <v>42968</v>
      </c>
      <c r="AA2120" s="33">
        <v>5546</v>
      </c>
    </row>
    <row r="2121" spans="1:27" ht="12" customHeight="1" x14ac:dyDescent="0.15">
      <c r="A2121" s="33" t="s">
        <v>31581</v>
      </c>
      <c r="B2121" s="33">
        <v>19</v>
      </c>
      <c r="C2121" s="33" t="s">
        <v>14</v>
      </c>
      <c r="D2121" s="33" t="s">
        <v>42</v>
      </c>
      <c r="E2121" s="42"/>
      <c r="F2121" s="67">
        <v>43136</v>
      </c>
      <c r="G2121" s="33" t="s">
        <v>31582</v>
      </c>
      <c r="H2121" s="33" t="s">
        <v>18214</v>
      </c>
      <c r="I2121" s="33" t="s">
        <v>192</v>
      </c>
      <c r="J2121" s="33">
        <v>80909</v>
      </c>
      <c r="K2121" s="33" t="s">
        <v>801</v>
      </c>
      <c r="L2121" s="33" t="s">
        <v>32187</v>
      </c>
      <c r="M2121" s="33" t="s">
        <v>21</v>
      </c>
      <c r="N2121" s="33" t="s">
        <v>31583</v>
      </c>
      <c r="O2121" s="33" t="s">
        <v>372</v>
      </c>
      <c r="P2121" s="33" t="s">
        <v>30089</v>
      </c>
      <c r="Q2121" s="42" t="s">
        <v>31584</v>
      </c>
      <c r="R2121" s="33" t="s">
        <v>94</v>
      </c>
      <c r="S2121" s="33" t="s">
        <v>22</v>
      </c>
      <c r="T2121" s="33" t="s">
        <v>26781</v>
      </c>
      <c r="U2121" s="33" t="s">
        <v>26572</v>
      </c>
      <c r="V2121" s="33" t="s">
        <v>26573</v>
      </c>
      <c r="W2121" s="33" t="s">
        <v>94</v>
      </c>
      <c r="X2121" s="33">
        <v>3385</v>
      </c>
      <c r="Z2121" s="33" t="s">
        <v>42966</v>
      </c>
      <c r="AA2121" s="33">
        <v>5548</v>
      </c>
    </row>
    <row r="2122" spans="1:27" ht="12" customHeight="1" x14ac:dyDescent="0.15">
      <c r="A2122" s="33" t="s">
        <v>31595</v>
      </c>
      <c r="B2122" s="33">
        <v>16</v>
      </c>
      <c r="C2122" s="33" t="s">
        <v>14</v>
      </c>
      <c r="D2122" s="33" t="s">
        <v>79</v>
      </c>
      <c r="E2122" s="42"/>
      <c r="F2122" s="67">
        <v>43135</v>
      </c>
      <c r="G2122" s="33" t="s">
        <v>31596</v>
      </c>
      <c r="H2122" s="33" t="s">
        <v>92</v>
      </c>
      <c r="I2122" s="33" t="s">
        <v>39</v>
      </c>
      <c r="J2122" s="33">
        <v>90044</v>
      </c>
      <c r="K2122" s="33" t="s">
        <v>92</v>
      </c>
      <c r="L2122" s="33" t="s">
        <v>386</v>
      </c>
      <c r="M2122" s="33" t="s">
        <v>21</v>
      </c>
      <c r="N2122" s="33" t="s">
        <v>31597</v>
      </c>
      <c r="O2122" s="33" t="s">
        <v>372</v>
      </c>
      <c r="P2122" s="33" t="s">
        <v>30089</v>
      </c>
      <c r="Q2122" s="42" t="s">
        <v>31598</v>
      </c>
      <c r="R2122" s="33" t="s">
        <v>94</v>
      </c>
      <c r="S2122" s="33" t="s">
        <v>22</v>
      </c>
      <c r="T2122" s="33" t="s">
        <v>26781</v>
      </c>
      <c r="U2122" s="33" t="s">
        <v>26570</v>
      </c>
      <c r="V2122" s="33" t="s">
        <v>26574</v>
      </c>
      <c r="W2122" s="33" t="s">
        <v>94</v>
      </c>
      <c r="X2122" s="33">
        <v>3382</v>
      </c>
      <c r="Z2122" s="33" t="s">
        <v>42966</v>
      </c>
      <c r="AA2122" s="33">
        <v>5545</v>
      </c>
    </row>
    <row r="2123" spans="1:27" ht="12" customHeight="1" x14ac:dyDescent="0.15">
      <c r="A2123" s="33" t="s">
        <v>31603</v>
      </c>
      <c r="B2123" s="33">
        <v>43</v>
      </c>
      <c r="C2123" s="33" t="s">
        <v>14</v>
      </c>
      <c r="D2123" s="33" t="s">
        <v>31</v>
      </c>
      <c r="E2123" s="42"/>
      <c r="F2123" s="67">
        <v>43134</v>
      </c>
      <c r="G2123" s="33" t="s">
        <v>31604</v>
      </c>
      <c r="H2123" s="33" t="s">
        <v>3976</v>
      </c>
      <c r="I2123" s="33" t="s">
        <v>40</v>
      </c>
      <c r="J2123" s="33">
        <v>1867</v>
      </c>
      <c r="K2123" s="33" t="s">
        <v>36</v>
      </c>
      <c r="L2123" s="33" t="s">
        <v>25567</v>
      </c>
      <c r="M2123" s="33" t="s">
        <v>21</v>
      </c>
      <c r="N2123" s="33" t="s">
        <v>31605</v>
      </c>
      <c r="O2123" s="33" t="s">
        <v>372</v>
      </c>
      <c r="P2123" s="33" t="s">
        <v>30089</v>
      </c>
      <c r="Q2123" s="42" t="s">
        <v>31606</v>
      </c>
      <c r="R2123" s="33" t="s">
        <v>94</v>
      </c>
      <c r="S2123" s="33" t="s">
        <v>29</v>
      </c>
      <c r="T2123" s="33" t="s">
        <v>26575</v>
      </c>
      <c r="U2123" s="33" t="s">
        <v>26575</v>
      </c>
      <c r="V2123" s="33" t="s">
        <v>26574</v>
      </c>
      <c r="W2123" s="33" t="s">
        <v>94</v>
      </c>
      <c r="X2123" s="33">
        <v>3381</v>
      </c>
      <c r="Z2123" s="33" t="s">
        <v>42968</v>
      </c>
      <c r="AA2123" s="33">
        <v>5544</v>
      </c>
    </row>
    <row r="2124" spans="1:27" ht="12" customHeight="1" x14ac:dyDescent="0.15">
      <c r="A2124" s="33" t="s">
        <v>3002</v>
      </c>
      <c r="B2124" s="33" t="s">
        <v>23</v>
      </c>
      <c r="C2124" s="33" t="s">
        <v>14</v>
      </c>
      <c r="D2124" s="33" t="s">
        <v>30751</v>
      </c>
      <c r="E2124" s="42"/>
      <c r="F2124" s="67">
        <v>43134</v>
      </c>
      <c r="G2124" s="33" t="s">
        <v>31599</v>
      </c>
      <c r="H2124" s="33" t="s">
        <v>31600</v>
      </c>
      <c r="I2124" s="33" t="s">
        <v>39</v>
      </c>
      <c r="J2124" s="33">
        <v>93591</v>
      </c>
      <c r="K2124" s="33" t="s">
        <v>92</v>
      </c>
      <c r="L2124" s="33" t="s">
        <v>386</v>
      </c>
      <c r="M2124" s="33" t="s">
        <v>363</v>
      </c>
      <c r="N2124" s="33" t="s">
        <v>31601</v>
      </c>
      <c r="O2124" s="33" t="s">
        <v>372</v>
      </c>
      <c r="P2124" s="33" t="s">
        <v>30089</v>
      </c>
      <c r="Q2124" s="42" t="s">
        <v>31602</v>
      </c>
      <c r="R2124" s="33" t="s">
        <v>94</v>
      </c>
      <c r="S2124" s="33" t="s">
        <v>12</v>
      </c>
      <c r="T2124" s="33" t="s">
        <v>29705</v>
      </c>
      <c r="U2124" s="33" t="s">
        <v>26572</v>
      </c>
      <c r="V2124" s="33" t="s">
        <v>26573</v>
      </c>
      <c r="Z2124" s="33" t="s">
        <v>42967</v>
      </c>
      <c r="AA2124" s="33">
        <v>5543</v>
      </c>
    </row>
    <row r="2125" spans="1:27" ht="12" customHeight="1" x14ac:dyDescent="0.15">
      <c r="A2125" s="33" t="s">
        <v>3002</v>
      </c>
      <c r="B2125" s="33" t="s">
        <v>23</v>
      </c>
      <c r="C2125" s="33" t="s">
        <v>14</v>
      </c>
      <c r="D2125" s="33" t="s">
        <v>30751</v>
      </c>
      <c r="E2125" s="42"/>
      <c r="F2125" s="67">
        <v>43133</v>
      </c>
      <c r="G2125" s="33" t="s">
        <v>31607</v>
      </c>
      <c r="H2125" s="33" t="s">
        <v>31608</v>
      </c>
      <c r="I2125" s="33" t="s">
        <v>67</v>
      </c>
      <c r="J2125" s="33">
        <v>79567</v>
      </c>
      <c r="K2125" s="33" t="s">
        <v>31609</v>
      </c>
      <c r="L2125" s="33" t="s">
        <v>32188</v>
      </c>
      <c r="M2125" s="33" t="s">
        <v>21</v>
      </c>
      <c r="N2125" s="33" t="s">
        <v>31610</v>
      </c>
      <c r="O2125" s="33" t="s">
        <v>372</v>
      </c>
      <c r="P2125" s="33" t="s">
        <v>30089</v>
      </c>
      <c r="Q2125" s="42" t="s">
        <v>31611</v>
      </c>
      <c r="R2125" s="33" t="s">
        <v>512</v>
      </c>
      <c r="S2125" s="33" t="s">
        <v>22</v>
      </c>
      <c r="T2125" s="33" t="s">
        <v>26781</v>
      </c>
      <c r="U2125" s="33" t="s">
        <v>26572</v>
      </c>
      <c r="V2125" s="33" t="s">
        <v>26573</v>
      </c>
      <c r="W2125" s="33" t="s">
        <v>94</v>
      </c>
      <c r="X2125" s="33">
        <v>3380</v>
      </c>
      <c r="Z2125" s="33" t="s">
        <v>42967</v>
      </c>
      <c r="AA2125" s="33">
        <v>5540</v>
      </c>
    </row>
    <row r="2126" spans="1:27" ht="12" customHeight="1" x14ac:dyDescent="0.15">
      <c r="A2126" s="33" t="s">
        <v>31612</v>
      </c>
      <c r="B2126" s="33">
        <v>27</v>
      </c>
      <c r="C2126" s="33" t="s">
        <v>14</v>
      </c>
      <c r="D2126" s="33" t="s">
        <v>31</v>
      </c>
      <c r="E2126" s="42" t="s">
        <v>31613</v>
      </c>
      <c r="F2126" s="67">
        <v>43133</v>
      </c>
      <c r="G2126" s="33" t="s">
        <v>31614</v>
      </c>
      <c r="H2126" s="33" t="s">
        <v>3855</v>
      </c>
      <c r="I2126" s="33" t="s">
        <v>338</v>
      </c>
      <c r="J2126" s="33">
        <v>28208</v>
      </c>
      <c r="K2126" s="33" t="s">
        <v>3857</v>
      </c>
      <c r="L2126" s="33" t="s">
        <v>3858</v>
      </c>
      <c r="M2126" s="33" t="s">
        <v>21</v>
      </c>
      <c r="N2126" s="33" t="s">
        <v>31615</v>
      </c>
      <c r="O2126" s="33" t="s">
        <v>372</v>
      </c>
      <c r="P2126" s="33" t="s">
        <v>30089</v>
      </c>
      <c r="Q2126" s="42" t="s">
        <v>31616</v>
      </c>
      <c r="R2126" s="33" t="s">
        <v>512</v>
      </c>
      <c r="S2126" s="33" t="s">
        <v>22</v>
      </c>
      <c r="T2126" s="33" t="s">
        <v>26774</v>
      </c>
      <c r="U2126" s="33" t="s">
        <v>26570</v>
      </c>
      <c r="V2126" s="33" t="s">
        <v>26573</v>
      </c>
      <c r="W2126" s="33" t="s">
        <v>512</v>
      </c>
      <c r="X2126" s="33">
        <v>3377</v>
      </c>
      <c r="Z2126" s="33" t="s">
        <v>42968</v>
      </c>
      <c r="AA2126" s="33">
        <v>5541</v>
      </c>
    </row>
    <row r="2127" spans="1:27" ht="12" customHeight="1" x14ac:dyDescent="0.15">
      <c r="A2127" s="33" t="s">
        <v>3002</v>
      </c>
      <c r="B2127" s="33" t="s">
        <v>23</v>
      </c>
      <c r="C2127" s="33" t="s">
        <v>14</v>
      </c>
      <c r="D2127" s="33" t="s">
        <v>79</v>
      </c>
      <c r="E2127" s="42"/>
      <c r="F2127" s="67">
        <v>43133</v>
      </c>
      <c r="G2127" s="33" t="s">
        <v>31617</v>
      </c>
      <c r="H2127" s="33" t="s">
        <v>1786</v>
      </c>
      <c r="I2127" s="33" t="s">
        <v>160</v>
      </c>
      <c r="J2127" s="33">
        <v>30344</v>
      </c>
      <c r="K2127" s="33" t="s">
        <v>1454</v>
      </c>
      <c r="L2127" s="33" t="s">
        <v>2356</v>
      </c>
      <c r="M2127" s="33" t="s">
        <v>21</v>
      </c>
      <c r="N2127" s="33" t="s">
        <v>31618</v>
      </c>
      <c r="O2127" s="33" t="s">
        <v>372</v>
      </c>
      <c r="P2127" s="33" t="s">
        <v>30089</v>
      </c>
      <c r="Q2127" s="42" t="s">
        <v>31619</v>
      </c>
      <c r="R2127" s="33" t="s">
        <v>94</v>
      </c>
      <c r="S2127" s="33" t="s">
        <v>12</v>
      </c>
      <c r="T2127" s="33" t="s">
        <v>29425</v>
      </c>
      <c r="U2127" s="33" t="s">
        <v>26572</v>
      </c>
      <c r="V2127" s="33" t="s">
        <v>26574</v>
      </c>
      <c r="W2127" s="33" t="s">
        <v>94</v>
      </c>
      <c r="X2127" s="33">
        <v>3379</v>
      </c>
      <c r="Z2127" s="33" t="s">
        <v>42968</v>
      </c>
      <c r="AA2127" s="33">
        <v>5542</v>
      </c>
    </row>
    <row r="2128" spans="1:27" ht="12" customHeight="1" x14ac:dyDescent="0.15">
      <c r="A2128" s="33" t="s">
        <v>31657</v>
      </c>
      <c r="B2128" s="33">
        <v>31</v>
      </c>
      <c r="C2128" s="33" t="s">
        <v>14</v>
      </c>
      <c r="D2128" s="33" t="s">
        <v>79</v>
      </c>
      <c r="E2128" s="42" t="s">
        <v>31658</v>
      </c>
      <c r="F2128" s="67">
        <v>43132</v>
      </c>
      <c r="G2128" s="33" t="s">
        <v>31659</v>
      </c>
      <c r="H2128" s="33" t="s">
        <v>11218</v>
      </c>
      <c r="I2128" s="33" t="s">
        <v>376</v>
      </c>
      <c r="J2128" s="33">
        <v>17104</v>
      </c>
      <c r="K2128" s="33" t="s">
        <v>4183</v>
      </c>
      <c r="L2128" s="33" t="s">
        <v>32189</v>
      </c>
      <c r="M2128" s="33" t="s">
        <v>21</v>
      </c>
      <c r="N2128" s="33" t="s">
        <v>31660</v>
      </c>
      <c r="O2128" s="33" t="s">
        <v>372</v>
      </c>
      <c r="P2128" s="33" t="s">
        <v>30089</v>
      </c>
      <c r="Q2128" s="42" t="s">
        <v>31661</v>
      </c>
      <c r="R2128" s="33" t="s">
        <v>94</v>
      </c>
      <c r="S2128" s="33" t="s">
        <v>351</v>
      </c>
      <c r="T2128" s="33" t="s">
        <v>26867</v>
      </c>
      <c r="U2128" s="33" t="s">
        <v>26572</v>
      </c>
      <c r="V2128" s="33" t="s">
        <v>26573</v>
      </c>
      <c r="W2128" s="33" t="s">
        <v>94</v>
      </c>
      <c r="X2128" s="33">
        <v>3370</v>
      </c>
      <c r="Z2128" s="33" t="s">
        <v>42966</v>
      </c>
      <c r="AA2128" s="33">
        <v>5539</v>
      </c>
    </row>
    <row r="2129" spans="1:27" ht="12" customHeight="1" x14ac:dyDescent="0.15">
      <c r="A2129" s="33" t="s">
        <v>31634</v>
      </c>
      <c r="B2129" s="33">
        <v>26</v>
      </c>
      <c r="C2129" s="33" t="s">
        <v>14</v>
      </c>
      <c r="D2129" s="33" t="s">
        <v>31</v>
      </c>
      <c r="E2129" s="42" t="s">
        <v>31635</v>
      </c>
      <c r="F2129" s="67">
        <v>43132</v>
      </c>
      <c r="G2129" s="33" t="s">
        <v>31636</v>
      </c>
      <c r="H2129" s="33" t="s">
        <v>31637</v>
      </c>
      <c r="I2129" s="33" t="s">
        <v>798</v>
      </c>
      <c r="J2129" s="33">
        <v>59635</v>
      </c>
      <c r="K2129" s="33" t="s">
        <v>14838</v>
      </c>
      <c r="L2129" s="33" t="s">
        <v>14839</v>
      </c>
      <c r="M2129" s="33" t="s">
        <v>21</v>
      </c>
      <c r="N2129" s="33" t="s">
        <v>31638</v>
      </c>
      <c r="O2129" s="33" t="s">
        <v>372</v>
      </c>
      <c r="P2129" s="33" t="s">
        <v>30089</v>
      </c>
      <c r="Q2129" s="42" t="s">
        <v>31639</v>
      </c>
      <c r="R2129" s="33" t="s">
        <v>512</v>
      </c>
      <c r="S2129" s="33" t="s">
        <v>22</v>
      </c>
      <c r="T2129" s="33" t="s">
        <v>26781</v>
      </c>
      <c r="U2129" s="33" t="s">
        <v>26570</v>
      </c>
      <c r="W2129" s="33" t="s">
        <v>94</v>
      </c>
      <c r="X2129" s="33">
        <v>3376</v>
      </c>
      <c r="Z2129" s="33" t="s">
        <v>42967</v>
      </c>
      <c r="AA2129" s="33">
        <v>5535</v>
      </c>
    </row>
    <row r="2130" spans="1:27" ht="12" customHeight="1" x14ac:dyDescent="0.15">
      <c r="A2130" s="33" t="s">
        <v>31647</v>
      </c>
      <c r="B2130" s="33">
        <v>28</v>
      </c>
      <c r="C2130" s="33" t="s">
        <v>14</v>
      </c>
      <c r="D2130" s="33" t="s">
        <v>31</v>
      </c>
      <c r="E2130" s="42"/>
      <c r="F2130" s="67">
        <v>43132</v>
      </c>
      <c r="G2130" s="33" t="s">
        <v>31648</v>
      </c>
      <c r="H2130" s="33" t="s">
        <v>1669</v>
      </c>
      <c r="I2130" s="33" t="s">
        <v>160</v>
      </c>
      <c r="J2130" s="33">
        <v>30525</v>
      </c>
      <c r="K2130" s="33" t="s">
        <v>31649</v>
      </c>
      <c r="L2130" s="33" t="s">
        <v>1670</v>
      </c>
      <c r="M2130" s="33" t="s">
        <v>21</v>
      </c>
      <c r="N2130" s="33" t="s">
        <v>31650</v>
      </c>
      <c r="O2130" s="33" t="s">
        <v>372</v>
      </c>
      <c r="P2130" s="33" t="s">
        <v>30089</v>
      </c>
      <c r="Q2130" s="42" t="s">
        <v>31651</v>
      </c>
      <c r="R2130" s="33" t="s">
        <v>94</v>
      </c>
      <c r="S2130" s="33" t="s">
        <v>22</v>
      </c>
      <c r="T2130" s="33" t="s">
        <v>26774</v>
      </c>
      <c r="U2130" s="33" t="s">
        <v>26570</v>
      </c>
      <c r="V2130" s="33" t="s">
        <v>19228</v>
      </c>
      <c r="W2130" s="33" t="s">
        <v>94</v>
      </c>
      <c r="X2130" s="33">
        <v>3375</v>
      </c>
      <c r="Z2130" s="33" t="s">
        <v>42967</v>
      </c>
      <c r="AA2130" s="33">
        <v>5537</v>
      </c>
    </row>
    <row r="2131" spans="1:27" ht="12" customHeight="1" x14ac:dyDescent="0.15">
      <c r="A2131" s="33" t="s">
        <v>31625</v>
      </c>
      <c r="B2131" s="33">
        <v>37</v>
      </c>
      <c r="C2131" s="33" t="s">
        <v>14</v>
      </c>
      <c r="D2131" s="33" t="s">
        <v>79</v>
      </c>
      <c r="E2131" s="42"/>
      <c r="F2131" s="67">
        <v>43132</v>
      </c>
      <c r="G2131" s="33" t="s">
        <v>31626</v>
      </c>
      <c r="H2131" s="33" t="s">
        <v>674</v>
      </c>
      <c r="I2131" s="33" t="s">
        <v>67</v>
      </c>
      <c r="J2131" s="33">
        <v>77081</v>
      </c>
      <c r="K2131" s="33" t="s">
        <v>515</v>
      </c>
      <c r="L2131" s="33" t="s">
        <v>675</v>
      </c>
      <c r="M2131" s="33" t="s">
        <v>21</v>
      </c>
      <c r="N2131" s="33" t="s">
        <v>31627</v>
      </c>
      <c r="O2131" s="33" t="s">
        <v>372</v>
      </c>
      <c r="P2131" s="33" t="s">
        <v>30089</v>
      </c>
      <c r="Q2131" s="42" t="s">
        <v>31628</v>
      </c>
      <c r="R2131" s="33" t="s">
        <v>94</v>
      </c>
      <c r="S2131" s="33" t="s">
        <v>22</v>
      </c>
      <c r="T2131" s="33" t="s">
        <v>26781</v>
      </c>
      <c r="U2131" s="33" t="s">
        <v>26572</v>
      </c>
      <c r="V2131" s="33" t="s">
        <v>26574</v>
      </c>
      <c r="W2131" s="33" t="s">
        <v>94</v>
      </c>
      <c r="X2131" s="33">
        <v>3373</v>
      </c>
      <c r="Z2131" s="33" t="s">
        <v>42966</v>
      </c>
      <c r="AA2131" s="33">
        <v>5533</v>
      </c>
    </row>
    <row r="2132" spans="1:27" ht="12" customHeight="1" x14ac:dyDescent="0.15">
      <c r="A2132" s="33" t="s">
        <v>31652</v>
      </c>
      <c r="B2132" s="33">
        <v>35</v>
      </c>
      <c r="C2132" s="33" t="s">
        <v>14</v>
      </c>
      <c r="D2132" s="33" t="s">
        <v>31</v>
      </c>
      <c r="E2132" s="42"/>
      <c r="F2132" s="67">
        <v>43132</v>
      </c>
      <c r="G2132" s="33" t="s">
        <v>31653</v>
      </c>
      <c r="H2132" s="33" t="s">
        <v>31654</v>
      </c>
      <c r="I2132" s="33" t="s">
        <v>63</v>
      </c>
      <c r="J2132" s="33">
        <v>45661</v>
      </c>
      <c r="K2132" s="33" t="s">
        <v>2973</v>
      </c>
      <c r="L2132" s="33" t="s">
        <v>2974</v>
      </c>
      <c r="M2132" s="33" t="s">
        <v>21</v>
      </c>
      <c r="N2132" s="33" t="s">
        <v>31655</v>
      </c>
      <c r="O2132" s="33" t="s">
        <v>372</v>
      </c>
      <c r="P2132" s="33" t="s">
        <v>30089</v>
      </c>
      <c r="Q2132" s="42" t="s">
        <v>31656</v>
      </c>
      <c r="R2132" s="33" t="s">
        <v>94</v>
      </c>
      <c r="S2132" s="33" t="s">
        <v>29</v>
      </c>
      <c r="T2132" s="33" t="s">
        <v>26575</v>
      </c>
      <c r="U2132" s="33" t="s">
        <v>26572</v>
      </c>
      <c r="V2132" s="33" t="s">
        <v>26574</v>
      </c>
      <c r="W2132" s="33" t="s">
        <v>94</v>
      </c>
      <c r="X2132" s="33">
        <v>3369</v>
      </c>
      <c r="Z2132" s="33" t="s">
        <v>42967</v>
      </c>
      <c r="AA2132" s="33">
        <v>5538</v>
      </c>
    </row>
    <row r="2133" spans="1:27" ht="12" customHeight="1" x14ac:dyDescent="0.15">
      <c r="A2133" s="33" t="s">
        <v>31640</v>
      </c>
      <c r="B2133" s="33">
        <v>56</v>
      </c>
      <c r="C2133" s="33" t="s">
        <v>14</v>
      </c>
      <c r="D2133" s="33" t="s">
        <v>31</v>
      </c>
      <c r="E2133" s="42" t="s">
        <v>31641</v>
      </c>
      <c r="F2133" s="67">
        <v>43132</v>
      </c>
      <c r="G2133" s="33" t="s">
        <v>31642</v>
      </c>
      <c r="H2133" s="33" t="s">
        <v>1027</v>
      </c>
      <c r="I2133" s="33" t="s">
        <v>367</v>
      </c>
      <c r="J2133" s="33">
        <v>74857</v>
      </c>
      <c r="K2133" s="33" t="s">
        <v>924</v>
      </c>
      <c r="L2133" s="33" t="s">
        <v>1029</v>
      </c>
      <c r="M2133" s="33" t="s">
        <v>21</v>
      </c>
      <c r="N2133" s="33" t="s">
        <v>31643</v>
      </c>
      <c r="O2133" s="33" t="s">
        <v>372</v>
      </c>
      <c r="P2133" s="33" t="s">
        <v>30089</v>
      </c>
      <c r="Q2133" s="42" t="s">
        <v>31644</v>
      </c>
      <c r="R2133" s="33" t="s">
        <v>94</v>
      </c>
      <c r="S2133" s="33" t="s">
        <v>22</v>
      </c>
      <c r="T2133" s="33" t="s">
        <v>26781</v>
      </c>
      <c r="U2133" s="33" t="s">
        <v>26572</v>
      </c>
      <c r="V2133" s="33" t="s">
        <v>26573</v>
      </c>
      <c r="W2133" s="33" t="s">
        <v>94</v>
      </c>
      <c r="X2133" s="33">
        <v>3372</v>
      </c>
      <c r="Z2133" s="33" t="s">
        <v>42968</v>
      </c>
      <c r="AA2133" s="33">
        <v>5532</v>
      </c>
    </row>
    <row r="2134" spans="1:27" ht="12" customHeight="1" x14ac:dyDescent="0.15">
      <c r="A2134" s="33" t="s">
        <v>31620</v>
      </c>
      <c r="B2134" s="33">
        <v>33</v>
      </c>
      <c r="C2134" s="33" t="s">
        <v>14</v>
      </c>
      <c r="D2134" s="33" t="s">
        <v>79</v>
      </c>
      <c r="E2134" s="42" t="s">
        <v>31621</v>
      </c>
      <c r="F2134" s="67">
        <v>43132</v>
      </c>
      <c r="G2134" s="33" t="s">
        <v>31622</v>
      </c>
      <c r="H2134" s="33" t="s">
        <v>3230</v>
      </c>
      <c r="I2134" s="33" t="s">
        <v>38</v>
      </c>
      <c r="J2134" s="33">
        <v>61605</v>
      </c>
      <c r="K2134" s="33" t="s">
        <v>3230</v>
      </c>
      <c r="L2134" s="33" t="s">
        <v>29390</v>
      </c>
      <c r="M2134" s="33" t="s">
        <v>21</v>
      </c>
      <c r="N2134" s="33" t="s">
        <v>31623</v>
      </c>
      <c r="O2134" s="33" t="s">
        <v>372</v>
      </c>
      <c r="P2134" s="33" t="s">
        <v>30089</v>
      </c>
      <c r="Q2134" s="42" t="s">
        <v>31624</v>
      </c>
      <c r="R2134" s="33" t="s">
        <v>94</v>
      </c>
      <c r="S2134" s="33" t="s">
        <v>22</v>
      </c>
      <c r="T2134" s="33" t="s">
        <v>26781</v>
      </c>
      <c r="U2134" s="33" t="s">
        <v>26572</v>
      </c>
      <c r="V2134" s="33" t="s">
        <v>26574</v>
      </c>
      <c r="W2134" s="33" t="s">
        <v>94</v>
      </c>
      <c r="X2134" s="33">
        <v>3371</v>
      </c>
      <c r="Z2134" s="33" t="s">
        <v>42966</v>
      </c>
      <c r="AA2134" s="33">
        <v>5531</v>
      </c>
    </row>
    <row r="2135" spans="1:27" ht="12" customHeight="1" x14ac:dyDescent="0.15">
      <c r="A2135" s="33" t="s">
        <v>31629</v>
      </c>
      <c r="B2135" s="33">
        <v>32</v>
      </c>
      <c r="C2135" s="33" t="s">
        <v>14</v>
      </c>
      <c r="D2135" s="33" t="s">
        <v>31</v>
      </c>
      <c r="E2135" s="42" t="s">
        <v>31630</v>
      </c>
      <c r="F2135" s="67">
        <v>43132</v>
      </c>
      <c r="G2135" s="33" t="s">
        <v>31631</v>
      </c>
      <c r="H2135" s="33" t="s">
        <v>834</v>
      </c>
      <c r="I2135" s="33" t="s">
        <v>294</v>
      </c>
      <c r="J2135" s="33">
        <v>40218</v>
      </c>
      <c r="K2135" s="33" t="s">
        <v>1659</v>
      </c>
      <c r="L2135" s="33" t="s">
        <v>835</v>
      </c>
      <c r="M2135" s="33" t="s">
        <v>21</v>
      </c>
      <c r="N2135" s="33" t="s">
        <v>31632</v>
      </c>
      <c r="O2135" s="33" t="s">
        <v>372</v>
      </c>
      <c r="P2135" s="33" t="s">
        <v>30089</v>
      </c>
      <c r="Q2135" s="42" t="s">
        <v>31633</v>
      </c>
      <c r="R2135" s="33" t="s">
        <v>94</v>
      </c>
      <c r="S2135" s="33" t="s">
        <v>22</v>
      </c>
      <c r="T2135" s="33" t="s">
        <v>26781</v>
      </c>
      <c r="U2135" s="33" t="s">
        <v>26572</v>
      </c>
      <c r="V2135" s="33" t="s">
        <v>26573</v>
      </c>
      <c r="W2135" s="33" t="s">
        <v>94</v>
      </c>
      <c r="X2135" s="33">
        <v>3374</v>
      </c>
      <c r="Z2135" s="33" t="s">
        <v>42968</v>
      </c>
      <c r="AA2135" s="33">
        <v>5534</v>
      </c>
    </row>
    <row r="2136" spans="1:27" ht="12" customHeight="1" x14ac:dyDescent="0.15">
      <c r="A2136" s="33" t="s">
        <v>36972</v>
      </c>
      <c r="B2136" s="33">
        <v>38</v>
      </c>
      <c r="C2136" s="33" t="s">
        <v>14</v>
      </c>
      <c r="D2136" s="33" t="s">
        <v>30751</v>
      </c>
      <c r="E2136" s="42"/>
      <c r="F2136" s="67">
        <v>43132</v>
      </c>
      <c r="G2136" s="33" t="s">
        <v>31631</v>
      </c>
      <c r="H2136" s="33" t="s">
        <v>834</v>
      </c>
      <c r="I2136" s="33" t="s">
        <v>294</v>
      </c>
      <c r="J2136" s="33">
        <v>40218</v>
      </c>
      <c r="K2136" s="33" t="s">
        <v>1659</v>
      </c>
      <c r="L2136" s="33" t="s">
        <v>835</v>
      </c>
      <c r="M2136" s="33" t="s">
        <v>21</v>
      </c>
      <c r="N2136" s="33" t="s">
        <v>31645</v>
      </c>
      <c r="O2136" s="33" t="s">
        <v>372</v>
      </c>
      <c r="P2136" s="33" t="s">
        <v>30089</v>
      </c>
      <c r="Q2136" s="42" t="s">
        <v>31646</v>
      </c>
      <c r="R2136" s="33" t="s">
        <v>94</v>
      </c>
      <c r="S2136" s="33" t="s">
        <v>22</v>
      </c>
      <c r="T2136" s="33" t="s">
        <v>26781</v>
      </c>
      <c r="U2136" s="33" t="s">
        <v>26572</v>
      </c>
      <c r="V2136" s="33" t="s">
        <v>26573</v>
      </c>
      <c r="X2136" s="33">
        <v>4248</v>
      </c>
      <c r="Z2136" s="33" t="s">
        <v>42968</v>
      </c>
      <c r="AA2136" s="33">
        <v>5536</v>
      </c>
    </row>
    <row r="2137" spans="1:27" ht="12" customHeight="1" x14ac:dyDescent="0.15">
      <c r="A2137" s="33" t="s">
        <v>31669</v>
      </c>
      <c r="B2137" s="33">
        <v>39</v>
      </c>
      <c r="C2137" s="33" t="s">
        <v>14</v>
      </c>
      <c r="D2137" s="33" t="s">
        <v>42</v>
      </c>
      <c r="E2137" s="42"/>
      <c r="F2137" s="67">
        <v>43131</v>
      </c>
      <c r="G2137" s="33" t="s">
        <v>31670</v>
      </c>
      <c r="H2137" s="33" t="s">
        <v>10673</v>
      </c>
      <c r="I2137" s="33" t="s">
        <v>192</v>
      </c>
      <c r="J2137" s="33">
        <v>80003</v>
      </c>
      <c r="K2137" s="33" t="s">
        <v>1659</v>
      </c>
      <c r="L2137" s="33" t="s">
        <v>10675</v>
      </c>
      <c r="M2137" s="33" t="s">
        <v>21</v>
      </c>
      <c r="N2137" s="33" t="s">
        <v>31671</v>
      </c>
      <c r="O2137" s="33" t="s">
        <v>372</v>
      </c>
      <c r="P2137" s="33" t="s">
        <v>30089</v>
      </c>
      <c r="Q2137" s="42" t="s">
        <v>31672</v>
      </c>
      <c r="R2137" s="33" t="s">
        <v>94</v>
      </c>
      <c r="S2137" s="33" t="s">
        <v>22</v>
      </c>
      <c r="T2137" s="33" t="s">
        <v>26774</v>
      </c>
      <c r="U2137" s="33" t="s">
        <v>26570</v>
      </c>
      <c r="V2137" s="33" t="s">
        <v>26573</v>
      </c>
      <c r="W2137" s="33" t="s">
        <v>94</v>
      </c>
      <c r="X2137" s="33">
        <v>3368</v>
      </c>
      <c r="Z2137" s="33" t="s">
        <v>42968</v>
      </c>
      <c r="AA2137" s="33">
        <v>5530</v>
      </c>
    </row>
    <row r="2138" spans="1:27" ht="12" customHeight="1" x14ac:dyDescent="0.15">
      <c r="A2138" s="33" t="s">
        <v>31662</v>
      </c>
      <c r="B2138" s="33">
        <v>20</v>
      </c>
      <c r="C2138" s="33" t="s">
        <v>14</v>
      </c>
      <c r="D2138" s="33" t="s">
        <v>42</v>
      </c>
      <c r="E2138" s="42" t="s">
        <v>31663</v>
      </c>
      <c r="F2138" s="67">
        <v>43131</v>
      </c>
      <c r="G2138" s="33" t="s">
        <v>31664</v>
      </c>
      <c r="H2138" s="33" t="s">
        <v>31665</v>
      </c>
      <c r="I2138" s="33" t="s">
        <v>122</v>
      </c>
      <c r="J2138" s="33">
        <v>56081</v>
      </c>
      <c r="K2138" s="33" t="s">
        <v>31666</v>
      </c>
      <c r="L2138" s="33" t="s">
        <v>32190</v>
      </c>
      <c r="M2138" s="33" t="s">
        <v>21</v>
      </c>
      <c r="N2138" s="33" t="s">
        <v>31667</v>
      </c>
      <c r="O2138" s="33" t="s">
        <v>372</v>
      </c>
      <c r="P2138" s="33" t="s">
        <v>30089</v>
      </c>
      <c r="Q2138" s="42" t="s">
        <v>31668</v>
      </c>
      <c r="R2138" s="33" t="s">
        <v>94</v>
      </c>
      <c r="S2138" s="33" t="s">
        <v>22</v>
      </c>
      <c r="T2138" s="33" t="s">
        <v>26774</v>
      </c>
      <c r="U2138" s="33" t="s">
        <v>26570</v>
      </c>
      <c r="V2138" s="33" t="s">
        <v>26574</v>
      </c>
      <c r="W2138" s="33" t="s">
        <v>94</v>
      </c>
      <c r="X2138" s="33">
        <v>3367</v>
      </c>
      <c r="Z2138" s="33" t="s">
        <v>42967</v>
      </c>
      <c r="AA2138" s="33">
        <v>5529</v>
      </c>
    </row>
    <row r="2139" spans="1:27" ht="12" customHeight="1" x14ac:dyDescent="0.15">
      <c r="A2139" s="33" t="s">
        <v>31673</v>
      </c>
      <c r="B2139" s="33">
        <v>40</v>
      </c>
      <c r="C2139" s="33" t="s">
        <v>14</v>
      </c>
      <c r="D2139" s="33" t="s">
        <v>31</v>
      </c>
      <c r="E2139" s="42"/>
      <c r="F2139" s="67">
        <v>43130</v>
      </c>
      <c r="G2139" s="33" t="s">
        <v>31674</v>
      </c>
      <c r="H2139" s="33" t="s">
        <v>31675</v>
      </c>
      <c r="I2139" s="33" t="s">
        <v>367</v>
      </c>
      <c r="J2139" s="33">
        <v>74873</v>
      </c>
      <c r="K2139" s="33" t="s">
        <v>2794</v>
      </c>
      <c r="L2139" s="33" t="s">
        <v>32191</v>
      </c>
      <c r="M2139" s="33" t="s">
        <v>21</v>
      </c>
      <c r="N2139" s="33" t="s">
        <v>31676</v>
      </c>
      <c r="O2139" s="33" t="s">
        <v>372</v>
      </c>
      <c r="P2139" s="33" t="s">
        <v>30089</v>
      </c>
      <c r="Q2139" s="42" t="s">
        <v>31677</v>
      </c>
      <c r="R2139" s="33" t="s">
        <v>94</v>
      </c>
      <c r="S2139" s="33" t="s">
        <v>29</v>
      </c>
      <c r="T2139" s="33" t="s">
        <v>26575</v>
      </c>
      <c r="U2139" s="33" t="s">
        <v>26575</v>
      </c>
      <c r="V2139" s="33" t="s">
        <v>26573</v>
      </c>
      <c r="W2139" s="33" t="s">
        <v>94</v>
      </c>
      <c r="X2139" s="33">
        <v>3366</v>
      </c>
      <c r="Z2139" s="33" t="s">
        <v>42967</v>
      </c>
      <c r="AA2139" s="33">
        <v>5528</v>
      </c>
    </row>
    <row r="2140" spans="1:27" ht="12" customHeight="1" x14ac:dyDescent="0.15">
      <c r="A2140" s="33" t="s">
        <v>31678</v>
      </c>
      <c r="B2140" s="33">
        <v>46</v>
      </c>
      <c r="C2140" s="33" t="s">
        <v>14</v>
      </c>
      <c r="D2140" s="33" t="s">
        <v>42</v>
      </c>
      <c r="E2140" s="42"/>
      <c r="F2140" s="67">
        <v>43129</v>
      </c>
      <c r="G2140" s="33" t="s">
        <v>31679</v>
      </c>
      <c r="H2140" s="33" t="s">
        <v>674</v>
      </c>
      <c r="I2140" s="33" t="s">
        <v>67</v>
      </c>
      <c r="J2140" s="33">
        <v>77084</v>
      </c>
      <c r="K2140" s="33" t="s">
        <v>515</v>
      </c>
      <c r="L2140" s="33" t="s">
        <v>516</v>
      </c>
      <c r="M2140" s="33" t="s">
        <v>21</v>
      </c>
      <c r="N2140" s="33" t="s">
        <v>31680</v>
      </c>
      <c r="O2140" s="33" t="s">
        <v>372</v>
      </c>
      <c r="P2140" s="33" t="s">
        <v>30089</v>
      </c>
      <c r="Q2140" s="42" t="s">
        <v>31681</v>
      </c>
      <c r="R2140" s="33" t="s">
        <v>94</v>
      </c>
      <c r="S2140" s="33" t="s">
        <v>22</v>
      </c>
      <c r="T2140" s="33" t="s">
        <v>26774</v>
      </c>
      <c r="U2140" s="33" t="s">
        <v>26572</v>
      </c>
      <c r="V2140" s="33" t="s">
        <v>26571</v>
      </c>
      <c r="W2140" s="33" t="s">
        <v>94</v>
      </c>
      <c r="X2140" s="33">
        <v>4246</v>
      </c>
      <c r="Z2140" s="33" t="s">
        <v>42968</v>
      </c>
      <c r="AA2140" s="33">
        <v>5526</v>
      </c>
    </row>
    <row r="2141" spans="1:27" ht="12" customHeight="1" x14ac:dyDescent="0.15">
      <c r="A2141" s="33" t="s">
        <v>31682</v>
      </c>
      <c r="B2141" s="33">
        <v>52</v>
      </c>
      <c r="C2141" s="33" t="s">
        <v>14</v>
      </c>
      <c r="D2141" s="33" t="s">
        <v>79</v>
      </c>
      <c r="E2141" s="42"/>
      <c r="F2141" s="67">
        <v>43129</v>
      </c>
      <c r="G2141" s="33" t="s">
        <v>31683</v>
      </c>
      <c r="H2141" s="33" t="s">
        <v>1716</v>
      </c>
      <c r="I2141" s="33" t="s">
        <v>395</v>
      </c>
      <c r="J2141" s="33">
        <v>10457</v>
      </c>
      <c r="K2141" s="33" t="s">
        <v>1716</v>
      </c>
      <c r="L2141" s="33" t="s">
        <v>539</v>
      </c>
      <c r="M2141" s="33" t="s">
        <v>21</v>
      </c>
      <c r="N2141" s="33" t="s">
        <v>31684</v>
      </c>
      <c r="O2141" s="33" t="s">
        <v>372</v>
      </c>
      <c r="P2141" s="33" t="s">
        <v>30089</v>
      </c>
      <c r="Q2141" s="42" t="s">
        <v>31685</v>
      </c>
      <c r="R2141" s="33" t="s">
        <v>94</v>
      </c>
      <c r="S2141" s="33" t="s">
        <v>22</v>
      </c>
      <c r="T2141" s="33" t="s">
        <v>26774</v>
      </c>
      <c r="U2141" s="33" t="s">
        <v>26570</v>
      </c>
      <c r="V2141" s="33" t="s">
        <v>26574</v>
      </c>
      <c r="W2141" s="33" t="s">
        <v>512</v>
      </c>
      <c r="X2141" s="33">
        <v>3365</v>
      </c>
      <c r="Z2141" s="33" t="s">
        <v>42966</v>
      </c>
      <c r="AA2141" s="33">
        <v>5525</v>
      </c>
    </row>
    <row r="2142" spans="1:27" ht="12" customHeight="1" x14ac:dyDescent="0.15">
      <c r="A2142" s="33" t="s">
        <v>31686</v>
      </c>
      <c r="B2142" s="33">
        <v>31</v>
      </c>
      <c r="C2142" s="33" t="s">
        <v>14</v>
      </c>
      <c r="D2142" s="33" t="s">
        <v>79</v>
      </c>
      <c r="E2142" s="42"/>
      <c r="F2142" s="67">
        <v>43129</v>
      </c>
      <c r="G2142" s="33" t="s">
        <v>31687</v>
      </c>
      <c r="H2142" s="33" t="s">
        <v>1033</v>
      </c>
      <c r="I2142" s="33" t="s">
        <v>376</v>
      </c>
      <c r="J2142" s="33">
        <v>19145</v>
      </c>
      <c r="K2142" s="33" t="s">
        <v>1033</v>
      </c>
      <c r="L2142" s="33" t="s">
        <v>1034</v>
      </c>
      <c r="M2142" s="33" t="s">
        <v>21</v>
      </c>
      <c r="N2142" s="33" t="s">
        <v>31688</v>
      </c>
      <c r="O2142" s="33" t="s">
        <v>372</v>
      </c>
      <c r="P2142" s="33" t="s">
        <v>30089</v>
      </c>
      <c r="Q2142" s="42" t="s">
        <v>31689</v>
      </c>
      <c r="R2142" s="33" t="s">
        <v>94</v>
      </c>
      <c r="S2142" s="33" t="s">
        <v>351</v>
      </c>
      <c r="T2142" s="33" t="s">
        <v>26867</v>
      </c>
      <c r="U2142" s="33" t="s">
        <v>26572</v>
      </c>
      <c r="V2142" s="33" t="s">
        <v>26573</v>
      </c>
      <c r="Y2142" s="33" t="s">
        <v>42476</v>
      </c>
      <c r="Z2142" s="33" t="s">
        <v>42966</v>
      </c>
      <c r="AA2142" s="33">
        <v>5527</v>
      </c>
    </row>
    <row r="2143" spans="1:27" ht="12" customHeight="1" x14ac:dyDescent="0.15">
      <c r="A2143" s="33" t="s">
        <v>31690</v>
      </c>
      <c r="B2143" s="33">
        <v>33</v>
      </c>
      <c r="C2143" s="33" t="s">
        <v>14</v>
      </c>
      <c r="D2143" s="33" t="s">
        <v>79</v>
      </c>
      <c r="E2143" s="42"/>
      <c r="F2143" s="67">
        <v>43128</v>
      </c>
      <c r="G2143" s="33" t="s">
        <v>31691</v>
      </c>
      <c r="H2143" s="33" t="s">
        <v>1487</v>
      </c>
      <c r="I2143" s="33" t="s">
        <v>46</v>
      </c>
      <c r="J2143" s="33">
        <v>21216</v>
      </c>
      <c r="K2143" s="33" t="s">
        <v>4324</v>
      </c>
      <c r="L2143" s="33" t="s">
        <v>2556</v>
      </c>
      <c r="M2143" s="33" t="s">
        <v>21</v>
      </c>
      <c r="N2143" s="33" t="s">
        <v>31692</v>
      </c>
      <c r="O2143" s="33" t="s">
        <v>372</v>
      </c>
      <c r="P2143" s="33" t="s">
        <v>30089</v>
      </c>
      <c r="Q2143" s="42" t="s">
        <v>31693</v>
      </c>
      <c r="R2143" s="33" t="s">
        <v>94</v>
      </c>
      <c r="S2143" s="33" t="s">
        <v>22</v>
      </c>
      <c r="T2143" s="33" t="s">
        <v>26781</v>
      </c>
      <c r="U2143" s="33" t="s">
        <v>26572</v>
      </c>
      <c r="V2143" s="33" t="s">
        <v>26574</v>
      </c>
      <c r="W2143" s="33" t="s">
        <v>512</v>
      </c>
      <c r="X2143" s="33">
        <v>3355</v>
      </c>
      <c r="Z2143" s="33" t="s">
        <v>42966</v>
      </c>
      <c r="AA2143" s="33">
        <v>5522</v>
      </c>
    </row>
    <row r="2144" spans="1:27" ht="12" customHeight="1" x14ac:dyDescent="0.15">
      <c r="A2144" s="33" t="s">
        <v>31694</v>
      </c>
      <c r="B2144" s="33">
        <v>38</v>
      </c>
      <c r="C2144" s="33" t="s">
        <v>14</v>
      </c>
      <c r="D2144" s="33" t="s">
        <v>31</v>
      </c>
      <c r="E2144" s="42" t="s">
        <v>31695</v>
      </c>
      <c r="F2144" s="67">
        <v>43128</v>
      </c>
      <c r="G2144" s="33" t="s">
        <v>31696</v>
      </c>
      <c r="H2144" s="33" t="s">
        <v>3458</v>
      </c>
      <c r="I2144" s="33" t="s">
        <v>160</v>
      </c>
      <c r="J2144" s="33">
        <v>30341</v>
      </c>
      <c r="K2144" s="33" t="s">
        <v>805</v>
      </c>
      <c r="L2144" s="33" t="s">
        <v>8387</v>
      </c>
      <c r="M2144" s="33" t="s">
        <v>21</v>
      </c>
      <c r="N2144" s="33" t="s">
        <v>31697</v>
      </c>
      <c r="O2144" s="33" t="s">
        <v>372</v>
      </c>
      <c r="P2144" s="33" t="s">
        <v>30089</v>
      </c>
      <c r="Q2144" s="42" t="s">
        <v>31698</v>
      </c>
      <c r="R2144" s="33" t="s">
        <v>94</v>
      </c>
      <c r="S2144" s="33" t="s">
        <v>22</v>
      </c>
      <c r="T2144" s="33" t="s">
        <v>26781</v>
      </c>
      <c r="U2144" s="33" t="s">
        <v>26572</v>
      </c>
      <c r="V2144" s="33" t="s">
        <v>26574</v>
      </c>
      <c r="W2144" s="33" t="s">
        <v>94</v>
      </c>
      <c r="X2144" s="33">
        <v>3356</v>
      </c>
      <c r="Z2144" s="33" t="s">
        <v>42968</v>
      </c>
      <c r="AA2144" s="33">
        <v>5523</v>
      </c>
    </row>
    <row r="2145" spans="1:27" ht="12" customHeight="1" x14ac:dyDescent="0.15">
      <c r="A2145" s="33" t="s">
        <v>31699</v>
      </c>
      <c r="B2145" s="33">
        <v>45</v>
      </c>
      <c r="C2145" s="33" t="s">
        <v>14</v>
      </c>
      <c r="D2145" s="33" t="s">
        <v>31</v>
      </c>
      <c r="E2145" s="42"/>
      <c r="F2145" s="67">
        <v>43128</v>
      </c>
      <c r="G2145" s="33" t="s">
        <v>31700</v>
      </c>
      <c r="H2145" s="33" t="s">
        <v>25431</v>
      </c>
      <c r="I2145" s="33" t="s">
        <v>294</v>
      </c>
      <c r="J2145" s="33">
        <v>40744</v>
      </c>
      <c r="K2145" s="33" t="s">
        <v>20650</v>
      </c>
      <c r="L2145" s="33" t="s">
        <v>20651</v>
      </c>
      <c r="M2145" s="33" t="s">
        <v>21</v>
      </c>
      <c r="N2145" s="33" t="s">
        <v>31701</v>
      </c>
      <c r="O2145" s="33" t="s">
        <v>372</v>
      </c>
      <c r="P2145" s="33" t="s">
        <v>30089</v>
      </c>
      <c r="Q2145" s="42" t="s">
        <v>31702</v>
      </c>
      <c r="R2145" s="33" t="s">
        <v>94</v>
      </c>
      <c r="S2145" s="33" t="s">
        <v>22</v>
      </c>
      <c r="T2145" s="33" t="s">
        <v>26781</v>
      </c>
      <c r="U2145" s="33" t="s">
        <v>26572</v>
      </c>
      <c r="V2145" s="33" t="s">
        <v>26573</v>
      </c>
      <c r="W2145" s="33" t="s">
        <v>94</v>
      </c>
      <c r="X2145" s="33">
        <v>3354</v>
      </c>
      <c r="Z2145" s="33" t="s">
        <v>42967</v>
      </c>
      <c r="AA2145" s="33">
        <v>5521</v>
      </c>
    </row>
    <row r="2146" spans="1:27" ht="12" customHeight="1" x14ac:dyDescent="0.15">
      <c r="A2146" s="33" t="s">
        <v>31703</v>
      </c>
      <c r="B2146" s="33">
        <v>33</v>
      </c>
      <c r="C2146" s="33" t="s">
        <v>14</v>
      </c>
      <c r="D2146" s="33" t="s">
        <v>31</v>
      </c>
      <c r="E2146" s="42" t="s">
        <v>31704</v>
      </c>
      <c r="F2146" s="67">
        <v>43128</v>
      </c>
      <c r="G2146" s="33" t="s">
        <v>31705</v>
      </c>
      <c r="H2146" s="33" t="s">
        <v>9688</v>
      </c>
      <c r="I2146" s="33" t="s">
        <v>67</v>
      </c>
      <c r="J2146" s="33">
        <v>77304</v>
      </c>
      <c r="K2146" s="33" t="s">
        <v>995</v>
      </c>
      <c r="L2146" s="33" t="s">
        <v>13592</v>
      </c>
      <c r="M2146" s="33" t="s">
        <v>21</v>
      </c>
      <c r="N2146" s="33" t="s">
        <v>31706</v>
      </c>
      <c r="O2146" s="33" t="s">
        <v>372</v>
      </c>
      <c r="P2146" s="33" t="s">
        <v>30089</v>
      </c>
      <c r="Q2146" s="42" t="s">
        <v>31707</v>
      </c>
      <c r="R2146" s="33" t="s">
        <v>94</v>
      </c>
      <c r="S2146" s="33" t="s">
        <v>22</v>
      </c>
      <c r="T2146" s="33" t="s">
        <v>26781</v>
      </c>
      <c r="U2146" s="33" t="s">
        <v>26572</v>
      </c>
      <c r="V2146" s="33" t="s">
        <v>26571</v>
      </c>
      <c r="W2146" s="33" t="s">
        <v>94</v>
      </c>
      <c r="X2146" s="33">
        <v>3362</v>
      </c>
      <c r="Z2146" s="33" t="s">
        <v>42966</v>
      </c>
      <c r="AA2146" s="33">
        <v>5524</v>
      </c>
    </row>
    <row r="2147" spans="1:27" ht="12" customHeight="1" x14ac:dyDescent="0.15">
      <c r="A2147" s="33" t="s">
        <v>31708</v>
      </c>
      <c r="B2147" s="33">
        <v>43</v>
      </c>
      <c r="C2147" s="33" t="s">
        <v>103</v>
      </c>
      <c r="D2147" s="33" t="s">
        <v>31</v>
      </c>
      <c r="E2147" s="42"/>
      <c r="F2147" s="67">
        <v>43127</v>
      </c>
      <c r="G2147" s="33" t="s">
        <v>31709</v>
      </c>
      <c r="H2147" s="33" t="s">
        <v>532</v>
      </c>
      <c r="I2147" s="33" t="s">
        <v>67</v>
      </c>
      <c r="J2147" s="33">
        <v>78216</v>
      </c>
      <c r="K2147" s="33" t="s">
        <v>533</v>
      </c>
      <c r="L2147" s="33" t="s">
        <v>534</v>
      </c>
      <c r="M2147" s="33" t="s">
        <v>21</v>
      </c>
      <c r="N2147" s="33" t="s">
        <v>31710</v>
      </c>
      <c r="O2147" s="33" t="s">
        <v>372</v>
      </c>
      <c r="P2147" s="33" t="s">
        <v>30089</v>
      </c>
      <c r="Q2147" s="42" t="s">
        <v>31711</v>
      </c>
      <c r="R2147" s="33" t="s">
        <v>512</v>
      </c>
      <c r="S2147" s="33" t="s">
        <v>22</v>
      </c>
      <c r="T2147" s="33" t="s">
        <v>26781</v>
      </c>
      <c r="U2147" s="33" t="s">
        <v>26572</v>
      </c>
      <c r="V2147" s="33" t="s">
        <v>26573</v>
      </c>
      <c r="W2147" s="33" t="s">
        <v>94</v>
      </c>
      <c r="X2147" s="33">
        <v>3360</v>
      </c>
      <c r="Z2147" s="33" t="s">
        <v>42968</v>
      </c>
      <c r="AA2147" s="33">
        <v>5518</v>
      </c>
    </row>
    <row r="2148" spans="1:27" ht="12" customHeight="1" x14ac:dyDescent="0.15">
      <c r="A2148" s="33" t="s">
        <v>31716</v>
      </c>
      <c r="B2148" s="33">
        <v>21</v>
      </c>
      <c r="C2148" s="33" t="s">
        <v>103</v>
      </c>
      <c r="D2148" s="33" t="s">
        <v>79</v>
      </c>
      <c r="E2148" s="42" t="s">
        <v>31717</v>
      </c>
      <c r="F2148" s="67">
        <v>43127</v>
      </c>
      <c r="G2148" s="33" t="s">
        <v>31718</v>
      </c>
      <c r="H2148" s="33" t="s">
        <v>404</v>
      </c>
      <c r="I2148" s="33" t="s">
        <v>621</v>
      </c>
      <c r="J2148" s="33">
        <v>39213</v>
      </c>
      <c r="K2148" s="33" t="s">
        <v>9141</v>
      </c>
      <c r="L2148" s="33" t="s">
        <v>5717</v>
      </c>
      <c r="M2148" s="33" t="s">
        <v>21</v>
      </c>
      <c r="N2148" s="33" t="s">
        <v>31719</v>
      </c>
      <c r="O2148" s="33" t="s">
        <v>372</v>
      </c>
      <c r="P2148" s="33" t="s">
        <v>30089</v>
      </c>
      <c r="Q2148" s="42" t="s">
        <v>31720</v>
      </c>
      <c r="R2148" s="33" t="s">
        <v>94</v>
      </c>
      <c r="S2148" s="33" t="s">
        <v>351</v>
      </c>
      <c r="T2148" s="33" t="s">
        <v>26867</v>
      </c>
      <c r="U2148" s="33" t="s">
        <v>26572</v>
      </c>
      <c r="V2148" s="33" t="s">
        <v>26571</v>
      </c>
      <c r="W2148" s="33" t="s">
        <v>94</v>
      </c>
      <c r="X2148" s="33">
        <v>3359</v>
      </c>
      <c r="Z2148" s="33" t="s">
        <v>42968</v>
      </c>
      <c r="AA2148" s="33">
        <v>5520</v>
      </c>
    </row>
    <row r="2149" spans="1:27" ht="12" customHeight="1" x14ac:dyDescent="0.15">
      <c r="A2149" s="33" t="s">
        <v>31712</v>
      </c>
      <c r="B2149" s="33">
        <v>45</v>
      </c>
      <c r="C2149" s="33" t="s">
        <v>14</v>
      </c>
      <c r="D2149" s="33" t="s">
        <v>79</v>
      </c>
      <c r="E2149" s="42"/>
      <c r="F2149" s="67">
        <v>43127</v>
      </c>
      <c r="G2149" s="33" t="s">
        <v>31713</v>
      </c>
      <c r="H2149" s="33" t="s">
        <v>24284</v>
      </c>
      <c r="I2149" s="33" t="s">
        <v>198</v>
      </c>
      <c r="J2149" s="33">
        <v>46994</v>
      </c>
      <c r="K2149" s="33" t="s">
        <v>7590</v>
      </c>
      <c r="L2149" s="33" t="s">
        <v>21699</v>
      </c>
      <c r="M2149" s="33" t="s">
        <v>21</v>
      </c>
      <c r="N2149" s="33" t="s">
        <v>31714</v>
      </c>
      <c r="O2149" s="33" t="s">
        <v>372</v>
      </c>
      <c r="P2149" s="33" t="s">
        <v>30089</v>
      </c>
      <c r="Q2149" s="42" t="s">
        <v>31715</v>
      </c>
      <c r="R2149" s="33" t="s">
        <v>512</v>
      </c>
      <c r="S2149" s="33" t="s">
        <v>22</v>
      </c>
      <c r="T2149" s="33" t="s">
        <v>26774</v>
      </c>
      <c r="U2149" s="33" t="s">
        <v>26570</v>
      </c>
      <c r="V2149" s="33" t="s">
        <v>26573</v>
      </c>
      <c r="W2149" s="33" t="s">
        <v>94</v>
      </c>
      <c r="X2149" s="33">
        <v>3357</v>
      </c>
      <c r="Z2149" s="33" t="s">
        <v>42967</v>
      </c>
      <c r="AA2149" s="33">
        <v>5519</v>
      </c>
    </row>
    <row r="2150" spans="1:27" ht="12" customHeight="1" x14ac:dyDescent="0.15">
      <c r="A2150" s="33" t="s">
        <v>31721</v>
      </c>
      <c r="B2150" s="33">
        <v>42</v>
      </c>
      <c r="C2150" s="33" t="s">
        <v>14</v>
      </c>
      <c r="D2150" s="33" t="s">
        <v>42</v>
      </c>
      <c r="E2150" s="42"/>
      <c r="F2150" s="67">
        <v>43126</v>
      </c>
      <c r="G2150" s="33" t="s">
        <v>31722</v>
      </c>
      <c r="H2150" s="33" t="s">
        <v>607</v>
      </c>
      <c r="I2150" s="33" t="s">
        <v>250</v>
      </c>
      <c r="J2150" s="33">
        <v>89183</v>
      </c>
      <c r="K2150" s="33" t="s">
        <v>527</v>
      </c>
      <c r="L2150" s="33" t="s">
        <v>528</v>
      </c>
      <c r="M2150" s="33" t="s">
        <v>21</v>
      </c>
      <c r="N2150" s="33" t="s">
        <v>31723</v>
      </c>
      <c r="O2150" s="33" t="s">
        <v>372</v>
      </c>
      <c r="P2150" s="33" t="s">
        <v>30089</v>
      </c>
      <c r="Q2150" s="42" t="s">
        <v>31724</v>
      </c>
      <c r="R2150" s="33" t="s">
        <v>94</v>
      </c>
      <c r="S2150" s="33" t="s">
        <v>22</v>
      </c>
      <c r="T2150" s="33" t="s">
        <v>26781</v>
      </c>
      <c r="U2150" s="33" t="s">
        <v>26570</v>
      </c>
      <c r="W2150" s="33" t="s">
        <v>94</v>
      </c>
      <c r="X2150" s="33">
        <v>3347</v>
      </c>
      <c r="Z2150" s="33" t="s">
        <v>42968</v>
      </c>
      <c r="AA2150" s="33">
        <v>5514</v>
      </c>
    </row>
    <row r="2151" spans="1:27" ht="12" customHeight="1" x14ac:dyDescent="0.15">
      <c r="A2151" s="33" t="s">
        <v>31741</v>
      </c>
      <c r="B2151" s="33">
        <v>43</v>
      </c>
      <c r="C2151" s="33" t="s">
        <v>14</v>
      </c>
      <c r="D2151" s="33" t="s">
        <v>79</v>
      </c>
      <c r="E2151" s="42" t="s">
        <v>31742</v>
      </c>
      <c r="F2151" s="67">
        <v>43126</v>
      </c>
      <c r="G2151" s="33" t="s">
        <v>31743</v>
      </c>
      <c r="H2151" s="33" t="s">
        <v>11737</v>
      </c>
      <c r="I2151" s="33" t="s">
        <v>38</v>
      </c>
      <c r="J2151" s="33">
        <v>61071</v>
      </c>
      <c r="K2151" s="33" t="s">
        <v>11739</v>
      </c>
      <c r="L2151" s="33" t="s">
        <v>32192</v>
      </c>
      <c r="M2151" s="33" t="s">
        <v>21</v>
      </c>
      <c r="N2151" s="33" t="s">
        <v>31744</v>
      </c>
      <c r="O2151" s="33" t="s">
        <v>372</v>
      </c>
      <c r="P2151" s="33" t="s">
        <v>30089</v>
      </c>
      <c r="Q2151" s="42" t="s">
        <v>31745</v>
      </c>
      <c r="R2151" s="33" t="s">
        <v>94</v>
      </c>
      <c r="S2151" s="33" t="s">
        <v>351</v>
      </c>
      <c r="T2151" s="33" t="s">
        <v>26867</v>
      </c>
      <c r="U2151" s="33" t="s">
        <v>26572</v>
      </c>
      <c r="V2151" s="33" t="s">
        <v>26571</v>
      </c>
      <c r="W2151" s="33" t="s">
        <v>94</v>
      </c>
      <c r="X2151" s="33">
        <v>3358</v>
      </c>
      <c r="Z2151" s="33" t="s">
        <v>42967</v>
      </c>
      <c r="AA2151" s="33">
        <v>5517</v>
      </c>
    </row>
    <row r="2152" spans="1:27" ht="12" customHeight="1" x14ac:dyDescent="0.15">
      <c r="A2152" s="33" t="s">
        <v>31736</v>
      </c>
      <c r="B2152" s="33">
        <v>42</v>
      </c>
      <c r="C2152" s="33" t="s">
        <v>14</v>
      </c>
      <c r="D2152" s="33" t="s">
        <v>31</v>
      </c>
      <c r="E2152" s="42"/>
      <c r="F2152" s="67">
        <v>43126</v>
      </c>
      <c r="G2152" s="33" t="s">
        <v>31737</v>
      </c>
      <c r="H2152" s="33" t="s">
        <v>31738</v>
      </c>
      <c r="I2152" s="33" t="s">
        <v>38</v>
      </c>
      <c r="J2152" s="33">
        <v>62002</v>
      </c>
      <c r="K2152" s="33" t="s">
        <v>2014</v>
      </c>
      <c r="L2152" s="33" t="s">
        <v>5161</v>
      </c>
      <c r="M2152" s="33" t="s">
        <v>21</v>
      </c>
      <c r="N2152" s="33" t="s">
        <v>31739</v>
      </c>
      <c r="O2152" s="33" t="s">
        <v>372</v>
      </c>
      <c r="P2152" s="33" t="s">
        <v>30089</v>
      </c>
      <c r="Q2152" s="42" t="s">
        <v>31740</v>
      </c>
      <c r="R2152" s="33" t="s">
        <v>94</v>
      </c>
      <c r="S2152" s="33" t="s">
        <v>22</v>
      </c>
      <c r="T2152" s="33" t="s">
        <v>26774</v>
      </c>
      <c r="U2152" s="33" t="s">
        <v>26572</v>
      </c>
      <c r="V2152" s="33" t="s">
        <v>26573</v>
      </c>
      <c r="W2152" s="33" t="s">
        <v>94</v>
      </c>
      <c r="X2152" s="33">
        <v>3361</v>
      </c>
      <c r="Z2152" s="33" t="s">
        <v>42968</v>
      </c>
      <c r="AA2152" s="33">
        <v>5516</v>
      </c>
    </row>
    <row r="2153" spans="1:27" ht="12" customHeight="1" x14ac:dyDescent="0.15">
      <c r="A2153" s="33" t="s">
        <v>31725</v>
      </c>
      <c r="B2153" s="33">
        <v>66</v>
      </c>
      <c r="C2153" s="33" t="s">
        <v>14</v>
      </c>
      <c r="D2153" s="33" t="s">
        <v>31</v>
      </c>
      <c r="E2153" s="42" t="s">
        <v>31726</v>
      </c>
      <c r="F2153" s="67">
        <v>43126</v>
      </c>
      <c r="G2153" s="33" t="s">
        <v>31727</v>
      </c>
      <c r="H2153" s="33" t="s">
        <v>31728</v>
      </c>
      <c r="I2153" s="33" t="s">
        <v>46</v>
      </c>
      <c r="J2153" s="33">
        <v>21766</v>
      </c>
      <c r="K2153" s="33" t="s">
        <v>31729</v>
      </c>
      <c r="L2153" s="33" t="s">
        <v>647</v>
      </c>
      <c r="M2153" s="33" t="s">
        <v>21</v>
      </c>
      <c r="N2153" s="33" t="s">
        <v>31730</v>
      </c>
      <c r="O2153" s="33" t="s">
        <v>372</v>
      </c>
      <c r="P2153" s="33" t="s">
        <v>30089</v>
      </c>
      <c r="Q2153" s="42" t="s">
        <v>31731</v>
      </c>
      <c r="R2153" s="33" t="s">
        <v>94</v>
      </c>
      <c r="S2153" s="33" t="s">
        <v>22</v>
      </c>
      <c r="T2153" s="33" t="s">
        <v>26781</v>
      </c>
      <c r="U2153" s="33" t="s">
        <v>26572</v>
      </c>
      <c r="V2153" s="33" t="s">
        <v>26573</v>
      </c>
      <c r="W2153" s="33" t="s">
        <v>94</v>
      </c>
      <c r="X2153" s="33">
        <v>3348</v>
      </c>
      <c r="Z2153" s="33" t="s">
        <v>42967</v>
      </c>
      <c r="AA2153" s="33">
        <v>5515</v>
      </c>
    </row>
    <row r="2154" spans="1:27" ht="12" customHeight="1" x14ac:dyDescent="0.15">
      <c r="A2154" s="33" t="s">
        <v>31732</v>
      </c>
      <c r="B2154" s="33">
        <v>23</v>
      </c>
      <c r="C2154" s="33" t="s">
        <v>14</v>
      </c>
      <c r="D2154" s="33" t="s">
        <v>31</v>
      </c>
      <c r="E2154" s="42"/>
      <c r="F2154" s="67">
        <v>43126</v>
      </c>
      <c r="G2154" s="33" t="s">
        <v>31733</v>
      </c>
      <c r="H2154" s="33" t="s">
        <v>1227</v>
      </c>
      <c r="I2154" s="33" t="s">
        <v>67</v>
      </c>
      <c r="J2154" s="33">
        <v>78751</v>
      </c>
      <c r="K2154" s="33" t="s">
        <v>1228</v>
      </c>
      <c r="L2154" s="33" t="s">
        <v>1229</v>
      </c>
      <c r="M2154" s="33" t="s">
        <v>21</v>
      </c>
      <c r="N2154" s="33" t="s">
        <v>31734</v>
      </c>
      <c r="O2154" s="33" t="s">
        <v>372</v>
      </c>
      <c r="P2154" s="33" t="s">
        <v>30089</v>
      </c>
      <c r="Q2154" s="42" t="s">
        <v>31735</v>
      </c>
      <c r="R2154" s="33" t="s">
        <v>94</v>
      </c>
      <c r="S2154" s="33" t="s">
        <v>22</v>
      </c>
      <c r="T2154" s="33" t="s">
        <v>26781</v>
      </c>
      <c r="U2154" s="33" t="s">
        <v>26572</v>
      </c>
      <c r="V2154" s="33" t="s">
        <v>26571</v>
      </c>
      <c r="W2154" s="33" t="s">
        <v>94</v>
      </c>
      <c r="X2154" s="33">
        <v>3345</v>
      </c>
      <c r="Z2154" s="33" t="s">
        <v>42966</v>
      </c>
      <c r="AA2154" s="33">
        <v>5513</v>
      </c>
    </row>
    <row r="2155" spans="1:27" ht="12" customHeight="1" x14ac:dyDescent="0.15">
      <c r="A2155" s="33" t="s">
        <v>31746</v>
      </c>
      <c r="B2155" s="33">
        <v>27</v>
      </c>
      <c r="C2155" s="33" t="s">
        <v>14</v>
      </c>
      <c r="D2155" s="33" t="s">
        <v>31</v>
      </c>
      <c r="E2155" s="42"/>
      <c r="F2155" s="67">
        <v>43125</v>
      </c>
      <c r="G2155" s="33" t="s">
        <v>31747</v>
      </c>
      <c r="H2155" s="33" t="s">
        <v>31748</v>
      </c>
      <c r="I2155" s="33" t="s">
        <v>160</v>
      </c>
      <c r="J2155" s="33">
        <v>30518</v>
      </c>
      <c r="K2155" s="33" t="s">
        <v>1239</v>
      </c>
      <c r="L2155" s="33" t="s">
        <v>1240</v>
      </c>
      <c r="M2155" s="33" t="s">
        <v>21</v>
      </c>
      <c r="N2155" s="33" t="s">
        <v>31749</v>
      </c>
      <c r="O2155" s="33" t="s">
        <v>372</v>
      </c>
      <c r="P2155" s="33" t="s">
        <v>30089</v>
      </c>
      <c r="Q2155" s="42" t="s">
        <v>31750</v>
      </c>
      <c r="R2155" s="33" t="s">
        <v>512</v>
      </c>
      <c r="S2155" s="33" t="s">
        <v>22</v>
      </c>
      <c r="T2155" s="33" t="s">
        <v>26781</v>
      </c>
      <c r="U2155" s="33" t="s">
        <v>26572</v>
      </c>
      <c r="V2155" s="33" t="s">
        <v>26573</v>
      </c>
      <c r="W2155" s="33" t="s">
        <v>94</v>
      </c>
      <c r="X2155" s="33">
        <v>3353</v>
      </c>
      <c r="Z2155" s="33" t="s">
        <v>42968</v>
      </c>
      <c r="AA2155" s="33">
        <v>5510</v>
      </c>
    </row>
    <row r="2156" spans="1:27" ht="12" customHeight="1" x14ac:dyDescent="0.15">
      <c r="A2156" s="33" t="s">
        <v>31751</v>
      </c>
      <c r="B2156" s="33">
        <v>19</v>
      </c>
      <c r="C2156" s="33" t="s">
        <v>14</v>
      </c>
      <c r="D2156" s="33" t="s">
        <v>42</v>
      </c>
      <c r="E2156" s="42"/>
      <c r="F2156" s="67">
        <v>43125</v>
      </c>
      <c r="G2156" s="33" t="s">
        <v>31752</v>
      </c>
      <c r="H2156" s="33" t="s">
        <v>532</v>
      </c>
      <c r="I2156" s="33" t="s">
        <v>67</v>
      </c>
      <c r="J2156" s="33">
        <v>78216</v>
      </c>
      <c r="K2156" s="33" t="s">
        <v>533</v>
      </c>
      <c r="L2156" s="33" t="s">
        <v>534</v>
      </c>
      <c r="M2156" s="33" t="s">
        <v>21</v>
      </c>
      <c r="N2156" s="33" t="s">
        <v>31753</v>
      </c>
      <c r="O2156" s="33" t="s">
        <v>372</v>
      </c>
      <c r="P2156" s="33" t="s">
        <v>30089</v>
      </c>
      <c r="Q2156" s="42" t="s">
        <v>31754</v>
      </c>
      <c r="R2156" s="33" t="s">
        <v>94</v>
      </c>
      <c r="S2156" s="33" t="s">
        <v>22</v>
      </c>
      <c r="T2156" s="33" t="s">
        <v>26774</v>
      </c>
      <c r="U2156" s="33" t="s">
        <v>26572</v>
      </c>
      <c r="V2156" s="33" t="s">
        <v>19228</v>
      </c>
      <c r="W2156" s="33" t="s">
        <v>94</v>
      </c>
      <c r="X2156" s="33">
        <v>3352</v>
      </c>
      <c r="Z2156" s="33" t="s">
        <v>42968</v>
      </c>
      <c r="AA2156" s="33">
        <v>5511</v>
      </c>
    </row>
    <row r="2157" spans="1:27" ht="12" customHeight="1" x14ac:dyDescent="0.15">
      <c r="A2157" s="33" t="s">
        <v>31755</v>
      </c>
      <c r="B2157" s="33">
        <v>47</v>
      </c>
      <c r="C2157" s="33" t="s">
        <v>14</v>
      </c>
      <c r="D2157" s="33" t="s">
        <v>42</v>
      </c>
      <c r="E2157" s="42" t="s">
        <v>31756</v>
      </c>
      <c r="F2157" s="67">
        <v>43125</v>
      </c>
      <c r="G2157" s="33" t="s">
        <v>31757</v>
      </c>
      <c r="H2157" s="33" t="s">
        <v>674</v>
      </c>
      <c r="I2157" s="33" t="s">
        <v>67</v>
      </c>
      <c r="J2157" s="33">
        <v>77028</v>
      </c>
      <c r="K2157" s="33" t="s">
        <v>515</v>
      </c>
      <c r="L2157" s="33" t="s">
        <v>32193</v>
      </c>
      <c r="M2157" s="33" t="s">
        <v>21</v>
      </c>
      <c r="N2157" s="33" t="s">
        <v>31758</v>
      </c>
      <c r="O2157" s="33" t="s">
        <v>372</v>
      </c>
      <c r="P2157" s="33" t="s">
        <v>30089</v>
      </c>
      <c r="Q2157" s="42" t="s">
        <v>31759</v>
      </c>
      <c r="R2157" s="33" t="s">
        <v>94</v>
      </c>
      <c r="S2157" s="33" t="s">
        <v>12</v>
      </c>
      <c r="T2157" s="33" t="s">
        <v>29705</v>
      </c>
      <c r="U2157" s="33" t="s">
        <v>26570</v>
      </c>
      <c r="V2157" s="33" t="s">
        <v>26573</v>
      </c>
      <c r="W2157" s="33" t="s">
        <v>94</v>
      </c>
      <c r="X2157" s="33">
        <v>3349</v>
      </c>
      <c r="Z2157" s="33" t="s">
        <v>42966</v>
      </c>
      <c r="AA2157" s="33">
        <v>5512</v>
      </c>
    </row>
    <row r="2158" spans="1:27" ht="12" customHeight="1" x14ac:dyDescent="0.15">
      <c r="A2158" s="33" t="s">
        <v>31765</v>
      </c>
      <c r="B2158" s="33">
        <v>39</v>
      </c>
      <c r="C2158" s="33" t="s">
        <v>14</v>
      </c>
      <c r="D2158" s="33" t="s">
        <v>30751</v>
      </c>
      <c r="E2158" s="42"/>
      <c r="F2158" s="67">
        <v>43124</v>
      </c>
      <c r="G2158" s="33" t="s">
        <v>31766</v>
      </c>
      <c r="H2158" s="33" t="s">
        <v>5842</v>
      </c>
      <c r="I2158" s="33" t="s">
        <v>88</v>
      </c>
      <c r="J2158" s="33">
        <v>35901</v>
      </c>
      <c r="K2158" s="33" t="s">
        <v>11588</v>
      </c>
      <c r="L2158" s="33" t="s">
        <v>32194</v>
      </c>
      <c r="M2158" s="33" t="s">
        <v>363</v>
      </c>
      <c r="N2158" s="33" t="s">
        <v>31767</v>
      </c>
      <c r="O2158" s="33" t="s">
        <v>372</v>
      </c>
      <c r="P2158" s="33" t="s">
        <v>30089</v>
      </c>
      <c r="Q2158" s="42" t="s">
        <v>31768</v>
      </c>
      <c r="R2158" s="33" t="s">
        <v>94</v>
      </c>
      <c r="S2158" s="33" t="s">
        <v>12</v>
      </c>
      <c r="T2158" s="33" t="s">
        <v>29705</v>
      </c>
      <c r="U2158" s="33" t="s">
        <v>26572</v>
      </c>
      <c r="V2158" s="33" t="s">
        <v>26573</v>
      </c>
      <c r="Z2158" s="33" t="s">
        <v>42966</v>
      </c>
      <c r="AA2158" s="33">
        <v>5508</v>
      </c>
    </row>
    <row r="2159" spans="1:27" ht="12" customHeight="1" x14ac:dyDescent="0.15">
      <c r="A2159" s="33" t="s">
        <v>31769</v>
      </c>
      <c r="B2159" s="33">
        <v>27</v>
      </c>
      <c r="C2159" s="33" t="s">
        <v>14</v>
      </c>
      <c r="D2159" s="33" t="s">
        <v>42</v>
      </c>
      <c r="E2159" s="42"/>
      <c r="F2159" s="67">
        <v>43124</v>
      </c>
      <c r="G2159" s="33" t="s">
        <v>31770</v>
      </c>
      <c r="H2159" s="33" t="s">
        <v>12493</v>
      </c>
      <c r="I2159" s="33" t="s">
        <v>250</v>
      </c>
      <c r="J2159" s="33">
        <v>89431</v>
      </c>
      <c r="K2159" s="33" t="s">
        <v>5732</v>
      </c>
      <c r="L2159" s="33" t="s">
        <v>12495</v>
      </c>
      <c r="M2159" s="33" t="s">
        <v>21</v>
      </c>
      <c r="N2159" s="33" t="s">
        <v>31771</v>
      </c>
      <c r="O2159" s="33" t="s">
        <v>372</v>
      </c>
      <c r="P2159" s="33" t="s">
        <v>30089</v>
      </c>
      <c r="Q2159" s="42" t="s">
        <v>31772</v>
      </c>
      <c r="R2159" s="33" t="s">
        <v>94</v>
      </c>
      <c r="S2159" s="33" t="s">
        <v>29</v>
      </c>
      <c r="T2159" s="33" t="s">
        <v>26575</v>
      </c>
      <c r="U2159" s="33" t="s">
        <v>26570</v>
      </c>
      <c r="V2159" s="33" t="s">
        <v>26574</v>
      </c>
      <c r="W2159" s="33" t="s">
        <v>94</v>
      </c>
      <c r="X2159" s="33">
        <v>3346</v>
      </c>
      <c r="Z2159" s="33" t="s">
        <v>42968</v>
      </c>
      <c r="AA2159" s="33">
        <v>5509</v>
      </c>
    </row>
    <row r="2160" spans="1:27" ht="12" customHeight="1" x14ac:dyDescent="0.15">
      <c r="A2160" s="33" t="s">
        <v>31760</v>
      </c>
      <c r="B2160" s="33">
        <v>62</v>
      </c>
      <c r="C2160" s="33" t="s">
        <v>14</v>
      </c>
      <c r="D2160" s="33" t="s">
        <v>31</v>
      </c>
      <c r="E2160" s="42"/>
      <c r="F2160" s="67">
        <v>43124</v>
      </c>
      <c r="G2160" s="33" t="s">
        <v>31761</v>
      </c>
      <c r="H2160" s="33" t="s">
        <v>12325</v>
      </c>
      <c r="I2160" s="33" t="s">
        <v>51</v>
      </c>
      <c r="J2160" s="33">
        <v>49094</v>
      </c>
      <c r="K2160" s="33" t="s">
        <v>31762</v>
      </c>
      <c r="L2160" s="33" t="s">
        <v>28930</v>
      </c>
      <c r="M2160" s="33" t="s">
        <v>21</v>
      </c>
      <c r="N2160" s="33" t="s">
        <v>31763</v>
      </c>
      <c r="O2160" s="33" t="s">
        <v>372</v>
      </c>
      <c r="P2160" s="33" t="s">
        <v>30089</v>
      </c>
      <c r="Q2160" s="42" t="s">
        <v>31764</v>
      </c>
      <c r="R2160" s="33" t="s">
        <v>94</v>
      </c>
      <c r="S2160" s="33" t="s">
        <v>22</v>
      </c>
      <c r="T2160" s="33" t="s">
        <v>26781</v>
      </c>
      <c r="U2160" s="33" t="s">
        <v>26572</v>
      </c>
      <c r="V2160" s="33" t="s">
        <v>26573</v>
      </c>
      <c r="W2160" s="33" t="s">
        <v>94</v>
      </c>
      <c r="X2160" s="33">
        <v>3351</v>
      </c>
      <c r="Z2160" s="33" t="s">
        <v>42967</v>
      </c>
      <c r="AA2160" s="33">
        <v>5507</v>
      </c>
    </row>
    <row r="2161" spans="1:27" ht="12" customHeight="1" x14ac:dyDescent="0.15">
      <c r="A2161" s="33" t="s">
        <v>31777</v>
      </c>
      <c r="B2161" s="33">
        <v>18</v>
      </c>
      <c r="C2161" s="33" t="s">
        <v>14</v>
      </c>
      <c r="D2161" s="33" t="s">
        <v>42</v>
      </c>
      <c r="E2161" s="42"/>
      <c r="F2161" s="67">
        <v>43123</v>
      </c>
      <c r="G2161" s="33" t="s">
        <v>31778</v>
      </c>
      <c r="H2161" s="33" t="s">
        <v>31779</v>
      </c>
      <c r="I2161" s="33" t="s">
        <v>67</v>
      </c>
      <c r="J2161" s="33">
        <v>77573</v>
      </c>
      <c r="K2161" s="33" t="s">
        <v>4843</v>
      </c>
      <c r="L2161" s="33" t="s">
        <v>32195</v>
      </c>
      <c r="M2161" s="33" t="s">
        <v>21</v>
      </c>
      <c r="N2161" s="33" t="s">
        <v>31780</v>
      </c>
      <c r="O2161" s="33" t="s">
        <v>372</v>
      </c>
      <c r="P2161" s="33" t="s">
        <v>30089</v>
      </c>
      <c r="Q2161" s="42" t="s">
        <v>31781</v>
      </c>
      <c r="R2161" s="33" t="s">
        <v>94</v>
      </c>
      <c r="S2161" s="33" t="s">
        <v>22</v>
      </c>
      <c r="T2161" s="33" t="s">
        <v>26579</v>
      </c>
      <c r="U2161" s="33" t="s">
        <v>26572</v>
      </c>
      <c r="V2161" s="33" t="s">
        <v>26574</v>
      </c>
      <c r="W2161" s="33" t="s">
        <v>94</v>
      </c>
      <c r="X2161" s="33">
        <v>3343</v>
      </c>
      <c r="Z2161" s="33" t="s">
        <v>42968</v>
      </c>
      <c r="AA2161" s="33">
        <v>5504</v>
      </c>
    </row>
    <row r="2162" spans="1:27" ht="12" customHeight="1" x14ac:dyDescent="0.15">
      <c r="A2162" s="33" t="s">
        <v>31773</v>
      </c>
      <c r="B2162" s="33">
        <v>20</v>
      </c>
      <c r="C2162" s="33" t="s">
        <v>14</v>
      </c>
      <c r="D2162" s="33" t="s">
        <v>79</v>
      </c>
      <c r="E2162" s="42"/>
      <c r="F2162" s="67">
        <v>43123</v>
      </c>
      <c r="G2162" s="33" t="s">
        <v>31774</v>
      </c>
      <c r="H2162" s="33" t="s">
        <v>4747</v>
      </c>
      <c r="I2162" s="33" t="s">
        <v>160</v>
      </c>
      <c r="J2162" s="33">
        <v>31406</v>
      </c>
      <c r="K2162" s="33" t="s">
        <v>3428</v>
      </c>
      <c r="L2162" s="33" t="s">
        <v>6542</v>
      </c>
      <c r="M2162" s="33" t="s">
        <v>21</v>
      </c>
      <c r="N2162" s="33" t="s">
        <v>31775</v>
      </c>
      <c r="O2162" s="33" t="s">
        <v>372</v>
      </c>
      <c r="P2162" s="33" t="s">
        <v>30089</v>
      </c>
      <c r="Q2162" s="42" t="s">
        <v>31776</v>
      </c>
      <c r="R2162" s="33" t="s">
        <v>94</v>
      </c>
      <c r="S2162" s="33" t="s">
        <v>22</v>
      </c>
      <c r="T2162" s="33" t="s">
        <v>26781</v>
      </c>
      <c r="U2162" s="33" t="s">
        <v>26572</v>
      </c>
      <c r="W2162" s="33" t="s">
        <v>94</v>
      </c>
      <c r="X2162" s="33">
        <v>3342</v>
      </c>
      <c r="Z2162" s="33" t="s">
        <v>42966</v>
      </c>
      <c r="AA2162" s="33">
        <v>5503</v>
      </c>
    </row>
    <row r="2163" spans="1:27" ht="12" customHeight="1" x14ac:dyDescent="0.15">
      <c r="A2163" s="33" t="s">
        <v>31782</v>
      </c>
      <c r="B2163" s="33">
        <v>38</v>
      </c>
      <c r="C2163" s="33" t="s">
        <v>14</v>
      </c>
      <c r="D2163" s="33" t="s">
        <v>79</v>
      </c>
      <c r="E2163" s="42" t="s">
        <v>31783</v>
      </c>
      <c r="F2163" s="67">
        <v>43123</v>
      </c>
      <c r="G2163" s="33" t="s">
        <v>31784</v>
      </c>
      <c r="H2163" s="33" t="s">
        <v>3277</v>
      </c>
      <c r="I2163" s="33" t="s">
        <v>56</v>
      </c>
      <c r="J2163" s="33">
        <v>34207</v>
      </c>
      <c r="K2163" s="33" t="s">
        <v>3279</v>
      </c>
      <c r="L2163" s="33" t="s">
        <v>3280</v>
      </c>
      <c r="M2163" s="33" t="s">
        <v>21</v>
      </c>
      <c r="N2163" s="33" t="s">
        <v>31785</v>
      </c>
      <c r="O2163" s="33" t="s">
        <v>372</v>
      </c>
      <c r="P2163" s="33" t="s">
        <v>30089</v>
      </c>
      <c r="Q2163" s="42" t="s">
        <v>31786</v>
      </c>
      <c r="R2163" s="33" t="s">
        <v>512</v>
      </c>
      <c r="S2163" s="33" t="s">
        <v>12</v>
      </c>
      <c r="T2163" s="33" t="s">
        <v>29705</v>
      </c>
      <c r="U2163" s="33" t="s">
        <v>26570</v>
      </c>
      <c r="V2163" s="33" t="s">
        <v>26571</v>
      </c>
      <c r="W2163" s="33" t="s">
        <v>94</v>
      </c>
      <c r="X2163" s="33">
        <v>3344</v>
      </c>
      <c r="Z2163" s="33" t="s">
        <v>42968</v>
      </c>
      <c r="AA2163" s="33">
        <v>5505</v>
      </c>
    </row>
    <row r="2164" spans="1:27" ht="12" customHeight="1" x14ac:dyDescent="0.15">
      <c r="A2164" s="33" t="s">
        <v>31787</v>
      </c>
      <c r="B2164" s="33">
        <v>54</v>
      </c>
      <c r="C2164" s="33" t="s">
        <v>14</v>
      </c>
      <c r="D2164" s="33" t="s">
        <v>31</v>
      </c>
      <c r="E2164" s="42"/>
      <c r="F2164" s="67">
        <v>43123</v>
      </c>
      <c r="G2164" s="33" t="s">
        <v>31788</v>
      </c>
      <c r="H2164" s="33" t="s">
        <v>20981</v>
      </c>
      <c r="I2164" s="33" t="s">
        <v>735</v>
      </c>
      <c r="J2164" s="33">
        <v>83404</v>
      </c>
      <c r="K2164" s="33" t="s">
        <v>31789</v>
      </c>
      <c r="L2164" s="33" t="s">
        <v>32196</v>
      </c>
      <c r="M2164" s="33" t="s">
        <v>21</v>
      </c>
      <c r="N2164" s="33" t="s">
        <v>31790</v>
      </c>
      <c r="O2164" s="33" t="s">
        <v>372</v>
      </c>
      <c r="P2164" s="33" t="s">
        <v>30089</v>
      </c>
      <c r="Q2164" s="42" t="s">
        <v>31791</v>
      </c>
      <c r="R2164" s="33" t="s">
        <v>94</v>
      </c>
      <c r="S2164" s="33" t="s">
        <v>29</v>
      </c>
      <c r="T2164" s="33" t="s">
        <v>26575</v>
      </c>
      <c r="U2164" s="33" t="s">
        <v>26570</v>
      </c>
      <c r="V2164" s="33" t="s">
        <v>26574</v>
      </c>
      <c r="W2164" s="33" t="s">
        <v>94</v>
      </c>
      <c r="X2164" s="33">
        <v>3350</v>
      </c>
      <c r="Z2164" s="33" t="s">
        <v>42966</v>
      </c>
      <c r="AA2164" s="33">
        <v>5506</v>
      </c>
    </row>
    <row r="2165" spans="1:27" ht="12" customHeight="1" x14ac:dyDescent="0.15">
      <c r="A2165" s="33" t="s">
        <v>31818</v>
      </c>
      <c r="B2165" s="33">
        <v>38</v>
      </c>
      <c r="C2165" s="33" t="s">
        <v>14</v>
      </c>
      <c r="D2165" s="33" t="s">
        <v>30751</v>
      </c>
      <c r="E2165" s="42"/>
      <c r="F2165" s="67">
        <v>43122</v>
      </c>
      <c r="G2165" s="33" t="s">
        <v>31819</v>
      </c>
      <c r="H2165" s="33" t="s">
        <v>28718</v>
      </c>
      <c r="I2165" s="33" t="s">
        <v>39</v>
      </c>
      <c r="J2165" s="33">
        <v>95531</v>
      </c>
      <c r="K2165" s="33" t="s">
        <v>31820</v>
      </c>
      <c r="L2165" s="33" t="s">
        <v>897</v>
      </c>
      <c r="M2165" s="33" t="s">
        <v>21</v>
      </c>
      <c r="N2165" s="33" t="s">
        <v>31821</v>
      </c>
      <c r="O2165" s="33" t="s">
        <v>372</v>
      </c>
      <c r="P2165" s="33" t="s">
        <v>30089</v>
      </c>
      <c r="Q2165" s="42" t="s">
        <v>31822</v>
      </c>
      <c r="R2165" s="33" t="s">
        <v>94</v>
      </c>
      <c r="S2165" s="33" t="s">
        <v>29</v>
      </c>
      <c r="T2165" s="33" t="s">
        <v>26575</v>
      </c>
      <c r="U2165" s="33" t="s">
        <v>26572</v>
      </c>
      <c r="W2165" s="33" t="s">
        <v>94</v>
      </c>
      <c r="X2165" s="33">
        <v>3341</v>
      </c>
      <c r="Z2165" s="33" t="s">
        <v>42967</v>
      </c>
      <c r="AA2165" s="33">
        <v>5501</v>
      </c>
    </row>
    <row r="2166" spans="1:27" ht="12" customHeight="1" x14ac:dyDescent="0.15">
      <c r="A2166" s="33" t="s">
        <v>31805</v>
      </c>
      <c r="B2166" s="33">
        <v>37</v>
      </c>
      <c r="C2166" s="33" t="s">
        <v>14</v>
      </c>
      <c r="D2166" s="33" t="s">
        <v>31</v>
      </c>
      <c r="E2166" s="42"/>
      <c r="F2166" s="67">
        <v>43122</v>
      </c>
      <c r="G2166" s="33" t="s">
        <v>31806</v>
      </c>
      <c r="H2166" s="33" t="s">
        <v>28765</v>
      </c>
      <c r="I2166" s="33" t="s">
        <v>367</v>
      </c>
      <c r="J2166" s="33">
        <v>74955</v>
      </c>
      <c r="K2166" s="33" t="s">
        <v>27608</v>
      </c>
      <c r="L2166" s="33" t="s">
        <v>32198</v>
      </c>
      <c r="M2166" s="33" t="s">
        <v>21</v>
      </c>
      <c r="N2166" s="33" t="s">
        <v>31807</v>
      </c>
      <c r="O2166" s="33" t="s">
        <v>372</v>
      </c>
      <c r="P2166" s="33" t="s">
        <v>30089</v>
      </c>
      <c r="Q2166" s="42" t="s">
        <v>31808</v>
      </c>
      <c r="R2166" s="33" t="s">
        <v>94</v>
      </c>
      <c r="S2166" s="33" t="s">
        <v>12</v>
      </c>
      <c r="T2166" s="33" t="s">
        <v>29705</v>
      </c>
      <c r="U2166" s="33" t="s">
        <v>26570</v>
      </c>
      <c r="V2166" s="33" t="s">
        <v>26573</v>
      </c>
      <c r="W2166" s="33" t="s">
        <v>94</v>
      </c>
      <c r="X2166" s="33">
        <v>3335</v>
      </c>
      <c r="Z2166" s="33" t="s">
        <v>42967</v>
      </c>
      <c r="AA2166" s="33">
        <v>5498</v>
      </c>
    </row>
    <row r="2167" spans="1:27" ht="12" customHeight="1" x14ac:dyDescent="0.15">
      <c r="A2167" s="33" t="s">
        <v>31796</v>
      </c>
      <c r="B2167" s="33">
        <v>27</v>
      </c>
      <c r="C2167" s="33" t="s">
        <v>14</v>
      </c>
      <c r="D2167" s="33" t="s">
        <v>31</v>
      </c>
      <c r="E2167" s="42" t="s">
        <v>31797</v>
      </c>
      <c r="F2167" s="67">
        <v>43122</v>
      </c>
      <c r="G2167" s="33" t="s">
        <v>31798</v>
      </c>
      <c r="H2167" s="33" t="s">
        <v>21861</v>
      </c>
      <c r="I2167" s="33" t="s">
        <v>51</v>
      </c>
      <c r="J2167" s="33">
        <v>49015</v>
      </c>
      <c r="K2167" s="33" t="s">
        <v>5619</v>
      </c>
      <c r="L2167" s="33" t="s">
        <v>32197</v>
      </c>
      <c r="M2167" s="33" t="s">
        <v>21</v>
      </c>
      <c r="N2167" s="33" t="s">
        <v>31799</v>
      </c>
      <c r="O2167" s="33" t="s">
        <v>372</v>
      </c>
      <c r="P2167" s="33" t="s">
        <v>30089</v>
      </c>
      <c r="Q2167" s="42" t="s">
        <v>31800</v>
      </c>
      <c r="R2167" s="33" t="s">
        <v>512</v>
      </c>
      <c r="S2167" s="33" t="s">
        <v>22</v>
      </c>
      <c r="T2167" s="33" t="s">
        <v>26781</v>
      </c>
      <c r="U2167" s="33" t="s">
        <v>26570</v>
      </c>
      <c r="V2167" s="33" t="s">
        <v>26573</v>
      </c>
      <c r="W2167" s="33" t="s">
        <v>94</v>
      </c>
      <c r="X2167" s="33">
        <v>3333</v>
      </c>
      <c r="Z2167" s="33" t="s">
        <v>42968</v>
      </c>
      <c r="AA2167" s="33">
        <v>5495</v>
      </c>
    </row>
    <row r="2168" spans="1:27" ht="12" customHeight="1" x14ac:dyDescent="0.15">
      <c r="A2168" s="33" t="s">
        <v>31814</v>
      </c>
      <c r="B2168" s="33">
        <v>47</v>
      </c>
      <c r="C2168" s="33" t="s">
        <v>14</v>
      </c>
      <c r="D2168" s="33" t="s">
        <v>31</v>
      </c>
      <c r="E2168" s="42"/>
      <c r="F2168" s="67">
        <v>43122</v>
      </c>
      <c r="G2168" s="33" t="s">
        <v>31815</v>
      </c>
      <c r="H2168" s="33" t="s">
        <v>21407</v>
      </c>
      <c r="I2168" s="33" t="s">
        <v>75</v>
      </c>
      <c r="J2168" s="33">
        <v>8332</v>
      </c>
      <c r="K2168" s="33" t="s">
        <v>2907</v>
      </c>
      <c r="L2168" s="33" t="s">
        <v>32200</v>
      </c>
      <c r="M2168" s="33" t="s">
        <v>21</v>
      </c>
      <c r="N2168" s="33" t="s">
        <v>31816</v>
      </c>
      <c r="O2168" s="33" t="s">
        <v>372</v>
      </c>
      <c r="P2168" s="33" t="s">
        <v>30089</v>
      </c>
      <c r="Q2168" s="42" t="s">
        <v>31817</v>
      </c>
      <c r="R2168" s="33" t="s">
        <v>23</v>
      </c>
      <c r="S2168" s="33" t="s">
        <v>29</v>
      </c>
      <c r="T2168" s="33" t="s">
        <v>26575</v>
      </c>
      <c r="U2168" s="33" t="s">
        <v>26570</v>
      </c>
      <c r="W2168" s="33" t="s">
        <v>94</v>
      </c>
      <c r="X2168" s="33">
        <v>3336</v>
      </c>
      <c r="Z2168" s="33" t="s">
        <v>42968</v>
      </c>
      <c r="AA2168" s="33">
        <v>5500</v>
      </c>
    </row>
    <row r="2169" spans="1:27" ht="12" customHeight="1" x14ac:dyDescent="0.15">
      <c r="A2169" s="33" t="s">
        <v>31809</v>
      </c>
      <c r="B2169" s="33">
        <v>41</v>
      </c>
      <c r="C2169" s="33" t="s">
        <v>14</v>
      </c>
      <c r="D2169" s="33" t="s">
        <v>31</v>
      </c>
      <c r="E2169" s="42" t="s">
        <v>31810</v>
      </c>
      <c r="F2169" s="67">
        <v>43122</v>
      </c>
      <c r="G2169" s="33" t="s">
        <v>31811</v>
      </c>
      <c r="H2169" s="33" t="s">
        <v>27348</v>
      </c>
      <c r="I2169" s="33" t="s">
        <v>395</v>
      </c>
      <c r="J2169" s="33">
        <v>13421</v>
      </c>
      <c r="K2169" s="33" t="s">
        <v>2014</v>
      </c>
      <c r="L2169" s="33" t="s">
        <v>32199</v>
      </c>
      <c r="M2169" s="33" t="s">
        <v>363</v>
      </c>
      <c r="N2169" s="33" t="s">
        <v>31812</v>
      </c>
      <c r="O2169" s="33" t="s">
        <v>372</v>
      </c>
      <c r="P2169" s="33" t="s">
        <v>30089</v>
      </c>
      <c r="Q2169" s="42" t="s">
        <v>31813</v>
      </c>
      <c r="R2169" s="33" t="s">
        <v>94</v>
      </c>
      <c r="S2169" s="33" t="s">
        <v>12</v>
      </c>
      <c r="T2169" s="33" t="s">
        <v>29705</v>
      </c>
      <c r="U2169" s="33" t="s">
        <v>26570</v>
      </c>
      <c r="V2169" s="33" t="s">
        <v>26573</v>
      </c>
      <c r="Z2169" s="33" t="s">
        <v>42968</v>
      </c>
      <c r="AA2169" s="33">
        <v>5499</v>
      </c>
    </row>
    <row r="2170" spans="1:27" ht="12" customHeight="1" x14ac:dyDescent="0.15">
      <c r="A2170" s="33" t="s">
        <v>31801</v>
      </c>
      <c r="B2170" s="33">
        <v>40</v>
      </c>
      <c r="C2170" s="33" t="s">
        <v>14</v>
      </c>
      <c r="D2170" s="33" t="s">
        <v>31</v>
      </c>
      <c r="E2170" s="42"/>
      <c r="F2170" s="67">
        <v>43122</v>
      </c>
      <c r="G2170" s="33" t="s">
        <v>31802</v>
      </c>
      <c r="H2170" s="33" t="s">
        <v>2307</v>
      </c>
      <c r="I2170" s="33" t="s">
        <v>367</v>
      </c>
      <c r="J2170" s="33">
        <v>74127</v>
      </c>
      <c r="K2170" s="33" t="s">
        <v>2307</v>
      </c>
      <c r="L2170" s="33" t="s">
        <v>3108</v>
      </c>
      <c r="M2170" s="33" t="s">
        <v>21</v>
      </c>
      <c r="N2170" s="33" t="s">
        <v>31803</v>
      </c>
      <c r="O2170" s="33" t="s">
        <v>372</v>
      </c>
      <c r="P2170" s="33" t="s">
        <v>30089</v>
      </c>
      <c r="Q2170" s="42" t="s">
        <v>31804</v>
      </c>
      <c r="R2170" s="33" t="s">
        <v>94</v>
      </c>
      <c r="S2170" s="33" t="s">
        <v>22</v>
      </c>
      <c r="T2170" s="33" t="s">
        <v>26781</v>
      </c>
      <c r="U2170" s="33" t="s">
        <v>26570</v>
      </c>
      <c r="V2170" s="33" t="s">
        <v>26571</v>
      </c>
      <c r="W2170" s="33" t="s">
        <v>94</v>
      </c>
      <c r="X2170" s="33">
        <v>3339</v>
      </c>
      <c r="Z2170" s="33" t="s">
        <v>42966</v>
      </c>
      <c r="AA2170" s="33">
        <v>5497</v>
      </c>
    </row>
    <row r="2171" spans="1:27" ht="12" customHeight="1" x14ac:dyDescent="0.15">
      <c r="A2171" s="33" t="s">
        <v>31823</v>
      </c>
      <c r="B2171" s="33">
        <v>28</v>
      </c>
      <c r="C2171" s="33" t="s">
        <v>14</v>
      </c>
      <c r="D2171" s="33" t="s">
        <v>42</v>
      </c>
      <c r="E2171" s="42" t="s">
        <v>31824</v>
      </c>
      <c r="F2171" s="67">
        <v>43122</v>
      </c>
      <c r="G2171" s="33" t="s">
        <v>31825</v>
      </c>
      <c r="H2171" s="33" t="s">
        <v>5639</v>
      </c>
      <c r="I2171" s="33" t="s">
        <v>67</v>
      </c>
      <c r="J2171" s="33">
        <v>75062</v>
      </c>
      <c r="K2171" s="33" t="s">
        <v>266</v>
      </c>
      <c r="L2171" s="33" t="s">
        <v>5641</v>
      </c>
      <c r="M2171" s="33" t="s">
        <v>21</v>
      </c>
      <c r="N2171" s="33" t="s">
        <v>31826</v>
      </c>
      <c r="O2171" s="33" t="s">
        <v>372</v>
      </c>
      <c r="P2171" s="33" t="s">
        <v>30089</v>
      </c>
      <c r="Q2171" s="42" t="s">
        <v>31827</v>
      </c>
      <c r="R2171" s="33" t="s">
        <v>94</v>
      </c>
      <c r="S2171" s="33" t="s">
        <v>351</v>
      </c>
      <c r="T2171" s="33" t="s">
        <v>26867</v>
      </c>
      <c r="U2171" s="33" t="s">
        <v>26570</v>
      </c>
      <c r="V2171" s="33" t="s">
        <v>26571</v>
      </c>
      <c r="W2171" s="33" t="s">
        <v>94</v>
      </c>
      <c r="X2171" s="33">
        <v>3334</v>
      </c>
      <c r="Z2171" s="33" t="s">
        <v>42968</v>
      </c>
      <c r="AA2171" s="33">
        <v>5502</v>
      </c>
    </row>
    <row r="2172" spans="1:27" ht="12" customHeight="1" x14ac:dyDescent="0.15">
      <c r="A2172" s="33" t="s">
        <v>31792</v>
      </c>
      <c r="B2172" s="33">
        <v>35</v>
      </c>
      <c r="C2172" s="33" t="s">
        <v>14</v>
      </c>
      <c r="D2172" s="33" t="s">
        <v>42</v>
      </c>
      <c r="E2172" s="42"/>
      <c r="F2172" s="67">
        <v>43122</v>
      </c>
      <c r="G2172" s="33" t="s">
        <v>31793</v>
      </c>
      <c r="H2172" s="33" t="s">
        <v>4307</v>
      </c>
      <c r="I2172" s="33" t="s">
        <v>192</v>
      </c>
      <c r="J2172" s="33">
        <v>81003</v>
      </c>
      <c r="K2172" s="33" t="s">
        <v>4307</v>
      </c>
      <c r="L2172" s="33" t="s">
        <v>4309</v>
      </c>
      <c r="M2172" s="33" t="s">
        <v>21</v>
      </c>
      <c r="N2172" s="33" t="s">
        <v>31794</v>
      </c>
      <c r="O2172" s="33" t="s">
        <v>372</v>
      </c>
      <c r="P2172" s="33" t="s">
        <v>30089</v>
      </c>
      <c r="Q2172" s="42" t="s">
        <v>31795</v>
      </c>
      <c r="R2172" s="33" t="s">
        <v>94</v>
      </c>
      <c r="S2172" s="33" t="s">
        <v>22</v>
      </c>
      <c r="T2172" s="33" t="s">
        <v>26781</v>
      </c>
      <c r="U2172" s="33" t="s">
        <v>26572</v>
      </c>
      <c r="V2172" s="33" t="s">
        <v>19228</v>
      </c>
      <c r="W2172" s="33" t="s">
        <v>512</v>
      </c>
      <c r="X2172" s="33">
        <v>3337</v>
      </c>
      <c r="Z2172" s="33" t="s">
        <v>42966</v>
      </c>
      <c r="AA2172" s="33">
        <v>5496</v>
      </c>
    </row>
    <row r="2173" spans="1:27" ht="12" customHeight="1" x14ac:dyDescent="0.15">
      <c r="A2173" s="33" t="s">
        <v>31828</v>
      </c>
      <c r="B2173" s="33">
        <v>35</v>
      </c>
      <c r="C2173" s="33" t="s">
        <v>14</v>
      </c>
      <c r="D2173" s="33" t="s">
        <v>31</v>
      </c>
      <c r="E2173" s="42"/>
      <c r="F2173" s="67">
        <v>43121</v>
      </c>
      <c r="G2173" s="33" t="s">
        <v>31829</v>
      </c>
      <c r="H2173" s="33" t="s">
        <v>15131</v>
      </c>
      <c r="I2173" s="33" t="s">
        <v>282</v>
      </c>
      <c r="J2173" s="33">
        <v>98201</v>
      </c>
      <c r="K2173" s="33" t="s">
        <v>2004</v>
      </c>
      <c r="L2173" s="33" t="s">
        <v>2006</v>
      </c>
      <c r="M2173" s="33" t="s">
        <v>21</v>
      </c>
      <c r="N2173" s="33" t="s">
        <v>31830</v>
      </c>
      <c r="O2173" s="33" t="s">
        <v>372</v>
      </c>
      <c r="P2173" s="33" t="s">
        <v>30089</v>
      </c>
      <c r="Q2173" s="42" t="s">
        <v>31831</v>
      </c>
      <c r="R2173" s="33" t="s">
        <v>512</v>
      </c>
      <c r="S2173" s="33" t="s">
        <v>29</v>
      </c>
      <c r="T2173" s="33" t="s">
        <v>26575</v>
      </c>
      <c r="U2173" s="33" t="s">
        <v>26570</v>
      </c>
      <c r="V2173" s="33" t="s">
        <v>26573</v>
      </c>
      <c r="W2173" s="33" t="s">
        <v>94</v>
      </c>
      <c r="X2173" s="33">
        <v>3332</v>
      </c>
      <c r="Z2173" s="33" t="s">
        <v>42966</v>
      </c>
      <c r="AA2173" s="33">
        <v>5493</v>
      </c>
    </row>
    <row r="2174" spans="1:27" ht="12" customHeight="1" x14ac:dyDescent="0.15">
      <c r="A2174" s="33" t="s">
        <v>31832</v>
      </c>
      <c r="B2174" s="33">
        <v>46</v>
      </c>
      <c r="C2174" s="33" t="s">
        <v>14</v>
      </c>
      <c r="D2174" s="33" t="s">
        <v>31</v>
      </c>
      <c r="E2174" s="42" t="s">
        <v>31833</v>
      </c>
      <c r="F2174" s="67">
        <v>43121</v>
      </c>
      <c r="G2174" s="33" t="s">
        <v>31834</v>
      </c>
      <c r="H2174" s="33" t="s">
        <v>31835</v>
      </c>
      <c r="I2174" s="33" t="s">
        <v>56</v>
      </c>
      <c r="J2174" s="33">
        <v>32955</v>
      </c>
      <c r="K2174" s="33" t="s">
        <v>1654</v>
      </c>
      <c r="L2174" s="33" t="s">
        <v>3452</v>
      </c>
      <c r="M2174" s="33" t="s">
        <v>21</v>
      </c>
      <c r="N2174" s="33" t="s">
        <v>31836</v>
      </c>
      <c r="O2174" s="33" t="s">
        <v>372</v>
      </c>
      <c r="P2174" s="33" t="s">
        <v>30089</v>
      </c>
      <c r="Q2174" s="42" t="s">
        <v>31837</v>
      </c>
      <c r="R2174" s="33" t="s">
        <v>904</v>
      </c>
      <c r="S2174" s="33" t="s">
        <v>351</v>
      </c>
      <c r="T2174" s="33" t="s">
        <v>26867</v>
      </c>
      <c r="U2174" s="33" t="s">
        <v>26570</v>
      </c>
      <c r="V2174" s="33" t="s">
        <v>26571</v>
      </c>
      <c r="W2174" s="33" t="s">
        <v>94</v>
      </c>
      <c r="X2174" s="33">
        <v>3331</v>
      </c>
      <c r="Z2174" s="33" t="s">
        <v>42968</v>
      </c>
      <c r="AA2174" s="33">
        <v>5494</v>
      </c>
    </row>
    <row r="2175" spans="1:27" ht="12" customHeight="1" x14ac:dyDescent="0.15">
      <c r="A2175" s="33" t="s">
        <v>31848</v>
      </c>
      <c r="B2175" s="33">
        <v>23</v>
      </c>
      <c r="C2175" s="33" t="s">
        <v>14</v>
      </c>
      <c r="D2175" s="33" t="s">
        <v>31</v>
      </c>
      <c r="E2175" s="42"/>
      <c r="F2175" s="67">
        <v>43120</v>
      </c>
      <c r="G2175" s="33" t="s">
        <v>31849</v>
      </c>
      <c r="H2175" s="33" t="s">
        <v>24761</v>
      </c>
      <c r="I2175" s="33" t="s">
        <v>122</v>
      </c>
      <c r="J2175" s="33">
        <v>56031</v>
      </c>
      <c r="K2175" s="33" t="s">
        <v>14651</v>
      </c>
      <c r="L2175" s="33" t="s">
        <v>32202</v>
      </c>
      <c r="M2175" s="33" t="s">
        <v>21</v>
      </c>
      <c r="N2175" s="33" t="s">
        <v>31850</v>
      </c>
      <c r="O2175" s="33" t="s">
        <v>372</v>
      </c>
      <c r="P2175" s="33" t="s">
        <v>30089</v>
      </c>
      <c r="Q2175" s="42" t="s">
        <v>31851</v>
      </c>
      <c r="R2175" s="33" t="s">
        <v>94</v>
      </c>
      <c r="S2175" s="33" t="s">
        <v>22</v>
      </c>
      <c r="T2175" s="33" t="s">
        <v>26774</v>
      </c>
      <c r="U2175" s="33" t="s">
        <v>26570</v>
      </c>
      <c r="V2175" s="33" t="s">
        <v>26573</v>
      </c>
      <c r="W2175" s="33" t="s">
        <v>94</v>
      </c>
      <c r="X2175" s="33">
        <v>3326</v>
      </c>
      <c r="Z2175" s="33" t="s">
        <v>42967</v>
      </c>
      <c r="AA2175" s="33">
        <v>5490</v>
      </c>
    </row>
    <row r="2176" spans="1:27" ht="12" customHeight="1" x14ac:dyDescent="0.15">
      <c r="A2176" s="33" t="s">
        <v>31838</v>
      </c>
      <c r="B2176" s="33">
        <v>46</v>
      </c>
      <c r="C2176" s="33" t="s">
        <v>14</v>
      </c>
      <c r="D2176" s="33" t="s">
        <v>31</v>
      </c>
      <c r="E2176" s="42" t="s">
        <v>31839</v>
      </c>
      <c r="F2176" s="67">
        <v>43120</v>
      </c>
      <c r="G2176" s="33" t="s">
        <v>31840</v>
      </c>
      <c r="H2176" s="33" t="s">
        <v>24605</v>
      </c>
      <c r="I2176" s="33" t="s">
        <v>56</v>
      </c>
      <c r="J2176" s="33">
        <v>33859</v>
      </c>
      <c r="K2176" s="33" t="s">
        <v>1736</v>
      </c>
      <c r="L2176" s="33" t="s">
        <v>238</v>
      </c>
      <c r="M2176" s="33" t="s">
        <v>21</v>
      </c>
      <c r="N2176" s="33" t="s">
        <v>31841</v>
      </c>
      <c r="O2176" s="33" t="s">
        <v>372</v>
      </c>
      <c r="P2176" s="33" t="s">
        <v>30089</v>
      </c>
      <c r="Q2176" s="42" t="s">
        <v>31842</v>
      </c>
      <c r="R2176" s="33" t="s">
        <v>94</v>
      </c>
      <c r="S2176" s="33" t="s">
        <v>22</v>
      </c>
      <c r="T2176" s="33" t="s">
        <v>26781</v>
      </c>
      <c r="U2176" s="33" t="s">
        <v>26572</v>
      </c>
      <c r="V2176" s="33" t="s">
        <v>26573</v>
      </c>
      <c r="W2176" s="33" t="s">
        <v>94</v>
      </c>
      <c r="X2176" s="33">
        <v>3328</v>
      </c>
      <c r="Z2176" s="33" t="s">
        <v>42967</v>
      </c>
      <c r="AA2176" s="33">
        <v>5489</v>
      </c>
    </row>
    <row r="2177" spans="1:27" ht="12" customHeight="1" x14ac:dyDescent="0.15">
      <c r="A2177" s="33" t="s">
        <v>31843</v>
      </c>
      <c r="B2177" s="33">
        <v>44</v>
      </c>
      <c r="C2177" s="33" t="s">
        <v>14</v>
      </c>
      <c r="D2177" s="33" t="s">
        <v>31</v>
      </c>
      <c r="E2177" s="42"/>
      <c r="F2177" s="67">
        <v>43120</v>
      </c>
      <c r="G2177" s="33" t="s">
        <v>31844</v>
      </c>
      <c r="H2177" s="33" t="s">
        <v>31845</v>
      </c>
      <c r="I2177" s="33" t="s">
        <v>160</v>
      </c>
      <c r="J2177" s="33">
        <v>30360</v>
      </c>
      <c r="K2177" s="33" t="s">
        <v>805</v>
      </c>
      <c r="L2177" s="33" t="s">
        <v>32203</v>
      </c>
      <c r="M2177" s="33" t="s">
        <v>21</v>
      </c>
      <c r="N2177" s="33" t="s">
        <v>31846</v>
      </c>
      <c r="O2177" s="33" t="s">
        <v>372</v>
      </c>
      <c r="P2177" s="33" t="s">
        <v>30089</v>
      </c>
      <c r="Q2177" s="42" t="s">
        <v>31847</v>
      </c>
      <c r="R2177" s="33" t="s">
        <v>94</v>
      </c>
      <c r="S2177" s="33" t="s">
        <v>22</v>
      </c>
      <c r="T2177" s="33" t="s">
        <v>26781</v>
      </c>
      <c r="U2177" s="33" t="s">
        <v>26570</v>
      </c>
      <c r="V2177" s="33" t="s">
        <v>26573</v>
      </c>
      <c r="W2177" s="33" t="s">
        <v>94</v>
      </c>
      <c r="X2177" s="33">
        <v>3327</v>
      </c>
      <c r="Z2177" s="33" t="s">
        <v>42968</v>
      </c>
      <c r="AA2177" s="33">
        <v>5488</v>
      </c>
    </row>
    <row r="2178" spans="1:27" ht="12" customHeight="1" x14ac:dyDescent="0.15">
      <c r="A2178" s="33" t="s">
        <v>31857</v>
      </c>
      <c r="B2178" s="33">
        <v>17</v>
      </c>
      <c r="C2178" s="33" t="s">
        <v>14</v>
      </c>
      <c r="D2178" s="33" t="s">
        <v>31</v>
      </c>
      <c r="E2178" s="42" t="s">
        <v>31858</v>
      </c>
      <c r="F2178" s="67">
        <v>43120</v>
      </c>
      <c r="G2178" s="33" t="s">
        <v>31859</v>
      </c>
      <c r="H2178" s="33" t="s">
        <v>31860</v>
      </c>
      <c r="I2178" s="33" t="s">
        <v>337</v>
      </c>
      <c r="J2178" s="33">
        <v>66221</v>
      </c>
      <c r="K2178" s="33" t="s">
        <v>3032</v>
      </c>
      <c r="L2178" s="33" t="s">
        <v>32201</v>
      </c>
      <c r="M2178" s="33" t="s">
        <v>21</v>
      </c>
      <c r="N2178" s="33" t="s">
        <v>31861</v>
      </c>
      <c r="O2178" s="33" t="s">
        <v>31862</v>
      </c>
      <c r="P2178" s="33" t="s">
        <v>30089</v>
      </c>
      <c r="Q2178" s="42" t="s">
        <v>31863</v>
      </c>
      <c r="R2178" s="33" t="s">
        <v>512</v>
      </c>
      <c r="S2178" s="33" t="s">
        <v>351</v>
      </c>
      <c r="T2178" s="33" t="s">
        <v>26867</v>
      </c>
      <c r="U2178" s="33" t="s">
        <v>26570</v>
      </c>
      <c r="V2178" s="33" t="s">
        <v>26571</v>
      </c>
      <c r="W2178" s="33" t="s">
        <v>94</v>
      </c>
      <c r="X2178" s="33">
        <v>3330</v>
      </c>
      <c r="Z2178" s="33" t="s">
        <v>42968</v>
      </c>
      <c r="AA2178" s="33">
        <v>5492</v>
      </c>
    </row>
    <row r="2179" spans="1:27" ht="12" customHeight="1" x14ac:dyDescent="0.15">
      <c r="A2179" s="33" t="s">
        <v>31852</v>
      </c>
      <c r="B2179" s="33">
        <v>61</v>
      </c>
      <c r="C2179" s="33" t="s">
        <v>14</v>
      </c>
      <c r="D2179" s="33" t="s">
        <v>79</v>
      </c>
      <c r="E2179" s="42"/>
      <c r="F2179" s="67">
        <v>43120</v>
      </c>
      <c r="G2179" s="33" t="s">
        <v>31853</v>
      </c>
      <c r="H2179" s="33" t="s">
        <v>31854</v>
      </c>
      <c r="I2179" s="33" t="s">
        <v>67</v>
      </c>
      <c r="J2179" s="33">
        <v>75650</v>
      </c>
      <c r="K2179" s="33" t="s">
        <v>3687</v>
      </c>
      <c r="L2179" s="33" t="s">
        <v>11075</v>
      </c>
      <c r="M2179" s="33" t="s">
        <v>21</v>
      </c>
      <c r="N2179" s="33" t="s">
        <v>31855</v>
      </c>
      <c r="O2179" s="33" t="s">
        <v>372</v>
      </c>
      <c r="P2179" s="33" t="s">
        <v>30089</v>
      </c>
      <c r="Q2179" s="42" t="s">
        <v>31856</v>
      </c>
      <c r="R2179" s="33" t="s">
        <v>512</v>
      </c>
      <c r="S2179" s="33" t="s">
        <v>12</v>
      </c>
      <c r="T2179" s="33" t="s">
        <v>29705</v>
      </c>
      <c r="U2179" s="33" t="s">
        <v>26570</v>
      </c>
      <c r="V2179" s="33" t="s">
        <v>26573</v>
      </c>
      <c r="W2179" s="33" t="s">
        <v>94</v>
      </c>
      <c r="X2179" s="33">
        <v>3329</v>
      </c>
      <c r="Z2179" s="33" t="s">
        <v>42967</v>
      </c>
      <c r="AA2179" s="33">
        <v>5491</v>
      </c>
    </row>
    <row r="2180" spans="1:27" ht="12" customHeight="1" x14ac:dyDescent="0.15">
      <c r="A2180" s="33" t="s">
        <v>31869</v>
      </c>
      <c r="B2180" s="33">
        <v>58</v>
      </c>
      <c r="C2180" s="33" t="s">
        <v>14</v>
      </c>
      <c r="D2180" s="33" t="s">
        <v>31</v>
      </c>
      <c r="E2180" s="42" t="s">
        <v>31870</v>
      </c>
      <c r="F2180" s="67">
        <v>43118</v>
      </c>
      <c r="G2180" s="33" t="s">
        <v>31871</v>
      </c>
      <c r="H2180" s="33" t="s">
        <v>31872</v>
      </c>
      <c r="I2180" s="33" t="s">
        <v>198</v>
      </c>
      <c r="J2180" s="33">
        <v>47601</v>
      </c>
      <c r="K2180" s="33" t="s">
        <v>31873</v>
      </c>
      <c r="L2180" s="33" t="s">
        <v>32205</v>
      </c>
      <c r="M2180" s="33" t="s">
        <v>21</v>
      </c>
      <c r="N2180" s="33" t="s">
        <v>31874</v>
      </c>
      <c r="O2180" s="33" t="s">
        <v>372</v>
      </c>
      <c r="P2180" s="33" t="s">
        <v>30089</v>
      </c>
      <c r="Q2180" s="42" t="s">
        <v>31875</v>
      </c>
      <c r="R2180" s="33" t="s">
        <v>512</v>
      </c>
      <c r="S2180" s="33" t="s">
        <v>22</v>
      </c>
      <c r="T2180" s="33" t="s">
        <v>26774</v>
      </c>
      <c r="U2180" s="33" t="s">
        <v>26572</v>
      </c>
      <c r="V2180" s="33" t="s">
        <v>26573</v>
      </c>
      <c r="W2180" s="33" t="s">
        <v>94</v>
      </c>
      <c r="X2180" s="33">
        <v>3325</v>
      </c>
      <c r="Z2180" s="33" t="s">
        <v>42967</v>
      </c>
      <c r="AA2180" s="33">
        <v>5487</v>
      </c>
    </row>
    <row r="2181" spans="1:27" ht="12" customHeight="1" x14ac:dyDescent="0.15">
      <c r="A2181" s="33" t="s">
        <v>31864</v>
      </c>
      <c r="B2181" s="33">
        <v>31</v>
      </c>
      <c r="C2181" s="33" t="s">
        <v>14</v>
      </c>
      <c r="D2181" s="33" t="s">
        <v>79</v>
      </c>
      <c r="E2181" s="42" t="s">
        <v>31865</v>
      </c>
      <c r="F2181" s="67">
        <v>43118</v>
      </c>
      <c r="G2181" s="33" t="s">
        <v>31866</v>
      </c>
      <c r="H2181" s="33" t="s">
        <v>11218</v>
      </c>
      <c r="I2181" s="33" t="s">
        <v>376</v>
      </c>
      <c r="J2181" s="33">
        <v>17104</v>
      </c>
      <c r="K2181" s="33" t="s">
        <v>4183</v>
      </c>
      <c r="L2181" s="33" t="s">
        <v>32204</v>
      </c>
      <c r="M2181" s="33" t="s">
        <v>21</v>
      </c>
      <c r="N2181" s="33" t="s">
        <v>31867</v>
      </c>
      <c r="O2181" s="33" t="s">
        <v>372</v>
      </c>
      <c r="P2181" s="33" t="s">
        <v>30089</v>
      </c>
      <c r="Q2181" s="42" t="s">
        <v>31868</v>
      </c>
      <c r="R2181" s="33" t="s">
        <v>94</v>
      </c>
      <c r="S2181" s="33" t="s">
        <v>22</v>
      </c>
      <c r="T2181" s="33" t="s">
        <v>26781</v>
      </c>
      <c r="U2181" s="33" t="s">
        <v>26572</v>
      </c>
      <c r="V2181" s="33" t="s">
        <v>26573</v>
      </c>
      <c r="W2181" s="33" t="s">
        <v>94</v>
      </c>
      <c r="X2181" s="33">
        <v>3324</v>
      </c>
      <c r="Z2181" s="33" t="s">
        <v>42966</v>
      </c>
      <c r="AA2181" s="33">
        <v>5486</v>
      </c>
    </row>
    <row r="2182" spans="1:27" ht="12" customHeight="1" x14ac:dyDescent="0.15">
      <c r="A2182" s="33" t="s">
        <v>31876</v>
      </c>
      <c r="B2182" s="33">
        <v>33</v>
      </c>
      <c r="C2182" s="33" t="s">
        <v>14</v>
      </c>
      <c r="D2182" s="33" t="s">
        <v>79</v>
      </c>
      <c r="E2182" s="42" t="s">
        <v>31877</v>
      </c>
      <c r="F2182" s="67">
        <v>43117</v>
      </c>
      <c r="G2182" s="33" t="s">
        <v>31878</v>
      </c>
      <c r="H2182" s="33" t="s">
        <v>1116</v>
      </c>
      <c r="I2182" s="33" t="s">
        <v>298</v>
      </c>
      <c r="J2182" s="33">
        <v>38107</v>
      </c>
      <c r="K2182" s="33" t="s">
        <v>1117</v>
      </c>
      <c r="L2182" s="33" t="s">
        <v>22474</v>
      </c>
      <c r="M2182" s="33" t="s">
        <v>21</v>
      </c>
      <c r="N2182" s="33" t="s">
        <v>31879</v>
      </c>
      <c r="O2182" s="33" t="s">
        <v>372</v>
      </c>
      <c r="P2182" s="33" t="s">
        <v>30089</v>
      </c>
      <c r="Q2182" s="42" t="s">
        <v>31880</v>
      </c>
      <c r="R2182" s="33" t="s">
        <v>94</v>
      </c>
      <c r="S2182" s="33" t="s">
        <v>22</v>
      </c>
      <c r="T2182" s="33" t="s">
        <v>26781</v>
      </c>
      <c r="U2182" s="33" t="s">
        <v>26570</v>
      </c>
      <c r="V2182" s="33" t="s">
        <v>26571</v>
      </c>
      <c r="W2182" s="33" t="s">
        <v>94</v>
      </c>
      <c r="X2182" s="33">
        <v>3321</v>
      </c>
      <c r="Z2182" s="33" t="s">
        <v>42966</v>
      </c>
      <c r="AA2182" s="33">
        <v>5481</v>
      </c>
    </row>
    <row r="2183" spans="1:27" ht="12" customHeight="1" x14ac:dyDescent="0.15">
      <c r="A2183" s="33" t="s">
        <v>31898</v>
      </c>
      <c r="B2183" s="33">
        <v>16</v>
      </c>
      <c r="C2183" s="33" t="s">
        <v>14</v>
      </c>
      <c r="D2183" s="33" t="s">
        <v>31</v>
      </c>
      <c r="E2183" s="42"/>
      <c r="F2183" s="67">
        <v>43117</v>
      </c>
      <c r="G2183" s="33" t="s">
        <v>31899</v>
      </c>
      <c r="H2183" s="33" t="s">
        <v>1202</v>
      </c>
      <c r="I2183" s="33" t="s">
        <v>63</v>
      </c>
      <c r="J2183" s="33">
        <v>43215</v>
      </c>
      <c r="K2183" s="33" t="s">
        <v>1203</v>
      </c>
      <c r="L2183" s="33" t="s">
        <v>1204</v>
      </c>
      <c r="M2183" s="33" t="s">
        <v>21</v>
      </c>
      <c r="N2183" s="33" t="s">
        <v>31900</v>
      </c>
      <c r="O2183" s="33" t="s">
        <v>372</v>
      </c>
      <c r="P2183" s="33" t="s">
        <v>30089</v>
      </c>
      <c r="Q2183" s="42" t="s">
        <v>31901</v>
      </c>
      <c r="R2183" s="33" t="s">
        <v>94</v>
      </c>
      <c r="S2183" s="33" t="s">
        <v>12</v>
      </c>
      <c r="T2183" s="33" t="s">
        <v>29705</v>
      </c>
      <c r="U2183" s="33" t="s">
        <v>26572</v>
      </c>
      <c r="V2183" s="33" t="s">
        <v>26573</v>
      </c>
      <c r="X2183" s="33">
        <v>4245</v>
      </c>
      <c r="Z2183" s="33" t="s">
        <v>42966</v>
      </c>
      <c r="AA2183" s="33">
        <v>5485</v>
      </c>
    </row>
    <row r="2184" spans="1:27" ht="12" customHeight="1" x14ac:dyDescent="0.15">
      <c r="A2184" s="33" t="s">
        <v>31893</v>
      </c>
      <c r="B2184" s="33">
        <v>72</v>
      </c>
      <c r="C2184" s="33" t="s">
        <v>103</v>
      </c>
      <c r="D2184" s="33" t="s">
        <v>79</v>
      </c>
      <c r="E2184" s="42" t="s">
        <v>31894</v>
      </c>
      <c r="F2184" s="67">
        <v>43117</v>
      </c>
      <c r="G2184" s="33" t="s">
        <v>31895</v>
      </c>
      <c r="H2184" s="33" t="s">
        <v>24172</v>
      </c>
      <c r="I2184" s="33" t="s">
        <v>367</v>
      </c>
      <c r="J2184" s="33">
        <v>74003</v>
      </c>
      <c r="K2184" s="33" t="s">
        <v>107</v>
      </c>
      <c r="L2184" s="33" t="s">
        <v>24173</v>
      </c>
      <c r="M2184" s="33" t="s">
        <v>21</v>
      </c>
      <c r="N2184" s="33" t="s">
        <v>31896</v>
      </c>
      <c r="O2184" s="33" t="s">
        <v>372</v>
      </c>
      <c r="P2184" s="33" t="s">
        <v>30089</v>
      </c>
      <c r="Q2184" s="42" t="s">
        <v>31897</v>
      </c>
      <c r="R2184" s="33" t="s">
        <v>94</v>
      </c>
      <c r="S2184" s="33" t="s">
        <v>12</v>
      </c>
      <c r="T2184" s="33" t="s">
        <v>29425</v>
      </c>
      <c r="U2184" s="33" t="s">
        <v>26572</v>
      </c>
      <c r="V2184" s="33" t="s">
        <v>26573</v>
      </c>
      <c r="W2184" s="33" t="s">
        <v>94</v>
      </c>
      <c r="X2184" s="33">
        <v>3319</v>
      </c>
      <c r="Z2184" s="33" t="s">
        <v>42968</v>
      </c>
      <c r="AA2184" s="33">
        <v>5484</v>
      </c>
    </row>
    <row r="2185" spans="1:27" ht="12" customHeight="1" x14ac:dyDescent="0.15">
      <c r="A2185" s="33" t="s">
        <v>31881</v>
      </c>
      <c r="B2185" s="33">
        <v>26</v>
      </c>
      <c r="C2185" s="33" t="s">
        <v>14</v>
      </c>
      <c r="D2185" s="33" t="s">
        <v>79</v>
      </c>
      <c r="E2185" s="42" t="s">
        <v>31882</v>
      </c>
      <c r="F2185" s="67">
        <v>43117</v>
      </c>
      <c r="G2185" s="33" t="s">
        <v>31883</v>
      </c>
      <c r="H2185" s="33" t="s">
        <v>7938</v>
      </c>
      <c r="I2185" s="33" t="s">
        <v>409</v>
      </c>
      <c r="J2185" s="33">
        <v>53403</v>
      </c>
      <c r="K2185" s="33" t="s">
        <v>7938</v>
      </c>
      <c r="L2185" s="33" t="s">
        <v>32206</v>
      </c>
      <c r="M2185" s="33" t="s">
        <v>21</v>
      </c>
      <c r="N2185" s="33" t="s">
        <v>31884</v>
      </c>
      <c r="O2185" s="33" t="s">
        <v>372</v>
      </c>
      <c r="P2185" s="33" t="s">
        <v>30089</v>
      </c>
      <c r="Q2185" s="42" t="s">
        <v>31885</v>
      </c>
      <c r="R2185" s="33" t="s">
        <v>94</v>
      </c>
      <c r="S2185" s="33" t="s">
        <v>22</v>
      </c>
      <c r="T2185" s="33" t="s">
        <v>26781</v>
      </c>
      <c r="U2185" s="33" t="s">
        <v>26572</v>
      </c>
      <c r="V2185" s="33" t="s">
        <v>26574</v>
      </c>
      <c r="W2185" s="33" t="s">
        <v>94</v>
      </c>
      <c r="X2185" s="33">
        <v>3322</v>
      </c>
      <c r="Z2185" s="33" t="s">
        <v>42966</v>
      </c>
      <c r="AA2185" s="33">
        <v>5482</v>
      </c>
    </row>
    <row r="2186" spans="1:27" ht="12" customHeight="1" x14ac:dyDescent="0.15">
      <c r="A2186" s="33" t="s">
        <v>31886</v>
      </c>
      <c r="B2186" s="33">
        <v>29</v>
      </c>
      <c r="C2186" s="33" t="s">
        <v>14</v>
      </c>
      <c r="D2186" s="33" t="s">
        <v>79</v>
      </c>
      <c r="E2186" s="42"/>
      <c r="F2186" s="67">
        <v>43117</v>
      </c>
      <c r="G2186" s="33" t="s">
        <v>31887</v>
      </c>
      <c r="H2186" s="33" t="s">
        <v>3239</v>
      </c>
      <c r="I2186" s="33" t="s">
        <v>342</v>
      </c>
      <c r="J2186" s="33">
        <v>50435</v>
      </c>
      <c r="K2186" s="33" t="s">
        <v>3239</v>
      </c>
      <c r="L2186" s="33" t="s">
        <v>32207</v>
      </c>
      <c r="M2186" s="33" t="s">
        <v>21</v>
      </c>
      <c r="N2186" s="33" t="s">
        <v>31888</v>
      </c>
      <c r="O2186" s="33" t="s">
        <v>372</v>
      </c>
      <c r="P2186" s="33" t="s">
        <v>30089</v>
      </c>
      <c r="Q2186" s="42" t="s">
        <v>31889</v>
      </c>
      <c r="R2186" s="33" t="s">
        <v>512</v>
      </c>
      <c r="S2186" s="33" t="s">
        <v>22</v>
      </c>
      <c r="T2186" s="33" t="s">
        <v>26781</v>
      </c>
      <c r="U2186" s="33" t="s">
        <v>26572</v>
      </c>
      <c r="V2186" s="33" t="s">
        <v>26571</v>
      </c>
      <c r="W2186" s="33" t="s">
        <v>94</v>
      </c>
      <c r="X2186" s="33">
        <v>3320</v>
      </c>
      <c r="Z2186" s="33" t="s">
        <v>42967</v>
      </c>
      <c r="AA2186" s="33">
        <v>5480</v>
      </c>
    </row>
    <row r="2187" spans="1:27" ht="12" customHeight="1" x14ac:dyDescent="0.15">
      <c r="A2187" s="33" t="s">
        <v>36971</v>
      </c>
      <c r="B2187" s="33">
        <v>22</v>
      </c>
      <c r="C2187" s="33" t="s">
        <v>14</v>
      </c>
      <c r="D2187" s="33" t="s">
        <v>42</v>
      </c>
      <c r="E2187" s="42"/>
      <c r="F2187" s="67">
        <v>43117</v>
      </c>
      <c r="G2187" s="33" t="s">
        <v>31890</v>
      </c>
      <c r="H2187" s="33" t="s">
        <v>584</v>
      </c>
      <c r="I2187" s="33" t="s">
        <v>112</v>
      </c>
      <c r="J2187" s="33">
        <v>85018</v>
      </c>
      <c r="K2187" s="33" t="s">
        <v>585</v>
      </c>
      <c r="L2187" s="33" t="s">
        <v>586</v>
      </c>
      <c r="M2187" s="33" t="s">
        <v>21</v>
      </c>
      <c r="N2187" s="33" t="s">
        <v>31891</v>
      </c>
      <c r="O2187" s="33" t="s">
        <v>372</v>
      </c>
      <c r="P2187" s="33" t="s">
        <v>30089</v>
      </c>
      <c r="Q2187" s="42" t="s">
        <v>31892</v>
      </c>
      <c r="R2187" s="33" t="s">
        <v>94</v>
      </c>
      <c r="S2187" s="33" t="s">
        <v>22</v>
      </c>
      <c r="T2187" s="33" t="s">
        <v>26774</v>
      </c>
      <c r="U2187" s="33" t="s">
        <v>26570</v>
      </c>
      <c r="V2187" s="33" t="s">
        <v>26573</v>
      </c>
      <c r="X2187" s="33">
        <v>4244</v>
      </c>
      <c r="Z2187" s="33" t="s">
        <v>42968</v>
      </c>
      <c r="AA2187" s="33">
        <v>5483</v>
      </c>
    </row>
    <row r="2188" spans="1:27" ht="12" customHeight="1" x14ac:dyDescent="0.15">
      <c r="A2188" s="33" t="s">
        <v>31912</v>
      </c>
      <c r="B2188" s="33">
        <v>34</v>
      </c>
      <c r="C2188" s="33" t="s">
        <v>14</v>
      </c>
      <c r="D2188" s="33" t="s">
        <v>79</v>
      </c>
      <c r="E2188" s="42"/>
      <c r="F2188" s="67">
        <v>43116</v>
      </c>
      <c r="G2188" s="33" t="s">
        <v>31913</v>
      </c>
      <c r="H2188" s="33" t="s">
        <v>31914</v>
      </c>
      <c r="I2188" s="33" t="s">
        <v>39</v>
      </c>
      <c r="J2188" s="33">
        <v>94014</v>
      </c>
      <c r="K2188" s="33" t="s">
        <v>4269</v>
      </c>
      <c r="L2188" s="33" t="s">
        <v>16060</v>
      </c>
      <c r="M2188" s="33" t="s">
        <v>363</v>
      </c>
      <c r="N2188" s="33" t="s">
        <v>31915</v>
      </c>
      <c r="O2188" s="33" t="s">
        <v>372</v>
      </c>
      <c r="P2188" s="33" t="s">
        <v>30089</v>
      </c>
      <c r="Q2188" s="42" t="s">
        <v>31916</v>
      </c>
      <c r="R2188" s="33" t="s">
        <v>94</v>
      </c>
      <c r="S2188" s="33" t="s">
        <v>12</v>
      </c>
      <c r="T2188" s="33" t="s">
        <v>29705</v>
      </c>
      <c r="U2188" s="33" t="s">
        <v>26570</v>
      </c>
      <c r="V2188" s="33" t="s">
        <v>26573</v>
      </c>
      <c r="Z2188" s="33" t="s">
        <v>42968</v>
      </c>
      <c r="AA2188" s="33">
        <v>5478</v>
      </c>
    </row>
    <row r="2189" spans="1:27" ht="12" customHeight="1" x14ac:dyDescent="0.15">
      <c r="A2189" s="33" t="s">
        <v>31902</v>
      </c>
      <c r="B2189" s="33">
        <v>53</v>
      </c>
      <c r="C2189" s="33" t="s">
        <v>103</v>
      </c>
      <c r="D2189" s="33" t="s">
        <v>31</v>
      </c>
      <c r="E2189" s="42" t="s">
        <v>31903</v>
      </c>
      <c r="F2189" s="67">
        <v>43116</v>
      </c>
      <c r="G2189" s="33" t="s">
        <v>31904</v>
      </c>
      <c r="H2189" s="33" t="s">
        <v>31905</v>
      </c>
      <c r="I2189" s="33" t="s">
        <v>735</v>
      </c>
      <c r="J2189" s="33">
        <v>83330</v>
      </c>
      <c r="K2189" s="33" t="s">
        <v>31905</v>
      </c>
      <c r="L2189" s="33" t="s">
        <v>32209</v>
      </c>
      <c r="M2189" s="33" t="s">
        <v>21</v>
      </c>
      <c r="N2189" s="33" t="s">
        <v>31906</v>
      </c>
      <c r="O2189" s="33" t="s">
        <v>372</v>
      </c>
      <c r="P2189" s="33" t="s">
        <v>30089</v>
      </c>
      <c r="Q2189" s="42" t="s">
        <v>31907</v>
      </c>
      <c r="R2189" s="33" t="s">
        <v>94</v>
      </c>
      <c r="S2189" s="33" t="s">
        <v>22</v>
      </c>
      <c r="T2189" s="33" t="s">
        <v>26781</v>
      </c>
      <c r="U2189" s="33" t="s">
        <v>26572</v>
      </c>
      <c r="V2189" s="33" t="s">
        <v>26573</v>
      </c>
      <c r="W2189" s="33" t="s">
        <v>94</v>
      </c>
      <c r="X2189" s="33">
        <v>3323</v>
      </c>
      <c r="Z2189" s="33" t="s">
        <v>42967</v>
      </c>
      <c r="AA2189" s="33">
        <v>5476</v>
      </c>
    </row>
    <row r="2190" spans="1:27" ht="12" customHeight="1" x14ac:dyDescent="0.15">
      <c r="A2190" s="33" t="s">
        <v>3002</v>
      </c>
      <c r="B2190" s="33" t="s">
        <v>23</v>
      </c>
      <c r="C2190" s="33" t="s">
        <v>14</v>
      </c>
      <c r="D2190" s="33" t="s">
        <v>42</v>
      </c>
      <c r="E2190" s="42"/>
      <c r="F2190" s="67">
        <v>43116</v>
      </c>
      <c r="G2190" s="33" t="s">
        <v>31921</v>
      </c>
      <c r="H2190" s="33" t="s">
        <v>4849</v>
      </c>
      <c r="I2190" s="33" t="s">
        <v>67</v>
      </c>
      <c r="J2190" s="33">
        <v>76022</v>
      </c>
      <c r="K2190" s="33" t="s">
        <v>68</v>
      </c>
      <c r="L2190" s="33" t="s">
        <v>4850</v>
      </c>
      <c r="M2190" s="33" t="s">
        <v>21</v>
      </c>
      <c r="N2190" s="33" t="s">
        <v>31922</v>
      </c>
      <c r="O2190" s="33" t="s">
        <v>372</v>
      </c>
      <c r="P2190" s="33" t="s">
        <v>30089</v>
      </c>
      <c r="Q2190" s="42" t="s">
        <v>31923</v>
      </c>
      <c r="R2190" s="33" t="s">
        <v>94</v>
      </c>
      <c r="S2190" s="33" t="s">
        <v>29</v>
      </c>
      <c r="T2190" s="33" t="s">
        <v>26575</v>
      </c>
      <c r="U2190" s="33" t="s">
        <v>26570</v>
      </c>
      <c r="V2190" s="33" t="s">
        <v>26573</v>
      </c>
      <c r="W2190" s="33" t="s">
        <v>94</v>
      </c>
      <c r="X2190" s="33">
        <v>3306</v>
      </c>
      <c r="Z2190" s="33" t="s">
        <v>42968</v>
      </c>
      <c r="AA2190" s="33">
        <v>5479</v>
      </c>
    </row>
    <row r="2191" spans="1:27" ht="12" customHeight="1" x14ac:dyDescent="0.15">
      <c r="A2191" s="33" t="s">
        <v>31908</v>
      </c>
      <c r="B2191" s="33">
        <v>32</v>
      </c>
      <c r="C2191" s="33" t="s">
        <v>14</v>
      </c>
      <c r="D2191" s="33" t="s">
        <v>31</v>
      </c>
      <c r="E2191" s="42"/>
      <c r="F2191" s="67">
        <v>43116</v>
      </c>
      <c r="G2191" s="33" t="s">
        <v>31909</v>
      </c>
      <c r="H2191" s="33" t="s">
        <v>22028</v>
      </c>
      <c r="I2191" s="33" t="s">
        <v>9710</v>
      </c>
      <c r="J2191" s="33">
        <v>5602</v>
      </c>
      <c r="K2191" s="33" t="s">
        <v>107</v>
      </c>
      <c r="L2191" s="33" t="s">
        <v>32208</v>
      </c>
      <c r="M2191" s="33" t="s">
        <v>21</v>
      </c>
      <c r="N2191" s="33" t="s">
        <v>31910</v>
      </c>
      <c r="O2191" s="33" t="s">
        <v>372</v>
      </c>
      <c r="P2191" s="33" t="s">
        <v>30089</v>
      </c>
      <c r="Q2191" s="42" t="s">
        <v>31911</v>
      </c>
      <c r="R2191" s="33" t="s">
        <v>94</v>
      </c>
      <c r="S2191" s="33" t="s">
        <v>22</v>
      </c>
      <c r="T2191" s="33" t="s">
        <v>26781</v>
      </c>
      <c r="U2191" s="33" t="s">
        <v>26575</v>
      </c>
      <c r="V2191" s="33" t="s">
        <v>26574</v>
      </c>
      <c r="W2191" s="33" t="s">
        <v>94</v>
      </c>
      <c r="X2191" s="33">
        <v>3305</v>
      </c>
      <c r="Z2191" s="33" t="s">
        <v>42967</v>
      </c>
      <c r="AA2191" s="33">
        <v>5475</v>
      </c>
    </row>
    <row r="2192" spans="1:27" ht="12" customHeight="1" x14ac:dyDescent="0.15">
      <c r="A2192" s="33" t="s">
        <v>31917</v>
      </c>
      <c r="B2192" s="33">
        <v>27</v>
      </c>
      <c r="C2192" s="33" t="s">
        <v>14</v>
      </c>
      <c r="D2192" s="33" t="s">
        <v>31</v>
      </c>
      <c r="E2192" s="42"/>
      <c r="F2192" s="67">
        <v>43116</v>
      </c>
      <c r="G2192" s="33" t="s">
        <v>31918</v>
      </c>
      <c r="H2192" s="33" t="s">
        <v>1212</v>
      </c>
      <c r="I2192" s="33" t="s">
        <v>192</v>
      </c>
      <c r="J2192" s="33">
        <v>80221</v>
      </c>
      <c r="K2192" s="33" t="s">
        <v>1790</v>
      </c>
      <c r="L2192" s="33" t="s">
        <v>9286</v>
      </c>
      <c r="M2192" s="33" t="s">
        <v>4966</v>
      </c>
      <c r="N2192" s="33" t="s">
        <v>31919</v>
      </c>
      <c r="O2192" s="33" t="s">
        <v>372</v>
      </c>
      <c r="P2192" s="33" t="s">
        <v>30089</v>
      </c>
      <c r="Q2192" s="42" t="s">
        <v>31920</v>
      </c>
      <c r="R2192" s="33" t="s">
        <v>94</v>
      </c>
      <c r="S2192" s="33" t="s">
        <v>12</v>
      </c>
      <c r="T2192" s="33" t="s">
        <v>29705</v>
      </c>
      <c r="U2192" s="33" t="s">
        <v>26572</v>
      </c>
      <c r="V2192" s="33" t="s">
        <v>26573</v>
      </c>
      <c r="W2192" s="33" t="s">
        <v>94</v>
      </c>
      <c r="X2192" s="33">
        <v>3318</v>
      </c>
      <c r="Z2192" s="33" t="s">
        <v>42968</v>
      </c>
      <c r="AA2192" s="33">
        <v>5477</v>
      </c>
    </row>
    <row r="2193" spans="1:27" ht="12" customHeight="1" x14ac:dyDescent="0.15">
      <c r="A2193" s="33" t="s">
        <v>31929</v>
      </c>
      <c r="B2193" s="33">
        <v>42</v>
      </c>
      <c r="C2193" s="33" t="s">
        <v>14</v>
      </c>
      <c r="D2193" s="33" t="s">
        <v>42</v>
      </c>
      <c r="E2193" s="42" t="s">
        <v>31930</v>
      </c>
      <c r="F2193" s="67">
        <v>43115</v>
      </c>
      <c r="G2193" s="33" t="s">
        <v>31931</v>
      </c>
      <c r="H2193" s="33" t="s">
        <v>2944</v>
      </c>
      <c r="I2193" s="33" t="s">
        <v>106</v>
      </c>
      <c r="J2193" s="33">
        <v>97404</v>
      </c>
      <c r="K2193" s="33" t="s">
        <v>2946</v>
      </c>
      <c r="L2193" s="33" t="s">
        <v>17398</v>
      </c>
      <c r="M2193" s="33" t="s">
        <v>21</v>
      </c>
      <c r="N2193" s="33" t="s">
        <v>31932</v>
      </c>
      <c r="O2193" s="33" t="s">
        <v>372</v>
      </c>
      <c r="P2193" s="33" t="s">
        <v>30089</v>
      </c>
      <c r="Q2193" s="42" t="s">
        <v>31933</v>
      </c>
      <c r="R2193" s="33" t="s">
        <v>94</v>
      </c>
      <c r="S2193" s="33" t="s">
        <v>22</v>
      </c>
      <c r="T2193" s="33" t="s">
        <v>26781</v>
      </c>
      <c r="U2193" s="33" t="s">
        <v>26570</v>
      </c>
      <c r="V2193" s="33" t="s">
        <v>26573</v>
      </c>
      <c r="W2193" s="33" t="s">
        <v>94</v>
      </c>
      <c r="X2193" s="33">
        <v>3309</v>
      </c>
      <c r="Z2193" s="33" t="s">
        <v>42968</v>
      </c>
      <c r="AA2193" s="33">
        <v>5473</v>
      </c>
    </row>
    <row r="2194" spans="1:27" ht="12" customHeight="1" x14ac:dyDescent="0.15">
      <c r="A2194" s="33" t="s">
        <v>31924</v>
      </c>
      <c r="B2194" s="33">
        <v>35</v>
      </c>
      <c r="C2194" s="33" t="s">
        <v>14</v>
      </c>
      <c r="D2194" s="33" t="s">
        <v>79</v>
      </c>
      <c r="E2194" s="42" t="s">
        <v>31925</v>
      </c>
      <c r="F2194" s="67">
        <v>43115</v>
      </c>
      <c r="G2194" s="33" t="s">
        <v>31926</v>
      </c>
      <c r="H2194" s="33" t="s">
        <v>3855</v>
      </c>
      <c r="I2194" s="33" t="s">
        <v>338</v>
      </c>
      <c r="J2194" s="33">
        <v>28213</v>
      </c>
      <c r="K2194" s="33" t="s">
        <v>3857</v>
      </c>
      <c r="L2194" s="33" t="s">
        <v>32210</v>
      </c>
      <c r="M2194" s="33" t="s">
        <v>21</v>
      </c>
      <c r="N2194" s="33" t="s">
        <v>31927</v>
      </c>
      <c r="O2194" s="33" t="s">
        <v>372</v>
      </c>
      <c r="P2194" s="33" t="s">
        <v>30089</v>
      </c>
      <c r="Q2194" s="42" t="s">
        <v>31928</v>
      </c>
      <c r="R2194" s="33" t="s">
        <v>94</v>
      </c>
      <c r="S2194" s="33" t="s">
        <v>22</v>
      </c>
      <c r="T2194" s="33" t="s">
        <v>26781</v>
      </c>
      <c r="U2194" s="33" t="s">
        <v>26572</v>
      </c>
      <c r="V2194" s="33" t="s">
        <v>26573</v>
      </c>
      <c r="Z2194" s="33" t="s">
        <v>42968</v>
      </c>
      <c r="AA2194" s="33">
        <v>5474</v>
      </c>
    </row>
    <row r="2195" spans="1:27" ht="12" customHeight="1" x14ac:dyDescent="0.15">
      <c r="A2195" s="33" t="s">
        <v>3002</v>
      </c>
      <c r="B2195" s="33" t="s">
        <v>23</v>
      </c>
      <c r="C2195" s="33" t="s">
        <v>14</v>
      </c>
      <c r="D2195" s="33" t="s">
        <v>42</v>
      </c>
      <c r="E2195" s="42"/>
      <c r="F2195" s="67">
        <v>43114</v>
      </c>
      <c r="G2195" s="33" t="s">
        <v>31934</v>
      </c>
      <c r="H2195" s="33" t="s">
        <v>31935</v>
      </c>
      <c r="I2195" s="33" t="s">
        <v>39</v>
      </c>
      <c r="J2195" s="33">
        <v>90032</v>
      </c>
      <c r="K2195" s="33" t="s">
        <v>92</v>
      </c>
      <c r="L2195" s="33" t="s">
        <v>93</v>
      </c>
      <c r="M2195" s="33" t="s">
        <v>21</v>
      </c>
      <c r="N2195" s="33" t="s">
        <v>31936</v>
      </c>
      <c r="O2195" s="33" t="s">
        <v>372</v>
      </c>
      <c r="P2195" s="33" t="s">
        <v>30089</v>
      </c>
      <c r="Q2195" s="42" t="s">
        <v>31937</v>
      </c>
      <c r="R2195" s="33" t="s">
        <v>94</v>
      </c>
      <c r="S2195" s="33" t="s">
        <v>22</v>
      </c>
      <c r="T2195" s="33" t="s">
        <v>26781</v>
      </c>
      <c r="U2195" s="33" t="s">
        <v>26570</v>
      </c>
      <c r="V2195" s="33" t="s">
        <v>26573</v>
      </c>
      <c r="W2195" s="33" t="s">
        <v>94</v>
      </c>
      <c r="X2195" s="33">
        <v>3311</v>
      </c>
      <c r="Z2195" s="33" t="s">
        <v>42966</v>
      </c>
      <c r="AA2195" s="33">
        <v>5472</v>
      </c>
    </row>
    <row r="2196" spans="1:27" ht="12" customHeight="1" x14ac:dyDescent="0.15">
      <c r="A2196" s="33" t="s">
        <v>31938</v>
      </c>
      <c r="B2196" s="33">
        <v>21</v>
      </c>
      <c r="C2196" s="33" t="s">
        <v>14</v>
      </c>
      <c r="D2196" s="33" t="s">
        <v>79</v>
      </c>
      <c r="E2196" s="42" t="s">
        <v>31939</v>
      </c>
      <c r="F2196" s="67">
        <v>43113</v>
      </c>
      <c r="G2196" s="33" t="s">
        <v>31940</v>
      </c>
      <c r="H2196" s="33" t="s">
        <v>924</v>
      </c>
      <c r="I2196" s="33" t="s">
        <v>63</v>
      </c>
      <c r="J2196" s="33">
        <v>44106</v>
      </c>
      <c r="K2196" s="33" t="s">
        <v>95</v>
      </c>
      <c r="L2196" s="33" t="s">
        <v>29641</v>
      </c>
      <c r="M2196" s="33" t="s">
        <v>21</v>
      </c>
      <c r="N2196" s="33" t="s">
        <v>31941</v>
      </c>
      <c r="O2196" s="33" t="s">
        <v>372</v>
      </c>
      <c r="P2196" s="33" t="s">
        <v>30089</v>
      </c>
      <c r="Q2196" s="42" t="s">
        <v>31942</v>
      </c>
      <c r="R2196" s="33" t="s">
        <v>94</v>
      </c>
      <c r="S2196" s="33" t="s">
        <v>12</v>
      </c>
      <c r="T2196" s="33" t="s">
        <v>29705</v>
      </c>
      <c r="U2196" s="33" t="s">
        <v>26572</v>
      </c>
      <c r="V2196" s="33" t="s">
        <v>26573</v>
      </c>
      <c r="Y2196" s="33" t="s">
        <v>42476</v>
      </c>
      <c r="Z2196" s="33" t="s">
        <v>42966</v>
      </c>
      <c r="AA2196" s="33">
        <v>5471</v>
      </c>
    </row>
    <row r="2197" spans="1:27" ht="12" customHeight="1" x14ac:dyDescent="0.15">
      <c r="A2197" s="33" t="s">
        <v>31967</v>
      </c>
      <c r="B2197" s="33">
        <v>36</v>
      </c>
      <c r="C2197" s="33" t="s">
        <v>14</v>
      </c>
      <c r="D2197" s="33" t="s">
        <v>31</v>
      </c>
      <c r="E2197" s="42" t="s">
        <v>31968</v>
      </c>
      <c r="F2197" s="67">
        <v>43112</v>
      </c>
      <c r="G2197" s="33" t="s">
        <v>31969</v>
      </c>
      <c r="H2197" s="33" t="s">
        <v>31970</v>
      </c>
      <c r="I2197" s="33" t="s">
        <v>106</v>
      </c>
      <c r="J2197" s="33">
        <v>97523</v>
      </c>
      <c r="K2197" s="33" t="s">
        <v>1435</v>
      </c>
      <c r="L2197" s="33" t="s">
        <v>32212</v>
      </c>
      <c r="M2197" s="33" t="s">
        <v>21</v>
      </c>
      <c r="N2197" s="33" t="s">
        <v>31971</v>
      </c>
      <c r="O2197" s="33" t="s">
        <v>31972</v>
      </c>
      <c r="P2197" s="33" t="s">
        <v>30089</v>
      </c>
      <c r="Q2197" s="42" t="s">
        <v>31973</v>
      </c>
      <c r="R2197" s="33" t="s">
        <v>94</v>
      </c>
      <c r="S2197" s="33" t="s">
        <v>22</v>
      </c>
      <c r="T2197" s="33" t="s">
        <v>26781</v>
      </c>
      <c r="U2197" s="33" t="s">
        <v>26572</v>
      </c>
      <c r="V2197" s="33" t="s">
        <v>26573</v>
      </c>
      <c r="X2197" s="33">
        <v>4243</v>
      </c>
      <c r="Z2197" s="33" t="s">
        <v>42967</v>
      </c>
      <c r="AA2197" s="33">
        <v>5469</v>
      </c>
    </row>
    <row r="2198" spans="1:27" ht="12" customHeight="1" x14ac:dyDescent="0.15">
      <c r="A2198" s="33" t="s">
        <v>31952</v>
      </c>
      <c r="B2198" s="33">
        <v>36</v>
      </c>
      <c r="C2198" s="33" t="s">
        <v>14</v>
      </c>
      <c r="D2198" s="33" t="s">
        <v>42</v>
      </c>
      <c r="E2198" s="42"/>
      <c r="F2198" s="67">
        <v>43112</v>
      </c>
      <c r="G2198" s="33" t="s">
        <v>31953</v>
      </c>
      <c r="H2198" s="33" t="s">
        <v>28250</v>
      </c>
      <c r="I2198" s="33" t="s">
        <v>282</v>
      </c>
      <c r="J2198" s="33">
        <v>98371</v>
      </c>
      <c r="K2198" s="33" t="s">
        <v>827</v>
      </c>
      <c r="L2198" s="33" t="s">
        <v>32211</v>
      </c>
      <c r="M2198" s="33" t="s">
        <v>21</v>
      </c>
      <c r="N2198" s="33" t="s">
        <v>31954</v>
      </c>
      <c r="O2198" s="33" t="s">
        <v>372</v>
      </c>
      <c r="P2198" s="33" t="s">
        <v>30089</v>
      </c>
      <c r="Q2198" s="42" t="s">
        <v>31955</v>
      </c>
      <c r="R2198" s="33" t="s">
        <v>94</v>
      </c>
      <c r="S2198" s="33" t="s">
        <v>22</v>
      </c>
      <c r="T2198" s="33" t="s">
        <v>26781</v>
      </c>
      <c r="U2198" s="33" t="s">
        <v>26572</v>
      </c>
      <c r="V2198" s="33" t="s">
        <v>26571</v>
      </c>
      <c r="W2198" s="33" t="s">
        <v>94</v>
      </c>
      <c r="X2198" s="33">
        <v>3317</v>
      </c>
      <c r="Z2198" s="33" t="s">
        <v>42968</v>
      </c>
      <c r="AA2198" s="33">
        <v>5468</v>
      </c>
    </row>
    <row r="2199" spans="1:27" ht="12" customHeight="1" x14ac:dyDescent="0.15">
      <c r="A2199" s="33" t="s">
        <v>31962</v>
      </c>
      <c r="B2199" s="33">
        <v>54</v>
      </c>
      <c r="C2199" s="33" t="s">
        <v>14</v>
      </c>
      <c r="D2199" s="33" t="s">
        <v>31</v>
      </c>
      <c r="E2199" s="42" t="s">
        <v>31963</v>
      </c>
      <c r="F2199" s="67">
        <v>43112</v>
      </c>
      <c r="G2199" s="33" t="s">
        <v>31964</v>
      </c>
      <c r="H2199" s="33" t="s">
        <v>24589</v>
      </c>
      <c r="I2199" s="33" t="s">
        <v>106</v>
      </c>
      <c r="J2199" s="33">
        <v>97140</v>
      </c>
      <c r="K2199" s="33" t="s">
        <v>107</v>
      </c>
      <c r="L2199" s="33" t="s">
        <v>108</v>
      </c>
      <c r="M2199" s="33" t="s">
        <v>21</v>
      </c>
      <c r="N2199" s="33" t="s">
        <v>31965</v>
      </c>
      <c r="O2199" s="33" t="s">
        <v>372</v>
      </c>
      <c r="P2199" s="33" t="s">
        <v>30089</v>
      </c>
      <c r="Q2199" s="42" t="s">
        <v>31966</v>
      </c>
      <c r="R2199" s="33" t="s">
        <v>23</v>
      </c>
      <c r="S2199" s="33" t="s">
        <v>22</v>
      </c>
      <c r="T2199" s="33" t="s">
        <v>26781</v>
      </c>
      <c r="U2199" s="33" t="s">
        <v>26572</v>
      </c>
      <c r="V2199" s="33" t="s">
        <v>26571</v>
      </c>
      <c r="W2199" s="33" t="s">
        <v>94</v>
      </c>
      <c r="X2199" s="33">
        <v>3315</v>
      </c>
      <c r="Z2199" s="33" t="s">
        <v>42968</v>
      </c>
      <c r="AA2199" s="33">
        <v>5466</v>
      </c>
    </row>
    <row r="2200" spans="1:27" ht="12" customHeight="1" x14ac:dyDescent="0.15">
      <c r="A2200" s="33" t="s">
        <v>31974</v>
      </c>
      <c r="B2200" s="33">
        <v>42</v>
      </c>
      <c r="C2200" s="33" t="s">
        <v>14</v>
      </c>
      <c r="D2200" s="33" t="s">
        <v>31</v>
      </c>
      <c r="E2200" s="42"/>
      <c r="F2200" s="67">
        <v>43112</v>
      </c>
      <c r="G2200" s="33" t="s">
        <v>31975</v>
      </c>
      <c r="H2200" s="33" t="s">
        <v>29107</v>
      </c>
      <c r="I2200" s="33" t="s">
        <v>338</v>
      </c>
      <c r="J2200" s="33">
        <v>28078</v>
      </c>
      <c r="K2200" s="33" t="s">
        <v>3857</v>
      </c>
      <c r="L2200" s="33" t="s">
        <v>29108</v>
      </c>
      <c r="M2200" s="33" t="s">
        <v>21</v>
      </c>
      <c r="N2200" s="33" t="s">
        <v>31976</v>
      </c>
      <c r="O2200" s="33" t="s">
        <v>372</v>
      </c>
      <c r="P2200" s="33" t="s">
        <v>30089</v>
      </c>
      <c r="Q2200" s="42" t="s">
        <v>31977</v>
      </c>
      <c r="R2200" s="33" t="s">
        <v>94</v>
      </c>
      <c r="S2200" s="33" t="s">
        <v>29</v>
      </c>
      <c r="T2200" s="33" t="s">
        <v>26575</v>
      </c>
      <c r="U2200" s="33" t="s">
        <v>26570</v>
      </c>
      <c r="V2200" s="33" t="s">
        <v>26573</v>
      </c>
      <c r="W2200" s="33" t="s">
        <v>94</v>
      </c>
      <c r="X2200" s="33">
        <v>3307</v>
      </c>
      <c r="Z2200" s="33" t="s">
        <v>42968</v>
      </c>
      <c r="AA2200" s="33">
        <v>5470</v>
      </c>
    </row>
    <row r="2201" spans="1:27" ht="12" customHeight="1" x14ac:dyDescent="0.15">
      <c r="A2201" s="33" t="s">
        <v>31948</v>
      </c>
      <c r="B2201" s="33">
        <v>22</v>
      </c>
      <c r="C2201" s="33" t="s">
        <v>14</v>
      </c>
      <c r="D2201" s="33" t="s">
        <v>79</v>
      </c>
      <c r="E2201" s="42"/>
      <c r="F2201" s="67">
        <v>43112</v>
      </c>
      <c r="G2201" s="33" t="s">
        <v>31949</v>
      </c>
      <c r="H2201" s="33" t="s">
        <v>1202</v>
      </c>
      <c r="I2201" s="33" t="s">
        <v>63</v>
      </c>
      <c r="J2201" s="33">
        <v>43232</v>
      </c>
      <c r="K2201" s="33" t="s">
        <v>1203</v>
      </c>
      <c r="L2201" s="33" t="s">
        <v>11441</v>
      </c>
      <c r="M2201" s="33" t="s">
        <v>21</v>
      </c>
      <c r="N2201" s="33" t="s">
        <v>31950</v>
      </c>
      <c r="O2201" s="33" t="s">
        <v>372</v>
      </c>
      <c r="P2201" s="33" t="s">
        <v>30089</v>
      </c>
      <c r="Q2201" s="42" t="s">
        <v>31951</v>
      </c>
      <c r="R2201" s="33" t="s">
        <v>94</v>
      </c>
      <c r="S2201" s="33" t="s">
        <v>22</v>
      </c>
      <c r="T2201" s="33" t="s">
        <v>26781</v>
      </c>
      <c r="U2201" s="33" t="s">
        <v>26570</v>
      </c>
      <c r="V2201" s="33" t="s">
        <v>26573</v>
      </c>
      <c r="W2201" s="33" t="s">
        <v>94</v>
      </c>
      <c r="X2201" s="33">
        <v>3316</v>
      </c>
      <c r="Z2201" s="33" t="s">
        <v>42968</v>
      </c>
      <c r="AA2201" s="33">
        <v>5467</v>
      </c>
    </row>
    <row r="2202" spans="1:27" ht="12" customHeight="1" x14ac:dyDescent="0.15">
      <c r="A2202" s="33" t="s">
        <v>31943</v>
      </c>
      <c r="B2202" s="33">
        <v>43</v>
      </c>
      <c r="C2202" s="33" t="s">
        <v>14</v>
      </c>
      <c r="D2202" s="33" t="s">
        <v>79</v>
      </c>
      <c r="E2202" s="42" t="s">
        <v>31944</v>
      </c>
      <c r="F2202" s="67">
        <v>43112</v>
      </c>
      <c r="G2202" s="33" t="s">
        <v>31945</v>
      </c>
      <c r="H2202" s="33" t="s">
        <v>12903</v>
      </c>
      <c r="I2202" s="33" t="s">
        <v>39</v>
      </c>
      <c r="J2202" s="33">
        <v>94565</v>
      </c>
      <c r="K2202" s="33" t="s">
        <v>4146</v>
      </c>
      <c r="L2202" s="33" t="s">
        <v>23401</v>
      </c>
      <c r="M2202" s="33" t="s">
        <v>21</v>
      </c>
      <c r="N2202" s="33" t="s">
        <v>31946</v>
      </c>
      <c r="O2202" s="33" t="s">
        <v>372</v>
      </c>
      <c r="P2202" s="33" t="s">
        <v>30089</v>
      </c>
      <c r="Q2202" s="42" t="s">
        <v>31947</v>
      </c>
      <c r="R2202" s="33" t="s">
        <v>94</v>
      </c>
      <c r="S2202" s="33" t="s">
        <v>22</v>
      </c>
      <c r="T2202" s="33" t="s">
        <v>26781</v>
      </c>
      <c r="U2202" s="33" t="s">
        <v>26570</v>
      </c>
      <c r="V2202" s="33" t="s">
        <v>26573</v>
      </c>
      <c r="W2202" s="33" t="s">
        <v>94</v>
      </c>
      <c r="X2202" s="33">
        <v>3313</v>
      </c>
      <c r="Z2202" s="33" t="s">
        <v>42968</v>
      </c>
      <c r="AA2202" s="33">
        <v>5464</v>
      </c>
    </row>
    <row r="2203" spans="1:27" ht="12" customHeight="1" x14ac:dyDescent="0.15">
      <c r="A2203" s="33" t="s">
        <v>31956</v>
      </c>
      <c r="B2203" s="33">
        <v>39</v>
      </c>
      <c r="C2203" s="33" t="s">
        <v>14</v>
      </c>
      <c r="D2203" s="33" t="s">
        <v>31</v>
      </c>
      <c r="E2203" s="42" t="s">
        <v>31957</v>
      </c>
      <c r="F2203" s="67">
        <v>43112</v>
      </c>
      <c r="G2203" s="33" t="s">
        <v>31958</v>
      </c>
      <c r="H2203" s="33" t="s">
        <v>1203</v>
      </c>
      <c r="I2203" s="33" t="s">
        <v>294</v>
      </c>
      <c r="J2203" s="33">
        <v>42134</v>
      </c>
      <c r="K2203" s="33" t="s">
        <v>31959</v>
      </c>
      <c r="L2203" s="33" t="s">
        <v>32213</v>
      </c>
      <c r="M2203" s="33" t="s">
        <v>21</v>
      </c>
      <c r="N2203" s="33" t="s">
        <v>31960</v>
      </c>
      <c r="O2203" s="33" t="s">
        <v>372</v>
      </c>
      <c r="P2203" s="33" t="s">
        <v>30089</v>
      </c>
      <c r="Q2203" s="42" t="s">
        <v>31961</v>
      </c>
      <c r="R2203" s="33" t="s">
        <v>94</v>
      </c>
      <c r="S2203" s="33" t="s">
        <v>22</v>
      </c>
      <c r="T2203" s="33" t="s">
        <v>26781</v>
      </c>
      <c r="U2203" s="33" t="s">
        <v>26570</v>
      </c>
      <c r="V2203" s="33" t="s">
        <v>26573</v>
      </c>
      <c r="W2203" s="33" t="s">
        <v>94</v>
      </c>
      <c r="X2203" s="33">
        <v>3314</v>
      </c>
      <c r="Z2203" s="33" t="s">
        <v>42967</v>
      </c>
      <c r="AA2203" s="33">
        <v>5465</v>
      </c>
    </row>
    <row r="2204" spans="1:27" ht="12" customHeight="1" x14ac:dyDescent="0.15">
      <c r="A2204" s="33" t="s">
        <v>31983</v>
      </c>
      <c r="B2204" s="33">
        <v>31</v>
      </c>
      <c r="C2204" s="33" t="s">
        <v>14</v>
      </c>
      <c r="D2204" s="33" t="s">
        <v>31</v>
      </c>
      <c r="E2204" s="42"/>
      <c r="F2204" s="67">
        <v>43111</v>
      </c>
      <c r="G2204" s="33" t="s">
        <v>31984</v>
      </c>
      <c r="H2204" s="33" t="s">
        <v>31985</v>
      </c>
      <c r="I2204" s="33" t="s">
        <v>250</v>
      </c>
      <c r="J2204" s="33">
        <v>89815</v>
      </c>
      <c r="K2204" s="33" t="s">
        <v>5246</v>
      </c>
      <c r="L2204" s="33" t="s">
        <v>32214</v>
      </c>
      <c r="M2204" s="33" t="s">
        <v>21</v>
      </c>
      <c r="N2204" s="33" t="s">
        <v>31986</v>
      </c>
      <c r="O2204" s="33" t="s">
        <v>372</v>
      </c>
      <c r="P2204" s="33" t="s">
        <v>30089</v>
      </c>
      <c r="Q2204" s="42" t="s">
        <v>31987</v>
      </c>
      <c r="R2204" s="33" t="s">
        <v>94</v>
      </c>
      <c r="S2204" s="33" t="s">
        <v>22</v>
      </c>
      <c r="T2204" s="33" t="s">
        <v>26781</v>
      </c>
      <c r="U2204" s="33" t="s">
        <v>26570</v>
      </c>
      <c r="V2204" s="33" t="s">
        <v>26573</v>
      </c>
      <c r="W2204" s="33" t="s">
        <v>94</v>
      </c>
      <c r="X2204" s="33">
        <v>3308</v>
      </c>
      <c r="Z2204" s="33" t="s">
        <v>42967</v>
      </c>
      <c r="AA2204" s="33">
        <v>5462</v>
      </c>
    </row>
    <row r="2205" spans="1:27" ht="12" customHeight="1" x14ac:dyDescent="0.15">
      <c r="A2205" s="33" t="s">
        <v>31988</v>
      </c>
      <c r="B2205" s="33">
        <v>60</v>
      </c>
      <c r="C2205" s="33" t="s">
        <v>14</v>
      </c>
      <c r="D2205" s="33" t="s">
        <v>42</v>
      </c>
      <c r="E2205" s="42"/>
      <c r="F2205" s="67">
        <v>43111</v>
      </c>
      <c r="G2205" s="33" t="s">
        <v>31989</v>
      </c>
      <c r="H2205" s="33" t="s">
        <v>870</v>
      </c>
      <c r="I2205" s="33" t="s">
        <v>67</v>
      </c>
      <c r="J2205" s="33">
        <v>76110</v>
      </c>
      <c r="K2205" s="33" t="s">
        <v>68</v>
      </c>
      <c r="L2205" s="33" t="s">
        <v>871</v>
      </c>
      <c r="M2205" s="33" t="s">
        <v>21</v>
      </c>
      <c r="N2205" s="33" t="s">
        <v>31990</v>
      </c>
      <c r="O2205" s="33" t="s">
        <v>372</v>
      </c>
      <c r="P2205" s="33" t="s">
        <v>30089</v>
      </c>
      <c r="Q2205" s="42" t="s">
        <v>31991</v>
      </c>
      <c r="R2205" s="33" t="s">
        <v>94</v>
      </c>
      <c r="S2205" s="33" t="s">
        <v>22</v>
      </c>
      <c r="T2205" s="33" t="s">
        <v>26781</v>
      </c>
      <c r="U2205" s="33" t="s">
        <v>26572</v>
      </c>
      <c r="W2205" s="33" t="s">
        <v>94</v>
      </c>
      <c r="X2205" s="33">
        <v>3302</v>
      </c>
      <c r="Z2205" s="33" t="s">
        <v>42966</v>
      </c>
      <c r="AA2205" s="33">
        <v>5460</v>
      </c>
    </row>
    <row r="2206" spans="1:27" ht="12" customHeight="1" x14ac:dyDescent="0.15">
      <c r="A2206" s="33" t="s">
        <v>31992</v>
      </c>
      <c r="B2206" s="33">
        <v>44</v>
      </c>
      <c r="C2206" s="33" t="s">
        <v>14</v>
      </c>
      <c r="D2206" s="33" t="s">
        <v>31</v>
      </c>
      <c r="E2206" s="42" t="s">
        <v>31993</v>
      </c>
      <c r="F2206" s="67">
        <v>43111</v>
      </c>
      <c r="G2206" s="33" t="s">
        <v>31994</v>
      </c>
      <c r="H2206" s="33" t="s">
        <v>947</v>
      </c>
      <c r="I2206" s="33" t="s">
        <v>26</v>
      </c>
      <c r="J2206" s="33">
        <v>29053</v>
      </c>
      <c r="K2206" s="33" t="s">
        <v>947</v>
      </c>
      <c r="L2206" s="33" t="s">
        <v>2514</v>
      </c>
      <c r="M2206" s="33" t="s">
        <v>21</v>
      </c>
      <c r="N2206" s="33" t="s">
        <v>31995</v>
      </c>
      <c r="O2206" s="33" t="s">
        <v>372</v>
      </c>
      <c r="P2206" s="33" t="s">
        <v>30089</v>
      </c>
      <c r="Q2206" s="42" t="s">
        <v>31996</v>
      </c>
      <c r="R2206" s="33" t="s">
        <v>94</v>
      </c>
      <c r="S2206" s="33" t="s">
        <v>22</v>
      </c>
      <c r="T2206" s="33" t="s">
        <v>26781</v>
      </c>
      <c r="U2206" s="33" t="s">
        <v>26572</v>
      </c>
      <c r="V2206" s="33" t="s">
        <v>26571</v>
      </c>
      <c r="W2206" s="33" t="s">
        <v>94</v>
      </c>
      <c r="X2206" s="33">
        <v>3304</v>
      </c>
      <c r="Z2206" s="33" t="s">
        <v>42967</v>
      </c>
      <c r="AA2206" s="33">
        <v>5461</v>
      </c>
    </row>
    <row r="2207" spans="1:27" ht="12" customHeight="1" x14ac:dyDescent="0.15">
      <c r="A2207" s="33" t="s">
        <v>31978</v>
      </c>
      <c r="B2207" s="33">
        <v>23</v>
      </c>
      <c r="C2207" s="33" t="s">
        <v>14</v>
      </c>
      <c r="D2207" s="33" t="s">
        <v>79</v>
      </c>
      <c r="E2207" s="42" t="s">
        <v>31979</v>
      </c>
      <c r="F2207" s="67">
        <v>43111</v>
      </c>
      <c r="G2207" s="33" t="s">
        <v>31980</v>
      </c>
      <c r="H2207" s="33" t="s">
        <v>3855</v>
      </c>
      <c r="I2207" s="33" t="s">
        <v>338</v>
      </c>
      <c r="J2207" s="33">
        <v>28202</v>
      </c>
      <c r="K2207" s="33" t="s">
        <v>3857</v>
      </c>
      <c r="L2207" s="33" t="s">
        <v>3858</v>
      </c>
      <c r="M2207" s="33" t="s">
        <v>21</v>
      </c>
      <c r="N2207" s="33" t="s">
        <v>31981</v>
      </c>
      <c r="O2207" s="33" t="s">
        <v>372</v>
      </c>
      <c r="P2207" s="33" t="s">
        <v>30089</v>
      </c>
      <c r="Q2207" s="42" t="s">
        <v>31982</v>
      </c>
      <c r="R2207" s="33" t="s">
        <v>94</v>
      </c>
      <c r="S2207" s="33" t="s">
        <v>22</v>
      </c>
      <c r="T2207" s="33" t="s">
        <v>26781</v>
      </c>
      <c r="U2207" s="33" t="s">
        <v>26572</v>
      </c>
      <c r="V2207" s="33" t="s">
        <v>26573</v>
      </c>
      <c r="X2207" s="33">
        <v>4242</v>
      </c>
      <c r="Z2207" s="33" t="s">
        <v>42966</v>
      </c>
      <c r="AA2207" s="33">
        <v>5463</v>
      </c>
    </row>
    <row r="2208" spans="1:27" ht="12" customHeight="1" x14ac:dyDescent="0.15">
      <c r="A2208" s="33" t="s">
        <v>31997</v>
      </c>
      <c r="B2208" s="33">
        <v>21</v>
      </c>
      <c r="C2208" s="33" t="s">
        <v>14</v>
      </c>
      <c r="D2208" s="33" t="s">
        <v>79</v>
      </c>
      <c r="E2208" s="42"/>
      <c r="F2208" s="67">
        <v>43110</v>
      </c>
      <c r="G2208" s="33" t="s">
        <v>31998</v>
      </c>
      <c r="H2208" s="33" t="s">
        <v>5722</v>
      </c>
      <c r="I2208" s="33" t="s">
        <v>39</v>
      </c>
      <c r="J2208" s="33">
        <v>93552</v>
      </c>
      <c r="K2208" s="33" t="s">
        <v>92</v>
      </c>
      <c r="L2208" s="33" t="s">
        <v>32215</v>
      </c>
      <c r="M2208" s="33" t="s">
        <v>21</v>
      </c>
      <c r="N2208" s="33" t="s">
        <v>31999</v>
      </c>
      <c r="O2208" s="33" t="s">
        <v>372</v>
      </c>
      <c r="P2208" s="33" t="s">
        <v>30089</v>
      </c>
      <c r="Q2208" s="42" t="s">
        <v>32000</v>
      </c>
      <c r="R2208" s="33" t="s">
        <v>94</v>
      </c>
      <c r="S2208" s="33" t="s">
        <v>29</v>
      </c>
      <c r="T2208" s="33" t="s">
        <v>26575</v>
      </c>
      <c r="U2208" s="33" t="s">
        <v>26570</v>
      </c>
      <c r="V2208" s="33" t="s">
        <v>26571</v>
      </c>
      <c r="W2208" s="33" t="s">
        <v>94</v>
      </c>
      <c r="X2208" s="33">
        <v>3301</v>
      </c>
      <c r="Z2208" s="33" t="s">
        <v>42968</v>
      </c>
      <c r="AA2208" s="33">
        <v>5459</v>
      </c>
    </row>
    <row r="2209" spans="1:27" ht="12" customHeight="1" x14ac:dyDescent="0.15">
      <c r="A2209" s="33" t="s">
        <v>32001</v>
      </c>
      <c r="B2209" s="33">
        <v>27</v>
      </c>
      <c r="C2209" s="33" t="s">
        <v>14</v>
      </c>
      <c r="D2209" s="33" t="s">
        <v>15</v>
      </c>
      <c r="E2209" s="42"/>
      <c r="F2209" s="67">
        <v>43109</v>
      </c>
      <c r="G2209" s="33" t="s">
        <v>32002</v>
      </c>
      <c r="H2209" s="33" t="s">
        <v>560</v>
      </c>
      <c r="I2209" s="33" t="s">
        <v>39</v>
      </c>
      <c r="J2209" s="33">
        <v>95141</v>
      </c>
      <c r="K2209" s="33" t="s">
        <v>561</v>
      </c>
      <c r="L2209" s="33" t="s">
        <v>678</v>
      </c>
      <c r="M2209" s="33" t="s">
        <v>21</v>
      </c>
      <c r="N2209" s="33" t="s">
        <v>32003</v>
      </c>
      <c r="O2209" s="33" t="s">
        <v>372</v>
      </c>
      <c r="P2209" s="33" t="s">
        <v>30089</v>
      </c>
      <c r="Q2209" s="42" t="s">
        <v>32004</v>
      </c>
      <c r="R2209" s="33" t="s">
        <v>512</v>
      </c>
      <c r="S2209" s="33" t="s">
        <v>22</v>
      </c>
      <c r="T2209" s="33" t="s">
        <v>27020</v>
      </c>
      <c r="U2209" s="33" t="s">
        <v>26570</v>
      </c>
      <c r="V2209" s="33" t="s">
        <v>26573</v>
      </c>
      <c r="W2209" s="33" t="s">
        <v>512</v>
      </c>
      <c r="X2209" s="33">
        <v>3300</v>
      </c>
      <c r="Z2209" s="33" t="e">
        <v>#N/A</v>
      </c>
      <c r="AA2209" s="33">
        <v>5458</v>
      </c>
    </row>
    <row r="2210" spans="1:27" ht="12" customHeight="1" x14ac:dyDescent="0.15">
      <c r="A2210" s="33" t="s">
        <v>32005</v>
      </c>
      <c r="B2210" s="33">
        <v>46</v>
      </c>
      <c r="C2210" s="33" t="s">
        <v>14</v>
      </c>
      <c r="D2210" s="33" t="s">
        <v>42</v>
      </c>
      <c r="E2210" s="42"/>
      <c r="F2210" s="67">
        <v>43108</v>
      </c>
      <c r="G2210" s="33" t="s">
        <v>32006</v>
      </c>
      <c r="H2210" s="33" t="s">
        <v>92</v>
      </c>
      <c r="I2210" s="33" t="s">
        <v>39</v>
      </c>
      <c r="J2210" s="33">
        <v>90003</v>
      </c>
      <c r="K2210" s="33" t="s">
        <v>92</v>
      </c>
      <c r="L2210" s="33" t="s">
        <v>93</v>
      </c>
      <c r="M2210" s="33" t="s">
        <v>21</v>
      </c>
      <c r="N2210" s="33" t="s">
        <v>32007</v>
      </c>
      <c r="O2210" s="33" t="s">
        <v>372</v>
      </c>
      <c r="P2210" s="33" t="s">
        <v>30089</v>
      </c>
      <c r="Q2210" s="42" t="s">
        <v>32008</v>
      </c>
      <c r="R2210" s="33" t="s">
        <v>23</v>
      </c>
      <c r="S2210" s="33" t="s">
        <v>22</v>
      </c>
      <c r="T2210" s="33" t="s">
        <v>26781</v>
      </c>
      <c r="U2210" s="33" t="s">
        <v>26570</v>
      </c>
      <c r="W2210" s="33" t="s">
        <v>94</v>
      </c>
      <c r="X2210" s="33">
        <v>3299</v>
      </c>
      <c r="Z2210" s="33" t="s">
        <v>42966</v>
      </c>
      <c r="AA2210" s="33">
        <v>5456</v>
      </c>
    </row>
    <row r="2211" spans="1:27" ht="12" customHeight="1" x14ac:dyDescent="0.15">
      <c r="A2211" s="33" t="s">
        <v>32013</v>
      </c>
      <c r="B2211" s="33">
        <v>25</v>
      </c>
      <c r="C2211" s="33" t="s">
        <v>14</v>
      </c>
      <c r="D2211" s="33" t="s">
        <v>31</v>
      </c>
      <c r="E2211" s="42"/>
      <c r="F2211" s="67">
        <v>43108</v>
      </c>
      <c r="G2211" s="33" t="s">
        <v>32014</v>
      </c>
      <c r="H2211" s="33" t="s">
        <v>31352</v>
      </c>
      <c r="I2211" s="33" t="s">
        <v>298</v>
      </c>
      <c r="J2211" s="33">
        <v>37642</v>
      </c>
      <c r="K2211" s="33" t="s">
        <v>29907</v>
      </c>
      <c r="L2211" s="33" t="s">
        <v>32174</v>
      </c>
      <c r="M2211" s="33" t="s">
        <v>21</v>
      </c>
      <c r="N2211" s="33" t="s">
        <v>32015</v>
      </c>
      <c r="O2211" s="33" t="s">
        <v>372</v>
      </c>
      <c r="P2211" s="33" t="s">
        <v>30089</v>
      </c>
      <c r="Q2211" s="42" t="s">
        <v>32016</v>
      </c>
      <c r="R2211" s="33" t="s">
        <v>94</v>
      </c>
      <c r="S2211" s="33" t="s">
        <v>22</v>
      </c>
      <c r="T2211" s="33" t="s">
        <v>26781</v>
      </c>
      <c r="U2211" s="33" t="s">
        <v>26570</v>
      </c>
      <c r="V2211" s="33" t="s">
        <v>26573</v>
      </c>
      <c r="W2211" s="33" t="s">
        <v>94</v>
      </c>
      <c r="X2211" s="33">
        <v>3297</v>
      </c>
      <c r="Z2211" s="33" t="s">
        <v>42968</v>
      </c>
      <c r="AA2211" s="33">
        <v>5455</v>
      </c>
    </row>
    <row r="2212" spans="1:27" ht="12" customHeight="1" x14ac:dyDescent="0.15">
      <c r="A2212" s="33" t="s">
        <v>3002</v>
      </c>
      <c r="B2212" s="33" t="s">
        <v>23</v>
      </c>
      <c r="C2212" s="33" t="s">
        <v>14</v>
      </c>
      <c r="D2212" s="33" t="s">
        <v>30751</v>
      </c>
      <c r="E2212" s="42"/>
      <c r="F2212" s="67">
        <v>43108</v>
      </c>
      <c r="G2212" s="33" t="s">
        <v>32009</v>
      </c>
      <c r="H2212" s="33" t="s">
        <v>32010</v>
      </c>
      <c r="I2212" s="33" t="s">
        <v>621</v>
      </c>
      <c r="J2212" s="33">
        <v>38637</v>
      </c>
      <c r="K2212" s="33" t="s">
        <v>1107</v>
      </c>
      <c r="L2212" s="33" t="s">
        <v>32216</v>
      </c>
      <c r="M2212" s="33" t="s">
        <v>21</v>
      </c>
      <c r="N2212" s="33" t="s">
        <v>32011</v>
      </c>
      <c r="O2212" s="33" t="s">
        <v>372</v>
      </c>
      <c r="P2212" s="33" t="s">
        <v>30089</v>
      </c>
      <c r="Q2212" s="42" t="s">
        <v>32012</v>
      </c>
      <c r="R2212" s="33" t="s">
        <v>94</v>
      </c>
      <c r="S2212" s="33" t="s">
        <v>22</v>
      </c>
      <c r="T2212" s="33" t="s">
        <v>26781</v>
      </c>
      <c r="U2212" s="33" t="s">
        <v>26572</v>
      </c>
      <c r="V2212" s="33" t="s">
        <v>26571</v>
      </c>
      <c r="W2212" s="33" t="s">
        <v>94</v>
      </c>
      <c r="X2212" s="33">
        <v>3273</v>
      </c>
      <c r="Z2212" s="33" t="s">
        <v>42968</v>
      </c>
      <c r="AA2212" s="33">
        <v>5454</v>
      </c>
    </row>
    <row r="2213" spans="1:27" ht="12" customHeight="1" x14ac:dyDescent="0.15">
      <c r="A2213" s="33" t="s">
        <v>36970</v>
      </c>
      <c r="B2213" s="33">
        <v>20</v>
      </c>
      <c r="C2213" s="33" t="s">
        <v>14</v>
      </c>
      <c r="D2213" s="33" t="s">
        <v>79</v>
      </c>
      <c r="F2213" s="67">
        <v>43108</v>
      </c>
      <c r="G2213" s="10" t="s">
        <v>37013</v>
      </c>
      <c r="H2213" s="10" t="s">
        <v>401</v>
      </c>
      <c r="I2213" s="33" t="s">
        <v>402</v>
      </c>
      <c r="J2213" s="65">
        <v>64110</v>
      </c>
      <c r="K2213" s="10" t="s">
        <v>404</v>
      </c>
      <c r="L2213" s="10" t="s">
        <v>405</v>
      </c>
      <c r="M2213" s="33" t="s">
        <v>21</v>
      </c>
      <c r="N2213" s="10" t="s">
        <v>37028</v>
      </c>
      <c r="O2213" s="10" t="s">
        <v>372</v>
      </c>
      <c r="P2213" s="33" t="s">
        <v>30089</v>
      </c>
      <c r="Q2213" s="64" t="s">
        <v>37029</v>
      </c>
      <c r="R2213" s="33" t="s">
        <v>94</v>
      </c>
      <c r="S2213" s="33" t="s">
        <v>22</v>
      </c>
      <c r="T2213" s="36" t="s">
        <v>26781</v>
      </c>
      <c r="U2213" s="36" t="s">
        <v>26572</v>
      </c>
      <c r="V2213" s="36" t="s">
        <v>26574</v>
      </c>
      <c r="W2213" s="33" t="s">
        <v>94</v>
      </c>
      <c r="X2213" s="33">
        <v>4208</v>
      </c>
      <c r="Z2213" s="33" t="s">
        <v>42968</v>
      </c>
      <c r="AA2213" s="33">
        <v>5457</v>
      </c>
    </row>
    <row r="2214" spans="1:27" ht="12" customHeight="1" x14ac:dyDescent="0.15">
      <c r="A2214" s="33" t="s">
        <v>32017</v>
      </c>
      <c r="B2214" s="33">
        <v>17</v>
      </c>
      <c r="C2214" s="33" t="s">
        <v>14</v>
      </c>
      <c r="D2214" s="33" t="s">
        <v>79</v>
      </c>
      <c r="E2214" s="42" t="s">
        <v>32018</v>
      </c>
      <c r="F2214" s="67">
        <v>43107</v>
      </c>
      <c r="G2214" s="33" t="s">
        <v>32019</v>
      </c>
      <c r="H2214" s="33" t="s">
        <v>32020</v>
      </c>
      <c r="I2214" s="33" t="s">
        <v>918</v>
      </c>
      <c r="J2214" s="33">
        <v>72118</v>
      </c>
      <c r="K2214" s="33" t="s">
        <v>2312</v>
      </c>
      <c r="L2214" s="33" t="s">
        <v>10249</v>
      </c>
      <c r="M2214" s="33" t="s">
        <v>21</v>
      </c>
      <c r="N2214" s="33" t="s">
        <v>32021</v>
      </c>
      <c r="O2214" s="33" t="s">
        <v>372</v>
      </c>
      <c r="P2214" s="33" t="s">
        <v>30089</v>
      </c>
      <c r="Q2214" s="42" t="s">
        <v>32022</v>
      </c>
      <c r="R2214" s="33" t="s">
        <v>94</v>
      </c>
      <c r="S2214" s="33" t="s">
        <v>22</v>
      </c>
      <c r="T2214" s="33" t="s">
        <v>26781</v>
      </c>
      <c r="U2214" s="33" t="s">
        <v>26572</v>
      </c>
      <c r="V2214" s="33" t="s">
        <v>26573</v>
      </c>
      <c r="W2214" s="33" t="s">
        <v>94</v>
      </c>
      <c r="X2214" s="33">
        <v>3271</v>
      </c>
      <c r="Z2214" s="33" t="s">
        <v>42968</v>
      </c>
      <c r="AA2214" s="33">
        <v>5447</v>
      </c>
    </row>
    <row r="2215" spans="1:27" ht="12" customHeight="1" x14ac:dyDescent="0.15">
      <c r="A2215" s="33" t="s">
        <v>32050</v>
      </c>
      <c r="B2215" s="33">
        <v>24</v>
      </c>
      <c r="C2215" s="33" t="s">
        <v>14</v>
      </c>
      <c r="D2215" s="33" t="s">
        <v>42</v>
      </c>
      <c r="E2215" s="42"/>
      <c r="F2215" s="67">
        <v>43107</v>
      </c>
      <c r="G2215" s="33" t="s">
        <v>32051</v>
      </c>
      <c r="H2215" s="33" t="s">
        <v>866</v>
      </c>
      <c r="I2215" s="33" t="s">
        <v>178</v>
      </c>
      <c r="J2215" s="33">
        <v>87123</v>
      </c>
      <c r="K2215" s="33" t="s">
        <v>433</v>
      </c>
      <c r="L2215" s="33" t="s">
        <v>4562</v>
      </c>
      <c r="M2215" s="33" t="s">
        <v>21</v>
      </c>
      <c r="N2215" s="33" t="s">
        <v>32052</v>
      </c>
      <c r="O2215" s="33" t="s">
        <v>372</v>
      </c>
      <c r="P2215" s="33" t="s">
        <v>30089</v>
      </c>
      <c r="Q2215" s="42" t="s">
        <v>32053</v>
      </c>
      <c r="R2215" s="33" t="s">
        <v>94</v>
      </c>
      <c r="S2215" s="33" t="s">
        <v>22</v>
      </c>
      <c r="T2215" s="33" t="s">
        <v>32054</v>
      </c>
      <c r="U2215" s="33" t="s">
        <v>26570</v>
      </c>
      <c r="V2215" s="33" t="s">
        <v>26573</v>
      </c>
      <c r="W2215" s="33" t="s">
        <v>94</v>
      </c>
      <c r="X2215" s="33">
        <v>3268</v>
      </c>
      <c r="Z2215" s="33" t="s">
        <v>42968</v>
      </c>
      <c r="AA2215" s="33">
        <v>5453</v>
      </c>
    </row>
    <row r="2216" spans="1:27" ht="12" customHeight="1" x14ac:dyDescent="0.15">
      <c r="A2216" s="33" t="s">
        <v>32046</v>
      </c>
      <c r="B2216" s="33">
        <v>27</v>
      </c>
      <c r="C2216" s="33" t="s">
        <v>14</v>
      </c>
      <c r="D2216" s="33" t="s">
        <v>42</v>
      </c>
      <c r="E2216" s="42"/>
      <c r="F2216" s="67">
        <v>43107</v>
      </c>
      <c r="G2216" s="33" t="s">
        <v>32047</v>
      </c>
      <c r="H2216" s="33" t="s">
        <v>1817</v>
      </c>
      <c r="I2216" s="33" t="s">
        <v>39</v>
      </c>
      <c r="J2216" s="33">
        <v>93454</v>
      </c>
      <c r="K2216" s="33" t="s">
        <v>1819</v>
      </c>
      <c r="L2216" s="33" t="s">
        <v>1820</v>
      </c>
      <c r="M2216" s="33" t="s">
        <v>21</v>
      </c>
      <c r="N2216" s="33" t="s">
        <v>32048</v>
      </c>
      <c r="O2216" s="33" t="s">
        <v>372</v>
      </c>
      <c r="P2216" s="33" t="s">
        <v>30089</v>
      </c>
      <c r="Q2216" s="42" t="s">
        <v>32049</v>
      </c>
      <c r="R2216" s="33" t="s">
        <v>512</v>
      </c>
      <c r="S2216" s="33" t="s">
        <v>22</v>
      </c>
      <c r="T2216" s="33" t="s">
        <v>26774</v>
      </c>
      <c r="U2216" s="33" t="s">
        <v>26570</v>
      </c>
      <c r="V2216" s="33" t="s">
        <v>26573</v>
      </c>
      <c r="W2216" s="33" t="s">
        <v>94</v>
      </c>
      <c r="X2216" s="33">
        <v>3270</v>
      </c>
      <c r="Z2216" s="33" t="s">
        <v>42968</v>
      </c>
      <c r="AA2216" s="33">
        <v>5451</v>
      </c>
    </row>
    <row r="2217" spans="1:27" ht="12" customHeight="1" x14ac:dyDescent="0.15">
      <c r="A2217" s="33" t="s">
        <v>32023</v>
      </c>
      <c r="B2217" s="33">
        <v>38</v>
      </c>
      <c r="C2217" s="33" t="s">
        <v>14</v>
      </c>
      <c r="D2217" s="33" t="s">
        <v>79</v>
      </c>
      <c r="E2217" s="42"/>
      <c r="F2217" s="67">
        <v>43107</v>
      </c>
      <c r="G2217" s="33" t="s">
        <v>32024</v>
      </c>
      <c r="H2217" s="33" t="s">
        <v>2046</v>
      </c>
      <c r="I2217" s="33" t="s">
        <v>56</v>
      </c>
      <c r="J2217" s="33">
        <v>33309</v>
      </c>
      <c r="K2217" s="33" t="s">
        <v>1052</v>
      </c>
      <c r="L2217" s="33" t="s">
        <v>32217</v>
      </c>
      <c r="M2217" s="33" t="s">
        <v>21</v>
      </c>
      <c r="N2217" s="33" t="s">
        <v>32025</v>
      </c>
      <c r="O2217" s="33" t="s">
        <v>372</v>
      </c>
      <c r="P2217" s="33" t="s">
        <v>30089</v>
      </c>
      <c r="Q2217" s="42" t="s">
        <v>32026</v>
      </c>
      <c r="R2217" s="33" t="s">
        <v>94</v>
      </c>
      <c r="S2217" s="33" t="s">
        <v>22</v>
      </c>
      <c r="T2217" s="33" t="s">
        <v>26781</v>
      </c>
      <c r="U2217" s="33" t="s">
        <v>26570</v>
      </c>
      <c r="V2217" s="33" t="s">
        <v>26574</v>
      </c>
      <c r="W2217" s="33" t="s">
        <v>94</v>
      </c>
      <c r="X2217" s="33">
        <v>3269</v>
      </c>
      <c r="Z2217" s="33" t="s">
        <v>42968</v>
      </c>
      <c r="AA2217" s="33">
        <v>5446</v>
      </c>
    </row>
    <row r="2218" spans="1:27" ht="12" customHeight="1" x14ac:dyDescent="0.15">
      <c r="A2218" s="33" t="s">
        <v>32037</v>
      </c>
      <c r="B2218" s="33">
        <v>35</v>
      </c>
      <c r="C2218" s="33" t="s">
        <v>14</v>
      </c>
      <c r="D2218" s="33" t="s">
        <v>31</v>
      </c>
      <c r="E2218" s="42" t="s">
        <v>32038</v>
      </c>
      <c r="F2218" s="67">
        <v>43107</v>
      </c>
      <c r="G2218" s="33" t="s">
        <v>32039</v>
      </c>
      <c r="H2218" s="33" t="s">
        <v>10701</v>
      </c>
      <c r="I2218" s="33" t="s">
        <v>282</v>
      </c>
      <c r="J2218" s="33">
        <v>98387</v>
      </c>
      <c r="K2218" s="33" t="s">
        <v>827</v>
      </c>
      <c r="L2218" s="33" t="s">
        <v>19834</v>
      </c>
      <c r="M2218" s="33" t="s">
        <v>21</v>
      </c>
      <c r="N2218" s="33" t="s">
        <v>32040</v>
      </c>
      <c r="O2218" s="33" t="s">
        <v>372</v>
      </c>
      <c r="P2218" s="33" t="s">
        <v>30089</v>
      </c>
      <c r="Q2218" s="42" t="s">
        <v>32041</v>
      </c>
      <c r="R2218" s="33" t="s">
        <v>94</v>
      </c>
      <c r="S2218" s="33" t="s">
        <v>22</v>
      </c>
      <c r="T2218" s="33" t="s">
        <v>26781</v>
      </c>
      <c r="U2218" s="33" t="s">
        <v>26572</v>
      </c>
      <c r="V2218" s="33" t="s">
        <v>26574</v>
      </c>
      <c r="Z2218" s="33" t="s">
        <v>42968</v>
      </c>
      <c r="AA2218" s="33">
        <v>5450</v>
      </c>
    </row>
    <row r="2219" spans="1:27" ht="12" customHeight="1" x14ac:dyDescent="0.15">
      <c r="A2219" s="33" t="s">
        <v>32032</v>
      </c>
      <c r="B2219" s="33">
        <v>27</v>
      </c>
      <c r="C2219" s="33" t="s">
        <v>14</v>
      </c>
      <c r="D2219" s="33" t="s">
        <v>31</v>
      </c>
      <c r="E2219" s="42" t="s">
        <v>32033</v>
      </c>
      <c r="F2219" s="67">
        <v>43107</v>
      </c>
      <c r="G2219" s="33" t="s">
        <v>32034</v>
      </c>
      <c r="H2219" s="33" t="s">
        <v>826</v>
      </c>
      <c r="I2219" s="33" t="s">
        <v>282</v>
      </c>
      <c r="J2219" s="33">
        <v>98408</v>
      </c>
      <c r="K2219" s="33" t="s">
        <v>827</v>
      </c>
      <c r="L2219" s="33" t="s">
        <v>828</v>
      </c>
      <c r="M2219" s="33" t="s">
        <v>21</v>
      </c>
      <c r="N2219" s="33" t="s">
        <v>32035</v>
      </c>
      <c r="O2219" s="33" t="s">
        <v>372</v>
      </c>
      <c r="P2219" s="33" t="s">
        <v>30089</v>
      </c>
      <c r="Q2219" s="42" t="s">
        <v>32036</v>
      </c>
      <c r="R2219" s="33" t="s">
        <v>904</v>
      </c>
      <c r="S2219" s="33" t="s">
        <v>22</v>
      </c>
      <c r="T2219" s="33" t="s">
        <v>26781</v>
      </c>
      <c r="U2219" s="33" t="s">
        <v>26572</v>
      </c>
      <c r="V2219" s="33" t="s">
        <v>26573</v>
      </c>
      <c r="W2219" s="33" t="s">
        <v>94</v>
      </c>
      <c r="X2219" s="33">
        <v>3290</v>
      </c>
      <c r="Z2219" s="33" t="s">
        <v>42966</v>
      </c>
      <c r="AA2219" s="33">
        <v>5449</v>
      </c>
    </row>
    <row r="2220" spans="1:27" ht="12" customHeight="1" x14ac:dyDescent="0.15">
      <c r="A2220" s="33" t="s">
        <v>32042</v>
      </c>
      <c r="B2220" s="33">
        <v>21</v>
      </c>
      <c r="C2220" s="33" t="s">
        <v>14</v>
      </c>
      <c r="D2220" s="33" t="s">
        <v>128</v>
      </c>
      <c r="E2220" s="42"/>
      <c r="F2220" s="67">
        <v>43107</v>
      </c>
      <c r="G2220" s="33" t="s">
        <v>32043</v>
      </c>
      <c r="H2220" s="33" t="s">
        <v>11245</v>
      </c>
      <c r="I2220" s="33" t="s">
        <v>409</v>
      </c>
      <c r="J2220" s="33">
        <v>54656</v>
      </c>
      <c r="K2220" s="33" t="s">
        <v>1037</v>
      </c>
      <c r="L2220" s="33" t="s">
        <v>4752</v>
      </c>
      <c r="M2220" s="33" t="s">
        <v>21</v>
      </c>
      <c r="N2220" s="33" t="s">
        <v>32044</v>
      </c>
      <c r="O2220" s="33" t="s">
        <v>372</v>
      </c>
      <c r="P2220" s="33" t="s">
        <v>30089</v>
      </c>
      <c r="Q2220" s="42" t="s">
        <v>32045</v>
      </c>
      <c r="R2220" s="33" t="s">
        <v>94</v>
      </c>
      <c r="S2220" s="33" t="s">
        <v>22</v>
      </c>
      <c r="T2220" s="33" t="s">
        <v>26774</v>
      </c>
      <c r="U2220" s="33" t="s">
        <v>26570</v>
      </c>
      <c r="V2220" s="33" t="s">
        <v>26573</v>
      </c>
      <c r="W2220" s="33" t="s">
        <v>94</v>
      </c>
      <c r="X2220" s="33">
        <v>3280</v>
      </c>
      <c r="Z2220" s="33" t="s">
        <v>42967</v>
      </c>
      <c r="AA2220" s="33">
        <v>5452</v>
      </c>
    </row>
    <row r="2221" spans="1:27" ht="12" customHeight="1" x14ac:dyDescent="0.15">
      <c r="A2221" s="33" t="s">
        <v>32027</v>
      </c>
      <c r="B2221" s="33">
        <v>54</v>
      </c>
      <c r="C2221" s="33" t="s">
        <v>14</v>
      </c>
      <c r="D2221" s="33" t="s">
        <v>79</v>
      </c>
      <c r="E2221" s="42"/>
      <c r="F2221" s="67">
        <v>43107</v>
      </c>
      <c r="G2221" s="33" t="s">
        <v>32028</v>
      </c>
      <c r="H2221" s="33" t="s">
        <v>10392</v>
      </c>
      <c r="I2221" s="33" t="s">
        <v>225</v>
      </c>
      <c r="J2221" s="33">
        <v>24540</v>
      </c>
      <c r="K2221" s="33" t="s">
        <v>32029</v>
      </c>
      <c r="L2221" s="33" t="s">
        <v>10395</v>
      </c>
      <c r="M2221" s="33" t="s">
        <v>21</v>
      </c>
      <c r="N2221" s="33" t="s">
        <v>32030</v>
      </c>
      <c r="O2221" s="33" t="s">
        <v>372</v>
      </c>
      <c r="P2221" s="33" t="s">
        <v>30089</v>
      </c>
      <c r="Q2221" s="42" t="s">
        <v>32031</v>
      </c>
      <c r="R2221" s="33" t="s">
        <v>94</v>
      </c>
      <c r="S2221" s="33" t="s">
        <v>22</v>
      </c>
      <c r="T2221" s="33" t="s">
        <v>26781</v>
      </c>
      <c r="U2221" s="33" t="s">
        <v>26572</v>
      </c>
      <c r="V2221" s="33" t="s">
        <v>26573</v>
      </c>
      <c r="W2221" s="33" t="s">
        <v>94</v>
      </c>
      <c r="X2221" s="33">
        <v>3276</v>
      </c>
      <c r="Z2221" s="33" t="s">
        <v>42968</v>
      </c>
      <c r="AA2221" s="33">
        <v>5448</v>
      </c>
    </row>
    <row r="2222" spans="1:27" ht="12" customHeight="1" x14ac:dyDescent="0.15">
      <c r="A2222" s="33" t="s">
        <v>32068</v>
      </c>
      <c r="B2222" s="33">
        <v>62</v>
      </c>
      <c r="C2222" s="33" t="s">
        <v>14</v>
      </c>
      <c r="D2222" s="33" t="s">
        <v>30751</v>
      </c>
      <c r="E2222" s="42"/>
      <c r="F2222" s="67">
        <v>43106</v>
      </c>
      <c r="G2222" s="33" t="s">
        <v>32069</v>
      </c>
      <c r="H2222" s="33" t="s">
        <v>3809</v>
      </c>
      <c r="I2222" s="33" t="s">
        <v>88</v>
      </c>
      <c r="J2222" s="33">
        <v>35235</v>
      </c>
      <c r="K2222" s="33" t="s">
        <v>1659</v>
      </c>
      <c r="L2222" s="33" t="s">
        <v>1579</v>
      </c>
      <c r="M2222" s="33" t="s">
        <v>21</v>
      </c>
      <c r="N2222" s="33" t="s">
        <v>32070</v>
      </c>
      <c r="O2222" s="33" t="s">
        <v>372</v>
      </c>
      <c r="P2222" s="33" t="s">
        <v>30089</v>
      </c>
      <c r="Q2222" s="42" t="s">
        <v>32071</v>
      </c>
      <c r="R2222" s="33" t="s">
        <v>94</v>
      </c>
      <c r="S2222" s="33" t="s">
        <v>22</v>
      </c>
      <c r="T2222" s="33" t="s">
        <v>26781</v>
      </c>
      <c r="U2222" s="33" t="s">
        <v>26575</v>
      </c>
      <c r="V2222" s="33" t="s">
        <v>26573</v>
      </c>
      <c r="X2222" s="33">
        <v>4207</v>
      </c>
      <c r="Z2222" s="33" t="s">
        <v>42968</v>
      </c>
      <c r="AA2222" s="33">
        <v>5442</v>
      </c>
    </row>
    <row r="2223" spans="1:27" ht="12" customHeight="1" x14ac:dyDescent="0.15">
      <c r="A2223" s="33" t="s">
        <v>32078</v>
      </c>
      <c r="B2223" s="33">
        <v>40</v>
      </c>
      <c r="C2223" s="33" t="s">
        <v>14</v>
      </c>
      <c r="D2223" s="33" t="s">
        <v>79</v>
      </c>
      <c r="E2223" s="42" t="s">
        <v>32079</v>
      </c>
      <c r="F2223" s="67">
        <v>43106</v>
      </c>
      <c r="G2223" s="33" t="s">
        <v>32080</v>
      </c>
      <c r="H2223" s="33" t="s">
        <v>1831</v>
      </c>
      <c r="I2223" s="33" t="s">
        <v>178</v>
      </c>
      <c r="J2223" s="33">
        <v>87031</v>
      </c>
      <c r="K2223" s="33" t="s">
        <v>1833</v>
      </c>
      <c r="L2223" s="33" t="s">
        <v>32218</v>
      </c>
      <c r="M2223" s="33" t="s">
        <v>21</v>
      </c>
      <c r="N2223" s="33" t="s">
        <v>32081</v>
      </c>
      <c r="O2223" s="33" t="s">
        <v>372</v>
      </c>
      <c r="P2223" s="33" t="s">
        <v>30089</v>
      </c>
      <c r="Q2223" s="42" t="s">
        <v>32082</v>
      </c>
      <c r="R2223" s="33" t="s">
        <v>94</v>
      </c>
      <c r="S2223" s="33" t="s">
        <v>29</v>
      </c>
      <c r="T2223" s="33" t="s">
        <v>26575</v>
      </c>
      <c r="U2223" s="33" t="s">
        <v>26575</v>
      </c>
      <c r="W2223" s="33" t="s">
        <v>94</v>
      </c>
      <c r="X2223" s="33">
        <v>3282</v>
      </c>
      <c r="Z2223" s="33" t="s">
        <v>42967</v>
      </c>
      <c r="AA2223" s="33">
        <v>5444</v>
      </c>
    </row>
    <row r="2224" spans="1:27" ht="12" customHeight="1" x14ac:dyDescent="0.15">
      <c r="A2224" s="33" t="s">
        <v>32060</v>
      </c>
      <c r="B2224" s="33">
        <v>58</v>
      </c>
      <c r="C2224" s="33" t="s">
        <v>14</v>
      </c>
      <c r="D2224" s="33" t="s">
        <v>42</v>
      </c>
      <c r="E2224" s="42"/>
      <c r="F2224" s="67">
        <v>43106</v>
      </c>
      <c r="G2224" s="33" t="s">
        <v>32061</v>
      </c>
      <c r="H2224" s="33" t="s">
        <v>16885</v>
      </c>
      <c r="I2224" s="33" t="s">
        <v>56</v>
      </c>
      <c r="J2224" s="33">
        <v>33967</v>
      </c>
      <c r="K2224" s="33" t="s">
        <v>5086</v>
      </c>
      <c r="L2224" s="33" t="s">
        <v>7052</v>
      </c>
      <c r="M2224" s="33" t="s">
        <v>21</v>
      </c>
      <c r="N2224" s="33" t="s">
        <v>32062</v>
      </c>
      <c r="O2224" s="33" t="s">
        <v>372</v>
      </c>
      <c r="P2224" s="33" t="s">
        <v>30089</v>
      </c>
      <c r="Q2224" s="42" t="s">
        <v>32063</v>
      </c>
      <c r="R2224" s="33" t="s">
        <v>94</v>
      </c>
      <c r="S2224" s="33" t="s">
        <v>22</v>
      </c>
      <c r="T2224" s="33" t="s">
        <v>26781</v>
      </c>
      <c r="U2224" s="33" t="s">
        <v>26572</v>
      </c>
      <c r="V2224" s="33" t="s">
        <v>26573</v>
      </c>
      <c r="W2224" s="33" t="s">
        <v>94</v>
      </c>
      <c r="X2224" s="33">
        <v>3281</v>
      </c>
      <c r="Z2224" s="33" t="s">
        <v>42968</v>
      </c>
      <c r="AA2224" s="33">
        <v>5441</v>
      </c>
    </row>
    <row r="2225" spans="1:27" ht="12" customHeight="1" x14ac:dyDescent="0.15">
      <c r="A2225" s="33" t="s">
        <v>32055</v>
      </c>
      <c r="B2225" s="33">
        <v>39</v>
      </c>
      <c r="C2225" s="33" t="s">
        <v>14</v>
      </c>
      <c r="D2225" s="33" t="s">
        <v>31</v>
      </c>
      <c r="E2225" s="42"/>
      <c r="F2225" s="67">
        <v>43106</v>
      </c>
      <c r="G2225" s="33" t="s">
        <v>32056</v>
      </c>
      <c r="H2225" s="33" t="s">
        <v>32057</v>
      </c>
      <c r="I2225" s="33" t="s">
        <v>367</v>
      </c>
      <c r="J2225" s="33">
        <v>74851</v>
      </c>
      <c r="K2225" s="33" t="s">
        <v>2794</v>
      </c>
      <c r="L2225" s="33" t="s">
        <v>2795</v>
      </c>
      <c r="M2225" s="33" t="s">
        <v>21</v>
      </c>
      <c r="N2225" s="33" t="s">
        <v>32058</v>
      </c>
      <c r="O2225" s="33" t="s">
        <v>372</v>
      </c>
      <c r="P2225" s="33" t="s">
        <v>30089</v>
      </c>
      <c r="Q2225" s="42" t="s">
        <v>32059</v>
      </c>
      <c r="R2225" s="33" t="s">
        <v>94</v>
      </c>
      <c r="S2225" s="33" t="s">
        <v>22</v>
      </c>
      <c r="T2225" s="33" t="s">
        <v>26580</v>
      </c>
      <c r="U2225" s="33" t="s">
        <v>26570</v>
      </c>
      <c r="V2225" s="33" t="s">
        <v>26573</v>
      </c>
      <c r="W2225" s="33" t="s">
        <v>94</v>
      </c>
      <c r="X2225" s="33">
        <v>3272</v>
      </c>
      <c r="Z2225" s="33" t="s">
        <v>42967</v>
      </c>
      <c r="AA2225" s="33">
        <v>5439</v>
      </c>
    </row>
    <row r="2226" spans="1:27" ht="12" customHeight="1" x14ac:dyDescent="0.15">
      <c r="A2226" s="33" t="s">
        <v>32083</v>
      </c>
      <c r="B2226" s="33">
        <v>27</v>
      </c>
      <c r="C2226" s="33" t="s">
        <v>14</v>
      </c>
      <c r="D2226" s="33" t="s">
        <v>31</v>
      </c>
      <c r="E2226" s="42" t="s">
        <v>32084</v>
      </c>
      <c r="F2226" s="67">
        <v>43106</v>
      </c>
      <c r="G2226" s="33" t="s">
        <v>32085</v>
      </c>
      <c r="H2226" s="33" t="s">
        <v>1499</v>
      </c>
      <c r="I2226" s="33" t="s">
        <v>376</v>
      </c>
      <c r="J2226" s="33">
        <v>17404</v>
      </c>
      <c r="K2226" s="33" t="s">
        <v>1499</v>
      </c>
      <c r="L2226" s="33" t="s">
        <v>16182</v>
      </c>
      <c r="M2226" s="33" t="s">
        <v>21</v>
      </c>
      <c r="N2226" s="33" t="s">
        <v>32086</v>
      </c>
      <c r="O2226" s="33" t="s">
        <v>372</v>
      </c>
      <c r="P2226" s="33" t="s">
        <v>30089</v>
      </c>
      <c r="Q2226" s="42" t="s">
        <v>32087</v>
      </c>
      <c r="R2226" s="33" t="s">
        <v>94</v>
      </c>
      <c r="S2226" s="33" t="s">
        <v>351</v>
      </c>
      <c r="T2226" s="33" t="s">
        <v>26867</v>
      </c>
      <c r="U2226" s="33" t="s">
        <v>26570</v>
      </c>
      <c r="V2226" s="33" t="s">
        <v>26571</v>
      </c>
      <c r="W2226" s="33" t="s">
        <v>94</v>
      </c>
      <c r="X2226" s="33">
        <v>3285</v>
      </c>
      <c r="Z2226" s="33" t="s">
        <v>42968</v>
      </c>
      <c r="AA2226" s="33">
        <v>5445</v>
      </c>
    </row>
    <row r="2227" spans="1:27" ht="12" customHeight="1" x14ac:dyDescent="0.15">
      <c r="A2227" s="33" t="s">
        <v>32064</v>
      </c>
      <c r="B2227" s="33">
        <v>21</v>
      </c>
      <c r="C2227" s="33" t="s">
        <v>14</v>
      </c>
      <c r="D2227" s="33" t="s">
        <v>31</v>
      </c>
      <c r="E2227" s="42"/>
      <c r="F2227" s="67">
        <v>43106</v>
      </c>
      <c r="G2227" s="33" t="s">
        <v>32065</v>
      </c>
      <c r="H2227" s="33" t="s">
        <v>9953</v>
      </c>
      <c r="I2227" s="33" t="s">
        <v>67</v>
      </c>
      <c r="J2227" s="33">
        <v>78665</v>
      </c>
      <c r="K2227" s="33" t="s">
        <v>2397</v>
      </c>
      <c r="L2227" s="33" t="s">
        <v>9955</v>
      </c>
      <c r="M2227" s="33" t="s">
        <v>21</v>
      </c>
      <c r="N2227" s="33" t="s">
        <v>32066</v>
      </c>
      <c r="O2227" s="33" t="s">
        <v>372</v>
      </c>
      <c r="P2227" s="33" t="s">
        <v>30089</v>
      </c>
      <c r="Q2227" s="42" t="s">
        <v>32067</v>
      </c>
      <c r="R2227" s="33" t="s">
        <v>94</v>
      </c>
      <c r="S2227" s="33" t="s">
        <v>22</v>
      </c>
      <c r="T2227" s="33" t="s">
        <v>26781</v>
      </c>
      <c r="U2227" s="33" t="s">
        <v>26572</v>
      </c>
      <c r="V2227" s="33" t="s">
        <v>26573</v>
      </c>
      <c r="W2227" s="33" t="s">
        <v>94</v>
      </c>
      <c r="X2227" s="33">
        <v>3274</v>
      </c>
      <c r="Z2227" s="33" t="s">
        <v>42968</v>
      </c>
      <c r="AA2227" s="33">
        <v>5440</v>
      </c>
    </row>
    <row r="2228" spans="1:27" ht="12" customHeight="1" x14ac:dyDescent="0.15">
      <c r="A2228" s="33" t="s">
        <v>32072</v>
      </c>
      <c r="B2228" s="33">
        <v>51</v>
      </c>
      <c r="C2228" s="33" t="s">
        <v>14</v>
      </c>
      <c r="D2228" s="33" t="s">
        <v>31</v>
      </c>
      <c r="E2228" s="42" t="s">
        <v>32073</v>
      </c>
      <c r="F2228" s="67">
        <v>43106</v>
      </c>
      <c r="G2228" s="33" t="s">
        <v>32074</v>
      </c>
      <c r="H2228" s="33" t="s">
        <v>32075</v>
      </c>
      <c r="I2228" s="33" t="s">
        <v>112</v>
      </c>
      <c r="J2228" s="33">
        <v>86336</v>
      </c>
      <c r="K2228" s="33" t="s">
        <v>166</v>
      </c>
      <c r="L2228" s="33" t="s">
        <v>17584</v>
      </c>
      <c r="M2228" s="33" t="s">
        <v>21</v>
      </c>
      <c r="N2228" s="33" t="s">
        <v>32076</v>
      </c>
      <c r="O2228" s="33" t="s">
        <v>372</v>
      </c>
      <c r="P2228" s="33" t="s">
        <v>30089</v>
      </c>
      <c r="Q2228" s="42" t="s">
        <v>32077</v>
      </c>
      <c r="R2228" s="33" t="s">
        <v>94</v>
      </c>
      <c r="S2228" s="33" t="s">
        <v>12</v>
      </c>
      <c r="T2228" s="33" t="s">
        <v>29705</v>
      </c>
      <c r="U2228" s="33" t="s">
        <v>26575</v>
      </c>
      <c r="V2228" s="33" t="s">
        <v>26573</v>
      </c>
      <c r="W2228" s="33" t="s">
        <v>94</v>
      </c>
      <c r="X2228" s="33">
        <v>3277</v>
      </c>
      <c r="Z2228" s="33" t="s">
        <v>42967</v>
      </c>
      <c r="AA2228" s="33">
        <v>5443</v>
      </c>
    </row>
    <row r="2229" spans="1:27" ht="12" customHeight="1" x14ac:dyDescent="0.15">
      <c r="A2229" s="33" t="s">
        <v>32093</v>
      </c>
      <c r="B2229" s="33">
        <v>28</v>
      </c>
      <c r="C2229" s="33" t="s">
        <v>14</v>
      </c>
      <c r="D2229" s="33" t="s">
        <v>79</v>
      </c>
      <c r="E2229" s="42" t="s">
        <v>32094</v>
      </c>
      <c r="F2229" s="67">
        <v>43105</v>
      </c>
      <c r="G2229" s="33" t="s">
        <v>32095</v>
      </c>
      <c r="H2229" s="33" t="s">
        <v>32096</v>
      </c>
      <c r="I2229" s="33" t="s">
        <v>63</v>
      </c>
      <c r="J2229" s="33">
        <v>43213</v>
      </c>
      <c r="K2229" s="33" t="s">
        <v>1203</v>
      </c>
      <c r="L2229" s="33" t="s">
        <v>32219</v>
      </c>
      <c r="M2229" s="33" t="s">
        <v>21</v>
      </c>
      <c r="N2229" s="33" t="s">
        <v>32097</v>
      </c>
      <c r="O2229" s="33" t="s">
        <v>372</v>
      </c>
      <c r="P2229" s="33" t="s">
        <v>30089</v>
      </c>
      <c r="Q2229" s="42" t="s">
        <v>32098</v>
      </c>
      <c r="R2229" s="33" t="s">
        <v>94</v>
      </c>
      <c r="S2229" s="33" t="s">
        <v>22</v>
      </c>
      <c r="T2229" s="33" t="s">
        <v>26781</v>
      </c>
      <c r="U2229" s="33" t="s">
        <v>26572</v>
      </c>
      <c r="V2229" s="33" t="s">
        <v>26573</v>
      </c>
      <c r="W2229" s="33" t="s">
        <v>94</v>
      </c>
      <c r="X2229" s="33">
        <v>3283</v>
      </c>
      <c r="Z2229" s="33" t="s">
        <v>42968</v>
      </c>
      <c r="AA2229" s="33">
        <v>5437</v>
      </c>
    </row>
    <row r="2230" spans="1:27" ht="12" customHeight="1" x14ac:dyDescent="0.15">
      <c r="A2230" s="33" t="s">
        <v>32088</v>
      </c>
      <c r="B2230" s="33">
        <v>35</v>
      </c>
      <c r="C2230" s="33" t="s">
        <v>14</v>
      </c>
      <c r="D2230" s="33" t="s">
        <v>15</v>
      </c>
      <c r="E2230" s="42" t="s">
        <v>32089</v>
      </c>
      <c r="F2230" s="67">
        <v>43105</v>
      </c>
      <c r="G2230" s="33" t="s">
        <v>32090</v>
      </c>
      <c r="H2230" s="33" t="s">
        <v>451</v>
      </c>
      <c r="I2230" s="33" t="s">
        <v>39</v>
      </c>
      <c r="J2230" s="33">
        <v>90815</v>
      </c>
      <c r="K2230" s="33" t="s">
        <v>92</v>
      </c>
      <c r="L2230" s="33" t="s">
        <v>452</v>
      </c>
      <c r="M2230" s="33" t="s">
        <v>21</v>
      </c>
      <c r="N2230" s="33" t="s">
        <v>32091</v>
      </c>
      <c r="O2230" s="33" t="s">
        <v>372</v>
      </c>
      <c r="P2230" s="33" t="s">
        <v>30089</v>
      </c>
      <c r="Q2230" s="42" t="s">
        <v>32092</v>
      </c>
      <c r="R2230" s="33" t="s">
        <v>94</v>
      </c>
      <c r="S2230" s="33" t="s">
        <v>22</v>
      </c>
      <c r="T2230" s="33" t="s">
        <v>26781</v>
      </c>
      <c r="U2230" s="33" t="s">
        <v>26570</v>
      </c>
      <c r="V2230" s="33" t="s">
        <v>26573</v>
      </c>
      <c r="W2230" s="33" t="s">
        <v>94</v>
      </c>
      <c r="X2230" s="33">
        <v>3293</v>
      </c>
      <c r="Z2230" s="33" t="s">
        <v>42966</v>
      </c>
      <c r="AA2230" s="33">
        <v>5438</v>
      </c>
    </row>
    <row r="2231" spans="1:27" ht="12" customHeight="1" x14ac:dyDescent="0.15">
      <c r="A2231" s="33" t="s">
        <v>32099</v>
      </c>
      <c r="B2231" s="33">
        <v>46</v>
      </c>
      <c r="C2231" s="33" t="s">
        <v>14</v>
      </c>
      <c r="D2231" s="33" t="s">
        <v>31</v>
      </c>
      <c r="E2231" s="42" t="s">
        <v>32100</v>
      </c>
      <c r="F2231" s="67">
        <v>43105</v>
      </c>
      <c r="G2231" s="33" t="s">
        <v>32101</v>
      </c>
      <c r="H2231" s="33" t="s">
        <v>3846</v>
      </c>
      <c r="I2231" s="33" t="s">
        <v>402</v>
      </c>
      <c r="J2231" s="33">
        <v>65803</v>
      </c>
      <c r="K2231" s="33" t="s">
        <v>4549</v>
      </c>
      <c r="L2231" s="33" t="s">
        <v>3849</v>
      </c>
      <c r="M2231" s="33" t="s">
        <v>21</v>
      </c>
      <c r="N2231" s="33" t="s">
        <v>32102</v>
      </c>
      <c r="O2231" s="33" t="s">
        <v>372</v>
      </c>
      <c r="P2231" s="33" t="s">
        <v>30089</v>
      </c>
      <c r="Q2231" s="42" t="s">
        <v>32103</v>
      </c>
      <c r="R2231" s="33" t="s">
        <v>94</v>
      </c>
      <c r="S2231" s="33" t="s">
        <v>22</v>
      </c>
      <c r="T2231" s="33" t="s">
        <v>26781</v>
      </c>
      <c r="U2231" s="33" t="s">
        <v>26572</v>
      </c>
      <c r="V2231" s="33" t="s">
        <v>26573</v>
      </c>
      <c r="W2231" s="33" t="s">
        <v>94</v>
      </c>
      <c r="X2231" s="33">
        <v>3278</v>
      </c>
      <c r="Z2231" s="33" t="s">
        <v>42968</v>
      </c>
      <c r="AA2231" s="33">
        <v>5436</v>
      </c>
    </row>
    <row r="2232" spans="1:27" ht="12" customHeight="1" x14ac:dyDescent="0.15">
      <c r="A2232" s="33" t="s">
        <v>32104</v>
      </c>
      <c r="B2232" s="33">
        <v>27</v>
      </c>
      <c r="C2232" s="33" t="s">
        <v>14</v>
      </c>
      <c r="D2232" s="33" t="s">
        <v>31</v>
      </c>
      <c r="E2232" s="42" t="s">
        <v>32105</v>
      </c>
      <c r="F2232" s="67">
        <v>43104</v>
      </c>
      <c r="G2232" s="33" t="s">
        <v>32106</v>
      </c>
      <c r="H2232" s="33" t="s">
        <v>3901</v>
      </c>
      <c r="I2232" s="33" t="s">
        <v>735</v>
      </c>
      <c r="J2232" s="33">
        <v>83702</v>
      </c>
      <c r="K2232" s="33" t="s">
        <v>3903</v>
      </c>
      <c r="L2232" s="33" t="s">
        <v>3904</v>
      </c>
      <c r="M2232" s="33" t="s">
        <v>21</v>
      </c>
      <c r="N2232" s="33" t="s">
        <v>32107</v>
      </c>
      <c r="O2232" s="33" t="s">
        <v>372</v>
      </c>
      <c r="P2232" s="33" t="s">
        <v>30089</v>
      </c>
      <c r="Q2232" s="42" t="s">
        <v>32108</v>
      </c>
      <c r="R2232" s="33" t="s">
        <v>94</v>
      </c>
      <c r="S2232" s="33" t="s">
        <v>22</v>
      </c>
      <c r="T2232" s="33" t="s">
        <v>26781</v>
      </c>
      <c r="U2232" s="33" t="s">
        <v>26572</v>
      </c>
      <c r="V2232" s="33" t="s">
        <v>26573</v>
      </c>
      <c r="W2232" s="33" t="s">
        <v>94</v>
      </c>
      <c r="X2232" s="33">
        <v>3287</v>
      </c>
      <c r="Z2232" s="33" t="s">
        <v>42968</v>
      </c>
      <c r="AA2232" s="33">
        <v>5434</v>
      </c>
    </row>
    <row r="2233" spans="1:27" ht="12" customHeight="1" x14ac:dyDescent="0.15">
      <c r="A2233" s="33" t="s">
        <v>32109</v>
      </c>
      <c r="B2233" s="33">
        <v>31</v>
      </c>
      <c r="C2233" s="33" t="s">
        <v>14</v>
      </c>
      <c r="D2233" s="33" t="s">
        <v>31</v>
      </c>
      <c r="E2233" s="42" t="s">
        <v>32110</v>
      </c>
      <c r="F2233" s="67">
        <v>43104</v>
      </c>
      <c r="G2233" s="33" t="s">
        <v>32111</v>
      </c>
      <c r="H2233" s="33" t="s">
        <v>29752</v>
      </c>
      <c r="I2233" s="33" t="s">
        <v>409</v>
      </c>
      <c r="J2233" s="33">
        <v>54520</v>
      </c>
      <c r="K2233" s="33" t="s">
        <v>8854</v>
      </c>
      <c r="L2233" s="33" t="s">
        <v>32220</v>
      </c>
      <c r="M2233" s="33" t="s">
        <v>21</v>
      </c>
      <c r="N2233" s="33" t="s">
        <v>32112</v>
      </c>
      <c r="O2233" s="33" t="s">
        <v>372</v>
      </c>
      <c r="P2233" s="33" t="s">
        <v>30089</v>
      </c>
      <c r="Q2233" s="42" t="s">
        <v>32113</v>
      </c>
      <c r="R2233" s="33" t="s">
        <v>94</v>
      </c>
      <c r="S2233" s="33" t="s">
        <v>22</v>
      </c>
      <c r="T2233" s="33" t="s">
        <v>26781</v>
      </c>
      <c r="U2233" s="33" t="s">
        <v>26572</v>
      </c>
      <c r="V2233" s="33" t="s">
        <v>26573</v>
      </c>
      <c r="W2233" s="33" t="s">
        <v>94</v>
      </c>
      <c r="X2233" s="33">
        <v>3295</v>
      </c>
      <c r="Z2233" s="33" t="s">
        <v>42967</v>
      </c>
      <c r="AA2233" s="33">
        <v>5435</v>
      </c>
    </row>
    <row r="2234" spans="1:27" ht="12" customHeight="1" x14ac:dyDescent="0.15">
      <c r="A2234" s="33" t="s">
        <v>32114</v>
      </c>
      <c r="B2234" s="33">
        <v>28</v>
      </c>
      <c r="C2234" s="33" t="s">
        <v>14</v>
      </c>
      <c r="D2234" s="33" t="s">
        <v>79</v>
      </c>
      <c r="E2234" s="42" t="s">
        <v>32115</v>
      </c>
      <c r="F2234" s="67">
        <v>43103</v>
      </c>
      <c r="G2234" s="33" t="s">
        <v>32116</v>
      </c>
      <c r="H2234" s="33" t="s">
        <v>557</v>
      </c>
      <c r="I2234" s="33" t="s">
        <v>39</v>
      </c>
      <c r="J2234" s="33">
        <v>94607</v>
      </c>
      <c r="K2234" s="33" t="s">
        <v>558</v>
      </c>
      <c r="L2234" s="33" t="s">
        <v>10896</v>
      </c>
      <c r="M2234" s="33" t="s">
        <v>21</v>
      </c>
      <c r="N2234" s="33" t="s">
        <v>32117</v>
      </c>
      <c r="O2234" s="33" t="s">
        <v>372</v>
      </c>
      <c r="P2234" s="33" t="s">
        <v>30089</v>
      </c>
      <c r="Q2234" s="42" t="s">
        <v>32118</v>
      </c>
      <c r="R2234" s="33" t="s">
        <v>94</v>
      </c>
      <c r="S2234" s="33" t="s">
        <v>22</v>
      </c>
      <c r="T2234" s="33" t="s">
        <v>26781</v>
      </c>
      <c r="U2234" s="33" t="s">
        <v>26572</v>
      </c>
      <c r="V2234" s="33" t="s">
        <v>26573</v>
      </c>
      <c r="W2234" s="33" t="s">
        <v>94</v>
      </c>
      <c r="X2234" s="33">
        <v>3286</v>
      </c>
      <c r="Z2234" s="33" t="s">
        <v>42966</v>
      </c>
      <c r="AA2234" s="33">
        <v>5433</v>
      </c>
    </row>
    <row r="2235" spans="1:27" ht="12" customHeight="1" x14ac:dyDescent="0.15">
      <c r="A2235" s="33" t="s">
        <v>32125</v>
      </c>
      <c r="B2235" s="33">
        <v>49</v>
      </c>
      <c r="C2235" s="33" t="s">
        <v>14</v>
      </c>
      <c r="D2235" s="33" t="s">
        <v>31</v>
      </c>
      <c r="E2235" s="42" t="s">
        <v>32126</v>
      </c>
      <c r="F2235" s="67">
        <v>43102</v>
      </c>
      <c r="G2235" s="33" t="s">
        <v>32127</v>
      </c>
      <c r="H2235" s="33" t="s">
        <v>12443</v>
      </c>
      <c r="I2235" s="33" t="s">
        <v>918</v>
      </c>
      <c r="J2235" s="33">
        <v>72949</v>
      </c>
      <c r="K2235" s="33" t="s">
        <v>1203</v>
      </c>
      <c r="L2235" s="33" t="s">
        <v>12446</v>
      </c>
      <c r="M2235" s="33" t="s">
        <v>21</v>
      </c>
      <c r="N2235" s="33" t="s">
        <v>32128</v>
      </c>
      <c r="O2235" s="33" t="s">
        <v>372</v>
      </c>
      <c r="P2235" s="33" t="s">
        <v>30089</v>
      </c>
      <c r="Q2235" s="42" t="s">
        <v>32129</v>
      </c>
      <c r="R2235" s="33" t="s">
        <v>512</v>
      </c>
      <c r="S2235" s="33" t="s">
        <v>22</v>
      </c>
      <c r="T2235" s="33" t="s">
        <v>26781</v>
      </c>
      <c r="U2235" s="33" t="s">
        <v>26572</v>
      </c>
      <c r="V2235" s="33" t="s">
        <v>26573</v>
      </c>
      <c r="W2235" s="33" t="s">
        <v>94</v>
      </c>
      <c r="X2235" s="33">
        <v>3292</v>
      </c>
      <c r="Z2235" s="33" t="s">
        <v>42967</v>
      </c>
      <c r="AA2235" s="33">
        <v>5430</v>
      </c>
    </row>
    <row r="2236" spans="1:27" ht="12" customHeight="1" x14ac:dyDescent="0.15">
      <c r="A2236" s="33" t="s">
        <v>32119</v>
      </c>
      <c r="B2236" s="33">
        <v>30</v>
      </c>
      <c r="C2236" s="33" t="s">
        <v>103</v>
      </c>
      <c r="D2236" s="33" t="s">
        <v>31</v>
      </c>
      <c r="E2236" s="42"/>
      <c r="F2236" s="67">
        <v>43102</v>
      </c>
      <c r="G2236" s="33" t="s">
        <v>32120</v>
      </c>
      <c r="H2236" s="33" t="s">
        <v>32121</v>
      </c>
      <c r="I2236" s="33" t="s">
        <v>67</v>
      </c>
      <c r="J2236" s="33">
        <v>78833</v>
      </c>
      <c r="K2236" s="33" t="s">
        <v>32122</v>
      </c>
      <c r="L2236" s="33" t="s">
        <v>32221</v>
      </c>
      <c r="M2236" s="33" t="s">
        <v>21</v>
      </c>
      <c r="N2236" s="33" t="s">
        <v>32123</v>
      </c>
      <c r="O2236" s="33" t="s">
        <v>372</v>
      </c>
      <c r="P2236" s="33" t="s">
        <v>30089</v>
      </c>
      <c r="Q2236" s="42" t="s">
        <v>32124</v>
      </c>
      <c r="R2236" s="33" t="s">
        <v>94</v>
      </c>
      <c r="S2236" s="33" t="s">
        <v>22</v>
      </c>
      <c r="T2236" s="33" t="s">
        <v>26781</v>
      </c>
      <c r="U2236" s="33" t="s">
        <v>26572</v>
      </c>
      <c r="V2236" s="33" t="s">
        <v>26573</v>
      </c>
      <c r="W2236" s="33" t="s">
        <v>94</v>
      </c>
      <c r="X2236" s="33">
        <v>3291</v>
      </c>
      <c r="Z2236" s="33" t="s">
        <v>42967</v>
      </c>
      <c r="AA2236" s="33">
        <v>5429</v>
      </c>
    </row>
    <row r="2237" spans="1:27" ht="12" customHeight="1" x14ac:dyDescent="0.15">
      <c r="A2237" s="33" t="s">
        <v>32130</v>
      </c>
      <c r="B2237" s="33">
        <v>66</v>
      </c>
      <c r="C2237" s="33" t="s">
        <v>14</v>
      </c>
      <c r="D2237" s="33" t="s">
        <v>31</v>
      </c>
      <c r="E2237" s="42"/>
      <c r="F2237" s="67">
        <v>43102</v>
      </c>
      <c r="G2237" s="33" t="s">
        <v>32131</v>
      </c>
      <c r="H2237" s="33" t="s">
        <v>15625</v>
      </c>
      <c r="I2237" s="33" t="s">
        <v>402</v>
      </c>
      <c r="J2237" s="33">
        <v>64801</v>
      </c>
      <c r="K2237" s="33" t="s">
        <v>4697</v>
      </c>
      <c r="L2237" s="33" t="s">
        <v>30453</v>
      </c>
      <c r="M2237" s="33" t="s">
        <v>21</v>
      </c>
      <c r="N2237" s="33" t="s">
        <v>32132</v>
      </c>
      <c r="O2237" s="33" t="s">
        <v>372</v>
      </c>
      <c r="P2237" s="33" t="s">
        <v>30089</v>
      </c>
      <c r="Q2237" s="42" t="s">
        <v>32133</v>
      </c>
      <c r="R2237" s="33" t="s">
        <v>94</v>
      </c>
      <c r="S2237" s="33" t="s">
        <v>22</v>
      </c>
      <c r="T2237" s="33" t="s">
        <v>26774</v>
      </c>
      <c r="U2237" s="33" t="s">
        <v>26572</v>
      </c>
      <c r="V2237" s="33" t="s">
        <v>26573</v>
      </c>
      <c r="W2237" s="33" t="s">
        <v>94</v>
      </c>
      <c r="X2237" s="33">
        <v>3294</v>
      </c>
      <c r="Z2237" s="33" t="s">
        <v>42968</v>
      </c>
      <c r="AA2237" s="33">
        <v>5431</v>
      </c>
    </row>
    <row r="2238" spans="1:27" ht="12" customHeight="1" x14ac:dyDescent="0.15">
      <c r="A2238" s="33" t="s">
        <v>32134</v>
      </c>
      <c r="B2238" s="33">
        <v>35</v>
      </c>
      <c r="C2238" s="33" t="s">
        <v>14</v>
      </c>
      <c r="D2238" s="33" t="s">
        <v>31</v>
      </c>
      <c r="E2238" s="42"/>
      <c r="F2238" s="67">
        <v>43102</v>
      </c>
      <c r="G2238" s="33" t="s">
        <v>32135</v>
      </c>
      <c r="H2238" s="33" t="s">
        <v>27</v>
      </c>
      <c r="I2238" s="33" t="s">
        <v>338</v>
      </c>
      <c r="J2238" s="33">
        <v>27834</v>
      </c>
      <c r="K2238" s="33" t="s">
        <v>770</v>
      </c>
      <c r="L2238" s="33" t="s">
        <v>771</v>
      </c>
      <c r="M2238" s="33" t="s">
        <v>21</v>
      </c>
      <c r="N2238" s="33" t="s">
        <v>32136</v>
      </c>
      <c r="O2238" s="33" t="s">
        <v>372</v>
      </c>
      <c r="P2238" s="33" t="s">
        <v>30089</v>
      </c>
      <c r="Q2238" s="42" t="s">
        <v>32137</v>
      </c>
      <c r="R2238" s="33" t="s">
        <v>94</v>
      </c>
      <c r="S2238" s="33" t="s">
        <v>22</v>
      </c>
      <c r="T2238" s="33" t="s">
        <v>26774</v>
      </c>
      <c r="U2238" s="33" t="s">
        <v>26572</v>
      </c>
      <c r="V2238" s="33" t="s">
        <v>26573</v>
      </c>
      <c r="Y2238" s="33" t="s">
        <v>42476</v>
      </c>
      <c r="Z2238" s="33" t="s">
        <v>42968</v>
      </c>
      <c r="AA2238" s="33">
        <v>5432</v>
      </c>
    </row>
    <row r="2239" spans="1:27" ht="12" customHeight="1" x14ac:dyDescent="0.15">
      <c r="A2239" s="33" t="s">
        <v>32138</v>
      </c>
      <c r="B2239" s="33">
        <v>42</v>
      </c>
      <c r="C2239" s="33" t="s">
        <v>14</v>
      </c>
      <c r="D2239" s="33" t="s">
        <v>31</v>
      </c>
      <c r="E2239" s="42"/>
      <c r="F2239" s="67">
        <v>43101</v>
      </c>
      <c r="G2239" s="33" t="s">
        <v>32139</v>
      </c>
      <c r="H2239" s="33" t="s">
        <v>32140</v>
      </c>
      <c r="I2239" s="33" t="s">
        <v>918</v>
      </c>
      <c r="J2239" s="33">
        <v>72136</v>
      </c>
      <c r="K2239" s="33" t="s">
        <v>31</v>
      </c>
      <c r="L2239" s="33" t="s">
        <v>21170</v>
      </c>
      <c r="M2239" s="33" t="s">
        <v>21</v>
      </c>
      <c r="N2239" s="33" t="s">
        <v>32141</v>
      </c>
      <c r="O2239" s="33" t="s">
        <v>372</v>
      </c>
      <c r="P2239" s="33" t="s">
        <v>30089</v>
      </c>
      <c r="Q2239" s="42" t="s">
        <v>32142</v>
      </c>
      <c r="R2239" s="33" t="s">
        <v>94</v>
      </c>
      <c r="S2239" s="33" t="s">
        <v>22</v>
      </c>
      <c r="T2239" s="33" t="s">
        <v>26781</v>
      </c>
      <c r="U2239" s="33" t="s">
        <v>26572</v>
      </c>
      <c r="V2239" s="33" t="s">
        <v>26573</v>
      </c>
      <c r="W2239" s="33" t="s">
        <v>94</v>
      </c>
      <c r="X2239" s="33">
        <v>3288</v>
      </c>
      <c r="Z2239" s="33" t="s">
        <v>42967</v>
      </c>
      <c r="AA2239" s="33">
        <v>5427</v>
      </c>
    </row>
    <row r="2240" spans="1:27" ht="12" customHeight="1" x14ac:dyDescent="0.15">
      <c r="A2240" s="33" t="s">
        <v>32143</v>
      </c>
      <c r="B2240" s="33">
        <v>65</v>
      </c>
      <c r="C2240" s="33" t="s">
        <v>14</v>
      </c>
      <c r="D2240" s="33" t="s">
        <v>31</v>
      </c>
      <c r="E2240" s="42"/>
      <c r="F2240" s="67">
        <v>43101</v>
      </c>
      <c r="G2240" s="33" t="s">
        <v>32144</v>
      </c>
      <c r="H2240" s="33" t="s">
        <v>5975</v>
      </c>
      <c r="I2240" s="33" t="s">
        <v>56</v>
      </c>
      <c r="J2240" s="33">
        <v>32141</v>
      </c>
      <c r="K2240" s="33" t="s">
        <v>3571</v>
      </c>
      <c r="L2240" s="33" t="s">
        <v>5977</v>
      </c>
      <c r="M2240" s="33" t="s">
        <v>21</v>
      </c>
      <c r="N2240" s="33" t="s">
        <v>32145</v>
      </c>
      <c r="O2240" s="33" t="s">
        <v>372</v>
      </c>
      <c r="P2240" s="33" t="s">
        <v>30089</v>
      </c>
      <c r="Q2240" s="42" t="s">
        <v>32146</v>
      </c>
      <c r="R2240" s="33" t="s">
        <v>94</v>
      </c>
      <c r="S2240" s="33" t="s">
        <v>22</v>
      </c>
      <c r="T2240" s="33" t="s">
        <v>26781</v>
      </c>
      <c r="U2240" s="33" t="s">
        <v>26572</v>
      </c>
      <c r="V2240" s="33" t="s">
        <v>26573</v>
      </c>
      <c r="W2240" s="33" t="s">
        <v>512</v>
      </c>
      <c r="X2240" s="33">
        <v>3289</v>
      </c>
      <c r="Z2240" s="33" t="s">
        <v>42968</v>
      </c>
      <c r="AA2240" s="33">
        <v>5428</v>
      </c>
    </row>
    <row r="2241" spans="1:27" ht="12" customHeight="1" x14ac:dyDescent="0.15">
      <c r="A2241" s="33" t="s">
        <v>32147</v>
      </c>
      <c r="B2241" s="33">
        <v>65</v>
      </c>
      <c r="C2241" s="33" t="s">
        <v>14</v>
      </c>
      <c r="D2241" s="33" t="s">
        <v>31</v>
      </c>
      <c r="E2241" s="42"/>
      <c r="F2241" s="67">
        <v>43101</v>
      </c>
      <c r="G2241" s="33" t="s">
        <v>32148</v>
      </c>
      <c r="H2241" s="33" t="s">
        <v>159</v>
      </c>
      <c r="I2241" s="33" t="s">
        <v>160</v>
      </c>
      <c r="J2241" s="33">
        <v>30741</v>
      </c>
      <c r="K2241" s="33" t="s">
        <v>161</v>
      </c>
      <c r="L2241" s="33" t="s">
        <v>162</v>
      </c>
      <c r="M2241" s="33" t="s">
        <v>21</v>
      </c>
      <c r="N2241" s="33" t="s">
        <v>32149</v>
      </c>
      <c r="O2241" s="33" t="s">
        <v>372</v>
      </c>
      <c r="P2241" s="33" t="s">
        <v>30089</v>
      </c>
      <c r="Q2241" s="42" t="s">
        <v>32150</v>
      </c>
      <c r="R2241" s="33" t="s">
        <v>512</v>
      </c>
      <c r="S2241" s="33" t="s">
        <v>22</v>
      </c>
      <c r="T2241" s="33" t="s">
        <v>26781</v>
      </c>
      <c r="U2241" s="33" t="s">
        <v>26572</v>
      </c>
      <c r="V2241" s="33" t="s">
        <v>26573</v>
      </c>
      <c r="W2241" s="33" t="s">
        <v>94</v>
      </c>
      <c r="X2241" s="33">
        <v>3275</v>
      </c>
      <c r="Z2241" s="33" t="s">
        <v>42968</v>
      </c>
      <c r="AA2241" s="33">
        <v>5426</v>
      </c>
    </row>
    <row r="2242" spans="1:27" ht="12" customHeight="1" x14ac:dyDescent="0.15">
      <c r="A2242" s="33" t="s">
        <v>30954</v>
      </c>
      <c r="B2242" s="33">
        <v>37</v>
      </c>
      <c r="C2242" s="33" t="s">
        <v>14</v>
      </c>
      <c r="D2242" s="33" t="s">
        <v>31</v>
      </c>
      <c r="E2242" s="42" t="s">
        <v>30955</v>
      </c>
      <c r="F2242" s="67">
        <v>43100</v>
      </c>
      <c r="G2242" s="33" t="s">
        <v>30956</v>
      </c>
      <c r="H2242" s="33" t="s">
        <v>29366</v>
      </c>
      <c r="I2242" s="33" t="s">
        <v>192</v>
      </c>
      <c r="J2242" s="33">
        <v>80126</v>
      </c>
      <c r="K2242" s="33" t="s">
        <v>882</v>
      </c>
      <c r="L2242" s="33" t="s">
        <v>1524</v>
      </c>
      <c r="M2242" s="33" t="s">
        <v>21</v>
      </c>
      <c r="N2242" s="33" t="s">
        <v>30957</v>
      </c>
      <c r="O2242" s="33" t="s">
        <v>372</v>
      </c>
      <c r="P2242" s="33" t="s">
        <v>30089</v>
      </c>
      <c r="Q2242" s="42" t="s">
        <v>30958</v>
      </c>
      <c r="R2242" s="33" t="s">
        <v>512</v>
      </c>
      <c r="S2242" s="33" t="s">
        <v>22</v>
      </c>
      <c r="T2242" s="33" t="s">
        <v>26781</v>
      </c>
      <c r="U2242" s="33" t="s">
        <v>26572</v>
      </c>
      <c r="V2242" s="33" t="s">
        <v>26573</v>
      </c>
      <c r="W2242" s="33" t="s">
        <v>94</v>
      </c>
      <c r="X2242" s="33">
        <v>3254</v>
      </c>
      <c r="Z2242" s="33" t="s">
        <v>42968</v>
      </c>
      <c r="AA2242" s="33">
        <v>5424</v>
      </c>
    </row>
    <row r="2243" spans="1:27" ht="12" customHeight="1" x14ac:dyDescent="0.15">
      <c r="A2243" s="33" t="s">
        <v>30959</v>
      </c>
      <c r="B2243" s="33">
        <v>32</v>
      </c>
      <c r="C2243" s="33" t="s">
        <v>14</v>
      </c>
      <c r="D2243" s="33" t="s">
        <v>42</v>
      </c>
      <c r="F2243" s="67">
        <v>43100</v>
      </c>
      <c r="G2243" s="33" t="s">
        <v>30960</v>
      </c>
      <c r="H2243" s="33" t="s">
        <v>1826</v>
      </c>
      <c r="I2243" s="33" t="s">
        <v>39</v>
      </c>
      <c r="J2243" s="33">
        <v>93215</v>
      </c>
      <c r="K2243" s="33" t="s">
        <v>632</v>
      </c>
      <c r="L2243" s="33" t="s">
        <v>1828</v>
      </c>
      <c r="M2243" s="33" t="s">
        <v>21</v>
      </c>
      <c r="N2243" s="33" t="s">
        <v>30961</v>
      </c>
      <c r="O2243" s="33" t="s">
        <v>372</v>
      </c>
      <c r="P2243" s="33" t="s">
        <v>30089</v>
      </c>
      <c r="Q2243" s="42" t="s">
        <v>30962</v>
      </c>
      <c r="R2243" s="33" t="s">
        <v>94</v>
      </c>
      <c r="S2243" s="33" t="s">
        <v>351</v>
      </c>
      <c r="T2243" s="33" t="s">
        <v>26867</v>
      </c>
      <c r="U2243" s="33" t="s">
        <v>26570</v>
      </c>
      <c r="V2243" s="33" t="s">
        <v>26571</v>
      </c>
      <c r="W2243" s="33" t="s">
        <v>94</v>
      </c>
      <c r="X2243" s="33">
        <v>3261</v>
      </c>
      <c r="Z2243" s="33" t="s">
        <v>42968</v>
      </c>
      <c r="AA2243" s="33">
        <v>5425</v>
      </c>
    </row>
    <row r="2244" spans="1:27" ht="12" customHeight="1" x14ac:dyDescent="0.15">
      <c r="A2244" s="33" t="s">
        <v>30949</v>
      </c>
      <c r="B2244" s="33">
        <v>39</v>
      </c>
      <c r="C2244" s="33" t="s">
        <v>14</v>
      </c>
      <c r="D2244" s="33" t="s">
        <v>42</v>
      </c>
      <c r="F2244" s="67">
        <v>43099</v>
      </c>
      <c r="G2244" s="33" t="s">
        <v>30950</v>
      </c>
      <c r="H2244" s="33" t="s">
        <v>30951</v>
      </c>
      <c r="I2244" s="33" t="s">
        <v>39</v>
      </c>
      <c r="J2244" s="33">
        <v>91306</v>
      </c>
      <c r="K2244" s="33" t="s">
        <v>92</v>
      </c>
      <c r="L2244" s="33" t="s">
        <v>93</v>
      </c>
      <c r="M2244" s="33" t="s">
        <v>21</v>
      </c>
      <c r="N2244" s="33" t="s">
        <v>30952</v>
      </c>
      <c r="O2244" s="33" t="s">
        <v>372</v>
      </c>
      <c r="P2244" s="33" t="s">
        <v>30089</v>
      </c>
      <c r="Q2244" s="42" t="s">
        <v>30953</v>
      </c>
      <c r="R2244" s="33" t="s">
        <v>94</v>
      </c>
      <c r="S2244" s="33" t="s">
        <v>22</v>
      </c>
      <c r="T2244" s="33" t="s">
        <v>26781</v>
      </c>
      <c r="U2244" s="33" t="s">
        <v>26570</v>
      </c>
      <c r="V2244" s="33" t="s">
        <v>26573</v>
      </c>
      <c r="W2244" s="33" t="s">
        <v>94</v>
      </c>
      <c r="X2244" s="33">
        <v>3260</v>
      </c>
      <c r="Z2244" s="33" t="s">
        <v>42966</v>
      </c>
      <c r="AA2244" s="33">
        <v>5422</v>
      </c>
    </row>
    <row r="2245" spans="1:27" ht="12" customHeight="1" x14ac:dyDescent="0.15">
      <c r="A2245" s="33" t="s">
        <v>30945</v>
      </c>
      <c r="B2245" s="33">
        <v>30</v>
      </c>
      <c r="C2245" s="33" t="s">
        <v>14</v>
      </c>
      <c r="D2245" s="33" t="s">
        <v>42</v>
      </c>
      <c r="F2245" s="67">
        <v>43099</v>
      </c>
      <c r="G2245" s="33" t="s">
        <v>30946</v>
      </c>
      <c r="H2245" s="33" t="s">
        <v>26438</v>
      </c>
      <c r="I2245" s="33" t="s">
        <v>39</v>
      </c>
      <c r="J2245" s="33">
        <v>94063</v>
      </c>
      <c r="K2245" s="33" t="s">
        <v>4269</v>
      </c>
      <c r="L2245" s="33" t="s">
        <v>26439</v>
      </c>
      <c r="M2245" s="33" t="s">
        <v>21</v>
      </c>
      <c r="N2245" s="33" t="s">
        <v>30947</v>
      </c>
      <c r="O2245" s="33" t="s">
        <v>372</v>
      </c>
      <c r="P2245" s="33" t="s">
        <v>30089</v>
      </c>
      <c r="Q2245" s="42" t="s">
        <v>30948</v>
      </c>
      <c r="R2245" s="33" t="s">
        <v>23</v>
      </c>
      <c r="S2245" s="33" t="s">
        <v>22</v>
      </c>
      <c r="T2245" s="33" t="s">
        <v>26781</v>
      </c>
      <c r="U2245" s="33" t="s">
        <v>26572</v>
      </c>
      <c r="V2245" s="33" t="s">
        <v>26573</v>
      </c>
      <c r="W2245" s="33" t="s">
        <v>94</v>
      </c>
      <c r="X2245" s="33">
        <v>3255</v>
      </c>
      <c r="Z2245" s="33" t="s">
        <v>42966</v>
      </c>
      <c r="AA2245" s="33">
        <v>5421</v>
      </c>
    </row>
    <row r="2246" spans="1:27" ht="12" customHeight="1" x14ac:dyDescent="0.15">
      <c r="A2246" s="33" t="s">
        <v>30963</v>
      </c>
      <c r="B2246" s="33">
        <v>36</v>
      </c>
      <c r="C2246" s="33" t="s">
        <v>14</v>
      </c>
      <c r="D2246" s="33" t="s">
        <v>31</v>
      </c>
      <c r="E2246" s="42" t="s">
        <v>30964</v>
      </c>
      <c r="F2246" s="67">
        <v>43099</v>
      </c>
      <c r="G2246" s="33" t="s">
        <v>30965</v>
      </c>
      <c r="H2246" s="33" t="s">
        <v>30966</v>
      </c>
      <c r="I2246" s="33" t="s">
        <v>67</v>
      </c>
      <c r="J2246" s="33">
        <v>79227</v>
      </c>
      <c r="K2246" s="33" t="s">
        <v>30967</v>
      </c>
      <c r="L2246" s="33" t="s">
        <v>30968</v>
      </c>
      <c r="M2246" s="33" t="s">
        <v>21</v>
      </c>
      <c r="N2246" s="33" t="s">
        <v>30969</v>
      </c>
      <c r="O2246" s="33" t="s">
        <v>372</v>
      </c>
      <c r="P2246" s="33" t="s">
        <v>30089</v>
      </c>
      <c r="Q2246" s="42" t="s">
        <v>30970</v>
      </c>
      <c r="R2246" s="33" t="s">
        <v>94</v>
      </c>
      <c r="S2246" s="33" t="s">
        <v>29</v>
      </c>
      <c r="T2246" s="33" t="s">
        <v>26575</v>
      </c>
      <c r="U2246" s="33" t="s">
        <v>26575</v>
      </c>
      <c r="V2246" s="33" t="s">
        <v>26573</v>
      </c>
      <c r="W2246" s="33" t="s">
        <v>94</v>
      </c>
      <c r="X2246" s="33">
        <v>3257</v>
      </c>
      <c r="Z2246" s="33" t="s">
        <v>42967</v>
      </c>
      <c r="AA2246" s="33">
        <v>5423</v>
      </c>
    </row>
    <row r="2247" spans="1:27" ht="12" customHeight="1" x14ac:dyDescent="0.15">
      <c r="A2247" s="33" t="s">
        <v>30940</v>
      </c>
      <c r="B2247" s="33">
        <v>35</v>
      </c>
      <c r="C2247" s="33" t="s">
        <v>14</v>
      </c>
      <c r="D2247" s="33" t="s">
        <v>79</v>
      </c>
      <c r="E2247" s="42" t="s">
        <v>30941</v>
      </c>
      <c r="F2247" s="67">
        <v>43098</v>
      </c>
      <c r="G2247" s="33" t="s">
        <v>30942</v>
      </c>
      <c r="H2247" s="33" t="s">
        <v>1202</v>
      </c>
      <c r="I2247" s="33" t="s">
        <v>160</v>
      </c>
      <c r="J2247" s="33">
        <v>31903</v>
      </c>
      <c r="K2247" s="33" t="s">
        <v>9779</v>
      </c>
      <c r="L2247" s="33" t="s">
        <v>17985</v>
      </c>
      <c r="M2247" s="33" t="s">
        <v>21</v>
      </c>
      <c r="N2247" s="33" t="s">
        <v>30943</v>
      </c>
      <c r="O2247" s="33" t="s">
        <v>372</v>
      </c>
      <c r="P2247" s="33" t="s">
        <v>30089</v>
      </c>
      <c r="Q2247" s="42" t="s">
        <v>30944</v>
      </c>
      <c r="R2247" s="33" t="s">
        <v>94</v>
      </c>
      <c r="S2247" s="33" t="s">
        <v>29</v>
      </c>
      <c r="T2247" s="33" t="s">
        <v>26575</v>
      </c>
      <c r="U2247" s="33" t="s">
        <v>26570</v>
      </c>
      <c r="V2247" s="33" t="s">
        <v>26571</v>
      </c>
      <c r="W2247" s="33" t="s">
        <v>94</v>
      </c>
      <c r="X2247" s="33">
        <v>3258</v>
      </c>
      <c r="Z2247" s="33" t="s">
        <v>42966</v>
      </c>
      <c r="AA2247" s="33">
        <v>5420</v>
      </c>
    </row>
    <row r="2248" spans="1:27" ht="12" customHeight="1" x14ac:dyDescent="0.15">
      <c r="A2248" s="33" t="s">
        <v>30923</v>
      </c>
      <c r="B2248" s="33">
        <v>30</v>
      </c>
      <c r="C2248" s="33" t="s">
        <v>14</v>
      </c>
      <c r="D2248" s="33" t="s">
        <v>79</v>
      </c>
      <c r="E2248" s="42" t="s">
        <v>30924</v>
      </c>
      <c r="F2248" s="67">
        <v>43097</v>
      </c>
      <c r="G2248" s="33" t="s">
        <v>30925</v>
      </c>
      <c r="H2248" s="33" t="s">
        <v>6461</v>
      </c>
      <c r="I2248" s="33" t="s">
        <v>198</v>
      </c>
      <c r="J2248" s="33">
        <v>46516</v>
      </c>
      <c r="K2248" s="33" t="s">
        <v>6461</v>
      </c>
      <c r="L2248" s="33" t="s">
        <v>6463</v>
      </c>
      <c r="M2248" s="33" t="s">
        <v>21</v>
      </c>
      <c r="N2248" s="33" t="s">
        <v>30926</v>
      </c>
      <c r="O2248" s="33" t="s">
        <v>372</v>
      </c>
      <c r="P2248" s="33" t="s">
        <v>30089</v>
      </c>
      <c r="Q2248" s="42" t="s">
        <v>30927</v>
      </c>
      <c r="R2248" s="33" t="s">
        <v>94</v>
      </c>
      <c r="S2248" s="33" t="s">
        <v>22</v>
      </c>
      <c r="T2248" s="33" t="s">
        <v>26781</v>
      </c>
      <c r="U2248" s="33" t="s">
        <v>26572</v>
      </c>
      <c r="V2248" s="33" t="s">
        <v>26571</v>
      </c>
      <c r="W2248" s="33" t="s">
        <v>94</v>
      </c>
      <c r="X2248" s="33">
        <v>3256</v>
      </c>
      <c r="Z2248" s="33" t="s">
        <v>42966</v>
      </c>
      <c r="AA2248" s="33">
        <v>5418</v>
      </c>
    </row>
    <row r="2249" spans="1:27" ht="12" customHeight="1" x14ac:dyDescent="0.15">
      <c r="A2249" s="33" t="s">
        <v>30919</v>
      </c>
      <c r="B2249" s="33">
        <v>37</v>
      </c>
      <c r="C2249" s="33" t="s">
        <v>14</v>
      </c>
      <c r="D2249" s="33" t="s">
        <v>31</v>
      </c>
      <c r="F2249" s="67">
        <v>43097</v>
      </c>
      <c r="G2249" s="33" t="s">
        <v>30920</v>
      </c>
      <c r="H2249" s="33" t="s">
        <v>3809</v>
      </c>
      <c r="I2249" s="33" t="s">
        <v>88</v>
      </c>
      <c r="J2249" s="33">
        <v>35242</v>
      </c>
      <c r="K2249" s="33" t="s">
        <v>1117</v>
      </c>
      <c r="L2249" s="33" t="s">
        <v>3834</v>
      </c>
      <c r="M2249" s="33" t="s">
        <v>21</v>
      </c>
      <c r="N2249" s="33" t="s">
        <v>30921</v>
      </c>
      <c r="O2249" s="33" t="s">
        <v>372</v>
      </c>
      <c r="P2249" s="33" t="s">
        <v>30089</v>
      </c>
      <c r="Q2249" s="42" t="s">
        <v>30922</v>
      </c>
      <c r="R2249" s="33" t="s">
        <v>94</v>
      </c>
      <c r="S2249" s="33" t="s">
        <v>22</v>
      </c>
      <c r="T2249" s="33" t="s">
        <v>26781</v>
      </c>
      <c r="U2249" s="33" t="s">
        <v>26572</v>
      </c>
      <c r="V2249" s="33" t="s">
        <v>26573</v>
      </c>
      <c r="W2249" s="33" t="s">
        <v>94</v>
      </c>
      <c r="X2249" s="33">
        <v>3252</v>
      </c>
      <c r="Z2249" s="33" t="s">
        <v>42968</v>
      </c>
      <c r="AA2249" s="33">
        <v>5417</v>
      </c>
    </row>
    <row r="2250" spans="1:27" ht="12" customHeight="1" x14ac:dyDescent="0.15">
      <c r="A2250" s="33" t="s">
        <v>30915</v>
      </c>
      <c r="B2250" s="33">
        <v>28</v>
      </c>
      <c r="C2250" s="33" t="s">
        <v>14</v>
      </c>
      <c r="D2250" s="33" t="s">
        <v>31</v>
      </c>
      <c r="F2250" s="67">
        <v>43097</v>
      </c>
      <c r="G2250" s="33" t="s">
        <v>30916</v>
      </c>
      <c r="H2250" s="33" t="s">
        <v>635</v>
      </c>
      <c r="I2250" s="33" t="s">
        <v>337</v>
      </c>
      <c r="J2250" s="33">
        <v>67213</v>
      </c>
      <c r="K2250" s="33" t="s">
        <v>636</v>
      </c>
      <c r="L2250" s="33" t="s">
        <v>637</v>
      </c>
      <c r="M2250" s="33" t="s">
        <v>21</v>
      </c>
      <c r="N2250" s="33" t="s">
        <v>30917</v>
      </c>
      <c r="O2250" s="33" t="s">
        <v>372</v>
      </c>
      <c r="P2250" s="33" t="s">
        <v>30089</v>
      </c>
      <c r="Q2250" s="42" t="s">
        <v>30918</v>
      </c>
      <c r="R2250" s="33" t="s">
        <v>94</v>
      </c>
      <c r="S2250" s="33" t="s">
        <v>12</v>
      </c>
      <c r="T2250" s="33" t="s">
        <v>29705</v>
      </c>
      <c r="U2250" s="33" t="s">
        <v>26570</v>
      </c>
      <c r="V2250" s="33" t="s">
        <v>26573</v>
      </c>
      <c r="W2250" s="33" t="s">
        <v>94</v>
      </c>
      <c r="X2250" s="33">
        <v>3250</v>
      </c>
      <c r="Z2250" s="33" t="s">
        <v>42966</v>
      </c>
      <c r="AA2250" s="33">
        <v>5419</v>
      </c>
    </row>
    <row r="2251" spans="1:27" ht="12" customHeight="1" x14ac:dyDescent="0.15">
      <c r="A2251" s="33" t="s">
        <v>30928</v>
      </c>
      <c r="B2251" s="33">
        <v>21</v>
      </c>
      <c r="C2251" s="33" t="s">
        <v>14</v>
      </c>
      <c r="D2251" s="33" t="s">
        <v>79</v>
      </c>
      <c r="E2251" s="42" t="s">
        <v>30929</v>
      </c>
      <c r="F2251" s="67">
        <v>43097</v>
      </c>
      <c r="G2251" s="33" t="s">
        <v>30930</v>
      </c>
      <c r="H2251" s="33" t="s">
        <v>4927</v>
      </c>
      <c r="I2251" s="33" t="s">
        <v>376</v>
      </c>
      <c r="J2251" s="33">
        <v>17315</v>
      </c>
      <c r="K2251" s="33" t="s">
        <v>1499</v>
      </c>
      <c r="L2251" s="33" t="s">
        <v>16188</v>
      </c>
      <c r="M2251" s="33" t="s">
        <v>21</v>
      </c>
      <c r="N2251" s="33" t="s">
        <v>30931</v>
      </c>
      <c r="O2251" s="33" t="s">
        <v>372</v>
      </c>
      <c r="P2251" s="33" t="s">
        <v>30089</v>
      </c>
      <c r="Q2251" s="42" t="s">
        <v>30932</v>
      </c>
      <c r="R2251" s="33" t="s">
        <v>94</v>
      </c>
      <c r="S2251" s="33" t="s">
        <v>22</v>
      </c>
      <c r="T2251" s="33" t="s">
        <v>26781</v>
      </c>
      <c r="U2251" s="33" t="s">
        <v>26575</v>
      </c>
      <c r="V2251" s="33" t="s">
        <v>26573</v>
      </c>
      <c r="W2251" s="33" t="s">
        <v>94</v>
      </c>
      <c r="X2251" s="33">
        <v>3248</v>
      </c>
      <c r="Z2251" s="33" t="s">
        <v>42968</v>
      </c>
      <c r="AA2251" s="33">
        <v>5415</v>
      </c>
    </row>
    <row r="2252" spans="1:27" ht="12" customHeight="1" x14ac:dyDescent="0.15">
      <c r="A2252" s="33" t="s">
        <v>32222</v>
      </c>
      <c r="B2252" s="33">
        <v>40</v>
      </c>
      <c r="C2252" s="33" t="s">
        <v>14</v>
      </c>
      <c r="D2252" s="33" t="s">
        <v>42</v>
      </c>
      <c r="F2252" s="67">
        <v>43097</v>
      </c>
      <c r="G2252" s="33" t="s">
        <v>30933</v>
      </c>
      <c r="H2252" s="33" t="s">
        <v>3390</v>
      </c>
      <c r="I2252" s="33" t="s">
        <v>39</v>
      </c>
      <c r="J2252" s="33">
        <v>90280</v>
      </c>
      <c r="K2252" s="33" t="s">
        <v>92</v>
      </c>
      <c r="L2252" s="33" t="s">
        <v>3392</v>
      </c>
      <c r="M2252" s="33" t="s">
        <v>21</v>
      </c>
      <c r="N2252" s="33" t="s">
        <v>36499</v>
      </c>
      <c r="O2252" s="33" t="s">
        <v>372</v>
      </c>
      <c r="P2252" s="33" t="s">
        <v>30089</v>
      </c>
      <c r="Q2252" s="42" t="s">
        <v>30934</v>
      </c>
      <c r="R2252" s="33" t="s">
        <v>94</v>
      </c>
      <c r="S2252" s="33" t="s">
        <v>22</v>
      </c>
      <c r="T2252" s="33" t="s">
        <v>26781</v>
      </c>
      <c r="U2252" s="33" t="s">
        <v>26572</v>
      </c>
      <c r="V2252" s="33" t="s">
        <v>26573</v>
      </c>
      <c r="W2252" s="33" t="s">
        <v>94</v>
      </c>
      <c r="X2252" s="33">
        <v>3251</v>
      </c>
      <c r="Z2252" s="33" t="s">
        <v>42966</v>
      </c>
      <c r="AA2252" s="33">
        <v>5416</v>
      </c>
    </row>
    <row r="2253" spans="1:27" ht="12" customHeight="1" x14ac:dyDescent="0.15">
      <c r="A2253" s="33" t="s">
        <v>30909</v>
      </c>
      <c r="B2253" s="33">
        <v>38</v>
      </c>
      <c r="C2253" s="33" t="s">
        <v>14</v>
      </c>
      <c r="D2253" s="33" t="s">
        <v>31</v>
      </c>
      <c r="E2253" s="42" t="s">
        <v>30910</v>
      </c>
      <c r="F2253" s="67">
        <v>43096</v>
      </c>
      <c r="G2253" s="33" t="s">
        <v>30911</v>
      </c>
      <c r="H2253" s="33" t="s">
        <v>375</v>
      </c>
      <c r="I2253" s="33" t="s">
        <v>225</v>
      </c>
      <c r="J2253" s="33">
        <v>23836</v>
      </c>
      <c r="K2253" s="33" t="s">
        <v>10815</v>
      </c>
      <c r="L2253" s="33" t="s">
        <v>30912</v>
      </c>
      <c r="M2253" s="33" t="s">
        <v>21</v>
      </c>
      <c r="N2253" s="33" t="s">
        <v>30913</v>
      </c>
      <c r="O2253" s="33" t="s">
        <v>372</v>
      </c>
      <c r="P2253" s="33" t="s">
        <v>30089</v>
      </c>
      <c r="Q2253" s="42" t="s">
        <v>30914</v>
      </c>
      <c r="R2253" s="33" t="s">
        <v>94</v>
      </c>
      <c r="S2253" s="33" t="s">
        <v>22</v>
      </c>
      <c r="T2253" s="33" t="s">
        <v>26781</v>
      </c>
      <c r="U2253" s="33" t="s">
        <v>26572</v>
      </c>
      <c r="V2253" s="33" t="s">
        <v>26573</v>
      </c>
      <c r="W2253" s="33" t="s">
        <v>94</v>
      </c>
      <c r="X2253" s="33">
        <v>3267</v>
      </c>
      <c r="Z2253" s="33" t="s">
        <v>42968</v>
      </c>
      <c r="AA2253" s="33">
        <v>5413</v>
      </c>
    </row>
    <row r="2254" spans="1:27" ht="12" customHeight="1" x14ac:dyDescent="0.15">
      <c r="A2254" s="33" t="s">
        <v>30904</v>
      </c>
      <c r="B2254" s="33">
        <v>25</v>
      </c>
      <c r="C2254" s="33" t="s">
        <v>14</v>
      </c>
      <c r="D2254" s="33" t="s">
        <v>79</v>
      </c>
      <c r="E2254" s="42" t="s">
        <v>30905</v>
      </c>
      <c r="F2254" s="67">
        <v>43096</v>
      </c>
      <c r="G2254" s="33" t="s">
        <v>30906</v>
      </c>
      <c r="H2254" s="33" t="s">
        <v>1033</v>
      </c>
      <c r="I2254" s="33" t="s">
        <v>376</v>
      </c>
      <c r="J2254" s="33">
        <v>19141</v>
      </c>
      <c r="K2254" s="33" t="s">
        <v>1033</v>
      </c>
      <c r="L2254" s="33" t="s">
        <v>1034</v>
      </c>
      <c r="M2254" s="33" t="s">
        <v>21</v>
      </c>
      <c r="N2254" s="33" t="s">
        <v>30907</v>
      </c>
      <c r="O2254" s="33" t="s">
        <v>372</v>
      </c>
      <c r="P2254" s="33" t="s">
        <v>30089</v>
      </c>
      <c r="Q2254" s="42" t="s">
        <v>30908</v>
      </c>
      <c r="R2254" s="33" t="s">
        <v>94</v>
      </c>
      <c r="S2254" s="33" t="s">
        <v>12</v>
      </c>
      <c r="T2254" s="33" t="s">
        <v>29705</v>
      </c>
      <c r="U2254" s="33" t="s">
        <v>26570</v>
      </c>
      <c r="V2254" s="33" t="s">
        <v>26571</v>
      </c>
      <c r="W2254" s="33" t="s">
        <v>94</v>
      </c>
      <c r="X2254" s="33">
        <v>3249</v>
      </c>
      <c r="Z2254" s="33" t="s">
        <v>42966</v>
      </c>
      <c r="AA2254" s="33">
        <v>5414</v>
      </c>
    </row>
    <row r="2255" spans="1:27" ht="12" customHeight="1" x14ac:dyDescent="0.15">
      <c r="A2255" s="33" t="s">
        <v>30887</v>
      </c>
      <c r="B2255" s="33">
        <v>28</v>
      </c>
      <c r="C2255" s="33" t="s">
        <v>14</v>
      </c>
      <c r="D2255" s="33" t="s">
        <v>42</v>
      </c>
      <c r="F2255" s="67">
        <v>43095</v>
      </c>
      <c r="G2255" s="33" t="s">
        <v>30659</v>
      </c>
      <c r="H2255" s="33" t="s">
        <v>5737</v>
      </c>
      <c r="I2255" s="33" t="s">
        <v>282</v>
      </c>
      <c r="J2255" s="33">
        <v>98902</v>
      </c>
      <c r="K2255" s="33" t="s">
        <v>5737</v>
      </c>
      <c r="L2255" s="33" t="s">
        <v>30660</v>
      </c>
      <c r="M2255" s="33" t="s">
        <v>21</v>
      </c>
      <c r="N2255" s="33" t="s">
        <v>30661</v>
      </c>
      <c r="O2255" s="33" t="s">
        <v>372</v>
      </c>
      <c r="P2255" s="33" t="s">
        <v>30089</v>
      </c>
      <c r="Q2255" s="42" t="s">
        <v>30662</v>
      </c>
      <c r="R2255" s="33" t="s">
        <v>904</v>
      </c>
      <c r="S2255" s="33" t="s">
        <v>22</v>
      </c>
      <c r="T2255" s="33" t="s">
        <v>26781</v>
      </c>
      <c r="U2255" s="33" t="s">
        <v>26572</v>
      </c>
      <c r="V2255" s="33" t="s">
        <v>26573</v>
      </c>
      <c r="W2255" s="33" t="s">
        <v>94</v>
      </c>
      <c r="X2255" s="33">
        <v>3232</v>
      </c>
      <c r="Z2255" s="33" t="s">
        <v>42966</v>
      </c>
      <c r="AA2255" s="33">
        <v>5404</v>
      </c>
    </row>
    <row r="2256" spans="1:27" ht="12" customHeight="1" x14ac:dyDescent="0.15">
      <c r="A2256" s="33" t="s">
        <v>30890</v>
      </c>
      <c r="B2256" s="33">
        <v>44</v>
      </c>
      <c r="C2256" s="33" t="s">
        <v>14</v>
      </c>
      <c r="D2256" s="33" t="s">
        <v>31</v>
      </c>
      <c r="E2256" s="42" t="s">
        <v>30891</v>
      </c>
      <c r="F2256" s="67">
        <v>43095</v>
      </c>
      <c r="G2256" s="33" t="s">
        <v>30892</v>
      </c>
      <c r="H2256" s="33" t="s">
        <v>30893</v>
      </c>
      <c r="I2256" s="33" t="s">
        <v>106</v>
      </c>
      <c r="J2256" s="33">
        <v>97009</v>
      </c>
      <c r="K2256" s="33" t="s">
        <v>3919</v>
      </c>
      <c r="L2256" s="33" t="s">
        <v>3920</v>
      </c>
      <c r="M2256" s="33" t="s">
        <v>21</v>
      </c>
      <c r="N2256" s="33" t="s">
        <v>30894</v>
      </c>
      <c r="O2256" s="33" t="s">
        <v>372</v>
      </c>
      <c r="P2256" s="33" t="s">
        <v>30089</v>
      </c>
      <c r="Q2256" s="42" t="s">
        <v>30895</v>
      </c>
      <c r="R2256" s="33" t="s">
        <v>94</v>
      </c>
      <c r="S2256" s="33" t="s">
        <v>22</v>
      </c>
      <c r="T2256" s="33" t="s">
        <v>26781</v>
      </c>
      <c r="U2256" s="33" t="s">
        <v>26572</v>
      </c>
      <c r="V2256" s="33" t="s">
        <v>26571</v>
      </c>
      <c r="W2256" s="33" t="s">
        <v>94</v>
      </c>
      <c r="X2256" s="33">
        <v>3262</v>
      </c>
      <c r="Z2256" s="33" t="s">
        <v>42967</v>
      </c>
      <c r="AA2256" s="33">
        <v>5410</v>
      </c>
    </row>
    <row r="2257" spans="1:46" ht="12" customHeight="1" x14ac:dyDescent="0.15">
      <c r="A2257" s="33" t="s">
        <v>30899</v>
      </c>
      <c r="B2257" s="33">
        <v>30</v>
      </c>
      <c r="C2257" s="33" t="s">
        <v>14</v>
      </c>
      <c r="D2257" s="33" t="s">
        <v>31</v>
      </c>
      <c r="E2257" s="42" t="s">
        <v>30900</v>
      </c>
      <c r="F2257" s="67">
        <v>43095</v>
      </c>
      <c r="G2257" s="33" t="s">
        <v>30901</v>
      </c>
      <c r="H2257" s="33" t="s">
        <v>13211</v>
      </c>
      <c r="I2257" s="33" t="s">
        <v>39</v>
      </c>
      <c r="J2257" s="33">
        <v>92240</v>
      </c>
      <c r="K2257" s="33" t="s">
        <v>728</v>
      </c>
      <c r="L2257" s="33" t="s">
        <v>13213</v>
      </c>
      <c r="M2257" s="33" t="s">
        <v>21</v>
      </c>
      <c r="N2257" s="33" t="s">
        <v>30902</v>
      </c>
      <c r="O2257" s="33" t="s">
        <v>372</v>
      </c>
      <c r="P2257" s="33" t="s">
        <v>30089</v>
      </c>
      <c r="Q2257" s="42" t="s">
        <v>30903</v>
      </c>
      <c r="R2257" s="33" t="s">
        <v>94</v>
      </c>
      <c r="S2257" s="33" t="s">
        <v>22</v>
      </c>
      <c r="T2257" s="33" t="s">
        <v>26781</v>
      </c>
      <c r="U2257" s="33" t="s">
        <v>26572</v>
      </c>
      <c r="V2257" s="33" t="s">
        <v>26571</v>
      </c>
      <c r="W2257" s="33" t="s">
        <v>94</v>
      </c>
      <c r="X2257" s="33">
        <v>3245</v>
      </c>
      <c r="Z2257" s="33" t="s">
        <v>42968</v>
      </c>
      <c r="AA2257" s="33">
        <v>5408</v>
      </c>
    </row>
    <row r="2258" spans="1:46" ht="12" customHeight="1" x14ac:dyDescent="0.15">
      <c r="A2258" s="33" t="s">
        <v>30686</v>
      </c>
      <c r="B2258" s="33">
        <v>34</v>
      </c>
      <c r="C2258" s="33" t="s">
        <v>14</v>
      </c>
      <c r="D2258" s="33" t="s">
        <v>42</v>
      </c>
      <c r="F2258" s="67">
        <v>43095</v>
      </c>
      <c r="G2258" s="33" t="s">
        <v>30687</v>
      </c>
      <c r="H2258" s="33" t="s">
        <v>30688</v>
      </c>
      <c r="I2258" s="33" t="s">
        <v>298</v>
      </c>
      <c r="J2258" s="33">
        <v>38257</v>
      </c>
      <c r="K2258" s="33" t="s">
        <v>30689</v>
      </c>
      <c r="L2258" s="33" t="s">
        <v>30690</v>
      </c>
      <c r="M2258" s="33" t="s">
        <v>21</v>
      </c>
      <c r="N2258" s="33" t="s">
        <v>36500</v>
      </c>
      <c r="O2258" s="33" t="s">
        <v>372</v>
      </c>
      <c r="P2258" s="33" t="s">
        <v>30089</v>
      </c>
      <c r="Q2258" s="42" t="s">
        <v>30691</v>
      </c>
      <c r="R2258" s="33" t="s">
        <v>94</v>
      </c>
      <c r="S2258" s="33" t="s">
        <v>22</v>
      </c>
      <c r="T2258" s="33" t="s">
        <v>26774</v>
      </c>
      <c r="U2258" s="33" t="s">
        <v>26570</v>
      </c>
      <c r="V2258" s="33" t="s">
        <v>26574</v>
      </c>
      <c r="W2258" s="33" t="s">
        <v>94</v>
      </c>
      <c r="X2258" s="33">
        <v>3247</v>
      </c>
      <c r="Z2258" s="33" t="s">
        <v>42967</v>
      </c>
      <c r="AA2258" s="33">
        <v>5412</v>
      </c>
    </row>
    <row r="2259" spans="1:46" ht="12" customHeight="1" x14ac:dyDescent="0.15">
      <c r="A2259" s="33" t="s">
        <v>30888</v>
      </c>
      <c r="B2259" s="33">
        <v>46</v>
      </c>
      <c r="C2259" s="33" t="s">
        <v>14</v>
      </c>
      <c r="D2259" s="33" t="s">
        <v>30751</v>
      </c>
      <c r="F2259" s="67">
        <v>43095</v>
      </c>
      <c r="G2259" s="33" t="s">
        <v>30683</v>
      </c>
      <c r="H2259" s="33" t="s">
        <v>875</v>
      </c>
      <c r="I2259" s="33" t="s">
        <v>178</v>
      </c>
      <c r="J2259" s="33">
        <v>88201</v>
      </c>
      <c r="K2259" s="33" t="s">
        <v>12320</v>
      </c>
      <c r="L2259" s="33" t="s">
        <v>877</v>
      </c>
      <c r="M2259" s="33" t="s">
        <v>21</v>
      </c>
      <c r="N2259" s="33" t="s">
        <v>30684</v>
      </c>
      <c r="O2259" s="33" t="s">
        <v>372</v>
      </c>
      <c r="P2259" s="33" t="s">
        <v>30089</v>
      </c>
      <c r="Q2259" s="42" t="s">
        <v>30685</v>
      </c>
      <c r="R2259" s="33" t="s">
        <v>94</v>
      </c>
      <c r="S2259" s="33" t="s">
        <v>22</v>
      </c>
      <c r="T2259" s="33" t="s">
        <v>26781</v>
      </c>
      <c r="U2259" s="33" t="s">
        <v>26572</v>
      </c>
      <c r="V2259" s="33" t="s">
        <v>26573</v>
      </c>
      <c r="W2259" s="33" t="s">
        <v>94</v>
      </c>
      <c r="X2259" s="33">
        <v>3243</v>
      </c>
      <c r="Z2259" s="33" t="s">
        <v>42968</v>
      </c>
      <c r="AA2259" s="33">
        <v>5406</v>
      </c>
    </row>
    <row r="2260" spans="1:46" ht="12" customHeight="1" x14ac:dyDescent="0.15">
      <c r="A2260" s="33" t="s">
        <v>20719</v>
      </c>
      <c r="B2260" s="33">
        <v>40</v>
      </c>
      <c r="C2260" s="33" t="s">
        <v>14</v>
      </c>
      <c r="D2260" s="33" t="s">
        <v>30751</v>
      </c>
      <c r="F2260" s="67">
        <v>43095</v>
      </c>
      <c r="G2260" s="33" t="s">
        <v>30896</v>
      </c>
      <c r="H2260" s="33" t="s">
        <v>1088</v>
      </c>
      <c r="I2260" s="33" t="s">
        <v>39</v>
      </c>
      <c r="J2260" s="33">
        <v>93274</v>
      </c>
      <c r="K2260" s="33" t="s">
        <v>1088</v>
      </c>
      <c r="L2260" s="33" t="s">
        <v>16589</v>
      </c>
      <c r="M2260" s="33" t="s">
        <v>21</v>
      </c>
      <c r="N2260" s="33" t="s">
        <v>30897</v>
      </c>
      <c r="O2260" s="33" t="s">
        <v>372</v>
      </c>
      <c r="P2260" s="33" t="s">
        <v>30089</v>
      </c>
      <c r="Q2260" s="42" t="s">
        <v>30898</v>
      </c>
      <c r="R2260" s="33" t="s">
        <v>94</v>
      </c>
      <c r="S2260" s="33" t="s">
        <v>22</v>
      </c>
      <c r="T2260" s="33" t="s">
        <v>26781</v>
      </c>
      <c r="U2260" s="33" t="s">
        <v>26572</v>
      </c>
      <c r="V2260" s="33" t="s">
        <v>26573</v>
      </c>
      <c r="W2260" s="33" t="s">
        <v>94</v>
      </c>
      <c r="X2260" s="33">
        <v>3242</v>
      </c>
      <c r="Z2260" s="33" t="s">
        <v>42968</v>
      </c>
      <c r="AA2260" s="33">
        <v>5405</v>
      </c>
    </row>
    <row r="2261" spans="1:46" ht="12" customHeight="1" x14ac:dyDescent="0.15">
      <c r="A2261" s="33" t="s">
        <v>30889</v>
      </c>
      <c r="B2261" s="33">
        <v>28</v>
      </c>
      <c r="C2261" s="33" t="s">
        <v>14</v>
      </c>
      <c r="D2261" s="33" t="s">
        <v>79</v>
      </c>
      <c r="F2261" s="67">
        <v>43095</v>
      </c>
      <c r="G2261" s="33" t="s">
        <v>30692</v>
      </c>
      <c r="H2261" s="33" t="s">
        <v>1924</v>
      </c>
      <c r="I2261" s="33" t="s">
        <v>198</v>
      </c>
      <c r="J2261" s="33">
        <v>46226</v>
      </c>
      <c r="K2261" s="33" t="s">
        <v>392</v>
      </c>
      <c r="L2261" s="33" t="s">
        <v>24439</v>
      </c>
      <c r="M2261" s="33" t="s">
        <v>21</v>
      </c>
      <c r="N2261" s="33" t="s">
        <v>30693</v>
      </c>
      <c r="O2261" s="33" t="s">
        <v>372</v>
      </c>
      <c r="P2261" s="33" t="s">
        <v>30089</v>
      </c>
      <c r="Q2261" s="42" t="s">
        <v>30694</v>
      </c>
      <c r="R2261" s="33" t="s">
        <v>94</v>
      </c>
      <c r="S2261" s="33" t="s">
        <v>22</v>
      </c>
      <c r="T2261" s="33" t="s">
        <v>26781</v>
      </c>
      <c r="U2261" s="33" t="s">
        <v>26572</v>
      </c>
      <c r="V2261" s="33" t="s">
        <v>26571</v>
      </c>
      <c r="W2261" s="33" t="s">
        <v>94</v>
      </c>
      <c r="X2261" s="33">
        <v>3244</v>
      </c>
      <c r="Z2261" s="33" t="s">
        <v>42966</v>
      </c>
      <c r="AA2261" s="33">
        <v>5407</v>
      </c>
    </row>
    <row r="2262" spans="1:46" ht="12" customHeight="1" x14ac:dyDescent="0.15">
      <c r="A2262" s="33" t="s">
        <v>30935</v>
      </c>
      <c r="B2262" s="33">
        <v>38</v>
      </c>
      <c r="C2262" s="33" t="s">
        <v>103</v>
      </c>
      <c r="D2262" s="33" t="s">
        <v>31</v>
      </c>
      <c r="E2262" s="42" t="s">
        <v>30936</v>
      </c>
      <c r="F2262" s="67">
        <v>43095</v>
      </c>
      <c r="G2262" s="33" t="s">
        <v>30937</v>
      </c>
      <c r="H2262" s="33" t="s">
        <v>266</v>
      </c>
      <c r="I2262" s="33" t="s">
        <v>67</v>
      </c>
      <c r="J2262" s="33">
        <v>75234</v>
      </c>
      <c r="K2262" s="33" t="s">
        <v>266</v>
      </c>
      <c r="L2262" s="33" t="s">
        <v>36378</v>
      </c>
      <c r="M2262" s="33" t="s">
        <v>21</v>
      </c>
      <c r="N2262" s="33" t="s">
        <v>30938</v>
      </c>
      <c r="O2262" s="33" t="s">
        <v>372</v>
      </c>
      <c r="P2262" s="33" t="s">
        <v>30089</v>
      </c>
      <c r="Q2262" s="42" t="s">
        <v>30939</v>
      </c>
      <c r="R2262" s="33" t="s">
        <v>94</v>
      </c>
      <c r="S2262" s="33" t="s">
        <v>22</v>
      </c>
      <c r="T2262" s="33" t="s">
        <v>26781</v>
      </c>
      <c r="U2262" s="33" t="s">
        <v>26572</v>
      </c>
      <c r="V2262" s="33" t="s">
        <v>26573</v>
      </c>
      <c r="W2262" s="33" t="s">
        <v>94</v>
      </c>
      <c r="X2262" s="33">
        <v>3246</v>
      </c>
      <c r="Z2262" s="33" t="s">
        <v>42968</v>
      </c>
      <c r="AA2262" s="33">
        <v>5409</v>
      </c>
    </row>
    <row r="2263" spans="1:46" ht="12" customHeight="1" x14ac:dyDescent="0.15">
      <c r="A2263" s="33" t="s">
        <v>36969</v>
      </c>
      <c r="B2263" s="33">
        <v>36</v>
      </c>
      <c r="C2263" s="33" t="s">
        <v>14</v>
      </c>
      <c r="D2263" s="33" t="s">
        <v>128</v>
      </c>
      <c r="F2263" s="67">
        <v>43095</v>
      </c>
      <c r="G2263" s="33" t="s">
        <v>30663</v>
      </c>
      <c r="H2263" s="33" t="s">
        <v>782</v>
      </c>
      <c r="I2263" s="33" t="s">
        <v>282</v>
      </c>
      <c r="J2263" s="33">
        <v>99201</v>
      </c>
      <c r="K2263" s="33" t="s">
        <v>782</v>
      </c>
      <c r="L2263" s="33" t="s">
        <v>783</v>
      </c>
      <c r="M2263" s="33" t="s">
        <v>21</v>
      </c>
      <c r="N2263" s="33" t="s">
        <v>30664</v>
      </c>
      <c r="O2263" s="33" t="s">
        <v>372</v>
      </c>
      <c r="P2263" s="33" t="s">
        <v>30089</v>
      </c>
      <c r="Q2263" s="42" t="s">
        <v>30665</v>
      </c>
      <c r="R2263" s="33" t="s">
        <v>94</v>
      </c>
      <c r="S2263" s="33" t="s">
        <v>22</v>
      </c>
      <c r="T2263" s="33" t="s">
        <v>26781</v>
      </c>
      <c r="U2263" s="33" t="s">
        <v>26570</v>
      </c>
      <c r="V2263" s="33" t="s">
        <v>26574</v>
      </c>
      <c r="W2263" s="33" t="s">
        <v>94</v>
      </c>
      <c r="X2263" s="33">
        <v>3263</v>
      </c>
      <c r="Z2263" s="33" t="s">
        <v>42966</v>
      </c>
      <c r="AA2263" s="33">
        <v>5411</v>
      </c>
    </row>
    <row r="2264" spans="1:46" ht="12" customHeight="1" x14ac:dyDescent="0.15">
      <c r="A2264" s="33" t="s">
        <v>30655</v>
      </c>
      <c r="B2264" s="33">
        <v>31</v>
      </c>
      <c r="C2264" s="33" t="s">
        <v>14</v>
      </c>
      <c r="D2264" s="33" t="s">
        <v>31</v>
      </c>
      <c r="F2264" s="67">
        <v>43094</v>
      </c>
      <c r="G2264" s="33" t="s">
        <v>30656</v>
      </c>
      <c r="H2264" s="33" t="s">
        <v>2307</v>
      </c>
      <c r="I2264" s="33" t="s">
        <v>367</v>
      </c>
      <c r="J2264" s="33">
        <v>74104</v>
      </c>
      <c r="K2264" s="33" t="s">
        <v>2307</v>
      </c>
      <c r="L2264" s="33" t="s">
        <v>3108</v>
      </c>
      <c r="M2264" s="33" t="s">
        <v>21</v>
      </c>
      <c r="N2264" s="33" t="s">
        <v>30657</v>
      </c>
      <c r="O2264" s="33" t="s">
        <v>372</v>
      </c>
      <c r="P2264" s="33" t="s">
        <v>30089</v>
      </c>
      <c r="Q2264" s="42" t="s">
        <v>30658</v>
      </c>
      <c r="R2264" s="33" t="s">
        <v>23</v>
      </c>
      <c r="S2264" s="33" t="s">
        <v>22</v>
      </c>
      <c r="T2264" s="33" t="s">
        <v>26781</v>
      </c>
      <c r="U2264" s="33" t="s">
        <v>26572</v>
      </c>
      <c r="V2264" s="33" t="s">
        <v>26573</v>
      </c>
      <c r="W2264" s="33" t="s">
        <v>94</v>
      </c>
      <c r="X2264" s="33">
        <v>3231</v>
      </c>
      <c r="Z2264" s="33" t="s">
        <v>42966</v>
      </c>
      <c r="AA2264" s="33">
        <v>5402</v>
      </c>
    </row>
    <row r="2265" spans="1:46" ht="12" customHeight="1" x14ac:dyDescent="0.15">
      <c r="A2265" s="33" t="s">
        <v>15166</v>
      </c>
      <c r="B2265" s="33">
        <v>31</v>
      </c>
      <c r="C2265" s="33" t="s">
        <v>14</v>
      </c>
      <c r="D2265" s="33" t="s">
        <v>42</v>
      </c>
      <c r="F2265" s="67">
        <v>43094</v>
      </c>
      <c r="G2265" s="33" t="s">
        <v>30666</v>
      </c>
      <c r="H2265" s="33" t="s">
        <v>5737</v>
      </c>
      <c r="I2265" s="33" t="s">
        <v>282</v>
      </c>
      <c r="J2265" s="33">
        <v>98901</v>
      </c>
      <c r="K2265" s="33" t="s">
        <v>5737</v>
      </c>
      <c r="L2265" s="33" t="s">
        <v>9555</v>
      </c>
      <c r="M2265" s="33" t="s">
        <v>21</v>
      </c>
      <c r="N2265" s="33" t="s">
        <v>30667</v>
      </c>
      <c r="O2265" s="33" t="s">
        <v>372</v>
      </c>
      <c r="P2265" s="33" t="s">
        <v>30089</v>
      </c>
      <c r="Q2265" s="42" t="s">
        <v>30668</v>
      </c>
      <c r="R2265" s="33" t="s">
        <v>512</v>
      </c>
      <c r="S2265" s="33" t="s">
        <v>22</v>
      </c>
      <c r="T2265" s="33" t="s">
        <v>26781</v>
      </c>
      <c r="U2265" s="33" t="s">
        <v>26572</v>
      </c>
      <c r="V2265" s="33" t="s">
        <v>26573</v>
      </c>
      <c r="W2265" s="33" t="s">
        <v>94</v>
      </c>
      <c r="X2265" s="33">
        <v>3241</v>
      </c>
      <c r="Z2265" s="33" t="s">
        <v>42968</v>
      </c>
      <c r="AA2265" s="33">
        <v>5403</v>
      </c>
    </row>
    <row r="2266" spans="1:46" ht="12" customHeight="1" x14ac:dyDescent="0.15">
      <c r="A2266" s="33" t="s">
        <v>30885</v>
      </c>
      <c r="B2266" s="33">
        <v>46</v>
      </c>
      <c r="C2266" s="33" t="s">
        <v>14</v>
      </c>
      <c r="D2266" s="33" t="s">
        <v>42</v>
      </c>
      <c r="E2266" s="42" t="s">
        <v>30886</v>
      </c>
      <c r="F2266" s="67">
        <v>43093</v>
      </c>
      <c r="G2266" s="33" t="s">
        <v>30650</v>
      </c>
      <c r="H2266" s="33" t="s">
        <v>30651</v>
      </c>
      <c r="I2266" s="33" t="s">
        <v>67</v>
      </c>
      <c r="J2266" s="33">
        <v>78596</v>
      </c>
      <c r="K2266" s="33" t="s">
        <v>1304</v>
      </c>
      <c r="L2266" s="33" t="s">
        <v>30652</v>
      </c>
      <c r="M2266" s="33" t="s">
        <v>21</v>
      </c>
      <c r="N2266" s="33" t="s">
        <v>30653</v>
      </c>
      <c r="O2266" s="33" t="s">
        <v>372</v>
      </c>
      <c r="P2266" s="33" t="s">
        <v>30089</v>
      </c>
      <c r="Q2266" s="42" t="s">
        <v>30654</v>
      </c>
      <c r="R2266" s="33" t="s">
        <v>94</v>
      </c>
      <c r="S2266" s="33" t="s">
        <v>22</v>
      </c>
      <c r="T2266" s="33" t="s">
        <v>26593</v>
      </c>
      <c r="U2266" s="33" t="s">
        <v>26570</v>
      </c>
      <c r="V2266" s="33" t="s">
        <v>26573</v>
      </c>
      <c r="W2266" s="33" t="s">
        <v>94</v>
      </c>
      <c r="X2266" s="33">
        <v>3240</v>
      </c>
      <c r="Z2266" s="33" t="s">
        <v>42968</v>
      </c>
      <c r="AA2266" s="33">
        <v>5400</v>
      </c>
      <c r="AQ2266" s="42"/>
      <c r="AT2266" s="83"/>
    </row>
    <row r="2267" spans="1:46" ht="12" customHeight="1" x14ac:dyDescent="0.15">
      <c r="A2267" s="33" t="s">
        <v>30678</v>
      </c>
      <c r="B2267" s="33" t="s">
        <v>23</v>
      </c>
      <c r="C2267" s="33" t="s">
        <v>14</v>
      </c>
      <c r="D2267" s="33" t="s">
        <v>30751</v>
      </c>
      <c r="F2267" s="67">
        <v>43093</v>
      </c>
      <c r="G2267" s="33" t="s">
        <v>30679</v>
      </c>
      <c r="H2267" s="33" t="s">
        <v>308</v>
      </c>
      <c r="I2267" s="33" t="s">
        <v>309</v>
      </c>
      <c r="J2267" s="33">
        <v>99701</v>
      </c>
      <c r="K2267" s="33" t="s">
        <v>18138</v>
      </c>
      <c r="L2267" s="33" t="s">
        <v>30680</v>
      </c>
      <c r="M2267" s="33" t="s">
        <v>21</v>
      </c>
      <c r="N2267" s="33" t="s">
        <v>30681</v>
      </c>
      <c r="O2267" s="33" t="s">
        <v>372</v>
      </c>
      <c r="P2267" s="33" t="s">
        <v>30089</v>
      </c>
      <c r="Q2267" s="42" t="s">
        <v>30682</v>
      </c>
      <c r="R2267" s="33" t="s">
        <v>512</v>
      </c>
      <c r="S2267" s="33" t="s">
        <v>22</v>
      </c>
      <c r="T2267" s="33" t="s">
        <v>26781</v>
      </c>
      <c r="U2267" s="33" t="s">
        <v>26572</v>
      </c>
      <c r="V2267" s="33" t="s">
        <v>26573</v>
      </c>
      <c r="W2267" s="33" t="s">
        <v>94</v>
      </c>
      <c r="X2267" s="33">
        <v>3265</v>
      </c>
      <c r="Z2267" s="33" t="s">
        <v>42968</v>
      </c>
      <c r="AA2267" s="33">
        <v>5398</v>
      </c>
    </row>
    <row r="2268" spans="1:46" ht="12" customHeight="1" x14ac:dyDescent="0.15">
      <c r="A2268" s="33" t="s">
        <v>30672</v>
      </c>
      <c r="B2268" s="33">
        <v>25</v>
      </c>
      <c r="C2268" s="33" t="s">
        <v>14</v>
      </c>
      <c r="D2268" s="33" t="s">
        <v>42</v>
      </c>
      <c r="E2268" s="42" t="s">
        <v>30673</v>
      </c>
      <c r="F2268" s="67">
        <v>43093</v>
      </c>
      <c r="G2268" s="33" t="s">
        <v>30674</v>
      </c>
      <c r="H2268" s="33" t="s">
        <v>584</v>
      </c>
      <c r="I2268" s="33" t="s">
        <v>112</v>
      </c>
      <c r="J2268" s="33">
        <v>85006</v>
      </c>
      <c r="K2268" s="33" t="s">
        <v>585</v>
      </c>
      <c r="L2268" s="33" t="s">
        <v>586</v>
      </c>
      <c r="M2268" s="33" t="s">
        <v>30675</v>
      </c>
      <c r="N2268" s="33" t="s">
        <v>30676</v>
      </c>
      <c r="O2268" s="33" t="s">
        <v>372</v>
      </c>
      <c r="P2268" s="33" t="s">
        <v>30089</v>
      </c>
      <c r="Q2268" s="42" t="s">
        <v>30677</v>
      </c>
      <c r="R2268" s="33" t="s">
        <v>94</v>
      </c>
      <c r="S2268" s="33" t="s">
        <v>22</v>
      </c>
      <c r="T2268" s="33" t="s">
        <v>26774</v>
      </c>
      <c r="U2268" s="33" t="s">
        <v>26570</v>
      </c>
      <c r="V2268" s="33" t="s">
        <v>26573</v>
      </c>
      <c r="W2268" s="33" t="s">
        <v>94</v>
      </c>
      <c r="X2268" s="33">
        <v>3266</v>
      </c>
      <c r="Z2268" s="33" t="s">
        <v>42966</v>
      </c>
      <c r="AA2268" s="33">
        <v>5399</v>
      </c>
    </row>
    <row r="2269" spans="1:46" ht="12" customHeight="1" x14ac:dyDescent="0.15">
      <c r="A2269" s="33" t="s">
        <v>36129</v>
      </c>
      <c r="B2269" s="33">
        <v>21</v>
      </c>
      <c r="C2269" s="33" t="s">
        <v>103</v>
      </c>
      <c r="D2269" s="33" t="s">
        <v>31</v>
      </c>
      <c r="E2269" s="42" t="s">
        <v>36136</v>
      </c>
      <c r="F2269" s="67">
        <v>43093</v>
      </c>
      <c r="G2269" s="33" t="s">
        <v>36135</v>
      </c>
      <c r="H2269" s="33" t="s">
        <v>36133</v>
      </c>
      <c r="I2269" s="33" t="s">
        <v>298</v>
      </c>
      <c r="J2269" s="33">
        <v>98902</v>
      </c>
      <c r="K2269" s="33" t="s">
        <v>20407</v>
      </c>
      <c r="L2269" s="33" t="s">
        <v>36130</v>
      </c>
      <c r="M2269" s="33" t="s">
        <v>21</v>
      </c>
      <c r="N2269" s="33" t="s">
        <v>36134</v>
      </c>
      <c r="O2269" s="33" t="s">
        <v>36131</v>
      </c>
      <c r="P2269" s="33" t="s">
        <v>1084</v>
      </c>
      <c r="Q2269" s="42" t="s">
        <v>36132</v>
      </c>
      <c r="R2269" s="33" t="s">
        <v>94</v>
      </c>
      <c r="S2269" s="33" t="s">
        <v>351</v>
      </c>
      <c r="T2269" s="33" t="s">
        <v>26867</v>
      </c>
      <c r="U2269" s="33" t="s">
        <v>26570</v>
      </c>
      <c r="V2269" s="33" t="s">
        <v>26571</v>
      </c>
      <c r="W2269" s="33" t="s">
        <v>94</v>
      </c>
      <c r="X2269" s="33">
        <v>3232</v>
      </c>
      <c r="Z2269" s="33" t="s">
        <v>42966</v>
      </c>
      <c r="AA2269" s="33">
        <v>5401</v>
      </c>
    </row>
    <row r="2270" spans="1:46" ht="12" customHeight="1" x14ac:dyDescent="0.15">
      <c r="A2270" s="33" t="s">
        <v>30645</v>
      </c>
      <c r="B2270" s="33">
        <v>32</v>
      </c>
      <c r="C2270" s="33" t="s">
        <v>14</v>
      </c>
      <c r="D2270" s="33" t="s">
        <v>42</v>
      </c>
      <c r="F2270" s="67">
        <v>43092</v>
      </c>
      <c r="G2270" s="33" t="s">
        <v>30646</v>
      </c>
      <c r="H2270" s="33" t="s">
        <v>30647</v>
      </c>
      <c r="I2270" s="33" t="s">
        <v>39</v>
      </c>
      <c r="J2270" s="33">
        <v>91304</v>
      </c>
      <c r="K2270" s="33" t="s">
        <v>92</v>
      </c>
      <c r="L2270" s="33" t="s">
        <v>93</v>
      </c>
      <c r="M2270" s="33" t="s">
        <v>21</v>
      </c>
      <c r="N2270" s="33" t="s">
        <v>30648</v>
      </c>
      <c r="O2270" s="33" t="s">
        <v>372</v>
      </c>
      <c r="P2270" s="33" t="s">
        <v>30089</v>
      </c>
      <c r="Q2270" s="42" t="s">
        <v>30649</v>
      </c>
      <c r="R2270" s="33" t="s">
        <v>94</v>
      </c>
      <c r="S2270" s="33" t="s">
        <v>22</v>
      </c>
      <c r="T2270" s="33" t="s">
        <v>26593</v>
      </c>
      <c r="U2270" s="33" t="s">
        <v>26570</v>
      </c>
      <c r="V2270" s="33" t="s">
        <v>26574</v>
      </c>
      <c r="W2270" s="33" t="s">
        <v>94</v>
      </c>
      <c r="X2270" s="33">
        <v>3234</v>
      </c>
      <c r="Z2270" s="33" t="s">
        <v>42968</v>
      </c>
      <c r="AA2270" s="33">
        <v>5396</v>
      </c>
    </row>
    <row r="2271" spans="1:46" ht="12" customHeight="1" x14ac:dyDescent="0.15">
      <c r="A2271" s="33" t="s">
        <v>30778</v>
      </c>
      <c r="B2271" s="33">
        <v>26</v>
      </c>
      <c r="C2271" s="33" t="s">
        <v>14</v>
      </c>
      <c r="D2271" s="33" t="s">
        <v>31</v>
      </c>
      <c r="E2271" s="42" t="s">
        <v>30884</v>
      </c>
      <c r="F2271" s="67">
        <v>43092</v>
      </c>
      <c r="G2271" s="33" t="s">
        <v>30779</v>
      </c>
      <c r="H2271" s="33" t="s">
        <v>30780</v>
      </c>
      <c r="I2271" s="33" t="s">
        <v>468</v>
      </c>
      <c r="J2271" s="33">
        <v>3741</v>
      </c>
      <c r="K2271" s="33" t="s">
        <v>1347</v>
      </c>
      <c r="L2271" s="33" t="s">
        <v>12635</v>
      </c>
      <c r="M2271" s="33" t="s">
        <v>21</v>
      </c>
      <c r="N2271" s="33" t="s">
        <v>30781</v>
      </c>
      <c r="O2271" s="33" t="s">
        <v>372</v>
      </c>
      <c r="P2271" s="33" t="s">
        <v>30089</v>
      </c>
      <c r="Q2271" s="42" t="s">
        <v>30782</v>
      </c>
      <c r="R2271" s="33" t="s">
        <v>94</v>
      </c>
      <c r="S2271" s="33" t="s">
        <v>29</v>
      </c>
      <c r="T2271" s="33" t="s">
        <v>26575</v>
      </c>
      <c r="U2271" s="33" t="s">
        <v>26575</v>
      </c>
      <c r="V2271" s="33" t="s">
        <v>26573</v>
      </c>
      <c r="W2271" s="33" t="s">
        <v>94</v>
      </c>
      <c r="X2271" s="33">
        <v>3235</v>
      </c>
      <c r="Z2271" s="33" t="s">
        <v>42967</v>
      </c>
      <c r="AA2271" s="33">
        <v>5397</v>
      </c>
    </row>
    <row r="2272" spans="1:46" ht="12" customHeight="1" x14ac:dyDescent="0.15">
      <c r="A2272" s="33" t="s">
        <v>30639</v>
      </c>
      <c r="B2272" s="33">
        <v>62</v>
      </c>
      <c r="C2272" s="33" t="s">
        <v>14</v>
      </c>
      <c r="D2272" s="33" t="s">
        <v>30751</v>
      </c>
      <c r="F2272" s="67">
        <v>43091</v>
      </c>
      <c r="G2272" s="33" t="s">
        <v>30640</v>
      </c>
      <c r="H2272" s="33" t="s">
        <v>30641</v>
      </c>
      <c r="I2272" s="33" t="s">
        <v>735</v>
      </c>
      <c r="J2272" s="33">
        <v>83201</v>
      </c>
      <c r="K2272" s="33" t="s">
        <v>15834</v>
      </c>
      <c r="L2272" s="33" t="s">
        <v>30642</v>
      </c>
      <c r="M2272" s="33" t="s">
        <v>21</v>
      </c>
      <c r="N2272" s="33" t="s">
        <v>30643</v>
      </c>
      <c r="O2272" s="33" t="s">
        <v>372</v>
      </c>
      <c r="P2272" s="33" t="s">
        <v>30089</v>
      </c>
      <c r="Q2272" s="42" t="s">
        <v>30644</v>
      </c>
      <c r="R2272" s="33" t="s">
        <v>94</v>
      </c>
      <c r="S2272" s="33" t="s">
        <v>22</v>
      </c>
      <c r="T2272" s="33" t="s">
        <v>26781</v>
      </c>
      <c r="U2272" s="33" t="s">
        <v>26570</v>
      </c>
      <c r="V2272" s="33" t="s">
        <v>26573</v>
      </c>
      <c r="W2272" s="33" t="s">
        <v>94</v>
      </c>
      <c r="X2272" s="33">
        <v>3238</v>
      </c>
      <c r="Z2272" s="33" t="s">
        <v>42968</v>
      </c>
      <c r="AA2272" s="33">
        <v>5395</v>
      </c>
    </row>
    <row r="2273" spans="1:27" ht="12" customHeight="1" x14ac:dyDescent="0.15">
      <c r="A2273" s="33" t="s">
        <v>30627</v>
      </c>
      <c r="B2273" s="33">
        <v>51</v>
      </c>
      <c r="C2273" s="33" t="s">
        <v>14</v>
      </c>
      <c r="D2273" s="33" t="s">
        <v>15</v>
      </c>
      <c r="E2273" s="42" t="s">
        <v>30628</v>
      </c>
      <c r="F2273" s="67">
        <v>43091</v>
      </c>
      <c r="G2273" s="33" t="s">
        <v>30629</v>
      </c>
      <c r="H2273" s="33" t="s">
        <v>11218</v>
      </c>
      <c r="I2273" s="33" t="s">
        <v>376</v>
      </c>
      <c r="J2273" s="33">
        <v>17104</v>
      </c>
      <c r="K2273" s="33" t="s">
        <v>4183</v>
      </c>
      <c r="L2273" s="33" t="s">
        <v>30630</v>
      </c>
      <c r="M2273" s="33" t="s">
        <v>21</v>
      </c>
      <c r="N2273" s="33" t="s">
        <v>30631</v>
      </c>
      <c r="O2273" s="33" t="s">
        <v>372</v>
      </c>
      <c r="P2273" s="33" t="s">
        <v>30089</v>
      </c>
      <c r="Q2273" s="42" t="s">
        <v>30632</v>
      </c>
      <c r="R2273" s="33" t="s">
        <v>94</v>
      </c>
      <c r="S2273" s="33" t="s">
        <v>22</v>
      </c>
      <c r="T2273" s="33" t="s">
        <v>26781</v>
      </c>
      <c r="U2273" s="33" t="s">
        <v>26572</v>
      </c>
      <c r="V2273" s="33" t="s">
        <v>26574</v>
      </c>
      <c r="W2273" s="33" t="s">
        <v>94</v>
      </c>
      <c r="X2273" s="33">
        <v>3236</v>
      </c>
      <c r="Z2273" s="33" t="s">
        <v>42966</v>
      </c>
      <c r="AA2273" s="33">
        <v>5393</v>
      </c>
    </row>
    <row r="2274" spans="1:27" ht="12" customHeight="1" x14ac:dyDescent="0.15">
      <c r="A2274" s="33" t="s">
        <v>30633</v>
      </c>
      <c r="B2274" s="33">
        <v>40</v>
      </c>
      <c r="C2274" s="33" t="s">
        <v>14</v>
      </c>
      <c r="D2274" s="33" t="s">
        <v>31</v>
      </c>
      <c r="E2274" s="42" t="s">
        <v>30634</v>
      </c>
      <c r="F2274" s="67">
        <v>43091</v>
      </c>
      <c r="G2274" s="33" t="s">
        <v>30635</v>
      </c>
      <c r="H2274" s="33" t="s">
        <v>750</v>
      </c>
      <c r="I2274" s="33" t="s">
        <v>122</v>
      </c>
      <c r="J2274" s="33">
        <v>55741</v>
      </c>
      <c r="K2274" s="33" t="s">
        <v>661</v>
      </c>
      <c r="L2274" s="33" t="s">
        <v>30636</v>
      </c>
      <c r="M2274" s="33" t="s">
        <v>21</v>
      </c>
      <c r="N2274" s="33" t="s">
        <v>30637</v>
      </c>
      <c r="O2274" s="33" t="s">
        <v>372</v>
      </c>
      <c r="P2274" s="33" t="s">
        <v>30089</v>
      </c>
      <c r="Q2274" s="42" t="s">
        <v>30638</v>
      </c>
      <c r="R2274" s="33" t="s">
        <v>94</v>
      </c>
      <c r="S2274" s="33" t="s">
        <v>22</v>
      </c>
      <c r="T2274" s="33" t="s">
        <v>26781</v>
      </c>
      <c r="U2274" s="33" t="s">
        <v>26572</v>
      </c>
      <c r="V2274" s="33" t="s">
        <v>26574</v>
      </c>
      <c r="W2274" s="33" t="s">
        <v>94</v>
      </c>
      <c r="X2274" s="33">
        <v>3237</v>
      </c>
      <c r="Z2274" s="33" t="s">
        <v>42967</v>
      </c>
      <c r="AA2274" s="33">
        <v>5394</v>
      </c>
    </row>
    <row r="2275" spans="1:27" ht="12" customHeight="1" x14ac:dyDescent="0.15">
      <c r="A2275" s="33" t="s">
        <v>30622</v>
      </c>
      <c r="B2275" s="33">
        <v>26</v>
      </c>
      <c r="C2275" s="33" t="s">
        <v>14</v>
      </c>
      <c r="D2275" s="33" t="s">
        <v>42</v>
      </c>
      <c r="E2275" s="42" t="s">
        <v>30623</v>
      </c>
      <c r="F2275" s="67">
        <v>43090</v>
      </c>
      <c r="G2275" s="33" t="s">
        <v>30624</v>
      </c>
      <c r="H2275" s="33" t="s">
        <v>1592</v>
      </c>
      <c r="I2275" s="33" t="s">
        <v>192</v>
      </c>
      <c r="J2275" s="33">
        <v>80634</v>
      </c>
      <c r="K2275" s="33" t="s">
        <v>1594</v>
      </c>
      <c r="L2275" s="33" t="s">
        <v>1595</v>
      </c>
      <c r="M2275" s="33" t="s">
        <v>21</v>
      </c>
      <c r="N2275" s="33" t="s">
        <v>30625</v>
      </c>
      <c r="O2275" s="33" t="s">
        <v>372</v>
      </c>
      <c r="P2275" s="33" t="s">
        <v>30089</v>
      </c>
      <c r="Q2275" s="42" t="s">
        <v>30626</v>
      </c>
      <c r="R2275" s="33" t="s">
        <v>94</v>
      </c>
      <c r="S2275" s="33" t="s">
        <v>22</v>
      </c>
      <c r="T2275" s="33" t="s">
        <v>26781</v>
      </c>
      <c r="U2275" s="33" t="s">
        <v>26570</v>
      </c>
      <c r="V2275" s="33" t="s">
        <v>26574</v>
      </c>
      <c r="W2275" s="33" t="s">
        <v>94</v>
      </c>
      <c r="X2275" s="33">
        <v>3239</v>
      </c>
      <c r="Z2275" s="33" t="s">
        <v>42968</v>
      </c>
      <c r="AA2275" s="33">
        <v>5388</v>
      </c>
    </row>
    <row r="2276" spans="1:27" ht="12" customHeight="1" x14ac:dyDescent="0.15">
      <c r="A2276" s="33" t="s">
        <v>30810</v>
      </c>
      <c r="B2276" s="33">
        <v>35</v>
      </c>
      <c r="C2276" s="33" t="s">
        <v>14</v>
      </c>
      <c r="D2276" s="33" t="s">
        <v>42</v>
      </c>
      <c r="E2276" s="42" t="s">
        <v>30811</v>
      </c>
      <c r="F2276" s="67">
        <v>43090</v>
      </c>
      <c r="G2276" s="33" t="s">
        <v>30812</v>
      </c>
      <c r="H2276" s="33" t="s">
        <v>11426</v>
      </c>
      <c r="I2276" s="33" t="s">
        <v>178</v>
      </c>
      <c r="J2276" s="33">
        <v>87401</v>
      </c>
      <c r="K2276" s="33" t="s">
        <v>5263</v>
      </c>
      <c r="L2276" s="33" t="s">
        <v>11428</v>
      </c>
      <c r="M2276" s="33" t="s">
        <v>21</v>
      </c>
      <c r="N2276" s="33" t="s">
        <v>30813</v>
      </c>
      <c r="O2276" s="33" t="s">
        <v>372</v>
      </c>
      <c r="P2276" s="33" t="s">
        <v>30089</v>
      </c>
      <c r="Q2276" s="42" t="s">
        <v>30814</v>
      </c>
      <c r="R2276" s="33" t="s">
        <v>94</v>
      </c>
      <c r="S2276" s="33" t="s">
        <v>351</v>
      </c>
      <c r="T2276" s="33" t="s">
        <v>26867</v>
      </c>
      <c r="U2276" s="33" t="s">
        <v>26570</v>
      </c>
      <c r="V2276" s="33" t="s">
        <v>26573</v>
      </c>
      <c r="W2276" s="33" t="s">
        <v>94</v>
      </c>
      <c r="X2276" s="33">
        <v>3227</v>
      </c>
      <c r="Z2276" s="33" t="s">
        <v>42966</v>
      </c>
      <c r="AA2276" s="33">
        <v>5392</v>
      </c>
    </row>
    <row r="2277" spans="1:27" ht="12" customHeight="1" x14ac:dyDescent="0.15">
      <c r="A2277" s="33" t="s">
        <v>30615</v>
      </c>
      <c r="B2277" s="33">
        <v>56</v>
      </c>
      <c r="C2277" s="33" t="s">
        <v>14</v>
      </c>
      <c r="D2277" s="33" t="s">
        <v>30751</v>
      </c>
      <c r="F2277" s="67">
        <v>43090</v>
      </c>
      <c r="G2277" s="33" t="s">
        <v>30616</v>
      </c>
      <c r="H2277" s="33" t="s">
        <v>4070</v>
      </c>
      <c r="I2277" s="33" t="s">
        <v>309</v>
      </c>
      <c r="J2277" s="33">
        <v>99503</v>
      </c>
      <c r="K2277" s="33" t="s">
        <v>4070</v>
      </c>
      <c r="L2277" s="33" t="s">
        <v>4072</v>
      </c>
      <c r="M2277" s="33" t="s">
        <v>21</v>
      </c>
      <c r="N2277" s="33" t="s">
        <v>30617</v>
      </c>
      <c r="O2277" s="33" t="s">
        <v>372</v>
      </c>
      <c r="P2277" s="33" t="s">
        <v>30089</v>
      </c>
      <c r="Q2277" s="42" t="s">
        <v>30618</v>
      </c>
      <c r="R2277" s="33" t="s">
        <v>94</v>
      </c>
      <c r="S2277" s="33" t="s">
        <v>22</v>
      </c>
      <c r="T2277" s="33" t="s">
        <v>26781</v>
      </c>
      <c r="U2277" s="33" t="s">
        <v>26572</v>
      </c>
      <c r="V2277" s="33" t="s">
        <v>26573</v>
      </c>
      <c r="W2277" s="33" t="s">
        <v>94</v>
      </c>
      <c r="X2277" s="33">
        <v>3226</v>
      </c>
      <c r="Z2277" s="33" t="s">
        <v>42968</v>
      </c>
      <c r="AA2277" s="33">
        <v>5387</v>
      </c>
    </row>
    <row r="2278" spans="1:27" ht="12" customHeight="1" x14ac:dyDescent="0.15">
      <c r="A2278" s="33" t="s">
        <v>30710</v>
      </c>
      <c r="B2278" s="33">
        <v>30</v>
      </c>
      <c r="C2278" s="33" t="s">
        <v>103</v>
      </c>
      <c r="D2278" s="33" t="s">
        <v>31</v>
      </c>
      <c r="E2278" s="42" t="s">
        <v>30711</v>
      </c>
      <c r="F2278" s="67">
        <v>43090</v>
      </c>
      <c r="G2278" s="33" t="s">
        <v>30712</v>
      </c>
      <c r="H2278" s="33" t="s">
        <v>30713</v>
      </c>
      <c r="I2278" s="33" t="s">
        <v>67</v>
      </c>
      <c r="J2278" s="33">
        <v>78154</v>
      </c>
      <c r="K2278" s="33" t="s">
        <v>6128</v>
      </c>
      <c r="L2278" s="33" t="s">
        <v>542</v>
      </c>
      <c r="M2278" s="33" t="s">
        <v>21</v>
      </c>
      <c r="N2278" s="33" t="s">
        <v>30714</v>
      </c>
      <c r="O2278" s="33" t="s">
        <v>372</v>
      </c>
      <c r="P2278" s="33" t="s">
        <v>30089</v>
      </c>
      <c r="Q2278" s="42" t="s">
        <v>30715</v>
      </c>
      <c r="R2278" s="33" t="s">
        <v>94</v>
      </c>
      <c r="S2278" s="33" t="s">
        <v>29</v>
      </c>
      <c r="T2278" s="33" t="s">
        <v>26579</v>
      </c>
      <c r="U2278" s="33" t="s">
        <v>26572</v>
      </c>
      <c r="V2278" s="33" t="s">
        <v>26574</v>
      </c>
      <c r="W2278" s="33" t="s">
        <v>512</v>
      </c>
      <c r="X2278" s="33">
        <v>3230</v>
      </c>
      <c r="Z2278" s="33" t="s">
        <v>42968</v>
      </c>
      <c r="AA2278" s="33">
        <v>5390</v>
      </c>
    </row>
    <row r="2279" spans="1:27" ht="12" customHeight="1" x14ac:dyDescent="0.15">
      <c r="A2279" s="33" t="s">
        <v>30754</v>
      </c>
      <c r="B2279" s="33">
        <v>6</v>
      </c>
      <c r="C2279" s="33" t="s">
        <v>14</v>
      </c>
      <c r="D2279" s="33" t="s">
        <v>42</v>
      </c>
      <c r="E2279" s="42" t="s">
        <v>30755</v>
      </c>
      <c r="F2279" s="67">
        <v>43090</v>
      </c>
      <c r="G2279" s="33" t="s">
        <v>30712</v>
      </c>
      <c r="H2279" s="33" t="s">
        <v>30713</v>
      </c>
      <c r="I2279" s="33" t="s">
        <v>67</v>
      </c>
      <c r="J2279" s="33">
        <v>78154</v>
      </c>
      <c r="K2279" s="33" t="s">
        <v>6128</v>
      </c>
      <c r="L2279" s="33" t="s">
        <v>542</v>
      </c>
      <c r="M2279" s="33" t="s">
        <v>21</v>
      </c>
      <c r="N2279" s="33" t="s">
        <v>30714</v>
      </c>
      <c r="O2279" s="33" t="s">
        <v>372</v>
      </c>
      <c r="P2279" s="33" t="s">
        <v>30089</v>
      </c>
      <c r="Q2279" s="42" t="s">
        <v>30715</v>
      </c>
      <c r="R2279" s="33" t="s">
        <v>94</v>
      </c>
      <c r="S2279" s="33" t="s">
        <v>12</v>
      </c>
      <c r="T2279" s="33" t="s">
        <v>29705</v>
      </c>
      <c r="U2279" s="33" t="s">
        <v>26570</v>
      </c>
      <c r="V2279" s="33" t="s">
        <v>26573</v>
      </c>
      <c r="W2279" s="33" t="s">
        <v>512</v>
      </c>
      <c r="X2279" s="33">
        <v>3229</v>
      </c>
      <c r="Z2279" s="33" t="s">
        <v>42968</v>
      </c>
      <c r="AA2279" s="33">
        <v>5391</v>
      </c>
    </row>
    <row r="2280" spans="1:27" ht="12" customHeight="1" x14ac:dyDescent="0.15">
      <c r="A2280" s="33" t="s">
        <v>3002</v>
      </c>
      <c r="B2280" s="33" t="s">
        <v>23</v>
      </c>
      <c r="C2280" s="33" t="s">
        <v>103</v>
      </c>
      <c r="D2280" s="33" t="s">
        <v>30751</v>
      </c>
      <c r="F2280" s="67">
        <v>43090</v>
      </c>
      <c r="G2280" s="33" t="s">
        <v>30669</v>
      </c>
      <c r="H2280" s="33" t="s">
        <v>30670</v>
      </c>
      <c r="I2280" s="33" t="s">
        <v>39</v>
      </c>
      <c r="J2280" s="33">
        <v>95482</v>
      </c>
      <c r="K2280" s="33" t="s">
        <v>5291</v>
      </c>
      <c r="L2280" s="33" t="s">
        <v>12301</v>
      </c>
      <c r="M2280" s="33" t="s">
        <v>21</v>
      </c>
      <c r="N2280" s="33" t="s">
        <v>36501</v>
      </c>
      <c r="O2280" s="33" t="s">
        <v>372</v>
      </c>
      <c r="P2280" s="33" t="s">
        <v>30089</v>
      </c>
      <c r="Q2280" s="42" t="s">
        <v>30671</v>
      </c>
      <c r="R2280" s="33" t="s">
        <v>94</v>
      </c>
      <c r="S2280" s="33" t="s">
        <v>22</v>
      </c>
      <c r="T2280" s="33" t="s">
        <v>26781</v>
      </c>
      <c r="U2280" s="33" t="s">
        <v>26572</v>
      </c>
      <c r="V2280" s="33" t="s">
        <v>26573</v>
      </c>
      <c r="Z2280" s="33" t="s">
        <v>42967</v>
      </c>
      <c r="AA2280" s="33">
        <v>5389</v>
      </c>
    </row>
    <row r="2281" spans="1:27" ht="12" customHeight="1" x14ac:dyDescent="0.15">
      <c r="A2281" s="33" t="s">
        <v>4532</v>
      </c>
      <c r="B2281" s="33">
        <v>33</v>
      </c>
      <c r="C2281" s="33" t="s">
        <v>14</v>
      </c>
      <c r="D2281" s="33" t="s">
        <v>31</v>
      </c>
      <c r="E2281" s="42" t="s">
        <v>30704</v>
      </c>
      <c r="F2281" s="67">
        <v>43089</v>
      </c>
      <c r="G2281" s="33" t="s">
        <v>30705</v>
      </c>
      <c r="H2281" s="33" t="s">
        <v>30706</v>
      </c>
      <c r="I2281" s="33" t="s">
        <v>63</v>
      </c>
      <c r="J2281" s="33">
        <v>45342</v>
      </c>
      <c r="K2281" s="33" t="s">
        <v>995</v>
      </c>
      <c r="L2281" s="33" t="s">
        <v>30707</v>
      </c>
      <c r="M2281" s="33" t="s">
        <v>21</v>
      </c>
      <c r="N2281" s="33" t="s">
        <v>30708</v>
      </c>
      <c r="O2281" s="33" t="s">
        <v>372</v>
      </c>
      <c r="P2281" s="33" t="s">
        <v>30089</v>
      </c>
      <c r="Q2281" s="42" t="s">
        <v>30709</v>
      </c>
      <c r="R2281" s="33" t="s">
        <v>904</v>
      </c>
      <c r="S2281" s="33" t="s">
        <v>12</v>
      </c>
      <c r="T2281" s="33" t="s">
        <v>29425</v>
      </c>
      <c r="U2281" s="33" t="s">
        <v>26570</v>
      </c>
      <c r="V2281" s="33" t="s">
        <v>26573</v>
      </c>
      <c r="W2281" s="33" t="s">
        <v>94</v>
      </c>
      <c r="X2281" s="33">
        <v>3222</v>
      </c>
      <c r="Z2281" s="33" t="s">
        <v>42968</v>
      </c>
      <c r="AA2281" s="33">
        <v>5386</v>
      </c>
    </row>
    <row r="2282" spans="1:27" ht="12" customHeight="1" x14ac:dyDescent="0.15">
      <c r="A2282" s="33" t="s">
        <v>33969</v>
      </c>
      <c r="B2282" s="33" t="s">
        <v>23</v>
      </c>
      <c r="C2282" s="33" t="s">
        <v>14</v>
      </c>
      <c r="D2282" s="33" t="s">
        <v>42</v>
      </c>
      <c r="F2282" s="67">
        <v>43089</v>
      </c>
      <c r="G2282" s="33" t="s">
        <v>30619</v>
      </c>
      <c r="H2282" s="33" t="s">
        <v>837</v>
      </c>
      <c r="I2282" s="33" t="s">
        <v>39</v>
      </c>
      <c r="J2282" s="33">
        <v>92056</v>
      </c>
      <c r="K2282" s="33" t="s">
        <v>143</v>
      </c>
      <c r="L2282" s="33" t="s">
        <v>1970</v>
      </c>
      <c r="M2282" s="33" t="s">
        <v>21</v>
      </c>
      <c r="N2282" s="33" t="s">
        <v>30620</v>
      </c>
      <c r="O2282" s="33" t="s">
        <v>372</v>
      </c>
      <c r="P2282" s="33" t="s">
        <v>30089</v>
      </c>
      <c r="Q2282" s="42" t="s">
        <v>30621</v>
      </c>
      <c r="R2282" s="33" t="s">
        <v>94</v>
      </c>
      <c r="S2282" s="33" t="s">
        <v>22</v>
      </c>
      <c r="T2282" s="33" t="s">
        <v>26781</v>
      </c>
      <c r="U2282" s="33" t="s">
        <v>26575</v>
      </c>
      <c r="V2282" s="33" t="s">
        <v>26574</v>
      </c>
      <c r="W2282" s="33" t="s">
        <v>94</v>
      </c>
      <c r="X2282" s="33">
        <v>3228</v>
      </c>
      <c r="Z2282" s="33" t="s">
        <v>42968</v>
      </c>
      <c r="AA2282" s="33">
        <v>5385</v>
      </c>
    </row>
    <row r="2283" spans="1:27" ht="12" customHeight="1" x14ac:dyDescent="0.15">
      <c r="A2283" s="33" t="s">
        <v>30598</v>
      </c>
      <c r="B2283" s="33">
        <v>56</v>
      </c>
      <c r="C2283" s="33" t="s">
        <v>14</v>
      </c>
      <c r="D2283" s="33" t="s">
        <v>31</v>
      </c>
      <c r="E2283" s="42" t="s">
        <v>30599</v>
      </c>
      <c r="F2283" s="67">
        <v>43088</v>
      </c>
      <c r="G2283" s="33" t="s">
        <v>30600</v>
      </c>
      <c r="H2283" s="33" t="s">
        <v>30601</v>
      </c>
      <c r="I2283" s="33" t="s">
        <v>918</v>
      </c>
      <c r="J2283" s="33">
        <v>72947</v>
      </c>
      <c r="K2283" s="33" t="s">
        <v>10271</v>
      </c>
      <c r="L2283" s="33" t="s">
        <v>30602</v>
      </c>
      <c r="M2283" s="33" t="s">
        <v>21</v>
      </c>
      <c r="N2283" s="33" t="s">
        <v>30603</v>
      </c>
      <c r="O2283" s="33" t="s">
        <v>372</v>
      </c>
      <c r="P2283" s="33" t="s">
        <v>30089</v>
      </c>
      <c r="Q2283" s="42" t="s">
        <v>30604</v>
      </c>
      <c r="R2283" s="33" t="s">
        <v>94</v>
      </c>
      <c r="S2283" s="33" t="s">
        <v>22</v>
      </c>
      <c r="T2283" s="33" t="s">
        <v>26774</v>
      </c>
      <c r="U2283" s="33" t="s">
        <v>26570</v>
      </c>
      <c r="V2283" s="33" t="s">
        <v>26574</v>
      </c>
      <c r="W2283" s="33" t="s">
        <v>94</v>
      </c>
      <c r="X2283" s="33">
        <v>3223</v>
      </c>
      <c r="Z2283" s="33" t="s">
        <v>42967</v>
      </c>
      <c r="AA2283" s="33">
        <v>5383</v>
      </c>
    </row>
    <row r="2284" spans="1:27" ht="12" customHeight="1" x14ac:dyDescent="0.15">
      <c r="A2284" s="33" t="s">
        <v>3002</v>
      </c>
      <c r="B2284" s="33" t="s">
        <v>23</v>
      </c>
      <c r="C2284" s="33" t="s">
        <v>14</v>
      </c>
      <c r="D2284" s="33" t="s">
        <v>30751</v>
      </c>
      <c r="F2284" s="67">
        <v>43088</v>
      </c>
      <c r="G2284" s="33" t="s">
        <v>30612</v>
      </c>
      <c r="H2284" s="33" t="s">
        <v>17114</v>
      </c>
      <c r="I2284" s="33" t="s">
        <v>282</v>
      </c>
      <c r="J2284" s="33">
        <v>98034</v>
      </c>
      <c r="K2284" s="33" t="s">
        <v>1133</v>
      </c>
      <c r="L2284" s="33" t="s">
        <v>17115</v>
      </c>
      <c r="M2284" s="33" t="s">
        <v>21</v>
      </c>
      <c r="N2284" s="33" t="s">
        <v>30613</v>
      </c>
      <c r="O2284" s="33" t="s">
        <v>372</v>
      </c>
      <c r="P2284" s="33" t="s">
        <v>30089</v>
      </c>
      <c r="Q2284" s="42" t="s">
        <v>30614</v>
      </c>
      <c r="R2284" s="33" t="s">
        <v>94</v>
      </c>
      <c r="S2284" s="33" t="s">
        <v>22</v>
      </c>
      <c r="T2284" s="33" t="s">
        <v>26781</v>
      </c>
      <c r="U2284" s="33" t="s">
        <v>26570</v>
      </c>
      <c r="V2284" s="33" t="s">
        <v>26573</v>
      </c>
      <c r="W2284" s="33" t="s">
        <v>94</v>
      </c>
      <c r="X2284" s="33">
        <v>3225</v>
      </c>
      <c r="Z2284" s="33" t="s">
        <v>42968</v>
      </c>
      <c r="AA2284" s="33">
        <v>5382</v>
      </c>
    </row>
    <row r="2285" spans="1:27" ht="12" customHeight="1" x14ac:dyDescent="0.15">
      <c r="A2285" s="33" t="s">
        <v>30605</v>
      </c>
      <c r="B2285" s="33">
        <v>24</v>
      </c>
      <c r="C2285" s="33" t="s">
        <v>14</v>
      </c>
      <c r="D2285" s="33" t="s">
        <v>79</v>
      </c>
      <c r="E2285" s="42" t="s">
        <v>30606</v>
      </c>
      <c r="F2285" s="67">
        <v>43088</v>
      </c>
      <c r="G2285" s="33" t="s">
        <v>30607</v>
      </c>
      <c r="H2285" s="33" t="s">
        <v>30608</v>
      </c>
      <c r="I2285" s="33" t="s">
        <v>67</v>
      </c>
      <c r="J2285" s="33">
        <v>75056</v>
      </c>
      <c r="K2285" s="33" t="s">
        <v>153</v>
      </c>
      <c r="L2285" s="33" t="s">
        <v>30609</v>
      </c>
      <c r="M2285" s="33" t="s">
        <v>21</v>
      </c>
      <c r="N2285" s="33" t="s">
        <v>30610</v>
      </c>
      <c r="O2285" s="33" t="s">
        <v>372</v>
      </c>
      <c r="P2285" s="33" t="s">
        <v>30089</v>
      </c>
      <c r="Q2285" s="42" t="s">
        <v>30611</v>
      </c>
      <c r="R2285" s="33" t="s">
        <v>94</v>
      </c>
      <c r="S2285" s="33" t="s">
        <v>22</v>
      </c>
      <c r="T2285" s="33" t="s">
        <v>26774</v>
      </c>
      <c r="U2285" s="33" t="s">
        <v>26570</v>
      </c>
      <c r="V2285" s="33" t="s">
        <v>26573</v>
      </c>
      <c r="W2285" s="33" t="s">
        <v>94</v>
      </c>
      <c r="X2285" s="33">
        <v>3224</v>
      </c>
      <c r="Z2285" s="33" t="s">
        <v>42968</v>
      </c>
      <c r="AA2285" s="33">
        <v>5384</v>
      </c>
    </row>
    <row r="2286" spans="1:27" ht="12" customHeight="1" x14ac:dyDescent="0.15">
      <c r="A2286" s="33" t="s">
        <v>30592</v>
      </c>
      <c r="B2286" s="33">
        <v>48</v>
      </c>
      <c r="C2286" s="33" t="s">
        <v>14</v>
      </c>
      <c r="D2286" s="33" t="s">
        <v>79</v>
      </c>
      <c r="E2286" s="42" t="s">
        <v>30593</v>
      </c>
      <c r="F2286" s="67">
        <v>43087</v>
      </c>
      <c r="G2286" s="33" t="s">
        <v>30594</v>
      </c>
      <c r="H2286" s="33" t="s">
        <v>30595</v>
      </c>
      <c r="I2286" s="33" t="s">
        <v>51</v>
      </c>
      <c r="J2286" s="33">
        <v>48237</v>
      </c>
      <c r="K2286" s="33" t="s">
        <v>557</v>
      </c>
      <c r="L2286" s="33" t="s">
        <v>30596</v>
      </c>
      <c r="M2286" s="33" t="s">
        <v>21</v>
      </c>
      <c r="N2286" s="33" t="s">
        <v>36502</v>
      </c>
      <c r="O2286" s="33" t="s">
        <v>372</v>
      </c>
      <c r="P2286" s="33" t="s">
        <v>30089</v>
      </c>
      <c r="Q2286" s="42" t="s">
        <v>30597</v>
      </c>
      <c r="R2286" s="33" t="s">
        <v>23</v>
      </c>
      <c r="S2286" s="33" t="s">
        <v>22</v>
      </c>
      <c r="T2286" s="33" t="s">
        <v>26585</v>
      </c>
      <c r="U2286" s="33" t="s">
        <v>26570</v>
      </c>
      <c r="V2286" s="33" t="s">
        <v>26573</v>
      </c>
      <c r="W2286" s="33" t="s">
        <v>94</v>
      </c>
      <c r="X2286" s="33">
        <v>3221</v>
      </c>
      <c r="Z2286" s="33" t="s">
        <v>42966</v>
      </c>
      <c r="AA2286" s="33">
        <v>5381</v>
      </c>
    </row>
    <row r="2287" spans="1:27" ht="12" customHeight="1" x14ac:dyDescent="0.15">
      <c r="A2287" s="33" t="s">
        <v>30772</v>
      </c>
      <c r="B2287" s="33">
        <v>27</v>
      </c>
      <c r="C2287" s="33" t="s">
        <v>14</v>
      </c>
      <c r="D2287" s="33" t="s">
        <v>31</v>
      </c>
      <c r="F2287" s="67">
        <v>43086</v>
      </c>
      <c r="G2287" s="33" t="s">
        <v>30773</v>
      </c>
      <c r="H2287" s="33" t="s">
        <v>2064</v>
      </c>
      <c r="I2287" s="33" t="s">
        <v>298</v>
      </c>
      <c r="J2287" s="33">
        <v>37310</v>
      </c>
      <c r="K2287" s="33" t="s">
        <v>925</v>
      </c>
      <c r="L2287" s="33" t="s">
        <v>30774</v>
      </c>
      <c r="M2287" s="33" t="s">
        <v>21</v>
      </c>
      <c r="N2287" s="33" t="s">
        <v>30775</v>
      </c>
      <c r="O2287" s="33" t="s">
        <v>372</v>
      </c>
      <c r="P2287" s="33" t="s">
        <v>30089</v>
      </c>
      <c r="Q2287" s="42" t="s">
        <v>30776</v>
      </c>
      <c r="R2287" s="33" t="s">
        <v>94</v>
      </c>
      <c r="S2287" s="33" t="s">
        <v>29</v>
      </c>
      <c r="T2287" s="33" t="s">
        <v>30777</v>
      </c>
      <c r="U2287" s="33" t="s">
        <v>26570</v>
      </c>
      <c r="V2287" s="33" t="s">
        <v>26574</v>
      </c>
      <c r="W2287" s="33" t="s">
        <v>94</v>
      </c>
      <c r="X2287" s="33">
        <v>3216</v>
      </c>
      <c r="Z2287" s="33" t="s">
        <v>42967</v>
      </c>
      <c r="AA2287" s="33">
        <v>5380</v>
      </c>
    </row>
    <row r="2288" spans="1:27" ht="12" customHeight="1" x14ac:dyDescent="0.15">
      <c r="A2288" s="33" t="s">
        <v>30698</v>
      </c>
      <c r="B2288" s="33">
        <v>52</v>
      </c>
      <c r="C2288" s="33" t="s">
        <v>14</v>
      </c>
      <c r="D2288" s="33" t="s">
        <v>31</v>
      </c>
      <c r="E2288" s="42" t="s">
        <v>30699</v>
      </c>
      <c r="F2288" s="67">
        <v>43086</v>
      </c>
      <c r="G2288" s="33" t="s">
        <v>30700</v>
      </c>
      <c r="H2288" s="33" t="s">
        <v>30701</v>
      </c>
      <c r="I2288" s="33" t="s">
        <v>139</v>
      </c>
      <c r="J2288" s="33">
        <v>26294</v>
      </c>
      <c r="K2288" s="33" t="s">
        <v>14479</v>
      </c>
      <c r="L2288" s="33" t="s">
        <v>141</v>
      </c>
      <c r="M2288" s="33" t="s">
        <v>21</v>
      </c>
      <c r="N2288" s="33" t="s">
        <v>30702</v>
      </c>
      <c r="O2288" s="33" t="s">
        <v>372</v>
      </c>
      <c r="P2288" s="33" t="s">
        <v>30089</v>
      </c>
      <c r="Q2288" s="42" t="s">
        <v>30703</v>
      </c>
      <c r="R2288" s="33" t="s">
        <v>94</v>
      </c>
      <c r="S2288" s="33" t="s">
        <v>29</v>
      </c>
      <c r="T2288" s="33" t="s">
        <v>26604</v>
      </c>
      <c r="U2288" s="33" t="s">
        <v>26572</v>
      </c>
      <c r="V2288" s="33" t="s">
        <v>26573</v>
      </c>
      <c r="W2288" s="33" t="s">
        <v>94</v>
      </c>
      <c r="X2288" s="33">
        <v>3220</v>
      </c>
      <c r="Z2288" s="33" t="s">
        <v>42967</v>
      </c>
      <c r="AA2288" s="33">
        <v>5379</v>
      </c>
    </row>
    <row r="2289" spans="1:27" ht="12" customHeight="1" x14ac:dyDescent="0.15">
      <c r="A2289" s="33" t="s">
        <v>30585</v>
      </c>
      <c r="B2289" s="33">
        <v>52</v>
      </c>
      <c r="C2289" s="33" t="s">
        <v>14</v>
      </c>
      <c r="D2289" s="33" t="s">
        <v>79</v>
      </c>
      <c r="E2289" s="42" t="s">
        <v>30586</v>
      </c>
      <c r="F2289" s="67">
        <v>43086</v>
      </c>
      <c r="G2289" s="33" t="s">
        <v>30587</v>
      </c>
      <c r="H2289" s="33" t="s">
        <v>30588</v>
      </c>
      <c r="I2289" s="33" t="s">
        <v>282</v>
      </c>
      <c r="J2289" s="33">
        <v>98310</v>
      </c>
      <c r="K2289" s="33" t="s">
        <v>8257</v>
      </c>
      <c r="L2289" s="33" t="s">
        <v>30589</v>
      </c>
      <c r="M2289" s="33" t="s">
        <v>21</v>
      </c>
      <c r="N2289" s="33" t="s">
        <v>30590</v>
      </c>
      <c r="O2289" s="33" t="s">
        <v>372</v>
      </c>
      <c r="P2289" s="33" t="s">
        <v>30089</v>
      </c>
      <c r="Q2289" s="42" t="s">
        <v>30591</v>
      </c>
      <c r="R2289" s="33" t="s">
        <v>94</v>
      </c>
      <c r="S2289" s="33" t="s">
        <v>22</v>
      </c>
      <c r="T2289" s="33" t="s">
        <v>26781</v>
      </c>
      <c r="U2289" s="33" t="s">
        <v>26572</v>
      </c>
      <c r="V2289" s="33" t="s">
        <v>26573</v>
      </c>
      <c r="W2289" s="33" t="s">
        <v>94</v>
      </c>
      <c r="X2289" s="33">
        <v>3217</v>
      </c>
      <c r="Z2289" s="33" t="s">
        <v>42968</v>
      </c>
      <c r="AA2289" s="33">
        <v>5378</v>
      </c>
    </row>
    <row r="2290" spans="1:27" ht="12" customHeight="1" x14ac:dyDescent="0.15">
      <c r="A2290" s="33" t="s">
        <v>30801</v>
      </c>
      <c r="B2290" s="33">
        <v>34</v>
      </c>
      <c r="C2290" s="33" t="s">
        <v>14</v>
      </c>
      <c r="D2290" s="33" t="s">
        <v>31</v>
      </c>
      <c r="E2290" s="42" t="s">
        <v>30802</v>
      </c>
      <c r="F2290" s="67">
        <v>43084</v>
      </c>
      <c r="G2290" s="33" t="s">
        <v>30883</v>
      </c>
      <c r="H2290" s="33" t="s">
        <v>1428</v>
      </c>
      <c r="I2290" s="33" t="s">
        <v>298</v>
      </c>
      <c r="J2290" s="33">
        <v>37110</v>
      </c>
      <c r="K2290" s="33" t="s">
        <v>5481</v>
      </c>
      <c r="L2290" s="33" t="s">
        <v>5533</v>
      </c>
      <c r="M2290" s="33" t="s">
        <v>21</v>
      </c>
      <c r="N2290" s="33" t="s">
        <v>30803</v>
      </c>
      <c r="O2290" s="33" t="s">
        <v>372</v>
      </c>
      <c r="P2290" s="33" t="s">
        <v>30089</v>
      </c>
      <c r="Q2290" s="42" t="s">
        <v>30804</v>
      </c>
      <c r="R2290" s="33" t="s">
        <v>94</v>
      </c>
      <c r="S2290" s="33" t="s">
        <v>351</v>
      </c>
      <c r="T2290" s="33" t="s">
        <v>26867</v>
      </c>
      <c r="U2290" s="33" t="s">
        <v>26570</v>
      </c>
      <c r="V2290" s="33" t="s">
        <v>26571</v>
      </c>
      <c r="W2290" s="33" t="s">
        <v>94</v>
      </c>
      <c r="X2290" s="33">
        <v>3213</v>
      </c>
      <c r="Z2290" s="33" t="s">
        <v>42967</v>
      </c>
      <c r="AA2290" s="33">
        <v>5376</v>
      </c>
    </row>
    <row r="2291" spans="1:27" ht="12" customHeight="1" x14ac:dyDescent="0.15">
      <c r="A2291" s="33" t="s">
        <v>30805</v>
      </c>
      <c r="B2291" s="33">
        <v>30</v>
      </c>
      <c r="C2291" s="33" t="s">
        <v>14</v>
      </c>
      <c r="D2291" s="33" t="s">
        <v>31</v>
      </c>
      <c r="E2291" s="42" t="s">
        <v>30806</v>
      </c>
      <c r="F2291" s="67">
        <v>43084</v>
      </c>
      <c r="G2291" s="33" t="s">
        <v>30807</v>
      </c>
      <c r="H2291" s="33" t="s">
        <v>205</v>
      </c>
      <c r="I2291" s="33" t="s">
        <v>206</v>
      </c>
      <c r="J2291" s="33">
        <v>19808</v>
      </c>
      <c r="K2291" s="33" t="s">
        <v>3496</v>
      </c>
      <c r="L2291" s="33" t="s">
        <v>5554</v>
      </c>
      <c r="M2291" s="33" t="s">
        <v>21</v>
      </c>
      <c r="N2291" s="33" t="s">
        <v>30808</v>
      </c>
      <c r="O2291" s="33" t="s">
        <v>372</v>
      </c>
      <c r="P2291" s="33" t="s">
        <v>30089</v>
      </c>
      <c r="Q2291" s="42" t="s">
        <v>30809</v>
      </c>
      <c r="R2291" s="33" t="s">
        <v>94</v>
      </c>
      <c r="S2291" s="33" t="s">
        <v>351</v>
      </c>
      <c r="T2291" s="33" t="s">
        <v>26867</v>
      </c>
      <c r="U2291" s="33" t="s">
        <v>26570</v>
      </c>
      <c r="V2291" s="33" t="s">
        <v>26571</v>
      </c>
      <c r="W2291" s="33" t="s">
        <v>94</v>
      </c>
      <c r="X2291" s="33">
        <v>3219</v>
      </c>
      <c r="Z2291" s="33" t="s">
        <v>42968</v>
      </c>
      <c r="AA2291" s="33">
        <v>5377</v>
      </c>
    </row>
    <row r="2292" spans="1:27" ht="12" customHeight="1" x14ac:dyDescent="0.15">
      <c r="A2292" s="33" t="s">
        <v>30569</v>
      </c>
      <c r="B2292" s="33">
        <v>57</v>
      </c>
      <c r="C2292" s="33" t="s">
        <v>14</v>
      </c>
      <c r="D2292" s="33" t="s">
        <v>31</v>
      </c>
      <c r="F2292" s="67">
        <v>43084</v>
      </c>
      <c r="G2292" s="33" t="s">
        <v>30570</v>
      </c>
      <c r="H2292" s="33" t="s">
        <v>947</v>
      </c>
      <c r="I2292" s="33" t="s">
        <v>225</v>
      </c>
      <c r="J2292" s="33">
        <v>24450</v>
      </c>
      <c r="K2292" s="33" t="s">
        <v>30571</v>
      </c>
      <c r="L2292" s="33" t="s">
        <v>30572</v>
      </c>
      <c r="M2292" s="33" t="s">
        <v>21</v>
      </c>
      <c r="N2292" s="33" t="s">
        <v>30573</v>
      </c>
      <c r="O2292" s="33" t="s">
        <v>372</v>
      </c>
      <c r="P2292" s="33" t="s">
        <v>30089</v>
      </c>
      <c r="Q2292" s="42" t="s">
        <v>30574</v>
      </c>
      <c r="R2292" s="33" t="s">
        <v>94</v>
      </c>
      <c r="S2292" s="33" t="s">
        <v>22</v>
      </c>
      <c r="T2292" s="33" t="s">
        <v>26781</v>
      </c>
      <c r="U2292" s="33" t="s">
        <v>26572</v>
      </c>
      <c r="V2292" s="33" t="s">
        <v>26573</v>
      </c>
      <c r="W2292" s="33" t="s">
        <v>94</v>
      </c>
      <c r="X2292" s="33">
        <v>3212</v>
      </c>
      <c r="Z2292" s="33" t="s">
        <v>42967</v>
      </c>
      <c r="AA2292" s="33">
        <v>5374</v>
      </c>
    </row>
    <row r="2293" spans="1:27" ht="12" customHeight="1" x14ac:dyDescent="0.15">
      <c r="A2293" s="33" t="s">
        <v>30580</v>
      </c>
      <c r="B2293" s="33" t="s">
        <v>23</v>
      </c>
      <c r="C2293" s="33" t="s">
        <v>14</v>
      </c>
      <c r="D2293" s="33" t="s">
        <v>31</v>
      </c>
      <c r="F2293" s="67">
        <v>43084</v>
      </c>
      <c r="G2293" s="33" t="s">
        <v>30581</v>
      </c>
      <c r="H2293" s="33" t="s">
        <v>8383</v>
      </c>
      <c r="I2293" s="33" t="s">
        <v>395</v>
      </c>
      <c r="J2293" s="33">
        <v>10704</v>
      </c>
      <c r="K2293" s="33" t="s">
        <v>538</v>
      </c>
      <c r="L2293" s="33" t="s">
        <v>30582</v>
      </c>
      <c r="M2293" s="33" t="s">
        <v>21</v>
      </c>
      <c r="N2293" s="33" t="s">
        <v>30583</v>
      </c>
      <c r="O2293" s="33" t="s">
        <v>372</v>
      </c>
      <c r="P2293" s="33" t="s">
        <v>30089</v>
      </c>
      <c r="Q2293" s="42" t="s">
        <v>30584</v>
      </c>
      <c r="R2293" s="33" t="s">
        <v>94</v>
      </c>
      <c r="S2293" s="33" t="s">
        <v>22</v>
      </c>
      <c r="T2293" s="33" t="s">
        <v>26781</v>
      </c>
      <c r="U2293" s="33" t="s">
        <v>26570</v>
      </c>
      <c r="V2293" s="33" t="s">
        <v>26571</v>
      </c>
      <c r="W2293" s="33" t="s">
        <v>94</v>
      </c>
      <c r="X2293" s="33">
        <v>3218</v>
      </c>
      <c r="Z2293" s="33" t="s">
        <v>42966</v>
      </c>
      <c r="AA2293" s="33">
        <v>5375</v>
      </c>
    </row>
    <row r="2294" spans="1:27" ht="12" customHeight="1" x14ac:dyDescent="0.15">
      <c r="A2294" s="33" t="s">
        <v>30575</v>
      </c>
      <c r="B2294" s="33">
        <v>20</v>
      </c>
      <c r="C2294" s="33" t="s">
        <v>14</v>
      </c>
      <c r="D2294" s="33" t="s">
        <v>79</v>
      </c>
      <c r="E2294" s="42" t="s">
        <v>30576</v>
      </c>
      <c r="F2294" s="67">
        <v>43083</v>
      </c>
      <c r="G2294" s="33" t="s">
        <v>30577</v>
      </c>
      <c r="H2294" s="33" t="s">
        <v>13025</v>
      </c>
      <c r="I2294" s="33" t="s">
        <v>35</v>
      </c>
      <c r="J2294" s="33">
        <v>6051</v>
      </c>
      <c r="K2294" s="33" t="s">
        <v>793</v>
      </c>
      <c r="L2294" s="33" t="s">
        <v>13027</v>
      </c>
      <c r="M2294" s="33" t="s">
        <v>21</v>
      </c>
      <c r="N2294" s="33" t="s">
        <v>30578</v>
      </c>
      <c r="O2294" s="33" t="s">
        <v>372</v>
      </c>
      <c r="P2294" s="33" t="s">
        <v>30089</v>
      </c>
      <c r="Q2294" s="42" t="s">
        <v>30579</v>
      </c>
      <c r="R2294" s="33" t="s">
        <v>94</v>
      </c>
      <c r="S2294" s="33" t="s">
        <v>22</v>
      </c>
      <c r="T2294" s="33" t="s">
        <v>26781</v>
      </c>
      <c r="U2294" s="33" t="s">
        <v>26572</v>
      </c>
      <c r="V2294" s="33" t="s">
        <v>26574</v>
      </c>
      <c r="W2294" s="33" t="s">
        <v>94</v>
      </c>
      <c r="X2294" s="33">
        <v>3214</v>
      </c>
      <c r="Z2294" s="33" t="s">
        <v>42966</v>
      </c>
      <c r="AA2294" s="33">
        <v>5373</v>
      </c>
    </row>
    <row r="2295" spans="1:27" ht="12" customHeight="1" x14ac:dyDescent="0.15">
      <c r="A2295" s="33" t="s">
        <v>3002</v>
      </c>
      <c r="B2295" s="33" t="s">
        <v>23</v>
      </c>
      <c r="C2295" s="33" t="s">
        <v>14</v>
      </c>
      <c r="D2295" s="33" t="s">
        <v>30751</v>
      </c>
      <c r="F2295" s="67">
        <v>43082</v>
      </c>
      <c r="G2295" s="33" t="s">
        <v>30881</v>
      </c>
      <c r="H2295" s="33" t="s">
        <v>1943</v>
      </c>
      <c r="I2295" s="33" t="s">
        <v>192</v>
      </c>
      <c r="J2295" s="33">
        <v>80233</v>
      </c>
      <c r="K2295" s="33" t="s">
        <v>1790</v>
      </c>
      <c r="L2295" s="33" t="s">
        <v>1944</v>
      </c>
      <c r="M2295" s="33" t="s">
        <v>21</v>
      </c>
      <c r="N2295" s="33" t="s">
        <v>30799</v>
      </c>
      <c r="O2295" s="33" t="s">
        <v>372</v>
      </c>
      <c r="P2295" s="33" t="s">
        <v>30089</v>
      </c>
      <c r="Q2295" s="42" t="s">
        <v>30800</v>
      </c>
      <c r="R2295" s="33" t="s">
        <v>94</v>
      </c>
      <c r="S2295" s="33" t="s">
        <v>351</v>
      </c>
      <c r="T2295" s="33" t="s">
        <v>26867</v>
      </c>
      <c r="U2295" s="33" t="s">
        <v>26572</v>
      </c>
      <c r="V2295" s="33" t="s">
        <v>26573</v>
      </c>
      <c r="W2295" s="33" t="s">
        <v>94</v>
      </c>
      <c r="X2295" s="33">
        <v>3200</v>
      </c>
      <c r="Z2295" s="33" t="s">
        <v>42968</v>
      </c>
      <c r="AA2295" s="33">
        <v>5372</v>
      </c>
    </row>
    <row r="2296" spans="1:27" ht="12" customHeight="1" x14ac:dyDescent="0.15">
      <c r="A2296" s="33" t="s">
        <v>30750</v>
      </c>
      <c r="B2296" s="33" t="s">
        <v>23</v>
      </c>
      <c r="C2296" s="33" t="s">
        <v>14</v>
      </c>
      <c r="D2296" s="33" t="s">
        <v>31</v>
      </c>
      <c r="F2296" s="67">
        <v>43082</v>
      </c>
      <c r="G2296" s="33" t="s">
        <v>30880</v>
      </c>
      <c r="H2296" s="33" t="s">
        <v>30752</v>
      </c>
      <c r="I2296" s="33" t="s">
        <v>39</v>
      </c>
      <c r="J2296" s="33">
        <v>93516</v>
      </c>
      <c r="K2296" s="33" t="s">
        <v>632</v>
      </c>
      <c r="L2296" s="33" t="s">
        <v>693</v>
      </c>
      <c r="M2296" s="33" t="s">
        <v>27767</v>
      </c>
      <c r="N2296" s="33" t="s">
        <v>37061</v>
      </c>
      <c r="O2296" s="33" t="s">
        <v>372</v>
      </c>
      <c r="P2296" s="33" t="s">
        <v>30089</v>
      </c>
      <c r="Q2296" s="42" t="s">
        <v>30753</v>
      </c>
      <c r="R2296" s="33" t="s">
        <v>904</v>
      </c>
      <c r="S2296" s="33" t="s">
        <v>12</v>
      </c>
      <c r="T2296" s="33" t="s">
        <v>29705</v>
      </c>
      <c r="U2296" s="33" t="s">
        <v>26575</v>
      </c>
      <c r="V2296" s="33" t="s">
        <v>26573</v>
      </c>
      <c r="W2296" s="33" t="s">
        <v>94</v>
      </c>
      <c r="Z2296" s="33" t="s">
        <v>42967</v>
      </c>
      <c r="AA2296" s="33">
        <v>5370</v>
      </c>
    </row>
    <row r="2297" spans="1:27" ht="12" customHeight="1" x14ac:dyDescent="0.15">
      <c r="A2297" s="33" t="s">
        <v>3002</v>
      </c>
      <c r="B2297" s="33" t="s">
        <v>23</v>
      </c>
      <c r="C2297" s="33" t="s">
        <v>14</v>
      </c>
      <c r="D2297" s="33" t="s">
        <v>30751</v>
      </c>
      <c r="F2297" s="67">
        <v>43082</v>
      </c>
      <c r="G2297" s="33" t="s">
        <v>30769</v>
      </c>
      <c r="H2297" s="33" t="s">
        <v>505</v>
      </c>
      <c r="I2297" s="33" t="s">
        <v>88</v>
      </c>
      <c r="J2297" s="33">
        <v>35570</v>
      </c>
      <c r="K2297" s="33" t="s">
        <v>392</v>
      </c>
      <c r="L2297" s="33" t="s">
        <v>30882</v>
      </c>
      <c r="M2297" s="33" t="s">
        <v>21</v>
      </c>
      <c r="N2297" s="33" t="s">
        <v>30770</v>
      </c>
      <c r="O2297" s="33" t="s">
        <v>372</v>
      </c>
      <c r="P2297" s="33" t="s">
        <v>30089</v>
      </c>
      <c r="Q2297" s="42" t="s">
        <v>30771</v>
      </c>
      <c r="R2297" s="33" t="s">
        <v>512</v>
      </c>
      <c r="S2297" s="33" t="s">
        <v>29</v>
      </c>
      <c r="T2297" s="33" t="s">
        <v>26576</v>
      </c>
      <c r="U2297" s="33" t="s">
        <v>26570</v>
      </c>
      <c r="V2297" s="33" t="s">
        <v>26573</v>
      </c>
      <c r="W2297" s="33" t="s">
        <v>94</v>
      </c>
      <c r="X2297" s="33">
        <v>3211</v>
      </c>
      <c r="Z2297" s="33" t="s">
        <v>42967</v>
      </c>
      <c r="AA2297" s="33">
        <v>5371</v>
      </c>
    </row>
    <row r="2298" spans="1:27" ht="12" customHeight="1" x14ac:dyDescent="0.15">
      <c r="A2298" s="33" t="s">
        <v>30564</v>
      </c>
      <c r="B2298" s="33">
        <v>50</v>
      </c>
      <c r="C2298" s="33" t="s">
        <v>103</v>
      </c>
      <c r="D2298" s="33" t="s">
        <v>31</v>
      </c>
      <c r="F2298" s="67">
        <v>43081</v>
      </c>
      <c r="G2298" s="33" t="s">
        <v>30565</v>
      </c>
      <c r="H2298" s="33" t="s">
        <v>30566</v>
      </c>
      <c r="I2298" s="33" t="s">
        <v>160</v>
      </c>
      <c r="J2298" s="33">
        <v>31326</v>
      </c>
      <c r="K2298" s="33" t="s">
        <v>16739</v>
      </c>
      <c r="L2298" s="33" t="s">
        <v>16740</v>
      </c>
      <c r="M2298" s="33" t="s">
        <v>21</v>
      </c>
      <c r="N2298" s="33" t="s">
        <v>30567</v>
      </c>
      <c r="O2298" s="33" t="s">
        <v>372</v>
      </c>
      <c r="P2298" s="33" t="s">
        <v>30089</v>
      </c>
      <c r="Q2298" s="42" t="s">
        <v>30568</v>
      </c>
      <c r="R2298" s="33" t="s">
        <v>512</v>
      </c>
      <c r="S2298" s="33" t="s">
        <v>22</v>
      </c>
      <c r="T2298" s="33" t="s">
        <v>26781</v>
      </c>
      <c r="U2298" s="33" t="s">
        <v>26575</v>
      </c>
      <c r="V2298" s="33" t="s">
        <v>26573</v>
      </c>
      <c r="W2298" s="33" t="s">
        <v>94</v>
      </c>
      <c r="X2298" s="33">
        <v>3201</v>
      </c>
      <c r="Z2298" s="33" t="s">
        <v>42967</v>
      </c>
      <c r="AA2298" s="33">
        <v>5369</v>
      </c>
    </row>
    <row r="2299" spans="1:27" ht="12" customHeight="1" x14ac:dyDescent="0.15">
      <c r="A2299" s="33" t="s">
        <v>30765</v>
      </c>
      <c r="B2299" s="33">
        <v>51</v>
      </c>
      <c r="C2299" s="33" t="s">
        <v>14</v>
      </c>
      <c r="D2299" s="33" t="s">
        <v>31</v>
      </c>
      <c r="F2299" s="67">
        <v>43080</v>
      </c>
      <c r="G2299" s="33" t="s">
        <v>30766</v>
      </c>
      <c r="H2299" s="33" t="s">
        <v>15216</v>
      </c>
      <c r="I2299" s="33" t="s">
        <v>798</v>
      </c>
      <c r="J2299" s="33">
        <v>59405</v>
      </c>
      <c r="K2299" s="33" t="s">
        <v>13474</v>
      </c>
      <c r="L2299" s="33" t="s">
        <v>29124</v>
      </c>
      <c r="M2299" s="33" t="s">
        <v>21</v>
      </c>
      <c r="N2299" s="33" t="s">
        <v>30767</v>
      </c>
      <c r="O2299" s="33" t="s">
        <v>372</v>
      </c>
      <c r="P2299" s="33" t="s">
        <v>30089</v>
      </c>
      <c r="Q2299" s="42" t="s">
        <v>30768</v>
      </c>
      <c r="R2299" s="33" t="s">
        <v>94</v>
      </c>
      <c r="S2299" s="33" t="s">
        <v>29</v>
      </c>
      <c r="T2299" s="33" t="s">
        <v>26576</v>
      </c>
      <c r="U2299" s="33" t="s">
        <v>26570</v>
      </c>
      <c r="V2299" s="33" t="s">
        <v>26573</v>
      </c>
      <c r="W2299" s="33" t="s">
        <v>94</v>
      </c>
      <c r="X2299" s="33">
        <v>3199</v>
      </c>
      <c r="Z2299" s="33" t="s">
        <v>42968</v>
      </c>
      <c r="AA2299" s="33">
        <v>5368</v>
      </c>
    </row>
    <row r="2300" spans="1:27" ht="12" customHeight="1" x14ac:dyDescent="0.15">
      <c r="A2300" s="33" t="s">
        <v>30552</v>
      </c>
      <c r="B2300" s="33">
        <v>24</v>
      </c>
      <c r="C2300" s="33" t="s">
        <v>14</v>
      </c>
      <c r="D2300" s="33" t="s">
        <v>31</v>
      </c>
      <c r="E2300" s="42" t="s">
        <v>30553</v>
      </c>
      <c r="F2300" s="67">
        <v>43080</v>
      </c>
      <c r="G2300" s="33" t="s">
        <v>30554</v>
      </c>
      <c r="H2300" s="33" t="s">
        <v>1132</v>
      </c>
      <c r="I2300" s="33" t="s">
        <v>282</v>
      </c>
      <c r="J2300" s="33">
        <v>98115</v>
      </c>
      <c r="K2300" s="33" t="s">
        <v>1133</v>
      </c>
      <c r="L2300" s="33" t="s">
        <v>1134</v>
      </c>
      <c r="M2300" s="33" t="s">
        <v>21</v>
      </c>
      <c r="N2300" s="33" t="s">
        <v>30555</v>
      </c>
      <c r="O2300" s="33" t="s">
        <v>372</v>
      </c>
      <c r="P2300" s="33" t="s">
        <v>30089</v>
      </c>
      <c r="Q2300" s="42" t="s">
        <v>30556</v>
      </c>
      <c r="R2300" s="33" t="s">
        <v>94</v>
      </c>
      <c r="S2300" s="33" t="s">
        <v>22</v>
      </c>
      <c r="T2300" s="33" t="s">
        <v>26781</v>
      </c>
      <c r="U2300" s="33" t="s">
        <v>26572</v>
      </c>
      <c r="V2300" s="33" t="s">
        <v>26571</v>
      </c>
      <c r="W2300" s="33" t="s">
        <v>94</v>
      </c>
      <c r="X2300" s="33">
        <v>3198</v>
      </c>
      <c r="Z2300" s="33" t="s">
        <v>42966</v>
      </c>
      <c r="AA2300" s="33">
        <v>5367</v>
      </c>
    </row>
    <row r="2301" spans="1:27" ht="12" customHeight="1" x14ac:dyDescent="0.15">
      <c r="A2301" s="33" t="s">
        <v>30549</v>
      </c>
      <c r="B2301" s="33">
        <v>49</v>
      </c>
      <c r="C2301" s="33" t="s">
        <v>14</v>
      </c>
      <c r="D2301" s="33" t="s">
        <v>42</v>
      </c>
      <c r="F2301" s="67">
        <v>43079</v>
      </c>
      <c r="G2301" s="33" t="s">
        <v>30879</v>
      </c>
      <c r="H2301" s="33" t="s">
        <v>491</v>
      </c>
      <c r="I2301" s="33" t="s">
        <v>39</v>
      </c>
      <c r="J2301" s="33">
        <v>90701</v>
      </c>
      <c r="K2301" s="33" t="s">
        <v>92</v>
      </c>
      <c r="L2301" s="33" t="s">
        <v>386</v>
      </c>
      <c r="M2301" s="33" t="s">
        <v>4966</v>
      </c>
      <c r="N2301" s="33" t="s">
        <v>30550</v>
      </c>
      <c r="O2301" s="33" t="s">
        <v>372</v>
      </c>
      <c r="P2301" s="33" t="s">
        <v>30089</v>
      </c>
      <c r="Q2301" s="42" t="s">
        <v>30551</v>
      </c>
      <c r="R2301" s="33" t="s">
        <v>23</v>
      </c>
      <c r="S2301" s="33" t="s">
        <v>22</v>
      </c>
      <c r="T2301" s="33" t="s">
        <v>26774</v>
      </c>
      <c r="U2301" s="33" t="s">
        <v>26572</v>
      </c>
      <c r="V2301" s="33" t="s">
        <v>26573</v>
      </c>
      <c r="W2301" s="33" t="s">
        <v>94</v>
      </c>
      <c r="X2301" s="33">
        <v>3195</v>
      </c>
      <c r="Z2301" s="33" t="s">
        <v>42968</v>
      </c>
      <c r="AA2301" s="33">
        <v>5364</v>
      </c>
    </row>
    <row r="2302" spans="1:27" ht="12" customHeight="1" x14ac:dyDescent="0.15">
      <c r="A2302" s="33" t="s">
        <v>30535</v>
      </c>
      <c r="B2302" s="33">
        <v>26</v>
      </c>
      <c r="C2302" s="33" t="s">
        <v>14</v>
      </c>
      <c r="D2302" s="33" t="s">
        <v>79</v>
      </c>
      <c r="E2302" s="42" t="s">
        <v>30536</v>
      </c>
      <c r="F2302" s="67">
        <v>43079</v>
      </c>
      <c r="G2302" s="33" t="s">
        <v>30537</v>
      </c>
      <c r="H2302" s="33" t="s">
        <v>12671</v>
      </c>
      <c r="I2302" s="33" t="s">
        <v>88</v>
      </c>
      <c r="J2302" s="33">
        <v>36605</v>
      </c>
      <c r="K2302" s="33" t="s">
        <v>12671</v>
      </c>
      <c r="L2302" s="33" t="s">
        <v>12949</v>
      </c>
      <c r="M2302" s="33" t="s">
        <v>21</v>
      </c>
      <c r="N2302" s="33" t="s">
        <v>30538</v>
      </c>
      <c r="O2302" s="33" t="s">
        <v>372</v>
      </c>
      <c r="P2302" s="33" t="s">
        <v>30089</v>
      </c>
      <c r="Q2302" s="42" t="s">
        <v>30539</v>
      </c>
      <c r="R2302" s="33" t="s">
        <v>94</v>
      </c>
      <c r="S2302" s="33" t="s">
        <v>22</v>
      </c>
      <c r="T2302" s="33" t="s">
        <v>26774</v>
      </c>
      <c r="U2302" s="33" t="s">
        <v>26572</v>
      </c>
      <c r="V2302" s="33" t="s">
        <v>26573</v>
      </c>
      <c r="W2302" s="33" t="s">
        <v>94</v>
      </c>
      <c r="X2302" s="33">
        <v>3196</v>
      </c>
      <c r="Z2302" s="33" t="s">
        <v>42966</v>
      </c>
      <c r="AA2302" s="33">
        <v>5363</v>
      </c>
    </row>
    <row r="2303" spans="1:27" ht="12" customHeight="1" x14ac:dyDescent="0.15">
      <c r="A2303" s="33" t="s">
        <v>30545</v>
      </c>
      <c r="B2303" s="33">
        <v>24</v>
      </c>
      <c r="C2303" s="33" t="s">
        <v>14</v>
      </c>
      <c r="D2303" s="33" t="s">
        <v>31</v>
      </c>
      <c r="E2303" s="42" t="s">
        <v>30546</v>
      </c>
      <c r="F2303" s="67">
        <v>43079</v>
      </c>
      <c r="G2303" s="33" t="s">
        <v>30878</v>
      </c>
      <c r="H2303" s="33" t="s">
        <v>143</v>
      </c>
      <c r="I2303" s="33" t="s">
        <v>39</v>
      </c>
      <c r="J2303" s="33">
        <v>92107</v>
      </c>
      <c r="K2303" s="33" t="s">
        <v>143</v>
      </c>
      <c r="L2303" s="33" t="s">
        <v>144</v>
      </c>
      <c r="M2303" s="33" t="s">
        <v>21</v>
      </c>
      <c r="N2303" s="33" t="s">
        <v>30547</v>
      </c>
      <c r="O2303" s="33" t="s">
        <v>372</v>
      </c>
      <c r="P2303" s="33" t="s">
        <v>30089</v>
      </c>
      <c r="Q2303" s="42" t="s">
        <v>30548</v>
      </c>
      <c r="R2303" s="33" t="s">
        <v>94</v>
      </c>
      <c r="S2303" s="33" t="s">
        <v>22</v>
      </c>
      <c r="T2303" s="33" t="s">
        <v>26774</v>
      </c>
      <c r="U2303" s="33" t="s">
        <v>26570</v>
      </c>
      <c r="V2303" s="33" t="s">
        <v>26573</v>
      </c>
      <c r="W2303" s="33" t="s">
        <v>94</v>
      </c>
      <c r="X2303" s="33">
        <v>3192</v>
      </c>
      <c r="Z2303" s="33" t="s">
        <v>42966</v>
      </c>
      <c r="AA2303" s="33">
        <v>5362</v>
      </c>
    </row>
    <row r="2304" spans="1:27" ht="12" customHeight="1" x14ac:dyDescent="0.15">
      <c r="A2304" s="33" t="s">
        <v>30540</v>
      </c>
      <c r="B2304" s="33">
        <v>28</v>
      </c>
      <c r="C2304" s="33" t="s">
        <v>14</v>
      </c>
      <c r="D2304" s="33" t="s">
        <v>128</v>
      </c>
      <c r="E2304" s="42" t="s">
        <v>30541</v>
      </c>
      <c r="F2304" s="67">
        <v>43079</v>
      </c>
      <c r="G2304" s="33" t="s">
        <v>30542</v>
      </c>
      <c r="H2304" s="33" t="s">
        <v>1027</v>
      </c>
      <c r="I2304" s="33" t="s">
        <v>367</v>
      </c>
      <c r="J2304" s="33">
        <v>73135</v>
      </c>
      <c r="K2304" s="33" t="s">
        <v>1028</v>
      </c>
      <c r="L2304" s="33" t="s">
        <v>1029</v>
      </c>
      <c r="M2304" s="33" t="s">
        <v>21</v>
      </c>
      <c r="N2304" s="33" t="s">
        <v>30543</v>
      </c>
      <c r="O2304" s="33" t="s">
        <v>372</v>
      </c>
      <c r="P2304" s="33" t="s">
        <v>30089</v>
      </c>
      <c r="Q2304" s="42" t="s">
        <v>30544</v>
      </c>
      <c r="R2304" s="33" t="s">
        <v>23</v>
      </c>
      <c r="S2304" s="33" t="s">
        <v>22</v>
      </c>
      <c r="T2304" s="33" t="s">
        <v>363</v>
      </c>
      <c r="U2304" s="33" t="s">
        <v>26572</v>
      </c>
      <c r="V2304" s="33" t="s">
        <v>26573</v>
      </c>
      <c r="W2304" s="33" t="s">
        <v>94</v>
      </c>
      <c r="X2304" s="33">
        <v>3194</v>
      </c>
      <c r="Z2304" s="33" t="s">
        <v>42968</v>
      </c>
      <c r="AA2304" s="33">
        <v>5365</v>
      </c>
    </row>
    <row r="2305" spans="1:33" ht="12" customHeight="1" x14ac:dyDescent="0.15">
      <c r="A2305" s="33" t="s">
        <v>30746</v>
      </c>
      <c r="B2305" s="33">
        <v>26</v>
      </c>
      <c r="C2305" s="33" t="s">
        <v>14</v>
      </c>
      <c r="D2305" s="33" t="s">
        <v>42</v>
      </c>
      <c r="F2305" s="67">
        <v>43079</v>
      </c>
      <c r="G2305" s="33" t="s">
        <v>30747</v>
      </c>
      <c r="H2305" s="33" t="s">
        <v>4307</v>
      </c>
      <c r="I2305" s="33" t="s">
        <v>192</v>
      </c>
      <c r="J2305" s="33">
        <v>81008</v>
      </c>
      <c r="K2305" s="33" t="s">
        <v>4307</v>
      </c>
      <c r="L2305" s="33" t="s">
        <v>4309</v>
      </c>
      <c r="M2305" s="33" t="s">
        <v>363</v>
      </c>
      <c r="N2305" s="33" t="s">
        <v>30748</v>
      </c>
      <c r="O2305" s="33" t="s">
        <v>372</v>
      </c>
      <c r="P2305" s="33" t="s">
        <v>30089</v>
      </c>
      <c r="Q2305" s="42" t="s">
        <v>30749</v>
      </c>
      <c r="R2305" s="33" t="s">
        <v>94</v>
      </c>
      <c r="S2305" s="33" t="s">
        <v>12</v>
      </c>
      <c r="T2305" s="33" t="s">
        <v>29705</v>
      </c>
      <c r="U2305" s="33" t="s">
        <v>26570</v>
      </c>
      <c r="V2305" s="33" t="s">
        <v>26573</v>
      </c>
      <c r="Z2305" s="33" t="s">
        <v>42968</v>
      </c>
      <c r="AA2305" s="33">
        <v>5366</v>
      </c>
    </row>
    <row r="2306" spans="1:33" ht="12" customHeight="1" x14ac:dyDescent="0.15">
      <c r="A2306" s="33" t="s">
        <v>30531</v>
      </c>
      <c r="B2306" s="33">
        <v>16</v>
      </c>
      <c r="C2306" s="33" t="s">
        <v>14</v>
      </c>
      <c r="D2306" s="33" t="s">
        <v>31</v>
      </c>
      <c r="F2306" s="67">
        <v>43078</v>
      </c>
      <c r="G2306" s="33" t="s">
        <v>30532</v>
      </c>
      <c r="H2306" s="33" t="s">
        <v>4927</v>
      </c>
      <c r="I2306" s="33" t="s">
        <v>206</v>
      </c>
      <c r="J2306" s="33">
        <v>19904</v>
      </c>
      <c r="K2306" s="33" t="s">
        <v>2350</v>
      </c>
      <c r="L2306" s="33" t="s">
        <v>5554</v>
      </c>
      <c r="M2306" s="33" t="s">
        <v>21</v>
      </c>
      <c r="N2306" s="33" t="s">
        <v>30533</v>
      </c>
      <c r="O2306" s="33" t="s">
        <v>372</v>
      </c>
      <c r="P2306" s="33" t="s">
        <v>30089</v>
      </c>
      <c r="Q2306" s="42" t="s">
        <v>30534</v>
      </c>
      <c r="R2306" s="33" t="s">
        <v>94</v>
      </c>
      <c r="S2306" s="33" t="s">
        <v>22</v>
      </c>
      <c r="T2306" s="33" t="s">
        <v>26781</v>
      </c>
      <c r="U2306" s="33" t="s">
        <v>26572</v>
      </c>
      <c r="V2306" s="33" t="s">
        <v>26573</v>
      </c>
      <c r="W2306" s="33" t="s">
        <v>94</v>
      </c>
      <c r="X2306" s="33">
        <v>3191</v>
      </c>
      <c r="Z2306" s="33" t="s">
        <v>42968</v>
      </c>
      <c r="AA2306" s="33">
        <v>5360</v>
      </c>
    </row>
    <row r="2307" spans="1:33" ht="12" customHeight="1" x14ac:dyDescent="0.15">
      <c r="A2307" s="33" t="s">
        <v>30527</v>
      </c>
      <c r="B2307" s="33">
        <v>69</v>
      </c>
      <c r="C2307" s="33" t="s">
        <v>14</v>
      </c>
      <c r="D2307" s="33" t="s">
        <v>31</v>
      </c>
      <c r="F2307" s="67">
        <v>43078</v>
      </c>
      <c r="G2307" s="33" t="s">
        <v>30877</v>
      </c>
      <c r="H2307" s="33" t="s">
        <v>30528</v>
      </c>
      <c r="I2307" s="33" t="s">
        <v>918</v>
      </c>
      <c r="J2307" s="33">
        <v>72137</v>
      </c>
      <c r="K2307" s="33" t="s">
        <v>31</v>
      </c>
      <c r="L2307" s="33" t="s">
        <v>21170</v>
      </c>
      <c r="M2307" s="33" t="s">
        <v>21</v>
      </c>
      <c r="N2307" s="33" t="s">
        <v>30529</v>
      </c>
      <c r="O2307" s="33" t="s">
        <v>372</v>
      </c>
      <c r="P2307" s="33" t="s">
        <v>30089</v>
      </c>
      <c r="Q2307" s="42" t="s">
        <v>30530</v>
      </c>
      <c r="R2307" s="33" t="s">
        <v>94</v>
      </c>
      <c r="S2307" s="33" t="s">
        <v>22</v>
      </c>
      <c r="T2307" s="33" t="s">
        <v>26781</v>
      </c>
      <c r="U2307" s="33" t="s">
        <v>26572</v>
      </c>
      <c r="V2307" s="33" t="s">
        <v>26573</v>
      </c>
      <c r="W2307" s="33" t="s">
        <v>94</v>
      </c>
      <c r="X2307" s="33">
        <v>3197</v>
      </c>
      <c r="Z2307" s="33" t="s">
        <v>42967</v>
      </c>
      <c r="AA2307" s="33">
        <v>5361</v>
      </c>
    </row>
    <row r="2308" spans="1:33" ht="12" customHeight="1" x14ac:dyDescent="0.15">
      <c r="A2308" s="33" t="s">
        <v>30522</v>
      </c>
      <c r="B2308" s="33">
        <v>22</v>
      </c>
      <c r="C2308" s="33" t="s">
        <v>14</v>
      </c>
      <c r="D2308" s="33" t="s">
        <v>885</v>
      </c>
      <c r="E2308" s="42" t="s">
        <v>30523</v>
      </c>
      <c r="F2308" s="67">
        <v>43077</v>
      </c>
      <c r="G2308" s="33" t="s">
        <v>30524</v>
      </c>
      <c r="H2308" s="33" t="s">
        <v>6885</v>
      </c>
      <c r="I2308" s="33" t="s">
        <v>39</v>
      </c>
      <c r="J2308" s="33">
        <v>96002</v>
      </c>
      <c r="K2308" s="33" t="s">
        <v>6887</v>
      </c>
      <c r="L2308" s="33" t="s">
        <v>6888</v>
      </c>
      <c r="M2308" s="33" t="s">
        <v>21</v>
      </c>
      <c r="N2308" s="33" t="s">
        <v>30525</v>
      </c>
      <c r="O2308" s="33" t="s">
        <v>372</v>
      </c>
      <c r="P2308" s="33" t="s">
        <v>30089</v>
      </c>
      <c r="Q2308" s="42" t="s">
        <v>30526</v>
      </c>
      <c r="R2308" s="33" t="s">
        <v>94</v>
      </c>
      <c r="S2308" s="33" t="s">
        <v>22</v>
      </c>
      <c r="T2308" s="33" t="s">
        <v>26781</v>
      </c>
      <c r="U2308" s="33" t="s">
        <v>26572</v>
      </c>
      <c r="V2308" s="33" t="s">
        <v>26573</v>
      </c>
      <c r="W2308" s="33" t="s">
        <v>94</v>
      </c>
      <c r="X2308" s="33">
        <v>3193</v>
      </c>
      <c r="Z2308" s="33" t="s">
        <v>42966</v>
      </c>
      <c r="AA2308" s="33">
        <v>5359</v>
      </c>
      <c r="AG2308" s="81"/>
    </row>
    <row r="2309" spans="1:33" ht="12" customHeight="1" x14ac:dyDescent="0.15">
      <c r="A2309" s="33" t="s">
        <v>30516</v>
      </c>
      <c r="B2309" s="33">
        <v>40</v>
      </c>
      <c r="C2309" s="33" t="s">
        <v>14</v>
      </c>
      <c r="D2309" s="33" t="s">
        <v>31</v>
      </c>
      <c r="E2309" s="42" t="s">
        <v>30517</v>
      </c>
      <c r="F2309" s="67">
        <v>43076</v>
      </c>
      <c r="G2309" s="33" t="s">
        <v>30518</v>
      </c>
      <c r="H2309" s="33" t="s">
        <v>30519</v>
      </c>
      <c r="I2309" s="33" t="s">
        <v>376</v>
      </c>
      <c r="J2309" s="33">
        <v>18518</v>
      </c>
      <c r="K2309" s="33" t="s">
        <v>20678</v>
      </c>
      <c r="L2309" s="33" t="s">
        <v>473</v>
      </c>
      <c r="M2309" s="33" t="s">
        <v>21</v>
      </c>
      <c r="N2309" s="33" t="s">
        <v>30520</v>
      </c>
      <c r="O2309" s="33" t="s">
        <v>372</v>
      </c>
      <c r="P2309" s="33" t="s">
        <v>30089</v>
      </c>
      <c r="Q2309" s="42" t="s">
        <v>30521</v>
      </c>
      <c r="R2309" s="33" t="s">
        <v>94</v>
      </c>
      <c r="S2309" s="33" t="s">
        <v>22</v>
      </c>
      <c r="T2309" s="33" t="s">
        <v>26781</v>
      </c>
      <c r="U2309" s="33" t="s">
        <v>26572</v>
      </c>
      <c r="V2309" s="33" t="s">
        <v>26571</v>
      </c>
      <c r="W2309" s="33" t="s">
        <v>94</v>
      </c>
      <c r="X2309" s="33">
        <v>3189</v>
      </c>
      <c r="Z2309" s="33" t="s">
        <v>42968</v>
      </c>
      <c r="AA2309" s="33">
        <v>5356</v>
      </c>
    </row>
    <row r="2310" spans="1:33" ht="12" customHeight="1" x14ac:dyDescent="0.15">
      <c r="A2310" s="33" t="s">
        <v>30762</v>
      </c>
      <c r="B2310" s="33">
        <v>19</v>
      </c>
      <c r="C2310" s="33" t="s">
        <v>14</v>
      </c>
      <c r="D2310" s="33" t="s">
        <v>128</v>
      </c>
      <c r="E2310" s="42" t="s">
        <v>30763</v>
      </c>
      <c r="F2310" s="67">
        <v>43076</v>
      </c>
      <c r="G2310" s="33" t="s">
        <v>30876</v>
      </c>
      <c r="H2310" s="33" t="s">
        <v>1212</v>
      </c>
      <c r="I2310" s="33" t="s">
        <v>192</v>
      </c>
      <c r="J2310" s="33">
        <v>80229</v>
      </c>
      <c r="K2310" s="33" t="s">
        <v>1790</v>
      </c>
      <c r="L2310" s="33" t="s">
        <v>9286</v>
      </c>
      <c r="M2310" s="33" t="s">
        <v>21</v>
      </c>
      <c r="N2310" s="33" t="s">
        <v>36503</v>
      </c>
      <c r="O2310" s="33" t="s">
        <v>372</v>
      </c>
      <c r="P2310" s="33" t="s">
        <v>30089</v>
      </c>
      <c r="Q2310" s="42" t="s">
        <v>30764</v>
      </c>
      <c r="R2310" s="33" t="s">
        <v>94</v>
      </c>
      <c r="S2310" s="33" t="s">
        <v>29</v>
      </c>
      <c r="T2310" s="33" t="s">
        <v>26575</v>
      </c>
      <c r="U2310" s="33" t="s">
        <v>26575</v>
      </c>
      <c r="V2310" s="33" t="s">
        <v>26574</v>
      </c>
      <c r="W2310" s="33" t="s">
        <v>94</v>
      </c>
      <c r="X2310" s="33">
        <v>3188</v>
      </c>
      <c r="Z2310" s="33" t="s">
        <v>42968</v>
      </c>
      <c r="AA2310" s="33">
        <v>5357</v>
      </c>
      <c r="AG2310" s="81"/>
    </row>
    <row r="2311" spans="1:33" ht="12" customHeight="1" x14ac:dyDescent="0.15">
      <c r="A2311" s="33" t="s">
        <v>30794</v>
      </c>
      <c r="B2311" s="33">
        <v>34</v>
      </c>
      <c r="C2311" s="33" t="s">
        <v>14</v>
      </c>
      <c r="D2311" s="33" t="s">
        <v>79</v>
      </c>
      <c r="E2311" s="42" t="s">
        <v>30795</v>
      </c>
      <c r="F2311" s="67">
        <v>43076</v>
      </c>
      <c r="G2311" s="33" t="s">
        <v>30796</v>
      </c>
      <c r="H2311" s="33" t="s">
        <v>518</v>
      </c>
      <c r="I2311" s="33" t="s">
        <v>112</v>
      </c>
      <c r="J2311" s="33">
        <v>85712</v>
      </c>
      <c r="K2311" s="33" t="s">
        <v>519</v>
      </c>
      <c r="L2311" s="33" t="s">
        <v>10122</v>
      </c>
      <c r="M2311" s="33" t="s">
        <v>21</v>
      </c>
      <c r="N2311" s="33" t="s">
        <v>30797</v>
      </c>
      <c r="O2311" s="33" t="s">
        <v>372</v>
      </c>
      <c r="P2311" s="33" t="s">
        <v>30089</v>
      </c>
      <c r="Q2311" s="42" t="s">
        <v>30798</v>
      </c>
      <c r="R2311" s="33" t="s">
        <v>94</v>
      </c>
      <c r="S2311" s="33" t="s">
        <v>351</v>
      </c>
      <c r="T2311" s="33" t="s">
        <v>26867</v>
      </c>
      <c r="U2311" s="33" t="s">
        <v>26572</v>
      </c>
      <c r="V2311" s="33" t="s">
        <v>26571</v>
      </c>
      <c r="W2311" s="33" t="s">
        <v>94</v>
      </c>
      <c r="X2311" s="33">
        <v>3190</v>
      </c>
      <c r="Z2311" s="33" t="s">
        <v>42966</v>
      </c>
      <c r="AA2311" s="33">
        <v>5358</v>
      </c>
    </row>
    <row r="2312" spans="1:33" ht="12" customHeight="1" x14ac:dyDescent="0.15">
      <c r="A2312" s="33" t="s">
        <v>30510</v>
      </c>
      <c r="B2312" s="33">
        <v>35</v>
      </c>
      <c r="C2312" s="33" t="s">
        <v>14</v>
      </c>
      <c r="D2312" s="33" t="s">
        <v>31</v>
      </c>
      <c r="E2312" s="42" t="s">
        <v>30511</v>
      </c>
      <c r="F2312" s="67">
        <v>43076</v>
      </c>
      <c r="G2312" s="33" t="s">
        <v>30512</v>
      </c>
      <c r="H2312" s="33" t="s">
        <v>14165</v>
      </c>
      <c r="I2312" s="33" t="s">
        <v>409</v>
      </c>
      <c r="J2312" s="33">
        <v>54143</v>
      </c>
      <c r="K2312" s="33" t="s">
        <v>14165</v>
      </c>
      <c r="L2312" s="33" t="s">
        <v>30513</v>
      </c>
      <c r="M2312" s="33" t="s">
        <v>21</v>
      </c>
      <c r="N2312" s="33" t="s">
        <v>30514</v>
      </c>
      <c r="O2312" s="33" t="s">
        <v>372</v>
      </c>
      <c r="P2312" s="33" t="s">
        <v>30089</v>
      </c>
      <c r="Q2312" s="42" t="s">
        <v>30515</v>
      </c>
      <c r="R2312" s="33" t="s">
        <v>94</v>
      </c>
      <c r="S2312" s="33" t="s">
        <v>22</v>
      </c>
      <c r="T2312" s="33" t="s">
        <v>26781</v>
      </c>
      <c r="U2312" s="33" t="s">
        <v>26572</v>
      </c>
      <c r="V2312" s="33" t="s">
        <v>26571</v>
      </c>
      <c r="W2312" s="33" t="s">
        <v>94</v>
      </c>
      <c r="X2312" s="33">
        <v>3187</v>
      </c>
      <c r="Z2312" s="33" t="s">
        <v>42967</v>
      </c>
      <c r="AA2312" s="33">
        <v>5355</v>
      </c>
    </row>
    <row r="2313" spans="1:33" ht="12" customHeight="1" x14ac:dyDescent="0.15">
      <c r="A2313" s="33" t="s">
        <v>30504</v>
      </c>
      <c r="B2313" s="33">
        <v>49</v>
      </c>
      <c r="C2313" s="33" t="s">
        <v>14</v>
      </c>
      <c r="D2313" s="33" t="s">
        <v>31</v>
      </c>
      <c r="E2313" s="42" t="s">
        <v>30505</v>
      </c>
      <c r="F2313" s="67">
        <v>43075</v>
      </c>
      <c r="G2313" s="33" t="s">
        <v>30506</v>
      </c>
      <c r="H2313" s="33" t="s">
        <v>1157</v>
      </c>
      <c r="I2313" s="33" t="s">
        <v>1020</v>
      </c>
      <c r="J2313" s="33">
        <v>82001</v>
      </c>
      <c r="K2313" s="33" t="s">
        <v>1158</v>
      </c>
      <c r="L2313" s="33" t="s">
        <v>30507</v>
      </c>
      <c r="M2313" s="33" t="s">
        <v>21</v>
      </c>
      <c r="N2313" s="33" t="s">
        <v>30508</v>
      </c>
      <c r="O2313" s="33" t="s">
        <v>372</v>
      </c>
      <c r="P2313" s="33" t="s">
        <v>30089</v>
      </c>
      <c r="Q2313" s="42" t="s">
        <v>30509</v>
      </c>
      <c r="R2313" s="33" t="s">
        <v>94</v>
      </c>
      <c r="S2313" s="33" t="s">
        <v>22</v>
      </c>
      <c r="T2313" s="33" t="s">
        <v>26781</v>
      </c>
      <c r="U2313" s="33" t="s">
        <v>26572</v>
      </c>
      <c r="V2313" s="33" t="s">
        <v>26573</v>
      </c>
      <c r="W2313" s="33" t="s">
        <v>94</v>
      </c>
      <c r="X2313" s="33">
        <v>3186</v>
      </c>
      <c r="Z2313" s="33" t="s">
        <v>42968</v>
      </c>
      <c r="AA2313" s="33">
        <v>5352</v>
      </c>
    </row>
    <row r="2314" spans="1:33" ht="12" customHeight="1" x14ac:dyDescent="0.15">
      <c r="A2314" s="33" t="s">
        <v>30494</v>
      </c>
      <c r="B2314" s="33">
        <v>54</v>
      </c>
      <c r="C2314" s="33" t="s">
        <v>14</v>
      </c>
      <c r="D2314" s="33" t="s">
        <v>79</v>
      </c>
      <c r="F2314" s="67">
        <v>43075</v>
      </c>
      <c r="G2314" s="33" t="s">
        <v>30495</v>
      </c>
      <c r="H2314" s="33" t="s">
        <v>196</v>
      </c>
      <c r="I2314" s="33" t="s">
        <v>56</v>
      </c>
      <c r="J2314" s="33">
        <v>33147</v>
      </c>
      <c r="K2314" s="33" t="s">
        <v>148</v>
      </c>
      <c r="L2314" s="33" t="s">
        <v>149</v>
      </c>
      <c r="M2314" s="33" t="s">
        <v>21</v>
      </c>
      <c r="N2314" s="33" t="s">
        <v>30496</v>
      </c>
      <c r="O2314" s="33" t="s">
        <v>372</v>
      </c>
      <c r="P2314" s="33" t="s">
        <v>30089</v>
      </c>
      <c r="Q2314" s="42" t="s">
        <v>30497</v>
      </c>
      <c r="R2314" s="33" t="s">
        <v>94</v>
      </c>
      <c r="S2314" s="33" t="s">
        <v>22</v>
      </c>
      <c r="T2314" s="33" t="s">
        <v>26781</v>
      </c>
      <c r="U2314" s="33" t="s">
        <v>26572</v>
      </c>
      <c r="V2314" s="33" t="s">
        <v>26573</v>
      </c>
      <c r="Y2314" s="33" t="s">
        <v>42476</v>
      </c>
      <c r="Z2314" s="33" t="s">
        <v>42968</v>
      </c>
      <c r="AA2314" s="33">
        <v>5353</v>
      </c>
    </row>
    <row r="2315" spans="1:33" ht="12" customHeight="1" x14ac:dyDescent="0.15">
      <c r="A2315" s="33" t="s">
        <v>30498</v>
      </c>
      <c r="B2315" s="33">
        <v>71</v>
      </c>
      <c r="C2315" s="33" t="s">
        <v>14</v>
      </c>
      <c r="D2315" s="33" t="s">
        <v>30751</v>
      </c>
      <c r="F2315" s="67">
        <v>43075</v>
      </c>
      <c r="G2315" s="33" t="s">
        <v>30499</v>
      </c>
      <c r="H2315" s="33" t="s">
        <v>30500</v>
      </c>
      <c r="I2315" s="33" t="s">
        <v>56</v>
      </c>
      <c r="J2315" s="33">
        <v>33071</v>
      </c>
      <c r="K2315" s="33" t="s">
        <v>1052</v>
      </c>
      <c r="L2315" s="33" t="s">
        <v>30501</v>
      </c>
      <c r="M2315" s="33" t="s">
        <v>21</v>
      </c>
      <c r="N2315" s="33" t="s">
        <v>30502</v>
      </c>
      <c r="O2315" s="33" t="s">
        <v>372</v>
      </c>
      <c r="P2315" s="33" t="s">
        <v>30089</v>
      </c>
      <c r="Q2315" s="42" t="s">
        <v>30503</v>
      </c>
      <c r="R2315" s="33" t="s">
        <v>512</v>
      </c>
      <c r="S2315" s="33" t="s">
        <v>22</v>
      </c>
      <c r="T2315" s="33" t="s">
        <v>26781</v>
      </c>
      <c r="U2315" s="33" t="s">
        <v>26575</v>
      </c>
      <c r="V2315" s="33" t="s">
        <v>26573</v>
      </c>
      <c r="W2315" s="33" t="s">
        <v>94</v>
      </c>
      <c r="X2315" s="33">
        <v>3185</v>
      </c>
      <c r="Z2315" s="33" t="s">
        <v>42968</v>
      </c>
      <c r="AA2315" s="33">
        <v>5351</v>
      </c>
    </row>
    <row r="2316" spans="1:33" ht="12" customHeight="1" x14ac:dyDescent="0.15">
      <c r="A2316" s="33" t="s">
        <v>30740</v>
      </c>
      <c r="B2316" s="33">
        <v>42</v>
      </c>
      <c r="C2316" s="33" t="s">
        <v>14</v>
      </c>
      <c r="D2316" s="33" t="s">
        <v>79</v>
      </c>
      <c r="E2316" s="42" t="s">
        <v>30741</v>
      </c>
      <c r="F2316" s="67">
        <v>43075</v>
      </c>
      <c r="G2316" s="33" t="s">
        <v>30742</v>
      </c>
      <c r="H2316" s="33" t="s">
        <v>30743</v>
      </c>
      <c r="I2316" s="33" t="s">
        <v>56</v>
      </c>
      <c r="J2316" s="33">
        <v>33311</v>
      </c>
      <c r="K2316" s="33" t="s">
        <v>1052</v>
      </c>
      <c r="L2316" s="33" t="s">
        <v>4045</v>
      </c>
      <c r="M2316" s="33" t="s">
        <v>21</v>
      </c>
      <c r="N2316" s="33" t="s">
        <v>30744</v>
      </c>
      <c r="O2316" s="33" t="s">
        <v>372</v>
      </c>
      <c r="P2316" s="33" t="s">
        <v>30089</v>
      </c>
      <c r="Q2316" s="42" t="s">
        <v>30745</v>
      </c>
      <c r="R2316" s="33" t="s">
        <v>512</v>
      </c>
      <c r="S2316" s="33" t="s">
        <v>12</v>
      </c>
      <c r="T2316" s="33" t="s">
        <v>29705</v>
      </c>
      <c r="U2316" s="33" t="s">
        <v>26572</v>
      </c>
      <c r="V2316" s="33" t="s">
        <v>26573</v>
      </c>
      <c r="W2316" s="33" t="s">
        <v>512</v>
      </c>
      <c r="X2316" s="33">
        <v>3184</v>
      </c>
      <c r="Z2316" s="33" t="s">
        <v>42968</v>
      </c>
      <c r="AA2316" s="33">
        <v>5354</v>
      </c>
      <c r="AG2316" s="81"/>
    </row>
    <row r="2317" spans="1:33" ht="12" customHeight="1" x14ac:dyDescent="0.15">
      <c r="A2317" s="33" t="s">
        <v>30481</v>
      </c>
      <c r="B2317" s="33">
        <v>69</v>
      </c>
      <c r="C2317" s="33" t="s">
        <v>14</v>
      </c>
      <c r="D2317" s="33" t="s">
        <v>42</v>
      </c>
      <c r="F2317" s="67">
        <v>43074</v>
      </c>
      <c r="G2317" s="33" t="s">
        <v>30482</v>
      </c>
      <c r="H2317" s="33" t="s">
        <v>1716</v>
      </c>
      <c r="I2317" s="33" t="s">
        <v>395</v>
      </c>
      <c r="J2317" s="33">
        <v>10454</v>
      </c>
      <c r="K2317" s="33" t="s">
        <v>1716</v>
      </c>
      <c r="L2317" s="33" t="s">
        <v>539</v>
      </c>
      <c r="M2317" s="33" t="s">
        <v>21</v>
      </c>
      <c r="N2317" s="33" t="s">
        <v>30483</v>
      </c>
      <c r="O2317" s="33" t="s">
        <v>372</v>
      </c>
      <c r="P2317" s="33" t="s">
        <v>30089</v>
      </c>
      <c r="Q2317" s="42" t="s">
        <v>30484</v>
      </c>
      <c r="R2317" s="33" t="s">
        <v>94</v>
      </c>
      <c r="S2317" s="33" t="s">
        <v>22</v>
      </c>
      <c r="T2317" s="33" t="s">
        <v>26593</v>
      </c>
      <c r="U2317" s="33" t="s">
        <v>26570</v>
      </c>
      <c r="V2317" s="33" t="s">
        <v>26573</v>
      </c>
      <c r="W2317" s="33" t="s">
        <v>94</v>
      </c>
      <c r="X2317" s="33">
        <v>3182</v>
      </c>
      <c r="Z2317" s="33" t="s">
        <v>42966</v>
      </c>
      <c r="AA2317" s="33">
        <v>5350</v>
      </c>
    </row>
    <row r="2318" spans="1:33" ht="12" customHeight="1" x14ac:dyDescent="0.15">
      <c r="A2318" s="33" t="s">
        <v>30491</v>
      </c>
      <c r="B2318" s="33">
        <v>24</v>
      </c>
      <c r="C2318" s="33" t="s">
        <v>14</v>
      </c>
      <c r="D2318" s="33" t="s">
        <v>79</v>
      </c>
      <c r="F2318" s="67">
        <v>43074</v>
      </c>
      <c r="G2318" s="33" t="s">
        <v>30875</v>
      </c>
      <c r="H2318" s="33" t="s">
        <v>30492</v>
      </c>
      <c r="I2318" s="33" t="s">
        <v>225</v>
      </c>
      <c r="J2318" s="33">
        <v>24055</v>
      </c>
      <c r="K2318" s="33" t="s">
        <v>7624</v>
      </c>
      <c r="L2318" s="33" t="s">
        <v>27702</v>
      </c>
      <c r="M2318" s="33" t="s">
        <v>21</v>
      </c>
      <c r="N2318" s="33" t="s">
        <v>36504</v>
      </c>
      <c r="O2318" s="33" t="s">
        <v>372</v>
      </c>
      <c r="P2318" s="33" t="s">
        <v>30089</v>
      </c>
      <c r="Q2318" s="42" t="s">
        <v>30493</v>
      </c>
      <c r="R2318" s="33" t="s">
        <v>94</v>
      </c>
      <c r="S2318" s="33" t="s">
        <v>22</v>
      </c>
      <c r="T2318" s="33" t="s">
        <v>26781</v>
      </c>
      <c r="U2318" s="33" t="s">
        <v>26572</v>
      </c>
      <c r="V2318" s="33" t="s">
        <v>26573</v>
      </c>
      <c r="W2318" s="33" t="s">
        <v>94</v>
      </c>
      <c r="X2318" s="33">
        <v>3183</v>
      </c>
      <c r="Z2318" s="33" t="s">
        <v>42967</v>
      </c>
      <c r="AA2318" s="33">
        <v>5349</v>
      </c>
    </row>
    <row r="2319" spans="1:33" ht="12" customHeight="1" x14ac:dyDescent="0.15">
      <c r="A2319" s="33" t="s">
        <v>30452</v>
      </c>
      <c r="B2319" s="33">
        <v>46</v>
      </c>
      <c r="C2319" s="33" t="s">
        <v>14</v>
      </c>
      <c r="D2319" s="33" t="s">
        <v>31</v>
      </c>
      <c r="F2319" s="67">
        <v>43073</v>
      </c>
      <c r="G2319" s="33" t="s">
        <v>30870</v>
      </c>
      <c r="H2319" s="33" t="s">
        <v>4697</v>
      </c>
      <c r="I2319" s="33" t="s">
        <v>160</v>
      </c>
      <c r="J2319" s="33">
        <v>30143</v>
      </c>
      <c r="K2319" s="33" t="s">
        <v>4697</v>
      </c>
      <c r="L2319" s="33" t="s">
        <v>30453</v>
      </c>
      <c r="M2319" s="33" t="s">
        <v>21</v>
      </c>
      <c r="N2319" s="33" t="s">
        <v>36505</v>
      </c>
      <c r="O2319" s="33" t="s">
        <v>372</v>
      </c>
      <c r="P2319" s="33" t="s">
        <v>30089</v>
      </c>
      <c r="Q2319" s="42" t="s">
        <v>30454</v>
      </c>
      <c r="R2319" s="33" t="s">
        <v>94</v>
      </c>
      <c r="S2319" s="33" t="s">
        <v>22</v>
      </c>
      <c r="T2319" s="33" t="s">
        <v>26781</v>
      </c>
      <c r="U2319" s="33" t="s">
        <v>26572</v>
      </c>
      <c r="V2319" s="33" t="s">
        <v>26573</v>
      </c>
      <c r="X2319" s="33">
        <v>3181</v>
      </c>
      <c r="Z2319" s="33" t="s">
        <v>42967</v>
      </c>
      <c r="AA2319" s="33">
        <v>5348</v>
      </c>
    </row>
    <row r="2320" spans="1:33" ht="12" customHeight="1" x14ac:dyDescent="0.15">
      <c r="A2320" s="33" t="s">
        <v>30485</v>
      </c>
      <c r="B2320" s="33">
        <v>62</v>
      </c>
      <c r="C2320" s="33" t="s">
        <v>14</v>
      </c>
      <c r="D2320" s="33" t="s">
        <v>31</v>
      </c>
      <c r="E2320" s="42" t="s">
        <v>30486</v>
      </c>
      <c r="F2320" s="67">
        <v>43072</v>
      </c>
      <c r="G2320" s="33" t="s">
        <v>30874</v>
      </c>
      <c r="H2320" s="33" t="s">
        <v>30487</v>
      </c>
      <c r="I2320" s="33" t="s">
        <v>67</v>
      </c>
      <c r="J2320" s="33">
        <v>77568</v>
      </c>
      <c r="K2320" s="33" t="s">
        <v>4843</v>
      </c>
      <c r="L2320" s="33" t="s">
        <v>30488</v>
      </c>
      <c r="M2320" s="33" t="s">
        <v>30350</v>
      </c>
      <c r="N2320" s="33" t="s">
        <v>30489</v>
      </c>
      <c r="O2320" s="33" t="s">
        <v>372</v>
      </c>
      <c r="P2320" s="33" t="s">
        <v>30089</v>
      </c>
      <c r="Q2320" s="42" t="s">
        <v>30490</v>
      </c>
      <c r="R2320" s="33" t="s">
        <v>23</v>
      </c>
      <c r="S2320" s="33" t="s">
        <v>22</v>
      </c>
      <c r="T2320" s="33" t="s">
        <v>28239</v>
      </c>
      <c r="U2320" s="33" t="s">
        <v>26572</v>
      </c>
      <c r="V2320" s="33" t="s">
        <v>26573</v>
      </c>
      <c r="W2320" s="33" t="s">
        <v>94</v>
      </c>
      <c r="X2320" s="33">
        <v>3178</v>
      </c>
      <c r="Z2320" s="33" t="s">
        <v>42968</v>
      </c>
      <c r="AA2320" s="33">
        <v>5347</v>
      </c>
    </row>
    <row r="2321" spans="1:33" ht="12" customHeight="1" x14ac:dyDescent="0.15">
      <c r="A2321" s="33" t="s">
        <v>30476</v>
      </c>
      <c r="B2321" s="33">
        <v>37</v>
      </c>
      <c r="C2321" s="33" t="s">
        <v>14</v>
      </c>
      <c r="D2321" s="33" t="s">
        <v>42</v>
      </c>
      <c r="E2321" s="42" t="s">
        <v>30477</v>
      </c>
      <c r="F2321" s="67">
        <v>43071</v>
      </c>
      <c r="G2321" s="33" t="s">
        <v>30478</v>
      </c>
      <c r="H2321" s="33" t="s">
        <v>3917</v>
      </c>
      <c r="I2321" s="33" t="s">
        <v>39</v>
      </c>
      <c r="J2321" s="33">
        <v>92324</v>
      </c>
      <c r="K2321" s="33" t="s">
        <v>288</v>
      </c>
      <c r="L2321" s="33" t="s">
        <v>8392</v>
      </c>
      <c r="M2321" s="33" t="s">
        <v>21</v>
      </c>
      <c r="N2321" s="33" t="s">
        <v>30479</v>
      </c>
      <c r="O2321" s="33" t="s">
        <v>372</v>
      </c>
      <c r="P2321" s="33" t="s">
        <v>30089</v>
      </c>
      <c r="Q2321" s="42" t="s">
        <v>30480</v>
      </c>
      <c r="R2321" s="33" t="s">
        <v>512</v>
      </c>
      <c r="S2321" s="33" t="s">
        <v>22</v>
      </c>
      <c r="T2321" s="33" t="s">
        <v>26774</v>
      </c>
      <c r="U2321" s="33" t="s">
        <v>26570</v>
      </c>
      <c r="V2321" s="33" t="s">
        <v>26573</v>
      </c>
      <c r="W2321" s="33" t="s">
        <v>94</v>
      </c>
      <c r="X2321" s="33">
        <v>3177</v>
      </c>
      <c r="Z2321" s="33" t="s">
        <v>42968</v>
      </c>
      <c r="AA2321" s="33">
        <v>5344</v>
      </c>
    </row>
    <row r="2322" spans="1:33" ht="12" customHeight="1" x14ac:dyDescent="0.15">
      <c r="A2322" s="33" t="s">
        <v>30722</v>
      </c>
      <c r="B2322" s="33">
        <v>49</v>
      </c>
      <c r="C2322" s="33" t="s">
        <v>14</v>
      </c>
      <c r="D2322" s="33" t="s">
        <v>31</v>
      </c>
      <c r="E2322" s="42" t="s">
        <v>30723</v>
      </c>
      <c r="F2322" s="67">
        <v>43071</v>
      </c>
      <c r="H2322" s="33" t="s">
        <v>30724</v>
      </c>
      <c r="I2322" s="33" t="s">
        <v>67</v>
      </c>
      <c r="J2322" s="33">
        <v>79520</v>
      </c>
      <c r="K2322" s="33" t="s">
        <v>30725</v>
      </c>
      <c r="L2322" s="33" t="s">
        <v>30726</v>
      </c>
      <c r="M2322" s="33" t="s">
        <v>363</v>
      </c>
      <c r="N2322" s="33" t="s">
        <v>30727</v>
      </c>
      <c r="O2322" s="33" t="s">
        <v>372</v>
      </c>
      <c r="P2322" s="33" t="s">
        <v>30089</v>
      </c>
      <c r="Q2322" s="42" t="s">
        <v>30728</v>
      </c>
      <c r="R2322" s="33" t="s">
        <v>904</v>
      </c>
      <c r="S2322" s="33" t="s">
        <v>12</v>
      </c>
      <c r="T2322" s="33" t="s">
        <v>29705</v>
      </c>
      <c r="U2322" s="33" t="s">
        <v>26572</v>
      </c>
      <c r="V2322" s="33" t="s">
        <v>26573</v>
      </c>
      <c r="Z2322" s="33" t="s">
        <v>42967</v>
      </c>
      <c r="AA2322" s="33">
        <v>5346</v>
      </c>
    </row>
    <row r="2323" spans="1:33" ht="12" customHeight="1" x14ac:dyDescent="0.15">
      <c r="A2323" s="33" t="s">
        <v>36968</v>
      </c>
      <c r="B2323" s="33">
        <v>33</v>
      </c>
      <c r="C2323" s="33" t="s">
        <v>14</v>
      </c>
      <c r="D2323" s="33" t="s">
        <v>31</v>
      </c>
      <c r="F2323" s="67">
        <v>43071</v>
      </c>
      <c r="G2323" s="10" t="s">
        <v>37012</v>
      </c>
      <c r="H2323" s="10" t="s">
        <v>18214</v>
      </c>
      <c r="I2323" s="33" t="s">
        <v>192</v>
      </c>
      <c r="J2323" s="65">
        <v>80905</v>
      </c>
      <c r="K2323" s="10" t="s">
        <v>801</v>
      </c>
      <c r="L2323" s="10" t="s">
        <v>18216</v>
      </c>
      <c r="M2323" s="33" t="s">
        <v>21</v>
      </c>
      <c r="N2323" s="10" t="s">
        <v>37027</v>
      </c>
      <c r="O2323" s="10" t="s">
        <v>372</v>
      </c>
      <c r="P2323" s="33" t="s">
        <v>30089</v>
      </c>
      <c r="Q2323" s="42" t="s">
        <v>37049</v>
      </c>
      <c r="R2323" s="33" t="s">
        <v>94</v>
      </c>
      <c r="S2323" s="33" t="s">
        <v>12</v>
      </c>
      <c r="T2323" s="36" t="s">
        <v>29425</v>
      </c>
      <c r="U2323" s="36" t="s">
        <v>26572</v>
      </c>
      <c r="V2323" s="36" t="s">
        <v>26573</v>
      </c>
      <c r="W2323" s="33" t="s">
        <v>94</v>
      </c>
      <c r="X2323" s="33">
        <v>3180</v>
      </c>
      <c r="Z2323" s="33" t="s">
        <v>42966</v>
      </c>
      <c r="AA2323" s="33">
        <v>5345</v>
      </c>
    </row>
    <row r="2324" spans="1:33" ht="12" customHeight="1" x14ac:dyDescent="0.15">
      <c r="A2324" s="33" t="s">
        <v>30463</v>
      </c>
      <c r="B2324" s="33">
        <v>32</v>
      </c>
      <c r="C2324" s="33" t="s">
        <v>14</v>
      </c>
      <c r="D2324" s="33" t="s">
        <v>79</v>
      </c>
      <c r="E2324" s="42" t="s">
        <v>30464</v>
      </c>
      <c r="F2324" s="67">
        <v>43070</v>
      </c>
      <c r="G2324" s="33" t="s">
        <v>30465</v>
      </c>
      <c r="H2324" s="33" t="s">
        <v>571</v>
      </c>
      <c r="I2324" s="33" t="s">
        <v>338</v>
      </c>
      <c r="J2324" s="33">
        <v>28792</v>
      </c>
      <c r="K2324" s="33" t="s">
        <v>571</v>
      </c>
      <c r="L2324" s="33" t="s">
        <v>573</v>
      </c>
      <c r="M2324" s="33" t="s">
        <v>21</v>
      </c>
      <c r="N2324" s="33" t="s">
        <v>30466</v>
      </c>
      <c r="O2324" s="33" t="s">
        <v>372</v>
      </c>
      <c r="P2324" s="33" t="s">
        <v>30089</v>
      </c>
      <c r="Q2324" s="42" t="s">
        <v>30467</v>
      </c>
      <c r="R2324" s="33" t="s">
        <v>94</v>
      </c>
      <c r="S2324" s="33" t="s">
        <v>22</v>
      </c>
      <c r="T2324" s="33" t="s">
        <v>26781</v>
      </c>
      <c r="U2324" s="33" t="s">
        <v>26570</v>
      </c>
      <c r="V2324" s="33" t="s">
        <v>26574</v>
      </c>
      <c r="W2324" s="33" t="s">
        <v>94</v>
      </c>
      <c r="X2324" s="33">
        <v>3172</v>
      </c>
      <c r="Z2324" s="33" t="s">
        <v>42968</v>
      </c>
      <c r="AA2324" s="33">
        <v>5341</v>
      </c>
    </row>
    <row r="2325" spans="1:33" ht="12" customHeight="1" x14ac:dyDescent="0.15">
      <c r="A2325" s="33" t="s">
        <v>30736</v>
      </c>
      <c r="B2325" s="33">
        <v>42</v>
      </c>
      <c r="C2325" s="33" t="s">
        <v>14</v>
      </c>
      <c r="D2325" s="33" t="s">
        <v>79</v>
      </c>
      <c r="F2325" s="67">
        <v>43070</v>
      </c>
      <c r="G2325" s="33" t="s">
        <v>30737</v>
      </c>
      <c r="H2325" s="33" t="s">
        <v>886</v>
      </c>
      <c r="I2325" s="33" t="s">
        <v>39</v>
      </c>
      <c r="J2325" s="33">
        <v>94124</v>
      </c>
      <c r="K2325" s="33" t="s">
        <v>886</v>
      </c>
      <c r="L2325" s="33" t="s">
        <v>887</v>
      </c>
      <c r="M2325" s="33" t="s">
        <v>21</v>
      </c>
      <c r="N2325" s="33" t="s">
        <v>30738</v>
      </c>
      <c r="O2325" s="33" t="s">
        <v>372</v>
      </c>
      <c r="P2325" s="33" t="s">
        <v>30089</v>
      </c>
      <c r="Q2325" s="42" t="s">
        <v>30739</v>
      </c>
      <c r="R2325" s="33" t="s">
        <v>94</v>
      </c>
      <c r="S2325" s="33" t="s">
        <v>12</v>
      </c>
      <c r="T2325" s="33" t="s">
        <v>29705</v>
      </c>
      <c r="U2325" s="33" t="s">
        <v>26570</v>
      </c>
      <c r="V2325" s="33" t="s">
        <v>26571</v>
      </c>
      <c r="W2325" s="33" t="s">
        <v>512</v>
      </c>
      <c r="X2325" s="33">
        <v>3176</v>
      </c>
      <c r="Z2325" s="33" t="s">
        <v>42966</v>
      </c>
      <c r="AA2325" s="33">
        <v>5343</v>
      </c>
    </row>
    <row r="2326" spans="1:33" ht="12" customHeight="1" x14ac:dyDescent="0.15">
      <c r="A2326" s="33" t="s">
        <v>30473</v>
      </c>
      <c r="B2326" s="33">
        <v>33</v>
      </c>
      <c r="C2326" s="33" t="s">
        <v>14</v>
      </c>
      <c r="D2326" s="33" t="s">
        <v>31</v>
      </c>
      <c r="F2326" s="67">
        <v>43070</v>
      </c>
      <c r="G2326" s="33" t="s">
        <v>30873</v>
      </c>
      <c r="H2326" s="33" t="s">
        <v>1499</v>
      </c>
      <c r="I2326" s="33" t="s">
        <v>26</v>
      </c>
      <c r="J2326" s="33">
        <v>29745</v>
      </c>
      <c r="K2326" s="33" t="s">
        <v>1499</v>
      </c>
      <c r="L2326" s="33" t="s">
        <v>10417</v>
      </c>
      <c r="M2326" s="33" t="s">
        <v>21</v>
      </c>
      <c r="N2326" s="33" t="s">
        <v>30474</v>
      </c>
      <c r="O2326" s="33" t="s">
        <v>372</v>
      </c>
      <c r="P2326" s="33" t="s">
        <v>30089</v>
      </c>
      <c r="Q2326" s="42" t="s">
        <v>30475</v>
      </c>
      <c r="R2326" s="33" t="s">
        <v>904</v>
      </c>
      <c r="S2326" s="33" t="s">
        <v>22</v>
      </c>
      <c r="T2326" s="33" t="s">
        <v>26774</v>
      </c>
      <c r="U2326" s="33" t="s">
        <v>26572</v>
      </c>
      <c r="V2326" s="33" t="s">
        <v>26573</v>
      </c>
      <c r="W2326" s="33" t="s">
        <v>512</v>
      </c>
      <c r="X2326" s="33">
        <v>3173</v>
      </c>
      <c r="Z2326" s="33" t="s">
        <v>42967</v>
      </c>
      <c r="AA2326" s="33">
        <v>5342</v>
      </c>
    </row>
    <row r="2327" spans="1:33" ht="12" customHeight="1" x14ac:dyDescent="0.15">
      <c r="A2327" s="33" t="s">
        <v>30459</v>
      </c>
      <c r="B2327" s="33">
        <v>37</v>
      </c>
      <c r="C2327" s="33" t="s">
        <v>14</v>
      </c>
      <c r="D2327" s="33" t="s">
        <v>42</v>
      </c>
      <c r="F2327" s="67">
        <v>43069</v>
      </c>
      <c r="G2327" s="33" t="s">
        <v>30872</v>
      </c>
      <c r="H2327" s="33" t="s">
        <v>30460</v>
      </c>
      <c r="I2327" s="33" t="s">
        <v>39</v>
      </c>
      <c r="J2327" s="33">
        <v>91605</v>
      </c>
      <c r="K2327" s="33" t="s">
        <v>92</v>
      </c>
      <c r="L2327" s="33" t="s">
        <v>93</v>
      </c>
      <c r="M2327" s="33" t="s">
        <v>21</v>
      </c>
      <c r="N2327" s="33" t="s">
        <v>30461</v>
      </c>
      <c r="O2327" s="33" t="s">
        <v>372</v>
      </c>
      <c r="P2327" s="33" t="s">
        <v>30089</v>
      </c>
      <c r="Q2327" s="42" t="s">
        <v>30462</v>
      </c>
      <c r="R2327" s="33" t="s">
        <v>94</v>
      </c>
      <c r="S2327" s="33" t="s">
        <v>22</v>
      </c>
      <c r="T2327" s="33" t="s">
        <v>26781</v>
      </c>
      <c r="U2327" s="33" t="s">
        <v>26570</v>
      </c>
      <c r="V2327" s="33" t="s">
        <v>26571</v>
      </c>
      <c r="W2327" s="33" t="s">
        <v>94</v>
      </c>
      <c r="X2327" s="33">
        <v>3175</v>
      </c>
      <c r="Z2327" s="33" t="s">
        <v>42966</v>
      </c>
      <c r="AA2327" s="33">
        <v>5338</v>
      </c>
    </row>
    <row r="2328" spans="1:33" ht="12" customHeight="1" x14ac:dyDescent="0.15">
      <c r="A2328" s="33" t="s">
        <v>30729</v>
      </c>
      <c r="B2328" s="33">
        <v>21</v>
      </c>
      <c r="C2328" s="33" t="s">
        <v>14</v>
      </c>
      <c r="D2328" s="33" t="s">
        <v>42</v>
      </c>
      <c r="E2328" s="42" t="s">
        <v>30730</v>
      </c>
      <c r="F2328" s="67">
        <v>43069</v>
      </c>
      <c r="G2328" s="33" t="s">
        <v>30731</v>
      </c>
      <c r="H2328" s="33" t="s">
        <v>30732</v>
      </c>
      <c r="I2328" s="33" t="s">
        <v>395</v>
      </c>
      <c r="J2328" s="33">
        <v>10530</v>
      </c>
      <c r="K2328" s="33" t="s">
        <v>538</v>
      </c>
      <c r="L2328" s="33" t="s">
        <v>30733</v>
      </c>
      <c r="M2328" s="33" t="s">
        <v>363</v>
      </c>
      <c r="N2328" s="33" t="s">
        <v>30734</v>
      </c>
      <c r="O2328" s="33" t="s">
        <v>372</v>
      </c>
      <c r="P2328" s="33" t="s">
        <v>30089</v>
      </c>
      <c r="Q2328" s="42" t="s">
        <v>30735</v>
      </c>
      <c r="R2328" s="33" t="s">
        <v>904</v>
      </c>
      <c r="S2328" s="33" t="s">
        <v>12</v>
      </c>
      <c r="T2328" s="33" t="s">
        <v>29705</v>
      </c>
      <c r="U2328" s="33" t="s">
        <v>26570</v>
      </c>
      <c r="V2328" s="33" t="s">
        <v>26573</v>
      </c>
      <c r="Z2328" s="33" t="s">
        <v>42968</v>
      </c>
      <c r="AA2328" s="33">
        <v>5340</v>
      </c>
    </row>
    <row r="2329" spans="1:33" ht="12" customHeight="1" x14ac:dyDescent="0.15">
      <c r="A2329" s="33" t="s">
        <v>30455</v>
      </c>
      <c r="B2329" s="33">
        <v>24</v>
      </c>
      <c r="C2329" s="33" t="s">
        <v>14</v>
      </c>
      <c r="D2329" s="33" t="s">
        <v>79</v>
      </c>
      <c r="E2329" s="42" t="s">
        <v>30456</v>
      </c>
      <c r="F2329" s="67">
        <v>43069</v>
      </c>
      <c r="G2329" s="33" t="s">
        <v>30871</v>
      </c>
      <c r="H2329" s="33" t="s">
        <v>81</v>
      </c>
      <c r="I2329" s="33" t="s">
        <v>38</v>
      </c>
      <c r="J2329" s="33">
        <v>60637</v>
      </c>
      <c r="K2329" s="33" t="s">
        <v>82</v>
      </c>
      <c r="L2329" s="33" t="s">
        <v>83</v>
      </c>
      <c r="M2329" s="33" t="s">
        <v>21</v>
      </c>
      <c r="N2329" s="33" t="s">
        <v>30457</v>
      </c>
      <c r="O2329" s="33" t="s">
        <v>372</v>
      </c>
      <c r="P2329" s="33" t="s">
        <v>30089</v>
      </c>
      <c r="Q2329" s="42" t="s">
        <v>30458</v>
      </c>
      <c r="R2329" s="33" t="s">
        <v>94</v>
      </c>
      <c r="S2329" s="33" t="s">
        <v>22</v>
      </c>
      <c r="T2329" s="33" t="s">
        <v>26781</v>
      </c>
      <c r="U2329" s="33" t="s">
        <v>26570</v>
      </c>
      <c r="V2329" s="33" t="s">
        <v>26573</v>
      </c>
      <c r="W2329" s="33" t="s">
        <v>512</v>
      </c>
      <c r="X2329" s="33">
        <v>3174</v>
      </c>
      <c r="Z2329" s="33" t="s">
        <v>42966</v>
      </c>
      <c r="AA2329" s="33">
        <v>5337</v>
      </c>
    </row>
    <row r="2330" spans="1:33" ht="12" customHeight="1" x14ac:dyDescent="0.15">
      <c r="A2330" s="33" t="s">
        <v>30446</v>
      </c>
      <c r="B2330" s="33">
        <v>27</v>
      </c>
      <c r="C2330" s="33" t="s">
        <v>14</v>
      </c>
      <c r="D2330" s="33" t="s">
        <v>31</v>
      </c>
      <c r="E2330" s="42" t="s">
        <v>30447</v>
      </c>
      <c r="F2330" s="67">
        <v>43069</v>
      </c>
      <c r="G2330" s="33" t="s">
        <v>30448</v>
      </c>
      <c r="H2330" s="33" t="s">
        <v>1123</v>
      </c>
      <c r="I2330" s="33" t="s">
        <v>402</v>
      </c>
      <c r="J2330" s="33">
        <v>64429</v>
      </c>
      <c r="K2330" s="33" t="s">
        <v>5836</v>
      </c>
      <c r="L2330" s="33" t="s">
        <v>30449</v>
      </c>
      <c r="M2330" s="33" t="s">
        <v>21</v>
      </c>
      <c r="N2330" s="33" t="s">
        <v>30450</v>
      </c>
      <c r="O2330" s="33" t="s">
        <v>372</v>
      </c>
      <c r="P2330" s="33" t="s">
        <v>30089</v>
      </c>
      <c r="Q2330" s="42" t="s">
        <v>30451</v>
      </c>
      <c r="R2330" s="33" t="s">
        <v>94</v>
      </c>
      <c r="S2330" s="33" t="s">
        <v>22</v>
      </c>
      <c r="T2330" s="33" t="s">
        <v>26781</v>
      </c>
      <c r="U2330" s="33" t="s">
        <v>26572</v>
      </c>
      <c r="V2330" s="33" t="s">
        <v>26573</v>
      </c>
      <c r="Z2330" s="33" t="s">
        <v>42967</v>
      </c>
      <c r="AA2330" s="33">
        <v>5339</v>
      </c>
    </row>
    <row r="2331" spans="1:33" ht="12" customHeight="1" x14ac:dyDescent="0.15">
      <c r="A2331" s="33" t="s">
        <v>3002</v>
      </c>
      <c r="B2331" s="33" t="s">
        <v>23</v>
      </c>
      <c r="C2331" s="33" t="s">
        <v>14</v>
      </c>
      <c r="D2331" s="33" t="s">
        <v>42</v>
      </c>
      <c r="F2331" s="67">
        <v>43068</v>
      </c>
      <c r="G2331" s="33" t="s">
        <v>30758</v>
      </c>
      <c r="H2331" s="33" t="s">
        <v>30759</v>
      </c>
      <c r="I2331" s="33" t="s">
        <v>112</v>
      </c>
      <c r="J2331" s="33">
        <v>85634</v>
      </c>
      <c r="K2331" s="33" t="s">
        <v>519</v>
      </c>
      <c r="L2331" s="33" t="s">
        <v>27366</v>
      </c>
      <c r="M2331" s="33" t="s">
        <v>21</v>
      </c>
      <c r="N2331" s="33" t="s">
        <v>30760</v>
      </c>
      <c r="O2331" s="33" t="s">
        <v>372</v>
      </c>
      <c r="P2331" s="33" t="s">
        <v>30089</v>
      </c>
      <c r="Q2331" s="42" t="s">
        <v>30761</v>
      </c>
      <c r="R2331" s="33" t="s">
        <v>94</v>
      </c>
      <c r="S2331" s="33" t="s">
        <v>29</v>
      </c>
      <c r="T2331" s="33" t="s">
        <v>26575</v>
      </c>
      <c r="U2331" s="33" t="s">
        <v>26572</v>
      </c>
      <c r="V2331" s="33" t="s">
        <v>26573</v>
      </c>
      <c r="W2331" s="33" t="s">
        <v>94</v>
      </c>
      <c r="X2331" s="33">
        <v>3171</v>
      </c>
      <c r="Z2331" s="33" t="s">
        <v>42967</v>
      </c>
      <c r="AA2331" s="33">
        <v>5336</v>
      </c>
    </row>
    <row r="2332" spans="1:33" ht="12" customHeight="1" x14ac:dyDescent="0.15">
      <c r="A2332" s="33" t="s">
        <v>30432</v>
      </c>
      <c r="B2332" s="33">
        <v>25</v>
      </c>
      <c r="C2332" s="33" t="s">
        <v>14</v>
      </c>
      <c r="D2332" s="33" t="s">
        <v>42</v>
      </c>
      <c r="F2332" s="67">
        <v>43067</v>
      </c>
      <c r="G2332" s="33" t="s">
        <v>30433</v>
      </c>
      <c r="H2332" s="33" t="s">
        <v>30434</v>
      </c>
      <c r="I2332" s="33" t="s">
        <v>282</v>
      </c>
      <c r="J2332" s="33">
        <v>98947</v>
      </c>
      <c r="K2332" s="33" t="s">
        <v>5737</v>
      </c>
      <c r="L2332" s="33" t="s">
        <v>9555</v>
      </c>
      <c r="M2332" s="33" t="s">
        <v>21</v>
      </c>
      <c r="N2332" s="33" t="s">
        <v>30435</v>
      </c>
      <c r="O2332" s="33" t="s">
        <v>372</v>
      </c>
      <c r="P2332" s="33" t="s">
        <v>30089</v>
      </c>
      <c r="Q2332" s="42" t="s">
        <v>30436</v>
      </c>
      <c r="R2332" s="33" t="s">
        <v>94</v>
      </c>
      <c r="S2332" s="33" t="s">
        <v>22</v>
      </c>
      <c r="T2332" s="33" t="s">
        <v>26781</v>
      </c>
      <c r="U2332" s="33" t="s">
        <v>26572</v>
      </c>
      <c r="V2332" s="33" t="s">
        <v>26571</v>
      </c>
      <c r="W2332" s="33" t="s">
        <v>94</v>
      </c>
      <c r="X2332" s="33">
        <v>3164</v>
      </c>
      <c r="Z2332" s="33" t="s">
        <v>42967</v>
      </c>
      <c r="AA2332" s="33">
        <v>5332</v>
      </c>
      <c r="AG2332" s="81"/>
    </row>
    <row r="2333" spans="1:33" ht="12" customHeight="1" x14ac:dyDescent="0.15">
      <c r="A2333" s="33" t="s">
        <v>30437</v>
      </c>
      <c r="B2333" s="33">
        <v>59</v>
      </c>
      <c r="C2333" s="33" t="s">
        <v>14</v>
      </c>
      <c r="D2333" s="33" t="s">
        <v>31</v>
      </c>
      <c r="F2333" s="67">
        <v>43067</v>
      </c>
      <c r="G2333" s="33" t="s">
        <v>30438</v>
      </c>
      <c r="H2333" s="33" t="s">
        <v>782</v>
      </c>
      <c r="I2333" s="33" t="s">
        <v>282</v>
      </c>
      <c r="J2333" s="33">
        <v>99217</v>
      </c>
      <c r="K2333" s="33" t="s">
        <v>782</v>
      </c>
      <c r="L2333" s="33" t="s">
        <v>783</v>
      </c>
      <c r="M2333" s="33" t="s">
        <v>21</v>
      </c>
      <c r="N2333" s="33" t="s">
        <v>30439</v>
      </c>
      <c r="O2333" s="33" t="s">
        <v>372</v>
      </c>
      <c r="P2333" s="33" t="s">
        <v>30089</v>
      </c>
      <c r="Q2333" s="42" t="s">
        <v>30440</v>
      </c>
      <c r="R2333" s="33" t="s">
        <v>94</v>
      </c>
      <c r="S2333" s="33" t="s">
        <v>22</v>
      </c>
      <c r="T2333" s="33" t="s">
        <v>26781</v>
      </c>
      <c r="U2333" s="33" t="s">
        <v>26572</v>
      </c>
      <c r="V2333" s="33" t="s">
        <v>26574</v>
      </c>
      <c r="W2333" s="33" t="s">
        <v>94</v>
      </c>
      <c r="X2333" s="33">
        <v>3170</v>
      </c>
      <c r="Z2333" s="33" t="s">
        <v>42968</v>
      </c>
      <c r="AA2333" s="33">
        <v>5334</v>
      </c>
    </row>
    <row r="2334" spans="1:33" ht="12" customHeight="1" x14ac:dyDescent="0.15">
      <c r="A2334" s="33" t="s">
        <v>30441</v>
      </c>
      <c r="B2334" s="33">
        <v>30</v>
      </c>
      <c r="C2334" s="33" t="s">
        <v>14</v>
      </c>
      <c r="D2334" s="33" t="s">
        <v>31</v>
      </c>
      <c r="F2334" s="67">
        <v>43067</v>
      </c>
      <c r="G2334" s="33" t="s">
        <v>30442</v>
      </c>
      <c r="H2334" s="33" t="s">
        <v>1506</v>
      </c>
      <c r="I2334" s="33" t="s">
        <v>250</v>
      </c>
      <c r="J2334" s="33">
        <v>89501</v>
      </c>
      <c r="K2334" s="33" t="s">
        <v>5732</v>
      </c>
      <c r="L2334" s="33" t="s">
        <v>30443</v>
      </c>
      <c r="M2334" s="33" t="s">
        <v>21</v>
      </c>
      <c r="N2334" s="33" t="s">
        <v>30444</v>
      </c>
      <c r="O2334" s="33" t="s">
        <v>372</v>
      </c>
      <c r="P2334" s="33" t="s">
        <v>30089</v>
      </c>
      <c r="Q2334" s="42" t="s">
        <v>30445</v>
      </c>
      <c r="R2334" s="33" t="s">
        <v>94</v>
      </c>
      <c r="S2334" s="33" t="s">
        <v>22</v>
      </c>
      <c r="T2334" s="33" t="s">
        <v>26781</v>
      </c>
      <c r="U2334" s="33" t="s">
        <v>26572</v>
      </c>
      <c r="V2334" s="33" t="s">
        <v>26573</v>
      </c>
      <c r="W2334" s="33" t="s">
        <v>94</v>
      </c>
      <c r="X2334" s="33">
        <v>3169</v>
      </c>
      <c r="Z2334" s="33" t="s">
        <v>42966</v>
      </c>
      <c r="AA2334" s="33">
        <v>5333</v>
      </c>
    </row>
    <row r="2335" spans="1:33" ht="12" customHeight="1" x14ac:dyDescent="0.15">
      <c r="A2335" s="33" t="s">
        <v>30789</v>
      </c>
      <c r="B2335" s="33">
        <v>64</v>
      </c>
      <c r="C2335" s="33" t="s">
        <v>14</v>
      </c>
      <c r="D2335" s="33" t="s">
        <v>31</v>
      </c>
      <c r="F2335" s="67">
        <v>43067</v>
      </c>
      <c r="G2335" s="33" t="s">
        <v>30790</v>
      </c>
      <c r="H2335" s="33" t="s">
        <v>30791</v>
      </c>
      <c r="I2335" s="33" t="s">
        <v>51</v>
      </c>
      <c r="J2335" s="33">
        <v>48827</v>
      </c>
      <c r="K2335" s="33" t="s">
        <v>3626</v>
      </c>
      <c r="L2335" s="33" t="s">
        <v>3881</v>
      </c>
      <c r="M2335" s="33" t="s">
        <v>21</v>
      </c>
      <c r="N2335" s="33" t="s">
        <v>30792</v>
      </c>
      <c r="O2335" s="33" t="s">
        <v>372</v>
      </c>
      <c r="P2335" s="33" t="s">
        <v>30089</v>
      </c>
      <c r="Q2335" s="42" t="s">
        <v>30793</v>
      </c>
      <c r="R2335" s="33" t="s">
        <v>94</v>
      </c>
      <c r="S2335" s="33" t="s">
        <v>351</v>
      </c>
      <c r="T2335" s="33" t="s">
        <v>26867</v>
      </c>
      <c r="U2335" s="33" t="s">
        <v>26572</v>
      </c>
      <c r="V2335" s="33" t="s">
        <v>26571</v>
      </c>
      <c r="W2335" s="33" t="s">
        <v>94</v>
      </c>
      <c r="X2335" s="33">
        <v>3168</v>
      </c>
      <c r="Z2335" s="33" t="s">
        <v>42967</v>
      </c>
      <c r="AA2335" s="33">
        <v>5335</v>
      </c>
    </row>
    <row r="2336" spans="1:33" ht="12" customHeight="1" x14ac:dyDescent="0.15">
      <c r="A2336" s="33" t="s">
        <v>30423</v>
      </c>
      <c r="B2336" s="33">
        <v>40</v>
      </c>
      <c r="C2336" s="33" t="s">
        <v>14</v>
      </c>
      <c r="D2336" s="33" t="s">
        <v>42</v>
      </c>
      <c r="F2336" s="67">
        <v>43066</v>
      </c>
      <c r="G2336" s="33" t="s">
        <v>30869</v>
      </c>
      <c r="H2336" s="33" t="s">
        <v>3390</v>
      </c>
      <c r="I2336" s="33" t="s">
        <v>39</v>
      </c>
      <c r="J2336" s="33">
        <v>90280</v>
      </c>
      <c r="K2336" s="33" t="s">
        <v>92</v>
      </c>
      <c r="L2336" s="33" t="s">
        <v>30424</v>
      </c>
      <c r="M2336" s="33" t="s">
        <v>30425</v>
      </c>
      <c r="N2336" s="33" t="s">
        <v>30426</v>
      </c>
      <c r="O2336" s="33" t="s">
        <v>372</v>
      </c>
      <c r="P2336" s="33" t="s">
        <v>30089</v>
      </c>
      <c r="Q2336" s="42" t="s">
        <v>30427</v>
      </c>
      <c r="R2336" s="33" t="s">
        <v>512</v>
      </c>
      <c r="S2336" s="33" t="s">
        <v>22</v>
      </c>
      <c r="T2336" s="33" t="s">
        <v>26781</v>
      </c>
      <c r="U2336" s="33" t="s">
        <v>26572</v>
      </c>
      <c r="V2336" s="33" t="s">
        <v>26573</v>
      </c>
      <c r="W2336" s="33" t="s">
        <v>94</v>
      </c>
      <c r="X2336" s="33">
        <v>3165</v>
      </c>
      <c r="Z2336" s="33" t="s">
        <v>42966</v>
      </c>
      <c r="AA2336" s="33">
        <v>5331</v>
      </c>
    </row>
    <row r="2337" spans="1:27" ht="12" customHeight="1" x14ac:dyDescent="0.15">
      <c r="A2337" s="33" t="s">
        <v>30428</v>
      </c>
      <c r="B2337" s="33">
        <v>15</v>
      </c>
      <c r="C2337" s="33" t="s">
        <v>14</v>
      </c>
      <c r="D2337" s="33" t="s">
        <v>42</v>
      </c>
      <c r="F2337" s="67">
        <v>43066</v>
      </c>
      <c r="G2337" s="33" t="s">
        <v>30429</v>
      </c>
      <c r="H2337" s="33" t="s">
        <v>818</v>
      </c>
      <c r="I2337" s="33" t="s">
        <v>225</v>
      </c>
      <c r="J2337" s="33">
        <v>23237</v>
      </c>
      <c r="K2337" s="33" t="s">
        <v>10815</v>
      </c>
      <c r="L2337" s="33" t="s">
        <v>819</v>
      </c>
      <c r="M2337" s="33" t="s">
        <v>21</v>
      </c>
      <c r="N2337" s="33" t="s">
        <v>30430</v>
      </c>
      <c r="O2337" s="33" t="s">
        <v>372</v>
      </c>
      <c r="P2337" s="33" t="s">
        <v>30089</v>
      </c>
      <c r="Q2337" s="42" t="s">
        <v>30431</v>
      </c>
      <c r="R2337" s="33" t="s">
        <v>94</v>
      </c>
      <c r="S2337" s="33" t="s">
        <v>22</v>
      </c>
      <c r="T2337" s="33" t="s">
        <v>26781</v>
      </c>
      <c r="U2337" s="33" t="s">
        <v>26572</v>
      </c>
      <c r="V2337" s="33" t="s">
        <v>26573</v>
      </c>
      <c r="Y2337" s="33" t="s">
        <v>42476</v>
      </c>
      <c r="Z2337" s="33" t="s">
        <v>42968</v>
      </c>
      <c r="AA2337" s="33">
        <v>5330</v>
      </c>
    </row>
    <row r="2338" spans="1:27" ht="12" customHeight="1" x14ac:dyDescent="0.15">
      <c r="A2338" s="33" t="s">
        <v>30414</v>
      </c>
      <c r="B2338" s="33">
        <v>43</v>
      </c>
      <c r="C2338" s="33" t="s">
        <v>14</v>
      </c>
      <c r="D2338" s="33" t="s">
        <v>42</v>
      </c>
      <c r="E2338" s="42" t="s">
        <v>30415</v>
      </c>
      <c r="F2338" s="67">
        <v>43065</v>
      </c>
      <c r="G2338" s="33" t="s">
        <v>30416</v>
      </c>
      <c r="H2338" s="33" t="s">
        <v>2416</v>
      </c>
      <c r="I2338" s="33" t="s">
        <v>39</v>
      </c>
      <c r="J2338" s="33">
        <v>93230</v>
      </c>
      <c r="K2338" s="33" t="s">
        <v>1601</v>
      </c>
      <c r="L2338" s="33" t="s">
        <v>30417</v>
      </c>
      <c r="M2338" s="33" t="s">
        <v>21</v>
      </c>
      <c r="N2338" s="33" t="s">
        <v>30418</v>
      </c>
      <c r="O2338" s="33" t="s">
        <v>372</v>
      </c>
      <c r="P2338" s="33" t="s">
        <v>30089</v>
      </c>
      <c r="Q2338" s="42" t="s">
        <v>30419</v>
      </c>
      <c r="R2338" s="33" t="s">
        <v>94</v>
      </c>
      <c r="S2338" s="33" t="s">
        <v>22</v>
      </c>
      <c r="T2338" s="33" t="s">
        <v>26781</v>
      </c>
      <c r="U2338" s="33" t="s">
        <v>26572</v>
      </c>
      <c r="V2338" s="33" t="s">
        <v>26571</v>
      </c>
      <c r="W2338" s="33" t="s">
        <v>94</v>
      </c>
      <c r="X2338" s="33">
        <v>3156</v>
      </c>
      <c r="Z2338" s="33" t="s">
        <v>42968</v>
      </c>
      <c r="AA2338" s="33">
        <v>5326</v>
      </c>
    </row>
    <row r="2339" spans="1:27" ht="12" customHeight="1" x14ac:dyDescent="0.15">
      <c r="A2339" s="33" t="s">
        <v>30420</v>
      </c>
      <c r="B2339" s="33">
        <v>31</v>
      </c>
      <c r="C2339" s="33" t="s">
        <v>14</v>
      </c>
      <c r="D2339" s="33" t="s">
        <v>31</v>
      </c>
      <c r="F2339" s="67">
        <v>43065</v>
      </c>
      <c r="G2339" s="33" t="s">
        <v>30868</v>
      </c>
      <c r="H2339" s="33" t="s">
        <v>2012</v>
      </c>
      <c r="I2339" s="33" t="s">
        <v>88</v>
      </c>
      <c r="J2339" s="33">
        <v>35811</v>
      </c>
      <c r="K2339" s="33" t="s">
        <v>2014</v>
      </c>
      <c r="L2339" s="33" t="s">
        <v>2015</v>
      </c>
      <c r="M2339" s="33" t="s">
        <v>21</v>
      </c>
      <c r="N2339" s="33" t="s">
        <v>30421</v>
      </c>
      <c r="O2339" s="33" t="s">
        <v>372</v>
      </c>
      <c r="P2339" s="33" t="s">
        <v>30089</v>
      </c>
      <c r="Q2339" s="42" t="s">
        <v>30422</v>
      </c>
      <c r="R2339" s="33" t="s">
        <v>94</v>
      </c>
      <c r="S2339" s="33" t="s">
        <v>22</v>
      </c>
      <c r="T2339" s="33" t="s">
        <v>26781</v>
      </c>
      <c r="U2339" s="33" t="s">
        <v>26572</v>
      </c>
      <c r="V2339" s="33" t="s">
        <v>26573</v>
      </c>
      <c r="W2339" s="33" t="s">
        <v>94</v>
      </c>
      <c r="X2339" s="33">
        <v>3157</v>
      </c>
      <c r="Z2339" s="33" t="s">
        <v>42968</v>
      </c>
      <c r="AA2339" s="33">
        <v>5327</v>
      </c>
    </row>
    <row r="2340" spans="1:27" ht="12" customHeight="1" x14ac:dyDescent="0.15">
      <c r="A2340" s="33" t="s">
        <v>30343</v>
      </c>
      <c r="B2340" s="33">
        <v>58</v>
      </c>
      <c r="C2340" s="33" t="s">
        <v>14</v>
      </c>
      <c r="D2340" s="33" t="s">
        <v>30751</v>
      </c>
      <c r="F2340" s="67">
        <v>43065</v>
      </c>
      <c r="G2340" s="33" t="s">
        <v>30344</v>
      </c>
      <c r="H2340" s="33" t="s">
        <v>30345</v>
      </c>
      <c r="I2340" s="33" t="s">
        <v>337</v>
      </c>
      <c r="J2340" s="33">
        <v>66215</v>
      </c>
      <c r="K2340" s="33" t="s">
        <v>3032</v>
      </c>
      <c r="L2340" s="33" t="s">
        <v>42466</v>
      </c>
      <c r="M2340" s="33" t="s">
        <v>21</v>
      </c>
      <c r="N2340" s="33" t="s">
        <v>30346</v>
      </c>
      <c r="O2340" s="33" t="s">
        <v>372</v>
      </c>
      <c r="P2340" s="33" t="s">
        <v>30089</v>
      </c>
      <c r="Q2340" s="42" t="s">
        <v>30347</v>
      </c>
      <c r="R2340" s="33" t="s">
        <v>94</v>
      </c>
      <c r="S2340" s="33" t="s">
        <v>22</v>
      </c>
      <c r="T2340" s="33" t="s">
        <v>26781</v>
      </c>
      <c r="U2340" s="33" t="s">
        <v>26572</v>
      </c>
      <c r="V2340" s="33" t="s">
        <v>26573</v>
      </c>
      <c r="Y2340" s="33" t="s">
        <v>42476</v>
      </c>
      <c r="Z2340" s="33" t="s">
        <v>42968</v>
      </c>
      <c r="AA2340" s="33">
        <v>5328</v>
      </c>
    </row>
    <row r="2341" spans="1:27" ht="12" customHeight="1" x14ac:dyDescent="0.15">
      <c r="A2341" s="33" t="s">
        <v>30468</v>
      </c>
      <c r="B2341" s="33">
        <v>22</v>
      </c>
      <c r="C2341" s="33" t="s">
        <v>14</v>
      </c>
      <c r="D2341" s="33" t="s">
        <v>42</v>
      </c>
      <c r="F2341" s="67">
        <v>43065</v>
      </c>
      <c r="G2341" s="33" t="s">
        <v>30469</v>
      </c>
      <c r="H2341" s="33" t="s">
        <v>23621</v>
      </c>
      <c r="I2341" s="33" t="s">
        <v>39</v>
      </c>
      <c r="J2341" s="33">
        <v>91724</v>
      </c>
      <c r="K2341" s="33" t="s">
        <v>92</v>
      </c>
      <c r="L2341" s="33" t="s">
        <v>30470</v>
      </c>
      <c r="M2341" s="33" t="s">
        <v>4966</v>
      </c>
      <c r="N2341" s="33" t="s">
        <v>30471</v>
      </c>
      <c r="O2341" s="33" t="s">
        <v>372</v>
      </c>
      <c r="P2341" s="33" t="s">
        <v>30089</v>
      </c>
      <c r="Q2341" s="42" t="s">
        <v>30472</v>
      </c>
      <c r="R2341" s="33" t="s">
        <v>94</v>
      </c>
      <c r="S2341" s="33" t="s">
        <v>22</v>
      </c>
      <c r="T2341" s="33" t="s">
        <v>26774</v>
      </c>
      <c r="U2341" s="33" t="s">
        <v>26572</v>
      </c>
      <c r="V2341" s="33" t="s">
        <v>26573</v>
      </c>
      <c r="W2341" s="33" t="s">
        <v>94</v>
      </c>
      <c r="X2341" s="33">
        <v>3158</v>
      </c>
      <c r="Z2341" s="33" t="s">
        <v>42968</v>
      </c>
      <c r="AA2341" s="33">
        <v>5329</v>
      </c>
    </row>
    <row r="2342" spans="1:27" ht="12" customHeight="1" x14ac:dyDescent="0.15">
      <c r="A2342" s="33" t="s">
        <v>30338</v>
      </c>
      <c r="B2342" s="33">
        <v>39</v>
      </c>
      <c r="C2342" s="33" t="s">
        <v>14</v>
      </c>
      <c r="D2342" s="33" t="s">
        <v>42</v>
      </c>
      <c r="F2342" s="67">
        <v>43064</v>
      </c>
      <c r="G2342" s="33" t="s">
        <v>30339</v>
      </c>
      <c r="H2342" s="33" t="s">
        <v>30340</v>
      </c>
      <c r="I2342" s="33" t="s">
        <v>178</v>
      </c>
      <c r="J2342" s="33">
        <v>87579</v>
      </c>
      <c r="K2342" s="33" t="s">
        <v>18713</v>
      </c>
      <c r="L2342" s="33" t="s">
        <v>30341</v>
      </c>
      <c r="M2342" s="33" t="s">
        <v>21</v>
      </c>
      <c r="N2342" s="33" t="s">
        <v>36506</v>
      </c>
      <c r="O2342" s="33" t="s">
        <v>372</v>
      </c>
      <c r="P2342" s="33" t="s">
        <v>30089</v>
      </c>
      <c r="Q2342" s="42" t="s">
        <v>30342</v>
      </c>
      <c r="R2342" s="33" t="s">
        <v>94</v>
      </c>
      <c r="S2342" s="33" t="s">
        <v>22</v>
      </c>
      <c r="T2342" s="33" t="s">
        <v>26781</v>
      </c>
      <c r="U2342" s="33" t="s">
        <v>26572</v>
      </c>
      <c r="V2342" s="33" t="s">
        <v>26573</v>
      </c>
      <c r="W2342" s="33" t="s">
        <v>94</v>
      </c>
      <c r="X2342" s="33">
        <v>3159</v>
      </c>
      <c r="Z2342" s="33" t="s">
        <v>42967</v>
      </c>
      <c r="AA2342" s="33">
        <v>5324</v>
      </c>
    </row>
    <row r="2343" spans="1:27" ht="12" customHeight="1" x14ac:dyDescent="0.15">
      <c r="A2343" s="33" t="s">
        <v>3002</v>
      </c>
      <c r="B2343" s="33">
        <v>26</v>
      </c>
      <c r="C2343" s="33" t="s">
        <v>14</v>
      </c>
      <c r="D2343" s="33" t="s">
        <v>79</v>
      </c>
      <c r="F2343" s="67">
        <v>43064</v>
      </c>
      <c r="G2343" s="33" t="s">
        <v>30867</v>
      </c>
      <c r="H2343" s="33" t="s">
        <v>415</v>
      </c>
      <c r="I2343" s="33" t="s">
        <v>51</v>
      </c>
      <c r="J2343" s="33">
        <v>48217</v>
      </c>
      <c r="K2343" s="33" t="s">
        <v>1057</v>
      </c>
      <c r="L2343" s="33" t="s">
        <v>29602</v>
      </c>
      <c r="M2343" s="33" t="s">
        <v>21</v>
      </c>
      <c r="N2343" s="33" t="s">
        <v>30336</v>
      </c>
      <c r="O2343" s="33" t="s">
        <v>372</v>
      </c>
      <c r="P2343" s="33" t="s">
        <v>30089</v>
      </c>
      <c r="Q2343" s="42" t="s">
        <v>30337</v>
      </c>
      <c r="R2343" s="33" t="s">
        <v>94</v>
      </c>
      <c r="S2343" s="33" t="s">
        <v>22</v>
      </c>
      <c r="T2343" s="33" t="s">
        <v>26781</v>
      </c>
      <c r="U2343" s="33" t="s">
        <v>26572</v>
      </c>
      <c r="V2343" s="33" t="s">
        <v>26573</v>
      </c>
      <c r="Y2343" s="33" t="s">
        <v>42476</v>
      </c>
      <c r="Z2343" s="33" t="s">
        <v>42966</v>
      </c>
      <c r="AA2343" s="33">
        <v>5325</v>
      </c>
    </row>
    <row r="2344" spans="1:27" ht="12" customHeight="1" x14ac:dyDescent="0.15">
      <c r="A2344" s="33" t="s">
        <v>30322</v>
      </c>
      <c r="B2344" s="33">
        <v>51</v>
      </c>
      <c r="C2344" s="33" t="s">
        <v>14</v>
      </c>
      <c r="D2344" s="33" t="s">
        <v>31</v>
      </c>
      <c r="E2344" s="42" t="s">
        <v>30323</v>
      </c>
      <c r="F2344" s="67">
        <v>43063</v>
      </c>
      <c r="G2344" s="33" t="s">
        <v>30324</v>
      </c>
      <c r="H2344" s="33" t="s">
        <v>12195</v>
      </c>
      <c r="I2344" s="33" t="s">
        <v>112</v>
      </c>
      <c r="J2344" s="33">
        <v>85365</v>
      </c>
      <c r="K2344" s="33" t="s">
        <v>12195</v>
      </c>
      <c r="L2344" s="33" t="s">
        <v>12197</v>
      </c>
      <c r="M2344" s="33" t="s">
        <v>21</v>
      </c>
      <c r="N2344" s="33" t="s">
        <v>30325</v>
      </c>
      <c r="O2344" s="33" t="s">
        <v>372</v>
      </c>
      <c r="P2344" s="33" t="s">
        <v>30089</v>
      </c>
      <c r="Q2344" s="42" t="s">
        <v>30326</v>
      </c>
      <c r="R2344" s="33" t="s">
        <v>94</v>
      </c>
      <c r="S2344" s="33" t="s">
        <v>29</v>
      </c>
      <c r="T2344" s="33" t="s">
        <v>26576</v>
      </c>
      <c r="U2344" s="33" t="s">
        <v>26575</v>
      </c>
      <c r="V2344" s="33" t="s">
        <v>26573</v>
      </c>
      <c r="W2344" s="33" t="s">
        <v>94</v>
      </c>
      <c r="X2344" s="33">
        <v>3166</v>
      </c>
      <c r="Z2344" s="33" t="s">
        <v>42968</v>
      </c>
      <c r="AA2344" s="33">
        <v>5323</v>
      </c>
    </row>
    <row r="2345" spans="1:27" ht="12" customHeight="1" x14ac:dyDescent="0.15">
      <c r="A2345" s="33" t="s">
        <v>30327</v>
      </c>
      <c r="B2345" s="33">
        <v>26</v>
      </c>
      <c r="C2345" s="33" t="s">
        <v>14</v>
      </c>
      <c r="D2345" s="33" t="s">
        <v>42</v>
      </c>
      <c r="E2345" s="42" t="s">
        <v>30328</v>
      </c>
      <c r="F2345" s="67">
        <v>43063</v>
      </c>
      <c r="G2345" s="33" t="s">
        <v>30866</v>
      </c>
      <c r="H2345" s="33" t="s">
        <v>5518</v>
      </c>
      <c r="I2345" s="33" t="s">
        <v>106</v>
      </c>
      <c r="J2345" s="33">
        <v>97601</v>
      </c>
      <c r="K2345" s="33" t="s">
        <v>5520</v>
      </c>
      <c r="L2345" s="33" t="s">
        <v>13265</v>
      </c>
      <c r="M2345" s="33" t="s">
        <v>21</v>
      </c>
      <c r="N2345" s="33" t="s">
        <v>30329</v>
      </c>
      <c r="O2345" s="33" t="s">
        <v>372</v>
      </c>
      <c r="P2345" s="33" t="s">
        <v>30089</v>
      </c>
      <c r="Q2345" s="42" t="s">
        <v>30330</v>
      </c>
      <c r="R2345" s="33" t="s">
        <v>94</v>
      </c>
      <c r="S2345" s="33" t="s">
        <v>22</v>
      </c>
      <c r="T2345" s="33" t="s">
        <v>26781</v>
      </c>
      <c r="U2345" s="33" t="s">
        <v>26570</v>
      </c>
      <c r="V2345" s="33" t="s">
        <v>26574</v>
      </c>
      <c r="W2345" s="33" t="s">
        <v>94</v>
      </c>
      <c r="X2345" s="33">
        <v>3155</v>
      </c>
      <c r="Z2345" s="33" t="s">
        <v>42968</v>
      </c>
      <c r="AA2345" s="33">
        <v>5321</v>
      </c>
    </row>
    <row r="2346" spans="1:27" ht="12" customHeight="1" x14ac:dyDescent="0.15">
      <c r="A2346" s="33" t="s">
        <v>30331</v>
      </c>
      <c r="B2346" s="33">
        <v>28</v>
      </c>
      <c r="C2346" s="33" t="s">
        <v>14</v>
      </c>
      <c r="D2346" s="33" t="s">
        <v>31</v>
      </c>
      <c r="E2346" s="42" t="s">
        <v>30332</v>
      </c>
      <c r="F2346" s="67">
        <v>43063</v>
      </c>
      <c r="G2346" s="33" t="s">
        <v>30333</v>
      </c>
      <c r="H2346" s="33" t="s">
        <v>30334</v>
      </c>
      <c r="I2346" s="33" t="s">
        <v>67</v>
      </c>
      <c r="J2346" s="33">
        <v>78676</v>
      </c>
      <c r="K2346" s="33" t="s">
        <v>11615</v>
      </c>
      <c r="L2346" s="33" t="s">
        <v>36507</v>
      </c>
      <c r="M2346" s="33" t="s">
        <v>21</v>
      </c>
      <c r="N2346" s="33" t="s">
        <v>36508</v>
      </c>
      <c r="O2346" s="33" t="s">
        <v>372</v>
      </c>
      <c r="P2346" s="33" t="s">
        <v>30089</v>
      </c>
      <c r="Q2346" s="42" t="s">
        <v>30335</v>
      </c>
      <c r="R2346" s="33" t="s">
        <v>512</v>
      </c>
      <c r="S2346" s="33" t="s">
        <v>22</v>
      </c>
      <c r="T2346" s="33" t="s">
        <v>26781</v>
      </c>
      <c r="U2346" s="33" t="s">
        <v>26572</v>
      </c>
      <c r="V2346" s="33" t="s">
        <v>26573</v>
      </c>
      <c r="W2346" s="33" t="s">
        <v>94</v>
      </c>
      <c r="X2346" s="33">
        <v>3160</v>
      </c>
      <c r="Z2346" s="33" t="s">
        <v>42967</v>
      </c>
      <c r="AA2346" s="33">
        <v>5322</v>
      </c>
    </row>
    <row r="2347" spans="1:27" ht="12" customHeight="1" x14ac:dyDescent="0.15">
      <c r="A2347" s="33" t="s">
        <v>30307</v>
      </c>
      <c r="B2347" s="33">
        <v>32</v>
      </c>
      <c r="C2347" s="33" t="s">
        <v>14</v>
      </c>
      <c r="D2347" s="33" t="s">
        <v>79</v>
      </c>
      <c r="F2347" s="67">
        <v>43062</v>
      </c>
      <c r="G2347" s="33" t="s">
        <v>30308</v>
      </c>
      <c r="H2347" s="33" t="s">
        <v>30309</v>
      </c>
      <c r="I2347" s="33" t="s">
        <v>88</v>
      </c>
      <c r="J2347" s="33">
        <v>35128</v>
      </c>
      <c r="K2347" s="33" t="s">
        <v>20220</v>
      </c>
      <c r="L2347" s="33" t="s">
        <v>30310</v>
      </c>
      <c r="M2347" s="33" t="s">
        <v>21</v>
      </c>
      <c r="N2347" s="33" t="s">
        <v>30311</v>
      </c>
      <c r="O2347" s="33" t="s">
        <v>372</v>
      </c>
      <c r="P2347" s="33" t="s">
        <v>30089</v>
      </c>
      <c r="Q2347" s="42" t="s">
        <v>30312</v>
      </c>
      <c r="R2347" s="33" t="s">
        <v>94</v>
      </c>
      <c r="S2347" s="33" t="s">
        <v>22</v>
      </c>
      <c r="T2347" s="33" t="s">
        <v>26781</v>
      </c>
      <c r="U2347" s="33" t="s">
        <v>26572</v>
      </c>
      <c r="V2347" s="33" t="s">
        <v>26573</v>
      </c>
      <c r="W2347" s="33" t="s">
        <v>94</v>
      </c>
      <c r="X2347" s="33">
        <v>3163</v>
      </c>
      <c r="Z2347" s="33" t="s">
        <v>42967</v>
      </c>
      <c r="AA2347" s="33">
        <v>5320</v>
      </c>
    </row>
    <row r="2348" spans="1:27" ht="12" customHeight="1" x14ac:dyDescent="0.15">
      <c r="A2348" s="33" t="s">
        <v>30318</v>
      </c>
      <c r="B2348" s="33">
        <v>17</v>
      </c>
      <c r="C2348" s="33" t="s">
        <v>14</v>
      </c>
      <c r="D2348" s="33" t="s">
        <v>79</v>
      </c>
      <c r="F2348" s="67">
        <v>43062</v>
      </c>
      <c r="G2348" s="33" t="s">
        <v>30319</v>
      </c>
      <c r="H2348" s="33" t="s">
        <v>661</v>
      </c>
      <c r="I2348" s="33" t="s">
        <v>402</v>
      </c>
      <c r="J2348" s="33">
        <v>63107</v>
      </c>
      <c r="K2348" s="33" t="s">
        <v>29523</v>
      </c>
      <c r="L2348" s="33" t="s">
        <v>4162</v>
      </c>
      <c r="M2348" s="33" t="s">
        <v>21</v>
      </c>
      <c r="N2348" s="33" t="s">
        <v>30320</v>
      </c>
      <c r="O2348" s="33" t="s">
        <v>372</v>
      </c>
      <c r="P2348" s="33" t="s">
        <v>30089</v>
      </c>
      <c r="Q2348" s="42" t="s">
        <v>30321</v>
      </c>
      <c r="R2348" s="33" t="s">
        <v>94</v>
      </c>
      <c r="S2348" s="33" t="s">
        <v>22</v>
      </c>
      <c r="T2348" s="33" t="s">
        <v>26781</v>
      </c>
      <c r="U2348" s="33" t="s">
        <v>26572</v>
      </c>
      <c r="V2348" s="33" t="s">
        <v>26573</v>
      </c>
      <c r="W2348" s="33" t="s">
        <v>94</v>
      </c>
      <c r="X2348" s="33">
        <v>3162</v>
      </c>
      <c r="Z2348" s="33" t="s">
        <v>42966</v>
      </c>
      <c r="AA2348" s="33">
        <v>5319</v>
      </c>
    </row>
    <row r="2349" spans="1:27" ht="12" customHeight="1" x14ac:dyDescent="0.15">
      <c r="A2349" s="33" t="s">
        <v>30313</v>
      </c>
      <c r="B2349" s="33">
        <v>32</v>
      </c>
      <c r="C2349" s="33" t="s">
        <v>14</v>
      </c>
      <c r="D2349" s="33" t="s">
        <v>31</v>
      </c>
      <c r="E2349" s="42" t="s">
        <v>30413</v>
      </c>
      <c r="F2349" s="67">
        <v>43062</v>
      </c>
      <c r="G2349" s="33" t="s">
        <v>30865</v>
      </c>
      <c r="H2349" s="33" t="s">
        <v>30314</v>
      </c>
      <c r="I2349" s="33" t="s">
        <v>402</v>
      </c>
      <c r="J2349" s="33">
        <v>65470</v>
      </c>
      <c r="K2349" s="33" t="s">
        <v>30315</v>
      </c>
      <c r="L2349" s="33" t="s">
        <v>36509</v>
      </c>
      <c r="M2349" s="33" t="s">
        <v>21</v>
      </c>
      <c r="N2349" s="33" t="s">
        <v>30316</v>
      </c>
      <c r="O2349" s="33" t="s">
        <v>372</v>
      </c>
      <c r="P2349" s="33" t="s">
        <v>30089</v>
      </c>
      <c r="Q2349" s="42" t="s">
        <v>30317</v>
      </c>
      <c r="R2349" s="33" t="s">
        <v>512</v>
      </c>
      <c r="S2349" s="33" t="s">
        <v>22</v>
      </c>
      <c r="T2349" s="33" t="s">
        <v>26781</v>
      </c>
      <c r="U2349" s="33" t="s">
        <v>26572</v>
      </c>
      <c r="V2349" s="33" t="s">
        <v>26573</v>
      </c>
      <c r="W2349" s="33" t="s">
        <v>94</v>
      </c>
      <c r="X2349" s="33">
        <v>3161</v>
      </c>
      <c r="Z2349" s="33" t="s">
        <v>42967</v>
      </c>
      <c r="AA2349" s="33">
        <v>5318</v>
      </c>
    </row>
    <row r="2350" spans="1:27" ht="12" customHeight="1" x14ac:dyDescent="0.15">
      <c r="A2350" s="33" t="s">
        <v>30304</v>
      </c>
      <c r="B2350" s="33">
        <v>15</v>
      </c>
      <c r="C2350" s="33" t="s">
        <v>14</v>
      </c>
      <c r="D2350" s="33" t="s">
        <v>30751</v>
      </c>
      <c r="F2350" s="67">
        <v>43059</v>
      </c>
      <c r="G2350" s="33" t="s">
        <v>30864</v>
      </c>
      <c r="H2350" s="33" t="s">
        <v>3685</v>
      </c>
      <c r="I2350" s="33" t="s">
        <v>621</v>
      </c>
      <c r="J2350" s="33">
        <v>39503</v>
      </c>
      <c r="K2350" s="33" t="s">
        <v>3687</v>
      </c>
      <c r="L2350" s="33" t="s">
        <v>11075</v>
      </c>
      <c r="M2350" s="33" t="s">
        <v>21</v>
      </c>
      <c r="N2350" s="33" t="s">
        <v>30305</v>
      </c>
      <c r="O2350" s="33" t="s">
        <v>372</v>
      </c>
      <c r="P2350" s="33" t="s">
        <v>30089</v>
      </c>
      <c r="Q2350" s="42" t="s">
        <v>30306</v>
      </c>
      <c r="R2350" s="33" t="s">
        <v>94</v>
      </c>
      <c r="S2350" s="33" t="s">
        <v>22</v>
      </c>
      <c r="T2350" s="33" t="s">
        <v>26774</v>
      </c>
      <c r="U2350" s="33" t="s">
        <v>26575</v>
      </c>
      <c r="V2350" s="33" t="s">
        <v>26573</v>
      </c>
      <c r="W2350" s="33" t="s">
        <v>94</v>
      </c>
      <c r="X2350" s="33">
        <v>3154</v>
      </c>
      <c r="Z2350" s="33" t="s">
        <v>42968</v>
      </c>
      <c r="AA2350" s="33">
        <v>5317</v>
      </c>
    </row>
    <row r="2351" spans="1:27" ht="12" customHeight="1" x14ac:dyDescent="0.15">
      <c r="A2351" s="33" t="s">
        <v>30264</v>
      </c>
      <c r="B2351" s="33">
        <v>34</v>
      </c>
      <c r="C2351" s="33" t="s">
        <v>14</v>
      </c>
      <c r="D2351" s="33" t="s">
        <v>42</v>
      </c>
      <c r="F2351" s="67">
        <v>43058</v>
      </c>
      <c r="G2351" s="33" t="s">
        <v>30265</v>
      </c>
      <c r="H2351" s="33" t="s">
        <v>24521</v>
      </c>
      <c r="I2351" s="33" t="s">
        <v>39</v>
      </c>
      <c r="J2351" s="33">
        <v>93436</v>
      </c>
      <c r="K2351" s="33" t="s">
        <v>1819</v>
      </c>
      <c r="L2351" s="33" t="s">
        <v>24522</v>
      </c>
      <c r="M2351" s="33" t="s">
        <v>21</v>
      </c>
      <c r="N2351" s="33" t="s">
        <v>30266</v>
      </c>
      <c r="O2351" s="33" t="s">
        <v>372</v>
      </c>
      <c r="P2351" s="33" t="s">
        <v>30089</v>
      </c>
      <c r="Q2351" s="42" t="s">
        <v>30267</v>
      </c>
      <c r="R2351" s="33" t="s">
        <v>94</v>
      </c>
      <c r="S2351" s="33" t="s">
        <v>22</v>
      </c>
      <c r="T2351" s="33" t="s">
        <v>26781</v>
      </c>
      <c r="U2351" s="33" t="s">
        <v>26572</v>
      </c>
      <c r="V2351" s="33" t="s">
        <v>26573</v>
      </c>
      <c r="W2351" s="33" t="s">
        <v>94</v>
      </c>
      <c r="X2351" s="33">
        <v>3147</v>
      </c>
      <c r="Z2351" s="33" t="s">
        <v>42968</v>
      </c>
      <c r="AA2351" s="33">
        <v>5314</v>
      </c>
    </row>
    <row r="2352" spans="1:27" ht="12" customHeight="1" x14ac:dyDescent="0.15">
      <c r="A2352" s="33" t="s">
        <v>30292</v>
      </c>
      <c r="B2352" s="33">
        <v>26</v>
      </c>
      <c r="C2352" s="33" t="s">
        <v>14</v>
      </c>
      <c r="D2352" s="33" t="s">
        <v>31</v>
      </c>
      <c r="F2352" s="67">
        <v>43058</v>
      </c>
      <c r="G2352" s="33" t="s">
        <v>30863</v>
      </c>
      <c r="H2352" s="33" t="s">
        <v>6438</v>
      </c>
      <c r="I2352" s="33" t="s">
        <v>342</v>
      </c>
      <c r="J2352" s="33">
        <v>52803</v>
      </c>
      <c r="K2352" s="33" t="s">
        <v>6440</v>
      </c>
      <c r="L2352" s="33" t="s">
        <v>6441</v>
      </c>
      <c r="M2352" s="33" t="s">
        <v>21</v>
      </c>
      <c r="N2352" s="33" t="s">
        <v>30293</v>
      </c>
      <c r="O2352" s="33" t="s">
        <v>372</v>
      </c>
      <c r="P2352" s="33" t="s">
        <v>30089</v>
      </c>
      <c r="Q2352" s="42" t="s">
        <v>30294</v>
      </c>
      <c r="R2352" s="33" t="s">
        <v>94</v>
      </c>
      <c r="S2352" s="33" t="s">
        <v>22</v>
      </c>
      <c r="T2352" s="33" t="s">
        <v>26781</v>
      </c>
      <c r="U2352" s="33" t="s">
        <v>26572</v>
      </c>
      <c r="V2352" s="33" t="s">
        <v>26573</v>
      </c>
      <c r="W2352" s="33" t="s">
        <v>94</v>
      </c>
      <c r="X2352" s="33">
        <v>3153</v>
      </c>
      <c r="Z2352" s="33" t="s">
        <v>42966</v>
      </c>
      <c r="AA2352" s="33">
        <v>5316</v>
      </c>
    </row>
    <row r="2353" spans="1:27" ht="12" customHeight="1" x14ac:dyDescent="0.15">
      <c r="A2353" s="33" t="s">
        <v>30268</v>
      </c>
      <c r="B2353" s="33">
        <v>27</v>
      </c>
      <c r="C2353" s="33" t="s">
        <v>14</v>
      </c>
      <c r="D2353" s="33" t="s">
        <v>31</v>
      </c>
      <c r="E2353" s="42" t="s">
        <v>30269</v>
      </c>
      <c r="F2353" s="67">
        <v>43058</v>
      </c>
      <c r="G2353" s="33" t="s">
        <v>30270</v>
      </c>
      <c r="H2353" s="33" t="s">
        <v>27</v>
      </c>
      <c r="I2353" s="33" t="s">
        <v>26</v>
      </c>
      <c r="J2353" s="33">
        <v>29611</v>
      </c>
      <c r="K2353" s="33" t="s">
        <v>27</v>
      </c>
      <c r="L2353" s="33" t="s">
        <v>28</v>
      </c>
      <c r="M2353" s="33" t="s">
        <v>21</v>
      </c>
      <c r="N2353" s="33" t="s">
        <v>30271</v>
      </c>
      <c r="O2353" s="33" t="s">
        <v>372</v>
      </c>
      <c r="P2353" s="33" t="s">
        <v>30089</v>
      </c>
      <c r="Q2353" s="42" t="s">
        <v>30272</v>
      </c>
      <c r="R2353" s="33" t="s">
        <v>904</v>
      </c>
      <c r="S2353" s="33" t="s">
        <v>22</v>
      </c>
      <c r="T2353" s="33" t="s">
        <v>26781</v>
      </c>
      <c r="U2353" s="33" t="s">
        <v>26572</v>
      </c>
      <c r="V2353" s="33" t="s">
        <v>26571</v>
      </c>
      <c r="W2353" s="33" t="s">
        <v>94</v>
      </c>
      <c r="X2353" s="33">
        <v>3148</v>
      </c>
      <c r="Z2353" s="33" t="s">
        <v>42968</v>
      </c>
      <c r="AA2353" s="33">
        <v>5315</v>
      </c>
    </row>
    <row r="2354" spans="1:27" ht="12" customHeight="1" x14ac:dyDescent="0.15">
      <c r="A2354" s="33" t="s">
        <v>30255</v>
      </c>
      <c r="B2354" s="33">
        <v>24</v>
      </c>
      <c r="C2354" s="33" t="s">
        <v>14</v>
      </c>
      <c r="D2354" s="33" t="s">
        <v>128</v>
      </c>
      <c r="E2354" s="42" t="s">
        <v>30256</v>
      </c>
      <c r="F2354" s="67">
        <v>43057</v>
      </c>
      <c r="G2354" s="33" t="s">
        <v>30860</v>
      </c>
      <c r="H2354" s="33" t="s">
        <v>4219</v>
      </c>
      <c r="I2354" s="33" t="s">
        <v>798</v>
      </c>
      <c r="J2354" s="33">
        <v>59101</v>
      </c>
      <c r="K2354" s="33" t="s">
        <v>4221</v>
      </c>
      <c r="L2354" s="33" t="s">
        <v>9485</v>
      </c>
      <c r="M2354" s="33" t="s">
        <v>21</v>
      </c>
      <c r="N2354" s="33" t="s">
        <v>30257</v>
      </c>
      <c r="O2354" s="33" t="s">
        <v>372</v>
      </c>
      <c r="P2354" s="33" t="s">
        <v>30089</v>
      </c>
      <c r="Q2354" s="42" t="s">
        <v>30258</v>
      </c>
      <c r="R2354" s="33" t="s">
        <v>23</v>
      </c>
      <c r="S2354" s="33" t="s">
        <v>351</v>
      </c>
      <c r="T2354" s="33" t="s">
        <v>26867</v>
      </c>
      <c r="U2354" s="33" t="s">
        <v>26572</v>
      </c>
      <c r="V2354" s="33" t="s">
        <v>26571</v>
      </c>
      <c r="W2354" s="33" t="s">
        <v>94</v>
      </c>
      <c r="X2354" s="33">
        <v>3150</v>
      </c>
      <c r="Z2354" s="33" t="s">
        <v>42968</v>
      </c>
      <c r="AA2354" s="33">
        <v>5312</v>
      </c>
    </row>
    <row r="2355" spans="1:27" ht="12" customHeight="1" x14ac:dyDescent="0.15">
      <c r="A2355" s="33" t="s">
        <v>30259</v>
      </c>
      <c r="B2355" s="33">
        <v>18</v>
      </c>
      <c r="C2355" s="33" t="s">
        <v>14</v>
      </c>
      <c r="D2355" s="33" t="s">
        <v>31</v>
      </c>
      <c r="E2355" s="42" t="s">
        <v>30260</v>
      </c>
      <c r="F2355" s="67">
        <v>43057</v>
      </c>
      <c r="G2355" s="33" t="s">
        <v>30861</v>
      </c>
      <c r="H2355" s="33" t="s">
        <v>30261</v>
      </c>
      <c r="I2355" s="33" t="s">
        <v>294</v>
      </c>
      <c r="J2355" s="33">
        <v>42170</v>
      </c>
      <c r="K2355" s="33" t="s">
        <v>5481</v>
      </c>
      <c r="L2355" s="33" t="s">
        <v>9383</v>
      </c>
      <c r="M2355" s="33" t="s">
        <v>21</v>
      </c>
      <c r="N2355" s="33" t="s">
        <v>30262</v>
      </c>
      <c r="O2355" s="33" t="s">
        <v>372</v>
      </c>
      <c r="P2355" s="33" t="s">
        <v>30089</v>
      </c>
      <c r="Q2355" s="42" t="s">
        <v>30263</v>
      </c>
      <c r="R2355" s="33" t="s">
        <v>94</v>
      </c>
      <c r="S2355" s="33" t="s">
        <v>351</v>
      </c>
      <c r="T2355" s="33" t="s">
        <v>26867</v>
      </c>
      <c r="U2355" s="33" t="s">
        <v>26572</v>
      </c>
      <c r="V2355" s="33" t="s">
        <v>26571</v>
      </c>
      <c r="W2355" s="33" t="s">
        <v>94</v>
      </c>
      <c r="X2355" s="33">
        <v>3151</v>
      </c>
      <c r="Z2355" s="33" t="s">
        <v>42967</v>
      </c>
      <c r="AA2355" s="33">
        <v>5313</v>
      </c>
    </row>
    <row r="2356" spans="1:27" ht="12" customHeight="1" x14ac:dyDescent="0.15">
      <c r="A2356" s="33" t="s">
        <v>30250</v>
      </c>
      <c r="B2356" s="33">
        <v>56</v>
      </c>
      <c r="C2356" s="33" t="s">
        <v>14</v>
      </c>
      <c r="D2356" s="33" t="s">
        <v>79</v>
      </c>
      <c r="F2356" s="67">
        <v>43057</v>
      </c>
      <c r="G2356" s="33" t="s">
        <v>30251</v>
      </c>
      <c r="H2356" s="33" t="s">
        <v>30252</v>
      </c>
      <c r="I2356" s="33" t="s">
        <v>88</v>
      </c>
      <c r="J2356" s="33">
        <v>36610</v>
      </c>
      <c r="K2356" s="33" t="s">
        <v>12671</v>
      </c>
      <c r="L2356" s="33" t="s">
        <v>30253</v>
      </c>
      <c r="M2356" s="33" t="s">
        <v>21</v>
      </c>
      <c r="N2356" s="33" t="s">
        <v>30254</v>
      </c>
      <c r="O2356" s="33" t="s">
        <v>372</v>
      </c>
      <c r="P2356" s="33" t="s">
        <v>30089</v>
      </c>
      <c r="Q2356" s="42" t="s">
        <v>30364</v>
      </c>
      <c r="R2356" s="33" t="s">
        <v>94</v>
      </c>
      <c r="S2356" s="33" t="s">
        <v>12</v>
      </c>
      <c r="T2356" s="33" t="s">
        <v>29705</v>
      </c>
      <c r="U2356" s="33" t="s">
        <v>26575</v>
      </c>
      <c r="V2356" s="33" t="s">
        <v>26571</v>
      </c>
      <c r="W2356" s="33" t="s">
        <v>94</v>
      </c>
      <c r="X2356" s="33">
        <v>3149</v>
      </c>
      <c r="Z2356" s="33" t="s">
        <v>42968</v>
      </c>
      <c r="AA2356" s="33">
        <v>5311</v>
      </c>
    </row>
    <row r="2357" spans="1:27" ht="12" customHeight="1" x14ac:dyDescent="0.15">
      <c r="A2357" s="33" t="s">
        <v>30246</v>
      </c>
      <c r="B2357" s="33">
        <v>46</v>
      </c>
      <c r="C2357" s="33" t="s">
        <v>14</v>
      </c>
      <c r="D2357" s="33" t="s">
        <v>79</v>
      </c>
      <c r="F2357" s="67">
        <v>43056</v>
      </c>
      <c r="G2357" s="33" t="s">
        <v>30247</v>
      </c>
      <c r="H2357" s="33" t="s">
        <v>5172</v>
      </c>
      <c r="I2357" s="33" t="s">
        <v>19</v>
      </c>
      <c r="J2357" s="33">
        <v>71292</v>
      </c>
      <c r="K2357" s="33" t="s">
        <v>5174</v>
      </c>
      <c r="L2357" s="33" t="s">
        <v>5175</v>
      </c>
      <c r="M2357" s="33" t="s">
        <v>21</v>
      </c>
      <c r="N2357" s="33" t="s">
        <v>30248</v>
      </c>
      <c r="O2357" s="33" t="s">
        <v>372</v>
      </c>
      <c r="P2357" s="33" t="s">
        <v>30089</v>
      </c>
      <c r="Q2357" s="42" t="s">
        <v>30249</v>
      </c>
      <c r="R2357" s="33" t="s">
        <v>94</v>
      </c>
      <c r="S2357" s="33" t="s">
        <v>22</v>
      </c>
      <c r="T2357" s="33" t="s">
        <v>26781</v>
      </c>
      <c r="U2357" s="33" t="s">
        <v>26572</v>
      </c>
      <c r="V2357" s="33" t="s">
        <v>26573</v>
      </c>
      <c r="W2357" s="33" t="s">
        <v>94</v>
      </c>
      <c r="X2357" s="33">
        <v>3152</v>
      </c>
      <c r="Z2357" s="33" t="s">
        <v>42967</v>
      </c>
      <c r="AA2357" s="33">
        <v>5307</v>
      </c>
    </row>
    <row r="2358" spans="1:27" ht="12" customHeight="1" x14ac:dyDescent="0.15">
      <c r="A2358" s="33" t="s">
        <v>30298</v>
      </c>
      <c r="B2358" s="33">
        <v>23</v>
      </c>
      <c r="C2358" s="33" t="s">
        <v>14</v>
      </c>
      <c r="D2358" s="33" t="s">
        <v>42</v>
      </c>
      <c r="F2358" s="67">
        <v>43056</v>
      </c>
      <c r="G2358" s="33" t="s">
        <v>30243</v>
      </c>
      <c r="H2358" s="33" t="s">
        <v>866</v>
      </c>
      <c r="I2358" s="33" t="s">
        <v>178</v>
      </c>
      <c r="J2358" s="33">
        <v>87121</v>
      </c>
      <c r="K2358" s="33" t="s">
        <v>433</v>
      </c>
      <c r="L2358" s="33" t="s">
        <v>7415</v>
      </c>
      <c r="M2358" s="33" t="s">
        <v>21</v>
      </c>
      <c r="N2358" s="33" t="s">
        <v>30244</v>
      </c>
      <c r="O2358" s="33" t="s">
        <v>372</v>
      </c>
      <c r="P2358" s="33" t="s">
        <v>30089</v>
      </c>
      <c r="Q2358" s="42" t="s">
        <v>30245</v>
      </c>
      <c r="R2358" s="33" t="s">
        <v>94</v>
      </c>
      <c r="S2358" s="33" t="s">
        <v>12</v>
      </c>
      <c r="T2358" s="33" t="s">
        <v>29705</v>
      </c>
      <c r="U2358" s="33" t="s">
        <v>26570</v>
      </c>
      <c r="V2358" s="33" t="s">
        <v>26571</v>
      </c>
      <c r="W2358" s="33" t="s">
        <v>94</v>
      </c>
      <c r="X2358" s="33">
        <v>3146</v>
      </c>
      <c r="Z2358" s="33" t="s">
        <v>42968</v>
      </c>
      <c r="AA2358" s="33">
        <v>5309</v>
      </c>
    </row>
    <row r="2359" spans="1:27" ht="12" customHeight="1" x14ac:dyDescent="0.15">
      <c r="A2359" s="33" t="s">
        <v>30297</v>
      </c>
      <c r="B2359" s="33">
        <v>25</v>
      </c>
      <c r="C2359" s="33" t="s">
        <v>14</v>
      </c>
      <c r="D2359" s="33" t="s">
        <v>31</v>
      </c>
      <c r="F2359" s="67">
        <v>43056</v>
      </c>
      <c r="G2359" s="33" t="s">
        <v>30243</v>
      </c>
      <c r="H2359" s="33" t="s">
        <v>866</v>
      </c>
      <c r="I2359" s="33" t="s">
        <v>178</v>
      </c>
      <c r="J2359" s="33">
        <v>87121</v>
      </c>
      <c r="K2359" s="33" t="s">
        <v>433</v>
      </c>
      <c r="L2359" s="33" t="s">
        <v>7415</v>
      </c>
      <c r="M2359" s="33" t="s">
        <v>21</v>
      </c>
      <c r="N2359" s="33" t="s">
        <v>30244</v>
      </c>
      <c r="O2359" s="33" t="s">
        <v>372</v>
      </c>
      <c r="P2359" s="33" t="s">
        <v>30089</v>
      </c>
      <c r="Q2359" s="42" t="s">
        <v>30245</v>
      </c>
      <c r="R2359" s="33" t="s">
        <v>94</v>
      </c>
      <c r="S2359" s="33" t="s">
        <v>12</v>
      </c>
      <c r="T2359" s="33" t="s">
        <v>29705</v>
      </c>
      <c r="U2359" s="33" t="s">
        <v>26570</v>
      </c>
      <c r="V2359" s="33" t="s">
        <v>26571</v>
      </c>
      <c r="W2359" s="33" t="s">
        <v>94</v>
      </c>
      <c r="X2359" s="33">
        <v>3145</v>
      </c>
      <c r="Z2359" s="33" t="s">
        <v>42968</v>
      </c>
      <c r="AA2359" s="33">
        <v>5308</v>
      </c>
    </row>
    <row r="2360" spans="1:27" ht="12" customHeight="1" x14ac:dyDescent="0.15">
      <c r="A2360" s="33" t="s">
        <v>30299</v>
      </c>
      <c r="B2360" s="33">
        <v>25</v>
      </c>
      <c r="C2360" s="33" t="s">
        <v>14</v>
      </c>
      <c r="D2360" s="33" t="s">
        <v>31</v>
      </c>
      <c r="F2360" s="67">
        <v>43056</v>
      </c>
      <c r="H2360" s="33" t="s">
        <v>30300</v>
      </c>
      <c r="I2360" s="33" t="s">
        <v>225</v>
      </c>
      <c r="J2360" s="33">
        <v>22308</v>
      </c>
      <c r="K2360" s="33" t="s">
        <v>4065</v>
      </c>
      <c r="L2360" s="33" t="s">
        <v>30301</v>
      </c>
      <c r="M2360" s="33" t="s">
        <v>21</v>
      </c>
      <c r="N2360" s="33" t="s">
        <v>30302</v>
      </c>
      <c r="O2360" s="33" t="s">
        <v>372</v>
      </c>
      <c r="P2360" s="33" t="s">
        <v>30089</v>
      </c>
      <c r="Q2360" s="42" t="s">
        <v>30303</v>
      </c>
      <c r="R2360" s="33" t="s">
        <v>94</v>
      </c>
      <c r="S2360" s="33" t="s">
        <v>12</v>
      </c>
      <c r="T2360" s="33" t="s">
        <v>29705</v>
      </c>
      <c r="U2360" s="33" t="s">
        <v>26575</v>
      </c>
      <c r="V2360" s="33" t="s">
        <v>26571</v>
      </c>
      <c r="W2360" s="33" t="s">
        <v>94</v>
      </c>
      <c r="X2360" s="33">
        <v>3167</v>
      </c>
      <c r="Z2360" s="33" t="s">
        <v>42968</v>
      </c>
      <c r="AA2360" s="33">
        <v>5310</v>
      </c>
    </row>
    <row r="2361" spans="1:27" ht="12" customHeight="1" x14ac:dyDescent="0.15">
      <c r="A2361" s="33" t="s">
        <v>30273</v>
      </c>
      <c r="B2361" s="33">
        <v>68</v>
      </c>
      <c r="C2361" s="33" t="s">
        <v>14</v>
      </c>
      <c r="D2361" s="33" t="s">
        <v>79</v>
      </c>
      <c r="F2361" s="67">
        <v>43055</v>
      </c>
      <c r="G2361" s="33" t="s">
        <v>30862</v>
      </c>
      <c r="H2361" s="33" t="s">
        <v>4537</v>
      </c>
      <c r="I2361" s="33" t="s">
        <v>67</v>
      </c>
      <c r="J2361" s="33">
        <v>77422</v>
      </c>
      <c r="K2361" s="33" t="s">
        <v>4537</v>
      </c>
      <c r="L2361" s="33" t="s">
        <v>36510</v>
      </c>
      <c r="M2361" s="33" t="s">
        <v>21</v>
      </c>
      <c r="N2361" s="33" t="s">
        <v>30274</v>
      </c>
      <c r="O2361" s="33" t="s">
        <v>372</v>
      </c>
      <c r="P2361" s="33" t="s">
        <v>30089</v>
      </c>
      <c r="Q2361" s="42" t="s">
        <v>30275</v>
      </c>
      <c r="R2361" s="33" t="s">
        <v>94</v>
      </c>
      <c r="S2361" s="33" t="s">
        <v>22</v>
      </c>
      <c r="T2361" s="33" t="s">
        <v>26781</v>
      </c>
      <c r="U2361" s="33" t="s">
        <v>26572</v>
      </c>
      <c r="V2361" s="33" t="s">
        <v>26573</v>
      </c>
      <c r="X2361" s="33">
        <v>3207</v>
      </c>
      <c r="Z2361" s="33" t="s">
        <v>42967</v>
      </c>
      <c r="AA2361" s="33">
        <v>5303</v>
      </c>
    </row>
    <row r="2362" spans="1:27" ht="12" customHeight="1" x14ac:dyDescent="0.15">
      <c r="A2362" s="33" t="s">
        <v>30276</v>
      </c>
      <c r="B2362" s="33">
        <v>34</v>
      </c>
      <c r="C2362" s="33" t="s">
        <v>14</v>
      </c>
      <c r="D2362" s="33" t="s">
        <v>31</v>
      </c>
      <c r="E2362" s="42" t="s">
        <v>30277</v>
      </c>
      <c r="F2362" s="67">
        <v>43055</v>
      </c>
      <c r="G2362" s="33" t="s">
        <v>30278</v>
      </c>
      <c r="H2362" s="33" t="s">
        <v>30279</v>
      </c>
      <c r="I2362" s="33" t="s">
        <v>56</v>
      </c>
      <c r="J2362" s="33">
        <v>32626</v>
      </c>
      <c r="K2362" s="33" t="s">
        <v>30280</v>
      </c>
      <c r="L2362" s="33" t="s">
        <v>30281</v>
      </c>
      <c r="M2362" s="33" t="s">
        <v>4966</v>
      </c>
      <c r="N2362" s="33" t="s">
        <v>30282</v>
      </c>
      <c r="O2362" s="33" t="s">
        <v>372</v>
      </c>
      <c r="P2362" s="33" t="s">
        <v>30089</v>
      </c>
      <c r="Q2362" s="42" t="s">
        <v>30283</v>
      </c>
      <c r="R2362" s="33" t="s">
        <v>94</v>
      </c>
      <c r="S2362" s="33" t="s">
        <v>22</v>
      </c>
      <c r="T2362" s="33" t="s">
        <v>26774</v>
      </c>
      <c r="U2362" s="33" t="s">
        <v>26572</v>
      </c>
      <c r="V2362" s="33" t="s">
        <v>26573</v>
      </c>
      <c r="Z2362" s="33" t="s">
        <v>42967</v>
      </c>
      <c r="AA2362" s="33">
        <v>5305</v>
      </c>
    </row>
    <row r="2363" spans="1:27" ht="12" customHeight="1" x14ac:dyDescent="0.15">
      <c r="A2363" s="33" t="s">
        <v>30287</v>
      </c>
      <c r="B2363" s="33">
        <v>30</v>
      </c>
      <c r="C2363" s="33" t="s">
        <v>14</v>
      </c>
      <c r="D2363" s="33" t="s">
        <v>31</v>
      </c>
      <c r="E2363" s="42" t="s">
        <v>30288</v>
      </c>
      <c r="F2363" s="67">
        <v>43055</v>
      </c>
      <c r="G2363" s="33" t="s">
        <v>30289</v>
      </c>
      <c r="H2363" s="33" t="s">
        <v>2064</v>
      </c>
      <c r="I2363" s="33" t="s">
        <v>139</v>
      </c>
      <c r="J2363" s="33">
        <v>25302</v>
      </c>
      <c r="K2363" s="33" t="s">
        <v>859</v>
      </c>
      <c r="L2363" s="33" t="s">
        <v>8195</v>
      </c>
      <c r="M2363" s="33" t="s">
        <v>21</v>
      </c>
      <c r="N2363" s="33" t="s">
        <v>30290</v>
      </c>
      <c r="O2363" s="33" t="s">
        <v>372</v>
      </c>
      <c r="P2363" s="33" t="s">
        <v>30089</v>
      </c>
      <c r="Q2363" s="42" t="s">
        <v>30291</v>
      </c>
      <c r="R2363" s="33" t="s">
        <v>94</v>
      </c>
      <c r="S2363" s="33" t="s">
        <v>22</v>
      </c>
      <c r="T2363" s="33" t="s">
        <v>26781</v>
      </c>
      <c r="U2363" s="33" t="s">
        <v>26572</v>
      </c>
      <c r="V2363" s="33" t="s">
        <v>26573</v>
      </c>
      <c r="X2363" s="33">
        <v>3208</v>
      </c>
      <c r="Z2363" s="33" t="s">
        <v>42968</v>
      </c>
      <c r="AA2363" s="33">
        <v>5304</v>
      </c>
    </row>
    <row r="2364" spans="1:27" ht="12" customHeight="1" x14ac:dyDescent="0.15">
      <c r="A2364" s="33" t="s">
        <v>3002</v>
      </c>
      <c r="B2364" s="33" t="s">
        <v>23</v>
      </c>
      <c r="C2364" s="33" t="s">
        <v>14</v>
      </c>
      <c r="D2364" s="33" t="s">
        <v>30751</v>
      </c>
      <c r="F2364" s="67">
        <v>43055</v>
      </c>
      <c r="H2364" s="33" t="s">
        <v>30284</v>
      </c>
      <c r="I2364" s="33" t="s">
        <v>139</v>
      </c>
      <c r="J2364" s="33">
        <v>25427</v>
      </c>
      <c r="K2364" s="33" t="s">
        <v>4889</v>
      </c>
      <c r="L2364" s="33" t="s">
        <v>5161</v>
      </c>
      <c r="M2364" s="33" t="s">
        <v>21</v>
      </c>
      <c r="N2364" s="33" t="s">
        <v>30285</v>
      </c>
      <c r="O2364" s="33" t="s">
        <v>372</v>
      </c>
      <c r="P2364" s="33" t="s">
        <v>30089</v>
      </c>
      <c r="Q2364" s="42" t="s">
        <v>30286</v>
      </c>
      <c r="R2364" s="33" t="s">
        <v>94</v>
      </c>
      <c r="S2364" s="33" t="s">
        <v>29</v>
      </c>
      <c r="T2364" s="33" t="s">
        <v>26575</v>
      </c>
      <c r="U2364" s="33" t="s">
        <v>26575</v>
      </c>
      <c r="V2364" s="33" t="s">
        <v>26573</v>
      </c>
      <c r="Z2364" s="33" t="s">
        <v>42967</v>
      </c>
      <c r="AA2364" s="33">
        <v>5306</v>
      </c>
    </row>
    <row r="2365" spans="1:27" ht="12" customHeight="1" x14ac:dyDescent="0.15">
      <c r="A2365" s="33" t="s">
        <v>30231</v>
      </c>
      <c r="B2365" s="33">
        <v>22</v>
      </c>
      <c r="C2365" s="33" t="s">
        <v>14</v>
      </c>
      <c r="D2365" s="33" t="s">
        <v>42</v>
      </c>
      <c r="F2365" s="67">
        <v>43054</v>
      </c>
      <c r="G2365" s="33" t="s">
        <v>30232</v>
      </c>
      <c r="H2365" s="33" t="s">
        <v>5656</v>
      </c>
      <c r="I2365" s="33" t="s">
        <v>39</v>
      </c>
      <c r="J2365" s="33">
        <v>91405</v>
      </c>
      <c r="K2365" s="33" t="s">
        <v>92</v>
      </c>
      <c r="L2365" s="33" t="s">
        <v>93</v>
      </c>
      <c r="M2365" s="33" t="s">
        <v>21</v>
      </c>
      <c r="N2365" s="33" t="s">
        <v>36511</v>
      </c>
      <c r="O2365" s="33" t="s">
        <v>372</v>
      </c>
      <c r="P2365" s="33" t="s">
        <v>30089</v>
      </c>
      <c r="Q2365" s="42" t="s">
        <v>30233</v>
      </c>
      <c r="R2365" s="33" t="s">
        <v>94</v>
      </c>
      <c r="S2365" s="33" t="s">
        <v>22</v>
      </c>
      <c r="T2365" s="33" t="s">
        <v>26781</v>
      </c>
      <c r="U2365" s="33" t="s">
        <v>26572</v>
      </c>
      <c r="V2365" s="33" t="s">
        <v>26571</v>
      </c>
      <c r="W2365" s="33" t="s">
        <v>94</v>
      </c>
      <c r="X2365" s="33">
        <v>3142</v>
      </c>
      <c r="Z2365" s="33" t="s">
        <v>42966</v>
      </c>
      <c r="AA2365" s="33">
        <v>5299</v>
      </c>
    </row>
    <row r="2366" spans="1:27" ht="12" customHeight="1" x14ac:dyDescent="0.15">
      <c r="A2366" s="33" t="s">
        <v>30221</v>
      </c>
      <c r="B2366" s="33">
        <v>29</v>
      </c>
      <c r="C2366" s="33" t="s">
        <v>14</v>
      </c>
      <c r="D2366" s="33" t="s">
        <v>128</v>
      </c>
      <c r="E2366" s="42" t="s">
        <v>30222</v>
      </c>
      <c r="F2366" s="67">
        <v>43054</v>
      </c>
      <c r="G2366" s="33" t="s">
        <v>30859</v>
      </c>
      <c r="H2366" s="33" t="s">
        <v>1027</v>
      </c>
      <c r="I2366" s="33" t="s">
        <v>367</v>
      </c>
      <c r="J2366" s="33">
        <v>73108</v>
      </c>
      <c r="K2366" s="33" t="s">
        <v>1028</v>
      </c>
      <c r="L2366" s="33" t="s">
        <v>1029</v>
      </c>
      <c r="M2366" s="33" t="s">
        <v>21</v>
      </c>
      <c r="N2366" s="33" t="s">
        <v>30223</v>
      </c>
      <c r="O2366" s="33" t="s">
        <v>1083</v>
      </c>
      <c r="P2366" s="33" t="s">
        <v>1084</v>
      </c>
      <c r="Q2366" s="42" t="s">
        <v>30224</v>
      </c>
      <c r="R2366" s="33" t="s">
        <v>512</v>
      </c>
      <c r="S2366" s="33" t="s">
        <v>29</v>
      </c>
      <c r="T2366" s="33" t="s">
        <v>30225</v>
      </c>
      <c r="U2366" s="33" t="s">
        <v>26570</v>
      </c>
      <c r="V2366" s="33" t="s">
        <v>26573</v>
      </c>
      <c r="W2366" s="33" t="s">
        <v>512</v>
      </c>
      <c r="X2366" s="33">
        <v>3139</v>
      </c>
      <c r="Z2366" s="33" t="s">
        <v>42966</v>
      </c>
      <c r="AA2366" s="33">
        <v>5302</v>
      </c>
    </row>
    <row r="2367" spans="1:27" ht="12" customHeight="1" x14ac:dyDescent="0.15">
      <c r="A2367" s="33" t="s">
        <v>3002</v>
      </c>
      <c r="B2367" s="33" t="s">
        <v>23</v>
      </c>
      <c r="C2367" s="33" t="s">
        <v>14</v>
      </c>
      <c r="D2367" s="33" t="s">
        <v>79</v>
      </c>
      <c r="F2367" s="67">
        <v>43054</v>
      </c>
      <c r="G2367" s="33" t="s">
        <v>30234</v>
      </c>
      <c r="H2367" s="33" t="s">
        <v>404</v>
      </c>
      <c r="I2367" s="33" t="s">
        <v>621</v>
      </c>
      <c r="J2367" s="33">
        <v>39213</v>
      </c>
      <c r="K2367" s="33" t="s">
        <v>9141</v>
      </c>
      <c r="L2367" s="33" t="s">
        <v>5717</v>
      </c>
      <c r="M2367" s="33" t="s">
        <v>21</v>
      </c>
      <c r="N2367" s="33" t="s">
        <v>30235</v>
      </c>
      <c r="O2367" s="33" t="s">
        <v>372</v>
      </c>
      <c r="P2367" s="33" t="s">
        <v>30089</v>
      </c>
      <c r="Q2367" s="42" t="s">
        <v>30236</v>
      </c>
      <c r="R2367" s="33" t="s">
        <v>23</v>
      </c>
      <c r="S2367" s="33" t="s">
        <v>22</v>
      </c>
      <c r="T2367" s="33" t="s">
        <v>26774</v>
      </c>
      <c r="U2367" s="33" t="s">
        <v>26570</v>
      </c>
      <c r="V2367" s="33" t="s">
        <v>26573</v>
      </c>
      <c r="W2367" s="33" t="s">
        <v>94</v>
      </c>
      <c r="X2367" s="33">
        <v>3143</v>
      </c>
      <c r="Z2367" s="33" t="s">
        <v>42968</v>
      </c>
      <c r="AA2367" s="33">
        <v>5301</v>
      </c>
    </row>
    <row r="2368" spans="1:27" ht="12" customHeight="1" x14ac:dyDescent="0.15">
      <c r="A2368" s="33" t="s">
        <v>30226</v>
      </c>
      <c r="B2368" s="33">
        <v>48</v>
      </c>
      <c r="C2368" s="33" t="s">
        <v>14</v>
      </c>
      <c r="D2368" s="33" t="s">
        <v>31</v>
      </c>
      <c r="E2368" s="42" t="s">
        <v>30227</v>
      </c>
      <c r="F2368" s="67">
        <v>43054</v>
      </c>
      <c r="G2368" s="33" t="s">
        <v>30228</v>
      </c>
      <c r="H2368" s="33" t="s">
        <v>4070</v>
      </c>
      <c r="I2368" s="33" t="s">
        <v>309</v>
      </c>
      <c r="J2368" s="33">
        <v>99504</v>
      </c>
      <c r="K2368" s="33" t="s">
        <v>4070</v>
      </c>
      <c r="L2368" s="33" t="s">
        <v>4072</v>
      </c>
      <c r="M2368" s="33" t="s">
        <v>21</v>
      </c>
      <c r="N2368" s="33" t="s">
        <v>30229</v>
      </c>
      <c r="O2368" s="33" t="s">
        <v>372</v>
      </c>
      <c r="P2368" s="33" t="s">
        <v>30089</v>
      </c>
      <c r="Q2368" s="42" t="s">
        <v>30230</v>
      </c>
      <c r="R2368" s="33" t="s">
        <v>94</v>
      </c>
      <c r="S2368" s="33" t="s">
        <v>22</v>
      </c>
      <c r="T2368" s="33" t="s">
        <v>26781</v>
      </c>
      <c r="U2368" s="33" t="s">
        <v>26572</v>
      </c>
      <c r="V2368" s="33" t="s">
        <v>26571</v>
      </c>
      <c r="W2368" s="33" t="s">
        <v>94</v>
      </c>
      <c r="X2368" s="33">
        <v>3141</v>
      </c>
      <c r="Z2368" s="33" t="s">
        <v>42966</v>
      </c>
      <c r="AA2368" s="33">
        <v>5298</v>
      </c>
    </row>
    <row r="2369" spans="1:27" ht="12" customHeight="1" x14ac:dyDescent="0.15">
      <c r="A2369" s="33" t="s">
        <v>30237</v>
      </c>
      <c r="B2369" s="33">
        <v>59</v>
      </c>
      <c r="C2369" s="33" t="s">
        <v>14</v>
      </c>
      <c r="D2369" s="33" t="s">
        <v>31</v>
      </c>
      <c r="F2369" s="67">
        <v>43054</v>
      </c>
      <c r="G2369" s="33" t="s">
        <v>30238</v>
      </c>
      <c r="H2369" s="33" t="s">
        <v>30239</v>
      </c>
      <c r="I2369" s="33" t="s">
        <v>395</v>
      </c>
      <c r="J2369" s="33">
        <v>14901</v>
      </c>
      <c r="K2369" s="33" t="s">
        <v>29803</v>
      </c>
      <c r="L2369" s="33" t="s">
        <v>30240</v>
      </c>
      <c r="M2369" s="33" t="s">
        <v>21</v>
      </c>
      <c r="N2369" s="33" t="s">
        <v>30241</v>
      </c>
      <c r="O2369" s="33" t="s">
        <v>372</v>
      </c>
      <c r="P2369" s="33" t="s">
        <v>30089</v>
      </c>
      <c r="Q2369" s="42" t="s">
        <v>30242</v>
      </c>
      <c r="R2369" s="33" t="s">
        <v>512</v>
      </c>
      <c r="S2369" s="33" t="s">
        <v>22</v>
      </c>
      <c r="T2369" s="33" t="s">
        <v>26781</v>
      </c>
      <c r="U2369" s="33" t="s">
        <v>26572</v>
      </c>
      <c r="V2369" s="33" t="s">
        <v>26573</v>
      </c>
      <c r="W2369" s="33" t="s">
        <v>94</v>
      </c>
      <c r="X2369" s="33">
        <v>3144</v>
      </c>
      <c r="Z2369" s="33" t="s">
        <v>42966</v>
      </c>
      <c r="AA2369" s="33">
        <v>5300</v>
      </c>
    </row>
    <row r="2370" spans="1:27" ht="12" customHeight="1" x14ac:dyDescent="0.15">
      <c r="A2370" s="33" t="s">
        <v>30206</v>
      </c>
      <c r="B2370" s="33">
        <v>44</v>
      </c>
      <c r="C2370" s="33" t="s">
        <v>14</v>
      </c>
      <c r="D2370" s="33" t="s">
        <v>31</v>
      </c>
      <c r="E2370" s="42" t="s">
        <v>30207</v>
      </c>
      <c r="F2370" s="67">
        <v>43053</v>
      </c>
      <c r="G2370" s="33" t="s">
        <v>30208</v>
      </c>
      <c r="H2370" s="33" t="s">
        <v>2720</v>
      </c>
      <c r="I2370" s="33" t="s">
        <v>39</v>
      </c>
      <c r="J2370" s="33">
        <v>96021</v>
      </c>
      <c r="K2370" s="33" t="s">
        <v>30209</v>
      </c>
      <c r="L2370" s="33" t="s">
        <v>30210</v>
      </c>
      <c r="M2370" s="33" t="s">
        <v>21</v>
      </c>
      <c r="N2370" s="33" t="s">
        <v>30211</v>
      </c>
      <c r="O2370" s="33" t="s">
        <v>372</v>
      </c>
      <c r="P2370" s="33" t="s">
        <v>30089</v>
      </c>
      <c r="Q2370" s="42" t="s">
        <v>30212</v>
      </c>
      <c r="R2370" s="33" t="s">
        <v>512</v>
      </c>
      <c r="S2370" s="33" t="s">
        <v>22</v>
      </c>
      <c r="T2370" s="33" t="s">
        <v>26781</v>
      </c>
      <c r="U2370" s="33" t="s">
        <v>26575</v>
      </c>
      <c r="V2370" s="33" t="s">
        <v>26573</v>
      </c>
      <c r="W2370" s="33" t="s">
        <v>94</v>
      </c>
      <c r="X2370" s="33">
        <v>3137</v>
      </c>
      <c r="Z2370" s="33" t="s">
        <v>42967</v>
      </c>
      <c r="AA2370" s="33">
        <v>5295</v>
      </c>
    </row>
    <row r="2371" spans="1:27" ht="12" customHeight="1" x14ac:dyDescent="0.15">
      <c r="A2371" s="33" t="s">
        <v>30213</v>
      </c>
      <c r="B2371" s="33">
        <v>23</v>
      </c>
      <c r="C2371" s="33" t="s">
        <v>14</v>
      </c>
      <c r="D2371" s="33" t="s">
        <v>42</v>
      </c>
      <c r="E2371" s="42" t="s">
        <v>30214</v>
      </c>
      <c r="F2371" s="67">
        <v>43053</v>
      </c>
      <c r="G2371" s="33" t="s">
        <v>30215</v>
      </c>
      <c r="H2371" s="33" t="s">
        <v>584</v>
      </c>
      <c r="I2371" s="33" t="s">
        <v>112</v>
      </c>
      <c r="J2371" s="33">
        <v>85033</v>
      </c>
      <c r="K2371" s="33" t="s">
        <v>585</v>
      </c>
      <c r="L2371" s="33" t="s">
        <v>586</v>
      </c>
      <c r="M2371" s="33" t="s">
        <v>21</v>
      </c>
      <c r="N2371" s="33" t="s">
        <v>30216</v>
      </c>
      <c r="O2371" s="33" t="s">
        <v>372</v>
      </c>
      <c r="P2371" s="33" t="s">
        <v>30089</v>
      </c>
      <c r="Q2371" s="42" t="s">
        <v>30217</v>
      </c>
      <c r="R2371" s="33" t="s">
        <v>94</v>
      </c>
      <c r="S2371" s="33" t="s">
        <v>22</v>
      </c>
      <c r="T2371" s="33" t="s">
        <v>26781</v>
      </c>
      <c r="U2371" s="33" t="s">
        <v>26572</v>
      </c>
      <c r="V2371" s="33" t="s">
        <v>26574</v>
      </c>
      <c r="W2371" s="33" t="s">
        <v>94</v>
      </c>
      <c r="X2371" s="33">
        <v>3138</v>
      </c>
      <c r="Z2371" s="33" t="s">
        <v>42966</v>
      </c>
      <c r="AA2371" s="33">
        <v>5296</v>
      </c>
    </row>
    <row r="2372" spans="1:27" ht="12" customHeight="1" x14ac:dyDescent="0.15">
      <c r="A2372" s="33" t="s">
        <v>30218</v>
      </c>
      <c r="B2372" s="33">
        <v>51</v>
      </c>
      <c r="C2372" s="33" t="s">
        <v>14</v>
      </c>
      <c r="D2372" s="33" t="s">
        <v>79</v>
      </c>
      <c r="F2372" s="67">
        <v>43053</v>
      </c>
      <c r="G2372" s="33" t="s">
        <v>30858</v>
      </c>
      <c r="H2372" s="33" t="s">
        <v>1645</v>
      </c>
      <c r="I2372" s="33" t="s">
        <v>39</v>
      </c>
      <c r="J2372" s="33">
        <v>95210</v>
      </c>
      <c r="K2372" s="33" t="s">
        <v>1647</v>
      </c>
      <c r="L2372" s="33" t="s">
        <v>1648</v>
      </c>
      <c r="M2372" s="33" t="s">
        <v>21</v>
      </c>
      <c r="N2372" s="33" t="s">
        <v>30219</v>
      </c>
      <c r="O2372" s="33" t="s">
        <v>372</v>
      </c>
      <c r="P2372" s="33" t="s">
        <v>30089</v>
      </c>
      <c r="Q2372" s="42" t="s">
        <v>30220</v>
      </c>
      <c r="R2372" s="33" t="s">
        <v>94</v>
      </c>
      <c r="S2372" s="33" t="s">
        <v>22</v>
      </c>
      <c r="T2372" s="33" t="s">
        <v>26774</v>
      </c>
      <c r="U2372" s="33" t="s">
        <v>26570</v>
      </c>
      <c r="V2372" s="33" t="s">
        <v>26571</v>
      </c>
      <c r="W2372" s="33" t="s">
        <v>94</v>
      </c>
      <c r="X2372" s="33">
        <v>3140</v>
      </c>
      <c r="Z2372" s="33" t="s">
        <v>42968</v>
      </c>
      <c r="AA2372" s="33">
        <v>5297</v>
      </c>
    </row>
    <row r="2373" spans="1:27" ht="12" customHeight="1" x14ac:dyDescent="0.15">
      <c r="A2373" s="33" t="s">
        <v>30195</v>
      </c>
      <c r="B2373" s="33">
        <v>67</v>
      </c>
      <c r="C2373" s="33" t="s">
        <v>14</v>
      </c>
      <c r="D2373" s="33" t="s">
        <v>79</v>
      </c>
      <c r="F2373" s="67">
        <v>43052</v>
      </c>
      <c r="G2373" s="33" t="s">
        <v>30196</v>
      </c>
      <c r="H2373" s="33" t="s">
        <v>1716</v>
      </c>
      <c r="I2373" s="33" t="s">
        <v>395</v>
      </c>
      <c r="J2373" s="33">
        <v>10457</v>
      </c>
      <c r="K2373" s="33" t="s">
        <v>1716</v>
      </c>
      <c r="L2373" s="33" t="s">
        <v>539</v>
      </c>
      <c r="M2373" s="33" t="s">
        <v>21</v>
      </c>
      <c r="N2373" s="33" t="s">
        <v>30197</v>
      </c>
      <c r="O2373" s="33" t="s">
        <v>372</v>
      </c>
      <c r="P2373" s="33" t="s">
        <v>30089</v>
      </c>
      <c r="Q2373" s="42" t="s">
        <v>30198</v>
      </c>
      <c r="R2373" s="33" t="s">
        <v>512</v>
      </c>
      <c r="S2373" s="33" t="s">
        <v>22</v>
      </c>
      <c r="T2373" s="33" t="s">
        <v>26774</v>
      </c>
      <c r="U2373" s="33" t="s">
        <v>26572</v>
      </c>
      <c r="V2373" s="33" t="s">
        <v>26573</v>
      </c>
      <c r="W2373" s="33" t="s">
        <v>512</v>
      </c>
      <c r="X2373" s="33">
        <v>3134</v>
      </c>
      <c r="Z2373" s="33" t="s">
        <v>42966</v>
      </c>
      <c r="AA2373" s="33">
        <v>5293</v>
      </c>
    </row>
    <row r="2374" spans="1:27" ht="12" customHeight="1" x14ac:dyDescent="0.15">
      <c r="A2374" s="33" t="s">
        <v>30199</v>
      </c>
      <c r="B2374" s="33">
        <v>24</v>
      </c>
      <c r="C2374" s="33" t="s">
        <v>14</v>
      </c>
      <c r="D2374" s="33" t="s">
        <v>79</v>
      </c>
      <c r="E2374" s="42" t="s">
        <v>30200</v>
      </c>
      <c r="F2374" s="67">
        <v>43052</v>
      </c>
      <c r="G2374" s="33" t="s">
        <v>30201</v>
      </c>
      <c r="H2374" s="33" t="s">
        <v>172</v>
      </c>
      <c r="I2374" s="33" t="s">
        <v>19</v>
      </c>
      <c r="J2374" s="33">
        <v>70805</v>
      </c>
      <c r="K2374" s="33" t="s">
        <v>3435</v>
      </c>
      <c r="L2374" s="33" t="s">
        <v>1573</v>
      </c>
      <c r="M2374" s="33" t="s">
        <v>21</v>
      </c>
      <c r="N2374" s="33" t="s">
        <v>30202</v>
      </c>
      <c r="O2374" s="33" t="s">
        <v>372</v>
      </c>
      <c r="P2374" s="33" t="s">
        <v>30089</v>
      </c>
      <c r="Q2374" s="42" t="s">
        <v>30203</v>
      </c>
      <c r="R2374" s="33" t="s">
        <v>94</v>
      </c>
      <c r="S2374" s="33" t="s">
        <v>12</v>
      </c>
      <c r="T2374" s="33" t="s">
        <v>29705</v>
      </c>
      <c r="U2374" s="33" t="s">
        <v>26572</v>
      </c>
      <c r="V2374" s="33" t="s">
        <v>26574</v>
      </c>
      <c r="W2374" s="33" t="s">
        <v>512</v>
      </c>
      <c r="X2374" s="33">
        <v>3135</v>
      </c>
      <c r="Z2374" s="33" t="s">
        <v>42966</v>
      </c>
      <c r="AA2374" s="33">
        <v>5294</v>
      </c>
    </row>
    <row r="2375" spans="1:27" ht="12" customHeight="1" x14ac:dyDescent="0.15">
      <c r="A2375" s="33" t="s">
        <v>30190</v>
      </c>
      <c r="B2375" s="33">
        <v>19</v>
      </c>
      <c r="C2375" s="33" t="s">
        <v>14</v>
      </c>
      <c r="D2375" s="33" t="s">
        <v>42</v>
      </c>
      <c r="E2375" s="42" t="s">
        <v>30191</v>
      </c>
      <c r="F2375" s="67">
        <v>43051</v>
      </c>
      <c r="G2375" s="33" t="s">
        <v>30192</v>
      </c>
      <c r="H2375" s="33" t="s">
        <v>21594</v>
      </c>
      <c r="I2375" s="33" t="s">
        <v>40</v>
      </c>
      <c r="J2375" s="33">
        <v>2720</v>
      </c>
      <c r="K2375" s="33" t="s">
        <v>6020</v>
      </c>
      <c r="L2375" s="33" t="s">
        <v>21595</v>
      </c>
      <c r="M2375" s="33" t="s">
        <v>21</v>
      </c>
      <c r="N2375" s="33" t="s">
        <v>30193</v>
      </c>
      <c r="O2375" s="33" t="s">
        <v>372</v>
      </c>
      <c r="P2375" s="33" t="s">
        <v>30089</v>
      </c>
      <c r="Q2375" s="42" t="s">
        <v>30194</v>
      </c>
      <c r="R2375" s="33" t="s">
        <v>94</v>
      </c>
      <c r="S2375" s="33" t="s">
        <v>351</v>
      </c>
      <c r="T2375" s="33" t="s">
        <v>26867</v>
      </c>
      <c r="U2375" s="33" t="s">
        <v>26570</v>
      </c>
      <c r="V2375" s="33" t="s">
        <v>26571</v>
      </c>
      <c r="W2375" s="33" t="s">
        <v>94</v>
      </c>
      <c r="X2375" s="33">
        <v>3121</v>
      </c>
      <c r="Z2375" s="33" t="s">
        <v>42968</v>
      </c>
      <c r="AA2375" s="33">
        <v>5292</v>
      </c>
    </row>
    <row r="2376" spans="1:27" ht="12" customHeight="1" x14ac:dyDescent="0.15">
      <c r="A2376" s="33" t="s">
        <v>30182</v>
      </c>
      <c r="B2376" s="33">
        <v>41</v>
      </c>
      <c r="C2376" s="33" t="s">
        <v>14</v>
      </c>
      <c r="D2376" s="33" t="s">
        <v>79</v>
      </c>
      <c r="F2376" s="67">
        <v>43050</v>
      </c>
      <c r="G2376" s="33" t="s">
        <v>30183</v>
      </c>
      <c r="H2376" s="33" t="s">
        <v>607</v>
      </c>
      <c r="I2376" s="33" t="s">
        <v>250</v>
      </c>
      <c r="J2376" s="33">
        <v>89183</v>
      </c>
      <c r="K2376" s="33" t="s">
        <v>527</v>
      </c>
      <c r="L2376" s="33" t="s">
        <v>528</v>
      </c>
      <c r="M2376" s="33" t="s">
        <v>21</v>
      </c>
      <c r="N2376" s="33" t="s">
        <v>30184</v>
      </c>
      <c r="O2376" s="33" t="s">
        <v>372</v>
      </c>
      <c r="P2376" s="33" t="s">
        <v>30089</v>
      </c>
      <c r="Q2376" s="42" t="s">
        <v>30185</v>
      </c>
      <c r="R2376" s="33" t="s">
        <v>94</v>
      </c>
      <c r="S2376" s="33" t="s">
        <v>22</v>
      </c>
      <c r="T2376" s="33" t="s">
        <v>26781</v>
      </c>
      <c r="U2376" s="33" t="s">
        <v>26572</v>
      </c>
      <c r="V2376" s="33" t="s">
        <v>26573</v>
      </c>
      <c r="W2376" s="33" t="s">
        <v>94</v>
      </c>
      <c r="X2376" s="33">
        <v>3123</v>
      </c>
      <c r="Z2376" s="33" t="s">
        <v>42968</v>
      </c>
      <c r="AA2376" s="33">
        <v>5290</v>
      </c>
    </row>
    <row r="2377" spans="1:27" ht="12" customHeight="1" x14ac:dyDescent="0.15">
      <c r="A2377" s="33" t="s">
        <v>30177</v>
      </c>
      <c r="B2377" s="33">
        <v>19</v>
      </c>
      <c r="C2377" s="33" t="s">
        <v>14</v>
      </c>
      <c r="D2377" s="33" t="s">
        <v>31</v>
      </c>
      <c r="E2377" s="42" t="s">
        <v>30178</v>
      </c>
      <c r="F2377" s="67">
        <v>43050</v>
      </c>
      <c r="G2377" s="33" t="s">
        <v>30179</v>
      </c>
      <c r="H2377" s="33" t="s">
        <v>30180</v>
      </c>
      <c r="I2377" s="33" t="s">
        <v>342</v>
      </c>
      <c r="J2377" s="33">
        <v>50529</v>
      </c>
      <c r="K2377" s="33" t="s">
        <v>4965</v>
      </c>
      <c r="L2377" s="33" t="s">
        <v>36512</v>
      </c>
      <c r="M2377" s="33" t="s">
        <v>21</v>
      </c>
      <c r="N2377" s="33" t="s">
        <v>36513</v>
      </c>
      <c r="O2377" s="33" t="s">
        <v>372</v>
      </c>
      <c r="P2377" s="33" t="s">
        <v>30089</v>
      </c>
      <c r="Q2377" s="42" t="s">
        <v>30181</v>
      </c>
      <c r="R2377" s="33" t="s">
        <v>512</v>
      </c>
      <c r="S2377" s="33" t="s">
        <v>22</v>
      </c>
      <c r="T2377" s="33" t="s">
        <v>26781</v>
      </c>
      <c r="U2377" s="33" t="s">
        <v>26572</v>
      </c>
      <c r="V2377" s="33" t="s">
        <v>19228</v>
      </c>
      <c r="W2377" s="33" t="s">
        <v>94</v>
      </c>
      <c r="X2377" s="33">
        <v>3122</v>
      </c>
      <c r="Z2377" s="33" t="s">
        <v>42968</v>
      </c>
      <c r="AA2377" s="33">
        <v>5289</v>
      </c>
    </row>
    <row r="2378" spans="1:27" ht="12" customHeight="1" x14ac:dyDescent="0.15">
      <c r="A2378" s="33" t="s">
        <v>30186</v>
      </c>
      <c r="B2378" s="33">
        <v>55</v>
      </c>
      <c r="C2378" s="33" t="s">
        <v>14</v>
      </c>
      <c r="D2378" s="33" t="s">
        <v>31</v>
      </c>
      <c r="F2378" s="67">
        <v>43050</v>
      </c>
      <c r="G2378" s="33" t="s">
        <v>30856</v>
      </c>
      <c r="H2378" s="33" t="s">
        <v>30187</v>
      </c>
      <c r="I2378" s="33" t="s">
        <v>19</v>
      </c>
      <c r="J2378" s="33">
        <v>70452</v>
      </c>
      <c r="K2378" s="33" t="s">
        <v>15980</v>
      </c>
      <c r="L2378" s="33" t="s">
        <v>15981</v>
      </c>
      <c r="M2378" s="33" t="s">
        <v>21</v>
      </c>
      <c r="N2378" s="33" t="s">
        <v>30188</v>
      </c>
      <c r="O2378" s="33" t="s">
        <v>372</v>
      </c>
      <c r="P2378" s="33" t="s">
        <v>30089</v>
      </c>
      <c r="Q2378" s="42" t="s">
        <v>30189</v>
      </c>
      <c r="R2378" s="33" t="s">
        <v>94</v>
      </c>
      <c r="S2378" s="33" t="s">
        <v>22</v>
      </c>
      <c r="T2378" s="33" t="s">
        <v>26781</v>
      </c>
      <c r="U2378" s="33" t="s">
        <v>26572</v>
      </c>
      <c r="V2378" s="33" t="s">
        <v>26573</v>
      </c>
      <c r="W2378" s="33" t="s">
        <v>94</v>
      </c>
      <c r="X2378" s="33">
        <v>3132</v>
      </c>
      <c r="Z2378" s="33" t="s">
        <v>42967</v>
      </c>
      <c r="AA2378" s="33">
        <v>5291</v>
      </c>
    </row>
    <row r="2379" spans="1:27" ht="12" customHeight="1" x14ac:dyDescent="0.15">
      <c r="A2379" s="33" t="s">
        <v>30154</v>
      </c>
      <c r="B2379" s="33">
        <v>43</v>
      </c>
      <c r="C2379" s="33" t="s">
        <v>14</v>
      </c>
      <c r="D2379" s="33" t="s">
        <v>79</v>
      </c>
      <c r="F2379" s="67">
        <v>43049</v>
      </c>
      <c r="G2379" s="33" t="s">
        <v>30155</v>
      </c>
      <c r="H2379" s="33" t="s">
        <v>584</v>
      </c>
      <c r="I2379" s="33" t="s">
        <v>112</v>
      </c>
      <c r="J2379" s="33">
        <v>85003</v>
      </c>
      <c r="K2379" s="33" t="s">
        <v>585</v>
      </c>
      <c r="L2379" s="33" t="s">
        <v>586</v>
      </c>
      <c r="M2379" s="33" t="s">
        <v>21</v>
      </c>
      <c r="N2379" s="33" t="s">
        <v>30156</v>
      </c>
      <c r="O2379" s="33" t="s">
        <v>372</v>
      </c>
      <c r="P2379" s="33" t="s">
        <v>30089</v>
      </c>
      <c r="Q2379" s="42" t="s">
        <v>30157</v>
      </c>
      <c r="R2379" s="33" t="s">
        <v>94</v>
      </c>
      <c r="S2379" s="33" t="s">
        <v>22</v>
      </c>
      <c r="T2379" s="33" t="s">
        <v>26774</v>
      </c>
      <c r="U2379" s="33" t="s">
        <v>26572</v>
      </c>
      <c r="V2379" s="33" t="s">
        <v>26573</v>
      </c>
      <c r="W2379" s="33" t="s">
        <v>94</v>
      </c>
      <c r="X2379" s="33">
        <v>3126</v>
      </c>
      <c r="Z2379" s="33" t="s">
        <v>42966</v>
      </c>
      <c r="AA2379" s="33">
        <v>5286</v>
      </c>
    </row>
    <row r="2380" spans="1:27" ht="12" customHeight="1" x14ac:dyDescent="0.15">
      <c r="A2380" s="33" t="s">
        <v>3002</v>
      </c>
      <c r="B2380" s="33" t="s">
        <v>23</v>
      </c>
      <c r="C2380" s="33" t="s">
        <v>14</v>
      </c>
      <c r="D2380" s="33" t="s">
        <v>79</v>
      </c>
      <c r="F2380" s="67">
        <v>43049</v>
      </c>
      <c r="G2380" s="33" t="s">
        <v>30167</v>
      </c>
      <c r="H2380" s="33" t="s">
        <v>30168</v>
      </c>
      <c r="I2380" s="33" t="s">
        <v>621</v>
      </c>
      <c r="J2380" s="33">
        <v>39066</v>
      </c>
      <c r="K2380" s="33" t="s">
        <v>9141</v>
      </c>
      <c r="L2380" s="33" t="s">
        <v>30169</v>
      </c>
      <c r="M2380" s="33" t="s">
        <v>21</v>
      </c>
      <c r="N2380" s="33" t="s">
        <v>30170</v>
      </c>
      <c r="O2380" s="33" t="s">
        <v>372</v>
      </c>
      <c r="P2380" s="33" t="s">
        <v>30089</v>
      </c>
      <c r="Q2380" s="42" t="s">
        <v>30171</v>
      </c>
      <c r="R2380" s="33" t="s">
        <v>94</v>
      </c>
      <c r="S2380" s="33" t="s">
        <v>351</v>
      </c>
      <c r="T2380" s="33" t="s">
        <v>26867</v>
      </c>
      <c r="U2380" s="33" t="s">
        <v>26570</v>
      </c>
      <c r="V2380" s="33" t="s">
        <v>26573</v>
      </c>
      <c r="W2380" s="33" t="s">
        <v>94</v>
      </c>
      <c r="X2380" s="33">
        <v>3131</v>
      </c>
      <c r="Z2380" s="33" t="s">
        <v>42967</v>
      </c>
      <c r="AA2380" s="33">
        <v>5288</v>
      </c>
    </row>
    <row r="2381" spans="1:27" ht="12" customHeight="1" x14ac:dyDescent="0.15">
      <c r="A2381" s="33" t="s">
        <v>30204</v>
      </c>
      <c r="B2381" s="33">
        <v>53</v>
      </c>
      <c r="C2381" s="33" t="s">
        <v>14</v>
      </c>
      <c r="D2381" s="33" t="s">
        <v>31</v>
      </c>
      <c r="F2381" s="67">
        <v>43049</v>
      </c>
      <c r="G2381" s="33" t="s">
        <v>30857</v>
      </c>
      <c r="H2381" s="33" t="s">
        <v>29366</v>
      </c>
      <c r="I2381" s="33" t="s">
        <v>192</v>
      </c>
      <c r="J2381" s="33">
        <v>80120</v>
      </c>
      <c r="K2381" s="33" t="s">
        <v>3510</v>
      </c>
      <c r="L2381" s="33" t="s">
        <v>1213</v>
      </c>
      <c r="M2381" s="33" t="s">
        <v>21</v>
      </c>
      <c r="N2381" s="33" t="s">
        <v>36514</v>
      </c>
      <c r="O2381" s="33" t="s">
        <v>372</v>
      </c>
      <c r="P2381" s="33" t="s">
        <v>30089</v>
      </c>
      <c r="Q2381" s="42" t="s">
        <v>30205</v>
      </c>
      <c r="R2381" s="33" t="s">
        <v>94</v>
      </c>
      <c r="S2381" s="33" t="s">
        <v>29</v>
      </c>
      <c r="T2381" s="33" t="s">
        <v>26575</v>
      </c>
      <c r="U2381" s="33" t="s">
        <v>26572</v>
      </c>
      <c r="V2381" s="33" t="s">
        <v>26573</v>
      </c>
      <c r="Y2381" s="33" t="s">
        <v>42476</v>
      </c>
      <c r="Z2381" s="33" t="s">
        <v>42968</v>
      </c>
      <c r="AA2381" s="33">
        <v>5287</v>
      </c>
    </row>
    <row r="2382" spans="1:27" ht="12" customHeight="1" x14ac:dyDescent="0.15">
      <c r="A2382" s="33" t="s">
        <v>30164</v>
      </c>
      <c r="B2382" s="33">
        <v>25</v>
      </c>
      <c r="C2382" s="33" t="s">
        <v>14</v>
      </c>
      <c r="D2382" s="33" t="s">
        <v>79</v>
      </c>
      <c r="F2382" s="67">
        <v>43049</v>
      </c>
      <c r="G2382" s="33" t="s">
        <v>30855</v>
      </c>
      <c r="H2382" s="33" t="s">
        <v>1212</v>
      </c>
      <c r="I2382" s="33" t="s">
        <v>192</v>
      </c>
      <c r="J2382" s="33">
        <v>80202</v>
      </c>
      <c r="K2382" s="33" t="s">
        <v>1212</v>
      </c>
      <c r="L2382" s="33" t="s">
        <v>1213</v>
      </c>
      <c r="M2382" s="33" t="s">
        <v>21</v>
      </c>
      <c r="N2382" s="33" t="s">
        <v>30165</v>
      </c>
      <c r="O2382" s="33" t="s">
        <v>372</v>
      </c>
      <c r="P2382" s="33" t="s">
        <v>30089</v>
      </c>
      <c r="Q2382" s="42" t="s">
        <v>30166</v>
      </c>
      <c r="R2382" s="33" t="s">
        <v>94</v>
      </c>
      <c r="S2382" s="33" t="s">
        <v>22</v>
      </c>
      <c r="T2382" s="33" t="s">
        <v>26781</v>
      </c>
      <c r="U2382" s="33" t="s">
        <v>26570</v>
      </c>
      <c r="V2382" s="33" t="s">
        <v>26574</v>
      </c>
      <c r="W2382" s="33" t="s">
        <v>94</v>
      </c>
      <c r="X2382" s="33">
        <v>3130</v>
      </c>
      <c r="Z2382" s="33" t="s">
        <v>42966</v>
      </c>
      <c r="AA2382" s="33">
        <v>5284</v>
      </c>
    </row>
    <row r="2383" spans="1:27" ht="12" customHeight="1" x14ac:dyDescent="0.15">
      <c r="A2383" s="33" t="s">
        <v>30158</v>
      </c>
      <c r="B2383" s="33">
        <v>62</v>
      </c>
      <c r="C2383" s="33" t="s">
        <v>14</v>
      </c>
      <c r="D2383" s="33" t="s">
        <v>31</v>
      </c>
      <c r="E2383" s="42" t="s">
        <v>30159</v>
      </c>
      <c r="F2383" s="67">
        <v>43049</v>
      </c>
      <c r="G2383" s="33" t="s">
        <v>30854</v>
      </c>
      <c r="H2383" s="33" t="s">
        <v>30160</v>
      </c>
      <c r="I2383" s="33" t="s">
        <v>122</v>
      </c>
      <c r="J2383" s="33">
        <v>55429</v>
      </c>
      <c r="K2383" s="33" t="s">
        <v>1009</v>
      </c>
      <c r="L2383" s="33" t="s">
        <v>30161</v>
      </c>
      <c r="M2383" s="33" t="s">
        <v>21</v>
      </c>
      <c r="N2383" s="33" t="s">
        <v>30162</v>
      </c>
      <c r="O2383" s="33" t="s">
        <v>372</v>
      </c>
      <c r="P2383" s="33" t="s">
        <v>30089</v>
      </c>
      <c r="Q2383" s="42" t="s">
        <v>30163</v>
      </c>
      <c r="R2383" s="33" t="s">
        <v>512</v>
      </c>
      <c r="S2383" s="33" t="s">
        <v>22</v>
      </c>
      <c r="T2383" s="33" t="s">
        <v>26781</v>
      </c>
      <c r="U2383" s="33" t="s">
        <v>26572</v>
      </c>
      <c r="V2383" s="33" t="s">
        <v>26573</v>
      </c>
      <c r="W2383" s="33" t="s">
        <v>94</v>
      </c>
      <c r="X2383" s="33">
        <v>3129</v>
      </c>
      <c r="Z2383" s="33" t="s">
        <v>42968</v>
      </c>
      <c r="AA2383" s="33">
        <v>5283</v>
      </c>
    </row>
    <row r="2384" spans="1:27" ht="12" customHeight="1" x14ac:dyDescent="0.15">
      <c r="A2384" s="33" t="s">
        <v>30149</v>
      </c>
      <c r="B2384" s="33">
        <v>55</v>
      </c>
      <c r="C2384" s="33" t="s">
        <v>14</v>
      </c>
      <c r="D2384" s="33" t="s">
        <v>31</v>
      </c>
      <c r="E2384" s="42" t="s">
        <v>30150</v>
      </c>
      <c r="F2384" s="67">
        <v>43049</v>
      </c>
      <c r="G2384" s="33" t="s">
        <v>30151</v>
      </c>
      <c r="H2384" s="33" t="s">
        <v>9725</v>
      </c>
      <c r="I2384" s="33" t="s">
        <v>19</v>
      </c>
      <c r="J2384" s="33">
        <v>70356</v>
      </c>
      <c r="K2384" s="33" t="s">
        <v>942</v>
      </c>
      <c r="L2384" s="33" t="s">
        <v>24270</v>
      </c>
      <c r="M2384" s="33" t="s">
        <v>21</v>
      </c>
      <c r="N2384" s="33" t="s">
        <v>30152</v>
      </c>
      <c r="O2384" s="33" t="s">
        <v>372</v>
      </c>
      <c r="P2384" s="33" t="s">
        <v>30089</v>
      </c>
      <c r="Q2384" s="42" t="s">
        <v>30153</v>
      </c>
      <c r="R2384" s="33" t="s">
        <v>512</v>
      </c>
      <c r="S2384" s="33" t="s">
        <v>22</v>
      </c>
      <c r="T2384" s="33" t="s">
        <v>26781</v>
      </c>
      <c r="U2384" s="33" t="s">
        <v>26572</v>
      </c>
      <c r="V2384" s="33" t="s">
        <v>26573</v>
      </c>
      <c r="W2384" s="33" t="s">
        <v>94</v>
      </c>
      <c r="X2384" s="33">
        <v>3125</v>
      </c>
      <c r="Z2384" s="33" t="s">
        <v>42967</v>
      </c>
      <c r="AA2384" s="33">
        <v>5282</v>
      </c>
    </row>
    <row r="2385" spans="1:27" ht="12" customHeight="1" x14ac:dyDescent="0.15">
      <c r="A2385" s="33" t="s">
        <v>30172</v>
      </c>
      <c r="B2385" s="33">
        <v>50</v>
      </c>
      <c r="C2385" s="33" t="s">
        <v>14</v>
      </c>
      <c r="D2385" s="33" t="s">
        <v>31</v>
      </c>
      <c r="E2385" s="42" t="s">
        <v>30173</v>
      </c>
      <c r="F2385" s="67">
        <v>43049</v>
      </c>
      <c r="G2385" s="33" t="s">
        <v>30174</v>
      </c>
      <c r="H2385" s="33" t="s">
        <v>866</v>
      </c>
      <c r="I2385" s="33" t="s">
        <v>178</v>
      </c>
      <c r="J2385" s="33">
        <v>87114</v>
      </c>
      <c r="K2385" s="33" t="s">
        <v>433</v>
      </c>
      <c r="L2385" s="33" t="s">
        <v>7415</v>
      </c>
      <c r="M2385" s="33" t="s">
        <v>21</v>
      </c>
      <c r="N2385" s="33" t="s">
        <v>30175</v>
      </c>
      <c r="O2385" s="33" t="s">
        <v>372</v>
      </c>
      <c r="P2385" s="33" t="s">
        <v>30089</v>
      </c>
      <c r="Q2385" s="42" t="s">
        <v>30176</v>
      </c>
      <c r="R2385" s="33" t="s">
        <v>94</v>
      </c>
      <c r="S2385" s="33" t="s">
        <v>22</v>
      </c>
      <c r="T2385" s="33" t="s">
        <v>26781</v>
      </c>
      <c r="U2385" s="33" t="s">
        <v>26572</v>
      </c>
      <c r="V2385" s="33" t="s">
        <v>26573</v>
      </c>
      <c r="W2385" s="33" t="s">
        <v>94</v>
      </c>
      <c r="X2385" s="33">
        <v>3133</v>
      </c>
      <c r="Z2385" s="33" t="s">
        <v>42968</v>
      </c>
      <c r="AA2385" s="33">
        <v>5285</v>
      </c>
    </row>
    <row r="2386" spans="1:27" ht="12" customHeight="1" x14ac:dyDescent="0.15">
      <c r="A2386" s="33" t="s">
        <v>30128</v>
      </c>
      <c r="B2386" s="33">
        <v>32</v>
      </c>
      <c r="C2386" s="33" t="s">
        <v>14</v>
      </c>
      <c r="D2386" s="33" t="s">
        <v>31</v>
      </c>
      <c r="E2386" s="42" t="s">
        <v>30129</v>
      </c>
      <c r="F2386" s="67">
        <v>43048</v>
      </c>
      <c r="G2386" s="33" t="s">
        <v>30130</v>
      </c>
      <c r="H2386" s="33" t="s">
        <v>434</v>
      </c>
      <c r="I2386" s="33" t="s">
        <v>435</v>
      </c>
      <c r="J2386" s="33">
        <v>2903</v>
      </c>
      <c r="K2386" s="33" t="s">
        <v>434</v>
      </c>
      <c r="L2386" s="33" t="s">
        <v>30131</v>
      </c>
      <c r="M2386" s="33" t="s">
        <v>21</v>
      </c>
      <c r="N2386" s="33" t="s">
        <v>30132</v>
      </c>
      <c r="O2386" s="33" t="s">
        <v>372</v>
      </c>
      <c r="P2386" s="33" t="s">
        <v>30089</v>
      </c>
      <c r="Q2386" s="42" t="s">
        <v>30133</v>
      </c>
      <c r="R2386" s="33" t="s">
        <v>94</v>
      </c>
      <c r="S2386" s="33" t="s">
        <v>351</v>
      </c>
      <c r="T2386" s="33" t="s">
        <v>26867</v>
      </c>
      <c r="U2386" s="33" t="s">
        <v>26572</v>
      </c>
      <c r="V2386" s="33" t="s">
        <v>26571</v>
      </c>
      <c r="W2386" s="33" t="s">
        <v>512</v>
      </c>
      <c r="X2386" s="33">
        <v>3119</v>
      </c>
      <c r="Z2386" s="33" t="s">
        <v>42966</v>
      </c>
      <c r="AA2386" s="33">
        <v>5281</v>
      </c>
    </row>
    <row r="2387" spans="1:27" ht="12" customHeight="1" x14ac:dyDescent="0.15">
      <c r="A2387" s="33" t="s">
        <v>30123</v>
      </c>
      <c r="B2387" s="33">
        <v>25</v>
      </c>
      <c r="C2387" s="33" t="s">
        <v>14</v>
      </c>
      <c r="D2387" s="33" t="s">
        <v>79</v>
      </c>
      <c r="E2387" s="42" t="s">
        <v>30124</v>
      </c>
      <c r="F2387" s="67">
        <v>43048</v>
      </c>
      <c r="G2387" s="33" t="s">
        <v>30125</v>
      </c>
      <c r="H2387" s="33" t="s">
        <v>3577</v>
      </c>
      <c r="I2387" s="33" t="s">
        <v>338</v>
      </c>
      <c r="J2387" s="33">
        <v>28147</v>
      </c>
      <c r="K2387" s="33" t="s">
        <v>9875</v>
      </c>
      <c r="L2387" s="33" t="s">
        <v>8942</v>
      </c>
      <c r="M2387" s="33" t="s">
        <v>21</v>
      </c>
      <c r="N2387" s="33" t="s">
        <v>30126</v>
      </c>
      <c r="O2387" s="33" t="s">
        <v>372</v>
      </c>
      <c r="P2387" s="33" t="s">
        <v>30089</v>
      </c>
      <c r="Q2387" s="42" t="s">
        <v>30127</v>
      </c>
      <c r="R2387" s="33" t="s">
        <v>94</v>
      </c>
      <c r="S2387" s="33" t="s">
        <v>22</v>
      </c>
      <c r="T2387" s="33" t="s">
        <v>26781</v>
      </c>
      <c r="U2387" s="33" t="s">
        <v>26572</v>
      </c>
      <c r="V2387" s="33" t="s">
        <v>26571</v>
      </c>
      <c r="W2387" s="33" t="s">
        <v>94</v>
      </c>
      <c r="X2387" s="33">
        <v>3118</v>
      </c>
      <c r="Z2387" s="33" t="s">
        <v>42968</v>
      </c>
      <c r="AA2387" s="33">
        <v>5277</v>
      </c>
    </row>
    <row r="2388" spans="1:27" ht="12" customHeight="1" x14ac:dyDescent="0.15">
      <c r="A2388" s="33" t="s">
        <v>30134</v>
      </c>
      <c r="B2388" s="33">
        <v>35</v>
      </c>
      <c r="C2388" s="33" t="s">
        <v>14</v>
      </c>
      <c r="D2388" s="33" t="s">
        <v>31</v>
      </c>
      <c r="F2388" s="67">
        <v>43048</v>
      </c>
      <c r="G2388" s="33" t="s">
        <v>30135</v>
      </c>
      <c r="H2388" s="33" t="s">
        <v>30136</v>
      </c>
      <c r="I2388" s="33" t="s">
        <v>621</v>
      </c>
      <c r="J2388" s="33">
        <v>39350</v>
      </c>
      <c r="K2388" s="33" t="s">
        <v>7221</v>
      </c>
      <c r="L2388" s="33" t="s">
        <v>36515</v>
      </c>
      <c r="M2388" s="33" t="s">
        <v>21</v>
      </c>
      <c r="N2388" s="33" t="s">
        <v>30137</v>
      </c>
      <c r="O2388" s="33" t="s">
        <v>372</v>
      </c>
      <c r="P2388" s="33" t="s">
        <v>30089</v>
      </c>
      <c r="Q2388" s="42" t="s">
        <v>30138</v>
      </c>
      <c r="R2388" s="33" t="s">
        <v>94</v>
      </c>
      <c r="S2388" s="33" t="s">
        <v>22</v>
      </c>
      <c r="T2388" s="33" t="s">
        <v>26781</v>
      </c>
      <c r="U2388" s="33" t="s">
        <v>26572</v>
      </c>
      <c r="V2388" s="33" t="s">
        <v>26573</v>
      </c>
      <c r="W2388" s="33" t="s">
        <v>94</v>
      </c>
      <c r="X2388" s="33">
        <v>3120</v>
      </c>
      <c r="Z2388" s="33" t="s">
        <v>42967</v>
      </c>
      <c r="AA2388" s="33">
        <v>5278</v>
      </c>
    </row>
    <row r="2389" spans="1:27" ht="12" customHeight="1" x14ac:dyDescent="0.15">
      <c r="A2389" s="33" t="s">
        <v>30147</v>
      </c>
      <c r="B2389" s="33">
        <v>23</v>
      </c>
      <c r="C2389" s="33" t="s">
        <v>103</v>
      </c>
      <c r="D2389" s="33" t="s">
        <v>31</v>
      </c>
      <c r="E2389" s="42" t="s">
        <v>30148</v>
      </c>
      <c r="F2389" s="67">
        <v>43048</v>
      </c>
      <c r="G2389" s="33" t="s">
        <v>30141</v>
      </c>
      <c r="H2389" s="33" t="s">
        <v>30142</v>
      </c>
      <c r="I2389" s="33" t="s">
        <v>294</v>
      </c>
      <c r="J2389" s="33">
        <v>41139</v>
      </c>
      <c r="K2389" s="33" t="s">
        <v>30143</v>
      </c>
      <c r="L2389" s="33" t="s">
        <v>30144</v>
      </c>
      <c r="M2389" s="33" t="s">
        <v>21</v>
      </c>
      <c r="N2389" s="33" t="s">
        <v>30145</v>
      </c>
      <c r="O2389" s="33" t="s">
        <v>372</v>
      </c>
      <c r="P2389" s="33" t="s">
        <v>30089</v>
      </c>
      <c r="Q2389" s="42" t="s">
        <v>30146</v>
      </c>
      <c r="R2389" s="33" t="s">
        <v>94</v>
      </c>
      <c r="S2389" s="33" t="s">
        <v>29</v>
      </c>
      <c r="T2389" s="33" t="s">
        <v>26576</v>
      </c>
      <c r="U2389" s="33" t="s">
        <v>26575</v>
      </c>
      <c r="V2389" s="33" t="s">
        <v>26571</v>
      </c>
      <c r="W2389" s="33" t="s">
        <v>94</v>
      </c>
      <c r="X2389" s="33">
        <v>3128</v>
      </c>
      <c r="Z2389" s="33" t="s">
        <v>42968</v>
      </c>
      <c r="AA2389" s="33">
        <v>5280</v>
      </c>
    </row>
    <row r="2390" spans="1:27" ht="12" customHeight="1" x14ac:dyDescent="0.15">
      <c r="A2390" s="33" t="s">
        <v>30139</v>
      </c>
      <c r="B2390" s="33">
        <v>27</v>
      </c>
      <c r="C2390" s="33" t="s">
        <v>14</v>
      </c>
      <c r="D2390" s="33" t="s">
        <v>31</v>
      </c>
      <c r="E2390" s="42" t="s">
        <v>30140</v>
      </c>
      <c r="F2390" s="67">
        <v>43048</v>
      </c>
      <c r="G2390" s="33" t="s">
        <v>30141</v>
      </c>
      <c r="H2390" s="33" t="s">
        <v>30142</v>
      </c>
      <c r="I2390" s="33" t="s">
        <v>294</v>
      </c>
      <c r="J2390" s="33">
        <v>41139</v>
      </c>
      <c r="K2390" s="33" t="s">
        <v>30143</v>
      </c>
      <c r="L2390" s="33" t="s">
        <v>30144</v>
      </c>
      <c r="M2390" s="33" t="s">
        <v>21</v>
      </c>
      <c r="N2390" s="33" t="s">
        <v>30145</v>
      </c>
      <c r="O2390" s="33" t="s">
        <v>372</v>
      </c>
      <c r="P2390" s="33" t="s">
        <v>30089</v>
      </c>
      <c r="Q2390" s="42" t="s">
        <v>30146</v>
      </c>
      <c r="R2390" s="33" t="s">
        <v>94</v>
      </c>
      <c r="S2390" s="33" t="s">
        <v>22</v>
      </c>
      <c r="T2390" s="33" t="s">
        <v>26781</v>
      </c>
      <c r="U2390" s="33" t="s">
        <v>26570</v>
      </c>
      <c r="V2390" s="33" t="s">
        <v>26571</v>
      </c>
      <c r="W2390" s="33" t="s">
        <v>94</v>
      </c>
      <c r="X2390" s="33">
        <v>3127</v>
      </c>
      <c r="Z2390" s="33" t="s">
        <v>42968</v>
      </c>
      <c r="AA2390" s="33">
        <v>5279</v>
      </c>
    </row>
    <row r="2391" spans="1:27" ht="12" customHeight="1" x14ac:dyDescent="0.15">
      <c r="A2391" s="33" t="s">
        <v>30110</v>
      </c>
      <c r="B2391" s="33">
        <v>32</v>
      </c>
      <c r="C2391" s="33" t="s">
        <v>14</v>
      </c>
      <c r="D2391" s="33" t="s">
        <v>31</v>
      </c>
      <c r="F2391" s="67">
        <v>43047</v>
      </c>
      <c r="G2391" s="33" t="s">
        <v>30853</v>
      </c>
      <c r="H2391" s="33" t="s">
        <v>5836</v>
      </c>
      <c r="I2391" s="33" t="s">
        <v>298</v>
      </c>
      <c r="J2391" s="33">
        <v>37716</v>
      </c>
      <c r="K2391" s="33" t="s">
        <v>233</v>
      </c>
      <c r="L2391" s="33" t="s">
        <v>19924</v>
      </c>
      <c r="M2391" s="33" t="s">
        <v>21</v>
      </c>
      <c r="N2391" s="33" t="s">
        <v>30111</v>
      </c>
      <c r="O2391" s="33" t="s">
        <v>372</v>
      </c>
      <c r="P2391" s="33" t="s">
        <v>30089</v>
      </c>
      <c r="Q2391" s="42" t="s">
        <v>30112</v>
      </c>
      <c r="R2391" s="33" t="s">
        <v>94</v>
      </c>
      <c r="S2391" s="33" t="s">
        <v>22</v>
      </c>
      <c r="T2391" s="33" t="s">
        <v>26781</v>
      </c>
      <c r="U2391" s="33" t="s">
        <v>26572</v>
      </c>
      <c r="V2391" s="33" t="s">
        <v>26574</v>
      </c>
      <c r="W2391" s="33" t="s">
        <v>94</v>
      </c>
      <c r="X2391" s="33">
        <v>3114</v>
      </c>
      <c r="Z2391" s="33" t="s">
        <v>42968</v>
      </c>
      <c r="AA2391" s="33">
        <v>5274</v>
      </c>
    </row>
    <row r="2392" spans="1:27" ht="12" customHeight="1" x14ac:dyDescent="0.15">
      <c r="A2392" s="33" t="s">
        <v>30113</v>
      </c>
      <c r="B2392" s="33">
        <v>31</v>
      </c>
      <c r="C2392" s="33" t="s">
        <v>14</v>
      </c>
      <c r="D2392" s="33" t="s">
        <v>31</v>
      </c>
      <c r="F2392" s="67">
        <v>43047</v>
      </c>
      <c r="G2392" s="33" t="s">
        <v>30114</v>
      </c>
      <c r="H2392" s="33" t="s">
        <v>19532</v>
      </c>
      <c r="I2392" s="33" t="s">
        <v>225</v>
      </c>
      <c r="J2392" s="33">
        <v>24012</v>
      </c>
      <c r="K2392" s="33" t="s">
        <v>26239</v>
      </c>
      <c r="L2392" s="33" t="s">
        <v>30115</v>
      </c>
      <c r="M2392" s="33" t="s">
        <v>21</v>
      </c>
      <c r="N2392" s="33" t="s">
        <v>30116</v>
      </c>
      <c r="O2392" s="33" t="s">
        <v>372</v>
      </c>
      <c r="P2392" s="33" t="s">
        <v>30089</v>
      </c>
      <c r="Q2392" s="42" t="s">
        <v>30117</v>
      </c>
      <c r="R2392" s="33" t="s">
        <v>94</v>
      </c>
      <c r="S2392" s="33" t="s">
        <v>22</v>
      </c>
      <c r="T2392" s="33" t="s">
        <v>26781</v>
      </c>
      <c r="U2392" s="33" t="s">
        <v>26570</v>
      </c>
      <c r="V2392" s="33" t="s">
        <v>26573</v>
      </c>
      <c r="W2392" s="33" t="s">
        <v>94</v>
      </c>
      <c r="X2392" s="33">
        <v>3115</v>
      </c>
      <c r="Z2392" s="33" t="s">
        <v>42968</v>
      </c>
      <c r="AA2392" s="33">
        <v>5275</v>
      </c>
    </row>
    <row r="2393" spans="1:27" ht="12" customHeight="1" x14ac:dyDescent="0.15">
      <c r="A2393" s="33" t="s">
        <v>30107</v>
      </c>
      <c r="B2393" s="33">
        <v>30</v>
      </c>
      <c r="C2393" s="33" t="s">
        <v>14</v>
      </c>
      <c r="D2393" s="33" t="s">
        <v>31</v>
      </c>
      <c r="F2393" s="67">
        <v>43047</v>
      </c>
      <c r="G2393" s="33" t="s">
        <v>30852</v>
      </c>
      <c r="H2393" s="33" t="s">
        <v>25877</v>
      </c>
      <c r="I2393" s="33" t="s">
        <v>160</v>
      </c>
      <c r="J2393" s="33">
        <v>30297</v>
      </c>
      <c r="K2393" s="33" t="s">
        <v>1669</v>
      </c>
      <c r="L2393" s="33" t="s">
        <v>25878</v>
      </c>
      <c r="M2393" s="33" t="s">
        <v>21</v>
      </c>
      <c r="N2393" s="33" t="s">
        <v>30108</v>
      </c>
      <c r="O2393" s="33" t="s">
        <v>372</v>
      </c>
      <c r="P2393" s="33" t="s">
        <v>30089</v>
      </c>
      <c r="Q2393" s="42" t="s">
        <v>30109</v>
      </c>
      <c r="R2393" s="33" t="s">
        <v>94</v>
      </c>
      <c r="S2393" s="33" t="s">
        <v>22</v>
      </c>
      <c r="T2393" s="33" t="s">
        <v>26781</v>
      </c>
      <c r="U2393" s="33" t="s">
        <v>26572</v>
      </c>
      <c r="V2393" s="33" t="s">
        <v>26571</v>
      </c>
      <c r="W2393" s="33" t="s">
        <v>94</v>
      </c>
      <c r="X2393" s="33">
        <v>3113</v>
      </c>
      <c r="Z2393" s="33" t="s">
        <v>42968</v>
      </c>
      <c r="AA2393" s="33">
        <v>5273</v>
      </c>
    </row>
    <row r="2394" spans="1:27" ht="12" customHeight="1" x14ac:dyDescent="0.15">
      <c r="A2394" s="33" t="s">
        <v>30118</v>
      </c>
      <c r="B2394" s="33">
        <v>14</v>
      </c>
      <c r="C2394" s="33" t="s">
        <v>14</v>
      </c>
      <c r="D2394" s="33" t="s">
        <v>128</v>
      </c>
      <c r="E2394" s="42" t="s">
        <v>30119</v>
      </c>
      <c r="F2394" s="67">
        <v>43047</v>
      </c>
      <c r="G2394" s="33" t="s">
        <v>30120</v>
      </c>
      <c r="H2394" s="33" t="s">
        <v>8405</v>
      </c>
      <c r="I2394" s="33" t="s">
        <v>409</v>
      </c>
      <c r="J2394" s="33">
        <v>54806</v>
      </c>
      <c r="K2394" s="33" t="s">
        <v>8405</v>
      </c>
      <c r="L2394" s="33" t="s">
        <v>36516</v>
      </c>
      <c r="M2394" s="33" t="s">
        <v>21</v>
      </c>
      <c r="N2394" s="33" t="s">
        <v>30121</v>
      </c>
      <c r="O2394" s="33" t="s">
        <v>372</v>
      </c>
      <c r="P2394" s="33" t="s">
        <v>30089</v>
      </c>
      <c r="Q2394" s="42" t="s">
        <v>30122</v>
      </c>
      <c r="R2394" s="33" t="s">
        <v>94</v>
      </c>
      <c r="S2394" s="33" t="s">
        <v>22</v>
      </c>
      <c r="T2394" s="33" t="s">
        <v>26774</v>
      </c>
      <c r="U2394" s="33" t="s">
        <v>26570</v>
      </c>
      <c r="V2394" s="33" t="s">
        <v>26573</v>
      </c>
      <c r="W2394" s="33" t="s">
        <v>94</v>
      </c>
      <c r="X2394" s="33">
        <v>3117</v>
      </c>
      <c r="Z2394" s="33" t="s">
        <v>42967</v>
      </c>
      <c r="AA2394" s="33">
        <v>5276</v>
      </c>
    </row>
    <row r="2395" spans="1:27" ht="12" customHeight="1" x14ac:dyDescent="0.15">
      <c r="A2395" s="33" t="s">
        <v>30104</v>
      </c>
      <c r="B2395" s="33">
        <v>35</v>
      </c>
      <c r="C2395" s="33" t="s">
        <v>14</v>
      </c>
      <c r="D2395" s="33" t="s">
        <v>79</v>
      </c>
      <c r="F2395" s="67">
        <v>43046</v>
      </c>
      <c r="G2395" s="33" t="s">
        <v>30851</v>
      </c>
      <c r="H2395" s="33" t="s">
        <v>607</v>
      </c>
      <c r="I2395" s="33" t="s">
        <v>250</v>
      </c>
      <c r="J2395" s="33">
        <v>89147</v>
      </c>
      <c r="K2395" s="33" t="s">
        <v>527</v>
      </c>
      <c r="L2395" s="33" t="s">
        <v>528</v>
      </c>
      <c r="M2395" s="33" t="s">
        <v>21</v>
      </c>
      <c r="N2395" s="33" t="s">
        <v>30105</v>
      </c>
      <c r="O2395" s="33" t="s">
        <v>372</v>
      </c>
      <c r="P2395" s="33" t="s">
        <v>30089</v>
      </c>
      <c r="Q2395" s="42" t="s">
        <v>30106</v>
      </c>
      <c r="R2395" s="33" t="s">
        <v>94</v>
      </c>
      <c r="S2395" s="33" t="s">
        <v>22</v>
      </c>
      <c r="T2395" s="33" t="s">
        <v>26781</v>
      </c>
      <c r="U2395" s="33" t="s">
        <v>26572</v>
      </c>
      <c r="V2395" s="33" t="s">
        <v>26573</v>
      </c>
      <c r="W2395" s="33" t="s">
        <v>94</v>
      </c>
      <c r="X2395" s="33">
        <v>3110</v>
      </c>
      <c r="Z2395" s="33" t="s">
        <v>42966</v>
      </c>
      <c r="AA2395" s="33">
        <v>5272</v>
      </c>
    </row>
    <row r="2396" spans="1:27" ht="12" customHeight="1" x14ac:dyDescent="0.15">
      <c r="A2396" s="33" t="s">
        <v>30099</v>
      </c>
      <c r="B2396" s="33">
        <v>32</v>
      </c>
      <c r="C2396" s="33" t="s">
        <v>103</v>
      </c>
      <c r="D2396" s="33" t="s">
        <v>31</v>
      </c>
      <c r="E2396" s="42" t="s">
        <v>30100</v>
      </c>
      <c r="F2396" s="67">
        <v>43046</v>
      </c>
      <c r="G2396" s="33" t="s">
        <v>30101</v>
      </c>
      <c r="H2396" s="33" t="s">
        <v>5762</v>
      </c>
      <c r="I2396" s="33" t="s">
        <v>160</v>
      </c>
      <c r="J2396" s="33">
        <v>30068</v>
      </c>
      <c r="K2396" s="33" t="s">
        <v>3052</v>
      </c>
      <c r="L2396" s="33" t="s">
        <v>3053</v>
      </c>
      <c r="M2396" s="33" t="s">
        <v>21</v>
      </c>
      <c r="N2396" s="33" t="s">
        <v>30102</v>
      </c>
      <c r="O2396" s="33" t="s">
        <v>372</v>
      </c>
      <c r="P2396" s="33" t="s">
        <v>30089</v>
      </c>
      <c r="Q2396" s="42" t="s">
        <v>30103</v>
      </c>
      <c r="R2396" s="33" t="s">
        <v>512</v>
      </c>
      <c r="S2396" s="33" t="s">
        <v>22</v>
      </c>
      <c r="T2396" s="33" t="s">
        <v>26781</v>
      </c>
      <c r="U2396" s="33" t="s">
        <v>26572</v>
      </c>
      <c r="V2396" s="33" t="s">
        <v>26573</v>
      </c>
      <c r="W2396" s="33" t="s">
        <v>94</v>
      </c>
      <c r="X2396" s="33">
        <v>3106</v>
      </c>
      <c r="Z2396" s="33" t="s">
        <v>42968</v>
      </c>
      <c r="AA2396" s="33">
        <v>5271</v>
      </c>
    </row>
    <row r="2397" spans="1:27" ht="12" customHeight="1" x14ac:dyDescent="0.15">
      <c r="A2397" s="33" t="s">
        <v>30091</v>
      </c>
      <c r="B2397" s="33">
        <v>52</v>
      </c>
      <c r="C2397" s="33" t="s">
        <v>14</v>
      </c>
      <c r="D2397" s="33" t="s">
        <v>31</v>
      </c>
      <c r="F2397" s="67">
        <v>43045</v>
      </c>
      <c r="G2397" s="33" t="s">
        <v>30092</v>
      </c>
      <c r="H2397" s="33" t="s">
        <v>30093</v>
      </c>
      <c r="I2397" s="33" t="s">
        <v>367</v>
      </c>
      <c r="J2397" s="33">
        <v>73052</v>
      </c>
      <c r="K2397" s="33" t="s">
        <v>24466</v>
      </c>
      <c r="L2397" s="33" t="s">
        <v>30094</v>
      </c>
      <c r="M2397" s="33" t="s">
        <v>363</v>
      </c>
      <c r="N2397" s="33" t="s">
        <v>30095</v>
      </c>
      <c r="O2397" s="33" t="s">
        <v>372</v>
      </c>
      <c r="P2397" s="33" t="s">
        <v>30089</v>
      </c>
      <c r="Q2397" s="42" t="s">
        <v>30096</v>
      </c>
      <c r="R2397" s="33" t="s">
        <v>512</v>
      </c>
      <c r="S2397" s="33" t="s">
        <v>22</v>
      </c>
      <c r="T2397" s="33" t="s">
        <v>26781</v>
      </c>
      <c r="U2397" s="33" t="s">
        <v>26570</v>
      </c>
      <c r="V2397" s="33" t="s">
        <v>26573</v>
      </c>
      <c r="Z2397" s="33" t="s">
        <v>42967</v>
      </c>
      <c r="AA2397" s="33">
        <v>5269</v>
      </c>
    </row>
    <row r="2398" spans="1:27" ht="12" customHeight="1" x14ac:dyDescent="0.15">
      <c r="A2398" s="33" t="s">
        <v>30412</v>
      </c>
      <c r="B2398" s="33">
        <v>48</v>
      </c>
      <c r="C2398" s="33" t="s">
        <v>14</v>
      </c>
      <c r="D2398" s="33" t="s">
        <v>31</v>
      </c>
      <c r="F2398" s="67">
        <v>43045</v>
      </c>
      <c r="G2398" s="33" t="s">
        <v>30850</v>
      </c>
      <c r="H2398" s="33" t="s">
        <v>324</v>
      </c>
      <c r="I2398" s="33" t="s">
        <v>39</v>
      </c>
      <c r="J2398" s="33">
        <v>92311</v>
      </c>
      <c r="K2398" s="33" t="s">
        <v>288</v>
      </c>
      <c r="L2398" s="33" t="s">
        <v>325</v>
      </c>
      <c r="M2398" s="33" t="s">
        <v>21</v>
      </c>
      <c r="N2398" s="33" t="s">
        <v>30097</v>
      </c>
      <c r="O2398" s="33" t="s">
        <v>372</v>
      </c>
      <c r="P2398" s="33" t="s">
        <v>30089</v>
      </c>
      <c r="Q2398" s="42" t="s">
        <v>30098</v>
      </c>
      <c r="R2398" s="33" t="s">
        <v>94</v>
      </c>
      <c r="S2398" s="33" t="s">
        <v>22</v>
      </c>
      <c r="T2398" s="33" t="s">
        <v>26781</v>
      </c>
      <c r="U2398" s="33" t="s">
        <v>26572</v>
      </c>
      <c r="V2398" s="33" t="s">
        <v>26571</v>
      </c>
      <c r="W2398" s="33" t="s">
        <v>94</v>
      </c>
      <c r="X2398" s="33">
        <v>3112</v>
      </c>
      <c r="Z2398" s="33" t="s">
        <v>42968</v>
      </c>
      <c r="AA2398" s="33">
        <v>5268</v>
      </c>
    </row>
    <row r="2399" spans="1:27" ht="12" customHeight="1" x14ac:dyDescent="0.15">
      <c r="A2399" s="33" t="s">
        <v>30039</v>
      </c>
      <c r="B2399" s="33">
        <v>54</v>
      </c>
      <c r="C2399" s="33" t="s">
        <v>103</v>
      </c>
      <c r="D2399" s="33" t="s">
        <v>31</v>
      </c>
      <c r="F2399" s="67">
        <v>43045</v>
      </c>
      <c r="G2399" s="33" t="s">
        <v>30040</v>
      </c>
      <c r="H2399" s="33" t="s">
        <v>11787</v>
      </c>
      <c r="I2399" s="33" t="s">
        <v>225</v>
      </c>
      <c r="J2399" s="33">
        <v>24501</v>
      </c>
      <c r="K2399" s="33" t="s">
        <v>11789</v>
      </c>
      <c r="L2399" s="33" t="s">
        <v>30041</v>
      </c>
      <c r="M2399" s="33" t="s">
        <v>4966</v>
      </c>
      <c r="N2399" s="33" t="s">
        <v>30042</v>
      </c>
      <c r="O2399" s="33" t="s">
        <v>372</v>
      </c>
      <c r="P2399" s="33" t="s">
        <v>30089</v>
      </c>
      <c r="Q2399" s="42" t="s">
        <v>30043</v>
      </c>
      <c r="R2399" s="33" t="s">
        <v>512</v>
      </c>
      <c r="S2399" s="33" t="s">
        <v>22</v>
      </c>
      <c r="T2399" s="33" t="s">
        <v>26774</v>
      </c>
      <c r="U2399" s="33" t="s">
        <v>26570</v>
      </c>
      <c r="V2399" s="33" t="s">
        <v>26573</v>
      </c>
      <c r="W2399" s="33" t="s">
        <v>94</v>
      </c>
      <c r="X2399" s="33">
        <v>3109</v>
      </c>
      <c r="Z2399" s="33" t="s">
        <v>42968</v>
      </c>
      <c r="AA2399" s="33">
        <v>5270</v>
      </c>
    </row>
    <row r="2400" spans="1:27" ht="12" customHeight="1" x14ac:dyDescent="0.15">
      <c r="A2400" s="33" t="s">
        <v>3002</v>
      </c>
      <c r="B2400" s="33" t="s">
        <v>23</v>
      </c>
      <c r="C2400" s="33" t="s">
        <v>14</v>
      </c>
      <c r="D2400" s="33" t="s">
        <v>31</v>
      </c>
      <c r="F2400" s="67">
        <v>43044</v>
      </c>
      <c r="G2400" s="33" t="s">
        <v>30849</v>
      </c>
      <c r="H2400" s="33" t="s">
        <v>2536</v>
      </c>
      <c r="I2400" s="33" t="s">
        <v>621</v>
      </c>
      <c r="J2400" s="33">
        <v>39305</v>
      </c>
      <c r="K2400" s="33" t="s">
        <v>2538</v>
      </c>
      <c r="L2400" s="33" t="s">
        <v>30036</v>
      </c>
      <c r="M2400" s="33" t="s">
        <v>21</v>
      </c>
      <c r="N2400" s="33" t="s">
        <v>30037</v>
      </c>
      <c r="O2400" s="33" t="s">
        <v>372</v>
      </c>
      <c r="P2400" s="33" t="s">
        <v>30089</v>
      </c>
      <c r="Q2400" s="42" t="s">
        <v>30038</v>
      </c>
      <c r="R2400" s="33" t="s">
        <v>23</v>
      </c>
      <c r="S2400" s="33" t="s">
        <v>22</v>
      </c>
      <c r="T2400" s="33" t="s">
        <v>26781</v>
      </c>
      <c r="U2400" s="33" t="s">
        <v>26572</v>
      </c>
      <c r="V2400" s="33" t="s">
        <v>26573</v>
      </c>
      <c r="W2400" s="33" t="s">
        <v>94</v>
      </c>
      <c r="X2400" s="33">
        <v>3095</v>
      </c>
      <c r="Z2400" s="33" t="s">
        <v>42968</v>
      </c>
      <c r="AA2400" s="33">
        <v>5265</v>
      </c>
    </row>
    <row r="2401" spans="1:27" ht="12" customHeight="1" x14ac:dyDescent="0.15">
      <c r="A2401" s="33" t="s">
        <v>30031</v>
      </c>
      <c r="B2401" s="33">
        <v>31</v>
      </c>
      <c r="C2401" s="33" t="s">
        <v>103</v>
      </c>
      <c r="D2401" s="33" t="s">
        <v>42</v>
      </c>
      <c r="E2401" s="42" t="s">
        <v>30032</v>
      </c>
      <c r="F2401" s="67">
        <v>43044</v>
      </c>
      <c r="G2401" s="33" t="s">
        <v>30033</v>
      </c>
      <c r="H2401" s="33" t="s">
        <v>2157</v>
      </c>
      <c r="I2401" s="33" t="s">
        <v>178</v>
      </c>
      <c r="J2401" s="33">
        <v>88345</v>
      </c>
      <c r="K2401" s="33" t="s">
        <v>2159</v>
      </c>
      <c r="L2401" s="33" t="s">
        <v>2160</v>
      </c>
      <c r="M2401" s="33" t="s">
        <v>21</v>
      </c>
      <c r="N2401" s="33" t="s">
        <v>30034</v>
      </c>
      <c r="O2401" s="33" t="s">
        <v>372</v>
      </c>
      <c r="P2401" s="33" t="s">
        <v>30089</v>
      </c>
      <c r="Q2401" s="42" t="s">
        <v>30035</v>
      </c>
      <c r="R2401" s="33" t="s">
        <v>94</v>
      </c>
      <c r="S2401" s="33" t="s">
        <v>351</v>
      </c>
      <c r="T2401" s="33" t="s">
        <v>26867</v>
      </c>
      <c r="U2401" s="33" t="s">
        <v>26572</v>
      </c>
      <c r="V2401" s="33" t="s">
        <v>26573</v>
      </c>
      <c r="W2401" s="33" t="s">
        <v>94</v>
      </c>
      <c r="X2401" s="33">
        <v>3108</v>
      </c>
      <c r="Z2401" s="33" t="s">
        <v>42968</v>
      </c>
      <c r="AA2401" s="33">
        <v>5267</v>
      </c>
    </row>
    <row r="2402" spans="1:27" ht="12" customHeight="1" x14ac:dyDescent="0.15">
      <c r="A2402" s="33" t="s">
        <v>30026</v>
      </c>
      <c r="B2402" s="33">
        <v>49</v>
      </c>
      <c r="C2402" s="33" t="s">
        <v>14</v>
      </c>
      <c r="D2402" s="33" t="s">
        <v>79</v>
      </c>
      <c r="E2402" s="42" t="s">
        <v>30027</v>
      </c>
      <c r="F2402" s="67">
        <v>43044</v>
      </c>
      <c r="G2402" s="33" t="s">
        <v>30028</v>
      </c>
      <c r="H2402" s="33" t="s">
        <v>2171</v>
      </c>
      <c r="I2402" s="33" t="s">
        <v>38</v>
      </c>
      <c r="J2402" s="33">
        <v>61108</v>
      </c>
      <c r="K2402" s="33" t="s">
        <v>2173</v>
      </c>
      <c r="L2402" s="33" t="s">
        <v>2174</v>
      </c>
      <c r="M2402" s="33" t="s">
        <v>21</v>
      </c>
      <c r="N2402" s="33" t="s">
        <v>30029</v>
      </c>
      <c r="O2402" s="33" t="s">
        <v>372</v>
      </c>
      <c r="P2402" s="33" t="s">
        <v>30089</v>
      </c>
      <c r="Q2402" s="42" t="s">
        <v>30030</v>
      </c>
      <c r="R2402" s="33" t="s">
        <v>94</v>
      </c>
      <c r="S2402" s="33" t="s">
        <v>29</v>
      </c>
      <c r="T2402" s="33" t="s">
        <v>26575</v>
      </c>
      <c r="U2402" s="33" t="s">
        <v>26575</v>
      </c>
      <c r="V2402" s="33" t="s">
        <v>26571</v>
      </c>
      <c r="W2402" s="33" t="s">
        <v>94</v>
      </c>
      <c r="X2402" s="33">
        <v>3111</v>
      </c>
      <c r="Z2402" s="33" t="s">
        <v>42968</v>
      </c>
      <c r="AA2402" s="33">
        <v>5266</v>
      </c>
    </row>
    <row r="2403" spans="1:27" ht="12" customHeight="1" x14ac:dyDescent="0.15">
      <c r="A2403" s="33" t="s">
        <v>29993</v>
      </c>
      <c r="B2403" s="33">
        <v>56</v>
      </c>
      <c r="C2403" s="33" t="s">
        <v>14</v>
      </c>
      <c r="D2403" s="33" t="s">
        <v>15</v>
      </c>
      <c r="F2403" s="67">
        <v>43043</v>
      </c>
      <c r="G2403" s="33" t="s">
        <v>29994</v>
      </c>
      <c r="H2403" s="33" t="s">
        <v>29995</v>
      </c>
      <c r="I2403" s="33" t="s">
        <v>918</v>
      </c>
      <c r="J2403" s="33">
        <v>72830</v>
      </c>
      <c r="K2403" s="33" t="s">
        <v>3032</v>
      </c>
      <c r="L2403" s="33" t="s">
        <v>29996</v>
      </c>
      <c r="M2403" s="33" t="s">
        <v>21</v>
      </c>
      <c r="N2403" s="33" t="s">
        <v>29997</v>
      </c>
      <c r="O2403" s="33" t="s">
        <v>372</v>
      </c>
      <c r="P2403" s="33" t="s">
        <v>30089</v>
      </c>
      <c r="Q2403" s="42" t="s">
        <v>29998</v>
      </c>
      <c r="R2403" s="33" t="s">
        <v>94</v>
      </c>
      <c r="S2403" s="33" t="s">
        <v>22</v>
      </c>
      <c r="T2403" s="33" t="s">
        <v>26774</v>
      </c>
      <c r="U2403" s="33" t="s">
        <v>26572</v>
      </c>
      <c r="V2403" s="33" t="s">
        <v>26573</v>
      </c>
      <c r="W2403" s="33" t="s">
        <v>94</v>
      </c>
      <c r="X2403" s="33">
        <v>3093</v>
      </c>
      <c r="Z2403" s="33" t="s">
        <v>42967</v>
      </c>
      <c r="AA2403" s="33">
        <v>5262</v>
      </c>
    </row>
    <row r="2404" spans="1:27" ht="12" customHeight="1" x14ac:dyDescent="0.15">
      <c r="A2404" s="33" t="s">
        <v>30022</v>
      </c>
      <c r="B2404" s="33">
        <v>27</v>
      </c>
      <c r="C2404" s="33" t="s">
        <v>14</v>
      </c>
      <c r="D2404" s="33" t="s">
        <v>30751</v>
      </c>
      <c r="F2404" s="67">
        <v>43043</v>
      </c>
      <c r="G2404" s="33" t="s">
        <v>30023</v>
      </c>
      <c r="H2404" s="33" t="s">
        <v>584</v>
      </c>
      <c r="I2404" s="33" t="s">
        <v>112</v>
      </c>
      <c r="J2404" s="33">
        <v>85029</v>
      </c>
      <c r="K2404" s="33" t="s">
        <v>585</v>
      </c>
      <c r="L2404" s="33" t="s">
        <v>586</v>
      </c>
      <c r="M2404" s="33" t="s">
        <v>21</v>
      </c>
      <c r="N2404" s="33" t="s">
        <v>30024</v>
      </c>
      <c r="O2404" s="33" t="s">
        <v>372</v>
      </c>
      <c r="P2404" s="33" t="s">
        <v>30089</v>
      </c>
      <c r="Q2404" s="42" t="s">
        <v>30025</v>
      </c>
      <c r="R2404" s="33" t="s">
        <v>23</v>
      </c>
      <c r="S2404" s="33" t="s">
        <v>22</v>
      </c>
      <c r="T2404" s="33" t="s">
        <v>26774</v>
      </c>
      <c r="U2404" s="33" t="s">
        <v>26572</v>
      </c>
      <c r="V2404" s="33" t="s">
        <v>26573</v>
      </c>
      <c r="Y2404" s="33" t="s">
        <v>42476</v>
      </c>
      <c r="Z2404" s="33" t="s">
        <v>42968</v>
      </c>
      <c r="AA2404" s="33">
        <v>5263</v>
      </c>
    </row>
    <row r="2405" spans="1:27" ht="12" customHeight="1" x14ac:dyDescent="0.15">
      <c r="A2405" s="33" t="s">
        <v>17476</v>
      </c>
      <c r="B2405" s="33">
        <v>24</v>
      </c>
      <c r="C2405" s="33" t="s">
        <v>14</v>
      </c>
      <c r="D2405" s="33" t="s">
        <v>79</v>
      </c>
      <c r="F2405" s="67">
        <v>43043</v>
      </c>
      <c r="G2405" s="33" t="s">
        <v>29999</v>
      </c>
      <c r="H2405" s="33" t="s">
        <v>1202</v>
      </c>
      <c r="I2405" s="33" t="s">
        <v>621</v>
      </c>
      <c r="J2405" s="33">
        <v>39701</v>
      </c>
      <c r="K2405" s="33" t="s">
        <v>2763</v>
      </c>
      <c r="L2405" s="33" t="s">
        <v>36350</v>
      </c>
      <c r="M2405" s="33" t="s">
        <v>21</v>
      </c>
      <c r="N2405" s="33" t="s">
        <v>30000</v>
      </c>
      <c r="O2405" s="33" t="s">
        <v>372</v>
      </c>
      <c r="P2405" s="33" t="s">
        <v>30089</v>
      </c>
      <c r="Q2405" s="42" t="s">
        <v>30001</v>
      </c>
      <c r="R2405" s="33" t="s">
        <v>94</v>
      </c>
      <c r="S2405" s="33" t="s">
        <v>22</v>
      </c>
      <c r="T2405" s="33" t="s">
        <v>26781</v>
      </c>
      <c r="U2405" s="33" t="s">
        <v>26570</v>
      </c>
      <c r="V2405" s="33" t="s">
        <v>26573</v>
      </c>
      <c r="W2405" s="33" t="s">
        <v>512</v>
      </c>
      <c r="X2405" s="33">
        <v>3096</v>
      </c>
      <c r="Z2405" s="33" t="s">
        <v>42968</v>
      </c>
      <c r="AA2405" s="33">
        <v>5259</v>
      </c>
    </row>
    <row r="2406" spans="1:27" ht="12" customHeight="1" x14ac:dyDescent="0.15">
      <c r="A2406" s="33" t="s">
        <v>30018</v>
      </c>
      <c r="B2406" s="33">
        <v>20</v>
      </c>
      <c r="C2406" s="33" t="s">
        <v>14</v>
      </c>
      <c r="D2406" s="33" t="s">
        <v>79</v>
      </c>
      <c r="E2406" s="42" t="s">
        <v>30019</v>
      </c>
      <c r="F2406" s="67">
        <v>43043</v>
      </c>
      <c r="G2406" s="33" t="s">
        <v>30848</v>
      </c>
      <c r="H2406" s="33" t="s">
        <v>631</v>
      </c>
      <c r="I2406" s="33" t="s">
        <v>39</v>
      </c>
      <c r="J2406" s="33">
        <v>93304</v>
      </c>
      <c r="K2406" s="33" t="s">
        <v>632</v>
      </c>
      <c r="L2406" s="33" t="s">
        <v>633</v>
      </c>
      <c r="M2406" s="33" t="s">
        <v>21</v>
      </c>
      <c r="N2406" s="33" t="s">
        <v>30020</v>
      </c>
      <c r="O2406" s="33" t="s">
        <v>372</v>
      </c>
      <c r="P2406" s="33" t="s">
        <v>30089</v>
      </c>
      <c r="Q2406" s="42" t="s">
        <v>30021</v>
      </c>
      <c r="R2406" s="33" t="s">
        <v>94</v>
      </c>
      <c r="S2406" s="33" t="s">
        <v>29</v>
      </c>
      <c r="T2406" s="33" t="s">
        <v>26575</v>
      </c>
      <c r="U2406" s="33" t="s">
        <v>26575</v>
      </c>
      <c r="V2406" s="33" t="s">
        <v>26574</v>
      </c>
      <c r="W2406" s="33" t="s">
        <v>94</v>
      </c>
      <c r="X2406" s="33">
        <v>3103</v>
      </c>
      <c r="Z2406" s="33" t="s">
        <v>42966</v>
      </c>
      <c r="AA2406" s="33">
        <v>5264</v>
      </c>
    </row>
    <row r="2407" spans="1:27" ht="12" customHeight="1" x14ac:dyDescent="0.15">
      <c r="A2407" s="33" t="s">
        <v>30008</v>
      </c>
      <c r="B2407" s="33">
        <v>30</v>
      </c>
      <c r="C2407" s="33" t="s">
        <v>14</v>
      </c>
      <c r="D2407" s="33" t="s">
        <v>128</v>
      </c>
      <c r="E2407" s="42" t="s">
        <v>30009</v>
      </c>
      <c r="F2407" s="67">
        <v>43043</v>
      </c>
      <c r="G2407" s="33" t="s">
        <v>30010</v>
      </c>
      <c r="H2407" s="33" t="s">
        <v>4219</v>
      </c>
      <c r="I2407" s="33" t="s">
        <v>798</v>
      </c>
      <c r="J2407" s="33">
        <v>59102</v>
      </c>
      <c r="K2407" s="33" t="s">
        <v>4221</v>
      </c>
      <c r="L2407" s="33" t="s">
        <v>9485</v>
      </c>
      <c r="M2407" s="33" t="s">
        <v>21</v>
      </c>
      <c r="N2407" s="33" t="s">
        <v>30011</v>
      </c>
      <c r="O2407" s="33" t="s">
        <v>372</v>
      </c>
      <c r="P2407" s="33" t="s">
        <v>30089</v>
      </c>
      <c r="Q2407" s="42" t="s">
        <v>30012</v>
      </c>
      <c r="R2407" s="33" t="s">
        <v>904</v>
      </c>
      <c r="S2407" s="33" t="s">
        <v>22</v>
      </c>
      <c r="T2407" s="33" t="s">
        <v>26781</v>
      </c>
      <c r="U2407" s="33" t="s">
        <v>26572</v>
      </c>
      <c r="V2407" s="33" t="s">
        <v>26573</v>
      </c>
      <c r="W2407" s="33" t="s">
        <v>94</v>
      </c>
      <c r="X2407" s="33">
        <v>3100</v>
      </c>
      <c r="Z2407" s="33" t="s">
        <v>42968</v>
      </c>
      <c r="AA2407" s="33">
        <v>5261</v>
      </c>
    </row>
    <row r="2408" spans="1:27" ht="12" customHeight="1" x14ac:dyDescent="0.15">
      <c r="A2408" s="33" t="s">
        <v>30002</v>
      </c>
      <c r="B2408" s="33">
        <v>35</v>
      </c>
      <c r="C2408" s="33" t="s">
        <v>14</v>
      </c>
      <c r="D2408" s="33" t="s">
        <v>31</v>
      </c>
      <c r="E2408" s="42" t="s">
        <v>30003</v>
      </c>
      <c r="F2408" s="67">
        <v>43043</v>
      </c>
      <c r="G2408" s="33" t="s">
        <v>30004</v>
      </c>
      <c r="H2408" s="33" t="s">
        <v>1517</v>
      </c>
      <c r="I2408" s="33" t="s">
        <v>192</v>
      </c>
      <c r="J2408" s="33">
        <v>80134</v>
      </c>
      <c r="K2408" s="33" t="s">
        <v>882</v>
      </c>
      <c r="L2408" s="33" t="s">
        <v>30005</v>
      </c>
      <c r="M2408" s="33" t="s">
        <v>21</v>
      </c>
      <c r="N2408" s="33" t="s">
        <v>30006</v>
      </c>
      <c r="O2408" s="33" t="s">
        <v>372</v>
      </c>
      <c r="P2408" s="33" t="s">
        <v>30089</v>
      </c>
      <c r="Q2408" s="42" t="s">
        <v>30007</v>
      </c>
      <c r="R2408" s="33" t="s">
        <v>94</v>
      </c>
      <c r="S2408" s="33" t="s">
        <v>22</v>
      </c>
      <c r="T2408" s="33" t="s">
        <v>26781</v>
      </c>
      <c r="U2408" s="33" t="s">
        <v>26572</v>
      </c>
      <c r="V2408" s="33" t="s">
        <v>26573</v>
      </c>
      <c r="W2408" s="33" t="s">
        <v>94</v>
      </c>
      <c r="X2408" s="33">
        <v>3099</v>
      </c>
      <c r="Z2408" s="33" t="s">
        <v>42968</v>
      </c>
      <c r="AA2408" s="33">
        <v>5260</v>
      </c>
    </row>
    <row r="2409" spans="1:27" ht="12" customHeight="1" x14ac:dyDescent="0.15">
      <c r="A2409" s="33" t="s">
        <v>29987</v>
      </c>
      <c r="B2409" s="33">
        <v>39</v>
      </c>
      <c r="C2409" s="33" t="s">
        <v>14</v>
      </c>
      <c r="D2409" s="33" t="s">
        <v>31</v>
      </c>
      <c r="E2409" s="42" t="s">
        <v>29988</v>
      </c>
      <c r="F2409" s="67">
        <v>43042</v>
      </c>
      <c r="G2409" s="33" t="s">
        <v>29989</v>
      </c>
      <c r="H2409" s="33" t="s">
        <v>29990</v>
      </c>
      <c r="I2409" s="33" t="s">
        <v>88</v>
      </c>
      <c r="J2409" s="33">
        <v>36271</v>
      </c>
      <c r="K2409" s="33" t="s">
        <v>5619</v>
      </c>
      <c r="L2409" s="33" t="s">
        <v>21862</v>
      </c>
      <c r="M2409" s="33" t="s">
        <v>21</v>
      </c>
      <c r="N2409" s="33" t="s">
        <v>29991</v>
      </c>
      <c r="O2409" s="33" t="s">
        <v>372</v>
      </c>
      <c r="P2409" s="33" t="s">
        <v>30089</v>
      </c>
      <c r="Q2409" s="42" t="s">
        <v>29992</v>
      </c>
      <c r="R2409" s="33" t="s">
        <v>94</v>
      </c>
      <c r="S2409" s="33" t="s">
        <v>22</v>
      </c>
      <c r="T2409" s="33" t="s">
        <v>29833</v>
      </c>
      <c r="U2409" s="33" t="s">
        <v>26572</v>
      </c>
      <c r="V2409" s="33" t="s">
        <v>26571</v>
      </c>
      <c r="W2409" s="33" t="s">
        <v>94</v>
      </c>
      <c r="X2409" s="33">
        <v>3105</v>
      </c>
      <c r="Z2409" s="33" t="s">
        <v>42967</v>
      </c>
      <c r="AA2409" s="33">
        <v>5257</v>
      </c>
    </row>
    <row r="2410" spans="1:27" ht="12" customHeight="1" x14ac:dyDescent="0.15">
      <c r="A2410" s="33" t="s">
        <v>29977</v>
      </c>
      <c r="B2410" s="33">
        <v>43</v>
      </c>
      <c r="C2410" s="33" t="s">
        <v>14</v>
      </c>
      <c r="D2410" s="33" t="s">
        <v>42</v>
      </c>
      <c r="F2410" s="67">
        <v>43042</v>
      </c>
      <c r="G2410" s="33" t="s">
        <v>29978</v>
      </c>
      <c r="H2410" s="33" t="s">
        <v>801</v>
      </c>
      <c r="I2410" s="33" t="s">
        <v>67</v>
      </c>
      <c r="J2410" s="33">
        <v>79930</v>
      </c>
      <c r="K2410" s="33" t="s">
        <v>801</v>
      </c>
      <c r="L2410" s="33" t="s">
        <v>802</v>
      </c>
      <c r="M2410" s="33" t="s">
        <v>21</v>
      </c>
      <c r="N2410" s="33" t="s">
        <v>29979</v>
      </c>
      <c r="O2410" s="33" t="s">
        <v>372</v>
      </c>
      <c r="P2410" s="33" t="s">
        <v>30089</v>
      </c>
      <c r="Q2410" s="42" t="s">
        <v>29980</v>
      </c>
      <c r="R2410" s="33" t="s">
        <v>94</v>
      </c>
      <c r="S2410" s="33" t="s">
        <v>22</v>
      </c>
      <c r="T2410" s="33" t="s">
        <v>26593</v>
      </c>
      <c r="U2410" s="33" t="s">
        <v>26570</v>
      </c>
      <c r="V2410" s="33" t="s">
        <v>26573</v>
      </c>
      <c r="W2410" s="33" t="s">
        <v>94</v>
      </c>
      <c r="X2410" s="33">
        <v>3101</v>
      </c>
      <c r="Z2410" s="33" t="s">
        <v>42966</v>
      </c>
      <c r="AA2410" s="33">
        <v>5258</v>
      </c>
    </row>
    <row r="2411" spans="1:27" ht="12" customHeight="1" x14ac:dyDescent="0.15">
      <c r="A2411" s="33" t="s">
        <v>29981</v>
      </c>
      <c r="B2411" s="33">
        <v>44</v>
      </c>
      <c r="C2411" s="33" t="s">
        <v>14</v>
      </c>
      <c r="D2411" s="33" t="s">
        <v>30751</v>
      </c>
      <c r="F2411" s="67">
        <v>43042</v>
      </c>
      <c r="G2411" s="33" t="s">
        <v>29982</v>
      </c>
      <c r="H2411" s="33" t="s">
        <v>29983</v>
      </c>
      <c r="I2411" s="33" t="s">
        <v>918</v>
      </c>
      <c r="J2411" s="33">
        <v>72501</v>
      </c>
      <c r="K2411" s="33" t="s">
        <v>4913</v>
      </c>
      <c r="L2411" s="33" t="s">
        <v>29984</v>
      </c>
      <c r="M2411" s="33" t="s">
        <v>21</v>
      </c>
      <c r="N2411" s="33" t="s">
        <v>29985</v>
      </c>
      <c r="O2411" s="33" t="s">
        <v>372</v>
      </c>
      <c r="P2411" s="33" t="s">
        <v>30089</v>
      </c>
      <c r="Q2411" s="42" t="s">
        <v>29986</v>
      </c>
      <c r="R2411" s="33" t="s">
        <v>94</v>
      </c>
      <c r="S2411" s="33" t="s">
        <v>22</v>
      </c>
      <c r="T2411" s="33" t="s">
        <v>26781</v>
      </c>
      <c r="U2411" s="33" t="s">
        <v>26572</v>
      </c>
      <c r="V2411" s="33" t="s">
        <v>26573</v>
      </c>
      <c r="W2411" s="33" t="s">
        <v>94</v>
      </c>
      <c r="X2411" s="33">
        <v>3104</v>
      </c>
      <c r="Z2411" s="33" t="s">
        <v>42967</v>
      </c>
      <c r="AA2411" s="33">
        <v>5255</v>
      </c>
    </row>
    <row r="2412" spans="1:27" ht="12" customHeight="1" x14ac:dyDescent="0.15">
      <c r="A2412" s="33" t="s">
        <v>29973</v>
      </c>
      <c r="B2412" s="33">
        <v>53</v>
      </c>
      <c r="C2412" s="33" t="s">
        <v>14</v>
      </c>
      <c r="D2412" s="33" t="s">
        <v>31</v>
      </c>
      <c r="F2412" s="67">
        <v>43042</v>
      </c>
      <c r="G2412" s="33" t="s">
        <v>29974</v>
      </c>
      <c r="H2412" s="33" t="s">
        <v>4934</v>
      </c>
      <c r="I2412" s="33" t="s">
        <v>56</v>
      </c>
      <c r="J2412" s="33">
        <v>32129</v>
      </c>
      <c r="K2412" s="33" t="s">
        <v>3571</v>
      </c>
      <c r="L2412" s="33" t="s">
        <v>4936</v>
      </c>
      <c r="M2412" s="33" t="s">
        <v>21</v>
      </c>
      <c r="N2412" s="33" t="s">
        <v>29975</v>
      </c>
      <c r="O2412" s="33" t="s">
        <v>372</v>
      </c>
      <c r="P2412" s="33" t="s">
        <v>30089</v>
      </c>
      <c r="Q2412" s="42" t="s">
        <v>29976</v>
      </c>
      <c r="R2412" s="33" t="s">
        <v>94</v>
      </c>
      <c r="S2412" s="33" t="s">
        <v>22</v>
      </c>
      <c r="T2412" s="33" t="s">
        <v>29833</v>
      </c>
      <c r="U2412" s="33" t="s">
        <v>26572</v>
      </c>
      <c r="V2412" s="33" t="s">
        <v>26571</v>
      </c>
      <c r="W2412" s="33" t="s">
        <v>94</v>
      </c>
      <c r="X2412" s="33">
        <v>3097</v>
      </c>
      <c r="Z2412" s="33" t="s">
        <v>42968</v>
      </c>
      <c r="AA2412" s="33">
        <v>5256</v>
      </c>
    </row>
    <row r="2413" spans="1:27" ht="12" customHeight="1" x14ac:dyDescent="0.15">
      <c r="A2413" s="33" t="s">
        <v>29958</v>
      </c>
      <c r="B2413" s="33">
        <v>56</v>
      </c>
      <c r="C2413" s="33" t="s">
        <v>14</v>
      </c>
      <c r="D2413" s="33" t="s">
        <v>31</v>
      </c>
      <c r="E2413" s="42" t="s">
        <v>29959</v>
      </c>
      <c r="F2413" s="67">
        <v>43041</v>
      </c>
      <c r="G2413" s="33" t="s">
        <v>30847</v>
      </c>
      <c r="H2413" s="33" t="s">
        <v>29960</v>
      </c>
      <c r="I2413" s="33" t="s">
        <v>39</v>
      </c>
      <c r="J2413" s="33">
        <v>95660</v>
      </c>
      <c r="K2413" s="33" t="s">
        <v>1537</v>
      </c>
      <c r="L2413" s="33" t="s">
        <v>22038</v>
      </c>
      <c r="M2413" s="33" t="s">
        <v>21</v>
      </c>
      <c r="N2413" s="33" t="s">
        <v>29961</v>
      </c>
      <c r="O2413" s="33" t="s">
        <v>372</v>
      </c>
      <c r="P2413" s="33" t="s">
        <v>30089</v>
      </c>
      <c r="Q2413" s="42" t="s">
        <v>29962</v>
      </c>
      <c r="R2413" s="33" t="s">
        <v>512</v>
      </c>
      <c r="S2413" s="33" t="s">
        <v>22</v>
      </c>
      <c r="T2413" s="33" t="s">
        <v>26602</v>
      </c>
      <c r="U2413" s="33" t="s">
        <v>26572</v>
      </c>
      <c r="V2413" s="33" t="s">
        <v>26573</v>
      </c>
      <c r="W2413" s="33" t="s">
        <v>94</v>
      </c>
      <c r="X2413" s="33">
        <v>3090</v>
      </c>
      <c r="Z2413" s="33" t="s">
        <v>42968</v>
      </c>
      <c r="AA2413" s="33">
        <v>5254</v>
      </c>
    </row>
    <row r="2414" spans="1:27" ht="12" customHeight="1" x14ac:dyDescent="0.15">
      <c r="A2414" s="33" t="s">
        <v>29963</v>
      </c>
      <c r="B2414" s="33">
        <v>71</v>
      </c>
      <c r="C2414" s="33" t="s">
        <v>14</v>
      </c>
      <c r="D2414" s="33" t="s">
        <v>31</v>
      </c>
      <c r="E2414" s="42" t="s">
        <v>29964</v>
      </c>
      <c r="F2414" s="67">
        <v>43041</v>
      </c>
      <c r="G2414" s="33" t="s">
        <v>29965</v>
      </c>
      <c r="H2414" s="33" t="s">
        <v>3692</v>
      </c>
      <c r="I2414" s="33" t="s">
        <v>56</v>
      </c>
      <c r="J2414" s="33">
        <v>33805</v>
      </c>
      <c r="K2414" s="33" t="s">
        <v>1736</v>
      </c>
      <c r="L2414" s="33" t="s">
        <v>3694</v>
      </c>
      <c r="M2414" s="33" t="s">
        <v>21</v>
      </c>
      <c r="N2414" s="33" t="s">
        <v>29966</v>
      </c>
      <c r="O2414" s="33" t="s">
        <v>372</v>
      </c>
      <c r="P2414" s="33" t="s">
        <v>30089</v>
      </c>
      <c r="Q2414" s="42" t="s">
        <v>29967</v>
      </c>
      <c r="R2414" s="33" t="s">
        <v>512</v>
      </c>
      <c r="S2414" s="33" t="s">
        <v>22</v>
      </c>
      <c r="T2414" s="33" t="s">
        <v>26781</v>
      </c>
      <c r="U2414" s="33" t="s">
        <v>26572</v>
      </c>
      <c r="V2414" s="33" t="s">
        <v>26573</v>
      </c>
      <c r="W2414" s="33" t="s">
        <v>94</v>
      </c>
      <c r="X2414" s="33">
        <v>3091</v>
      </c>
      <c r="Z2414" s="33" t="s">
        <v>42968</v>
      </c>
      <c r="AA2414" s="33">
        <v>5251</v>
      </c>
    </row>
    <row r="2415" spans="1:27" ht="12" customHeight="1" x14ac:dyDescent="0.15">
      <c r="A2415" s="33" t="s">
        <v>3002</v>
      </c>
      <c r="B2415" s="33" t="s">
        <v>23</v>
      </c>
      <c r="C2415" s="33" t="s">
        <v>14</v>
      </c>
      <c r="D2415" s="33" t="s">
        <v>30751</v>
      </c>
      <c r="F2415" s="67">
        <v>43041</v>
      </c>
      <c r="G2415" s="33" t="s">
        <v>29968</v>
      </c>
      <c r="H2415" s="33" t="s">
        <v>29969</v>
      </c>
      <c r="I2415" s="33" t="s">
        <v>51</v>
      </c>
      <c r="J2415" s="33">
        <v>48141</v>
      </c>
      <c r="K2415" s="33" t="s">
        <v>1057</v>
      </c>
      <c r="L2415" s="33" t="s">
        <v>29970</v>
      </c>
      <c r="M2415" s="33" t="s">
        <v>21</v>
      </c>
      <c r="N2415" s="33" t="s">
        <v>29971</v>
      </c>
      <c r="O2415" s="33" t="s">
        <v>372</v>
      </c>
      <c r="P2415" s="33" t="s">
        <v>30089</v>
      </c>
      <c r="Q2415" s="42" t="s">
        <v>29972</v>
      </c>
      <c r="R2415" s="33" t="s">
        <v>94</v>
      </c>
      <c r="S2415" s="33" t="s">
        <v>22</v>
      </c>
      <c r="T2415" s="33" t="s">
        <v>26781</v>
      </c>
      <c r="U2415" s="33" t="s">
        <v>26572</v>
      </c>
      <c r="V2415" s="33" t="s">
        <v>26573</v>
      </c>
      <c r="W2415" s="33" t="s">
        <v>94</v>
      </c>
      <c r="X2415" s="33">
        <v>3092</v>
      </c>
      <c r="Z2415" s="33" t="s">
        <v>42968</v>
      </c>
      <c r="AA2415" s="33">
        <v>5252</v>
      </c>
    </row>
    <row r="2416" spans="1:27" ht="12" customHeight="1" x14ac:dyDescent="0.15">
      <c r="A2416" s="33" t="s">
        <v>30013</v>
      </c>
      <c r="B2416" s="33">
        <v>31</v>
      </c>
      <c r="C2416" s="33" t="s">
        <v>14</v>
      </c>
      <c r="D2416" s="33" t="s">
        <v>31</v>
      </c>
      <c r="F2416" s="67">
        <v>43041</v>
      </c>
      <c r="G2416" s="33" t="s">
        <v>30014</v>
      </c>
      <c r="H2416" s="33" t="s">
        <v>22735</v>
      </c>
      <c r="I2416" s="33" t="s">
        <v>198</v>
      </c>
      <c r="J2416" s="33">
        <v>47460</v>
      </c>
      <c r="K2416" s="33" t="s">
        <v>30015</v>
      </c>
      <c r="L2416" s="33" t="s">
        <v>36517</v>
      </c>
      <c r="M2416" s="33" t="s">
        <v>21</v>
      </c>
      <c r="N2416" s="33" t="s">
        <v>30016</v>
      </c>
      <c r="O2416" s="33" t="s">
        <v>372</v>
      </c>
      <c r="P2416" s="33" t="s">
        <v>30089</v>
      </c>
      <c r="Q2416" s="42" t="s">
        <v>30017</v>
      </c>
      <c r="R2416" s="33" t="s">
        <v>512</v>
      </c>
      <c r="S2416" s="33" t="s">
        <v>22</v>
      </c>
      <c r="T2416" s="33" t="s">
        <v>26781</v>
      </c>
      <c r="U2416" s="33" t="s">
        <v>26572</v>
      </c>
      <c r="V2416" s="33" t="s">
        <v>26573</v>
      </c>
      <c r="W2416" s="33" t="s">
        <v>94</v>
      </c>
      <c r="X2416" s="33">
        <v>3102</v>
      </c>
      <c r="Z2416" s="33" t="s">
        <v>42967</v>
      </c>
      <c r="AA2416" s="33">
        <v>5253</v>
      </c>
    </row>
    <row r="2417" spans="1:48" ht="12" customHeight="1" x14ac:dyDescent="0.15">
      <c r="A2417" s="33" t="s">
        <v>29946</v>
      </c>
      <c r="B2417" s="33">
        <v>27</v>
      </c>
      <c r="C2417" s="33" t="s">
        <v>14</v>
      </c>
      <c r="D2417" s="33" t="s">
        <v>31</v>
      </c>
      <c r="E2417" s="42" t="s">
        <v>29947</v>
      </c>
      <c r="F2417" s="67">
        <v>43040</v>
      </c>
      <c r="G2417" s="33" t="s">
        <v>29948</v>
      </c>
      <c r="H2417" s="33" t="s">
        <v>9334</v>
      </c>
      <c r="I2417" s="33" t="s">
        <v>88</v>
      </c>
      <c r="J2417" s="33">
        <v>36201</v>
      </c>
      <c r="K2417" s="33" t="s">
        <v>5619</v>
      </c>
      <c r="L2417" s="33" t="s">
        <v>9336</v>
      </c>
      <c r="M2417" s="33" t="s">
        <v>21</v>
      </c>
      <c r="N2417" s="33" t="s">
        <v>29949</v>
      </c>
      <c r="O2417" s="33" t="s">
        <v>372</v>
      </c>
      <c r="P2417" s="33" t="s">
        <v>30089</v>
      </c>
      <c r="Q2417" s="42" t="s">
        <v>29950</v>
      </c>
      <c r="R2417" s="33" t="s">
        <v>94</v>
      </c>
      <c r="S2417" s="33" t="s">
        <v>22</v>
      </c>
      <c r="T2417" s="33" t="s">
        <v>26781</v>
      </c>
      <c r="U2417" s="33" t="s">
        <v>26572</v>
      </c>
      <c r="V2417" s="33" t="s">
        <v>26573</v>
      </c>
      <c r="W2417" s="33" t="s">
        <v>94</v>
      </c>
      <c r="X2417" s="33">
        <v>3088</v>
      </c>
      <c r="Z2417" s="33" t="s">
        <v>42966</v>
      </c>
      <c r="AA2417" s="33">
        <v>5249</v>
      </c>
    </row>
    <row r="2418" spans="1:48" ht="12" customHeight="1" x14ac:dyDescent="0.15">
      <c r="A2418" s="33" t="s">
        <v>29951</v>
      </c>
      <c r="B2418" s="33">
        <v>28</v>
      </c>
      <c r="C2418" s="33" t="s">
        <v>14</v>
      </c>
      <c r="D2418" s="33" t="s">
        <v>31</v>
      </c>
      <c r="E2418" s="42" t="s">
        <v>29952</v>
      </c>
      <c r="F2418" s="67">
        <v>43040</v>
      </c>
      <c r="G2418" s="33" t="s">
        <v>29953</v>
      </c>
      <c r="H2418" s="33" t="s">
        <v>29954</v>
      </c>
      <c r="I2418" s="33" t="s">
        <v>294</v>
      </c>
      <c r="J2418" s="33">
        <v>41844</v>
      </c>
      <c r="K2418" s="33" t="s">
        <v>18257</v>
      </c>
      <c r="L2418" s="33" t="s">
        <v>29955</v>
      </c>
      <c r="M2418" s="33" t="s">
        <v>21</v>
      </c>
      <c r="N2418" s="33" t="s">
        <v>29956</v>
      </c>
      <c r="O2418" s="33" t="s">
        <v>372</v>
      </c>
      <c r="P2418" s="33" t="s">
        <v>30089</v>
      </c>
      <c r="Q2418" s="42" t="s">
        <v>29957</v>
      </c>
      <c r="R2418" s="33" t="s">
        <v>94</v>
      </c>
      <c r="S2418" s="33" t="s">
        <v>351</v>
      </c>
      <c r="T2418" s="33" t="s">
        <v>26867</v>
      </c>
      <c r="U2418" s="33" t="s">
        <v>26572</v>
      </c>
      <c r="V2418" s="33" t="s">
        <v>26571</v>
      </c>
      <c r="W2418" s="33" t="s">
        <v>94</v>
      </c>
      <c r="X2418" s="33">
        <v>3089</v>
      </c>
      <c r="Z2418" s="33" t="s">
        <v>42967</v>
      </c>
      <c r="AA2418" s="33">
        <v>5250</v>
      </c>
    </row>
    <row r="2419" spans="1:48" ht="12" customHeight="1" x14ac:dyDescent="0.15">
      <c r="A2419" s="33" t="s">
        <v>29861</v>
      </c>
      <c r="B2419" s="33">
        <v>27</v>
      </c>
      <c r="C2419" s="33" t="s">
        <v>14</v>
      </c>
      <c r="D2419" s="33" t="s">
        <v>79</v>
      </c>
      <c r="F2419" s="67">
        <v>43039</v>
      </c>
      <c r="G2419" s="33" t="s">
        <v>29862</v>
      </c>
      <c r="H2419" s="33" t="s">
        <v>728</v>
      </c>
      <c r="I2419" s="33" t="s">
        <v>39</v>
      </c>
      <c r="J2419" s="33">
        <v>92506</v>
      </c>
      <c r="K2419" s="33" t="s">
        <v>728</v>
      </c>
      <c r="L2419" s="33" t="s">
        <v>5461</v>
      </c>
      <c r="M2419" s="33" t="s">
        <v>21</v>
      </c>
      <c r="N2419" s="33" t="s">
        <v>29863</v>
      </c>
      <c r="O2419" s="33" t="s">
        <v>372</v>
      </c>
      <c r="P2419" s="33" t="s">
        <v>30089</v>
      </c>
      <c r="Q2419" s="42" t="s">
        <v>29864</v>
      </c>
      <c r="R2419" s="33" t="s">
        <v>94</v>
      </c>
      <c r="S2419" s="33" t="s">
        <v>29</v>
      </c>
      <c r="T2419" s="33" t="s">
        <v>26575</v>
      </c>
      <c r="U2419" s="33" t="s">
        <v>26575</v>
      </c>
      <c r="V2419" s="33" t="s">
        <v>26573</v>
      </c>
      <c r="W2419" s="33" t="s">
        <v>94</v>
      </c>
      <c r="X2419" s="33">
        <v>3082</v>
      </c>
      <c r="Z2419" s="33" t="s">
        <v>42968</v>
      </c>
      <c r="AA2419" s="33">
        <v>5248</v>
      </c>
    </row>
    <row r="2420" spans="1:48" ht="12" customHeight="1" x14ac:dyDescent="0.15">
      <c r="A2420" s="33" t="s">
        <v>29942</v>
      </c>
      <c r="B2420" s="33">
        <v>37</v>
      </c>
      <c r="C2420" s="33" t="s">
        <v>103</v>
      </c>
      <c r="D2420" s="33" t="s">
        <v>31</v>
      </c>
      <c r="E2420" s="42" t="s">
        <v>29943</v>
      </c>
      <c r="F2420" s="67">
        <v>43039</v>
      </c>
      <c r="G2420" s="33" t="s">
        <v>30846</v>
      </c>
      <c r="H2420" s="33" t="s">
        <v>911</v>
      </c>
      <c r="I2420" s="33" t="s">
        <v>178</v>
      </c>
      <c r="J2420" s="33">
        <v>88005</v>
      </c>
      <c r="K2420" s="33" t="s">
        <v>5875</v>
      </c>
      <c r="L2420" s="33" t="s">
        <v>9755</v>
      </c>
      <c r="M2420" s="33" t="s">
        <v>21</v>
      </c>
      <c r="N2420" s="33" t="s">
        <v>29944</v>
      </c>
      <c r="O2420" s="33" t="s">
        <v>372</v>
      </c>
      <c r="P2420" s="33" t="s">
        <v>30089</v>
      </c>
      <c r="Q2420" s="42" t="s">
        <v>29945</v>
      </c>
      <c r="R2420" s="33" t="s">
        <v>512</v>
      </c>
      <c r="S2420" s="33" t="s">
        <v>22</v>
      </c>
      <c r="T2420" s="33" t="s">
        <v>27020</v>
      </c>
      <c r="U2420" s="33" t="s">
        <v>26570</v>
      </c>
      <c r="V2420" s="33" t="s">
        <v>26573</v>
      </c>
      <c r="W2420" s="33" t="s">
        <v>94</v>
      </c>
      <c r="X2420" s="33">
        <v>3087</v>
      </c>
      <c r="Z2420" s="33" t="s">
        <v>42966</v>
      </c>
      <c r="AA2420" s="33">
        <v>5244</v>
      </c>
    </row>
    <row r="2421" spans="1:48" ht="12" customHeight="1" x14ac:dyDescent="0.15">
      <c r="A2421" s="33" t="s">
        <v>29857</v>
      </c>
      <c r="B2421" s="33">
        <v>25</v>
      </c>
      <c r="C2421" s="33" t="s">
        <v>14</v>
      </c>
      <c r="D2421" s="33" t="s">
        <v>42</v>
      </c>
      <c r="F2421" s="67">
        <v>43039</v>
      </c>
      <c r="G2421" s="33" t="s">
        <v>29858</v>
      </c>
      <c r="H2421" s="33" t="s">
        <v>716</v>
      </c>
      <c r="I2421" s="33" t="s">
        <v>39</v>
      </c>
      <c r="J2421" s="33">
        <v>60856</v>
      </c>
      <c r="K2421" s="33" t="s">
        <v>561</v>
      </c>
      <c r="L2421" s="33" t="s">
        <v>717</v>
      </c>
      <c r="M2421" s="33" t="s">
        <v>30350</v>
      </c>
      <c r="N2421" s="33" t="s">
        <v>29859</v>
      </c>
      <c r="O2421" s="33" t="s">
        <v>372</v>
      </c>
      <c r="P2421" s="33" t="s">
        <v>30089</v>
      </c>
      <c r="Q2421" s="42" t="s">
        <v>29860</v>
      </c>
      <c r="R2421" s="33" t="s">
        <v>94</v>
      </c>
      <c r="S2421" s="33" t="s">
        <v>22</v>
      </c>
      <c r="T2421" s="33" t="s">
        <v>26774</v>
      </c>
      <c r="U2421" s="33" t="s">
        <v>26572</v>
      </c>
      <c r="V2421" s="33" t="s">
        <v>26573</v>
      </c>
      <c r="W2421" s="33" t="s">
        <v>94</v>
      </c>
      <c r="X2421" s="33">
        <v>3081</v>
      </c>
      <c r="Z2421" s="33" t="e">
        <v>#N/A</v>
      </c>
      <c r="AA2421" s="33">
        <v>5247</v>
      </c>
    </row>
    <row r="2422" spans="1:48" ht="12" customHeight="1" x14ac:dyDescent="0.15">
      <c r="A2422" s="33" t="s">
        <v>29938</v>
      </c>
      <c r="B2422" s="33">
        <v>22</v>
      </c>
      <c r="C2422" s="33" t="s">
        <v>14</v>
      </c>
      <c r="D2422" s="33" t="s">
        <v>79</v>
      </c>
      <c r="F2422" s="67">
        <v>43039</v>
      </c>
      <c r="G2422" s="33" t="s">
        <v>29939</v>
      </c>
      <c r="H2422" s="33" t="s">
        <v>787</v>
      </c>
      <c r="I2422" s="33" t="s">
        <v>67</v>
      </c>
      <c r="J2422" s="33">
        <v>76017</v>
      </c>
      <c r="K2422" s="33" t="s">
        <v>68</v>
      </c>
      <c r="L2422" s="33" t="s">
        <v>788</v>
      </c>
      <c r="M2422" s="33" t="s">
        <v>21</v>
      </c>
      <c r="N2422" s="33" t="s">
        <v>29940</v>
      </c>
      <c r="O2422" s="33" t="s">
        <v>372</v>
      </c>
      <c r="P2422" s="33" t="s">
        <v>30089</v>
      </c>
      <c r="Q2422" s="42" t="s">
        <v>29941</v>
      </c>
      <c r="R2422" s="33" t="s">
        <v>94</v>
      </c>
      <c r="S2422" s="33" t="s">
        <v>22</v>
      </c>
      <c r="T2422" s="33" t="s">
        <v>26781</v>
      </c>
      <c r="U2422" s="33" t="s">
        <v>26572</v>
      </c>
      <c r="V2422" s="33" t="s">
        <v>26573</v>
      </c>
      <c r="W2422" s="33" t="s">
        <v>94</v>
      </c>
      <c r="X2422" s="33">
        <v>3086</v>
      </c>
      <c r="Z2422" s="33" t="s">
        <v>42968</v>
      </c>
      <c r="AA2422" s="33">
        <v>5246</v>
      </c>
    </row>
    <row r="2423" spans="1:48" ht="12" customHeight="1" x14ac:dyDescent="0.15">
      <c r="A2423" s="33" t="s">
        <v>30411</v>
      </c>
      <c r="B2423" s="33">
        <v>39</v>
      </c>
      <c r="C2423" s="33" t="s">
        <v>14</v>
      </c>
      <c r="D2423" s="33" t="s">
        <v>31</v>
      </c>
      <c r="F2423" s="67">
        <v>43039</v>
      </c>
      <c r="G2423" s="33" t="s">
        <v>29933</v>
      </c>
      <c r="H2423" s="33" t="s">
        <v>3744</v>
      </c>
      <c r="I2423" s="33" t="s">
        <v>298</v>
      </c>
      <c r="J2423" s="33">
        <v>38570</v>
      </c>
      <c r="K2423" s="33" t="s">
        <v>29934</v>
      </c>
      <c r="L2423" s="33" t="s">
        <v>29935</v>
      </c>
      <c r="M2423" s="33" t="s">
        <v>21</v>
      </c>
      <c r="N2423" s="33" t="s">
        <v>29936</v>
      </c>
      <c r="O2423" s="33" t="s">
        <v>372</v>
      </c>
      <c r="P2423" s="33" t="s">
        <v>30089</v>
      </c>
      <c r="Q2423" s="42" t="s">
        <v>29937</v>
      </c>
      <c r="R2423" s="33" t="s">
        <v>94</v>
      </c>
      <c r="S2423" s="33" t="s">
        <v>22</v>
      </c>
      <c r="T2423" s="33" t="s">
        <v>26781</v>
      </c>
      <c r="U2423" s="33" t="s">
        <v>26572</v>
      </c>
      <c r="V2423" s="33" t="s">
        <v>26573</v>
      </c>
      <c r="W2423" s="33" t="s">
        <v>94</v>
      </c>
      <c r="X2423" s="33">
        <v>3085</v>
      </c>
      <c r="Z2423" s="33" t="s">
        <v>42967</v>
      </c>
      <c r="AA2423" s="33">
        <v>5245</v>
      </c>
    </row>
    <row r="2424" spans="1:48" ht="12" customHeight="1" x14ac:dyDescent="0.15">
      <c r="A2424" s="33" t="s">
        <v>29849</v>
      </c>
      <c r="B2424" s="33">
        <v>19</v>
      </c>
      <c r="C2424" s="33" t="s">
        <v>14</v>
      </c>
      <c r="D2424" s="33" t="s">
        <v>79</v>
      </c>
      <c r="F2424" s="67">
        <v>43038</v>
      </c>
      <c r="G2424" s="33" t="s">
        <v>29850</v>
      </c>
      <c r="H2424" s="33" t="s">
        <v>485</v>
      </c>
      <c r="I2424" s="33" t="s">
        <v>75</v>
      </c>
      <c r="J2424" s="33">
        <v>7103</v>
      </c>
      <c r="K2424" s="33" t="s">
        <v>486</v>
      </c>
      <c r="L2424" s="33" t="s">
        <v>7797</v>
      </c>
      <c r="M2424" s="33" t="s">
        <v>21</v>
      </c>
      <c r="N2424" s="33" t="s">
        <v>29851</v>
      </c>
      <c r="O2424" s="33" t="s">
        <v>372</v>
      </c>
      <c r="P2424" s="33" t="s">
        <v>30089</v>
      </c>
      <c r="Q2424" s="42" t="s">
        <v>29852</v>
      </c>
      <c r="R2424" s="33" t="s">
        <v>94</v>
      </c>
      <c r="S2424" s="33" t="s">
        <v>29</v>
      </c>
      <c r="T2424" s="33" t="s">
        <v>26575</v>
      </c>
      <c r="U2424" s="33" t="s">
        <v>26572</v>
      </c>
      <c r="V2424" s="33" t="s">
        <v>26573</v>
      </c>
      <c r="W2424" s="33" t="s">
        <v>94</v>
      </c>
      <c r="Y2424" s="33" t="s">
        <v>42476</v>
      </c>
      <c r="Z2424" s="33" t="s">
        <v>42966</v>
      </c>
      <c r="AA2424" s="33">
        <v>5243</v>
      </c>
    </row>
    <row r="2425" spans="1:48" ht="12" customHeight="1" x14ac:dyDescent="0.15">
      <c r="A2425" s="33" t="s">
        <v>29853</v>
      </c>
      <c r="B2425" s="33">
        <v>21</v>
      </c>
      <c r="C2425" s="33" t="s">
        <v>14</v>
      </c>
      <c r="D2425" s="33" t="s">
        <v>79</v>
      </c>
      <c r="F2425" s="67">
        <v>43038</v>
      </c>
      <c r="G2425" s="33" t="s">
        <v>29850</v>
      </c>
      <c r="H2425" s="33" t="s">
        <v>485</v>
      </c>
      <c r="I2425" s="33" t="s">
        <v>75</v>
      </c>
      <c r="J2425" s="33">
        <v>7103</v>
      </c>
      <c r="K2425" s="33" t="s">
        <v>486</v>
      </c>
      <c r="L2425" s="33" t="s">
        <v>7797</v>
      </c>
      <c r="M2425" s="33" t="s">
        <v>21</v>
      </c>
      <c r="N2425" s="33" t="s">
        <v>29851</v>
      </c>
      <c r="O2425" s="33" t="s">
        <v>372</v>
      </c>
      <c r="P2425" s="33" t="s">
        <v>30089</v>
      </c>
      <c r="Q2425" s="42" t="s">
        <v>29852</v>
      </c>
      <c r="R2425" s="33" t="s">
        <v>94</v>
      </c>
      <c r="S2425" s="33" t="s">
        <v>22</v>
      </c>
      <c r="T2425" s="33" t="s">
        <v>26781</v>
      </c>
      <c r="U2425" s="33" t="s">
        <v>26572</v>
      </c>
      <c r="V2425" s="33" t="s">
        <v>26573</v>
      </c>
      <c r="W2425" s="33" t="s">
        <v>94</v>
      </c>
      <c r="Y2425" s="33" t="s">
        <v>42476</v>
      </c>
      <c r="Z2425" s="33" t="s">
        <v>42966</v>
      </c>
      <c r="AA2425" s="33">
        <v>5242</v>
      </c>
    </row>
    <row r="2426" spans="1:48" ht="12" customHeight="1" x14ac:dyDescent="0.15">
      <c r="A2426" s="33" t="s">
        <v>30845</v>
      </c>
      <c r="B2426" s="33">
        <v>33</v>
      </c>
      <c r="C2426" s="33" t="s">
        <v>14</v>
      </c>
      <c r="D2426" s="33" t="s">
        <v>128</v>
      </c>
      <c r="F2426" s="67">
        <v>43038</v>
      </c>
      <c r="G2426" s="33" t="s">
        <v>29854</v>
      </c>
      <c r="H2426" s="33" t="s">
        <v>15505</v>
      </c>
      <c r="I2426" s="33" t="s">
        <v>282</v>
      </c>
      <c r="J2426" s="33">
        <v>98003</v>
      </c>
      <c r="K2426" s="33" t="s">
        <v>1133</v>
      </c>
      <c r="L2426" s="33" t="s">
        <v>15507</v>
      </c>
      <c r="M2426" s="33" t="s">
        <v>21</v>
      </c>
      <c r="N2426" s="33" t="s">
        <v>29855</v>
      </c>
      <c r="O2426" s="33" t="s">
        <v>372</v>
      </c>
      <c r="P2426" s="33" t="s">
        <v>30089</v>
      </c>
      <c r="Q2426" s="42" t="s">
        <v>29856</v>
      </c>
      <c r="R2426" s="33" t="s">
        <v>94</v>
      </c>
      <c r="S2426" s="33" t="s">
        <v>22</v>
      </c>
      <c r="T2426" s="33" t="s">
        <v>26781</v>
      </c>
      <c r="U2426" s="33" t="s">
        <v>26572</v>
      </c>
      <c r="V2426" s="33" t="s">
        <v>26573</v>
      </c>
      <c r="W2426" s="33" t="s">
        <v>94</v>
      </c>
      <c r="X2426" s="33">
        <v>3079</v>
      </c>
      <c r="Z2426" s="33" t="s">
        <v>42968</v>
      </c>
      <c r="AA2426" s="33">
        <v>5241</v>
      </c>
    </row>
    <row r="2427" spans="1:48" ht="12" customHeight="1" x14ac:dyDescent="0.15">
      <c r="A2427" s="33" t="s">
        <v>30085</v>
      </c>
      <c r="B2427" s="33">
        <v>23</v>
      </c>
      <c r="C2427" s="33" t="s">
        <v>14</v>
      </c>
      <c r="D2427" s="33" t="s">
        <v>79</v>
      </c>
      <c r="E2427" s="42" t="s">
        <v>30086</v>
      </c>
      <c r="F2427" s="67">
        <v>43037</v>
      </c>
      <c r="G2427" s="33" t="s">
        <v>30087</v>
      </c>
      <c r="H2427" s="33" t="s">
        <v>30296</v>
      </c>
      <c r="I2427" s="33" t="s">
        <v>376</v>
      </c>
      <c r="J2427" s="33">
        <v>19406</v>
      </c>
      <c r="K2427" s="33" t="s">
        <v>995</v>
      </c>
      <c r="L2427" s="33" t="s">
        <v>6441</v>
      </c>
      <c r="M2427" s="33" t="s">
        <v>21</v>
      </c>
      <c r="N2427" s="33" t="s">
        <v>30088</v>
      </c>
      <c r="O2427" s="33" t="s">
        <v>372</v>
      </c>
      <c r="P2427" s="33" t="s">
        <v>30089</v>
      </c>
      <c r="Q2427" s="42" t="s">
        <v>30090</v>
      </c>
      <c r="R2427" s="33" t="s">
        <v>94</v>
      </c>
      <c r="S2427" s="33" t="s">
        <v>351</v>
      </c>
      <c r="T2427" s="33" t="s">
        <v>26867</v>
      </c>
      <c r="U2427" s="33" t="s">
        <v>26572</v>
      </c>
      <c r="V2427" s="33" t="s">
        <v>26571</v>
      </c>
      <c r="X2427" s="33">
        <v>3205</v>
      </c>
      <c r="Z2427" s="33" t="s">
        <v>42968</v>
      </c>
      <c r="AA2427" s="33">
        <v>5240</v>
      </c>
    </row>
    <row r="2428" spans="1:48" ht="12" customHeight="1" x14ac:dyDescent="0.15">
      <c r="A2428" s="33" t="s">
        <v>29846</v>
      </c>
      <c r="B2428" s="33">
        <v>50</v>
      </c>
      <c r="C2428" s="33" t="s">
        <v>14</v>
      </c>
      <c r="D2428" s="33" t="s">
        <v>31</v>
      </c>
      <c r="F2428" s="67">
        <v>43037</v>
      </c>
      <c r="G2428" s="33" t="s">
        <v>29847</v>
      </c>
      <c r="H2428" s="33" t="s">
        <v>25367</v>
      </c>
      <c r="I2428" s="33" t="s">
        <v>192</v>
      </c>
      <c r="J2428" s="33">
        <v>80112</v>
      </c>
      <c r="K2428" s="33" t="s">
        <v>3510</v>
      </c>
      <c r="L2428" s="33" t="s">
        <v>1791</v>
      </c>
      <c r="M2428" s="33" t="s">
        <v>21</v>
      </c>
      <c r="N2428" s="33" t="s">
        <v>36518</v>
      </c>
      <c r="O2428" s="33" t="s">
        <v>372</v>
      </c>
      <c r="P2428" s="33" t="s">
        <v>94</v>
      </c>
      <c r="Q2428" s="42" t="s">
        <v>29848</v>
      </c>
      <c r="R2428" s="33" t="s">
        <v>94</v>
      </c>
      <c r="S2428" s="33" t="s">
        <v>22</v>
      </c>
      <c r="T2428" s="33" t="s">
        <v>26781</v>
      </c>
      <c r="U2428" s="33" t="s">
        <v>26572</v>
      </c>
      <c r="V2428" s="33" t="s">
        <v>26573</v>
      </c>
      <c r="W2428" s="33" t="s">
        <v>94</v>
      </c>
      <c r="X2428" s="33">
        <v>3080</v>
      </c>
      <c r="Z2428" s="33" t="s">
        <v>42968</v>
      </c>
      <c r="AA2428" s="33">
        <v>5238</v>
      </c>
      <c r="AV2428" s="42"/>
    </row>
    <row r="2429" spans="1:48" ht="12" customHeight="1" x14ac:dyDescent="0.15">
      <c r="A2429" s="33" t="s">
        <v>29838</v>
      </c>
      <c r="B2429" s="33">
        <v>46</v>
      </c>
      <c r="C2429" s="33" t="s">
        <v>14</v>
      </c>
      <c r="D2429" s="33" t="s">
        <v>79</v>
      </c>
      <c r="E2429" s="42" t="s">
        <v>29839</v>
      </c>
      <c r="F2429" s="67">
        <v>43037</v>
      </c>
      <c r="G2429" s="33" t="s">
        <v>29840</v>
      </c>
      <c r="H2429" s="33" t="s">
        <v>29841</v>
      </c>
      <c r="I2429" s="33" t="s">
        <v>621</v>
      </c>
      <c r="J2429" s="33">
        <v>38668</v>
      </c>
      <c r="K2429" s="33" t="s">
        <v>29842</v>
      </c>
      <c r="L2429" s="33" t="s">
        <v>29843</v>
      </c>
      <c r="M2429" s="33" t="s">
        <v>21</v>
      </c>
      <c r="N2429" s="33" t="s">
        <v>29844</v>
      </c>
      <c r="O2429" s="33" t="s">
        <v>372</v>
      </c>
      <c r="P2429" s="33" t="s">
        <v>30089</v>
      </c>
      <c r="Q2429" s="42" t="s">
        <v>29845</v>
      </c>
      <c r="R2429" s="33" t="s">
        <v>94</v>
      </c>
      <c r="S2429" s="33" t="s">
        <v>22</v>
      </c>
      <c r="T2429" s="33" t="s">
        <v>26781</v>
      </c>
      <c r="U2429" s="33" t="s">
        <v>26572</v>
      </c>
      <c r="V2429" s="33" t="s">
        <v>26571</v>
      </c>
      <c r="W2429" s="33" t="s">
        <v>94</v>
      </c>
      <c r="X2429" s="33">
        <v>3078</v>
      </c>
      <c r="Z2429" s="33" t="s">
        <v>42967</v>
      </c>
      <c r="AA2429" s="33">
        <v>5237</v>
      </c>
    </row>
    <row r="2430" spans="1:48" ht="12" customHeight="1" x14ac:dyDescent="0.15">
      <c r="A2430" s="33" t="s">
        <v>36967</v>
      </c>
      <c r="B2430" s="33">
        <v>41</v>
      </c>
      <c r="C2430" s="33" t="s">
        <v>14</v>
      </c>
      <c r="D2430" s="33" t="s">
        <v>31</v>
      </c>
      <c r="F2430" s="67">
        <v>43037</v>
      </c>
      <c r="G2430" s="10" t="s">
        <v>37011</v>
      </c>
      <c r="H2430" s="10" t="s">
        <v>3496</v>
      </c>
      <c r="I2430" s="33" t="s">
        <v>198</v>
      </c>
      <c r="J2430" s="65">
        <v>47362</v>
      </c>
      <c r="K2430" s="10" t="s">
        <v>7624</v>
      </c>
      <c r="L2430" s="10" t="s">
        <v>26244</v>
      </c>
      <c r="M2430" s="33" t="s">
        <v>21</v>
      </c>
      <c r="N2430" s="10" t="s">
        <v>37025</v>
      </c>
      <c r="O2430" s="10" t="s">
        <v>372</v>
      </c>
      <c r="P2430" s="33" t="s">
        <v>30089</v>
      </c>
      <c r="Q2430" s="64" t="s">
        <v>37026</v>
      </c>
      <c r="R2430" s="33" t="s">
        <v>94</v>
      </c>
      <c r="S2430" s="33" t="s">
        <v>22</v>
      </c>
      <c r="T2430" s="36" t="s">
        <v>26774</v>
      </c>
      <c r="U2430" s="36" t="s">
        <v>26572</v>
      </c>
      <c r="V2430" s="36" t="s">
        <v>26573</v>
      </c>
      <c r="W2430" s="33" t="s">
        <v>94</v>
      </c>
      <c r="X2430" s="33">
        <v>3107</v>
      </c>
      <c r="Z2430" s="33" t="s">
        <v>42968</v>
      </c>
      <c r="AA2430" s="33">
        <v>5239</v>
      </c>
    </row>
    <row r="2431" spans="1:48" ht="12" customHeight="1" x14ac:dyDescent="0.15">
      <c r="A2431" s="33" t="s">
        <v>29829</v>
      </c>
      <c r="B2431" s="33">
        <v>40</v>
      </c>
      <c r="C2431" s="33" t="s">
        <v>14</v>
      </c>
      <c r="D2431" s="33" t="s">
        <v>42</v>
      </c>
      <c r="E2431" s="42" t="s">
        <v>29830</v>
      </c>
      <c r="F2431" s="67">
        <v>43036</v>
      </c>
      <c r="G2431" s="33" t="s">
        <v>30844</v>
      </c>
      <c r="H2431" s="33" t="s">
        <v>1592</v>
      </c>
      <c r="I2431" s="33" t="s">
        <v>192</v>
      </c>
      <c r="J2431" s="33">
        <v>80631</v>
      </c>
      <c r="K2431" s="33" t="s">
        <v>1594</v>
      </c>
      <c r="L2431" s="33" t="s">
        <v>1595</v>
      </c>
      <c r="M2431" s="33" t="s">
        <v>21</v>
      </c>
      <c r="N2431" s="33" t="s">
        <v>29831</v>
      </c>
      <c r="O2431" s="33" t="s">
        <v>372</v>
      </c>
      <c r="P2431" s="33" t="s">
        <v>30089</v>
      </c>
      <c r="Q2431" s="42" t="s">
        <v>29832</v>
      </c>
      <c r="R2431" s="33" t="s">
        <v>94</v>
      </c>
      <c r="S2431" s="33" t="s">
        <v>22</v>
      </c>
      <c r="T2431" s="33" t="s">
        <v>29833</v>
      </c>
      <c r="U2431" s="33" t="s">
        <v>26572</v>
      </c>
      <c r="V2431" s="33" t="s">
        <v>26571</v>
      </c>
      <c r="W2431" s="33" t="s">
        <v>94</v>
      </c>
      <c r="X2431" s="33">
        <v>3075</v>
      </c>
      <c r="Z2431" s="33" t="s">
        <v>42968</v>
      </c>
      <c r="AA2431" s="33">
        <v>5234</v>
      </c>
    </row>
    <row r="2432" spans="1:48" ht="12" customHeight="1" x14ac:dyDescent="0.15">
      <c r="A2432" s="33" t="s">
        <v>29834</v>
      </c>
      <c r="B2432" s="33">
        <v>27</v>
      </c>
      <c r="C2432" s="33" t="s">
        <v>14</v>
      </c>
      <c r="D2432" s="33" t="s">
        <v>128</v>
      </c>
      <c r="F2432" s="67">
        <v>43036</v>
      </c>
      <c r="H2432" s="33" t="s">
        <v>29835</v>
      </c>
      <c r="I2432" s="33" t="s">
        <v>409</v>
      </c>
      <c r="J2432" s="33">
        <v>54615</v>
      </c>
      <c r="K2432" s="33" t="s">
        <v>404</v>
      </c>
      <c r="L2432" s="33" t="s">
        <v>8407</v>
      </c>
      <c r="M2432" s="33" t="s">
        <v>21</v>
      </c>
      <c r="N2432" s="33" t="s">
        <v>29836</v>
      </c>
      <c r="O2432" s="33" t="s">
        <v>372</v>
      </c>
      <c r="P2432" s="33" t="s">
        <v>30089</v>
      </c>
      <c r="Q2432" s="42" t="s">
        <v>29837</v>
      </c>
      <c r="R2432" s="33" t="s">
        <v>94</v>
      </c>
      <c r="S2432" s="33" t="s">
        <v>351</v>
      </c>
      <c r="T2432" s="33" t="s">
        <v>26867</v>
      </c>
      <c r="U2432" s="33" t="s">
        <v>26570</v>
      </c>
      <c r="V2432" s="33" t="s">
        <v>26571</v>
      </c>
      <c r="W2432" s="33" t="s">
        <v>512</v>
      </c>
      <c r="X2432" s="33">
        <v>3076</v>
      </c>
      <c r="Z2432" s="33" t="s">
        <v>42967</v>
      </c>
      <c r="AA2432" s="33">
        <v>5236</v>
      </c>
    </row>
    <row r="2433" spans="1:27" ht="12" customHeight="1" x14ac:dyDescent="0.15">
      <c r="A2433" s="33" t="s">
        <v>29823</v>
      </c>
      <c r="B2433" s="33">
        <v>17</v>
      </c>
      <c r="C2433" s="33" t="s">
        <v>14</v>
      </c>
      <c r="D2433" s="33" t="s">
        <v>42</v>
      </c>
      <c r="E2433" s="42" t="s">
        <v>29824</v>
      </c>
      <c r="F2433" s="67">
        <v>43036</v>
      </c>
      <c r="G2433" s="33" t="s">
        <v>29825</v>
      </c>
      <c r="H2433" s="33" t="s">
        <v>29826</v>
      </c>
      <c r="I2433" s="33" t="s">
        <v>106</v>
      </c>
      <c r="J2433" s="33">
        <v>97347</v>
      </c>
      <c r="K2433" s="33" t="s">
        <v>1736</v>
      </c>
      <c r="L2433" s="33" t="s">
        <v>238</v>
      </c>
      <c r="M2433" s="33" t="s">
        <v>21</v>
      </c>
      <c r="N2433" s="33" t="s">
        <v>29827</v>
      </c>
      <c r="O2433" s="33" t="s">
        <v>372</v>
      </c>
      <c r="P2433" s="33" t="s">
        <v>30089</v>
      </c>
      <c r="Q2433" s="42" t="s">
        <v>29828</v>
      </c>
      <c r="R2433" s="33" t="s">
        <v>94</v>
      </c>
      <c r="S2433" s="33" t="s">
        <v>22</v>
      </c>
      <c r="T2433" s="33" t="s">
        <v>26774</v>
      </c>
      <c r="U2433" s="33" t="s">
        <v>26570</v>
      </c>
      <c r="V2433" s="33" t="s">
        <v>26571</v>
      </c>
      <c r="W2433" s="33" t="s">
        <v>94</v>
      </c>
      <c r="X2433" s="33">
        <v>3077</v>
      </c>
      <c r="Z2433" s="33" t="s">
        <v>42967</v>
      </c>
      <c r="AA2433" s="33">
        <v>5235</v>
      </c>
    </row>
    <row r="2434" spans="1:27" ht="12" customHeight="1" x14ac:dyDescent="0.15">
      <c r="A2434" s="33" t="s">
        <v>29813</v>
      </c>
      <c r="B2434" s="33">
        <v>46</v>
      </c>
      <c r="C2434" s="33" t="s">
        <v>14</v>
      </c>
      <c r="D2434" s="33" t="s">
        <v>31</v>
      </c>
      <c r="F2434" s="67">
        <v>43035</v>
      </c>
      <c r="G2434" s="33" t="s">
        <v>29814</v>
      </c>
      <c r="H2434" s="33" t="s">
        <v>7964</v>
      </c>
      <c r="I2434" s="33" t="s">
        <v>376</v>
      </c>
      <c r="J2434" s="33">
        <v>16507</v>
      </c>
      <c r="K2434" s="33" t="s">
        <v>7964</v>
      </c>
      <c r="L2434" s="33" t="s">
        <v>12054</v>
      </c>
      <c r="M2434" s="33" t="s">
        <v>21</v>
      </c>
      <c r="N2434" s="33" t="s">
        <v>29815</v>
      </c>
      <c r="O2434" s="33" t="s">
        <v>372</v>
      </c>
      <c r="P2434" s="33" t="s">
        <v>30089</v>
      </c>
      <c r="Q2434" s="42" t="s">
        <v>29816</v>
      </c>
      <c r="R2434" s="33" t="s">
        <v>94</v>
      </c>
      <c r="S2434" s="33" t="s">
        <v>22</v>
      </c>
      <c r="T2434" s="33" t="s">
        <v>26867</v>
      </c>
      <c r="U2434" s="33" t="s">
        <v>26570</v>
      </c>
      <c r="V2434" s="33" t="s">
        <v>26573</v>
      </c>
      <c r="W2434" s="33" t="s">
        <v>94</v>
      </c>
      <c r="X2434" s="33">
        <v>3072</v>
      </c>
      <c r="Z2434" s="33" t="s">
        <v>42966</v>
      </c>
      <c r="AA2434" s="33">
        <v>5233</v>
      </c>
    </row>
    <row r="2435" spans="1:27" ht="12" customHeight="1" x14ac:dyDescent="0.15">
      <c r="A2435" s="33" t="s">
        <v>29817</v>
      </c>
      <c r="B2435" s="33">
        <v>47</v>
      </c>
      <c r="C2435" s="33" t="s">
        <v>14</v>
      </c>
      <c r="D2435" s="33" t="s">
        <v>79</v>
      </c>
      <c r="F2435" s="67">
        <v>43035</v>
      </c>
      <c r="G2435" s="33" t="s">
        <v>29818</v>
      </c>
      <c r="H2435" s="33" t="s">
        <v>29819</v>
      </c>
      <c r="I2435" s="33" t="s">
        <v>56</v>
      </c>
      <c r="J2435" s="33">
        <v>34956</v>
      </c>
      <c r="K2435" s="33" t="s">
        <v>14651</v>
      </c>
      <c r="L2435" s="33" t="s">
        <v>29820</v>
      </c>
      <c r="M2435" s="33" t="s">
        <v>21</v>
      </c>
      <c r="N2435" s="33" t="s">
        <v>29821</v>
      </c>
      <c r="O2435" s="33" t="s">
        <v>372</v>
      </c>
      <c r="P2435" s="33" t="s">
        <v>30089</v>
      </c>
      <c r="Q2435" s="42" t="s">
        <v>29822</v>
      </c>
      <c r="R2435" s="33" t="s">
        <v>512</v>
      </c>
      <c r="S2435" s="33" t="s">
        <v>22</v>
      </c>
      <c r="T2435" s="33" t="s">
        <v>26593</v>
      </c>
      <c r="U2435" s="33" t="s">
        <v>26570</v>
      </c>
      <c r="V2435" s="33" t="s">
        <v>26573</v>
      </c>
      <c r="W2435" s="33" t="s">
        <v>94</v>
      </c>
      <c r="X2435" s="33">
        <v>3074</v>
      </c>
      <c r="Z2435" s="33" t="s">
        <v>42967</v>
      </c>
      <c r="AA2435" s="33">
        <v>5232</v>
      </c>
    </row>
    <row r="2436" spans="1:27" ht="12" customHeight="1" x14ac:dyDescent="0.15">
      <c r="A2436" s="33" t="s">
        <v>29807</v>
      </c>
      <c r="B2436" s="33">
        <v>32</v>
      </c>
      <c r="C2436" s="33" t="s">
        <v>14</v>
      </c>
      <c r="D2436" s="33" t="s">
        <v>31</v>
      </c>
      <c r="F2436" s="67">
        <v>43034</v>
      </c>
      <c r="G2436" s="33" t="s">
        <v>29808</v>
      </c>
      <c r="H2436" s="33" t="s">
        <v>29809</v>
      </c>
      <c r="I2436" s="33" t="s">
        <v>88</v>
      </c>
      <c r="J2436" s="33">
        <v>36532</v>
      </c>
      <c r="K2436" s="33" t="s">
        <v>3400</v>
      </c>
      <c r="L2436" s="33" t="s">
        <v>29810</v>
      </c>
      <c r="M2436" s="33" t="s">
        <v>21</v>
      </c>
      <c r="N2436" s="33" t="s">
        <v>29811</v>
      </c>
      <c r="O2436" s="33" t="s">
        <v>372</v>
      </c>
      <c r="P2436" s="33" t="s">
        <v>30089</v>
      </c>
      <c r="Q2436" s="42" t="s">
        <v>29812</v>
      </c>
      <c r="R2436" s="33" t="s">
        <v>94</v>
      </c>
      <c r="S2436" s="33" t="s">
        <v>22</v>
      </c>
      <c r="T2436" s="33" t="s">
        <v>26781</v>
      </c>
      <c r="U2436" s="33" t="s">
        <v>26572</v>
      </c>
      <c r="V2436" s="33" t="s">
        <v>19228</v>
      </c>
      <c r="W2436" s="33" t="s">
        <v>94</v>
      </c>
      <c r="X2436" s="33">
        <v>3071</v>
      </c>
      <c r="Z2436" s="33" t="s">
        <v>42966</v>
      </c>
      <c r="AA2436" s="33">
        <v>5230</v>
      </c>
    </row>
    <row r="2437" spans="1:27" ht="12" customHeight="1" x14ac:dyDescent="0.15">
      <c r="A2437" s="33" t="s">
        <v>29799</v>
      </c>
      <c r="B2437" s="33">
        <v>34</v>
      </c>
      <c r="C2437" s="33" t="s">
        <v>14</v>
      </c>
      <c r="D2437" s="33" t="s">
        <v>31</v>
      </c>
      <c r="E2437" s="42" t="s">
        <v>29800</v>
      </c>
      <c r="F2437" s="67">
        <v>43034</v>
      </c>
      <c r="G2437" s="33" t="s">
        <v>29801</v>
      </c>
      <c r="H2437" s="33" t="s">
        <v>29802</v>
      </c>
      <c r="I2437" s="33" t="s">
        <v>395</v>
      </c>
      <c r="J2437" s="33">
        <v>14845</v>
      </c>
      <c r="K2437" s="33" t="s">
        <v>29803</v>
      </c>
      <c r="L2437" s="33" t="s">
        <v>29804</v>
      </c>
      <c r="M2437" s="33" t="s">
        <v>21</v>
      </c>
      <c r="N2437" s="33" t="s">
        <v>29805</v>
      </c>
      <c r="O2437" s="33" t="s">
        <v>372</v>
      </c>
      <c r="P2437" s="33" t="s">
        <v>30089</v>
      </c>
      <c r="Q2437" s="42" t="s">
        <v>29806</v>
      </c>
      <c r="R2437" s="33" t="s">
        <v>94</v>
      </c>
      <c r="S2437" s="33" t="s">
        <v>22</v>
      </c>
      <c r="T2437" s="33" t="s">
        <v>26781</v>
      </c>
      <c r="U2437" s="33" t="s">
        <v>26572</v>
      </c>
      <c r="V2437" s="33" t="s">
        <v>26571</v>
      </c>
      <c r="W2437" s="33" t="s">
        <v>94</v>
      </c>
      <c r="X2437" s="33">
        <v>3073</v>
      </c>
      <c r="Z2437" s="33" t="s">
        <v>42968</v>
      </c>
      <c r="AA2437" s="33">
        <v>5231</v>
      </c>
    </row>
    <row r="2438" spans="1:27" ht="12" customHeight="1" x14ac:dyDescent="0.15">
      <c r="A2438" s="33" t="s">
        <v>29794</v>
      </c>
      <c r="B2438" s="33">
        <v>33</v>
      </c>
      <c r="C2438" s="33" t="s">
        <v>14</v>
      </c>
      <c r="D2438" s="33" t="s">
        <v>79</v>
      </c>
      <c r="E2438" s="42" t="s">
        <v>29795</v>
      </c>
      <c r="F2438" s="67">
        <v>43033</v>
      </c>
      <c r="G2438" s="33" t="s">
        <v>29796</v>
      </c>
      <c r="H2438" s="33" t="s">
        <v>12230</v>
      </c>
      <c r="I2438" s="33" t="s">
        <v>56</v>
      </c>
      <c r="J2438" s="33">
        <v>33712</v>
      </c>
      <c r="K2438" s="33" t="s">
        <v>2152</v>
      </c>
      <c r="L2438" s="33" t="s">
        <v>12747</v>
      </c>
      <c r="M2438" s="33" t="s">
        <v>21</v>
      </c>
      <c r="N2438" s="33" t="s">
        <v>29797</v>
      </c>
      <c r="O2438" s="33" t="s">
        <v>372</v>
      </c>
      <c r="P2438" s="33" t="s">
        <v>30089</v>
      </c>
      <c r="Q2438" s="42" t="s">
        <v>29798</v>
      </c>
      <c r="R2438" s="33" t="s">
        <v>94</v>
      </c>
      <c r="S2438" s="33" t="s">
        <v>22</v>
      </c>
      <c r="T2438" s="33" t="s">
        <v>26781</v>
      </c>
      <c r="U2438" s="33" t="s">
        <v>26572</v>
      </c>
      <c r="V2438" s="33" t="s">
        <v>26573</v>
      </c>
      <c r="W2438" s="33" t="s">
        <v>94</v>
      </c>
      <c r="X2438" s="33">
        <v>3068</v>
      </c>
      <c r="Z2438" s="33" t="s">
        <v>42968</v>
      </c>
      <c r="AA2438" s="33">
        <v>5228</v>
      </c>
    </row>
    <row r="2439" spans="1:27" ht="12" customHeight="1" x14ac:dyDescent="0.15">
      <c r="A2439" s="33" t="s">
        <v>29790</v>
      </c>
      <c r="B2439" s="33">
        <v>33</v>
      </c>
      <c r="C2439" s="33" t="s">
        <v>14</v>
      </c>
      <c r="D2439" s="33" t="s">
        <v>79</v>
      </c>
      <c r="E2439" s="42" t="s">
        <v>29791</v>
      </c>
      <c r="F2439" s="67">
        <v>43033</v>
      </c>
      <c r="G2439" s="33" t="s">
        <v>30843</v>
      </c>
      <c r="H2439" s="33" t="s">
        <v>924</v>
      </c>
      <c r="I2439" s="33" t="s">
        <v>63</v>
      </c>
      <c r="J2439" s="33">
        <v>44106</v>
      </c>
      <c r="K2439" s="33" t="s">
        <v>95</v>
      </c>
      <c r="L2439" s="33" t="s">
        <v>29641</v>
      </c>
      <c r="M2439" s="33" t="s">
        <v>21</v>
      </c>
      <c r="N2439" s="33" t="s">
        <v>29792</v>
      </c>
      <c r="O2439" s="33" t="s">
        <v>372</v>
      </c>
      <c r="P2439" s="33" t="s">
        <v>30089</v>
      </c>
      <c r="Q2439" s="42" t="s">
        <v>29793</v>
      </c>
      <c r="R2439" s="33" t="s">
        <v>94</v>
      </c>
      <c r="S2439" s="33" t="s">
        <v>22</v>
      </c>
      <c r="T2439" s="33" t="s">
        <v>26781</v>
      </c>
      <c r="U2439" s="33" t="s">
        <v>26572</v>
      </c>
      <c r="V2439" s="33" t="s">
        <v>26574</v>
      </c>
      <c r="W2439" s="33" t="s">
        <v>94</v>
      </c>
      <c r="X2439" s="33">
        <v>3070</v>
      </c>
      <c r="Z2439" s="33" t="s">
        <v>42966</v>
      </c>
      <c r="AA2439" s="33">
        <v>5229</v>
      </c>
    </row>
    <row r="2440" spans="1:27" ht="12" customHeight="1" x14ac:dyDescent="0.15">
      <c r="A2440" s="33" t="s">
        <v>29772</v>
      </c>
      <c r="B2440" s="33">
        <v>34</v>
      </c>
      <c r="C2440" s="33" t="s">
        <v>14</v>
      </c>
      <c r="D2440" s="33" t="s">
        <v>42</v>
      </c>
      <c r="F2440" s="67">
        <v>43032</v>
      </c>
      <c r="G2440" s="33" t="s">
        <v>29773</v>
      </c>
      <c r="H2440" s="33" t="s">
        <v>29774</v>
      </c>
      <c r="I2440" s="33" t="s">
        <v>67</v>
      </c>
      <c r="J2440" s="33">
        <v>77081</v>
      </c>
      <c r="K2440" s="33" t="s">
        <v>515</v>
      </c>
      <c r="L2440" s="33" t="s">
        <v>675</v>
      </c>
      <c r="M2440" s="33" t="s">
        <v>4966</v>
      </c>
      <c r="N2440" s="33" t="s">
        <v>29775</v>
      </c>
      <c r="O2440" s="33" t="s">
        <v>372</v>
      </c>
      <c r="P2440" s="33" t="s">
        <v>30089</v>
      </c>
      <c r="Q2440" s="42" t="s">
        <v>29776</v>
      </c>
      <c r="R2440" s="33" t="s">
        <v>94</v>
      </c>
      <c r="S2440" s="33" t="s">
        <v>29</v>
      </c>
      <c r="T2440" s="33" t="s">
        <v>26586</v>
      </c>
      <c r="U2440" s="33" t="s">
        <v>26570</v>
      </c>
      <c r="V2440" s="33" t="s">
        <v>26573</v>
      </c>
      <c r="W2440" s="33" t="s">
        <v>94</v>
      </c>
      <c r="X2440" s="33">
        <v>3065</v>
      </c>
      <c r="Z2440" s="33" t="s">
        <v>42966</v>
      </c>
      <c r="AA2440" s="33">
        <v>5226</v>
      </c>
    </row>
    <row r="2441" spans="1:27" ht="12" customHeight="1" x14ac:dyDescent="0.15">
      <c r="A2441" s="33" t="s">
        <v>29783</v>
      </c>
      <c r="B2441" s="33">
        <v>37</v>
      </c>
      <c r="C2441" s="33" t="s">
        <v>14</v>
      </c>
      <c r="D2441" s="33" t="s">
        <v>31</v>
      </c>
      <c r="E2441" s="42" t="s">
        <v>29784</v>
      </c>
      <c r="F2441" s="67">
        <v>43032</v>
      </c>
      <c r="G2441" s="33" t="s">
        <v>29785</v>
      </c>
      <c r="H2441" s="33" t="s">
        <v>29786</v>
      </c>
      <c r="I2441" s="33" t="s">
        <v>376</v>
      </c>
      <c r="J2441" s="33">
        <v>18634</v>
      </c>
      <c r="K2441" s="33" t="s">
        <v>756</v>
      </c>
      <c r="L2441" s="33" t="s">
        <v>29787</v>
      </c>
      <c r="M2441" s="33" t="s">
        <v>21</v>
      </c>
      <c r="N2441" s="33" t="s">
        <v>29788</v>
      </c>
      <c r="O2441" s="33" t="s">
        <v>372</v>
      </c>
      <c r="P2441" s="33" t="s">
        <v>30089</v>
      </c>
      <c r="Q2441" s="42" t="s">
        <v>29789</v>
      </c>
      <c r="R2441" s="33" t="s">
        <v>94</v>
      </c>
      <c r="S2441" s="33" t="s">
        <v>12</v>
      </c>
      <c r="T2441" s="33" t="s">
        <v>29705</v>
      </c>
      <c r="U2441" s="33" t="s">
        <v>26572</v>
      </c>
      <c r="V2441" s="33" t="s">
        <v>26573</v>
      </c>
      <c r="W2441" s="33" t="s">
        <v>94</v>
      </c>
      <c r="X2441" s="33">
        <v>3066</v>
      </c>
      <c r="Z2441" s="33" t="s">
        <v>42968</v>
      </c>
      <c r="AA2441" s="33">
        <v>5227</v>
      </c>
    </row>
    <row r="2442" spans="1:27" ht="12" customHeight="1" x14ac:dyDescent="0.15">
      <c r="A2442" s="33" t="s">
        <v>29777</v>
      </c>
      <c r="B2442" s="33">
        <v>25</v>
      </c>
      <c r="C2442" s="33" t="s">
        <v>14</v>
      </c>
      <c r="D2442" s="33" t="s">
        <v>31</v>
      </c>
      <c r="E2442" s="42" t="s">
        <v>29778</v>
      </c>
      <c r="F2442" s="67">
        <v>43032</v>
      </c>
      <c r="G2442" s="33" t="s">
        <v>29779</v>
      </c>
      <c r="H2442" s="33" t="s">
        <v>16137</v>
      </c>
      <c r="I2442" s="33" t="s">
        <v>35</v>
      </c>
      <c r="J2442" s="33">
        <v>6360</v>
      </c>
      <c r="K2442" s="33" t="s">
        <v>6257</v>
      </c>
      <c r="L2442" s="33" t="s">
        <v>29780</v>
      </c>
      <c r="M2442" s="33" t="s">
        <v>21</v>
      </c>
      <c r="N2442" s="33" t="s">
        <v>29781</v>
      </c>
      <c r="O2442" s="33" t="s">
        <v>372</v>
      </c>
      <c r="P2442" s="33" t="s">
        <v>30089</v>
      </c>
      <c r="Q2442" s="42" t="s">
        <v>29782</v>
      </c>
      <c r="R2442" s="33" t="s">
        <v>94</v>
      </c>
      <c r="S2442" s="33" t="s">
        <v>22</v>
      </c>
      <c r="T2442" s="33" t="s">
        <v>26781</v>
      </c>
      <c r="U2442" s="33" t="s">
        <v>26572</v>
      </c>
      <c r="V2442" s="33" t="s">
        <v>26574</v>
      </c>
      <c r="W2442" s="33" t="s">
        <v>94</v>
      </c>
      <c r="X2442" s="33">
        <v>3067</v>
      </c>
      <c r="Z2442" s="33" t="s">
        <v>42968</v>
      </c>
      <c r="AA2442" s="33">
        <v>5225</v>
      </c>
    </row>
    <row r="2443" spans="1:27" ht="12" customHeight="1" x14ac:dyDescent="0.15">
      <c r="A2443" s="33" t="s">
        <v>29763</v>
      </c>
      <c r="B2443" s="33">
        <v>20</v>
      </c>
      <c r="C2443" s="33" t="s">
        <v>14</v>
      </c>
      <c r="D2443" s="33" t="s">
        <v>79</v>
      </c>
      <c r="F2443" s="67">
        <v>43031</v>
      </c>
      <c r="G2443" s="33" t="s">
        <v>30842</v>
      </c>
      <c r="H2443" s="33" t="s">
        <v>1487</v>
      </c>
      <c r="I2443" s="33" t="s">
        <v>46</v>
      </c>
      <c r="J2443" s="33">
        <v>21206</v>
      </c>
      <c r="K2443" s="33" t="s">
        <v>4324</v>
      </c>
      <c r="L2443" s="33" t="s">
        <v>2556</v>
      </c>
      <c r="M2443" s="33" t="s">
        <v>21</v>
      </c>
      <c r="N2443" s="33" t="s">
        <v>29764</v>
      </c>
      <c r="O2443" s="33" t="s">
        <v>372</v>
      </c>
      <c r="P2443" s="33" t="s">
        <v>30089</v>
      </c>
      <c r="Q2443" s="42" t="s">
        <v>29765</v>
      </c>
      <c r="R2443" s="33" t="s">
        <v>94</v>
      </c>
      <c r="S2443" s="33" t="s">
        <v>22</v>
      </c>
      <c r="T2443" s="33" t="s">
        <v>26781</v>
      </c>
      <c r="U2443" s="33" t="s">
        <v>26572</v>
      </c>
      <c r="V2443" s="33" t="s">
        <v>26573</v>
      </c>
      <c r="W2443" s="33" t="s">
        <v>94</v>
      </c>
      <c r="Y2443" s="33" t="s">
        <v>42476</v>
      </c>
      <c r="Z2443" s="33" t="s">
        <v>42966</v>
      </c>
      <c r="AA2443" s="33">
        <v>5222</v>
      </c>
    </row>
    <row r="2444" spans="1:27" ht="12" customHeight="1" x14ac:dyDescent="0.15">
      <c r="A2444" s="33" t="s">
        <v>30757</v>
      </c>
      <c r="B2444" s="33">
        <v>35</v>
      </c>
      <c r="C2444" s="33" t="s">
        <v>14</v>
      </c>
      <c r="D2444" s="33" t="s">
        <v>128</v>
      </c>
      <c r="F2444" s="67">
        <v>43031</v>
      </c>
      <c r="G2444" s="33" t="s">
        <v>29766</v>
      </c>
      <c r="H2444" s="33" t="s">
        <v>29767</v>
      </c>
      <c r="I2444" s="33" t="s">
        <v>1605</v>
      </c>
      <c r="J2444" s="33">
        <v>58538</v>
      </c>
      <c r="K2444" s="33" t="s">
        <v>29768</v>
      </c>
      <c r="L2444" s="33" t="s">
        <v>29769</v>
      </c>
      <c r="M2444" s="33" t="s">
        <v>21</v>
      </c>
      <c r="N2444" s="33" t="s">
        <v>29770</v>
      </c>
      <c r="O2444" s="33" t="s">
        <v>372</v>
      </c>
      <c r="P2444" s="33" t="s">
        <v>30089</v>
      </c>
      <c r="Q2444" s="42" t="s">
        <v>29771</v>
      </c>
      <c r="R2444" s="33" t="s">
        <v>94</v>
      </c>
      <c r="S2444" s="33" t="s">
        <v>29</v>
      </c>
      <c r="T2444" s="33" t="s">
        <v>26575</v>
      </c>
      <c r="U2444" s="33" t="s">
        <v>26570</v>
      </c>
      <c r="V2444" s="33" t="s">
        <v>26571</v>
      </c>
      <c r="W2444" s="33" t="s">
        <v>94</v>
      </c>
      <c r="X2444" s="33">
        <v>3069</v>
      </c>
      <c r="Z2444" s="33" t="s">
        <v>42967</v>
      </c>
      <c r="AA2444" s="33">
        <v>5223</v>
      </c>
    </row>
    <row r="2445" spans="1:27" ht="12" customHeight="1" x14ac:dyDescent="0.15">
      <c r="A2445" s="33" t="s">
        <v>29756</v>
      </c>
      <c r="B2445" s="33">
        <v>35</v>
      </c>
      <c r="C2445" s="33" t="s">
        <v>14</v>
      </c>
      <c r="D2445" s="33" t="s">
        <v>42</v>
      </c>
      <c r="F2445" s="67">
        <v>43031</v>
      </c>
      <c r="G2445" s="33" t="s">
        <v>29757</v>
      </c>
      <c r="H2445" s="33" t="s">
        <v>380</v>
      </c>
      <c r="I2445" s="33" t="s">
        <v>39</v>
      </c>
      <c r="J2445" s="33">
        <v>95240</v>
      </c>
      <c r="K2445" s="33" t="s">
        <v>1647</v>
      </c>
      <c r="L2445" s="33" t="s">
        <v>381</v>
      </c>
      <c r="M2445" s="33" t="s">
        <v>21</v>
      </c>
      <c r="N2445" s="33" t="s">
        <v>29758</v>
      </c>
      <c r="O2445" s="33" t="s">
        <v>372</v>
      </c>
      <c r="P2445" s="33" t="s">
        <v>30089</v>
      </c>
      <c r="Q2445" s="42" t="s">
        <v>29759</v>
      </c>
      <c r="R2445" s="33" t="s">
        <v>94</v>
      </c>
      <c r="S2445" s="33" t="s">
        <v>22</v>
      </c>
      <c r="T2445" s="33" t="s">
        <v>26781</v>
      </c>
      <c r="U2445" s="33" t="s">
        <v>26572</v>
      </c>
      <c r="V2445" s="33" t="s">
        <v>26573</v>
      </c>
      <c r="W2445" s="33" t="s">
        <v>94</v>
      </c>
      <c r="X2445" s="33">
        <v>3062</v>
      </c>
      <c r="Z2445" s="33" t="s">
        <v>42968</v>
      </c>
      <c r="AA2445" s="33">
        <v>5221</v>
      </c>
    </row>
    <row r="2446" spans="1:27" ht="12" customHeight="1" x14ac:dyDescent="0.15">
      <c r="A2446" s="33" t="s">
        <v>29760</v>
      </c>
      <c r="B2446" s="33">
        <v>31</v>
      </c>
      <c r="C2446" s="33" t="s">
        <v>103</v>
      </c>
      <c r="D2446" s="33" t="s">
        <v>31</v>
      </c>
      <c r="F2446" s="67">
        <v>43031</v>
      </c>
      <c r="G2446" s="33" t="s">
        <v>30841</v>
      </c>
      <c r="H2446" s="33" t="s">
        <v>270</v>
      </c>
      <c r="I2446" s="33" t="s">
        <v>294</v>
      </c>
      <c r="J2446" s="33">
        <v>40065</v>
      </c>
      <c r="K2446" s="33" t="s">
        <v>1117</v>
      </c>
      <c r="L2446" s="33" t="s">
        <v>22948</v>
      </c>
      <c r="M2446" s="33" t="s">
        <v>21</v>
      </c>
      <c r="N2446" s="33" t="s">
        <v>29761</v>
      </c>
      <c r="O2446" s="33" t="s">
        <v>372</v>
      </c>
      <c r="P2446" s="33" t="s">
        <v>30089</v>
      </c>
      <c r="Q2446" s="42" t="s">
        <v>29762</v>
      </c>
      <c r="R2446" s="33" t="s">
        <v>512</v>
      </c>
      <c r="S2446" s="33" t="s">
        <v>29</v>
      </c>
      <c r="T2446" s="33" t="s">
        <v>26576</v>
      </c>
      <c r="U2446" s="33" t="s">
        <v>26575</v>
      </c>
      <c r="V2446" s="33" t="s">
        <v>26573</v>
      </c>
      <c r="W2446" s="33" t="s">
        <v>94</v>
      </c>
      <c r="X2446" s="33">
        <v>3064</v>
      </c>
      <c r="Z2446" s="33" t="s">
        <v>42967</v>
      </c>
      <c r="AA2446" s="33">
        <v>5224</v>
      </c>
    </row>
    <row r="2447" spans="1:27" ht="12" customHeight="1" x14ac:dyDescent="0.15">
      <c r="A2447" s="33" t="s">
        <v>29737</v>
      </c>
      <c r="B2447" s="33">
        <v>27</v>
      </c>
      <c r="C2447" s="33" t="s">
        <v>14</v>
      </c>
      <c r="D2447" s="33" t="s">
        <v>42</v>
      </c>
      <c r="E2447" s="42" t="s">
        <v>29738</v>
      </c>
      <c r="F2447" s="67">
        <v>43030</v>
      </c>
      <c r="G2447" s="33" t="s">
        <v>29739</v>
      </c>
      <c r="H2447" s="33" t="s">
        <v>9302</v>
      </c>
      <c r="I2447" s="33" t="s">
        <v>39</v>
      </c>
      <c r="J2447" s="33">
        <v>95358</v>
      </c>
      <c r="K2447" s="33" t="s">
        <v>2954</v>
      </c>
      <c r="L2447" s="33" t="s">
        <v>2955</v>
      </c>
      <c r="M2447" s="33" t="s">
        <v>21</v>
      </c>
      <c r="N2447" s="33" t="s">
        <v>29740</v>
      </c>
      <c r="O2447" s="33" t="s">
        <v>372</v>
      </c>
      <c r="P2447" s="33" t="s">
        <v>30089</v>
      </c>
      <c r="Q2447" s="42" t="s">
        <v>29741</v>
      </c>
      <c r="R2447" s="33" t="s">
        <v>94</v>
      </c>
      <c r="S2447" s="33" t="s">
        <v>29</v>
      </c>
      <c r="T2447" s="33" t="s">
        <v>26575</v>
      </c>
      <c r="U2447" s="33" t="s">
        <v>26575</v>
      </c>
      <c r="V2447" s="33" t="s">
        <v>26571</v>
      </c>
      <c r="W2447" s="33" t="s">
        <v>94</v>
      </c>
      <c r="X2447" s="33">
        <v>3055</v>
      </c>
      <c r="Z2447" s="33" t="s">
        <v>42968</v>
      </c>
      <c r="AA2447" s="33">
        <v>5220</v>
      </c>
    </row>
    <row r="2448" spans="1:27" ht="12" customHeight="1" x14ac:dyDescent="0.15">
      <c r="A2448" s="33" t="s">
        <v>29746</v>
      </c>
      <c r="B2448" s="33">
        <v>43</v>
      </c>
      <c r="C2448" s="33" t="s">
        <v>14</v>
      </c>
      <c r="D2448" s="33" t="s">
        <v>128</v>
      </c>
      <c r="E2448" s="42" t="s">
        <v>29747</v>
      </c>
      <c r="F2448" s="67">
        <v>43030</v>
      </c>
      <c r="G2448" s="33" t="s">
        <v>29748</v>
      </c>
      <c r="H2448" s="33" t="s">
        <v>12493</v>
      </c>
      <c r="I2448" s="33" t="s">
        <v>250</v>
      </c>
      <c r="J2448" s="33">
        <v>89431</v>
      </c>
      <c r="K2448" s="33" t="s">
        <v>5732</v>
      </c>
      <c r="L2448" s="33" t="s">
        <v>12495</v>
      </c>
      <c r="M2448" s="33" t="s">
        <v>21</v>
      </c>
      <c r="N2448" s="33" t="s">
        <v>29749</v>
      </c>
      <c r="O2448" s="33" t="s">
        <v>372</v>
      </c>
      <c r="P2448" s="33" t="s">
        <v>30089</v>
      </c>
      <c r="Q2448" s="42" t="s">
        <v>29750</v>
      </c>
      <c r="R2448" s="33" t="s">
        <v>94</v>
      </c>
      <c r="S2448" s="33" t="s">
        <v>22</v>
      </c>
      <c r="T2448" s="33" t="s">
        <v>26781</v>
      </c>
      <c r="U2448" s="33" t="s">
        <v>26572</v>
      </c>
      <c r="V2448" s="33" t="s">
        <v>26573</v>
      </c>
      <c r="W2448" s="33" t="s">
        <v>94</v>
      </c>
      <c r="X2448" s="33">
        <v>3058</v>
      </c>
      <c r="Z2448" s="33" t="s">
        <v>42968</v>
      </c>
      <c r="AA2448" s="33">
        <v>5217</v>
      </c>
    </row>
    <row r="2449" spans="1:27" ht="12" customHeight="1" x14ac:dyDescent="0.15">
      <c r="A2449" s="33" t="s">
        <v>29742</v>
      </c>
      <c r="B2449" s="33">
        <v>25</v>
      </c>
      <c r="C2449" s="33" t="s">
        <v>103</v>
      </c>
      <c r="D2449" s="33" t="s">
        <v>31</v>
      </c>
      <c r="F2449" s="67">
        <v>43030</v>
      </c>
      <c r="G2449" s="33" t="s">
        <v>29743</v>
      </c>
      <c r="H2449" s="33" t="s">
        <v>10132</v>
      </c>
      <c r="I2449" s="33" t="s">
        <v>402</v>
      </c>
      <c r="J2449" s="33">
        <v>64503</v>
      </c>
      <c r="K2449" s="33" t="s">
        <v>10134</v>
      </c>
      <c r="L2449" s="33" t="s">
        <v>10135</v>
      </c>
      <c r="M2449" s="33" t="s">
        <v>21</v>
      </c>
      <c r="N2449" s="33" t="s">
        <v>29744</v>
      </c>
      <c r="O2449" s="33" t="s">
        <v>372</v>
      </c>
      <c r="P2449" s="33" t="s">
        <v>30089</v>
      </c>
      <c r="Q2449" s="42" t="s">
        <v>29745</v>
      </c>
      <c r="R2449" s="33" t="s">
        <v>94</v>
      </c>
      <c r="S2449" s="33" t="s">
        <v>22</v>
      </c>
      <c r="T2449" s="33" t="s">
        <v>26781</v>
      </c>
      <c r="U2449" s="33" t="s">
        <v>26572</v>
      </c>
      <c r="V2449" s="33" t="s">
        <v>26574</v>
      </c>
      <c r="W2449" s="33" t="s">
        <v>94</v>
      </c>
      <c r="X2449" s="33">
        <v>3059</v>
      </c>
      <c r="Z2449" s="33" t="s">
        <v>42968</v>
      </c>
      <c r="AA2449" s="33">
        <v>5218</v>
      </c>
    </row>
    <row r="2450" spans="1:27" ht="12" customHeight="1" x14ac:dyDescent="0.15">
      <c r="A2450" s="33" t="s">
        <v>29751</v>
      </c>
      <c r="B2450" s="33">
        <v>30</v>
      </c>
      <c r="C2450" s="33" t="s">
        <v>14</v>
      </c>
      <c r="D2450" s="33" t="s">
        <v>128</v>
      </c>
      <c r="F2450" s="67">
        <v>43030</v>
      </c>
      <c r="G2450" s="33" t="s">
        <v>30840</v>
      </c>
      <c r="H2450" s="33" t="s">
        <v>29752</v>
      </c>
      <c r="I2450" s="33" t="s">
        <v>409</v>
      </c>
      <c r="J2450" s="33">
        <v>54520</v>
      </c>
      <c r="K2450" s="33" t="s">
        <v>8854</v>
      </c>
      <c r="L2450" s="33" t="s">
        <v>29753</v>
      </c>
      <c r="M2450" s="33" t="s">
        <v>21</v>
      </c>
      <c r="N2450" s="33" t="s">
        <v>29754</v>
      </c>
      <c r="O2450" s="33" t="s">
        <v>372</v>
      </c>
      <c r="P2450" s="33" t="s">
        <v>30089</v>
      </c>
      <c r="Q2450" s="42" t="s">
        <v>29755</v>
      </c>
      <c r="R2450" s="33" t="s">
        <v>94</v>
      </c>
      <c r="S2450" s="33" t="s">
        <v>12</v>
      </c>
      <c r="T2450" s="33" t="s">
        <v>29705</v>
      </c>
      <c r="U2450" s="33" t="s">
        <v>26572</v>
      </c>
      <c r="V2450" s="33" t="s">
        <v>26573</v>
      </c>
      <c r="W2450" s="33" t="s">
        <v>94</v>
      </c>
      <c r="X2450" s="33">
        <v>3061</v>
      </c>
      <c r="Z2450" s="33" t="s">
        <v>42967</v>
      </c>
      <c r="AA2450" s="33">
        <v>5219</v>
      </c>
    </row>
    <row r="2451" spans="1:27" ht="12" customHeight="1" x14ac:dyDescent="0.15">
      <c r="A2451" s="33" t="s">
        <v>29731</v>
      </c>
      <c r="B2451" s="33">
        <v>37</v>
      </c>
      <c r="C2451" s="33" t="s">
        <v>14</v>
      </c>
      <c r="D2451" s="33" t="s">
        <v>31</v>
      </c>
      <c r="E2451" s="42" t="s">
        <v>29732</v>
      </c>
      <c r="F2451" s="67">
        <v>43029</v>
      </c>
      <c r="G2451" s="33" t="s">
        <v>29733</v>
      </c>
      <c r="H2451" s="33" t="s">
        <v>6388</v>
      </c>
      <c r="I2451" s="33" t="s">
        <v>63</v>
      </c>
      <c r="J2451" s="33">
        <v>44420</v>
      </c>
      <c r="K2451" s="33" t="s">
        <v>1185</v>
      </c>
      <c r="L2451" s="33" t="s">
        <v>29734</v>
      </c>
      <c r="M2451" s="33" t="s">
        <v>21</v>
      </c>
      <c r="N2451" s="33" t="s">
        <v>29735</v>
      </c>
      <c r="O2451" s="33" t="s">
        <v>372</v>
      </c>
      <c r="P2451" s="33" t="s">
        <v>30089</v>
      </c>
      <c r="Q2451" s="42" t="s">
        <v>29736</v>
      </c>
      <c r="R2451" s="33" t="s">
        <v>94</v>
      </c>
      <c r="S2451" s="33" t="s">
        <v>22</v>
      </c>
      <c r="T2451" s="33" t="s">
        <v>26781</v>
      </c>
      <c r="U2451" s="33" t="s">
        <v>26572</v>
      </c>
      <c r="V2451" s="33" t="s">
        <v>26573</v>
      </c>
      <c r="W2451" s="33" t="s">
        <v>94</v>
      </c>
      <c r="X2451" s="33">
        <v>3054</v>
      </c>
      <c r="Z2451" s="33" t="s">
        <v>42968</v>
      </c>
      <c r="AA2451" s="33">
        <v>5215</v>
      </c>
    </row>
    <row r="2452" spans="1:27" ht="12" customHeight="1" x14ac:dyDescent="0.15">
      <c r="A2452" s="33" t="s">
        <v>29726</v>
      </c>
      <c r="B2452" s="33">
        <v>44</v>
      </c>
      <c r="C2452" s="33" t="s">
        <v>14</v>
      </c>
      <c r="D2452" s="33" t="s">
        <v>42</v>
      </c>
      <c r="F2452" s="67">
        <v>43029</v>
      </c>
      <c r="G2452" s="33" t="s">
        <v>30839</v>
      </c>
      <c r="H2452" s="33" t="s">
        <v>29727</v>
      </c>
      <c r="I2452" s="33" t="s">
        <v>39</v>
      </c>
      <c r="J2452" s="33">
        <v>95425</v>
      </c>
      <c r="K2452" s="33" t="s">
        <v>2469</v>
      </c>
      <c r="L2452" s="33" t="s">
        <v>29728</v>
      </c>
      <c r="M2452" s="33" t="s">
        <v>21</v>
      </c>
      <c r="N2452" s="33" t="s">
        <v>29729</v>
      </c>
      <c r="O2452" s="33" t="s">
        <v>372</v>
      </c>
      <c r="P2452" s="33" t="s">
        <v>30089</v>
      </c>
      <c r="Q2452" s="42" t="s">
        <v>29730</v>
      </c>
      <c r="R2452" s="33" t="s">
        <v>94</v>
      </c>
      <c r="S2452" s="33" t="s">
        <v>29</v>
      </c>
      <c r="T2452" s="33" t="s">
        <v>26594</v>
      </c>
      <c r="U2452" s="33" t="s">
        <v>26570</v>
      </c>
      <c r="V2452" s="33" t="s">
        <v>26573</v>
      </c>
      <c r="W2452" s="33" t="s">
        <v>94</v>
      </c>
      <c r="X2452" s="33">
        <v>3053</v>
      </c>
      <c r="Z2452" s="33" t="s">
        <v>42967</v>
      </c>
      <c r="AA2452" s="33">
        <v>5216</v>
      </c>
    </row>
    <row r="2453" spans="1:27" ht="12" customHeight="1" x14ac:dyDescent="0.15">
      <c r="A2453" s="33" t="s">
        <v>29713</v>
      </c>
      <c r="B2453" s="33">
        <v>30</v>
      </c>
      <c r="C2453" s="33" t="s">
        <v>14</v>
      </c>
      <c r="D2453" s="33" t="s">
        <v>31</v>
      </c>
      <c r="E2453" s="42" t="s">
        <v>29714</v>
      </c>
      <c r="F2453" s="67">
        <v>43028</v>
      </c>
      <c r="G2453" s="33" t="s">
        <v>29715</v>
      </c>
      <c r="H2453" s="33" t="s">
        <v>29716</v>
      </c>
      <c r="I2453" s="33" t="s">
        <v>367</v>
      </c>
      <c r="J2453" s="33">
        <v>74948</v>
      </c>
      <c r="K2453" s="33" t="s">
        <v>27608</v>
      </c>
      <c r="L2453" s="33" t="s">
        <v>29717</v>
      </c>
      <c r="M2453" s="33" t="s">
        <v>21</v>
      </c>
      <c r="N2453" s="33" t="s">
        <v>29718</v>
      </c>
      <c r="O2453" s="33" t="s">
        <v>372</v>
      </c>
      <c r="P2453" s="33" t="s">
        <v>30089</v>
      </c>
      <c r="Q2453" s="42" t="s">
        <v>29719</v>
      </c>
      <c r="R2453" s="33" t="s">
        <v>94</v>
      </c>
      <c r="S2453" s="33" t="s">
        <v>22</v>
      </c>
      <c r="T2453" s="33" t="s">
        <v>26774</v>
      </c>
      <c r="U2453" s="33" t="s">
        <v>26572</v>
      </c>
      <c r="V2453" s="33" t="s">
        <v>26573</v>
      </c>
      <c r="W2453" s="33" t="s">
        <v>94</v>
      </c>
      <c r="X2453" s="33">
        <v>3052</v>
      </c>
      <c r="Z2453" s="33" t="s">
        <v>42967</v>
      </c>
      <c r="AA2453" s="33">
        <v>5212</v>
      </c>
    </row>
    <row r="2454" spans="1:27" ht="12" customHeight="1" x14ac:dyDescent="0.15">
      <c r="A2454" s="33" t="s">
        <v>29723</v>
      </c>
      <c r="B2454" s="33">
        <v>54</v>
      </c>
      <c r="C2454" s="33" t="s">
        <v>14</v>
      </c>
      <c r="D2454" s="33" t="s">
        <v>42</v>
      </c>
      <c r="F2454" s="67">
        <v>43028</v>
      </c>
      <c r="G2454" s="33" t="s">
        <v>30838</v>
      </c>
      <c r="H2454" s="33" t="s">
        <v>674</v>
      </c>
      <c r="I2454" s="33" t="s">
        <v>67</v>
      </c>
      <c r="J2454" s="33">
        <v>77091</v>
      </c>
      <c r="K2454" s="33" t="s">
        <v>515</v>
      </c>
      <c r="L2454" s="33" t="s">
        <v>675</v>
      </c>
      <c r="M2454" s="33" t="s">
        <v>21</v>
      </c>
      <c r="N2454" s="33" t="s">
        <v>29724</v>
      </c>
      <c r="O2454" s="33" t="s">
        <v>372</v>
      </c>
      <c r="P2454" s="33" t="s">
        <v>30089</v>
      </c>
      <c r="Q2454" s="42" t="s">
        <v>29725</v>
      </c>
      <c r="R2454" s="33" t="s">
        <v>94</v>
      </c>
      <c r="S2454" s="33" t="s">
        <v>22</v>
      </c>
      <c r="T2454" s="33" t="s">
        <v>26774</v>
      </c>
      <c r="U2454" s="33" t="s">
        <v>26570</v>
      </c>
      <c r="V2454" s="33" t="s">
        <v>26573</v>
      </c>
      <c r="W2454" s="33" t="s">
        <v>94</v>
      </c>
      <c r="X2454" s="33">
        <v>3051</v>
      </c>
      <c r="Z2454" s="33" t="s">
        <v>42968</v>
      </c>
      <c r="AA2454" s="33">
        <v>5211</v>
      </c>
    </row>
    <row r="2455" spans="1:27" ht="12" customHeight="1" x14ac:dyDescent="0.15">
      <c r="A2455" s="33" t="s">
        <v>29698</v>
      </c>
      <c r="B2455" s="33">
        <v>42</v>
      </c>
      <c r="C2455" s="33" t="s">
        <v>14</v>
      </c>
      <c r="D2455" s="33" t="s">
        <v>79</v>
      </c>
      <c r="E2455" s="42" t="s">
        <v>29699</v>
      </c>
      <c r="F2455" s="67">
        <v>43028</v>
      </c>
      <c r="G2455" s="33" t="s">
        <v>29700</v>
      </c>
      <c r="H2455" s="33" t="s">
        <v>29701</v>
      </c>
      <c r="I2455" s="33" t="s">
        <v>19</v>
      </c>
      <c r="J2455" s="33">
        <v>71350</v>
      </c>
      <c r="K2455" s="33" t="s">
        <v>20814</v>
      </c>
      <c r="L2455" s="33" t="s">
        <v>29702</v>
      </c>
      <c r="M2455" s="33" t="s">
        <v>363</v>
      </c>
      <c r="N2455" s="33" t="s">
        <v>29703</v>
      </c>
      <c r="O2455" s="33" t="s">
        <v>372</v>
      </c>
      <c r="P2455" s="33" t="s">
        <v>30089</v>
      </c>
      <c r="Q2455" s="42" t="s">
        <v>29704</v>
      </c>
      <c r="R2455" s="33" t="s">
        <v>94</v>
      </c>
      <c r="S2455" s="33" t="s">
        <v>12</v>
      </c>
      <c r="T2455" s="33" t="s">
        <v>29705</v>
      </c>
      <c r="U2455" s="33" t="s">
        <v>26570</v>
      </c>
      <c r="V2455" s="33" t="s">
        <v>26573</v>
      </c>
      <c r="Z2455" s="33" t="s">
        <v>42967</v>
      </c>
      <c r="AA2455" s="33">
        <v>5214</v>
      </c>
    </row>
    <row r="2456" spans="1:27" ht="12" customHeight="1" x14ac:dyDescent="0.15">
      <c r="A2456" s="33" t="s">
        <v>29720</v>
      </c>
      <c r="B2456" s="33">
        <v>55</v>
      </c>
      <c r="C2456" s="33" t="s">
        <v>14</v>
      </c>
      <c r="D2456" s="33" t="s">
        <v>79</v>
      </c>
      <c r="E2456" s="42" t="s">
        <v>29721</v>
      </c>
      <c r="F2456" s="67">
        <v>43028</v>
      </c>
      <c r="G2456" s="33" t="s">
        <v>30836</v>
      </c>
      <c r="H2456" s="33" t="s">
        <v>11314</v>
      </c>
      <c r="I2456" s="33" t="s">
        <v>67</v>
      </c>
      <c r="J2456" s="33">
        <v>78407</v>
      </c>
      <c r="K2456" s="33" t="s">
        <v>11316</v>
      </c>
      <c r="L2456" s="33" t="s">
        <v>11317</v>
      </c>
      <c r="M2456" s="33" t="s">
        <v>21</v>
      </c>
      <c r="N2456" s="33" t="s">
        <v>30837</v>
      </c>
      <c r="O2456" s="33" t="s">
        <v>372</v>
      </c>
      <c r="P2456" s="33" t="s">
        <v>30089</v>
      </c>
      <c r="Q2456" s="42" t="s">
        <v>29722</v>
      </c>
      <c r="R2456" s="33" t="s">
        <v>94</v>
      </c>
      <c r="S2456" s="33" t="s">
        <v>12</v>
      </c>
      <c r="T2456" s="33" t="s">
        <v>29705</v>
      </c>
      <c r="U2456" s="33" t="s">
        <v>26572</v>
      </c>
      <c r="V2456" s="33" t="s">
        <v>26574</v>
      </c>
      <c r="W2456" s="33" t="s">
        <v>512</v>
      </c>
      <c r="X2456" s="33">
        <v>3050</v>
      </c>
      <c r="Z2456" s="33" t="s">
        <v>42966</v>
      </c>
      <c r="AA2456" s="33">
        <v>5213</v>
      </c>
    </row>
    <row r="2457" spans="1:27" ht="12" customHeight="1" x14ac:dyDescent="0.15">
      <c r="A2457" s="33" t="s">
        <v>29706</v>
      </c>
      <c r="B2457" s="33">
        <v>23</v>
      </c>
      <c r="C2457" s="33" t="s">
        <v>14</v>
      </c>
      <c r="D2457" s="33" t="s">
        <v>79</v>
      </c>
      <c r="E2457" s="42" t="s">
        <v>29707</v>
      </c>
      <c r="F2457" s="67">
        <v>43028</v>
      </c>
      <c r="G2457" s="33" t="s">
        <v>29708</v>
      </c>
      <c r="H2457" s="33" t="s">
        <v>29709</v>
      </c>
      <c r="I2457" s="33" t="s">
        <v>63</v>
      </c>
      <c r="J2457" s="33">
        <v>45439</v>
      </c>
      <c r="K2457" s="33" t="s">
        <v>995</v>
      </c>
      <c r="L2457" s="33" t="s">
        <v>29710</v>
      </c>
      <c r="M2457" s="33" t="s">
        <v>21</v>
      </c>
      <c r="N2457" s="33" t="s">
        <v>29711</v>
      </c>
      <c r="O2457" s="33" t="s">
        <v>372</v>
      </c>
      <c r="P2457" s="33" t="s">
        <v>30089</v>
      </c>
      <c r="Q2457" s="42" t="s">
        <v>29712</v>
      </c>
      <c r="R2457" s="33" t="s">
        <v>94</v>
      </c>
      <c r="S2457" s="33" t="s">
        <v>22</v>
      </c>
      <c r="T2457" s="33" t="s">
        <v>26781</v>
      </c>
      <c r="U2457" s="33" t="s">
        <v>26572</v>
      </c>
      <c r="V2457" s="33" t="s">
        <v>26573</v>
      </c>
      <c r="W2457" s="33" t="s">
        <v>94</v>
      </c>
      <c r="X2457" s="33">
        <v>3048</v>
      </c>
      <c r="Z2457" s="33" t="s">
        <v>42968</v>
      </c>
      <c r="AA2457" s="33">
        <v>5209</v>
      </c>
    </row>
    <row r="2458" spans="1:27" ht="12" customHeight="1" x14ac:dyDescent="0.15">
      <c r="A2458" s="33" t="s">
        <v>29686</v>
      </c>
      <c r="B2458" s="33">
        <v>34</v>
      </c>
      <c r="C2458" s="33" t="s">
        <v>14</v>
      </c>
      <c r="D2458" s="33" t="s">
        <v>31</v>
      </c>
      <c r="E2458" s="42" t="s">
        <v>29687</v>
      </c>
      <c r="F2458" s="67">
        <v>43027</v>
      </c>
      <c r="G2458" s="33" t="s">
        <v>29688</v>
      </c>
      <c r="H2458" s="33" t="s">
        <v>8929</v>
      </c>
      <c r="I2458" s="33" t="s">
        <v>56</v>
      </c>
      <c r="J2458" s="33">
        <v>33764</v>
      </c>
      <c r="K2458" s="33" t="s">
        <v>2152</v>
      </c>
      <c r="L2458" s="33" t="s">
        <v>12189</v>
      </c>
      <c r="M2458" s="33" t="s">
        <v>21</v>
      </c>
      <c r="N2458" s="33" t="s">
        <v>29689</v>
      </c>
      <c r="O2458" s="33" t="s">
        <v>372</v>
      </c>
      <c r="P2458" s="33" t="s">
        <v>30089</v>
      </c>
      <c r="Q2458" s="42" t="s">
        <v>29690</v>
      </c>
      <c r="R2458" s="33" t="s">
        <v>512</v>
      </c>
      <c r="S2458" s="33" t="s">
        <v>22</v>
      </c>
      <c r="T2458" s="33" t="s">
        <v>26781</v>
      </c>
      <c r="U2458" s="33" t="s">
        <v>26570</v>
      </c>
      <c r="V2458" s="33" t="s">
        <v>26573</v>
      </c>
      <c r="W2458" s="33" t="s">
        <v>94</v>
      </c>
      <c r="X2458" s="33">
        <v>3045</v>
      </c>
      <c r="Z2458" s="33" t="s">
        <v>42968</v>
      </c>
      <c r="AA2458" s="33">
        <v>5206</v>
      </c>
    </row>
    <row r="2459" spans="1:27" ht="12" customHeight="1" x14ac:dyDescent="0.15">
      <c r="A2459" s="33" t="s">
        <v>29682</v>
      </c>
      <c r="B2459" s="33">
        <v>38</v>
      </c>
      <c r="C2459" s="33" t="s">
        <v>14</v>
      </c>
      <c r="D2459" s="33" t="s">
        <v>31</v>
      </c>
      <c r="E2459" s="42" t="s">
        <v>29683</v>
      </c>
      <c r="F2459" s="67">
        <v>43027</v>
      </c>
      <c r="G2459" s="33" t="s">
        <v>30834</v>
      </c>
      <c r="H2459" s="33" t="s">
        <v>3809</v>
      </c>
      <c r="I2459" s="33" t="s">
        <v>88</v>
      </c>
      <c r="J2459" s="33">
        <v>35215</v>
      </c>
      <c r="K2459" s="33" t="s">
        <v>1659</v>
      </c>
      <c r="L2459" s="33" t="s">
        <v>3834</v>
      </c>
      <c r="M2459" s="33" t="s">
        <v>4966</v>
      </c>
      <c r="N2459" s="33" t="s">
        <v>29684</v>
      </c>
      <c r="O2459" s="33" t="s">
        <v>372</v>
      </c>
      <c r="P2459" s="33" t="s">
        <v>30089</v>
      </c>
      <c r="Q2459" s="42" t="s">
        <v>29685</v>
      </c>
      <c r="R2459" s="33" t="s">
        <v>94</v>
      </c>
      <c r="S2459" s="33" t="s">
        <v>22</v>
      </c>
      <c r="T2459" s="33" t="s">
        <v>26781</v>
      </c>
      <c r="U2459" s="33" t="s">
        <v>26570</v>
      </c>
      <c r="V2459" s="33" t="s">
        <v>26573</v>
      </c>
      <c r="W2459" s="33" t="s">
        <v>94</v>
      </c>
      <c r="X2459" s="33">
        <v>3049</v>
      </c>
      <c r="Z2459" s="33" t="s">
        <v>42968</v>
      </c>
      <c r="AA2459" s="33">
        <v>5208</v>
      </c>
    </row>
    <row r="2460" spans="1:27" ht="12" customHeight="1" x14ac:dyDescent="0.15">
      <c r="A2460" s="33" t="s">
        <v>29691</v>
      </c>
      <c r="B2460" s="33">
        <v>26</v>
      </c>
      <c r="C2460" s="33" t="s">
        <v>14</v>
      </c>
      <c r="D2460" s="33" t="s">
        <v>31</v>
      </c>
      <c r="E2460" s="42" t="s">
        <v>29692</v>
      </c>
      <c r="F2460" s="67">
        <v>43027</v>
      </c>
      <c r="G2460" s="33" t="s">
        <v>30835</v>
      </c>
      <c r="H2460" s="33" t="s">
        <v>29693</v>
      </c>
      <c r="I2460" s="33" t="s">
        <v>338</v>
      </c>
      <c r="J2460" s="33">
        <v>28086</v>
      </c>
      <c r="K2460" s="33" t="s">
        <v>924</v>
      </c>
      <c r="L2460" s="33" t="s">
        <v>29694</v>
      </c>
      <c r="M2460" s="33" t="s">
        <v>21</v>
      </c>
      <c r="N2460" s="33" t="s">
        <v>29695</v>
      </c>
      <c r="O2460" s="33" t="s">
        <v>372</v>
      </c>
      <c r="P2460" s="33" t="s">
        <v>30089</v>
      </c>
      <c r="Q2460" s="42" t="s">
        <v>29696</v>
      </c>
      <c r="R2460" s="33" t="s">
        <v>94</v>
      </c>
      <c r="S2460" s="33" t="s">
        <v>22</v>
      </c>
      <c r="T2460" s="33" t="s">
        <v>26781</v>
      </c>
      <c r="U2460" s="33" t="s">
        <v>26572</v>
      </c>
      <c r="V2460" s="33" t="s">
        <v>19228</v>
      </c>
      <c r="W2460" s="33" t="s">
        <v>94</v>
      </c>
      <c r="X2460" s="33">
        <v>3047</v>
      </c>
      <c r="Z2460" s="33" t="s">
        <v>42968</v>
      </c>
      <c r="AA2460" s="33">
        <v>5207</v>
      </c>
    </row>
    <row r="2461" spans="1:27" ht="12" customHeight="1" x14ac:dyDescent="0.15">
      <c r="A2461" s="33" t="s">
        <v>29678</v>
      </c>
      <c r="B2461" s="33">
        <v>35</v>
      </c>
      <c r="C2461" s="33" t="s">
        <v>14</v>
      </c>
      <c r="D2461" s="33" t="s">
        <v>31</v>
      </c>
      <c r="F2461" s="67">
        <v>43026</v>
      </c>
      <c r="G2461" s="33" t="s">
        <v>29679</v>
      </c>
      <c r="H2461" s="33" t="s">
        <v>518</v>
      </c>
      <c r="I2461" s="33" t="s">
        <v>112</v>
      </c>
      <c r="J2461" s="33">
        <v>85715</v>
      </c>
      <c r="K2461" s="33" t="s">
        <v>519</v>
      </c>
      <c r="L2461" s="33" t="s">
        <v>520</v>
      </c>
      <c r="M2461" s="33" t="s">
        <v>21</v>
      </c>
      <c r="N2461" s="33" t="s">
        <v>29680</v>
      </c>
      <c r="O2461" s="33" t="s">
        <v>372</v>
      </c>
      <c r="P2461" s="33" t="s">
        <v>30089</v>
      </c>
      <c r="Q2461" s="42" t="s">
        <v>29681</v>
      </c>
      <c r="R2461" s="33" t="s">
        <v>94</v>
      </c>
      <c r="S2461" s="33" t="s">
        <v>22</v>
      </c>
      <c r="T2461" s="33" t="s">
        <v>26781</v>
      </c>
      <c r="U2461" s="33" t="s">
        <v>26572</v>
      </c>
      <c r="V2461" s="33" t="s">
        <v>26574</v>
      </c>
      <c r="W2461" s="33" t="s">
        <v>94</v>
      </c>
      <c r="X2461" s="33">
        <v>3044</v>
      </c>
      <c r="Z2461" s="33" t="s">
        <v>42966</v>
      </c>
      <c r="AA2461" s="33">
        <v>5205</v>
      </c>
    </row>
    <row r="2462" spans="1:27" ht="12" customHeight="1" x14ac:dyDescent="0.15">
      <c r="A2462" s="33" t="s">
        <v>29672</v>
      </c>
      <c r="B2462" s="33">
        <v>24</v>
      </c>
      <c r="C2462" s="33" t="s">
        <v>14</v>
      </c>
      <c r="D2462" s="33" t="s">
        <v>79</v>
      </c>
      <c r="E2462" s="42" t="s">
        <v>29673</v>
      </c>
      <c r="F2462" s="67">
        <v>43025</v>
      </c>
      <c r="G2462" s="33" t="s">
        <v>29674</v>
      </c>
      <c r="H2462" s="33" t="s">
        <v>7622</v>
      </c>
      <c r="I2462" s="33" t="s">
        <v>225</v>
      </c>
      <c r="J2462" s="33">
        <v>23661</v>
      </c>
      <c r="K2462" s="33" t="s">
        <v>14366</v>
      </c>
      <c r="L2462" s="33" t="s">
        <v>29675</v>
      </c>
      <c r="M2462" s="33" t="s">
        <v>21</v>
      </c>
      <c r="N2462" s="33" t="s">
        <v>29676</v>
      </c>
      <c r="O2462" s="33" t="s">
        <v>372</v>
      </c>
      <c r="P2462" s="33" t="s">
        <v>30089</v>
      </c>
      <c r="Q2462" s="42" t="s">
        <v>29677</v>
      </c>
      <c r="R2462" s="33" t="s">
        <v>94</v>
      </c>
      <c r="S2462" s="33" t="s">
        <v>351</v>
      </c>
      <c r="T2462" s="33" t="s">
        <v>26867</v>
      </c>
      <c r="U2462" s="33" t="s">
        <v>26570</v>
      </c>
      <c r="V2462" s="33" t="s">
        <v>26573</v>
      </c>
      <c r="W2462" s="33" t="s">
        <v>94</v>
      </c>
      <c r="X2462" s="33">
        <v>3043</v>
      </c>
      <c r="Z2462" s="33" t="s">
        <v>42968</v>
      </c>
      <c r="AA2462" s="33">
        <v>5204</v>
      </c>
    </row>
    <row r="2463" spans="1:27" ht="12" customHeight="1" x14ac:dyDescent="0.15">
      <c r="A2463" s="33" t="s">
        <v>29668</v>
      </c>
      <c r="B2463" s="33">
        <v>18</v>
      </c>
      <c r="C2463" s="33" t="s">
        <v>14</v>
      </c>
      <c r="D2463" s="33" t="s">
        <v>42</v>
      </c>
      <c r="E2463" s="42" t="s">
        <v>29669</v>
      </c>
      <c r="F2463" s="67">
        <v>43025</v>
      </c>
      <c r="G2463" s="33" t="s">
        <v>30833</v>
      </c>
      <c r="H2463" s="33" t="s">
        <v>1331</v>
      </c>
      <c r="I2463" s="33" t="s">
        <v>39</v>
      </c>
      <c r="J2463" s="33">
        <v>95301</v>
      </c>
      <c r="K2463" s="33" t="s">
        <v>1332</v>
      </c>
      <c r="L2463" s="33" t="s">
        <v>1333</v>
      </c>
      <c r="M2463" s="33" t="s">
        <v>21</v>
      </c>
      <c r="N2463" s="33" t="s">
        <v>29670</v>
      </c>
      <c r="O2463" s="33" t="s">
        <v>372</v>
      </c>
      <c r="P2463" s="33" t="s">
        <v>30089</v>
      </c>
      <c r="Q2463" s="42" t="s">
        <v>29671</v>
      </c>
      <c r="R2463" s="33" t="s">
        <v>23</v>
      </c>
      <c r="S2463" s="33" t="s">
        <v>22</v>
      </c>
      <c r="T2463" s="33" t="s">
        <v>26781</v>
      </c>
      <c r="U2463" s="33" t="s">
        <v>26572</v>
      </c>
      <c r="V2463" s="33" t="s">
        <v>26573</v>
      </c>
      <c r="W2463" s="33" t="s">
        <v>94</v>
      </c>
      <c r="X2463" s="33">
        <v>3042</v>
      </c>
      <c r="Z2463" s="33" t="s">
        <v>42968</v>
      </c>
      <c r="AA2463" s="33">
        <v>5203</v>
      </c>
    </row>
    <row r="2464" spans="1:27" ht="12" customHeight="1" x14ac:dyDescent="0.15">
      <c r="A2464" s="33" t="s">
        <v>30832</v>
      </c>
      <c r="B2464" s="33">
        <v>31</v>
      </c>
      <c r="C2464" s="33" t="s">
        <v>14</v>
      </c>
      <c r="D2464" s="33" t="s">
        <v>31</v>
      </c>
      <c r="F2464" s="67">
        <v>43024</v>
      </c>
      <c r="G2464" s="33" t="s">
        <v>29618</v>
      </c>
      <c r="H2464" s="33" t="s">
        <v>29619</v>
      </c>
      <c r="I2464" s="33" t="s">
        <v>67</v>
      </c>
      <c r="J2464" s="33">
        <v>77339</v>
      </c>
      <c r="K2464" s="33" t="s">
        <v>515</v>
      </c>
      <c r="L2464" s="33" t="s">
        <v>29620</v>
      </c>
      <c r="M2464" s="33" t="s">
        <v>4966</v>
      </c>
      <c r="N2464" s="33" t="s">
        <v>29621</v>
      </c>
      <c r="O2464" s="33" t="s">
        <v>372</v>
      </c>
      <c r="P2464" s="33" t="s">
        <v>30089</v>
      </c>
      <c r="Q2464" s="33" t="s">
        <v>29622</v>
      </c>
      <c r="R2464" s="33" t="s">
        <v>94</v>
      </c>
      <c r="S2464" s="33" t="s">
        <v>22</v>
      </c>
      <c r="T2464" s="33" t="s">
        <v>26781</v>
      </c>
      <c r="U2464" s="33" t="s">
        <v>26572</v>
      </c>
      <c r="V2464" s="33" t="s">
        <v>26571</v>
      </c>
      <c r="W2464" s="33" t="s">
        <v>94</v>
      </c>
      <c r="X2464" s="33">
        <v>3040</v>
      </c>
      <c r="Z2464" s="33" t="s">
        <v>42968</v>
      </c>
      <c r="AA2464" s="33">
        <v>5202</v>
      </c>
    </row>
    <row r="2465" spans="1:46" ht="12" customHeight="1" x14ac:dyDescent="0.15">
      <c r="A2465" s="33" t="s">
        <v>29613</v>
      </c>
      <c r="B2465" s="33">
        <v>34</v>
      </c>
      <c r="C2465" s="33" t="s">
        <v>14</v>
      </c>
      <c r="D2465" s="33" t="s">
        <v>42</v>
      </c>
      <c r="E2465" s="33" t="s">
        <v>29614</v>
      </c>
      <c r="F2465" s="67">
        <v>43024</v>
      </c>
      <c r="G2465" s="33" t="s">
        <v>29615</v>
      </c>
      <c r="H2465" s="33" t="s">
        <v>518</v>
      </c>
      <c r="I2465" s="33" t="s">
        <v>112</v>
      </c>
      <c r="J2465" s="33">
        <v>85743</v>
      </c>
      <c r="K2465" s="33" t="s">
        <v>519</v>
      </c>
      <c r="L2465" s="33" t="s">
        <v>23063</v>
      </c>
      <c r="M2465" s="33" t="s">
        <v>21</v>
      </c>
      <c r="N2465" s="33" t="s">
        <v>29616</v>
      </c>
      <c r="O2465" s="33" t="s">
        <v>372</v>
      </c>
      <c r="P2465" s="33" t="s">
        <v>30089</v>
      </c>
      <c r="Q2465" s="33" t="s">
        <v>29617</v>
      </c>
      <c r="R2465" s="33" t="s">
        <v>94</v>
      </c>
      <c r="S2465" s="33" t="s">
        <v>22</v>
      </c>
      <c r="T2465" s="33" t="s">
        <v>26781</v>
      </c>
      <c r="U2465" s="33" t="s">
        <v>26570</v>
      </c>
      <c r="V2465" s="33" t="s">
        <v>26573</v>
      </c>
      <c r="W2465" s="33" t="s">
        <v>94</v>
      </c>
      <c r="X2465" s="33">
        <v>3041</v>
      </c>
      <c r="Z2465" s="33" t="s">
        <v>42968</v>
      </c>
      <c r="AA2465" s="33">
        <v>5201</v>
      </c>
    </row>
    <row r="2466" spans="1:46" ht="12" customHeight="1" x14ac:dyDescent="0.15">
      <c r="A2466" s="33" t="s">
        <v>29605</v>
      </c>
      <c r="B2466" s="33">
        <v>20</v>
      </c>
      <c r="C2466" s="33" t="s">
        <v>14</v>
      </c>
      <c r="D2466" s="33" t="s">
        <v>79</v>
      </c>
      <c r="F2466" s="67">
        <v>43024</v>
      </c>
      <c r="G2466" s="33" t="s">
        <v>29606</v>
      </c>
      <c r="H2466" s="33" t="s">
        <v>1487</v>
      </c>
      <c r="I2466" s="33" t="s">
        <v>46</v>
      </c>
      <c r="J2466" s="33">
        <v>21214</v>
      </c>
      <c r="K2466" s="33" t="s">
        <v>4324</v>
      </c>
      <c r="L2466" s="33" t="s">
        <v>2556</v>
      </c>
      <c r="M2466" s="33" t="s">
        <v>21</v>
      </c>
      <c r="N2466" s="33" t="s">
        <v>29607</v>
      </c>
      <c r="O2466" s="33" t="s">
        <v>372</v>
      </c>
      <c r="P2466" s="33" t="s">
        <v>30089</v>
      </c>
      <c r="Q2466" s="33" t="s">
        <v>29608</v>
      </c>
      <c r="R2466" s="33" t="s">
        <v>94</v>
      </c>
      <c r="S2466" s="33" t="s">
        <v>22</v>
      </c>
      <c r="T2466" s="33" t="s">
        <v>26781</v>
      </c>
      <c r="U2466" s="33" t="s">
        <v>26570</v>
      </c>
      <c r="V2466" s="33" t="s">
        <v>26574</v>
      </c>
      <c r="W2466" s="33" t="s">
        <v>512</v>
      </c>
      <c r="X2466" s="33">
        <v>3034</v>
      </c>
      <c r="Z2466" s="33" t="s">
        <v>42966</v>
      </c>
      <c r="AA2466" s="33">
        <v>5199</v>
      </c>
    </row>
    <row r="2467" spans="1:46" ht="12" customHeight="1" x14ac:dyDescent="0.15">
      <c r="A2467" s="33" t="s">
        <v>29609</v>
      </c>
      <c r="B2467" s="33">
        <v>32</v>
      </c>
      <c r="C2467" s="33" t="s">
        <v>14</v>
      </c>
      <c r="D2467" s="33" t="s">
        <v>31</v>
      </c>
      <c r="F2467" s="67">
        <v>43024</v>
      </c>
      <c r="G2467" s="33" t="s">
        <v>29610</v>
      </c>
      <c r="H2467" s="33" t="s">
        <v>24892</v>
      </c>
      <c r="I2467" s="33" t="s">
        <v>26</v>
      </c>
      <c r="J2467" s="33">
        <v>29681</v>
      </c>
      <c r="K2467" s="33" t="s">
        <v>27</v>
      </c>
      <c r="L2467" s="33" t="s">
        <v>28</v>
      </c>
      <c r="M2467" s="33" t="s">
        <v>21</v>
      </c>
      <c r="N2467" s="33" t="s">
        <v>29611</v>
      </c>
      <c r="O2467" s="33" t="s">
        <v>372</v>
      </c>
      <c r="P2467" s="33" t="s">
        <v>30089</v>
      </c>
      <c r="Q2467" s="33" t="s">
        <v>29612</v>
      </c>
      <c r="R2467" s="33" t="s">
        <v>94</v>
      </c>
      <c r="S2467" s="33" t="s">
        <v>22</v>
      </c>
      <c r="T2467" s="33" t="s">
        <v>26781</v>
      </c>
      <c r="U2467" s="33" t="s">
        <v>26572</v>
      </c>
      <c r="V2467" s="33" t="s">
        <v>26573</v>
      </c>
      <c r="X2467" s="33">
        <v>3039</v>
      </c>
      <c r="Z2467" s="33" t="s">
        <v>42968</v>
      </c>
      <c r="AA2467" s="33">
        <v>5200</v>
      </c>
      <c r="AT2467" s="42"/>
    </row>
    <row r="2468" spans="1:46" ht="12" customHeight="1" x14ac:dyDescent="0.15">
      <c r="A2468" s="33" t="s">
        <v>30363</v>
      </c>
      <c r="B2468" s="33">
        <v>44</v>
      </c>
      <c r="C2468" s="33" t="s">
        <v>14</v>
      </c>
      <c r="D2468" s="33" t="s">
        <v>42</v>
      </c>
      <c r="F2468" s="67">
        <v>43022</v>
      </c>
      <c r="G2468" s="33" t="s">
        <v>29596</v>
      </c>
      <c r="H2468" s="33" t="s">
        <v>11060</v>
      </c>
      <c r="I2468" s="33" t="s">
        <v>39</v>
      </c>
      <c r="J2468" s="33">
        <v>90505</v>
      </c>
      <c r="K2468" s="33" t="s">
        <v>92</v>
      </c>
      <c r="L2468" s="33" t="s">
        <v>11300</v>
      </c>
      <c r="M2468" s="33" t="s">
        <v>21</v>
      </c>
      <c r="N2468" s="33" t="s">
        <v>29597</v>
      </c>
      <c r="O2468" s="33" t="s">
        <v>372</v>
      </c>
      <c r="P2468" s="33" t="s">
        <v>30089</v>
      </c>
      <c r="Q2468" s="33" t="s">
        <v>29598</v>
      </c>
      <c r="R2468" s="33" t="s">
        <v>904</v>
      </c>
      <c r="S2468" s="33" t="s">
        <v>29</v>
      </c>
      <c r="T2468" s="33" t="s">
        <v>26575</v>
      </c>
      <c r="U2468" s="33" t="s">
        <v>26570</v>
      </c>
      <c r="V2468" s="33" t="s">
        <v>26571</v>
      </c>
      <c r="W2468" s="33" t="s">
        <v>94</v>
      </c>
      <c r="X2468" s="33">
        <v>3035</v>
      </c>
      <c r="Z2468" s="33" t="s">
        <v>42966</v>
      </c>
      <c r="AA2468" s="33">
        <v>5198</v>
      </c>
    </row>
    <row r="2469" spans="1:46" ht="12" customHeight="1" x14ac:dyDescent="0.15">
      <c r="A2469" s="33" t="s">
        <v>3002</v>
      </c>
      <c r="B2469" s="33" t="s">
        <v>23</v>
      </c>
      <c r="C2469" s="33" t="s">
        <v>14</v>
      </c>
      <c r="D2469" s="33" t="s">
        <v>31</v>
      </c>
      <c r="F2469" s="67">
        <v>43022</v>
      </c>
      <c r="G2469" s="33" t="s">
        <v>29593</v>
      </c>
      <c r="H2469" s="33" t="s">
        <v>13165</v>
      </c>
      <c r="I2469" s="33" t="s">
        <v>39</v>
      </c>
      <c r="J2469" s="33">
        <v>92078</v>
      </c>
      <c r="K2469" s="33" t="s">
        <v>143</v>
      </c>
      <c r="L2469" s="33" t="s">
        <v>1970</v>
      </c>
      <c r="M2469" s="33" t="s">
        <v>363</v>
      </c>
      <c r="N2469" s="33" t="s">
        <v>29594</v>
      </c>
      <c r="O2469" s="33" t="s">
        <v>372</v>
      </c>
      <c r="P2469" s="33" t="s">
        <v>30089</v>
      </c>
      <c r="Q2469" s="33" t="s">
        <v>29595</v>
      </c>
      <c r="R2469" s="33" t="s">
        <v>512</v>
      </c>
      <c r="S2469" s="33" t="s">
        <v>12</v>
      </c>
      <c r="T2469" s="33" t="s">
        <v>29705</v>
      </c>
      <c r="U2469" s="33" t="s">
        <v>26570</v>
      </c>
      <c r="V2469" s="33" t="s">
        <v>26573</v>
      </c>
      <c r="Z2469" s="33" t="s">
        <v>42968</v>
      </c>
      <c r="AA2469" s="33">
        <v>5197</v>
      </c>
    </row>
    <row r="2470" spans="1:46" ht="12" customHeight="1" x14ac:dyDescent="0.15">
      <c r="A2470" s="33" t="s">
        <v>29599</v>
      </c>
      <c r="B2470" s="33">
        <v>57</v>
      </c>
      <c r="C2470" s="33" t="s">
        <v>14</v>
      </c>
      <c r="D2470" s="33" t="s">
        <v>31</v>
      </c>
      <c r="E2470" s="33" t="s">
        <v>29600</v>
      </c>
      <c r="F2470" s="67">
        <v>43022</v>
      </c>
      <c r="G2470" s="33" t="s">
        <v>29601</v>
      </c>
      <c r="H2470" s="33" t="s">
        <v>23103</v>
      </c>
      <c r="I2470" s="33" t="s">
        <v>294</v>
      </c>
      <c r="J2470" s="33">
        <v>42633</v>
      </c>
      <c r="K2470" s="33" t="s">
        <v>1057</v>
      </c>
      <c r="L2470" s="33" t="s">
        <v>29602</v>
      </c>
      <c r="M2470" s="33" t="s">
        <v>21</v>
      </c>
      <c r="N2470" s="33" t="s">
        <v>29603</v>
      </c>
      <c r="O2470" s="33" t="s">
        <v>372</v>
      </c>
      <c r="P2470" s="33" t="s">
        <v>30089</v>
      </c>
      <c r="Q2470" s="33" t="s">
        <v>29604</v>
      </c>
      <c r="R2470" s="33" t="s">
        <v>94</v>
      </c>
      <c r="S2470" s="33" t="s">
        <v>22</v>
      </c>
      <c r="T2470" s="33" t="s">
        <v>26781</v>
      </c>
      <c r="U2470" s="33" t="s">
        <v>26572</v>
      </c>
      <c r="V2470" s="33" t="s">
        <v>26573</v>
      </c>
      <c r="W2470" s="33" t="s">
        <v>94</v>
      </c>
      <c r="X2470" s="33">
        <v>3036</v>
      </c>
      <c r="Z2470" s="33" t="s">
        <v>42967</v>
      </c>
      <c r="AA2470" s="33">
        <v>5196</v>
      </c>
    </row>
    <row r="2471" spans="1:46" ht="12" customHeight="1" x14ac:dyDescent="0.15">
      <c r="A2471" s="33" t="s">
        <v>29582</v>
      </c>
      <c r="B2471" s="33">
        <v>42</v>
      </c>
      <c r="C2471" s="33" t="s">
        <v>14</v>
      </c>
      <c r="D2471" s="33" t="s">
        <v>79</v>
      </c>
      <c r="E2471" s="33" t="s">
        <v>29583</v>
      </c>
      <c r="F2471" s="67">
        <v>43021</v>
      </c>
      <c r="G2471" s="33" t="s">
        <v>29584</v>
      </c>
      <c r="H2471" s="33" t="s">
        <v>29585</v>
      </c>
      <c r="I2471" s="33" t="s">
        <v>225</v>
      </c>
      <c r="J2471" s="33">
        <v>22902</v>
      </c>
      <c r="K2471" s="33" t="s">
        <v>29586</v>
      </c>
      <c r="L2471" s="33" t="s">
        <v>29587</v>
      </c>
      <c r="M2471" s="33" t="s">
        <v>21</v>
      </c>
      <c r="N2471" s="33" t="s">
        <v>29588</v>
      </c>
      <c r="O2471" s="33" t="s">
        <v>372</v>
      </c>
      <c r="P2471" s="33" t="s">
        <v>30089</v>
      </c>
      <c r="Q2471" s="33" t="s">
        <v>29589</v>
      </c>
      <c r="R2471" s="33" t="s">
        <v>94</v>
      </c>
      <c r="S2471" s="33" t="s">
        <v>22</v>
      </c>
      <c r="T2471" s="33" t="s">
        <v>26781</v>
      </c>
      <c r="U2471" s="33" t="s">
        <v>26572</v>
      </c>
      <c r="V2471" s="33" t="s">
        <v>26574</v>
      </c>
      <c r="W2471" s="33" t="s">
        <v>94</v>
      </c>
      <c r="X2471" s="33">
        <v>3037</v>
      </c>
      <c r="Z2471" s="33" t="s">
        <v>42966</v>
      </c>
      <c r="AA2471" s="33">
        <v>5194</v>
      </c>
    </row>
    <row r="2472" spans="1:46" ht="12" customHeight="1" x14ac:dyDescent="0.15">
      <c r="A2472" s="33" t="s">
        <v>30362</v>
      </c>
      <c r="B2472" s="33">
        <v>25</v>
      </c>
      <c r="C2472" s="33" t="s">
        <v>14</v>
      </c>
      <c r="D2472" s="33" t="s">
        <v>31</v>
      </c>
      <c r="E2472" s="42" t="s">
        <v>30756</v>
      </c>
      <c r="F2472" s="67">
        <v>43021</v>
      </c>
      <c r="G2472" s="33" t="s">
        <v>29590</v>
      </c>
      <c r="H2472" s="33" t="s">
        <v>1244</v>
      </c>
      <c r="I2472" s="33" t="s">
        <v>39</v>
      </c>
      <c r="J2472" s="33">
        <v>95961</v>
      </c>
      <c r="K2472" s="33" t="s">
        <v>1245</v>
      </c>
      <c r="L2472" s="33" t="s">
        <v>1246</v>
      </c>
      <c r="M2472" s="33" t="s">
        <v>21</v>
      </c>
      <c r="N2472" s="33" t="s">
        <v>29591</v>
      </c>
      <c r="O2472" s="33" t="s">
        <v>372</v>
      </c>
      <c r="P2472" s="33" t="s">
        <v>30089</v>
      </c>
      <c r="Q2472" s="33" t="s">
        <v>29592</v>
      </c>
      <c r="R2472" s="33" t="s">
        <v>94</v>
      </c>
      <c r="S2472" s="33" t="s">
        <v>29</v>
      </c>
      <c r="T2472" s="33" t="s">
        <v>26575</v>
      </c>
      <c r="U2472" s="33" t="s">
        <v>26575</v>
      </c>
      <c r="V2472" s="33" t="s">
        <v>26573</v>
      </c>
      <c r="W2472" s="33" t="s">
        <v>94</v>
      </c>
      <c r="X2472" s="33">
        <v>3038</v>
      </c>
      <c r="Z2472" s="33" t="s">
        <v>42968</v>
      </c>
      <c r="AA2472" s="33">
        <v>5195</v>
      </c>
    </row>
    <row r="2473" spans="1:46" ht="12" customHeight="1" x14ac:dyDescent="0.15">
      <c r="A2473" s="33" t="s">
        <v>29577</v>
      </c>
      <c r="B2473" s="33">
        <v>29</v>
      </c>
      <c r="C2473" s="33" t="s">
        <v>14</v>
      </c>
      <c r="D2473" s="33" t="s">
        <v>31</v>
      </c>
      <c r="E2473" s="33" t="s">
        <v>29578</v>
      </c>
      <c r="F2473" s="67">
        <v>43020</v>
      </c>
      <c r="G2473" s="33" t="s">
        <v>29579</v>
      </c>
      <c r="H2473" s="33" t="s">
        <v>6279</v>
      </c>
      <c r="I2473" s="33" t="s">
        <v>112</v>
      </c>
      <c r="J2473" s="33">
        <v>86004</v>
      </c>
      <c r="K2473" s="33" t="s">
        <v>21652</v>
      </c>
      <c r="L2473" s="33" t="s">
        <v>23528</v>
      </c>
      <c r="M2473" s="33" t="s">
        <v>21</v>
      </c>
      <c r="N2473" s="33" t="s">
        <v>29580</v>
      </c>
      <c r="O2473" s="33" t="s">
        <v>372</v>
      </c>
      <c r="P2473" s="33" t="s">
        <v>30089</v>
      </c>
      <c r="Q2473" s="33" t="s">
        <v>29581</v>
      </c>
      <c r="R2473" s="33" t="s">
        <v>94</v>
      </c>
      <c r="S2473" s="33" t="s">
        <v>22</v>
      </c>
      <c r="T2473" s="33" t="s">
        <v>26781</v>
      </c>
      <c r="U2473" s="33" t="s">
        <v>26572</v>
      </c>
      <c r="V2473" s="33" t="s">
        <v>26573</v>
      </c>
      <c r="W2473" s="33" t="s">
        <v>512</v>
      </c>
      <c r="X2473" s="33">
        <v>3031</v>
      </c>
      <c r="Z2473" s="33" t="s">
        <v>42968</v>
      </c>
      <c r="AA2473" s="33">
        <v>5193</v>
      </c>
    </row>
    <row r="2474" spans="1:46" ht="12" customHeight="1" x14ac:dyDescent="0.15">
      <c r="A2474" s="33" t="s">
        <v>29572</v>
      </c>
      <c r="B2474" s="33">
        <v>35</v>
      </c>
      <c r="C2474" s="33" t="s">
        <v>14</v>
      </c>
      <c r="D2474" s="33" t="s">
        <v>79</v>
      </c>
      <c r="E2474" s="33" t="s">
        <v>29573</v>
      </c>
      <c r="F2474" s="67">
        <v>43020</v>
      </c>
      <c r="G2474" s="33" t="s">
        <v>29574</v>
      </c>
      <c r="H2474" s="33" t="s">
        <v>3809</v>
      </c>
      <c r="I2474" s="33" t="s">
        <v>88</v>
      </c>
      <c r="J2474" s="33">
        <v>35209</v>
      </c>
      <c r="K2474" s="33" t="s">
        <v>1659</v>
      </c>
      <c r="L2474" s="33" t="s">
        <v>3811</v>
      </c>
      <c r="M2474" s="33" t="s">
        <v>21</v>
      </c>
      <c r="N2474" s="33" t="s">
        <v>29575</v>
      </c>
      <c r="O2474" s="33" t="s">
        <v>372</v>
      </c>
      <c r="P2474" s="33" t="s">
        <v>30089</v>
      </c>
      <c r="Q2474" s="33" t="s">
        <v>29576</v>
      </c>
      <c r="R2474" s="33" t="s">
        <v>94</v>
      </c>
      <c r="S2474" s="33" t="s">
        <v>22</v>
      </c>
      <c r="T2474" s="33" t="s">
        <v>26781</v>
      </c>
      <c r="U2474" s="33" t="s">
        <v>26572</v>
      </c>
      <c r="V2474" s="33" t="s">
        <v>26574</v>
      </c>
      <c r="W2474" s="33" t="s">
        <v>94</v>
      </c>
      <c r="X2474" s="33">
        <v>3029</v>
      </c>
      <c r="Z2474" s="33" t="s">
        <v>42968</v>
      </c>
      <c r="AA2474" s="33">
        <v>5192</v>
      </c>
    </row>
    <row r="2475" spans="1:46" ht="12" customHeight="1" x14ac:dyDescent="0.15">
      <c r="A2475" s="33" t="s">
        <v>30721</v>
      </c>
      <c r="B2475" s="33">
        <v>44</v>
      </c>
      <c r="C2475" s="33" t="s">
        <v>14</v>
      </c>
      <c r="D2475" s="33" t="s">
        <v>42</v>
      </c>
      <c r="F2475" s="67">
        <v>43019</v>
      </c>
      <c r="G2475" s="33" t="s">
        <v>29564</v>
      </c>
      <c r="H2475" s="33" t="s">
        <v>2444</v>
      </c>
      <c r="I2475" s="33" t="s">
        <v>192</v>
      </c>
      <c r="J2475" s="33">
        <v>81082</v>
      </c>
      <c r="K2475" s="33" t="s">
        <v>2445</v>
      </c>
      <c r="L2475" s="33" t="s">
        <v>29565</v>
      </c>
      <c r="M2475" s="33" t="s">
        <v>21</v>
      </c>
      <c r="N2475" s="33" t="s">
        <v>29566</v>
      </c>
      <c r="O2475" s="33" t="s">
        <v>372</v>
      </c>
      <c r="P2475" s="33" t="s">
        <v>30089</v>
      </c>
      <c r="Q2475" s="33" t="s">
        <v>29567</v>
      </c>
      <c r="R2475" s="33" t="s">
        <v>94</v>
      </c>
      <c r="S2475" s="33" t="s">
        <v>12</v>
      </c>
      <c r="T2475" s="33" t="s">
        <v>29705</v>
      </c>
      <c r="U2475" s="33" t="s">
        <v>26572</v>
      </c>
      <c r="V2475" s="33" t="s">
        <v>26574</v>
      </c>
      <c r="W2475" s="33" t="s">
        <v>94</v>
      </c>
      <c r="X2475" s="33">
        <v>3030</v>
      </c>
      <c r="Z2475" s="33" t="s">
        <v>42967</v>
      </c>
      <c r="AA2475" s="33">
        <v>5190</v>
      </c>
    </row>
    <row r="2476" spans="1:46" ht="12" customHeight="1" x14ac:dyDescent="0.15">
      <c r="A2476" s="33" t="s">
        <v>29568</v>
      </c>
      <c r="B2476" s="33">
        <v>61</v>
      </c>
      <c r="C2476" s="33" t="s">
        <v>14</v>
      </c>
      <c r="D2476" s="33" t="s">
        <v>31</v>
      </c>
      <c r="F2476" s="67">
        <v>43019</v>
      </c>
      <c r="G2476" s="33" t="s">
        <v>29569</v>
      </c>
      <c r="H2476" s="33" t="s">
        <v>20302</v>
      </c>
      <c r="I2476" s="33" t="s">
        <v>621</v>
      </c>
      <c r="J2476" s="33">
        <v>39532</v>
      </c>
      <c r="K2476" s="33" t="s">
        <v>3687</v>
      </c>
      <c r="L2476" s="33" t="s">
        <v>20304</v>
      </c>
      <c r="M2476" s="33" t="s">
        <v>21</v>
      </c>
      <c r="N2476" s="33" t="s">
        <v>29570</v>
      </c>
      <c r="O2476" s="33" t="s">
        <v>372</v>
      </c>
      <c r="P2476" s="33" t="s">
        <v>30089</v>
      </c>
      <c r="Q2476" s="33" t="s">
        <v>29571</v>
      </c>
      <c r="R2476" s="33" t="s">
        <v>94</v>
      </c>
      <c r="S2476" s="33" t="s">
        <v>351</v>
      </c>
      <c r="T2476" s="33" t="s">
        <v>26867</v>
      </c>
      <c r="U2476" s="33" t="s">
        <v>26572</v>
      </c>
      <c r="V2476" s="33" t="s">
        <v>26571</v>
      </c>
      <c r="W2476" s="33" t="s">
        <v>94</v>
      </c>
      <c r="X2476" s="33">
        <v>3025</v>
      </c>
      <c r="Z2476" s="33" t="s">
        <v>42968</v>
      </c>
      <c r="AA2476" s="33">
        <v>5191</v>
      </c>
    </row>
    <row r="2477" spans="1:46" ht="12" customHeight="1" x14ac:dyDescent="0.15">
      <c r="A2477" s="33" t="s">
        <v>29559</v>
      </c>
      <c r="B2477" s="33">
        <v>43</v>
      </c>
      <c r="C2477" s="33" t="s">
        <v>14</v>
      </c>
      <c r="D2477" s="33" t="s">
        <v>42</v>
      </c>
      <c r="E2477" s="33" t="s">
        <v>29560</v>
      </c>
      <c r="F2477" s="67">
        <v>43019</v>
      </c>
      <c r="G2477" s="33" t="s">
        <v>29561</v>
      </c>
      <c r="H2477" s="33" t="s">
        <v>3893</v>
      </c>
      <c r="I2477" s="33" t="s">
        <v>112</v>
      </c>
      <c r="J2477" s="33">
        <v>85743</v>
      </c>
      <c r="K2477" s="33" t="s">
        <v>519</v>
      </c>
      <c r="L2477" s="33" t="s">
        <v>3895</v>
      </c>
      <c r="M2477" s="33" t="s">
        <v>21</v>
      </c>
      <c r="N2477" s="33" t="s">
        <v>29562</v>
      </c>
      <c r="O2477" s="33" t="s">
        <v>372</v>
      </c>
      <c r="P2477" s="33" t="s">
        <v>30089</v>
      </c>
      <c r="Q2477" s="33" t="s">
        <v>29563</v>
      </c>
      <c r="R2477" s="33" t="s">
        <v>94</v>
      </c>
      <c r="S2477" s="33" t="s">
        <v>22</v>
      </c>
      <c r="T2477" s="33" t="s">
        <v>26781</v>
      </c>
      <c r="U2477" s="33" t="s">
        <v>26570</v>
      </c>
      <c r="V2477" s="33" t="s">
        <v>26573</v>
      </c>
      <c r="W2477" s="33" t="s">
        <v>94</v>
      </c>
      <c r="X2477" s="33">
        <v>3027</v>
      </c>
      <c r="Z2477" s="33" t="s">
        <v>42968</v>
      </c>
      <c r="AA2477" s="33">
        <v>5189</v>
      </c>
    </row>
    <row r="2478" spans="1:46" ht="12" customHeight="1" x14ac:dyDescent="0.15">
      <c r="A2478" s="33" t="s">
        <v>29555</v>
      </c>
      <c r="B2478" s="33">
        <v>55</v>
      </c>
      <c r="C2478" s="33" t="s">
        <v>14</v>
      </c>
      <c r="D2478" s="33" t="s">
        <v>30751</v>
      </c>
      <c r="F2478" s="67">
        <v>43018</v>
      </c>
      <c r="G2478" s="33" t="s">
        <v>29556</v>
      </c>
      <c r="H2478" s="33" t="s">
        <v>1863</v>
      </c>
      <c r="I2478" s="33" t="s">
        <v>282</v>
      </c>
      <c r="J2478" s="33">
        <v>98579</v>
      </c>
      <c r="K2478" s="33" t="s">
        <v>6599</v>
      </c>
      <c r="L2478" s="33" t="s">
        <v>18609</v>
      </c>
      <c r="M2478" s="33" t="s">
        <v>21</v>
      </c>
      <c r="N2478" s="33" t="s">
        <v>29557</v>
      </c>
      <c r="O2478" s="33" t="s">
        <v>372</v>
      </c>
      <c r="P2478" s="33" t="s">
        <v>30089</v>
      </c>
      <c r="Q2478" s="33" t="s">
        <v>29558</v>
      </c>
      <c r="R2478" s="33" t="s">
        <v>512</v>
      </c>
      <c r="S2478" s="33" t="s">
        <v>22</v>
      </c>
      <c r="T2478" s="33" t="s">
        <v>26781</v>
      </c>
      <c r="U2478" s="33" t="s">
        <v>26572</v>
      </c>
      <c r="V2478" s="33" t="s">
        <v>26573</v>
      </c>
      <c r="W2478" s="33" t="s">
        <v>94</v>
      </c>
      <c r="X2478" s="33">
        <v>3026</v>
      </c>
      <c r="Z2478" s="33" t="s">
        <v>42967</v>
      </c>
      <c r="AA2478" s="33">
        <v>5188</v>
      </c>
    </row>
    <row r="2479" spans="1:46" ht="12" customHeight="1" x14ac:dyDescent="0.15">
      <c r="A2479" s="33" t="s">
        <v>29545</v>
      </c>
      <c r="B2479" s="33">
        <v>36</v>
      </c>
      <c r="C2479" s="33" t="s">
        <v>103</v>
      </c>
      <c r="D2479" s="33" t="s">
        <v>31</v>
      </c>
      <c r="E2479" s="33" t="s">
        <v>29546</v>
      </c>
      <c r="F2479" s="67">
        <v>43016</v>
      </c>
      <c r="G2479" s="33" t="s">
        <v>29547</v>
      </c>
      <c r="H2479" s="33" t="s">
        <v>3846</v>
      </c>
      <c r="I2479" s="33" t="s">
        <v>918</v>
      </c>
      <c r="J2479" s="33">
        <v>72157</v>
      </c>
      <c r="K2479" s="33" t="s">
        <v>29548</v>
      </c>
      <c r="L2479" s="33" t="s">
        <v>36519</v>
      </c>
      <c r="M2479" s="33" t="s">
        <v>363</v>
      </c>
      <c r="N2479" s="33" t="s">
        <v>29549</v>
      </c>
      <c r="O2479" s="33" t="s">
        <v>372</v>
      </c>
      <c r="P2479" s="33" t="s">
        <v>30089</v>
      </c>
      <c r="Q2479" s="33" t="s">
        <v>29550</v>
      </c>
      <c r="R2479" s="33" t="s">
        <v>94</v>
      </c>
      <c r="S2479" s="33" t="s">
        <v>12</v>
      </c>
      <c r="T2479" s="33" t="s">
        <v>29705</v>
      </c>
      <c r="U2479" s="33" t="s">
        <v>26572</v>
      </c>
      <c r="V2479" s="33" t="s">
        <v>26573</v>
      </c>
      <c r="Z2479" s="33" t="s">
        <v>42967</v>
      </c>
      <c r="AA2479" s="33">
        <v>5186</v>
      </c>
    </row>
    <row r="2480" spans="1:46" ht="12" customHeight="1" x14ac:dyDescent="0.15">
      <c r="A2480" s="33" t="s">
        <v>29536</v>
      </c>
      <c r="B2480" s="33">
        <v>46</v>
      </c>
      <c r="C2480" s="33" t="s">
        <v>14</v>
      </c>
      <c r="D2480" s="33" t="s">
        <v>31</v>
      </c>
      <c r="E2480" s="33" t="s">
        <v>29537</v>
      </c>
      <c r="F2480" s="67">
        <v>43016</v>
      </c>
      <c r="G2480" s="33" t="s">
        <v>29538</v>
      </c>
      <c r="H2480" s="33" t="s">
        <v>24385</v>
      </c>
      <c r="I2480" s="33" t="s">
        <v>112</v>
      </c>
      <c r="J2480" s="33">
        <v>85929</v>
      </c>
      <c r="K2480" s="33" t="s">
        <v>7470</v>
      </c>
      <c r="L2480" s="33" t="s">
        <v>29539</v>
      </c>
      <c r="M2480" s="33" t="s">
        <v>21</v>
      </c>
      <c r="N2480" s="33" t="s">
        <v>29540</v>
      </c>
      <c r="O2480" s="33" t="s">
        <v>372</v>
      </c>
      <c r="P2480" s="33" t="s">
        <v>30089</v>
      </c>
      <c r="Q2480" s="33" t="s">
        <v>29541</v>
      </c>
      <c r="R2480" s="33" t="s">
        <v>904</v>
      </c>
      <c r="S2480" s="33" t="s">
        <v>22</v>
      </c>
      <c r="T2480" s="33" t="s">
        <v>26781</v>
      </c>
      <c r="U2480" s="33" t="s">
        <v>26572</v>
      </c>
      <c r="V2480" s="33" t="s">
        <v>26573</v>
      </c>
      <c r="W2480" s="33" t="s">
        <v>94</v>
      </c>
      <c r="X2480" s="33">
        <v>3033</v>
      </c>
      <c r="Z2480" s="33" t="s">
        <v>42967</v>
      </c>
      <c r="AA2480" s="33">
        <v>5183</v>
      </c>
    </row>
    <row r="2481" spans="1:27" ht="12" customHeight="1" x14ac:dyDescent="0.15">
      <c r="A2481" s="33" t="s">
        <v>29531</v>
      </c>
      <c r="B2481" s="33">
        <v>24</v>
      </c>
      <c r="C2481" s="33" t="s">
        <v>14</v>
      </c>
      <c r="D2481" s="33" t="s">
        <v>79</v>
      </c>
      <c r="E2481" s="33" t="s">
        <v>29532</v>
      </c>
      <c r="F2481" s="67">
        <v>43016</v>
      </c>
      <c r="G2481" s="33" t="s">
        <v>29533</v>
      </c>
      <c r="H2481" s="33" t="s">
        <v>834</v>
      </c>
      <c r="I2481" s="33" t="s">
        <v>294</v>
      </c>
      <c r="J2481" s="33">
        <v>40213</v>
      </c>
      <c r="K2481" s="33" t="s">
        <v>1659</v>
      </c>
      <c r="L2481" s="33" t="s">
        <v>835</v>
      </c>
      <c r="M2481" s="33" t="s">
        <v>21</v>
      </c>
      <c r="N2481" s="33" t="s">
        <v>29534</v>
      </c>
      <c r="O2481" s="33" t="s">
        <v>372</v>
      </c>
      <c r="P2481" s="33" t="s">
        <v>30089</v>
      </c>
      <c r="Q2481" s="33" t="s">
        <v>29535</v>
      </c>
      <c r="R2481" s="33" t="s">
        <v>94</v>
      </c>
      <c r="S2481" s="33" t="s">
        <v>22</v>
      </c>
      <c r="T2481" s="33" t="s">
        <v>26781</v>
      </c>
      <c r="U2481" s="33" t="s">
        <v>26570</v>
      </c>
      <c r="V2481" s="33" t="s">
        <v>26573</v>
      </c>
      <c r="W2481" s="33" t="s">
        <v>512</v>
      </c>
      <c r="X2481" s="33">
        <v>3007</v>
      </c>
      <c r="Z2481" s="33" t="s">
        <v>42966</v>
      </c>
      <c r="AA2481" s="33">
        <v>5182</v>
      </c>
    </row>
    <row r="2482" spans="1:27" ht="12" customHeight="1" x14ac:dyDescent="0.15">
      <c r="A2482" s="33" t="s">
        <v>3002</v>
      </c>
      <c r="B2482" s="33" t="s">
        <v>23</v>
      </c>
      <c r="C2482" s="33" t="s">
        <v>14</v>
      </c>
      <c r="D2482" s="33" t="s">
        <v>42</v>
      </c>
      <c r="F2482" s="67">
        <v>43016</v>
      </c>
      <c r="G2482" s="33" t="s">
        <v>29542</v>
      </c>
      <c r="H2482" s="33" t="s">
        <v>7214</v>
      </c>
      <c r="I2482" s="33" t="s">
        <v>39</v>
      </c>
      <c r="J2482" s="33">
        <v>91340</v>
      </c>
      <c r="K2482" s="33" t="s">
        <v>92</v>
      </c>
      <c r="L2482" s="33" t="s">
        <v>15429</v>
      </c>
      <c r="M2482" s="33" t="s">
        <v>30360</v>
      </c>
      <c r="N2482" s="33" t="s">
        <v>29543</v>
      </c>
      <c r="O2482" s="33" t="s">
        <v>372</v>
      </c>
      <c r="P2482" s="33" t="s">
        <v>30089</v>
      </c>
      <c r="Q2482" s="33" t="s">
        <v>29544</v>
      </c>
      <c r="R2482" s="33" t="s">
        <v>94</v>
      </c>
      <c r="S2482" s="33" t="s">
        <v>22</v>
      </c>
      <c r="T2482" s="33" t="s">
        <v>26774</v>
      </c>
      <c r="U2482" s="33" t="s">
        <v>26570</v>
      </c>
      <c r="V2482" s="33" t="s">
        <v>26573</v>
      </c>
      <c r="W2482" s="33" t="s">
        <v>94</v>
      </c>
      <c r="X2482" s="33">
        <v>3006</v>
      </c>
      <c r="Z2482" s="33" t="s">
        <v>42966</v>
      </c>
      <c r="AA2482" s="33">
        <v>5184</v>
      </c>
    </row>
    <row r="2483" spans="1:27" ht="12" customHeight="1" x14ac:dyDescent="0.15">
      <c r="A2483" s="33" t="s">
        <v>29526</v>
      </c>
      <c r="B2483" s="33">
        <v>22</v>
      </c>
      <c r="C2483" s="33" t="s">
        <v>103</v>
      </c>
      <c r="D2483" s="33" t="s">
        <v>79</v>
      </c>
      <c r="E2483" s="33" t="s">
        <v>29527</v>
      </c>
      <c r="F2483" s="67">
        <v>43016</v>
      </c>
      <c r="G2483" s="33" t="s">
        <v>29528</v>
      </c>
      <c r="H2483" s="33" t="s">
        <v>1418</v>
      </c>
      <c r="I2483" s="33" t="s">
        <v>56</v>
      </c>
      <c r="J2483" s="33">
        <v>33139</v>
      </c>
      <c r="K2483" s="33" t="s">
        <v>148</v>
      </c>
      <c r="L2483" s="33" t="s">
        <v>1419</v>
      </c>
      <c r="M2483" s="33" t="s">
        <v>21</v>
      </c>
      <c r="N2483" s="33" t="s">
        <v>29529</v>
      </c>
      <c r="O2483" s="33" t="s">
        <v>372</v>
      </c>
      <c r="P2483" s="33" t="s">
        <v>30089</v>
      </c>
      <c r="Q2483" s="33" t="s">
        <v>29530</v>
      </c>
      <c r="R2483" s="33" t="s">
        <v>94</v>
      </c>
      <c r="S2483" s="33" t="s">
        <v>351</v>
      </c>
      <c r="T2483" s="33" t="s">
        <v>26867</v>
      </c>
      <c r="U2483" s="33" t="s">
        <v>26572</v>
      </c>
      <c r="V2483" s="33" t="s">
        <v>26571</v>
      </c>
      <c r="W2483" s="33" t="s">
        <v>94</v>
      </c>
      <c r="X2483" s="33">
        <v>3008</v>
      </c>
      <c r="Z2483" s="33" t="s">
        <v>42966</v>
      </c>
      <c r="AA2483" s="33">
        <v>5187</v>
      </c>
    </row>
    <row r="2484" spans="1:27" ht="12" customHeight="1" x14ac:dyDescent="0.15">
      <c r="A2484" s="33" t="s">
        <v>29551</v>
      </c>
      <c r="B2484" s="33" t="s">
        <v>23</v>
      </c>
      <c r="C2484" s="33" t="s">
        <v>14</v>
      </c>
      <c r="D2484" s="33" t="s">
        <v>42</v>
      </c>
      <c r="F2484" s="67">
        <v>43016</v>
      </c>
      <c r="G2484" s="33" t="s">
        <v>29552</v>
      </c>
      <c r="H2484" s="33" t="s">
        <v>20040</v>
      </c>
      <c r="I2484" s="33" t="s">
        <v>225</v>
      </c>
      <c r="J2484" s="33">
        <v>24211</v>
      </c>
      <c r="K2484" s="33" t="s">
        <v>107</v>
      </c>
      <c r="L2484" s="33" t="s">
        <v>108</v>
      </c>
      <c r="M2484" s="33" t="s">
        <v>30360</v>
      </c>
      <c r="N2484" s="33" t="s">
        <v>29553</v>
      </c>
      <c r="O2484" s="33" t="s">
        <v>372</v>
      </c>
      <c r="P2484" s="33" t="s">
        <v>30089</v>
      </c>
      <c r="Q2484" s="33" t="s">
        <v>29554</v>
      </c>
      <c r="R2484" s="33" t="s">
        <v>94</v>
      </c>
      <c r="S2484" s="33" t="s">
        <v>22</v>
      </c>
      <c r="T2484" s="33" t="s">
        <v>26593</v>
      </c>
      <c r="U2484" s="33" t="s">
        <v>26570</v>
      </c>
      <c r="V2484" s="33" t="s">
        <v>26574</v>
      </c>
      <c r="W2484" s="33" t="s">
        <v>94</v>
      </c>
      <c r="X2484" s="33">
        <v>3003</v>
      </c>
      <c r="Z2484" s="33" t="s">
        <v>42967</v>
      </c>
      <c r="AA2484" s="33">
        <v>5185</v>
      </c>
    </row>
    <row r="2485" spans="1:27" ht="12" customHeight="1" x14ac:dyDescent="0.15">
      <c r="A2485" s="33" t="s">
        <v>29510</v>
      </c>
      <c r="B2485" s="33">
        <v>28</v>
      </c>
      <c r="C2485" s="33" t="s">
        <v>14</v>
      </c>
      <c r="D2485" s="33" t="s">
        <v>30751</v>
      </c>
      <c r="F2485" s="67">
        <v>43015</v>
      </c>
      <c r="G2485" s="33" t="s">
        <v>29511</v>
      </c>
      <c r="H2485" s="33" t="s">
        <v>8861</v>
      </c>
      <c r="I2485" s="33" t="s">
        <v>918</v>
      </c>
      <c r="J2485" s="33">
        <v>72207</v>
      </c>
      <c r="K2485" s="33" t="s">
        <v>2312</v>
      </c>
      <c r="L2485" s="33" t="s">
        <v>8863</v>
      </c>
      <c r="M2485" s="33" t="s">
        <v>21</v>
      </c>
      <c r="N2485" s="33" t="s">
        <v>29512</v>
      </c>
      <c r="O2485" s="33" t="s">
        <v>372</v>
      </c>
      <c r="P2485" s="33" t="s">
        <v>30089</v>
      </c>
      <c r="Q2485" s="33" t="s">
        <v>29513</v>
      </c>
      <c r="R2485" s="33" t="s">
        <v>904</v>
      </c>
      <c r="S2485" s="33" t="s">
        <v>351</v>
      </c>
      <c r="T2485" s="33" t="s">
        <v>26867</v>
      </c>
      <c r="U2485" s="33" t="s">
        <v>26570</v>
      </c>
      <c r="V2485" s="33" t="s">
        <v>26571</v>
      </c>
      <c r="Y2485" s="33" t="s">
        <v>42476</v>
      </c>
      <c r="Z2485" s="33" t="s">
        <v>42966</v>
      </c>
      <c r="AA2485" s="33">
        <v>5181</v>
      </c>
    </row>
    <row r="2486" spans="1:27" ht="12" customHeight="1" x14ac:dyDescent="0.15">
      <c r="A2486" s="33" t="s">
        <v>29514</v>
      </c>
      <c r="B2486" s="33">
        <v>34</v>
      </c>
      <c r="C2486" s="33" t="s">
        <v>103</v>
      </c>
      <c r="D2486" s="33" t="s">
        <v>42</v>
      </c>
      <c r="F2486" s="67">
        <v>43015</v>
      </c>
      <c r="G2486" s="33" t="s">
        <v>29515</v>
      </c>
      <c r="H2486" s="33" t="s">
        <v>1337</v>
      </c>
      <c r="I2486" s="33" t="s">
        <v>112</v>
      </c>
      <c r="J2486" s="33">
        <v>85210</v>
      </c>
      <c r="K2486" s="33" t="s">
        <v>585</v>
      </c>
      <c r="L2486" s="33" t="s">
        <v>1338</v>
      </c>
      <c r="M2486" s="33" t="s">
        <v>21</v>
      </c>
      <c r="N2486" s="33" t="s">
        <v>29516</v>
      </c>
      <c r="O2486" s="33" t="s">
        <v>372</v>
      </c>
      <c r="P2486" s="33" t="s">
        <v>30089</v>
      </c>
      <c r="Q2486" s="33" t="s">
        <v>29517</v>
      </c>
      <c r="R2486" s="33" t="s">
        <v>512</v>
      </c>
      <c r="S2486" s="33" t="s">
        <v>22</v>
      </c>
      <c r="T2486" s="33" t="s">
        <v>26781</v>
      </c>
      <c r="U2486" s="33" t="s">
        <v>26575</v>
      </c>
      <c r="V2486" s="33" t="s">
        <v>26574</v>
      </c>
      <c r="W2486" s="33" t="s">
        <v>94</v>
      </c>
      <c r="X2486" s="33">
        <v>3004</v>
      </c>
      <c r="Z2486" s="33" t="s">
        <v>42966</v>
      </c>
      <c r="AA2486" s="33">
        <v>5178</v>
      </c>
    </row>
    <row r="2487" spans="1:27" ht="12" customHeight="1" x14ac:dyDescent="0.15">
      <c r="A2487" s="33" t="s">
        <v>29521</v>
      </c>
      <c r="B2487" s="33">
        <v>61</v>
      </c>
      <c r="C2487" s="33" t="s">
        <v>14</v>
      </c>
      <c r="D2487" s="33" t="s">
        <v>30751</v>
      </c>
      <c r="F2487" s="67">
        <v>43015</v>
      </c>
      <c r="G2487" s="33" t="s">
        <v>29522</v>
      </c>
      <c r="H2487" s="33" t="s">
        <v>661</v>
      </c>
      <c r="I2487" s="33" t="s">
        <v>402</v>
      </c>
      <c r="J2487" s="33">
        <v>63139</v>
      </c>
      <c r="K2487" s="33" t="s">
        <v>29523</v>
      </c>
      <c r="L2487" s="33" t="s">
        <v>4162</v>
      </c>
      <c r="M2487" s="33" t="s">
        <v>363</v>
      </c>
      <c r="N2487" s="33" t="s">
        <v>29524</v>
      </c>
      <c r="O2487" s="33" t="s">
        <v>372</v>
      </c>
      <c r="P2487" s="33" t="s">
        <v>30089</v>
      </c>
      <c r="Q2487" s="33" t="s">
        <v>29525</v>
      </c>
      <c r="R2487" s="33" t="s">
        <v>94</v>
      </c>
      <c r="S2487" s="33" t="s">
        <v>22</v>
      </c>
      <c r="T2487" s="33" t="s">
        <v>26774</v>
      </c>
      <c r="U2487" s="33" t="s">
        <v>26572</v>
      </c>
      <c r="V2487" s="33" t="s">
        <v>26573</v>
      </c>
      <c r="Z2487" s="33" t="s">
        <v>42966</v>
      </c>
      <c r="AA2487" s="33">
        <v>5180</v>
      </c>
    </row>
    <row r="2488" spans="1:27" ht="12" customHeight="1" x14ac:dyDescent="0.15">
      <c r="A2488" s="33" t="s">
        <v>29518</v>
      </c>
      <c r="B2488" s="33">
        <v>25</v>
      </c>
      <c r="C2488" s="33" t="s">
        <v>14</v>
      </c>
      <c r="D2488" s="33" t="s">
        <v>31</v>
      </c>
      <c r="F2488" s="67">
        <v>43015</v>
      </c>
      <c r="G2488" s="33" t="s">
        <v>29519</v>
      </c>
      <c r="H2488" s="33" t="s">
        <v>2064</v>
      </c>
      <c r="I2488" s="33" t="s">
        <v>139</v>
      </c>
      <c r="J2488" s="33">
        <v>25301</v>
      </c>
      <c r="K2488" s="33" t="s">
        <v>859</v>
      </c>
      <c r="L2488" s="33" t="s">
        <v>16709</v>
      </c>
      <c r="M2488" s="33" t="s">
        <v>21</v>
      </c>
      <c r="N2488" s="33" t="s">
        <v>36520</v>
      </c>
      <c r="O2488" s="33" t="s">
        <v>372</v>
      </c>
      <c r="P2488" s="33" t="s">
        <v>30089</v>
      </c>
      <c r="Q2488" s="33" t="s">
        <v>29520</v>
      </c>
      <c r="R2488" s="33" t="s">
        <v>512</v>
      </c>
      <c r="S2488" s="33" t="s">
        <v>22</v>
      </c>
      <c r="T2488" s="33" t="s">
        <v>26781</v>
      </c>
      <c r="U2488" s="33" t="s">
        <v>26572</v>
      </c>
      <c r="V2488" s="33" t="s">
        <v>26571</v>
      </c>
      <c r="W2488" s="33" t="s">
        <v>94</v>
      </c>
      <c r="X2488" s="33">
        <v>3023</v>
      </c>
      <c r="Z2488" s="33" t="s">
        <v>42966</v>
      </c>
      <c r="AA2488" s="33">
        <v>5179</v>
      </c>
    </row>
    <row r="2489" spans="1:27" ht="12" customHeight="1" x14ac:dyDescent="0.15">
      <c r="A2489" s="33" t="s">
        <v>36966</v>
      </c>
      <c r="B2489" s="33">
        <v>28</v>
      </c>
      <c r="C2489" s="33" t="s">
        <v>14</v>
      </c>
      <c r="D2489" s="33" t="s">
        <v>42</v>
      </c>
      <c r="F2489" s="67">
        <v>43014</v>
      </c>
      <c r="G2489" s="33" t="s">
        <v>29497</v>
      </c>
      <c r="H2489" s="33" t="s">
        <v>29498</v>
      </c>
      <c r="I2489" s="33" t="s">
        <v>39</v>
      </c>
      <c r="J2489" s="33">
        <v>91010</v>
      </c>
      <c r="K2489" s="33" t="s">
        <v>92</v>
      </c>
      <c r="L2489" s="33" t="s">
        <v>23881</v>
      </c>
      <c r="M2489" s="33" t="s">
        <v>21</v>
      </c>
      <c r="N2489" s="33" t="s">
        <v>29499</v>
      </c>
      <c r="O2489" s="33" t="s">
        <v>372</v>
      </c>
      <c r="P2489" s="33" t="s">
        <v>30089</v>
      </c>
      <c r="Q2489" s="33" t="s">
        <v>29500</v>
      </c>
      <c r="R2489" s="33" t="s">
        <v>94</v>
      </c>
      <c r="S2489" s="33" t="s">
        <v>22</v>
      </c>
      <c r="T2489" s="33" t="s">
        <v>26781</v>
      </c>
      <c r="U2489" s="33" t="s">
        <v>26572</v>
      </c>
      <c r="V2489" s="33" t="s">
        <v>26573</v>
      </c>
      <c r="X2489" s="33">
        <v>3204</v>
      </c>
      <c r="Z2489" s="33" t="s">
        <v>42968</v>
      </c>
      <c r="AA2489" s="33">
        <v>5176</v>
      </c>
    </row>
    <row r="2490" spans="1:27" ht="12" customHeight="1" x14ac:dyDescent="0.15">
      <c r="A2490" s="33" t="s">
        <v>29505</v>
      </c>
      <c r="B2490" s="33">
        <v>42</v>
      </c>
      <c r="C2490" s="33" t="s">
        <v>14</v>
      </c>
      <c r="D2490" s="33" t="s">
        <v>30751</v>
      </c>
      <c r="F2490" s="67">
        <v>43014</v>
      </c>
      <c r="G2490" s="33" t="s">
        <v>29506</v>
      </c>
      <c r="H2490" s="33" t="s">
        <v>1763</v>
      </c>
      <c r="I2490" s="33" t="s">
        <v>337</v>
      </c>
      <c r="J2490" s="33">
        <v>67143</v>
      </c>
      <c r="K2490" s="33" t="s">
        <v>24767</v>
      </c>
      <c r="L2490" s="33" t="s">
        <v>29507</v>
      </c>
      <c r="M2490" s="33" t="s">
        <v>7607</v>
      </c>
      <c r="N2490" s="33" t="s">
        <v>29508</v>
      </c>
      <c r="O2490" s="33" t="s">
        <v>372</v>
      </c>
      <c r="P2490" s="33" t="s">
        <v>30089</v>
      </c>
      <c r="Q2490" s="33" t="s">
        <v>29509</v>
      </c>
      <c r="R2490" s="33" t="s">
        <v>94</v>
      </c>
      <c r="S2490" s="33" t="s">
        <v>22</v>
      </c>
      <c r="T2490" s="33" t="s">
        <v>26781</v>
      </c>
      <c r="U2490" s="33" t="s">
        <v>26572</v>
      </c>
      <c r="V2490" s="33" t="s">
        <v>26573</v>
      </c>
      <c r="Z2490" s="33" t="e">
        <v>#N/A</v>
      </c>
      <c r="AA2490" s="33">
        <v>5172</v>
      </c>
    </row>
    <row r="2491" spans="1:27" ht="12" customHeight="1" x14ac:dyDescent="0.15">
      <c r="A2491" s="33" t="s">
        <v>29485</v>
      </c>
      <c r="B2491" s="33">
        <v>52</v>
      </c>
      <c r="C2491" s="33" t="s">
        <v>14</v>
      </c>
      <c r="D2491" s="33" t="s">
        <v>42</v>
      </c>
      <c r="E2491" s="33" t="s">
        <v>29486</v>
      </c>
      <c r="F2491" s="67">
        <v>43014</v>
      </c>
      <c r="G2491" s="33" t="s">
        <v>29487</v>
      </c>
      <c r="H2491" s="33" t="s">
        <v>196</v>
      </c>
      <c r="I2491" s="33" t="s">
        <v>56</v>
      </c>
      <c r="J2491" s="33">
        <v>33125</v>
      </c>
      <c r="K2491" s="33" t="s">
        <v>148</v>
      </c>
      <c r="L2491" s="33" t="s">
        <v>149</v>
      </c>
      <c r="M2491" s="33" t="s">
        <v>21</v>
      </c>
      <c r="N2491" s="33" t="s">
        <v>29488</v>
      </c>
      <c r="O2491" s="33" t="s">
        <v>372</v>
      </c>
      <c r="P2491" s="33" t="s">
        <v>30089</v>
      </c>
      <c r="Q2491" s="33" t="s">
        <v>29489</v>
      </c>
      <c r="R2491" s="33" t="s">
        <v>94</v>
      </c>
      <c r="S2491" s="33" t="s">
        <v>22</v>
      </c>
      <c r="T2491" s="33" t="s">
        <v>26781</v>
      </c>
      <c r="U2491" s="33" t="s">
        <v>26570</v>
      </c>
      <c r="V2491" s="33" t="s">
        <v>26574</v>
      </c>
      <c r="W2491" s="33" t="s">
        <v>94</v>
      </c>
      <c r="X2491" s="33">
        <v>3017</v>
      </c>
      <c r="Z2491" s="33" t="s">
        <v>42966</v>
      </c>
      <c r="AA2491" s="33">
        <v>5175</v>
      </c>
    </row>
    <row r="2492" spans="1:27" ht="12" customHeight="1" x14ac:dyDescent="0.15">
      <c r="A2492" s="33" t="s">
        <v>29480</v>
      </c>
      <c r="B2492" s="33">
        <v>51</v>
      </c>
      <c r="C2492" s="33" t="s">
        <v>14</v>
      </c>
      <c r="D2492" s="33" t="s">
        <v>31</v>
      </c>
      <c r="F2492" s="67">
        <v>43014</v>
      </c>
      <c r="G2492" s="33" t="s">
        <v>29481</v>
      </c>
      <c r="H2492" s="33" t="s">
        <v>29482</v>
      </c>
      <c r="I2492" s="33" t="s">
        <v>192</v>
      </c>
      <c r="J2492" s="33">
        <v>80403</v>
      </c>
      <c r="K2492" s="33" t="s">
        <v>1659</v>
      </c>
      <c r="L2492" s="33" t="s">
        <v>9078</v>
      </c>
      <c r="M2492" s="33" t="s">
        <v>21</v>
      </c>
      <c r="N2492" s="33" t="s">
        <v>29483</v>
      </c>
      <c r="O2492" s="33" t="s">
        <v>372</v>
      </c>
      <c r="P2492" s="33" t="s">
        <v>30089</v>
      </c>
      <c r="Q2492" s="33" t="s">
        <v>29484</v>
      </c>
      <c r="R2492" s="33" t="s">
        <v>94</v>
      </c>
      <c r="S2492" s="33" t="s">
        <v>22</v>
      </c>
      <c r="T2492" s="33" t="s">
        <v>26781</v>
      </c>
      <c r="U2492" s="33" t="s">
        <v>26572</v>
      </c>
      <c r="V2492" s="33" t="s">
        <v>26571</v>
      </c>
      <c r="W2492" s="33" t="s">
        <v>94</v>
      </c>
      <c r="X2492" s="33">
        <v>3005</v>
      </c>
      <c r="Z2492" s="33" t="s">
        <v>42967</v>
      </c>
      <c r="AA2492" s="33">
        <v>5173</v>
      </c>
    </row>
    <row r="2493" spans="1:27" ht="12" customHeight="1" x14ac:dyDescent="0.15">
      <c r="A2493" s="33" t="s">
        <v>29501</v>
      </c>
      <c r="B2493" s="33">
        <v>35</v>
      </c>
      <c r="C2493" s="33" t="s">
        <v>14</v>
      </c>
      <c r="D2493" s="33" t="s">
        <v>42</v>
      </c>
      <c r="F2493" s="67">
        <v>43014</v>
      </c>
      <c r="G2493" s="33" t="s">
        <v>29502</v>
      </c>
      <c r="H2493" s="33" t="s">
        <v>997</v>
      </c>
      <c r="I2493" s="33" t="s">
        <v>56</v>
      </c>
      <c r="J2493" s="33">
        <v>32812</v>
      </c>
      <c r="K2493" s="33" t="s">
        <v>998</v>
      </c>
      <c r="L2493" s="33" t="s">
        <v>999</v>
      </c>
      <c r="M2493" s="33" t="s">
        <v>4966</v>
      </c>
      <c r="N2493" s="33" t="s">
        <v>29503</v>
      </c>
      <c r="O2493" s="33" t="s">
        <v>372</v>
      </c>
      <c r="P2493" s="33" t="s">
        <v>30089</v>
      </c>
      <c r="Q2493" s="33" t="s">
        <v>29504</v>
      </c>
      <c r="R2493" s="33" t="s">
        <v>512</v>
      </c>
      <c r="S2493" s="33" t="s">
        <v>22</v>
      </c>
      <c r="T2493" s="33" t="s">
        <v>26774</v>
      </c>
      <c r="U2493" s="33" t="s">
        <v>26572</v>
      </c>
      <c r="V2493" s="33" t="s">
        <v>26573</v>
      </c>
      <c r="W2493" s="33" t="s">
        <v>94</v>
      </c>
      <c r="X2493" s="33">
        <v>3016</v>
      </c>
      <c r="Z2493" s="33" t="s">
        <v>42968</v>
      </c>
      <c r="AA2493" s="33">
        <v>5177</v>
      </c>
    </row>
    <row r="2494" spans="1:27" ht="12" customHeight="1" x14ac:dyDescent="0.15">
      <c r="A2494" s="33" t="s">
        <v>29490</v>
      </c>
      <c r="B2494" s="33">
        <v>47</v>
      </c>
      <c r="C2494" s="33" t="s">
        <v>14</v>
      </c>
      <c r="D2494" s="33" t="s">
        <v>31</v>
      </c>
      <c r="E2494" s="33" t="s">
        <v>29491</v>
      </c>
      <c r="F2494" s="67">
        <v>43014</v>
      </c>
      <c r="G2494" s="33" t="s">
        <v>29492</v>
      </c>
      <c r="H2494" s="33" t="s">
        <v>29493</v>
      </c>
      <c r="I2494" s="33" t="s">
        <v>376</v>
      </c>
      <c r="J2494" s="33">
        <v>15473</v>
      </c>
      <c r="K2494" s="33" t="s">
        <v>1415</v>
      </c>
      <c r="L2494" s="33" t="s">
        <v>29494</v>
      </c>
      <c r="M2494" s="33" t="s">
        <v>21</v>
      </c>
      <c r="N2494" s="33" t="s">
        <v>29495</v>
      </c>
      <c r="O2494" s="33" t="s">
        <v>372</v>
      </c>
      <c r="P2494" s="33" t="s">
        <v>30089</v>
      </c>
      <c r="Q2494" s="33" t="s">
        <v>29496</v>
      </c>
      <c r="R2494" s="33" t="s">
        <v>512</v>
      </c>
      <c r="S2494" s="33" t="s">
        <v>22</v>
      </c>
      <c r="T2494" s="33" t="s">
        <v>26781</v>
      </c>
      <c r="U2494" s="33" t="s">
        <v>26570</v>
      </c>
      <c r="V2494" s="33" t="s">
        <v>26573</v>
      </c>
      <c r="W2494" s="33" t="s">
        <v>94</v>
      </c>
      <c r="X2494" s="33">
        <v>3010</v>
      </c>
      <c r="Z2494" s="33" t="s">
        <v>42967</v>
      </c>
      <c r="AA2494" s="33">
        <v>5174</v>
      </c>
    </row>
    <row r="2495" spans="1:27" ht="12" customHeight="1" x14ac:dyDescent="0.15">
      <c r="A2495" s="33" t="s">
        <v>29469</v>
      </c>
      <c r="B2495" s="33">
        <v>40</v>
      </c>
      <c r="C2495" s="33" t="s">
        <v>14</v>
      </c>
      <c r="D2495" s="33" t="s">
        <v>31</v>
      </c>
      <c r="E2495" s="33" t="s">
        <v>29470</v>
      </c>
      <c r="F2495" s="67">
        <v>43013</v>
      </c>
      <c r="G2495" s="33" t="s">
        <v>29471</v>
      </c>
      <c r="H2495" s="33" t="s">
        <v>29472</v>
      </c>
      <c r="I2495" s="33" t="s">
        <v>88</v>
      </c>
      <c r="J2495" s="33">
        <v>35094</v>
      </c>
      <c r="K2495" s="33" t="s">
        <v>1659</v>
      </c>
      <c r="L2495" s="33" t="s">
        <v>29473</v>
      </c>
      <c r="M2495" s="33" t="s">
        <v>21</v>
      </c>
      <c r="N2495" s="33" t="s">
        <v>30831</v>
      </c>
      <c r="O2495" s="33" t="s">
        <v>372</v>
      </c>
      <c r="P2495" s="33" t="s">
        <v>30089</v>
      </c>
      <c r="Q2495" s="33" t="s">
        <v>29474</v>
      </c>
      <c r="R2495" s="33" t="s">
        <v>94</v>
      </c>
      <c r="S2495" s="33" t="s">
        <v>22</v>
      </c>
      <c r="T2495" s="33" t="s">
        <v>26781</v>
      </c>
      <c r="U2495" s="33" t="s">
        <v>26572</v>
      </c>
      <c r="V2495" s="33" t="s">
        <v>26573</v>
      </c>
      <c r="W2495" s="33" t="s">
        <v>94</v>
      </c>
      <c r="X2495" s="33">
        <v>3018</v>
      </c>
      <c r="Z2495" s="33" t="s">
        <v>42968</v>
      </c>
      <c r="AA2495" s="33">
        <v>5168</v>
      </c>
    </row>
    <row r="2496" spans="1:27" ht="12" customHeight="1" x14ac:dyDescent="0.15">
      <c r="A2496" s="33" t="s">
        <v>29464</v>
      </c>
      <c r="B2496" s="33">
        <v>31</v>
      </c>
      <c r="C2496" s="33" t="s">
        <v>14</v>
      </c>
      <c r="D2496" s="33" t="s">
        <v>42</v>
      </c>
      <c r="E2496" s="33" t="s">
        <v>29465</v>
      </c>
      <c r="F2496" s="67">
        <v>43013</v>
      </c>
      <c r="G2496" s="33" t="s">
        <v>29466</v>
      </c>
      <c r="H2496" s="33" t="s">
        <v>1122</v>
      </c>
      <c r="I2496" s="33" t="s">
        <v>67</v>
      </c>
      <c r="J2496" s="33">
        <v>78520</v>
      </c>
      <c r="K2496" s="33" t="s">
        <v>1123</v>
      </c>
      <c r="L2496" s="33" t="s">
        <v>1124</v>
      </c>
      <c r="M2496" s="33" t="s">
        <v>21</v>
      </c>
      <c r="N2496" s="33" t="s">
        <v>29467</v>
      </c>
      <c r="O2496" s="33" t="s">
        <v>372</v>
      </c>
      <c r="P2496" s="33" t="s">
        <v>30089</v>
      </c>
      <c r="Q2496" s="33" t="s">
        <v>29468</v>
      </c>
      <c r="R2496" s="33" t="s">
        <v>94</v>
      </c>
      <c r="S2496" s="33" t="s">
        <v>22</v>
      </c>
      <c r="T2496" s="33" t="s">
        <v>26774</v>
      </c>
      <c r="U2496" s="33" t="s">
        <v>26572</v>
      </c>
      <c r="V2496" s="33" t="s">
        <v>26573</v>
      </c>
      <c r="W2496" s="33" t="s">
        <v>94</v>
      </c>
      <c r="X2496" s="33">
        <v>3019</v>
      </c>
      <c r="Z2496" s="33" t="s">
        <v>42966</v>
      </c>
      <c r="AA2496" s="33">
        <v>5170</v>
      </c>
    </row>
    <row r="2497" spans="1:27" ht="12" customHeight="1" x14ac:dyDescent="0.15">
      <c r="A2497" s="33" t="s">
        <v>29458</v>
      </c>
      <c r="B2497" s="33">
        <v>29</v>
      </c>
      <c r="C2497" s="33" t="s">
        <v>14</v>
      </c>
      <c r="D2497" s="33" t="s">
        <v>42</v>
      </c>
      <c r="E2497" s="33" t="s">
        <v>29459</v>
      </c>
      <c r="F2497" s="67">
        <v>43013</v>
      </c>
      <c r="H2497" s="33" t="s">
        <v>23779</v>
      </c>
      <c r="I2497" s="33" t="s">
        <v>337</v>
      </c>
      <c r="J2497" s="33">
        <v>67846</v>
      </c>
      <c r="K2497" s="33" t="s">
        <v>29460</v>
      </c>
      <c r="L2497" s="33" t="s">
        <v>29461</v>
      </c>
      <c r="M2497" s="33" t="s">
        <v>21</v>
      </c>
      <c r="N2497" s="33" t="s">
        <v>29462</v>
      </c>
      <c r="O2497" s="33" t="s">
        <v>372</v>
      </c>
      <c r="P2497" s="33" t="s">
        <v>30089</v>
      </c>
      <c r="Q2497" s="33" t="s">
        <v>29463</v>
      </c>
      <c r="R2497" s="33" t="s">
        <v>512</v>
      </c>
      <c r="S2497" s="33" t="s">
        <v>22</v>
      </c>
      <c r="T2497" s="33" t="s">
        <v>26774</v>
      </c>
      <c r="U2497" s="33" t="s">
        <v>26570</v>
      </c>
      <c r="V2497" s="33" t="s">
        <v>26573</v>
      </c>
      <c r="W2497" s="33" t="s">
        <v>94</v>
      </c>
      <c r="X2497" s="33">
        <v>3014</v>
      </c>
      <c r="Z2497" s="33" t="s">
        <v>42968</v>
      </c>
      <c r="AA2497" s="33">
        <v>5169</v>
      </c>
    </row>
    <row r="2498" spans="1:27" ht="12" customHeight="1" x14ac:dyDescent="0.15">
      <c r="A2498" s="33" t="s">
        <v>29475</v>
      </c>
      <c r="B2498" s="33">
        <v>28</v>
      </c>
      <c r="C2498" s="33" t="s">
        <v>14</v>
      </c>
      <c r="D2498" s="33" t="s">
        <v>15</v>
      </c>
      <c r="E2498" s="33" t="s">
        <v>29476</v>
      </c>
      <c r="F2498" s="67">
        <v>43013</v>
      </c>
      <c r="G2498" s="33" t="s">
        <v>29477</v>
      </c>
      <c r="H2498" s="33" t="s">
        <v>3289</v>
      </c>
      <c r="I2498" s="33" t="s">
        <v>122</v>
      </c>
      <c r="J2498" s="33">
        <v>55106</v>
      </c>
      <c r="K2498" s="33" t="s">
        <v>3291</v>
      </c>
      <c r="L2498" s="33" t="s">
        <v>4522</v>
      </c>
      <c r="M2498" s="33" t="s">
        <v>21</v>
      </c>
      <c r="N2498" s="33" t="s">
        <v>29478</v>
      </c>
      <c r="O2498" s="33" t="s">
        <v>372</v>
      </c>
      <c r="P2498" s="33" t="s">
        <v>30089</v>
      </c>
      <c r="Q2498" s="33" t="s">
        <v>29479</v>
      </c>
      <c r="R2498" s="33" t="s">
        <v>904</v>
      </c>
      <c r="S2498" s="33" t="s">
        <v>22</v>
      </c>
      <c r="T2498" s="33" t="s">
        <v>26781</v>
      </c>
      <c r="U2498" s="33" t="s">
        <v>26572</v>
      </c>
      <c r="V2498" s="33" t="s">
        <v>26573</v>
      </c>
      <c r="W2498" s="33" t="s">
        <v>512</v>
      </c>
      <c r="X2498" s="33">
        <v>3015</v>
      </c>
      <c r="Z2498" s="33" t="s">
        <v>42968</v>
      </c>
      <c r="AA2498" s="33">
        <v>5167</v>
      </c>
    </row>
    <row r="2499" spans="1:27" ht="12" customHeight="1" x14ac:dyDescent="0.15">
      <c r="A2499" s="33" t="s">
        <v>29452</v>
      </c>
      <c r="B2499" s="33">
        <v>35</v>
      </c>
      <c r="C2499" s="33" t="s">
        <v>14</v>
      </c>
      <c r="D2499" s="33" t="s">
        <v>31</v>
      </c>
      <c r="E2499" s="33" t="s">
        <v>29453</v>
      </c>
      <c r="F2499" s="67">
        <v>43013</v>
      </c>
      <c r="G2499" s="33" t="s">
        <v>29454</v>
      </c>
      <c r="H2499" s="33" t="s">
        <v>29455</v>
      </c>
      <c r="I2499" s="33" t="s">
        <v>160</v>
      </c>
      <c r="J2499" s="33">
        <v>30141</v>
      </c>
      <c r="K2499" s="33" t="s">
        <v>20772</v>
      </c>
      <c r="L2499" s="33" t="s">
        <v>17396</v>
      </c>
      <c r="M2499" s="33" t="s">
        <v>21</v>
      </c>
      <c r="N2499" s="33" t="s">
        <v>29456</v>
      </c>
      <c r="O2499" s="33" t="s">
        <v>372</v>
      </c>
      <c r="P2499" s="33" t="s">
        <v>30089</v>
      </c>
      <c r="Q2499" s="33" t="s">
        <v>29457</v>
      </c>
      <c r="R2499" s="33" t="s">
        <v>94</v>
      </c>
      <c r="S2499" s="33" t="s">
        <v>12</v>
      </c>
      <c r="T2499" s="33" t="s">
        <v>29705</v>
      </c>
      <c r="U2499" s="33" t="s">
        <v>26570</v>
      </c>
      <c r="V2499" s="33" t="s">
        <v>26573</v>
      </c>
      <c r="W2499" s="33" t="s">
        <v>94</v>
      </c>
      <c r="X2499" s="33">
        <v>3009</v>
      </c>
      <c r="Z2499" s="33" t="s">
        <v>42968</v>
      </c>
      <c r="AA2499" s="33">
        <v>5171</v>
      </c>
    </row>
    <row r="2500" spans="1:27" ht="12" customHeight="1" x14ac:dyDescent="0.15">
      <c r="A2500" s="33" t="s">
        <v>29441</v>
      </c>
      <c r="B2500" s="33">
        <v>67</v>
      </c>
      <c r="C2500" s="33" t="s">
        <v>14</v>
      </c>
      <c r="D2500" s="33" t="s">
        <v>31</v>
      </c>
      <c r="E2500" s="33" t="s">
        <v>29442</v>
      </c>
      <c r="F2500" s="67">
        <v>43012</v>
      </c>
      <c r="G2500" s="33" t="s">
        <v>29443</v>
      </c>
      <c r="H2500" s="33" t="s">
        <v>1337</v>
      </c>
      <c r="I2500" s="33" t="s">
        <v>112</v>
      </c>
      <c r="J2500" s="33">
        <v>85201</v>
      </c>
      <c r="K2500" s="33" t="s">
        <v>585</v>
      </c>
      <c r="L2500" s="33" t="s">
        <v>1338</v>
      </c>
      <c r="M2500" s="33" t="s">
        <v>21</v>
      </c>
      <c r="N2500" s="33" t="s">
        <v>29444</v>
      </c>
      <c r="O2500" s="33" t="s">
        <v>372</v>
      </c>
      <c r="P2500" s="33" t="s">
        <v>30089</v>
      </c>
      <c r="Q2500" s="33" t="s">
        <v>29445</v>
      </c>
      <c r="R2500" s="33" t="s">
        <v>23</v>
      </c>
      <c r="S2500" s="33" t="s">
        <v>22</v>
      </c>
      <c r="T2500" s="33" t="s">
        <v>26781</v>
      </c>
      <c r="U2500" s="33" t="s">
        <v>26570</v>
      </c>
      <c r="V2500" s="33" t="s">
        <v>26573</v>
      </c>
      <c r="W2500" s="33" t="s">
        <v>94</v>
      </c>
      <c r="X2500" s="33">
        <v>3021</v>
      </c>
      <c r="Z2500" s="33" t="s">
        <v>42968</v>
      </c>
      <c r="AA2500" s="33">
        <v>5165</v>
      </c>
    </row>
    <row r="2501" spans="1:27" ht="12" customHeight="1" x14ac:dyDescent="0.15">
      <c r="A2501" s="33" t="s">
        <v>29446</v>
      </c>
      <c r="B2501" s="33">
        <v>48</v>
      </c>
      <c r="C2501" s="33" t="s">
        <v>103</v>
      </c>
      <c r="D2501" s="33" t="s">
        <v>79</v>
      </c>
      <c r="F2501" s="67">
        <v>43012</v>
      </c>
      <c r="G2501" s="33" t="s">
        <v>29447</v>
      </c>
      <c r="H2501" s="33" t="s">
        <v>29448</v>
      </c>
      <c r="I2501" s="33" t="s">
        <v>395</v>
      </c>
      <c r="J2501" s="33">
        <v>14424</v>
      </c>
      <c r="K2501" s="33" t="s">
        <v>447</v>
      </c>
      <c r="L2501" s="33" t="s">
        <v>29449</v>
      </c>
      <c r="M2501" s="33" t="s">
        <v>21</v>
      </c>
      <c r="N2501" s="33" t="s">
        <v>29450</v>
      </c>
      <c r="O2501" s="33" t="s">
        <v>372</v>
      </c>
      <c r="P2501" s="33" t="s">
        <v>30089</v>
      </c>
      <c r="Q2501" s="33" t="s">
        <v>29451</v>
      </c>
      <c r="R2501" s="33" t="s">
        <v>23</v>
      </c>
      <c r="S2501" s="33" t="s">
        <v>22</v>
      </c>
      <c r="T2501" s="33" t="s">
        <v>26781</v>
      </c>
      <c r="U2501" s="33" t="s">
        <v>26572</v>
      </c>
      <c r="V2501" s="33" t="s">
        <v>26573</v>
      </c>
      <c r="W2501" s="33" t="s">
        <v>94</v>
      </c>
      <c r="X2501" s="33">
        <v>3012</v>
      </c>
      <c r="Y2501" s="33" t="s">
        <v>42476</v>
      </c>
      <c r="Z2501" s="33" t="s">
        <v>42967</v>
      </c>
      <c r="AA2501" s="33">
        <v>5163</v>
      </c>
    </row>
    <row r="2502" spans="1:27" ht="12" customHeight="1" x14ac:dyDescent="0.15">
      <c r="A2502" s="33" t="s">
        <v>29436</v>
      </c>
      <c r="B2502" s="33">
        <v>34</v>
      </c>
      <c r="C2502" s="33" t="s">
        <v>14</v>
      </c>
      <c r="D2502" s="33" t="s">
        <v>31</v>
      </c>
      <c r="E2502" s="33" t="s">
        <v>29437</v>
      </c>
      <c r="F2502" s="67">
        <v>43012</v>
      </c>
      <c r="G2502" s="33" t="s">
        <v>29438</v>
      </c>
      <c r="H2502" s="33" t="s">
        <v>782</v>
      </c>
      <c r="I2502" s="33" t="s">
        <v>282</v>
      </c>
      <c r="J2502" s="33">
        <v>99205</v>
      </c>
      <c r="K2502" s="33" t="s">
        <v>782</v>
      </c>
      <c r="L2502" s="33" t="s">
        <v>783</v>
      </c>
      <c r="M2502" s="33" t="s">
        <v>21</v>
      </c>
      <c r="N2502" s="33" t="s">
        <v>29439</v>
      </c>
      <c r="O2502" s="33" t="s">
        <v>372</v>
      </c>
      <c r="P2502" s="33" t="s">
        <v>30089</v>
      </c>
      <c r="Q2502" s="33" t="s">
        <v>29440</v>
      </c>
      <c r="R2502" s="33" t="s">
        <v>94</v>
      </c>
      <c r="S2502" s="33" t="s">
        <v>351</v>
      </c>
      <c r="T2502" s="33" t="s">
        <v>26867</v>
      </c>
      <c r="U2502" s="33" t="s">
        <v>26570</v>
      </c>
      <c r="V2502" s="33" t="s">
        <v>26573</v>
      </c>
      <c r="W2502" s="33" t="s">
        <v>94</v>
      </c>
      <c r="X2502" s="33">
        <v>3011</v>
      </c>
      <c r="Z2502" s="33" t="s">
        <v>42968</v>
      </c>
      <c r="AA2502" s="33">
        <v>5166</v>
      </c>
    </row>
    <row r="2503" spans="1:27" ht="12" customHeight="1" x14ac:dyDescent="0.15">
      <c r="A2503" s="33" t="s">
        <v>29428</v>
      </c>
      <c r="B2503" s="33">
        <v>37</v>
      </c>
      <c r="C2503" s="33" t="s">
        <v>14</v>
      </c>
      <c r="D2503" s="33" t="s">
        <v>79</v>
      </c>
      <c r="E2503" s="33" t="s">
        <v>29211</v>
      </c>
      <c r="F2503" s="67">
        <v>43012</v>
      </c>
      <c r="G2503" s="33" t="s">
        <v>29212</v>
      </c>
      <c r="H2503" s="33" t="s">
        <v>28206</v>
      </c>
      <c r="I2503" s="33" t="s">
        <v>160</v>
      </c>
      <c r="J2503" s="33">
        <v>31792</v>
      </c>
      <c r="K2503" s="33" t="s">
        <v>1101</v>
      </c>
      <c r="L2503" s="33" t="s">
        <v>28207</v>
      </c>
      <c r="M2503" s="33" t="s">
        <v>21</v>
      </c>
      <c r="N2503" s="33" t="s">
        <v>30830</v>
      </c>
      <c r="O2503" s="33" t="s">
        <v>372</v>
      </c>
      <c r="P2503" s="33" t="s">
        <v>30089</v>
      </c>
      <c r="Q2503" s="33" t="s">
        <v>29213</v>
      </c>
      <c r="R2503" s="33" t="s">
        <v>94</v>
      </c>
      <c r="S2503" s="33" t="s">
        <v>22</v>
      </c>
      <c r="T2503" s="33" t="s">
        <v>26781</v>
      </c>
      <c r="U2503" s="33" t="s">
        <v>26572</v>
      </c>
      <c r="V2503" s="33" t="s">
        <v>26573</v>
      </c>
      <c r="W2503" s="33" t="s">
        <v>94</v>
      </c>
      <c r="X2503" s="33">
        <v>3013</v>
      </c>
      <c r="Z2503" s="33" t="s">
        <v>42968</v>
      </c>
      <c r="AA2503" s="33">
        <v>5164</v>
      </c>
    </row>
    <row r="2504" spans="1:27" ht="12" customHeight="1" x14ac:dyDescent="0.15">
      <c r="A2504" s="33" t="s">
        <v>29214</v>
      </c>
      <c r="B2504" s="33">
        <v>40</v>
      </c>
      <c r="C2504" s="33" t="s">
        <v>14</v>
      </c>
      <c r="D2504" s="33" t="s">
        <v>31</v>
      </c>
      <c r="F2504" s="67">
        <v>43011</v>
      </c>
      <c r="G2504" s="33" t="s">
        <v>29215</v>
      </c>
      <c r="H2504" s="33" t="s">
        <v>13289</v>
      </c>
      <c r="I2504" s="33" t="s">
        <v>402</v>
      </c>
      <c r="J2504" s="33">
        <v>65101</v>
      </c>
      <c r="K2504" s="33" t="s">
        <v>29216</v>
      </c>
      <c r="L2504" s="33" t="s">
        <v>13291</v>
      </c>
      <c r="M2504" s="33" t="s">
        <v>21</v>
      </c>
      <c r="N2504" s="33" t="s">
        <v>29217</v>
      </c>
      <c r="O2504" s="33" t="s">
        <v>372</v>
      </c>
      <c r="P2504" s="33" t="s">
        <v>30089</v>
      </c>
      <c r="Q2504" s="33" t="s">
        <v>29218</v>
      </c>
      <c r="R2504" s="33" t="s">
        <v>94</v>
      </c>
      <c r="S2504" s="33" t="s">
        <v>22</v>
      </c>
      <c r="T2504" s="33" t="s">
        <v>26579</v>
      </c>
      <c r="U2504" s="33" t="s">
        <v>26572</v>
      </c>
      <c r="V2504" s="33" t="s">
        <v>26573</v>
      </c>
      <c r="W2504" s="33" t="s">
        <v>94</v>
      </c>
      <c r="X2504" s="33">
        <v>3002</v>
      </c>
      <c r="Z2504" s="33" t="s">
        <v>42968</v>
      </c>
      <c r="AA2504" s="33">
        <v>5162</v>
      </c>
    </row>
    <row r="2505" spans="1:27" ht="12" customHeight="1" x14ac:dyDescent="0.15">
      <c r="A2505" s="33" t="s">
        <v>29219</v>
      </c>
      <c r="B2505" s="33">
        <v>22</v>
      </c>
      <c r="C2505" s="33" t="s">
        <v>14</v>
      </c>
      <c r="D2505" s="33" t="s">
        <v>79</v>
      </c>
      <c r="F2505" s="67">
        <v>43010</v>
      </c>
      <c r="G2505" s="33" t="s">
        <v>29220</v>
      </c>
      <c r="H2505" s="33" t="s">
        <v>5172</v>
      </c>
      <c r="I2505" s="33" t="s">
        <v>19</v>
      </c>
      <c r="J2505" s="33">
        <v>71292</v>
      </c>
      <c r="K2505" s="33" t="s">
        <v>5174</v>
      </c>
      <c r="L2505" s="33" t="s">
        <v>22413</v>
      </c>
      <c r="M2505" s="33" t="s">
        <v>21</v>
      </c>
      <c r="N2505" s="33" t="s">
        <v>29221</v>
      </c>
      <c r="O2505" s="33" t="s">
        <v>372</v>
      </c>
      <c r="P2505" s="33" t="s">
        <v>30089</v>
      </c>
      <c r="Q2505" s="33" t="s">
        <v>29222</v>
      </c>
      <c r="R2505" s="33" t="s">
        <v>94</v>
      </c>
      <c r="S2505" s="33" t="s">
        <v>22</v>
      </c>
      <c r="T2505" s="33" t="s">
        <v>26781</v>
      </c>
      <c r="U2505" s="33" t="s">
        <v>26570</v>
      </c>
      <c r="V2505" s="33" t="s">
        <v>26574</v>
      </c>
      <c r="W2505" s="33" t="s">
        <v>94</v>
      </c>
      <c r="X2505" s="33">
        <v>3001</v>
      </c>
      <c r="Z2505" s="33" t="s">
        <v>42967</v>
      </c>
      <c r="AA2505" s="33">
        <v>5161</v>
      </c>
    </row>
    <row r="2506" spans="1:27" ht="12" customHeight="1" x14ac:dyDescent="0.15">
      <c r="A2506" s="33" t="s">
        <v>29223</v>
      </c>
      <c r="B2506" s="33">
        <v>41</v>
      </c>
      <c r="C2506" s="33" t="s">
        <v>14</v>
      </c>
      <c r="D2506" s="33" t="s">
        <v>31</v>
      </c>
      <c r="E2506" s="33" t="s">
        <v>29224</v>
      </c>
      <c r="F2506" s="67">
        <v>43009</v>
      </c>
      <c r="G2506" s="33" t="s">
        <v>29225</v>
      </c>
      <c r="H2506" s="33" t="s">
        <v>29226</v>
      </c>
      <c r="I2506" s="33" t="s">
        <v>309</v>
      </c>
      <c r="J2506" s="33">
        <v>99664</v>
      </c>
      <c r="K2506" s="33" t="s">
        <v>18249</v>
      </c>
      <c r="L2506" s="33" t="s">
        <v>29227</v>
      </c>
      <c r="M2506" s="33" t="s">
        <v>21</v>
      </c>
      <c r="N2506" s="33" t="s">
        <v>30361</v>
      </c>
      <c r="O2506" s="33" t="s">
        <v>372</v>
      </c>
      <c r="P2506" s="33" t="s">
        <v>30089</v>
      </c>
      <c r="Q2506" s="33" t="s">
        <v>29228</v>
      </c>
      <c r="R2506" s="33" t="s">
        <v>23</v>
      </c>
      <c r="S2506" s="33" t="s">
        <v>12</v>
      </c>
      <c r="T2506" s="33" t="s">
        <v>29705</v>
      </c>
      <c r="U2506" s="33" t="s">
        <v>26570</v>
      </c>
      <c r="V2506" s="33" t="s">
        <v>26573</v>
      </c>
      <c r="W2506" s="33" t="s">
        <v>94</v>
      </c>
      <c r="X2506" s="33">
        <v>2998</v>
      </c>
      <c r="Z2506" s="33" t="s">
        <v>42967</v>
      </c>
      <c r="AA2506" s="33">
        <v>5159</v>
      </c>
    </row>
    <row r="2507" spans="1:27" ht="12" customHeight="1" x14ac:dyDescent="0.15">
      <c r="A2507" s="33" t="s">
        <v>29427</v>
      </c>
      <c r="B2507" s="33">
        <v>26</v>
      </c>
      <c r="C2507" s="33" t="s">
        <v>14</v>
      </c>
      <c r="D2507" s="33" t="s">
        <v>31</v>
      </c>
      <c r="F2507" s="67">
        <v>43009</v>
      </c>
      <c r="G2507" s="33" t="s">
        <v>29229</v>
      </c>
      <c r="H2507" s="33" t="s">
        <v>1096</v>
      </c>
      <c r="I2507" s="33" t="s">
        <v>192</v>
      </c>
      <c r="J2507" s="33">
        <v>80524</v>
      </c>
      <c r="K2507" s="33" t="s">
        <v>510</v>
      </c>
      <c r="L2507" s="33" t="s">
        <v>22924</v>
      </c>
      <c r="M2507" s="33" t="s">
        <v>21</v>
      </c>
      <c r="N2507" s="33" t="s">
        <v>29230</v>
      </c>
      <c r="O2507" s="33" t="s">
        <v>372</v>
      </c>
      <c r="P2507" s="33" t="s">
        <v>30089</v>
      </c>
      <c r="Q2507" s="33" t="s">
        <v>29231</v>
      </c>
      <c r="R2507" s="33" t="s">
        <v>94</v>
      </c>
      <c r="S2507" s="33" t="s">
        <v>22</v>
      </c>
      <c r="T2507" s="33" t="s">
        <v>26781</v>
      </c>
      <c r="U2507" s="33" t="s">
        <v>26572</v>
      </c>
      <c r="V2507" s="33" t="s">
        <v>26573</v>
      </c>
      <c r="W2507" s="33" t="s">
        <v>94</v>
      </c>
      <c r="X2507" s="33">
        <v>3000</v>
      </c>
      <c r="Z2507" s="33" t="s">
        <v>42966</v>
      </c>
      <c r="AA2507" s="33">
        <v>5156</v>
      </c>
    </row>
    <row r="2508" spans="1:27" ht="12" customHeight="1" x14ac:dyDescent="0.15">
      <c r="A2508" s="33" t="s">
        <v>29248</v>
      </c>
      <c r="B2508" s="33">
        <v>34</v>
      </c>
      <c r="C2508" s="33" t="s">
        <v>14</v>
      </c>
      <c r="D2508" s="33" t="s">
        <v>31</v>
      </c>
      <c r="E2508" s="33" t="s">
        <v>29249</v>
      </c>
      <c r="F2508" s="67">
        <v>43009</v>
      </c>
      <c r="G2508" s="33" t="s">
        <v>29250</v>
      </c>
      <c r="H2508" s="33" t="s">
        <v>107</v>
      </c>
      <c r="I2508" s="33" t="s">
        <v>376</v>
      </c>
      <c r="J2508" s="33">
        <v>15301</v>
      </c>
      <c r="K2508" s="33" t="s">
        <v>107</v>
      </c>
      <c r="L2508" s="33" t="s">
        <v>473</v>
      </c>
      <c r="M2508" s="33" t="s">
        <v>21</v>
      </c>
      <c r="N2508" s="33" t="s">
        <v>36521</v>
      </c>
      <c r="O2508" s="33" t="s">
        <v>372</v>
      </c>
      <c r="P2508" s="33" t="s">
        <v>30089</v>
      </c>
      <c r="Q2508" s="33" t="s">
        <v>29251</v>
      </c>
      <c r="R2508" s="33" t="s">
        <v>512</v>
      </c>
      <c r="S2508" s="33" t="s">
        <v>22</v>
      </c>
      <c r="T2508" s="33" t="s">
        <v>26774</v>
      </c>
      <c r="U2508" s="33" t="s">
        <v>26570</v>
      </c>
      <c r="V2508" s="33" t="s">
        <v>26573</v>
      </c>
      <c r="W2508" s="33" t="s">
        <v>94</v>
      </c>
      <c r="X2508" s="33">
        <v>2997</v>
      </c>
      <c r="Z2508" s="33" t="s">
        <v>42968</v>
      </c>
      <c r="AA2508" s="33">
        <v>5158</v>
      </c>
    </row>
    <row r="2509" spans="1:27" ht="12" customHeight="1" x14ac:dyDescent="0.15">
      <c r="A2509" s="33" t="s">
        <v>29431</v>
      </c>
      <c r="B2509" s="33">
        <v>38</v>
      </c>
      <c r="C2509" s="33" t="s">
        <v>14</v>
      </c>
      <c r="D2509" s="33" t="s">
        <v>31</v>
      </c>
      <c r="F2509" s="67">
        <v>43009</v>
      </c>
      <c r="G2509" s="33" t="s">
        <v>29432</v>
      </c>
      <c r="H2509" s="33" t="s">
        <v>661</v>
      </c>
      <c r="I2509" s="33" t="s">
        <v>402</v>
      </c>
      <c r="J2509" s="33">
        <v>63123</v>
      </c>
      <c r="K2509" s="33" t="s">
        <v>661</v>
      </c>
      <c r="L2509" s="33" t="s">
        <v>6535</v>
      </c>
      <c r="M2509" s="33" t="s">
        <v>21</v>
      </c>
      <c r="N2509" s="33" t="s">
        <v>29433</v>
      </c>
      <c r="O2509" s="33" t="s">
        <v>372</v>
      </c>
      <c r="P2509" s="33" t="s">
        <v>30089</v>
      </c>
      <c r="Q2509" s="33" t="s">
        <v>29434</v>
      </c>
      <c r="R2509" s="33" t="s">
        <v>512</v>
      </c>
      <c r="S2509" s="33" t="s">
        <v>22</v>
      </c>
      <c r="T2509" s="33" t="s">
        <v>29435</v>
      </c>
      <c r="U2509" s="33" t="s">
        <v>26570</v>
      </c>
      <c r="V2509" s="33" t="s">
        <v>26573</v>
      </c>
      <c r="W2509" s="33" t="s">
        <v>94</v>
      </c>
      <c r="X2509" s="33">
        <v>3022</v>
      </c>
      <c r="Z2509" s="33" t="s">
        <v>42968</v>
      </c>
      <c r="AA2509" s="33">
        <v>5157</v>
      </c>
    </row>
    <row r="2510" spans="1:27" ht="12" customHeight="1" x14ac:dyDescent="0.15">
      <c r="A2510" s="33" t="s">
        <v>29237</v>
      </c>
      <c r="B2510" s="33">
        <v>27</v>
      </c>
      <c r="C2510" s="33" t="s">
        <v>14</v>
      </c>
      <c r="D2510" s="33" t="s">
        <v>79</v>
      </c>
      <c r="E2510" s="33" t="s">
        <v>29238</v>
      </c>
      <c r="F2510" s="67">
        <v>43009</v>
      </c>
      <c r="G2510" s="33" t="s">
        <v>29239</v>
      </c>
      <c r="H2510" s="33" t="s">
        <v>4692</v>
      </c>
      <c r="I2510" s="33" t="s">
        <v>342</v>
      </c>
      <c r="J2510" s="33">
        <v>52601</v>
      </c>
      <c r="K2510" s="33" t="s">
        <v>1734</v>
      </c>
      <c r="L2510" s="33" t="s">
        <v>4694</v>
      </c>
      <c r="M2510" s="33" t="s">
        <v>21</v>
      </c>
      <c r="N2510" s="33" t="s">
        <v>29240</v>
      </c>
      <c r="O2510" s="33" t="s">
        <v>372</v>
      </c>
      <c r="P2510" s="33" t="s">
        <v>30089</v>
      </c>
      <c r="Q2510" s="33" t="s">
        <v>29241</v>
      </c>
      <c r="R2510" s="33" t="s">
        <v>94</v>
      </c>
      <c r="S2510" s="33" t="s">
        <v>22</v>
      </c>
      <c r="T2510" s="33" t="s">
        <v>26781</v>
      </c>
      <c r="U2510" s="33" t="s">
        <v>26570</v>
      </c>
      <c r="V2510" s="33" t="s">
        <v>26574</v>
      </c>
      <c r="W2510" s="33" t="s">
        <v>94</v>
      </c>
      <c r="X2510" s="33">
        <v>2995</v>
      </c>
      <c r="Z2510" s="33" t="s">
        <v>42968</v>
      </c>
      <c r="AA2510" s="33">
        <v>5154</v>
      </c>
    </row>
    <row r="2511" spans="1:27" ht="12" customHeight="1" x14ac:dyDescent="0.15">
      <c r="A2511" s="33" t="s">
        <v>29242</v>
      </c>
      <c r="B2511" s="33">
        <v>33</v>
      </c>
      <c r="C2511" s="33" t="s">
        <v>14</v>
      </c>
      <c r="D2511" s="33" t="s">
        <v>31</v>
      </c>
      <c r="E2511" s="33" t="s">
        <v>29243</v>
      </c>
      <c r="F2511" s="67">
        <v>43009</v>
      </c>
      <c r="G2511" s="33" t="s">
        <v>29244</v>
      </c>
      <c r="H2511" s="33" t="s">
        <v>29245</v>
      </c>
      <c r="I2511" s="33" t="s">
        <v>338</v>
      </c>
      <c r="J2511" s="33">
        <v>28371</v>
      </c>
      <c r="K2511" s="33" t="s">
        <v>5212</v>
      </c>
      <c r="L2511" s="33" t="s">
        <v>5213</v>
      </c>
      <c r="M2511" s="33" t="s">
        <v>21</v>
      </c>
      <c r="N2511" s="33" t="s">
        <v>29246</v>
      </c>
      <c r="O2511" s="33" t="s">
        <v>372</v>
      </c>
      <c r="P2511" s="33" t="s">
        <v>30089</v>
      </c>
      <c r="Q2511" s="33" t="s">
        <v>29247</v>
      </c>
      <c r="R2511" s="33" t="s">
        <v>512</v>
      </c>
      <c r="S2511" s="33" t="s">
        <v>22</v>
      </c>
      <c r="T2511" s="33" t="s">
        <v>26781</v>
      </c>
      <c r="U2511" s="33" t="s">
        <v>26572</v>
      </c>
      <c r="V2511" s="33" t="s">
        <v>26573</v>
      </c>
      <c r="W2511" s="33" t="s">
        <v>94</v>
      </c>
      <c r="X2511" s="33">
        <v>2999</v>
      </c>
      <c r="Z2511" s="33" t="s">
        <v>42967</v>
      </c>
      <c r="AA2511" s="33">
        <v>5155</v>
      </c>
    </row>
    <row r="2512" spans="1:27" ht="12" customHeight="1" x14ac:dyDescent="0.15">
      <c r="A2512" s="33" t="s">
        <v>29232</v>
      </c>
      <c r="B2512" s="33">
        <v>24</v>
      </c>
      <c r="C2512" s="33" t="s">
        <v>14</v>
      </c>
      <c r="D2512" s="33" t="s">
        <v>42</v>
      </c>
      <c r="E2512" s="33" t="s">
        <v>29233</v>
      </c>
      <c r="F2512" s="67">
        <v>43009</v>
      </c>
      <c r="G2512" s="33" t="s">
        <v>29234</v>
      </c>
      <c r="H2512" s="33" t="s">
        <v>196</v>
      </c>
      <c r="I2512" s="33" t="s">
        <v>56</v>
      </c>
      <c r="J2512" s="33">
        <v>33147</v>
      </c>
      <c r="K2512" s="33" t="s">
        <v>148</v>
      </c>
      <c r="L2512" s="33" t="s">
        <v>5903</v>
      </c>
      <c r="M2512" s="33" t="s">
        <v>21</v>
      </c>
      <c r="N2512" s="33" t="s">
        <v>29235</v>
      </c>
      <c r="O2512" s="33" t="s">
        <v>372</v>
      </c>
      <c r="P2512" s="33" t="s">
        <v>30089</v>
      </c>
      <c r="Q2512" s="33" t="s">
        <v>29236</v>
      </c>
      <c r="R2512" s="33" t="s">
        <v>94</v>
      </c>
      <c r="S2512" s="33" t="s">
        <v>351</v>
      </c>
      <c r="T2512" s="33" t="s">
        <v>26867</v>
      </c>
      <c r="U2512" s="33" t="s">
        <v>26572</v>
      </c>
      <c r="V2512" s="33" t="s">
        <v>26571</v>
      </c>
      <c r="W2512" s="33" t="s">
        <v>94</v>
      </c>
      <c r="X2512" s="33">
        <v>2994</v>
      </c>
      <c r="Z2512" s="33" t="s">
        <v>42968</v>
      </c>
      <c r="AA2512" s="33">
        <v>5160</v>
      </c>
    </row>
    <row r="2513" spans="1:43" ht="12" customHeight="1" x14ac:dyDescent="0.15">
      <c r="A2513" s="33" t="s">
        <v>29252</v>
      </c>
      <c r="B2513" s="33">
        <v>28</v>
      </c>
      <c r="C2513" s="33" t="s">
        <v>14</v>
      </c>
      <c r="D2513" s="33" t="s">
        <v>79</v>
      </c>
      <c r="E2513" s="33" t="s">
        <v>29253</v>
      </c>
      <c r="F2513" s="67">
        <v>43008</v>
      </c>
      <c r="G2513" s="33" t="s">
        <v>29254</v>
      </c>
      <c r="H2513" s="33" t="s">
        <v>3110</v>
      </c>
      <c r="I2513" s="33" t="s">
        <v>56</v>
      </c>
      <c r="J2513" s="33">
        <v>32177</v>
      </c>
      <c r="K2513" s="33" t="s">
        <v>1950</v>
      </c>
      <c r="L2513" s="33" t="s">
        <v>29255</v>
      </c>
      <c r="M2513" s="33" t="s">
        <v>21</v>
      </c>
      <c r="N2513" s="33" t="s">
        <v>36522</v>
      </c>
      <c r="O2513" s="33" t="s">
        <v>372</v>
      </c>
      <c r="P2513" s="33" t="s">
        <v>30089</v>
      </c>
      <c r="Q2513" s="33" t="s">
        <v>29256</v>
      </c>
      <c r="R2513" s="33" t="s">
        <v>94</v>
      </c>
      <c r="S2513" s="33" t="s">
        <v>22</v>
      </c>
      <c r="T2513" s="33" t="s">
        <v>26781</v>
      </c>
      <c r="U2513" s="33" t="s">
        <v>26570</v>
      </c>
      <c r="V2513" s="33" t="s">
        <v>26573</v>
      </c>
      <c r="W2513" s="33" t="s">
        <v>94</v>
      </c>
      <c r="X2513" s="33">
        <v>2993</v>
      </c>
      <c r="Z2513" s="33" t="s">
        <v>42967</v>
      </c>
      <c r="AA2513" s="33">
        <v>5153</v>
      </c>
    </row>
    <row r="2514" spans="1:43" ht="12" customHeight="1" x14ac:dyDescent="0.15">
      <c r="A2514" s="33" t="s">
        <v>29257</v>
      </c>
      <c r="B2514" s="33">
        <v>44</v>
      </c>
      <c r="C2514" s="33" t="s">
        <v>14</v>
      </c>
      <c r="D2514" s="33" t="s">
        <v>31</v>
      </c>
      <c r="E2514" s="33" t="s">
        <v>29258</v>
      </c>
      <c r="F2514" s="67">
        <v>43008</v>
      </c>
      <c r="G2514" s="33" t="s">
        <v>29259</v>
      </c>
      <c r="H2514" s="33" t="s">
        <v>23779</v>
      </c>
      <c r="I2514" s="33" t="s">
        <v>198</v>
      </c>
      <c r="J2514" s="33">
        <v>47201</v>
      </c>
      <c r="K2514" s="33" t="s">
        <v>29260</v>
      </c>
      <c r="L2514" s="33" t="s">
        <v>18119</v>
      </c>
      <c r="M2514" s="33" t="s">
        <v>21</v>
      </c>
      <c r="N2514" s="33" t="s">
        <v>29261</v>
      </c>
      <c r="O2514" s="33" t="s">
        <v>372</v>
      </c>
      <c r="P2514" s="33" t="s">
        <v>30089</v>
      </c>
      <c r="Q2514" s="33" t="s">
        <v>29262</v>
      </c>
      <c r="R2514" s="33" t="s">
        <v>94</v>
      </c>
      <c r="S2514" s="33" t="s">
        <v>22</v>
      </c>
      <c r="T2514" s="33" t="s">
        <v>26781</v>
      </c>
      <c r="U2514" s="33" t="s">
        <v>26572</v>
      </c>
      <c r="V2514" s="33" t="s">
        <v>26571</v>
      </c>
      <c r="W2514" s="33" t="s">
        <v>94</v>
      </c>
      <c r="X2514" s="33">
        <v>2992</v>
      </c>
      <c r="Z2514" s="33" t="s">
        <v>42968</v>
      </c>
      <c r="AA2514" s="33">
        <v>5152</v>
      </c>
    </row>
    <row r="2515" spans="1:43" ht="12" customHeight="1" x14ac:dyDescent="0.15">
      <c r="A2515" s="33" t="s">
        <v>29267</v>
      </c>
      <c r="B2515" s="33">
        <v>30</v>
      </c>
      <c r="C2515" s="33" t="s">
        <v>14</v>
      </c>
      <c r="D2515" s="33" t="s">
        <v>79</v>
      </c>
      <c r="E2515" s="33" t="s">
        <v>29268</v>
      </c>
      <c r="F2515" s="67">
        <v>43006</v>
      </c>
      <c r="G2515" s="33" t="s">
        <v>29269</v>
      </c>
      <c r="H2515" s="33" t="s">
        <v>2574</v>
      </c>
      <c r="I2515" s="33" t="s">
        <v>337</v>
      </c>
      <c r="J2515" s="33">
        <v>66607</v>
      </c>
      <c r="K2515" s="33" t="s">
        <v>2576</v>
      </c>
      <c r="L2515" s="33" t="s">
        <v>2577</v>
      </c>
      <c r="M2515" s="33" t="s">
        <v>21</v>
      </c>
      <c r="N2515" s="33" t="s">
        <v>29270</v>
      </c>
      <c r="O2515" s="33" t="s">
        <v>372</v>
      </c>
      <c r="P2515" s="33" t="s">
        <v>30089</v>
      </c>
      <c r="Q2515" s="33" t="s">
        <v>29271</v>
      </c>
      <c r="R2515" s="33" t="s">
        <v>94</v>
      </c>
      <c r="S2515" s="33" t="s">
        <v>22</v>
      </c>
      <c r="T2515" s="33" t="s">
        <v>26781</v>
      </c>
      <c r="U2515" s="33" t="s">
        <v>26572</v>
      </c>
      <c r="V2515" s="33" t="s">
        <v>26574</v>
      </c>
      <c r="X2515" s="33">
        <v>3202</v>
      </c>
      <c r="Z2515" s="33" t="s">
        <v>42966</v>
      </c>
      <c r="AA2515" s="33">
        <v>5149</v>
      </c>
    </row>
    <row r="2516" spans="1:43" ht="12" customHeight="1" x14ac:dyDescent="0.15">
      <c r="A2516" s="33" t="s">
        <v>29272</v>
      </c>
      <c r="B2516" s="33">
        <v>40</v>
      </c>
      <c r="C2516" s="33" t="s">
        <v>14</v>
      </c>
      <c r="D2516" s="33" t="s">
        <v>79</v>
      </c>
      <c r="F2516" s="67">
        <v>43006</v>
      </c>
      <c r="G2516" s="33" t="s">
        <v>29273</v>
      </c>
      <c r="H2516" s="33" t="s">
        <v>22777</v>
      </c>
      <c r="I2516" s="33" t="s">
        <v>67</v>
      </c>
      <c r="J2516" s="33">
        <v>76501</v>
      </c>
      <c r="K2516" s="33" t="s">
        <v>7728</v>
      </c>
      <c r="L2516" s="33" t="s">
        <v>22779</v>
      </c>
      <c r="M2516" s="33" t="s">
        <v>27767</v>
      </c>
      <c r="N2516" s="33" t="s">
        <v>29667</v>
      </c>
      <c r="O2516" s="33" t="s">
        <v>372</v>
      </c>
      <c r="P2516" s="33" t="s">
        <v>30089</v>
      </c>
      <c r="Q2516" s="33" t="s">
        <v>29274</v>
      </c>
      <c r="R2516" s="33" t="s">
        <v>904</v>
      </c>
      <c r="S2516" s="33" t="s">
        <v>12</v>
      </c>
      <c r="T2516" s="33" t="s">
        <v>29705</v>
      </c>
      <c r="U2516" s="33" t="s">
        <v>26570</v>
      </c>
      <c r="V2516" s="33" t="s">
        <v>26573</v>
      </c>
      <c r="Z2516" s="33" t="s">
        <v>42968</v>
      </c>
      <c r="AA2516" s="33">
        <v>5150</v>
      </c>
    </row>
    <row r="2517" spans="1:43" ht="12" customHeight="1" x14ac:dyDescent="0.15">
      <c r="A2517" s="33" t="s">
        <v>3002</v>
      </c>
      <c r="B2517" s="33" t="s">
        <v>29263</v>
      </c>
      <c r="C2517" s="33" t="s">
        <v>14</v>
      </c>
      <c r="D2517" s="33" t="s">
        <v>79</v>
      </c>
      <c r="F2517" s="67">
        <v>43006</v>
      </c>
      <c r="G2517" s="33" t="s">
        <v>29264</v>
      </c>
      <c r="H2517" s="33" t="s">
        <v>557</v>
      </c>
      <c r="I2517" s="33" t="s">
        <v>39</v>
      </c>
      <c r="J2517" s="33">
        <v>94601</v>
      </c>
      <c r="K2517" s="33" t="s">
        <v>558</v>
      </c>
      <c r="L2517" s="33" t="s">
        <v>559</v>
      </c>
      <c r="M2517" s="33" t="s">
        <v>363</v>
      </c>
      <c r="N2517" s="33" t="s">
        <v>29265</v>
      </c>
      <c r="O2517" s="33" t="s">
        <v>372</v>
      </c>
      <c r="P2517" s="33" t="s">
        <v>30089</v>
      </c>
      <c r="Q2517" s="33" t="s">
        <v>29266</v>
      </c>
      <c r="R2517" s="33" t="s">
        <v>23</v>
      </c>
      <c r="S2517" s="33" t="s">
        <v>12</v>
      </c>
      <c r="T2517" s="33" t="s">
        <v>29705</v>
      </c>
      <c r="U2517" s="33" t="s">
        <v>26570</v>
      </c>
      <c r="V2517" s="33" t="s">
        <v>26574</v>
      </c>
      <c r="Z2517" s="33" t="s">
        <v>42966</v>
      </c>
      <c r="AA2517" s="33">
        <v>5151</v>
      </c>
    </row>
    <row r="2518" spans="1:43" ht="12" customHeight="1" x14ac:dyDescent="0.15">
      <c r="A2518" s="33" t="s">
        <v>29275</v>
      </c>
      <c r="B2518" s="33">
        <v>39</v>
      </c>
      <c r="C2518" s="33" t="s">
        <v>14</v>
      </c>
      <c r="D2518" s="33" t="s">
        <v>31</v>
      </c>
      <c r="E2518" s="33" t="s">
        <v>29276</v>
      </c>
      <c r="F2518" s="67">
        <v>43006</v>
      </c>
      <c r="G2518" s="33" t="s">
        <v>29277</v>
      </c>
      <c r="H2518" s="33" t="s">
        <v>220</v>
      </c>
      <c r="I2518" s="33" t="s">
        <v>221</v>
      </c>
      <c r="J2518" s="33">
        <v>84102</v>
      </c>
      <c r="K2518" s="33" t="s">
        <v>564</v>
      </c>
      <c r="L2518" s="33" t="s">
        <v>222</v>
      </c>
      <c r="M2518" s="33" t="s">
        <v>30410</v>
      </c>
      <c r="N2518" s="33" t="s">
        <v>29278</v>
      </c>
      <c r="O2518" s="33" t="s">
        <v>372</v>
      </c>
      <c r="P2518" s="33" t="s">
        <v>30089</v>
      </c>
      <c r="Q2518" s="33" t="s">
        <v>29279</v>
      </c>
      <c r="R2518" s="33" t="s">
        <v>23</v>
      </c>
      <c r="S2518" s="33" t="s">
        <v>22</v>
      </c>
      <c r="T2518" s="33" t="s">
        <v>26592</v>
      </c>
      <c r="U2518" s="33" t="s">
        <v>26570</v>
      </c>
      <c r="V2518" s="33" t="s">
        <v>26573</v>
      </c>
      <c r="W2518" s="33" t="s">
        <v>512</v>
      </c>
      <c r="X2518" s="33">
        <v>2991</v>
      </c>
      <c r="Z2518" s="33" t="s">
        <v>42966</v>
      </c>
      <c r="AA2518" s="33">
        <v>5148</v>
      </c>
      <c r="AQ2518" s="42"/>
    </row>
    <row r="2519" spans="1:43" ht="12" customHeight="1" x14ac:dyDescent="0.15">
      <c r="A2519" s="33" t="s">
        <v>29286</v>
      </c>
      <c r="B2519" s="33">
        <v>44</v>
      </c>
      <c r="C2519" s="33" t="s">
        <v>14</v>
      </c>
      <c r="D2519" s="33" t="s">
        <v>31</v>
      </c>
      <c r="E2519" s="33" t="s">
        <v>29287</v>
      </c>
      <c r="F2519" s="67">
        <v>43005</v>
      </c>
      <c r="G2519" s="33" t="s">
        <v>29288</v>
      </c>
      <c r="H2519" s="33" t="s">
        <v>8839</v>
      </c>
      <c r="I2519" s="33" t="s">
        <v>56</v>
      </c>
      <c r="J2519" s="33">
        <v>34604</v>
      </c>
      <c r="K2519" s="33" t="s">
        <v>8841</v>
      </c>
      <c r="L2519" s="33" t="s">
        <v>29289</v>
      </c>
      <c r="M2519" s="33" t="s">
        <v>21</v>
      </c>
      <c r="N2519" s="33" t="s">
        <v>29290</v>
      </c>
      <c r="O2519" s="33" t="s">
        <v>372</v>
      </c>
      <c r="P2519" s="33" t="s">
        <v>30089</v>
      </c>
      <c r="Q2519" s="33" t="s">
        <v>29291</v>
      </c>
      <c r="R2519" s="33" t="s">
        <v>94</v>
      </c>
      <c r="S2519" s="33" t="s">
        <v>22</v>
      </c>
      <c r="T2519" s="33" t="s">
        <v>26781</v>
      </c>
      <c r="U2519" s="33" t="s">
        <v>26572</v>
      </c>
      <c r="V2519" s="33" t="s">
        <v>26571</v>
      </c>
      <c r="W2519" s="33" t="s">
        <v>94</v>
      </c>
      <c r="X2519" s="33">
        <v>2989</v>
      </c>
      <c r="Z2519" s="33" t="s">
        <v>42968</v>
      </c>
      <c r="AA2519" s="33">
        <v>5146</v>
      </c>
    </row>
    <row r="2520" spans="1:43" ht="12" customHeight="1" x14ac:dyDescent="0.15">
      <c r="A2520" s="33" t="s">
        <v>29292</v>
      </c>
      <c r="B2520" s="33">
        <v>48</v>
      </c>
      <c r="C2520" s="33" t="s">
        <v>14</v>
      </c>
      <c r="D2520" s="33" t="s">
        <v>31</v>
      </c>
      <c r="F2520" s="67">
        <v>43005</v>
      </c>
      <c r="G2520" s="33" t="s">
        <v>29293</v>
      </c>
      <c r="H2520" s="33" t="s">
        <v>29294</v>
      </c>
      <c r="I2520" s="33" t="s">
        <v>160</v>
      </c>
      <c r="J2520" s="33">
        <v>30223</v>
      </c>
      <c r="K2520" s="33" t="s">
        <v>29295</v>
      </c>
      <c r="L2520" s="33" t="s">
        <v>33298</v>
      </c>
      <c r="M2520" s="33" t="s">
        <v>21</v>
      </c>
      <c r="N2520" s="33" t="s">
        <v>29296</v>
      </c>
      <c r="O2520" s="33" t="s">
        <v>372</v>
      </c>
      <c r="P2520" s="33" t="s">
        <v>30089</v>
      </c>
      <c r="Q2520" s="33" t="s">
        <v>29297</v>
      </c>
      <c r="R2520" s="33" t="s">
        <v>512</v>
      </c>
      <c r="S2520" s="33" t="s">
        <v>22</v>
      </c>
      <c r="T2520" s="33" t="s">
        <v>26781</v>
      </c>
      <c r="U2520" s="33" t="s">
        <v>26572</v>
      </c>
      <c r="V2520" s="33" t="s">
        <v>26573</v>
      </c>
      <c r="W2520" s="33" t="s">
        <v>94</v>
      </c>
      <c r="X2520" s="33">
        <v>2990</v>
      </c>
      <c r="Z2520" s="33" t="s">
        <v>42968</v>
      </c>
      <c r="AA2520" s="33">
        <v>5147</v>
      </c>
    </row>
    <row r="2521" spans="1:43" ht="12" customHeight="1" x14ac:dyDescent="0.15">
      <c r="A2521" s="33" t="s">
        <v>29280</v>
      </c>
      <c r="B2521" s="33">
        <v>45</v>
      </c>
      <c r="C2521" s="33" t="s">
        <v>14</v>
      </c>
      <c r="D2521" s="33" t="s">
        <v>79</v>
      </c>
      <c r="E2521" s="33" t="s">
        <v>29281</v>
      </c>
      <c r="F2521" s="67">
        <v>43005</v>
      </c>
      <c r="G2521" s="33" t="s">
        <v>29282</v>
      </c>
      <c r="H2521" s="33" t="s">
        <v>4889</v>
      </c>
      <c r="I2521" s="33" t="s">
        <v>39</v>
      </c>
      <c r="J2521" s="33">
        <v>94710</v>
      </c>
      <c r="K2521" s="33" t="s">
        <v>558</v>
      </c>
      <c r="L2521" s="33" t="s">
        <v>29283</v>
      </c>
      <c r="M2521" s="33" t="s">
        <v>21</v>
      </c>
      <c r="N2521" s="33" t="s">
        <v>29284</v>
      </c>
      <c r="O2521" s="33" t="s">
        <v>372</v>
      </c>
      <c r="P2521" s="33" t="s">
        <v>30089</v>
      </c>
      <c r="Q2521" s="33" t="s">
        <v>29285</v>
      </c>
      <c r="R2521" s="33" t="s">
        <v>94</v>
      </c>
      <c r="S2521" s="33" t="s">
        <v>22</v>
      </c>
      <c r="T2521" s="33" t="s">
        <v>26781</v>
      </c>
      <c r="U2521" s="33" t="s">
        <v>26572</v>
      </c>
      <c r="V2521" s="33" t="s">
        <v>26571</v>
      </c>
      <c r="W2521" s="33" t="s">
        <v>94</v>
      </c>
      <c r="X2521" s="33">
        <v>2987</v>
      </c>
      <c r="Z2521" s="33" t="s">
        <v>42966</v>
      </c>
      <c r="AA2521" s="33">
        <v>5145</v>
      </c>
    </row>
    <row r="2522" spans="1:43" ht="12" customHeight="1" x14ac:dyDescent="0.15">
      <c r="A2522" s="33" t="s">
        <v>29304</v>
      </c>
      <c r="B2522" s="33">
        <v>31</v>
      </c>
      <c r="C2522" s="33" t="s">
        <v>14</v>
      </c>
      <c r="D2522" s="33" t="s">
        <v>31</v>
      </c>
      <c r="E2522" s="33" t="s">
        <v>29305</v>
      </c>
      <c r="F2522" s="67">
        <v>43004</v>
      </c>
      <c r="G2522" s="33" t="s">
        <v>29306</v>
      </c>
      <c r="H2522" s="33" t="s">
        <v>2944</v>
      </c>
      <c r="I2522" s="33" t="s">
        <v>106</v>
      </c>
      <c r="J2522" s="33">
        <v>97404</v>
      </c>
      <c r="K2522" s="33" t="s">
        <v>2946</v>
      </c>
      <c r="L2522" s="33" t="s">
        <v>2947</v>
      </c>
      <c r="M2522" s="33" t="s">
        <v>21</v>
      </c>
      <c r="N2522" s="33" t="s">
        <v>29307</v>
      </c>
      <c r="O2522" s="33" t="s">
        <v>372</v>
      </c>
      <c r="P2522" s="33" t="s">
        <v>30089</v>
      </c>
      <c r="Q2522" s="33" t="s">
        <v>29308</v>
      </c>
      <c r="R2522" s="33" t="s">
        <v>94</v>
      </c>
      <c r="S2522" s="33" t="s">
        <v>22</v>
      </c>
      <c r="T2522" s="33" t="s">
        <v>26781</v>
      </c>
      <c r="U2522" s="33" t="s">
        <v>26572</v>
      </c>
      <c r="V2522" s="33" t="s">
        <v>26573</v>
      </c>
      <c r="W2522" s="33" t="s">
        <v>94</v>
      </c>
      <c r="X2522" s="33">
        <v>2985</v>
      </c>
      <c r="Z2522" s="33" t="s">
        <v>42968</v>
      </c>
      <c r="AA2522" s="33">
        <v>5143</v>
      </c>
    </row>
    <row r="2523" spans="1:43" ht="12" customHeight="1" x14ac:dyDescent="0.15">
      <c r="A2523" s="33" t="s">
        <v>29309</v>
      </c>
      <c r="B2523" s="33">
        <v>50</v>
      </c>
      <c r="C2523" s="33" t="s">
        <v>14</v>
      </c>
      <c r="D2523" s="33" t="s">
        <v>31</v>
      </c>
      <c r="E2523" s="33" t="s">
        <v>29310</v>
      </c>
      <c r="F2523" s="67">
        <v>43004</v>
      </c>
      <c r="G2523" s="33" t="s">
        <v>29311</v>
      </c>
      <c r="H2523" s="33" t="s">
        <v>7963</v>
      </c>
      <c r="I2523" s="33" t="s">
        <v>298</v>
      </c>
      <c r="J2523" s="33">
        <v>37062</v>
      </c>
      <c r="K2523" s="33" t="s">
        <v>2397</v>
      </c>
      <c r="L2523" s="33" t="s">
        <v>29312</v>
      </c>
      <c r="M2523" s="33" t="s">
        <v>21</v>
      </c>
      <c r="N2523" s="33" t="s">
        <v>36523</v>
      </c>
      <c r="O2523" s="33" t="s">
        <v>372</v>
      </c>
      <c r="P2523" s="33" t="s">
        <v>30089</v>
      </c>
      <c r="Q2523" s="33" t="s">
        <v>29313</v>
      </c>
      <c r="R2523" s="33" t="s">
        <v>94</v>
      </c>
      <c r="S2523" s="33" t="s">
        <v>22</v>
      </c>
      <c r="T2523" s="33" t="s">
        <v>26781</v>
      </c>
      <c r="U2523" s="33" t="s">
        <v>26572</v>
      </c>
      <c r="V2523" s="33" t="s">
        <v>26573</v>
      </c>
      <c r="W2523" s="33" t="s">
        <v>94</v>
      </c>
      <c r="X2523" s="33">
        <v>2984</v>
      </c>
      <c r="Z2523" s="33" t="s">
        <v>42967</v>
      </c>
      <c r="AA2523" s="33">
        <v>5142</v>
      </c>
    </row>
    <row r="2524" spans="1:43" ht="12" customHeight="1" x14ac:dyDescent="0.15">
      <c r="A2524" s="33" t="s">
        <v>29298</v>
      </c>
      <c r="B2524" s="33">
        <v>50</v>
      </c>
      <c r="C2524" s="33" t="s">
        <v>14</v>
      </c>
      <c r="D2524" s="33" t="s">
        <v>31</v>
      </c>
      <c r="E2524" s="33" t="s">
        <v>29299</v>
      </c>
      <c r="F2524" s="67">
        <v>43004</v>
      </c>
      <c r="G2524" s="33" t="s">
        <v>29300</v>
      </c>
      <c r="H2524" s="33" t="s">
        <v>29301</v>
      </c>
      <c r="I2524" s="33" t="s">
        <v>735</v>
      </c>
      <c r="J2524" s="33">
        <v>83821</v>
      </c>
      <c r="K2524" s="33" t="s">
        <v>736</v>
      </c>
      <c r="L2524" s="33" t="s">
        <v>7917</v>
      </c>
      <c r="M2524" s="33" t="s">
        <v>21</v>
      </c>
      <c r="N2524" s="33" t="s">
        <v>29302</v>
      </c>
      <c r="O2524" s="33" t="s">
        <v>372</v>
      </c>
      <c r="P2524" s="33" t="s">
        <v>30089</v>
      </c>
      <c r="Q2524" s="33" t="s">
        <v>29303</v>
      </c>
      <c r="R2524" s="33" t="s">
        <v>94</v>
      </c>
      <c r="S2524" s="33" t="s">
        <v>22</v>
      </c>
      <c r="T2524" s="33" t="s">
        <v>26781</v>
      </c>
      <c r="U2524" s="33" t="s">
        <v>26570</v>
      </c>
      <c r="V2524" s="33" t="s">
        <v>26573</v>
      </c>
      <c r="W2524" s="33" t="s">
        <v>94</v>
      </c>
      <c r="X2524" s="33">
        <v>2986</v>
      </c>
      <c r="Z2524" s="33" t="s">
        <v>42967</v>
      </c>
      <c r="AA2524" s="33">
        <v>5144</v>
      </c>
    </row>
    <row r="2525" spans="1:43" ht="12" customHeight="1" x14ac:dyDescent="0.15">
      <c r="A2525" s="33" t="s">
        <v>29317</v>
      </c>
      <c r="B2525" s="33">
        <v>32</v>
      </c>
      <c r="C2525" s="33" t="s">
        <v>14</v>
      </c>
      <c r="D2525" s="33" t="s">
        <v>79</v>
      </c>
      <c r="E2525" s="33" t="s">
        <v>29318</v>
      </c>
      <c r="F2525" s="67">
        <v>43003</v>
      </c>
      <c r="G2525" s="33" t="s">
        <v>29319</v>
      </c>
      <c r="H2525" s="33" t="s">
        <v>17392</v>
      </c>
      <c r="I2525" s="33" t="s">
        <v>56</v>
      </c>
      <c r="J2525" s="33">
        <v>34221</v>
      </c>
      <c r="K2525" s="33" t="s">
        <v>3279</v>
      </c>
      <c r="L2525" s="33" t="s">
        <v>29320</v>
      </c>
      <c r="M2525" s="33" t="s">
        <v>21</v>
      </c>
      <c r="N2525" s="33" t="s">
        <v>36524</v>
      </c>
      <c r="O2525" s="33" t="s">
        <v>372</v>
      </c>
      <c r="P2525" s="33" t="s">
        <v>30089</v>
      </c>
      <c r="Q2525" s="33" t="s">
        <v>29321</v>
      </c>
      <c r="R2525" s="33" t="s">
        <v>94</v>
      </c>
      <c r="S2525" s="33" t="s">
        <v>22</v>
      </c>
      <c r="T2525" s="33" t="s">
        <v>26781</v>
      </c>
      <c r="U2525" s="33" t="s">
        <v>26572</v>
      </c>
      <c r="V2525" s="33" t="s">
        <v>26574</v>
      </c>
      <c r="W2525" s="33" t="s">
        <v>94</v>
      </c>
      <c r="X2525" s="33">
        <v>2976</v>
      </c>
      <c r="Z2525" s="33" t="s">
        <v>42968</v>
      </c>
      <c r="AA2525" s="33">
        <v>5140</v>
      </c>
    </row>
    <row r="2526" spans="1:43" ht="12" customHeight="1" x14ac:dyDescent="0.15">
      <c r="A2526" s="33" t="s">
        <v>29314</v>
      </c>
      <c r="B2526" s="33">
        <v>31</v>
      </c>
      <c r="C2526" s="33" t="s">
        <v>14</v>
      </c>
      <c r="D2526" s="33" t="s">
        <v>31</v>
      </c>
      <c r="F2526" s="67">
        <v>43003</v>
      </c>
      <c r="G2526" s="33" t="s">
        <v>29315</v>
      </c>
      <c r="H2526" s="33" t="s">
        <v>607</v>
      </c>
      <c r="I2526" s="33" t="s">
        <v>250</v>
      </c>
      <c r="J2526" s="33">
        <v>89102</v>
      </c>
      <c r="K2526" s="33" t="s">
        <v>527</v>
      </c>
      <c r="L2526" s="33" t="s">
        <v>528</v>
      </c>
      <c r="M2526" s="33" t="s">
        <v>21</v>
      </c>
      <c r="N2526" s="33" t="s">
        <v>36525</v>
      </c>
      <c r="O2526" s="33" t="s">
        <v>372</v>
      </c>
      <c r="P2526" s="33" t="s">
        <v>30089</v>
      </c>
      <c r="Q2526" s="33" t="s">
        <v>29316</v>
      </c>
      <c r="R2526" s="33" t="s">
        <v>904</v>
      </c>
      <c r="S2526" s="33" t="s">
        <v>22</v>
      </c>
      <c r="T2526" s="33" t="s">
        <v>27803</v>
      </c>
      <c r="U2526" s="33" t="s">
        <v>26572</v>
      </c>
      <c r="V2526" s="33" t="s">
        <v>26573</v>
      </c>
      <c r="W2526" s="33" t="s">
        <v>512</v>
      </c>
      <c r="X2526" s="33">
        <v>2978</v>
      </c>
      <c r="Z2526" s="33" t="s">
        <v>42966</v>
      </c>
      <c r="AA2526" s="33">
        <v>5141</v>
      </c>
    </row>
    <row r="2527" spans="1:43" ht="12" customHeight="1" x14ac:dyDescent="0.15">
      <c r="A2527" s="33" t="s">
        <v>29327</v>
      </c>
      <c r="B2527" s="33">
        <v>46</v>
      </c>
      <c r="C2527" s="33" t="s">
        <v>14</v>
      </c>
      <c r="D2527" s="33" t="s">
        <v>79</v>
      </c>
      <c r="F2527" s="67">
        <v>43002</v>
      </c>
      <c r="G2527" s="33" t="s">
        <v>29328</v>
      </c>
      <c r="H2527" s="33" t="s">
        <v>886</v>
      </c>
      <c r="I2527" s="33" t="s">
        <v>39</v>
      </c>
      <c r="J2527" s="33">
        <v>94133</v>
      </c>
      <c r="K2527" s="33" t="s">
        <v>886</v>
      </c>
      <c r="L2527" s="33" t="s">
        <v>887</v>
      </c>
      <c r="M2527" s="33" t="s">
        <v>21</v>
      </c>
      <c r="N2527" s="33" t="s">
        <v>29329</v>
      </c>
      <c r="O2527" s="33" t="s">
        <v>372</v>
      </c>
      <c r="P2527" s="33" t="s">
        <v>30089</v>
      </c>
      <c r="Q2527" s="33" t="s">
        <v>29330</v>
      </c>
      <c r="R2527" s="33" t="s">
        <v>94</v>
      </c>
      <c r="S2527" s="33" t="s">
        <v>22</v>
      </c>
      <c r="T2527" s="33" t="s">
        <v>26781</v>
      </c>
      <c r="U2527" s="33" t="s">
        <v>26570</v>
      </c>
      <c r="V2527" s="33" t="s">
        <v>26573</v>
      </c>
      <c r="W2527" s="33" t="s">
        <v>94</v>
      </c>
      <c r="X2527" s="33">
        <v>2975</v>
      </c>
      <c r="Z2527" s="33" t="s">
        <v>42966</v>
      </c>
      <c r="AA2527" s="33">
        <v>5138</v>
      </c>
    </row>
    <row r="2528" spans="1:43" ht="12" customHeight="1" x14ac:dyDescent="0.15">
      <c r="A2528" s="33" t="s">
        <v>29322</v>
      </c>
      <c r="B2528" s="33">
        <v>24</v>
      </c>
      <c r="C2528" s="33" t="s">
        <v>14</v>
      </c>
      <c r="D2528" s="33" t="s">
        <v>31</v>
      </c>
      <c r="E2528" s="33" t="s">
        <v>29323</v>
      </c>
      <c r="F2528" s="67">
        <v>43002</v>
      </c>
      <c r="G2528" s="33" t="s">
        <v>29324</v>
      </c>
      <c r="H2528" s="33" t="s">
        <v>3496</v>
      </c>
      <c r="I2528" s="33" t="s">
        <v>198</v>
      </c>
      <c r="J2528" s="33">
        <v>47362</v>
      </c>
      <c r="K2528" s="33" t="s">
        <v>7624</v>
      </c>
      <c r="L2528" s="33" t="s">
        <v>26244</v>
      </c>
      <c r="M2528" s="33" t="s">
        <v>21</v>
      </c>
      <c r="N2528" s="33" t="s">
        <v>29325</v>
      </c>
      <c r="O2528" s="33" t="s">
        <v>372</v>
      </c>
      <c r="P2528" s="33" t="s">
        <v>30089</v>
      </c>
      <c r="Q2528" s="33" t="s">
        <v>29326</v>
      </c>
      <c r="R2528" s="33" t="s">
        <v>94</v>
      </c>
      <c r="S2528" s="33" t="s">
        <v>22</v>
      </c>
      <c r="T2528" s="33" t="s">
        <v>26781</v>
      </c>
      <c r="U2528" s="33" t="s">
        <v>26572</v>
      </c>
      <c r="V2528" s="33" t="s">
        <v>26574</v>
      </c>
      <c r="W2528" s="33" t="s">
        <v>94</v>
      </c>
      <c r="X2528" s="33">
        <v>2983</v>
      </c>
      <c r="Z2528" s="33" t="s">
        <v>42968</v>
      </c>
      <c r="AA2528" s="33">
        <v>5139</v>
      </c>
    </row>
    <row r="2529" spans="1:27" ht="12" customHeight="1" x14ac:dyDescent="0.15">
      <c r="A2529" s="33" t="s">
        <v>29336</v>
      </c>
      <c r="B2529" s="33">
        <v>36</v>
      </c>
      <c r="C2529" s="33" t="s">
        <v>14</v>
      </c>
      <c r="D2529" s="33" t="s">
        <v>42</v>
      </c>
      <c r="F2529" s="67">
        <v>43001</v>
      </c>
      <c r="G2529" s="33" t="s">
        <v>29337</v>
      </c>
      <c r="H2529" s="33" t="s">
        <v>29338</v>
      </c>
      <c r="I2529" s="33" t="s">
        <v>395</v>
      </c>
      <c r="J2529" s="33">
        <v>11096</v>
      </c>
      <c r="K2529" s="33" t="s">
        <v>5127</v>
      </c>
      <c r="L2529" s="33" t="s">
        <v>29339</v>
      </c>
      <c r="M2529" s="33" t="s">
        <v>363</v>
      </c>
      <c r="N2529" s="33" t="s">
        <v>29340</v>
      </c>
      <c r="O2529" s="33" t="s">
        <v>372</v>
      </c>
      <c r="P2529" s="33" t="s">
        <v>30089</v>
      </c>
      <c r="Q2529" s="33" t="s">
        <v>29341</v>
      </c>
      <c r="R2529" s="33" t="s">
        <v>904</v>
      </c>
      <c r="S2529" s="33" t="s">
        <v>12</v>
      </c>
      <c r="T2529" s="33" t="s">
        <v>29705</v>
      </c>
      <c r="U2529" s="33" t="s">
        <v>26570</v>
      </c>
      <c r="V2529" s="33" t="s">
        <v>26573</v>
      </c>
      <c r="Z2529" s="33" t="s">
        <v>42968</v>
      </c>
      <c r="AA2529" s="33">
        <v>5137</v>
      </c>
    </row>
    <row r="2530" spans="1:27" ht="12" customHeight="1" x14ac:dyDescent="0.15">
      <c r="A2530" s="33" t="s">
        <v>29331</v>
      </c>
      <c r="B2530" s="33">
        <v>40</v>
      </c>
      <c r="C2530" s="33" t="s">
        <v>14</v>
      </c>
      <c r="D2530" s="33" t="s">
        <v>31</v>
      </c>
      <c r="E2530" s="33" t="s">
        <v>29332</v>
      </c>
      <c r="F2530" s="67">
        <v>43001</v>
      </c>
      <c r="G2530" s="33" t="s">
        <v>29333</v>
      </c>
      <c r="H2530" s="33" t="s">
        <v>6834</v>
      </c>
      <c r="I2530" s="33" t="s">
        <v>621</v>
      </c>
      <c r="J2530" s="33">
        <v>39401</v>
      </c>
      <c r="K2530" s="33" t="s">
        <v>25000</v>
      </c>
      <c r="L2530" s="33" t="s">
        <v>25001</v>
      </c>
      <c r="M2530" s="33" t="s">
        <v>21</v>
      </c>
      <c r="N2530" s="33" t="s">
        <v>29334</v>
      </c>
      <c r="O2530" s="33" t="s">
        <v>372</v>
      </c>
      <c r="P2530" s="33" t="s">
        <v>30089</v>
      </c>
      <c r="Q2530" s="33" t="s">
        <v>29335</v>
      </c>
      <c r="R2530" s="33" t="s">
        <v>23</v>
      </c>
      <c r="S2530" s="33" t="s">
        <v>22</v>
      </c>
      <c r="T2530" s="33" t="s">
        <v>26781</v>
      </c>
      <c r="U2530" s="33" t="s">
        <v>26572</v>
      </c>
      <c r="V2530" s="33" t="s">
        <v>26573</v>
      </c>
      <c r="W2530" s="33" t="s">
        <v>94</v>
      </c>
      <c r="X2530" s="33">
        <v>2981</v>
      </c>
      <c r="Z2530" s="33" t="s">
        <v>42968</v>
      </c>
      <c r="AA2530" s="33">
        <v>5136</v>
      </c>
    </row>
    <row r="2531" spans="1:27" ht="12" customHeight="1" x14ac:dyDescent="0.15">
      <c r="A2531" s="33" t="s">
        <v>29345</v>
      </c>
      <c r="B2531" s="33">
        <v>27</v>
      </c>
      <c r="C2531" s="33" t="s">
        <v>14</v>
      </c>
      <c r="D2531" s="33" t="s">
        <v>31</v>
      </c>
      <c r="E2531" s="33" t="s">
        <v>29346</v>
      </c>
      <c r="F2531" s="67">
        <v>43000</v>
      </c>
      <c r="G2531" s="33" t="s">
        <v>29347</v>
      </c>
      <c r="H2531" s="33" t="s">
        <v>5942</v>
      </c>
      <c r="I2531" s="33" t="s">
        <v>39</v>
      </c>
      <c r="J2531" s="33">
        <v>92647</v>
      </c>
      <c r="K2531" s="33" t="s">
        <v>998</v>
      </c>
      <c r="L2531" s="33" t="s">
        <v>5944</v>
      </c>
      <c r="M2531" s="33" t="s">
        <v>21</v>
      </c>
      <c r="N2531" s="33" t="s">
        <v>29348</v>
      </c>
      <c r="O2531" s="33" t="s">
        <v>372</v>
      </c>
      <c r="P2531" s="33" t="s">
        <v>30089</v>
      </c>
      <c r="Q2531" s="33" t="s">
        <v>29349</v>
      </c>
      <c r="R2531" s="33" t="s">
        <v>512</v>
      </c>
      <c r="S2531" s="33" t="s">
        <v>22</v>
      </c>
      <c r="T2531" s="33" t="s">
        <v>26781</v>
      </c>
      <c r="U2531" s="33" t="s">
        <v>26572</v>
      </c>
      <c r="V2531" s="33" t="s">
        <v>26573</v>
      </c>
      <c r="W2531" s="33" t="s">
        <v>94</v>
      </c>
      <c r="X2531" s="33">
        <v>2977</v>
      </c>
      <c r="Z2531" s="33" t="s">
        <v>42966</v>
      </c>
      <c r="AA2531" s="33">
        <v>5131</v>
      </c>
    </row>
    <row r="2532" spans="1:27" ht="12" customHeight="1" x14ac:dyDescent="0.15">
      <c r="A2532" s="33" t="s">
        <v>29350</v>
      </c>
      <c r="B2532" s="33">
        <v>28</v>
      </c>
      <c r="C2532" s="33" t="s">
        <v>14</v>
      </c>
      <c r="D2532" s="33" t="s">
        <v>31</v>
      </c>
      <c r="E2532" s="33" t="s">
        <v>29351</v>
      </c>
      <c r="F2532" s="67">
        <v>43000</v>
      </c>
      <c r="G2532" s="33" t="s">
        <v>29352</v>
      </c>
      <c r="H2532" s="33" t="s">
        <v>1337</v>
      </c>
      <c r="I2532" s="33" t="s">
        <v>112</v>
      </c>
      <c r="J2532" s="33">
        <v>85208</v>
      </c>
      <c r="K2532" s="33" t="s">
        <v>585</v>
      </c>
      <c r="L2532" s="33" t="s">
        <v>1338</v>
      </c>
      <c r="M2532" s="33" t="s">
        <v>21</v>
      </c>
      <c r="N2532" s="33" t="s">
        <v>29353</v>
      </c>
      <c r="O2532" s="33" t="s">
        <v>372</v>
      </c>
      <c r="P2532" s="33" t="s">
        <v>30089</v>
      </c>
      <c r="Q2532" s="33" t="s">
        <v>29354</v>
      </c>
      <c r="R2532" s="33" t="s">
        <v>23</v>
      </c>
      <c r="S2532" s="33" t="s">
        <v>22</v>
      </c>
      <c r="T2532" s="33" t="s">
        <v>26781</v>
      </c>
      <c r="U2532" s="33" t="s">
        <v>26572</v>
      </c>
      <c r="V2532" s="33" t="s">
        <v>26573</v>
      </c>
      <c r="W2532" s="33" t="s">
        <v>94</v>
      </c>
      <c r="X2532" s="33">
        <v>2980</v>
      </c>
      <c r="Z2532" s="33" t="s">
        <v>42968</v>
      </c>
      <c r="AA2532" s="33">
        <v>5132</v>
      </c>
    </row>
    <row r="2533" spans="1:27" ht="12" customHeight="1" x14ac:dyDescent="0.15">
      <c r="A2533" s="33" t="s">
        <v>29359</v>
      </c>
      <c r="B2533" s="33">
        <v>44</v>
      </c>
      <c r="C2533" s="33" t="s">
        <v>14</v>
      </c>
      <c r="D2533" s="33" t="s">
        <v>31</v>
      </c>
      <c r="E2533" s="33" t="s">
        <v>29360</v>
      </c>
      <c r="F2533" s="67">
        <v>43000</v>
      </c>
      <c r="G2533" s="33" t="s">
        <v>29361</v>
      </c>
      <c r="H2533" s="33" t="s">
        <v>9090</v>
      </c>
      <c r="I2533" s="33" t="s">
        <v>56</v>
      </c>
      <c r="J2533" s="33">
        <v>34601</v>
      </c>
      <c r="K2533" s="33" t="s">
        <v>8841</v>
      </c>
      <c r="L2533" s="33" t="s">
        <v>8842</v>
      </c>
      <c r="M2533" s="33" t="s">
        <v>21</v>
      </c>
      <c r="N2533" s="33" t="s">
        <v>36526</v>
      </c>
      <c r="O2533" s="33" t="s">
        <v>372</v>
      </c>
      <c r="P2533" s="33" t="s">
        <v>30089</v>
      </c>
      <c r="Q2533" s="33" t="s">
        <v>29362</v>
      </c>
      <c r="R2533" s="33" t="s">
        <v>94</v>
      </c>
      <c r="S2533" s="33" t="s">
        <v>351</v>
      </c>
      <c r="T2533" s="33" t="s">
        <v>26867</v>
      </c>
      <c r="U2533" s="33" t="s">
        <v>26572</v>
      </c>
      <c r="V2533" s="33" t="s">
        <v>26571</v>
      </c>
      <c r="W2533" s="33" t="s">
        <v>94</v>
      </c>
      <c r="X2533" s="33">
        <v>2982</v>
      </c>
      <c r="Z2533" s="33" t="s">
        <v>42967</v>
      </c>
      <c r="AA2533" s="33">
        <v>5135</v>
      </c>
    </row>
    <row r="2534" spans="1:27" ht="12" customHeight="1" x14ac:dyDescent="0.15">
      <c r="A2534" s="33" t="s">
        <v>3002</v>
      </c>
      <c r="B2534" s="33">
        <v>30</v>
      </c>
      <c r="C2534" s="33" t="s">
        <v>14</v>
      </c>
      <c r="D2534" s="33" t="s">
        <v>31</v>
      </c>
      <c r="F2534" s="67">
        <v>43000</v>
      </c>
      <c r="G2534" s="33" t="s">
        <v>29342</v>
      </c>
      <c r="H2534" s="33" t="s">
        <v>25252</v>
      </c>
      <c r="I2534" s="33" t="s">
        <v>192</v>
      </c>
      <c r="J2534" s="33">
        <v>80022</v>
      </c>
      <c r="K2534" s="33" t="s">
        <v>1790</v>
      </c>
      <c r="L2534" s="33" t="s">
        <v>9286</v>
      </c>
      <c r="M2534" s="33" t="s">
        <v>21</v>
      </c>
      <c r="N2534" s="33" t="s">
        <v>29343</v>
      </c>
      <c r="O2534" s="33" t="s">
        <v>372</v>
      </c>
      <c r="P2534" s="33" t="s">
        <v>30089</v>
      </c>
      <c r="Q2534" s="33" t="s">
        <v>29344</v>
      </c>
      <c r="R2534" s="33" t="s">
        <v>94</v>
      </c>
      <c r="S2534" s="33" t="s">
        <v>29</v>
      </c>
      <c r="T2534" s="33" t="s">
        <v>26575</v>
      </c>
      <c r="U2534" s="33" t="s">
        <v>26570</v>
      </c>
      <c r="V2534" s="33" t="s">
        <v>26573</v>
      </c>
      <c r="W2534" s="33" t="s">
        <v>94</v>
      </c>
      <c r="X2534" s="33">
        <v>2979</v>
      </c>
      <c r="Z2534" s="33" t="s">
        <v>42968</v>
      </c>
      <c r="AA2534" s="33">
        <v>5134</v>
      </c>
    </row>
    <row r="2535" spans="1:27" ht="12" customHeight="1" x14ac:dyDescent="0.15">
      <c r="A2535" s="33" t="s">
        <v>29697</v>
      </c>
      <c r="B2535" s="33">
        <v>26</v>
      </c>
      <c r="C2535" s="33" t="s">
        <v>14</v>
      </c>
      <c r="D2535" s="33" t="s">
        <v>42</v>
      </c>
      <c r="F2535" s="67">
        <v>43000</v>
      </c>
      <c r="G2535" s="33" t="s">
        <v>29355</v>
      </c>
      <c r="H2535" s="33" t="s">
        <v>837</v>
      </c>
      <c r="I2535" s="33" t="s">
        <v>39</v>
      </c>
      <c r="J2535" s="33">
        <v>92056</v>
      </c>
      <c r="K2535" s="33" t="s">
        <v>143</v>
      </c>
      <c r="L2535" s="33" t="s">
        <v>29356</v>
      </c>
      <c r="M2535" s="33" t="s">
        <v>21</v>
      </c>
      <c r="N2535" s="33" t="s">
        <v>29357</v>
      </c>
      <c r="O2535" s="33" t="s">
        <v>372</v>
      </c>
      <c r="P2535" s="33" t="s">
        <v>30089</v>
      </c>
      <c r="Q2535" s="33" t="s">
        <v>29358</v>
      </c>
      <c r="R2535" s="33" t="s">
        <v>94</v>
      </c>
      <c r="S2535" s="33" t="s">
        <v>22</v>
      </c>
      <c r="T2535" s="33" t="s">
        <v>29419</v>
      </c>
      <c r="U2535" s="33" t="s">
        <v>26572</v>
      </c>
      <c r="V2535" s="33" t="s">
        <v>26573</v>
      </c>
      <c r="W2535" s="33" t="s">
        <v>94</v>
      </c>
      <c r="X2535" s="33">
        <v>2971</v>
      </c>
      <c r="Z2535" s="33" t="s">
        <v>42968</v>
      </c>
      <c r="AA2535" s="33">
        <v>5133</v>
      </c>
    </row>
    <row r="2536" spans="1:27" ht="12" customHeight="1" x14ac:dyDescent="0.15">
      <c r="A2536" s="33" t="s">
        <v>29363</v>
      </c>
      <c r="B2536" s="33">
        <v>25</v>
      </c>
      <c r="C2536" s="33" t="s">
        <v>14</v>
      </c>
      <c r="D2536" s="33" t="s">
        <v>128</v>
      </c>
      <c r="E2536" s="33" t="s">
        <v>29364</v>
      </c>
      <c r="F2536" s="67">
        <v>42999</v>
      </c>
      <c r="G2536" s="33" t="s">
        <v>29365</v>
      </c>
      <c r="H2536" s="33" t="s">
        <v>29366</v>
      </c>
      <c r="I2536" s="33" t="s">
        <v>192</v>
      </c>
      <c r="J2536" s="33">
        <v>80127</v>
      </c>
      <c r="K2536" s="33" t="s">
        <v>1659</v>
      </c>
      <c r="L2536" s="33" t="s">
        <v>1579</v>
      </c>
      <c r="M2536" s="33" t="s">
        <v>21</v>
      </c>
      <c r="N2536" s="33" t="s">
        <v>36527</v>
      </c>
      <c r="O2536" s="33" t="s">
        <v>372</v>
      </c>
      <c r="P2536" s="33" t="s">
        <v>30089</v>
      </c>
      <c r="Q2536" s="33" t="s">
        <v>29367</v>
      </c>
      <c r="R2536" s="33" t="s">
        <v>94</v>
      </c>
      <c r="S2536" s="33" t="s">
        <v>29</v>
      </c>
      <c r="T2536" s="33" t="s">
        <v>26575</v>
      </c>
      <c r="U2536" s="33" t="s">
        <v>26570</v>
      </c>
      <c r="V2536" s="33" t="s">
        <v>26573</v>
      </c>
      <c r="W2536" s="33" t="s">
        <v>94</v>
      </c>
      <c r="X2536" s="33">
        <v>2973</v>
      </c>
      <c r="Z2536" s="33" t="s">
        <v>42968</v>
      </c>
      <c r="AA2536" s="33">
        <v>5129</v>
      </c>
    </row>
    <row r="2537" spans="1:27" ht="12" customHeight="1" x14ac:dyDescent="0.15">
      <c r="A2537" s="33" t="s">
        <v>29373</v>
      </c>
      <c r="B2537" s="33">
        <v>40</v>
      </c>
      <c r="C2537" s="33" t="s">
        <v>14</v>
      </c>
      <c r="D2537" s="33" t="s">
        <v>31</v>
      </c>
      <c r="F2537" s="67">
        <v>42999</v>
      </c>
      <c r="G2537" s="33" t="s">
        <v>29374</v>
      </c>
      <c r="H2537" s="33" t="s">
        <v>826</v>
      </c>
      <c r="I2537" s="33" t="s">
        <v>282</v>
      </c>
      <c r="J2537" s="33">
        <v>98404</v>
      </c>
      <c r="K2537" s="33" t="s">
        <v>827</v>
      </c>
      <c r="L2537" s="33" t="s">
        <v>19834</v>
      </c>
      <c r="M2537" s="33" t="s">
        <v>21</v>
      </c>
      <c r="N2537" s="33" t="s">
        <v>29375</v>
      </c>
      <c r="O2537" s="33" t="s">
        <v>372</v>
      </c>
      <c r="P2537" s="33" t="s">
        <v>30089</v>
      </c>
      <c r="Q2537" s="33" t="s">
        <v>29376</v>
      </c>
      <c r="R2537" s="33" t="s">
        <v>512</v>
      </c>
      <c r="S2537" s="33" t="s">
        <v>22</v>
      </c>
      <c r="T2537" s="33" t="s">
        <v>26774</v>
      </c>
      <c r="U2537" s="33" t="s">
        <v>26570</v>
      </c>
      <c r="V2537" s="33" t="s">
        <v>26573</v>
      </c>
      <c r="X2537" s="33">
        <v>2972</v>
      </c>
      <c r="Z2537" s="33" t="s">
        <v>42968</v>
      </c>
      <c r="AA2537" s="33">
        <v>5128</v>
      </c>
    </row>
    <row r="2538" spans="1:27" ht="12" customHeight="1" x14ac:dyDescent="0.15">
      <c r="A2538" s="33" t="s">
        <v>29368</v>
      </c>
      <c r="B2538" s="33">
        <v>58</v>
      </c>
      <c r="C2538" s="33" t="s">
        <v>14</v>
      </c>
      <c r="D2538" s="33" t="s">
        <v>31</v>
      </c>
      <c r="F2538" s="67">
        <v>42999</v>
      </c>
      <c r="G2538" s="33" t="s">
        <v>29369</v>
      </c>
      <c r="H2538" s="33" t="s">
        <v>2946</v>
      </c>
      <c r="I2538" s="33" t="s">
        <v>367</v>
      </c>
      <c r="J2538" s="33">
        <v>74555</v>
      </c>
      <c r="K2538" s="33" t="s">
        <v>29370</v>
      </c>
      <c r="L2538" s="33" t="s">
        <v>1904</v>
      </c>
      <c r="M2538" s="33" t="s">
        <v>21</v>
      </c>
      <c r="N2538" s="33" t="s">
        <v>29371</v>
      </c>
      <c r="O2538" s="33" t="s">
        <v>372</v>
      </c>
      <c r="P2538" s="33" t="s">
        <v>30089</v>
      </c>
      <c r="Q2538" s="33" t="s">
        <v>29372</v>
      </c>
      <c r="R2538" s="33" t="s">
        <v>94</v>
      </c>
      <c r="S2538" s="33" t="s">
        <v>22</v>
      </c>
      <c r="T2538" s="33" t="s">
        <v>26781</v>
      </c>
      <c r="U2538" s="33" t="s">
        <v>26572</v>
      </c>
      <c r="V2538" s="33" t="s">
        <v>26571</v>
      </c>
      <c r="X2538" s="33">
        <v>2970</v>
      </c>
      <c r="Z2538" s="33" t="s">
        <v>42967</v>
      </c>
      <c r="AA2538" s="33">
        <v>5127</v>
      </c>
    </row>
    <row r="2539" spans="1:27" ht="12" customHeight="1" x14ac:dyDescent="0.15">
      <c r="A2539" s="33" t="s">
        <v>29377</v>
      </c>
      <c r="B2539" s="33">
        <v>38</v>
      </c>
      <c r="C2539" s="33" t="s">
        <v>14</v>
      </c>
      <c r="D2539" s="33" t="s">
        <v>42</v>
      </c>
      <c r="E2539" s="33" t="s">
        <v>29378</v>
      </c>
      <c r="F2539" s="67">
        <v>42999</v>
      </c>
      <c r="G2539" s="33" t="s">
        <v>29379</v>
      </c>
      <c r="H2539" s="33" t="s">
        <v>29380</v>
      </c>
      <c r="I2539" s="33" t="s">
        <v>67</v>
      </c>
      <c r="J2539" s="33">
        <v>75087</v>
      </c>
      <c r="K2539" s="33" t="s">
        <v>29380</v>
      </c>
      <c r="L2539" s="33" t="s">
        <v>29381</v>
      </c>
      <c r="M2539" s="33" t="s">
        <v>21</v>
      </c>
      <c r="N2539" s="33" t="s">
        <v>29382</v>
      </c>
      <c r="O2539" s="33" t="s">
        <v>372</v>
      </c>
      <c r="P2539" s="33" t="s">
        <v>30089</v>
      </c>
      <c r="Q2539" s="33" t="s">
        <v>29383</v>
      </c>
      <c r="R2539" s="33" t="s">
        <v>94</v>
      </c>
      <c r="S2539" s="33" t="s">
        <v>351</v>
      </c>
      <c r="T2539" s="33" t="s">
        <v>26867</v>
      </c>
      <c r="U2539" s="33" t="s">
        <v>26572</v>
      </c>
      <c r="V2539" s="33" t="s">
        <v>26573</v>
      </c>
      <c r="X2539" s="33">
        <v>2974</v>
      </c>
      <c r="Z2539" s="33" t="s">
        <v>42968</v>
      </c>
      <c r="AA2539" s="33">
        <v>5130</v>
      </c>
    </row>
    <row r="2540" spans="1:27" ht="12" customHeight="1" x14ac:dyDescent="0.15">
      <c r="A2540" s="33" t="s">
        <v>36965</v>
      </c>
      <c r="B2540" s="33">
        <v>31</v>
      </c>
      <c r="C2540" s="33" t="s">
        <v>14</v>
      </c>
      <c r="D2540" s="33" t="s">
        <v>79</v>
      </c>
      <c r="F2540" s="67">
        <v>42998</v>
      </c>
      <c r="G2540" s="33" t="s">
        <v>29384</v>
      </c>
      <c r="H2540" s="33" t="s">
        <v>2012</v>
      </c>
      <c r="I2540" s="33" t="s">
        <v>88</v>
      </c>
      <c r="J2540" s="33">
        <v>35810</v>
      </c>
      <c r="K2540" s="33" t="s">
        <v>2014</v>
      </c>
      <c r="L2540" s="33" t="s">
        <v>2015</v>
      </c>
      <c r="M2540" s="33" t="s">
        <v>21</v>
      </c>
      <c r="N2540" s="33" t="s">
        <v>29385</v>
      </c>
      <c r="O2540" s="33" t="s">
        <v>372</v>
      </c>
      <c r="P2540" s="33" t="s">
        <v>30089</v>
      </c>
      <c r="Q2540" s="33" t="s">
        <v>29386</v>
      </c>
      <c r="R2540" s="33" t="s">
        <v>94</v>
      </c>
      <c r="S2540" s="33" t="s">
        <v>22</v>
      </c>
      <c r="T2540" s="33" t="s">
        <v>26781</v>
      </c>
      <c r="U2540" s="33" t="s">
        <v>26572</v>
      </c>
      <c r="V2540" s="33" t="s">
        <v>26573</v>
      </c>
      <c r="X2540" s="33">
        <v>2969</v>
      </c>
      <c r="Z2540" s="33" t="s">
        <v>42968</v>
      </c>
      <c r="AA2540" s="33">
        <v>5126</v>
      </c>
    </row>
    <row r="2541" spans="1:27" ht="12" customHeight="1" x14ac:dyDescent="0.15">
      <c r="A2541" s="33" t="s">
        <v>29387</v>
      </c>
      <c r="B2541" s="33">
        <v>25</v>
      </c>
      <c r="C2541" s="33" t="s">
        <v>14</v>
      </c>
      <c r="D2541" s="33" t="s">
        <v>79</v>
      </c>
      <c r="E2541" s="33" t="s">
        <v>29388</v>
      </c>
      <c r="F2541" s="67">
        <v>42998</v>
      </c>
      <c r="G2541" s="33" t="s">
        <v>29389</v>
      </c>
      <c r="H2541" s="33" t="s">
        <v>3230</v>
      </c>
      <c r="I2541" s="33" t="s">
        <v>38</v>
      </c>
      <c r="J2541" s="33">
        <v>61604</v>
      </c>
      <c r="K2541" s="33" t="s">
        <v>3230</v>
      </c>
      <c r="L2541" s="33" t="s">
        <v>29390</v>
      </c>
      <c r="M2541" s="33" t="s">
        <v>21</v>
      </c>
      <c r="N2541" s="33" t="s">
        <v>36528</v>
      </c>
      <c r="O2541" s="33" t="s">
        <v>372</v>
      </c>
      <c r="P2541" s="33" t="s">
        <v>30089</v>
      </c>
      <c r="Q2541" s="33" t="s">
        <v>29391</v>
      </c>
      <c r="R2541" s="33" t="s">
        <v>94</v>
      </c>
      <c r="S2541" s="33" t="s">
        <v>22</v>
      </c>
      <c r="T2541" s="33" t="s">
        <v>26781</v>
      </c>
      <c r="U2541" s="33" t="s">
        <v>26570</v>
      </c>
      <c r="V2541" s="33" t="s">
        <v>26573</v>
      </c>
      <c r="X2541" s="33">
        <v>2968</v>
      </c>
      <c r="Z2541" s="33" t="s">
        <v>42968</v>
      </c>
      <c r="AA2541" s="33">
        <v>5125</v>
      </c>
    </row>
    <row r="2542" spans="1:27" ht="12" customHeight="1" x14ac:dyDescent="0.15">
      <c r="A2542" s="33" t="s">
        <v>29392</v>
      </c>
      <c r="B2542" s="33">
        <v>27</v>
      </c>
      <c r="C2542" s="33" t="s">
        <v>14</v>
      </c>
      <c r="D2542" s="33" t="s">
        <v>31</v>
      </c>
      <c r="F2542" s="67">
        <v>42997</v>
      </c>
      <c r="G2542" s="33" t="s">
        <v>29393</v>
      </c>
      <c r="H2542" s="33" t="s">
        <v>5546</v>
      </c>
      <c r="I2542" s="33" t="s">
        <v>39</v>
      </c>
      <c r="J2542" s="33">
        <v>91910</v>
      </c>
      <c r="K2542" s="33" t="s">
        <v>143</v>
      </c>
      <c r="L2542" s="33" t="s">
        <v>5548</v>
      </c>
      <c r="M2542" s="33" t="s">
        <v>21</v>
      </c>
      <c r="N2542" s="33" t="s">
        <v>29394</v>
      </c>
      <c r="O2542" s="33" t="s">
        <v>372</v>
      </c>
      <c r="P2542" s="33" t="s">
        <v>30089</v>
      </c>
      <c r="Q2542" s="33" t="s">
        <v>29395</v>
      </c>
      <c r="R2542" s="33" t="s">
        <v>94</v>
      </c>
      <c r="S2542" s="33" t="s">
        <v>22</v>
      </c>
      <c r="T2542" s="33" t="s">
        <v>26774</v>
      </c>
      <c r="U2542" s="33" t="s">
        <v>26572</v>
      </c>
      <c r="V2542" s="33" t="s">
        <v>26573</v>
      </c>
      <c r="X2542" s="33">
        <v>2967</v>
      </c>
      <c r="Z2542" s="33" t="s">
        <v>42968</v>
      </c>
      <c r="AA2542" s="33">
        <v>5122</v>
      </c>
    </row>
    <row r="2543" spans="1:27" ht="12" customHeight="1" x14ac:dyDescent="0.15">
      <c r="A2543" s="33" t="s">
        <v>3002</v>
      </c>
      <c r="B2543" s="33" t="s">
        <v>23</v>
      </c>
      <c r="C2543" s="33" t="s">
        <v>14</v>
      </c>
      <c r="D2543" s="33" t="s">
        <v>30751</v>
      </c>
      <c r="F2543" s="67">
        <v>42997</v>
      </c>
      <c r="G2543" s="33" t="s">
        <v>29399</v>
      </c>
      <c r="H2543" s="33" t="s">
        <v>29400</v>
      </c>
      <c r="I2543" s="33" t="s">
        <v>67</v>
      </c>
      <c r="J2543" s="33">
        <v>77571</v>
      </c>
      <c r="K2543" s="33" t="s">
        <v>515</v>
      </c>
      <c r="L2543" s="33" t="s">
        <v>29401</v>
      </c>
      <c r="M2543" s="33" t="s">
        <v>21</v>
      </c>
      <c r="N2543" s="33" t="s">
        <v>29402</v>
      </c>
      <c r="O2543" s="33" t="s">
        <v>372</v>
      </c>
      <c r="P2543" s="33" t="s">
        <v>30089</v>
      </c>
      <c r="Q2543" s="33" t="s">
        <v>29403</v>
      </c>
      <c r="R2543" s="33" t="s">
        <v>23</v>
      </c>
      <c r="S2543" s="33" t="s">
        <v>22</v>
      </c>
      <c r="T2543" s="33" t="s">
        <v>26781</v>
      </c>
      <c r="U2543" s="33" t="s">
        <v>26572</v>
      </c>
      <c r="V2543" s="33" t="s">
        <v>26573</v>
      </c>
      <c r="W2543" s="33" t="s">
        <v>94</v>
      </c>
      <c r="X2543" s="33">
        <v>2966</v>
      </c>
      <c r="Z2543" s="33" t="s">
        <v>42968</v>
      </c>
      <c r="AA2543" s="33">
        <v>5120</v>
      </c>
    </row>
    <row r="2544" spans="1:27" ht="12" customHeight="1" x14ac:dyDescent="0.15">
      <c r="A2544" s="33" t="s">
        <v>29414</v>
      </c>
      <c r="B2544" s="33">
        <v>53</v>
      </c>
      <c r="C2544" s="33" t="s">
        <v>14</v>
      </c>
      <c r="D2544" s="33" t="s">
        <v>31</v>
      </c>
      <c r="E2544" s="33" t="s">
        <v>29415</v>
      </c>
      <c r="F2544" s="67">
        <v>42997</v>
      </c>
      <c r="G2544" s="33" t="s">
        <v>29416</v>
      </c>
      <c r="H2544" s="33" t="s">
        <v>29417</v>
      </c>
      <c r="I2544" s="33" t="s">
        <v>19</v>
      </c>
      <c r="J2544" s="33">
        <v>71222</v>
      </c>
      <c r="K2544" s="33" t="s">
        <v>622</v>
      </c>
      <c r="L2544" s="33" t="s">
        <v>36529</v>
      </c>
      <c r="M2544" s="33" t="s">
        <v>21</v>
      </c>
      <c r="N2544" s="33" t="s">
        <v>36530</v>
      </c>
      <c r="O2544" s="33" t="s">
        <v>372</v>
      </c>
      <c r="P2544" s="33" t="s">
        <v>30089</v>
      </c>
      <c r="Q2544" s="33" t="s">
        <v>29418</v>
      </c>
      <c r="R2544" s="33" t="s">
        <v>23</v>
      </c>
      <c r="S2544" s="33" t="s">
        <v>29</v>
      </c>
      <c r="T2544" s="33" t="s">
        <v>26575</v>
      </c>
      <c r="U2544" s="33" t="s">
        <v>26575</v>
      </c>
      <c r="V2544" s="33" t="s">
        <v>26573</v>
      </c>
      <c r="X2544" s="33">
        <v>2964</v>
      </c>
      <c r="Z2544" s="33" t="s">
        <v>42967</v>
      </c>
      <c r="AA2544" s="33">
        <v>5124</v>
      </c>
    </row>
    <row r="2545" spans="1:46" ht="12" customHeight="1" x14ac:dyDescent="0.15">
      <c r="A2545" s="33" t="s">
        <v>29404</v>
      </c>
      <c r="B2545" s="33">
        <v>35</v>
      </c>
      <c r="C2545" s="33" t="s">
        <v>14</v>
      </c>
      <c r="D2545" s="33" t="s">
        <v>42</v>
      </c>
      <c r="E2545" s="33" t="s">
        <v>29405</v>
      </c>
      <c r="F2545" s="67">
        <v>42997</v>
      </c>
      <c r="G2545" s="33" t="s">
        <v>29406</v>
      </c>
      <c r="H2545" s="33" t="s">
        <v>1027</v>
      </c>
      <c r="I2545" s="33" t="s">
        <v>367</v>
      </c>
      <c r="J2545" s="33">
        <v>73129</v>
      </c>
      <c r="K2545" s="33" t="s">
        <v>1028</v>
      </c>
      <c r="L2545" s="33" t="s">
        <v>1029</v>
      </c>
      <c r="M2545" s="33" t="s">
        <v>21</v>
      </c>
      <c r="N2545" s="33" t="s">
        <v>29407</v>
      </c>
      <c r="O2545" s="33" t="s">
        <v>372</v>
      </c>
      <c r="P2545" s="33" t="s">
        <v>30089</v>
      </c>
      <c r="Q2545" s="33" t="s">
        <v>29408</v>
      </c>
      <c r="R2545" s="33" t="s">
        <v>94</v>
      </c>
      <c r="S2545" s="33" t="s">
        <v>29</v>
      </c>
      <c r="T2545" s="33" t="s">
        <v>26584</v>
      </c>
      <c r="U2545" s="33" t="s">
        <v>26570</v>
      </c>
      <c r="V2545" s="33" t="s">
        <v>26573</v>
      </c>
      <c r="X2545" s="33">
        <v>2965</v>
      </c>
      <c r="Z2545" s="33" t="s">
        <v>42966</v>
      </c>
      <c r="AA2545" s="33">
        <v>5123</v>
      </c>
    </row>
    <row r="2546" spans="1:46" ht="12" customHeight="1" x14ac:dyDescent="0.15">
      <c r="A2546" s="33" t="s">
        <v>29409</v>
      </c>
      <c r="B2546" s="33">
        <v>25</v>
      </c>
      <c r="C2546" s="33" t="s">
        <v>14</v>
      </c>
      <c r="D2546" s="33" t="s">
        <v>31</v>
      </c>
      <c r="E2546" s="33" t="s">
        <v>29410</v>
      </c>
      <c r="F2546" s="67">
        <v>42997</v>
      </c>
      <c r="G2546" s="33" t="s">
        <v>29411</v>
      </c>
      <c r="H2546" s="33" t="s">
        <v>1037</v>
      </c>
      <c r="I2546" s="33" t="s">
        <v>338</v>
      </c>
      <c r="J2546" s="33">
        <v>28110</v>
      </c>
      <c r="K2546" s="33" t="s">
        <v>622</v>
      </c>
      <c r="L2546" s="33" t="s">
        <v>4611</v>
      </c>
      <c r="M2546" s="33" t="s">
        <v>21</v>
      </c>
      <c r="N2546" s="33" t="s">
        <v>29412</v>
      </c>
      <c r="O2546" s="33" t="s">
        <v>372</v>
      </c>
      <c r="P2546" s="33" t="s">
        <v>30089</v>
      </c>
      <c r="Q2546" s="33" t="s">
        <v>29413</v>
      </c>
      <c r="R2546" s="33" t="s">
        <v>94</v>
      </c>
      <c r="S2546" s="33" t="s">
        <v>22</v>
      </c>
      <c r="T2546" s="33" t="s">
        <v>29419</v>
      </c>
      <c r="U2546" s="33" t="s">
        <v>26575</v>
      </c>
      <c r="V2546" s="33" t="s">
        <v>26571</v>
      </c>
      <c r="X2546" s="33">
        <v>2962</v>
      </c>
      <c r="Z2546" s="33" t="s">
        <v>42968</v>
      </c>
      <c r="AA2546" s="33">
        <v>5121</v>
      </c>
    </row>
    <row r="2547" spans="1:46" ht="12" customHeight="1" x14ac:dyDescent="0.15">
      <c r="A2547" s="33" t="s">
        <v>36964</v>
      </c>
      <c r="B2547" s="33">
        <v>55</v>
      </c>
      <c r="C2547" s="33" t="s">
        <v>14</v>
      </c>
      <c r="D2547" s="33" t="s">
        <v>31</v>
      </c>
      <c r="F2547" s="67">
        <v>42997</v>
      </c>
      <c r="G2547" s="33" t="s">
        <v>29396</v>
      </c>
      <c r="H2547" s="33" t="s">
        <v>4913</v>
      </c>
      <c r="I2547" s="33" t="s">
        <v>225</v>
      </c>
      <c r="J2547" s="33">
        <v>24348</v>
      </c>
      <c r="K2547" s="33" t="s">
        <v>18016</v>
      </c>
      <c r="L2547" s="33" t="s">
        <v>226</v>
      </c>
      <c r="M2547" s="33" t="s">
        <v>21</v>
      </c>
      <c r="N2547" s="33" t="s">
        <v>29397</v>
      </c>
      <c r="O2547" s="33" t="s">
        <v>372</v>
      </c>
      <c r="P2547" s="33" t="s">
        <v>30089</v>
      </c>
      <c r="Q2547" s="33" t="s">
        <v>29398</v>
      </c>
      <c r="R2547" s="33" t="s">
        <v>94</v>
      </c>
      <c r="S2547" s="33" t="s">
        <v>22</v>
      </c>
      <c r="T2547" s="33" t="s">
        <v>26781</v>
      </c>
      <c r="U2547" s="33" t="s">
        <v>26572</v>
      </c>
      <c r="V2547" s="33" t="s">
        <v>26573</v>
      </c>
      <c r="X2547" s="33">
        <v>2963</v>
      </c>
      <c r="Z2547" s="33" t="s">
        <v>42967</v>
      </c>
      <c r="AA2547" s="33">
        <v>5119</v>
      </c>
    </row>
    <row r="2548" spans="1:46" ht="12" customHeight="1" x14ac:dyDescent="0.15">
      <c r="A2548" s="33" t="s">
        <v>29176</v>
      </c>
      <c r="B2548" s="33">
        <v>31</v>
      </c>
      <c r="C2548" s="33" t="s">
        <v>14</v>
      </c>
      <c r="D2548" s="33" t="s">
        <v>31</v>
      </c>
      <c r="E2548" s="42" t="s">
        <v>29177</v>
      </c>
      <c r="F2548" s="67">
        <v>42996</v>
      </c>
      <c r="G2548" s="33" t="s">
        <v>29178</v>
      </c>
      <c r="H2548" s="33" t="s">
        <v>8576</v>
      </c>
      <c r="I2548" s="33" t="s">
        <v>88</v>
      </c>
      <c r="J2548" s="33">
        <v>36272</v>
      </c>
      <c r="K2548" s="33" t="s">
        <v>5619</v>
      </c>
      <c r="L2548" s="33" t="s">
        <v>21862</v>
      </c>
      <c r="M2548" s="33" t="s">
        <v>21</v>
      </c>
      <c r="N2548" s="33" t="s">
        <v>29179</v>
      </c>
      <c r="O2548" s="33" t="s">
        <v>372</v>
      </c>
      <c r="P2548" s="33" t="s">
        <v>30089</v>
      </c>
      <c r="Q2548" s="42" t="s">
        <v>29180</v>
      </c>
      <c r="R2548" s="33" t="s">
        <v>512</v>
      </c>
      <c r="S2548" s="33" t="s">
        <v>29</v>
      </c>
      <c r="T2548" s="36" t="s">
        <v>26576</v>
      </c>
      <c r="U2548" s="36" t="s">
        <v>26570</v>
      </c>
      <c r="V2548" s="36" t="s">
        <v>26573</v>
      </c>
      <c r="W2548" s="36" t="s">
        <v>94</v>
      </c>
      <c r="X2548" s="33">
        <v>2959</v>
      </c>
      <c r="Z2548" s="33" t="s">
        <v>42967</v>
      </c>
      <c r="AA2548" s="33">
        <v>5118</v>
      </c>
      <c r="AQ2548" s="42"/>
    </row>
    <row r="2549" spans="1:46" ht="12" customHeight="1" x14ac:dyDescent="0.15">
      <c r="A2549" s="33" t="s">
        <v>29182</v>
      </c>
      <c r="B2549" s="33" t="s">
        <v>23</v>
      </c>
      <c r="C2549" s="33" t="s">
        <v>14</v>
      </c>
      <c r="D2549" s="33" t="s">
        <v>42</v>
      </c>
      <c r="F2549" s="67">
        <v>42995</v>
      </c>
      <c r="G2549" s="33" t="s">
        <v>29163</v>
      </c>
      <c r="H2549" s="33" t="s">
        <v>92</v>
      </c>
      <c r="I2549" s="33" t="s">
        <v>39</v>
      </c>
      <c r="J2549" s="33">
        <v>90033</v>
      </c>
      <c r="K2549" s="33" t="s">
        <v>92</v>
      </c>
      <c r="L2549" s="33" t="s">
        <v>897</v>
      </c>
      <c r="M2549" s="33" t="s">
        <v>30353</v>
      </c>
      <c r="N2549" s="33" t="s">
        <v>29164</v>
      </c>
      <c r="O2549" s="33" t="s">
        <v>372</v>
      </c>
      <c r="P2549" s="33" t="s">
        <v>30089</v>
      </c>
      <c r="Q2549" s="42" t="s">
        <v>29165</v>
      </c>
      <c r="R2549" s="33" t="s">
        <v>23</v>
      </c>
      <c r="S2549" s="33" t="s">
        <v>22</v>
      </c>
      <c r="T2549" s="36" t="s">
        <v>26774</v>
      </c>
      <c r="U2549" s="36" t="s">
        <v>26570</v>
      </c>
      <c r="V2549" s="36" t="s">
        <v>26573</v>
      </c>
      <c r="W2549" s="36" t="s">
        <v>94</v>
      </c>
      <c r="X2549" s="33">
        <v>2958</v>
      </c>
      <c r="Z2549" s="33" t="s">
        <v>42966</v>
      </c>
      <c r="AA2549" s="33">
        <v>5117</v>
      </c>
    </row>
    <row r="2550" spans="1:46" ht="12" customHeight="1" x14ac:dyDescent="0.15">
      <c r="A2550" s="33" t="s">
        <v>29183</v>
      </c>
      <c r="B2550" s="33">
        <v>37</v>
      </c>
      <c r="C2550" s="33" t="s">
        <v>14</v>
      </c>
      <c r="D2550" s="33" t="s">
        <v>31</v>
      </c>
      <c r="F2550" s="67">
        <v>42995</v>
      </c>
      <c r="G2550" s="33" t="s">
        <v>29166</v>
      </c>
      <c r="H2550" s="33" t="s">
        <v>29167</v>
      </c>
      <c r="I2550" s="33" t="s">
        <v>282</v>
      </c>
      <c r="J2550" s="33">
        <v>98277</v>
      </c>
      <c r="K2550" s="33" t="s">
        <v>29168</v>
      </c>
      <c r="L2550" s="33" t="s">
        <v>29169</v>
      </c>
      <c r="M2550" s="33" t="s">
        <v>21</v>
      </c>
      <c r="N2550" s="33" t="s">
        <v>29170</v>
      </c>
      <c r="O2550" s="33" t="s">
        <v>372</v>
      </c>
      <c r="P2550" s="33" t="s">
        <v>30089</v>
      </c>
      <c r="Q2550" s="42" t="s">
        <v>29171</v>
      </c>
      <c r="R2550" s="33" t="s">
        <v>512</v>
      </c>
      <c r="S2550" s="33" t="s">
        <v>22</v>
      </c>
      <c r="T2550" s="36" t="s">
        <v>26781</v>
      </c>
      <c r="U2550" s="36" t="s">
        <v>26572</v>
      </c>
      <c r="V2550" s="36" t="s">
        <v>26573</v>
      </c>
      <c r="W2550" s="36" t="s">
        <v>94</v>
      </c>
      <c r="X2550" s="33">
        <v>2960</v>
      </c>
      <c r="Z2550" s="33" t="s">
        <v>42968</v>
      </c>
      <c r="AA2550" s="33">
        <v>5115</v>
      </c>
    </row>
    <row r="2551" spans="1:46" ht="12" customHeight="1" x14ac:dyDescent="0.15">
      <c r="A2551" s="33" t="s">
        <v>29184</v>
      </c>
      <c r="B2551" s="33">
        <v>21</v>
      </c>
      <c r="C2551" s="33" t="s">
        <v>14</v>
      </c>
      <c r="D2551" s="33" t="s">
        <v>79</v>
      </c>
      <c r="F2551" s="67">
        <v>42995</v>
      </c>
      <c r="G2551" s="33" t="s">
        <v>29172</v>
      </c>
      <c r="H2551" s="33" t="s">
        <v>29173</v>
      </c>
      <c r="I2551" s="33" t="s">
        <v>139</v>
      </c>
      <c r="J2551" s="33">
        <v>26451</v>
      </c>
      <c r="K2551" s="33" t="s">
        <v>3687</v>
      </c>
      <c r="L2551" s="33" t="s">
        <v>11075</v>
      </c>
      <c r="M2551" s="33" t="s">
        <v>21</v>
      </c>
      <c r="N2551" s="33" t="s">
        <v>29174</v>
      </c>
      <c r="O2551" s="33" t="s">
        <v>372</v>
      </c>
      <c r="P2551" s="33" t="s">
        <v>30089</v>
      </c>
      <c r="Q2551" s="42" t="s">
        <v>29175</v>
      </c>
      <c r="R2551" s="33" t="s">
        <v>94</v>
      </c>
      <c r="S2551" s="33" t="s">
        <v>22</v>
      </c>
      <c r="T2551" s="36" t="s">
        <v>26781</v>
      </c>
      <c r="U2551" s="36" t="s">
        <v>26572</v>
      </c>
      <c r="V2551" s="36" t="s">
        <v>26574</v>
      </c>
      <c r="W2551" s="36" t="s">
        <v>94</v>
      </c>
      <c r="X2551" s="33">
        <v>2961</v>
      </c>
      <c r="Z2551" s="33" t="s">
        <v>42968</v>
      </c>
      <c r="AA2551" s="33">
        <v>5116</v>
      </c>
      <c r="AQ2551" s="42"/>
    </row>
    <row r="2552" spans="1:46" ht="12" customHeight="1" x14ac:dyDescent="0.15">
      <c r="A2552" s="33" t="s">
        <v>29157</v>
      </c>
      <c r="B2552" s="33">
        <v>21</v>
      </c>
      <c r="C2552" s="33" t="s">
        <v>20419</v>
      </c>
      <c r="D2552" s="33" t="s">
        <v>31</v>
      </c>
      <c r="E2552" s="42" t="s">
        <v>29158</v>
      </c>
      <c r="F2552" s="67">
        <v>42994</v>
      </c>
      <c r="G2552" s="33" t="s">
        <v>29159</v>
      </c>
      <c r="H2552" s="33" t="s">
        <v>1786</v>
      </c>
      <c r="I2552" s="33" t="s">
        <v>160</v>
      </c>
      <c r="J2552" s="33">
        <v>30318</v>
      </c>
      <c r="K2552" s="33" t="s">
        <v>1454</v>
      </c>
      <c r="L2552" s="33" t="s">
        <v>29160</v>
      </c>
      <c r="M2552" s="33" t="s">
        <v>21</v>
      </c>
      <c r="N2552" s="33" t="s">
        <v>29161</v>
      </c>
      <c r="O2552" s="33" t="s">
        <v>372</v>
      </c>
      <c r="P2552" s="33" t="s">
        <v>30089</v>
      </c>
      <c r="Q2552" s="42" t="s">
        <v>29162</v>
      </c>
      <c r="R2552" s="33" t="s">
        <v>512</v>
      </c>
      <c r="S2552" s="33" t="s">
        <v>22</v>
      </c>
      <c r="T2552" s="36" t="s">
        <v>26774</v>
      </c>
      <c r="U2552" s="36" t="s">
        <v>26570</v>
      </c>
      <c r="V2552" s="36" t="s">
        <v>26573</v>
      </c>
      <c r="W2552" s="36" t="s">
        <v>94</v>
      </c>
      <c r="X2552" s="33">
        <v>2956</v>
      </c>
      <c r="Z2552" s="33" t="s">
        <v>42968</v>
      </c>
      <c r="AA2552" s="33">
        <v>5114</v>
      </c>
      <c r="AQ2552" s="42"/>
      <c r="AT2552" s="83"/>
    </row>
    <row r="2553" spans="1:46" ht="12" customHeight="1" x14ac:dyDescent="0.15">
      <c r="A2553" s="33" t="s">
        <v>29143</v>
      </c>
      <c r="B2553" s="33">
        <v>32</v>
      </c>
      <c r="C2553" s="33" t="s">
        <v>14</v>
      </c>
      <c r="D2553" s="33" t="s">
        <v>42</v>
      </c>
      <c r="F2553" s="67">
        <v>42993</v>
      </c>
      <c r="G2553" s="33" t="s">
        <v>29144</v>
      </c>
      <c r="H2553" s="33" t="s">
        <v>560</v>
      </c>
      <c r="I2553" s="33" t="s">
        <v>39</v>
      </c>
      <c r="J2553" s="33">
        <v>95132</v>
      </c>
      <c r="K2553" s="33" t="s">
        <v>561</v>
      </c>
      <c r="L2553" s="33" t="s">
        <v>678</v>
      </c>
      <c r="M2553" s="33" t="s">
        <v>21</v>
      </c>
      <c r="N2553" s="33" t="s">
        <v>29145</v>
      </c>
      <c r="O2553" s="33" t="s">
        <v>372</v>
      </c>
      <c r="P2553" s="33" t="s">
        <v>30089</v>
      </c>
      <c r="Q2553" s="42" t="s">
        <v>29146</v>
      </c>
      <c r="R2553" s="33" t="s">
        <v>94</v>
      </c>
      <c r="S2553" s="33" t="s">
        <v>12</v>
      </c>
      <c r="T2553" s="36" t="s">
        <v>29705</v>
      </c>
      <c r="U2553" s="36" t="s">
        <v>26570</v>
      </c>
      <c r="V2553" s="36" t="s">
        <v>26571</v>
      </c>
      <c r="W2553" s="36" t="s">
        <v>94</v>
      </c>
      <c r="X2553" s="33">
        <v>2957</v>
      </c>
      <c r="Z2553" s="33" t="s">
        <v>42968</v>
      </c>
      <c r="AA2553" s="33">
        <v>5112</v>
      </c>
    </row>
    <row r="2554" spans="1:46" ht="12" customHeight="1" x14ac:dyDescent="0.15">
      <c r="A2554" s="33" t="s">
        <v>29150</v>
      </c>
      <c r="B2554" s="33">
        <v>15</v>
      </c>
      <c r="C2554" s="33" t="s">
        <v>14</v>
      </c>
      <c r="D2554" s="33" t="s">
        <v>42</v>
      </c>
      <c r="E2554" s="42" t="s">
        <v>29151</v>
      </c>
      <c r="F2554" s="67">
        <v>42993</v>
      </c>
      <c r="G2554" s="33" t="s">
        <v>29187</v>
      </c>
      <c r="H2554" s="33" t="s">
        <v>29152</v>
      </c>
      <c r="I2554" s="33" t="s">
        <v>225</v>
      </c>
      <c r="J2554" s="33">
        <v>20169</v>
      </c>
      <c r="K2554" s="33" t="s">
        <v>29153</v>
      </c>
      <c r="L2554" s="33" t="s">
        <v>29154</v>
      </c>
      <c r="M2554" s="33" t="s">
        <v>21</v>
      </c>
      <c r="N2554" s="33" t="s">
        <v>29155</v>
      </c>
      <c r="O2554" s="33" t="s">
        <v>372</v>
      </c>
      <c r="P2554" s="33" t="s">
        <v>30089</v>
      </c>
      <c r="Q2554" s="42" t="s">
        <v>29156</v>
      </c>
      <c r="R2554" s="33" t="s">
        <v>23</v>
      </c>
      <c r="S2554" s="33" t="s">
        <v>29</v>
      </c>
      <c r="T2554" s="36" t="s">
        <v>26589</v>
      </c>
      <c r="U2554" s="36" t="s">
        <v>26570</v>
      </c>
      <c r="V2554" s="36" t="s">
        <v>26573</v>
      </c>
      <c r="W2554" s="36" t="s">
        <v>94</v>
      </c>
      <c r="X2554" s="33">
        <v>2950</v>
      </c>
      <c r="Z2554" s="33" t="s">
        <v>42968</v>
      </c>
      <c r="AA2554" s="33">
        <v>5111</v>
      </c>
      <c r="AQ2554" s="42"/>
    </row>
    <row r="2555" spans="1:46" ht="12" customHeight="1" x14ac:dyDescent="0.15">
      <c r="A2555" s="33" t="s">
        <v>30784</v>
      </c>
      <c r="B2555" s="33">
        <v>48</v>
      </c>
      <c r="C2555" s="33" t="s">
        <v>14</v>
      </c>
      <c r="D2555" s="33" t="s">
        <v>31</v>
      </c>
      <c r="F2555" s="67">
        <v>42993</v>
      </c>
      <c r="G2555" s="33" t="s">
        <v>29147</v>
      </c>
      <c r="H2555" s="33" t="s">
        <v>9061</v>
      </c>
      <c r="I2555" s="33" t="s">
        <v>56</v>
      </c>
      <c r="J2555" s="33">
        <v>33009</v>
      </c>
      <c r="K2555" s="33" t="s">
        <v>1052</v>
      </c>
      <c r="L2555" s="33" t="s">
        <v>5889</v>
      </c>
      <c r="M2555" s="33" t="s">
        <v>21</v>
      </c>
      <c r="N2555" s="33" t="s">
        <v>29148</v>
      </c>
      <c r="O2555" s="33" t="s">
        <v>372</v>
      </c>
      <c r="P2555" s="33" t="s">
        <v>30089</v>
      </c>
      <c r="Q2555" s="42" t="s">
        <v>29149</v>
      </c>
      <c r="R2555" s="33" t="s">
        <v>23</v>
      </c>
      <c r="S2555" s="33" t="s">
        <v>351</v>
      </c>
      <c r="T2555" s="36" t="s">
        <v>26867</v>
      </c>
      <c r="U2555" s="36" t="s">
        <v>26572</v>
      </c>
      <c r="V2555" s="36" t="s">
        <v>26571</v>
      </c>
      <c r="W2555" s="36" t="s">
        <v>94</v>
      </c>
      <c r="X2555" s="33">
        <v>2954</v>
      </c>
      <c r="Z2555" s="33" t="s">
        <v>42966</v>
      </c>
      <c r="AA2555" s="33">
        <v>5113</v>
      </c>
    </row>
    <row r="2556" spans="1:46" ht="12" customHeight="1" x14ac:dyDescent="0.15">
      <c r="A2556" s="33" t="s">
        <v>29137</v>
      </c>
      <c r="B2556" s="33">
        <v>50</v>
      </c>
      <c r="C2556" s="33" t="s">
        <v>14</v>
      </c>
      <c r="D2556" s="33" t="s">
        <v>31</v>
      </c>
      <c r="E2556" s="33" t="s">
        <v>29631</v>
      </c>
      <c r="F2556" s="67">
        <v>42992</v>
      </c>
      <c r="G2556" s="33" t="s">
        <v>29138</v>
      </c>
      <c r="H2556" s="33" t="s">
        <v>29139</v>
      </c>
      <c r="I2556" s="33" t="s">
        <v>139</v>
      </c>
      <c r="J2556" s="33">
        <v>26623</v>
      </c>
      <c r="K2556" s="33" t="s">
        <v>29140</v>
      </c>
      <c r="L2556" s="33" t="s">
        <v>141</v>
      </c>
      <c r="M2556" s="33" t="s">
        <v>21</v>
      </c>
      <c r="N2556" s="33" t="s">
        <v>29141</v>
      </c>
      <c r="O2556" s="33" t="s">
        <v>372</v>
      </c>
      <c r="P2556" s="33" t="s">
        <v>30089</v>
      </c>
      <c r="Q2556" s="42" t="s">
        <v>29142</v>
      </c>
      <c r="R2556" s="33" t="s">
        <v>23</v>
      </c>
      <c r="S2556" s="33" t="s">
        <v>22</v>
      </c>
      <c r="T2556" s="36" t="s">
        <v>26774</v>
      </c>
      <c r="U2556" s="36" t="s">
        <v>26572</v>
      </c>
      <c r="V2556" s="36" t="s">
        <v>26573</v>
      </c>
      <c r="W2556" s="36" t="s">
        <v>94</v>
      </c>
      <c r="X2556" s="33">
        <v>2955</v>
      </c>
      <c r="Z2556" s="33" t="s">
        <v>42967</v>
      </c>
      <c r="AA2556" s="33">
        <v>5110</v>
      </c>
    </row>
    <row r="2557" spans="1:46" ht="12" customHeight="1" x14ac:dyDescent="0.15">
      <c r="A2557" s="33" t="s">
        <v>29131</v>
      </c>
      <c r="B2557" s="33">
        <v>31</v>
      </c>
      <c r="C2557" s="33" t="s">
        <v>14</v>
      </c>
      <c r="D2557" s="33" t="s">
        <v>42</v>
      </c>
      <c r="E2557" s="42" t="s">
        <v>29132</v>
      </c>
      <c r="F2557" s="67">
        <v>42991</v>
      </c>
      <c r="G2557" s="33" t="s">
        <v>29133</v>
      </c>
      <c r="H2557" s="33" t="s">
        <v>29134</v>
      </c>
      <c r="I2557" s="33" t="s">
        <v>112</v>
      </c>
      <c r="J2557" s="33">
        <v>85346</v>
      </c>
      <c r="K2557" s="33" t="s">
        <v>3670</v>
      </c>
      <c r="L2557" s="33" t="s">
        <v>10122</v>
      </c>
      <c r="M2557" s="33" t="s">
        <v>21</v>
      </c>
      <c r="N2557" s="33" t="s">
        <v>29135</v>
      </c>
      <c r="O2557" s="33" t="s">
        <v>372</v>
      </c>
      <c r="P2557" s="33" t="s">
        <v>30089</v>
      </c>
      <c r="Q2557" s="42" t="s">
        <v>29136</v>
      </c>
      <c r="R2557" s="33" t="s">
        <v>94</v>
      </c>
      <c r="S2557" s="33" t="s">
        <v>22</v>
      </c>
      <c r="T2557" s="36" t="s">
        <v>26781</v>
      </c>
      <c r="U2557" s="36" t="s">
        <v>26572</v>
      </c>
      <c r="V2557" s="36" t="s">
        <v>26571</v>
      </c>
      <c r="W2557" s="36" t="s">
        <v>94</v>
      </c>
      <c r="X2557" s="33">
        <v>2948</v>
      </c>
      <c r="Z2557" s="33" t="s">
        <v>42967</v>
      </c>
      <c r="AA2557" s="33">
        <v>5109</v>
      </c>
    </row>
    <row r="2558" spans="1:46" ht="12" customHeight="1" x14ac:dyDescent="0.15">
      <c r="A2558" s="33" t="s">
        <v>29119</v>
      </c>
      <c r="B2558" s="33">
        <v>40</v>
      </c>
      <c r="C2558" s="33" t="s">
        <v>14</v>
      </c>
      <c r="D2558" s="33" t="s">
        <v>42</v>
      </c>
      <c r="F2558" s="67">
        <v>42989</v>
      </c>
      <c r="G2558" s="33" t="s">
        <v>29200</v>
      </c>
      <c r="H2558" s="33" t="s">
        <v>29120</v>
      </c>
      <c r="I2558" s="33" t="s">
        <v>39</v>
      </c>
      <c r="J2558" s="33">
        <v>91746</v>
      </c>
      <c r="K2558" s="33" t="s">
        <v>92</v>
      </c>
      <c r="L2558" s="33" t="s">
        <v>386</v>
      </c>
      <c r="M2558" s="33" t="s">
        <v>21</v>
      </c>
      <c r="N2558" s="33" t="s">
        <v>29121</v>
      </c>
      <c r="O2558" s="33" t="s">
        <v>372</v>
      </c>
      <c r="P2558" s="33" t="s">
        <v>30089</v>
      </c>
      <c r="Q2558" s="42" t="s">
        <v>29122</v>
      </c>
      <c r="R2558" s="33" t="s">
        <v>904</v>
      </c>
      <c r="S2558" s="33" t="s">
        <v>12</v>
      </c>
      <c r="T2558" s="36" t="s">
        <v>29425</v>
      </c>
      <c r="U2558" s="36" t="s">
        <v>26572</v>
      </c>
      <c r="V2558" s="36" t="s">
        <v>26573</v>
      </c>
      <c r="W2558" s="36" t="s">
        <v>94</v>
      </c>
      <c r="X2558" s="33">
        <v>2947</v>
      </c>
      <c r="Z2558" s="33" t="s">
        <v>42968</v>
      </c>
      <c r="AA2558" s="33">
        <v>5107</v>
      </c>
    </row>
    <row r="2559" spans="1:46" ht="12" customHeight="1" x14ac:dyDescent="0.15">
      <c r="A2559" s="33" t="s">
        <v>29123</v>
      </c>
      <c r="B2559" s="33">
        <v>25</v>
      </c>
      <c r="C2559" s="33" t="s">
        <v>14</v>
      </c>
      <c r="D2559" s="33" t="s">
        <v>128</v>
      </c>
      <c r="F2559" s="67">
        <v>42989</v>
      </c>
      <c r="G2559" s="33" t="s">
        <v>29202</v>
      </c>
      <c r="H2559" s="33" t="s">
        <v>15216</v>
      </c>
      <c r="I2559" s="33" t="s">
        <v>798</v>
      </c>
      <c r="J2559" s="33">
        <v>59401</v>
      </c>
      <c r="K2559" s="33" t="s">
        <v>13474</v>
      </c>
      <c r="L2559" s="33" t="s">
        <v>29124</v>
      </c>
      <c r="M2559" s="33" t="s">
        <v>21</v>
      </c>
      <c r="N2559" s="33" t="s">
        <v>29125</v>
      </c>
      <c r="O2559" s="33" t="s">
        <v>372</v>
      </c>
      <c r="P2559" s="33" t="s">
        <v>30089</v>
      </c>
      <c r="Q2559" s="42" t="s">
        <v>29126</v>
      </c>
      <c r="R2559" s="33" t="s">
        <v>94</v>
      </c>
      <c r="S2559" s="33" t="s">
        <v>29</v>
      </c>
      <c r="T2559" s="36" t="s">
        <v>26575</v>
      </c>
      <c r="U2559" s="36" t="s">
        <v>26570</v>
      </c>
      <c r="V2559" s="36" t="s">
        <v>26574</v>
      </c>
      <c r="W2559" s="36" t="s">
        <v>94</v>
      </c>
      <c r="X2559" s="33">
        <v>2945</v>
      </c>
      <c r="Y2559" s="87"/>
      <c r="Z2559" s="33" t="s">
        <v>42966</v>
      </c>
      <c r="AA2559" s="33">
        <v>5108</v>
      </c>
      <c r="AQ2559" s="42"/>
    </row>
    <row r="2560" spans="1:46" ht="12" customHeight="1" x14ac:dyDescent="0.15">
      <c r="A2560" s="33" t="s">
        <v>29127</v>
      </c>
      <c r="B2560" s="33">
        <v>48</v>
      </c>
      <c r="C2560" s="33" t="s">
        <v>14</v>
      </c>
      <c r="D2560" s="33" t="s">
        <v>31</v>
      </c>
      <c r="E2560" s="42" t="s">
        <v>29128</v>
      </c>
      <c r="F2560" s="67">
        <v>42989</v>
      </c>
      <c r="G2560" s="33" t="s">
        <v>29195</v>
      </c>
      <c r="H2560" s="33" t="s">
        <v>567</v>
      </c>
      <c r="I2560" s="33" t="s">
        <v>298</v>
      </c>
      <c r="J2560" s="33">
        <v>37343</v>
      </c>
      <c r="K2560" s="33" t="s">
        <v>505</v>
      </c>
      <c r="L2560" s="33" t="s">
        <v>7980</v>
      </c>
      <c r="M2560" s="33" t="s">
        <v>21</v>
      </c>
      <c r="N2560" s="33" t="s">
        <v>29129</v>
      </c>
      <c r="O2560" s="33" t="s">
        <v>372</v>
      </c>
      <c r="P2560" s="33" t="s">
        <v>30089</v>
      </c>
      <c r="Q2560" s="42" t="s">
        <v>29130</v>
      </c>
      <c r="R2560" s="33" t="s">
        <v>94</v>
      </c>
      <c r="S2560" s="33" t="s">
        <v>22</v>
      </c>
      <c r="T2560" s="36" t="s">
        <v>26781</v>
      </c>
      <c r="U2560" s="36" t="s">
        <v>26572</v>
      </c>
      <c r="V2560" s="36" t="s">
        <v>26571</v>
      </c>
      <c r="W2560" s="36" t="s">
        <v>94</v>
      </c>
      <c r="X2560" s="33">
        <v>2946</v>
      </c>
      <c r="Z2560" s="33" t="s">
        <v>42968</v>
      </c>
      <c r="AA2560" s="33">
        <v>5106</v>
      </c>
      <c r="AQ2560" s="42"/>
    </row>
    <row r="2561" spans="1:46" ht="12" customHeight="1" x14ac:dyDescent="0.15">
      <c r="A2561" s="33" t="s">
        <v>29102</v>
      </c>
      <c r="B2561" s="33">
        <v>19</v>
      </c>
      <c r="C2561" s="33" t="s">
        <v>14</v>
      </c>
      <c r="D2561" s="33" t="s">
        <v>42</v>
      </c>
      <c r="E2561" s="42" t="s">
        <v>29103</v>
      </c>
      <c r="F2561" s="67">
        <v>42988</v>
      </c>
      <c r="G2561" s="33" t="s">
        <v>29203</v>
      </c>
      <c r="H2561" s="33" t="s">
        <v>81</v>
      </c>
      <c r="I2561" s="33" t="s">
        <v>38</v>
      </c>
      <c r="J2561" s="33">
        <v>60639</v>
      </c>
      <c r="K2561" s="33" t="s">
        <v>82</v>
      </c>
      <c r="L2561" s="33" t="s">
        <v>83</v>
      </c>
      <c r="M2561" s="33" t="s">
        <v>21</v>
      </c>
      <c r="N2561" s="33" t="s">
        <v>29104</v>
      </c>
      <c r="O2561" s="33" t="s">
        <v>372</v>
      </c>
      <c r="P2561" s="33" t="s">
        <v>30089</v>
      </c>
      <c r="Q2561" s="42" t="s">
        <v>29105</v>
      </c>
      <c r="R2561" s="33" t="s">
        <v>23</v>
      </c>
      <c r="S2561" s="33" t="s">
        <v>351</v>
      </c>
      <c r="T2561" s="36" t="s">
        <v>26867</v>
      </c>
      <c r="U2561" s="36" t="s">
        <v>26572</v>
      </c>
      <c r="V2561" s="36" t="s">
        <v>26573</v>
      </c>
      <c r="W2561" s="36" t="s">
        <v>94</v>
      </c>
      <c r="X2561" s="33">
        <v>2939</v>
      </c>
      <c r="Z2561" s="33" t="s">
        <v>42966</v>
      </c>
      <c r="AA2561" s="33">
        <v>5105</v>
      </c>
    </row>
    <row r="2562" spans="1:46" ht="12" customHeight="1" x14ac:dyDescent="0.15">
      <c r="A2562" s="33" t="s">
        <v>29116</v>
      </c>
      <c r="B2562" s="33">
        <v>58</v>
      </c>
      <c r="C2562" s="33" t="s">
        <v>14</v>
      </c>
      <c r="D2562" s="33" t="s">
        <v>42</v>
      </c>
      <c r="F2562" s="67">
        <v>42988</v>
      </c>
      <c r="G2562" s="33" t="s">
        <v>29192</v>
      </c>
      <c r="H2562" s="33" t="s">
        <v>826</v>
      </c>
      <c r="I2562" s="33" t="s">
        <v>282</v>
      </c>
      <c r="J2562" s="33">
        <v>98409</v>
      </c>
      <c r="K2562" s="33" t="s">
        <v>827</v>
      </c>
      <c r="L2562" s="33" t="s">
        <v>828</v>
      </c>
      <c r="M2562" s="33" t="s">
        <v>21</v>
      </c>
      <c r="N2562" s="33" t="s">
        <v>29117</v>
      </c>
      <c r="O2562" s="33" t="s">
        <v>372</v>
      </c>
      <c r="P2562" s="33" t="s">
        <v>30089</v>
      </c>
      <c r="Q2562" s="42" t="s">
        <v>29118</v>
      </c>
      <c r="R2562" s="33" t="s">
        <v>512</v>
      </c>
      <c r="S2562" s="33" t="s">
        <v>22</v>
      </c>
      <c r="T2562" s="36" t="s">
        <v>26781</v>
      </c>
      <c r="U2562" s="36" t="s">
        <v>26572</v>
      </c>
      <c r="V2562" s="36" t="s">
        <v>26573</v>
      </c>
      <c r="W2562" s="36" t="s">
        <v>94</v>
      </c>
      <c r="X2562" s="33">
        <v>2937</v>
      </c>
      <c r="Z2562" s="33" t="s">
        <v>42968</v>
      </c>
      <c r="AA2562" s="33">
        <v>5103</v>
      </c>
    </row>
    <row r="2563" spans="1:46" ht="12" customHeight="1" x14ac:dyDescent="0.15">
      <c r="A2563" s="33" t="s">
        <v>29095</v>
      </c>
      <c r="B2563" s="33">
        <v>22</v>
      </c>
      <c r="C2563" s="33" t="s">
        <v>14</v>
      </c>
      <c r="D2563" s="33" t="s">
        <v>42</v>
      </c>
      <c r="E2563" s="42" t="s">
        <v>29096</v>
      </c>
      <c r="F2563" s="67">
        <v>42988</v>
      </c>
      <c r="G2563" s="33" t="s">
        <v>29097</v>
      </c>
      <c r="H2563" s="33" t="s">
        <v>29098</v>
      </c>
      <c r="I2563" s="33" t="s">
        <v>112</v>
      </c>
      <c r="J2563" s="33">
        <v>85363</v>
      </c>
      <c r="K2563" s="33" t="s">
        <v>585</v>
      </c>
      <c r="L2563" s="33" t="s">
        <v>29099</v>
      </c>
      <c r="M2563" s="33" t="s">
        <v>21</v>
      </c>
      <c r="N2563" s="33" t="s">
        <v>29100</v>
      </c>
      <c r="O2563" s="33" t="s">
        <v>372</v>
      </c>
      <c r="P2563" s="33" t="s">
        <v>30089</v>
      </c>
      <c r="Q2563" s="42" t="s">
        <v>29101</v>
      </c>
      <c r="R2563" s="33" t="s">
        <v>94</v>
      </c>
      <c r="S2563" s="33" t="s">
        <v>22</v>
      </c>
      <c r="T2563" s="36" t="s">
        <v>26781</v>
      </c>
      <c r="U2563" s="36" t="s">
        <v>26572</v>
      </c>
      <c r="V2563" s="36" t="s">
        <v>26573</v>
      </c>
      <c r="W2563" s="36" t="s">
        <v>94</v>
      </c>
      <c r="X2563" s="33">
        <v>2935</v>
      </c>
      <c r="Z2563" s="33" t="s">
        <v>42968</v>
      </c>
      <c r="AA2563" s="33">
        <v>5101</v>
      </c>
    </row>
    <row r="2564" spans="1:46" ht="12" customHeight="1" x14ac:dyDescent="0.15">
      <c r="A2564" s="33" t="s">
        <v>29181</v>
      </c>
      <c r="B2564" s="33">
        <v>76</v>
      </c>
      <c r="C2564" s="33" t="s">
        <v>14</v>
      </c>
      <c r="D2564" s="33" t="s">
        <v>31</v>
      </c>
      <c r="F2564" s="67">
        <v>42988</v>
      </c>
      <c r="G2564" s="33" t="s">
        <v>29106</v>
      </c>
      <c r="H2564" s="33" t="s">
        <v>29107</v>
      </c>
      <c r="I2564" s="33" t="s">
        <v>338</v>
      </c>
      <c r="J2564" s="33">
        <v>28078</v>
      </c>
      <c r="K2564" s="33" t="s">
        <v>3857</v>
      </c>
      <c r="L2564" s="33" t="s">
        <v>29108</v>
      </c>
      <c r="M2564" s="33" t="s">
        <v>21</v>
      </c>
      <c r="N2564" s="33" t="s">
        <v>29109</v>
      </c>
      <c r="O2564" s="33" t="s">
        <v>372</v>
      </c>
      <c r="P2564" s="33" t="s">
        <v>30089</v>
      </c>
      <c r="Q2564" s="42" t="s">
        <v>29110</v>
      </c>
      <c r="R2564" s="33" t="s">
        <v>23</v>
      </c>
      <c r="S2564" s="33" t="s">
        <v>22</v>
      </c>
      <c r="T2564" s="36" t="s">
        <v>26781</v>
      </c>
      <c r="U2564" s="36" t="s">
        <v>26572</v>
      </c>
      <c r="V2564" s="36" t="s">
        <v>26573</v>
      </c>
      <c r="W2564" s="36" t="s">
        <v>94</v>
      </c>
      <c r="X2564" s="33">
        <v>2936</v>
      </c>
      <c r="Z2564" s="33" t="s">
        <v>42968</v>
      </c>
      <c r="AA2564" s="33">
        <v>5102</v>
      </c>
    </row>
    <row r="2565" spans="1:46" ht="12" customHeight="1" x14ac:dyDescent="0.15">
      <c r="A2565" s="33" t="s">
        <v>29111</v>
      </c>
      <c r="B2565" s="33">
        <v>32</v>
      </c>
      <c r="C2565" s="33" t="s">
        <v>14</v>
      </c>
      <c r="D2565" s="33" t="s">
        <v>31</v>
      </c>
      <c r="E2565" s="42" t="s">
        <v>29112</v>
      </c>
      <c r="F2565" s="67">
        <v>42988</v>
      </c>
      <c r="G2565" s="33" t="s">
        <v>29113</v>
      </c>
      <c r="H2565" s="33" t="s">
        <v>19236</v>
      </c>
      <c r="I2565" s="33" t="s">
        <v>67</v>
      </c>
      <c r="J2565" s="33">
        <v>75023</v>
      </c>
      <c r="K2565" s="33" t="s">
        <v>18009</v>
      </c>
      <c r="L2565" s="33" t="s">
        <v>19237</v>
      </c>
      <c r="M2565" s="33" t="s">
        <v>21</v>
      </c>
      <c r="N2565" s="33" t="s">
        <v>29114</v>
      </c>
      <c r="O2565" s="33" t="s">
        <v>372</v>
      </c>
      <c r="P2565" s="33" t="s">
        <v>30089</v>
      </c>
      <c r="Q2565" s="42" t="s">
        <v>29115</v>
      </c>
      <c r="R2565" s="33" t="s">
        <v>94</v>
      </c>
      <c r="S2565" s="33" t="s">
        <v>22</v>
      </c>
      <c r="T2565" s="36" t="s">
        <v>26781</v>
      </c>
      <c r="U2565" s="36" t="s">
        <v>26572</v>
      </c>
      <c r="V2565" s="36" t="s">
        <v>26573</v>
      </c>
      <c r="W2565" s="36" t="s">
        <v>94</v>
      </c>
      <c r="X2565" s="33">
        <v>2938</v>
      </c>
      <c r="Z2565" s="33" t="s">
        <v>42968</v>
      </c>
      <c r="AA2565" s="33">
        <v>5104</v>
      </c>
      <c r="AT2565" s="83"/>
    </row>
    <row r="2566" spans="1:46" ht="12" customHeight="1" x14ac:dyDescent="0.15">
      <c r="A2566" s="33" t="s">
        <v>29088</v>
      </c>
      <c r="B2566" s="33">
        <v>26</v>
      </c>
      <c r="C2566" s="33" t="s">
        <v>14</v>
      </c>
      <c r="D2566" s="33" t="s">
        <v>79</v>
      </c>
      <c r="E2566" s="42" t="s">
        <v>29089</v>
      </c>
      <c r="F2566" s="67">
        <v>42987</v>
      </c>
      <c r="G2566" s="33" t="s">
        <v>29090</v>
      </c>
      <c r="H2566" s="33" t="s">
        <v>29091</v>
      </c>
      <c r="I2566" s="33" t="s">
        <v>39</v>
      </c>
      <c r="J2566" s="33">
        <v>95521</v>
      </c>
      <c r="K2566" s="33" t="s">
        <v>4965</v>
      </c>
      <c r="L2566" s="33" t="s">
        <v>29092</v>
      </c>
      <c r="M2566" s="33" t="s">
        <v>21</v>
      </c>
      <c r="N2566" s="33" t="s">
        <v>29093</v>
      </c>
      <c r="O2566" s="33" t="s">
        <v>372</v>
      </c>
      <c r="P2566" s="33" t="s">
        <v>30089</v>
      </c>
      <c r="Q2566" s="42" t="s">
        <v>29094</v>
      </c>
      <c r="R2566" s="33" t="s">
        <v>94</v>
      </c>
      <c r="S2566" s="33" t="s">
        <v>22</v>
      </c>
      <c r="T2566" s="36" t="s">
        <v>26781</v>
      </c>
      <c r="U2566" s="36" t="s">
        <v>26572</v>
      </c>
      <c r="V2566" s="36" t="s">
        <v>26573</v>
      </c>
      <c r="W2566" s="36" t="s">
        <v>94</v>
      </c>
      <c r="X2566" s="33">
        <v>2940</v>
      </c>
      <c r="Z2566" s="33" t="s">
        <v>42968</v>
      </c>
      <c r="AA2566" s="33">
        <v>5100</v>
      </c>
    </row>
    <row r="2567" spans="1:46" ht="12" customHeight="1" x14ac:dyDescent="0.15">
      <c r="A2567" s="33" t="s">
        <v>29085</v>
      </c>
      <c r="B2567" s="33">
        <v>45</v>
      </c>
      <c r="C2567" s="33" t="s">
        <v>14</v>
      </c>
      <c r="D2567" s="33" t="s">
        <v>31</v>
      </c>
      <c r="F2567" s="67">
        <v>42986</v>
      </c>
      <c r="G2567" s="33" t="s">
        <v>29193</v>
      </c>
      <c r="H2567" s="33" t="s">
        <v>116</v>
      </c>
      <c r="I2567" s="33" t="s">
        <v>67</v>
      </c>
      <c r="J2567" s="33">
        <v>79106</v>
      </c>
      <c r="K2567" s="33" t="s">
        <v>14029</v>
      </c>
      <c r="L2567" s="33" t="s">
        <v>14030</v>
      </c>
      <c r="M2567" s="33" t="s">
        <v>21</v>
      </c>
      <c r="N2567" s="33" t="s">
        <v>29086</v>
      </c>
      <c r="O2567" s="33" t="s">
        <v>372</v>
      </c>
      <c r="P2567" s="33" t="s">
        <v>94</v>
      </c>
      <c r="Q2567" s="42" t="s">
        <v>29087</v>
      </c>
      <c r="R2567" s="33" t="s">
        <v>94</v>
      </c>
      <c r="S2567" s="33" t="s">
        <v>22</v>
      </c>
      <c r="T2567" s="36" t="s">
        <v>26781</v>
      </c>
      <c r="U2567" s="36" t="s">
        <v>26572</v>
      </c>
      <c r="V2567" s="36" t="s">
        <v>26573</v>
      </c>
      <c r="W2567" s="36" t="s">
        <v>94</v>
      </c>
      <c r="X2567" s="33">
        <v>2942</v>
      </c>
      <c r="Z2567" s="33" t="s">
        <v>42966</v>
      </c>
      <c r="AA2567" s="33">
        <v>5098</v>
      </c>
      <c r="AQ2567" s="42"/>
    </row>
    <row r="2568" spans="1:46" ht="12" customHeight="1" x14ac:dyDescent="0.15">
      <c r="A2568" s="33" t="s">
        <v>29080</v>
      </c>
      <c r="B2568" s="33">
        <v>50</v>
      </c>
      <c r="C2568" s="33" t="s">
        <v>14</v>
      </c>
      <c r="D2568" s="33" t="s">
        <v>31</v>
      </c>
      <c r="F2568" s="67">
        <v>42986</v>
      </c>
      <c r="G2568" s="33" t="s">
        <v>29201</v>
      </c>
      <c r="H2568" s="33" t="s">
        <v>29081</v>
      </c>
      <c r="I2568" s="33" t="s">
        <v>402</v>
      </c>
      <c r="J2568" s="33">
        <v>65708</v>
      </c>
      <c r="K2568" s="33" t="s">
        <v>8400</v>
      </c>
      <c r="L2568" s="33" t="s">
        <v>29082</v>
      </c>
      <c r="M2568" s="33" t="s">
        <v>21</v>
      </c>
      <c r="N2568" s="33" t="s">
        <v>29083</v>
      </c>
      <c r="O2568" s="33" t="s">
        <v>372</v>
      </c>
      <c r="P2568" s="33" t="s">
        <v>30089</v>
      </c>
      <c r="Q2568" s="42" t="s">
        <v>29084</v>
      </c>
      <c r="R2568" s="33" t="s">
        <v>904</v>
      </c>
      <c r="S2568" s="33" t="s">
        <v>29</v>
      </c>
      <c r="T2568" s="36" t="s">
        <v>26575</v>
      </c>
      <c r="U2568" s="36" t="s">
        <v>26570</v>
      </c>
      <c r="V2568" s="36" t="s">
        <v>26573</v>
      </c>
      <c r="W2568" s="36" t="s">
        <v>94</v>
      </c>
      <c r="X2568" s="33">
        <v>2943</v>
      </c>
      <c r="Z2568" s="33" t="s">
        <v>42967</v>
      </c>
      <c r="AA2568" s="33">
        <v>5099</v>
      </c>
    </row>
    <row r="2569" spans="1:46" ht="12" customHeight="1" x14ac:dyDescent="0.15">
      <c r="A2569" s="33" t="s">
        <v>29077</v>
      </c>
      <c r="B2569" s="33">
        <v>41</v>
      </c>
      <c r="C2569" s="33" t="s">
        <v>14</v>
      </c>
      <c r="D2569" s="33" t="s">
        <v>79</v>
      </c>
      <c r="F2569" s="67">
        <v>42985</v>
      </c>
      <c r="G2569" s="33" t="s">
        <v>29194</v>
      </c>
      <c r="H2569" s="33" t="s">
        <v>1537</v>
      </c>
      <c r="I2569" s="33" t="s">
        <v>39</v>
      </c>
      <c r="J2569" s="33">
        <v>95820</v>
      </c>
      <c r="K2569" s="33" t="s">
        <v>1537</v>
      </c>
      <c r="L2569" s="33" t="s">
        <v>2166</v>
      </c>
      <c r="M2569" s="33" t="s">
        <v>21</v>
      </c>
      <c r="N2569" s="33" t="s">
        <v>29078</v>
      </c>
      <c r="O2569" s="33" t="s">
        <v>372</v>
      </c>
      <c r="P2569" s="33" t="s">
        <v>30089</v>
      </c>
      <c r="Q2569" s="42" t="s">
        <v>29079</v>
      </c>
      <c r="R2569" s="33" t="s">
        <v>94</v>
      </c>
      <c r="S2569" s="33" t="s">
        <v>22</v>
      </c>
      <c r="T2569" s="36" t="s">
        <v>26781</v>
      </c>
      <c r="U2569" s="36" t="s">
        <v>26572</v>
      </c>
      <c r="V2569" s="36" t="s">
        <v>26571</v>
      </c>
      <c r="W2569" s="36" t="s">
        <v>94</v>
      </c>
      <c r="X2569" s="33">
        <v>2944</v>
      </c>
      <c r="Z2569" s="33" t="s">
        <v>42966</v>
      </c>
      <c r="AA2569" s="33">
        <v>5097</v>
      </c>
    </row>
    <row r="2570" spans="1:46" ht="12" customHeight="1" x14ac:dyDescent="0.15">
      <c r="A2570" s="33" t="s">
        <v>29065</v>
      </c>
      <c r="B2570" s="33">
        <v>42</v>
      </c>
      <c r="C2570" s="33" t="s">
        <v>14</v>
      </c>
      <c r="D2570" s="33" t="s">
        <v>31</v>
      </c>
      <c r="F2570" s="67">
        <v>42984</v>
      </c>
      <c r="G2570" s="33" t="s">
        <v>29066</v>
      </c>
      <c r="H2570" s="33" t="s">
        <v>92</v>
      </c>
      <c r="I2570" s="33" t="s">
        <v>39</v>
      </c>
      <c r="J2570" s="33">
        <v>90013</v>
      </c>
      <c r="K2570" s="33" t="s">
        <v>92</v>
      </c>
      <c r="L2570" s="33" t="s">
        <v>897</v>
      </c>
      <c r="M2570" s="33" t="s">
        <v>21</v>
      </c>
      <c r="N2570" s="33" t="s">
        <v>36531</v>
      </c>
      <c r="O2570" s="33" t="s">
        <v>372</v>
      </c>
      <c r="P2570" s="33" t="s">
        <v>30089</v>
      </c>
      <c r="Q2570" s="42" t="s">
        <v>29067</v>
      </c>
      <c r="R2570" s="33" t="s">
        <v>23</v>
      </c>
      <c r="S2570" s="33" t="s">
        <v>12</v>
      </c>
      <c r="T2570" s="36" t="s">
        <v>29705</v>
      </c>
      <c r="U2570" s="36" t="s">
        <v>26572</v>
      </c>
      <c r="V2570" s="36" t="s">
        <v>26573</v>
      </c>
      <c r="W2570" s="36" t="s">
        <v>94</v>
      </c>
      <c r="X2570" s="33">
        <v>2932</v>
      </c>
      <c r="Z2570" s="33" t="s">
        <v>42966</v>
      </c>
      <c r="AA2570" s="33">
        <v>5096</v>
      </c>
    </row>
    <row r="2571" spans="1:46" ht="12" customHeight="1" x14ac:dyDescent="0.15">
      <c r="A2571" s="33" t="s">
        <v>29073</v>
      </c>
      <c r="B2571" s="33">
        <v>31</v>
      </c>
      <c r="C2571" s="33" t="s">
        <v>14</v>
      </c>
      <c r="D2571" s="33" t="s">
        <v>79</v>
      </c>
      <c r="F2571" s="67">
        <v>42984</v>
      </c>
      <c r="G2571" s="33" t="s">
        <v>29074</v>
      </c>
      <c r="H2571" s="33" t="s">
        <v>1716</v>
      </c>
      <c r="I2571" s="33" t="s">
        <v>395</v>
      </c>
      <c r="J2571" s="33">
        <v>10466</v>
      </c>
      <c r="K2571" s="33" t="s">
        <v>1716</v>
      </c>
      <c r="L2571" s="33" t="s">
        <v>539</v>
      </c>
      <c r="M2571" s="33" t="s">
        <v>4966</v>
      </c>
      <c r="N2571" s="33" t="s">
        <v>29075</v>
      </c>
      <c r="O2571" s="33" t="s">
        <v>372</v>
      </c>
      <c r="P2571" s="33" t="s">
        <v>30089</v>
      </c>
      <c r="Q2571" s="42" t="s">
        <v>29076</v>
      </c>
      <c r="R2571" s="33" t="s">
        <v>23</v>
      </c>
      <c r="S2571" s="33" t="s">
        <v>22</v>
      </c>
      <c r="T2571" s="36" t="s">
        <v>26774</v>
      </c>
      <c r="U2571" s="36" t="s">
        <v>26570</v>
      </c>
      <c r="V2571" s="36" t="s">
        <v>26573</v>
      </c>
      <c r="W2571" s="36" t="s">
        <v>512</v>
      </c>
      <c r="X2571" s="33">
        <v>2933</v>
      </c>
      <c r="Z2571" s="33" t="s">
        <v>42966</v>
      </c>
      <c r="AA2571" s="33">
        <v>5095</v>
      </c>
    </row>
    <row r="2572" spans="1:46" ht="12" customHeight="1" x14ac:dyDescent="0.15">
      <c r="A2572" s="33" t="s">
        <v>29068</v>
      </c>
      <c r="B2572" s="33">
        <v>29</v>
      </c>
      <c r="C2572" s="33" t="s">
        <v>14</v>
      </c>
      <c r="D2572" s="33" t="s">
        <v>42</v>
      </c>
      <c r="E2572" s="42" t="s">
        <v>29069</v>
      </c>
      <c r="F2572" s="67">
        <v>42984</v>
      </c>
      <c r="G2572" s="33" t="s">
        <v>29070</v>
      </c>
      <c r="H2572" s="33" t="s">
        <v>3855</v>
      </c>
      <c r="I2572" s="33" t="s">
        <v>338</v>
      </c>
      <c r="J2572" s="33">
        <v>28213</v>
      </c>
      <c r="K2572" s="33" t="s">
        <v>3857</v>
      </c>
      <c r="L2572" s="33" t="s">
        <v>3858</v>
      </c>
      <c r="M2572" s="33" t="s">
        <v>21</v>
      </c>
      <c r="N2572" s="33" t="s">
        <v>29071</v>
      </c>
      <c r="O2572" s="33" t="s">
        <v>372</v>
      </c>
      <c r="P2572" s="33" t="s">
        <v>30089</v>
      </c>
      <c r="Q2572" s="42" t="s">
        <v>29072</v>
      </c>
      <c r="R2572" s="33" t="s">
        <v>23</v>
      </c>
      <c r="S2572" s="33" t="s">
        <v>22</v>
      </c>
      <c r="T2572" s="36" t="s">
        <v>26781</v>
      </c>
      <c r="U2572" s="36" t="s">
        <v>26570</v>
      </c>
      <c r="V2572" s="36" t="s">
        <v>26573</v>
      </c>
      <c r="W2572" s="36" t="s">
        <v>94</v>
      </c>
      <c r="X2572" s="33">
        <v>2931</v>
      </c>
      <c r="Z2572" s="33" t="s">
        <v>42968</v>
      </c>
      <c r="AA2572" s="33">
        <v>5094</v>
      </c>
    </row>
    <row r="2573" spans="1:46" ht="12" customHeight="1" x14ac:dyDescent="0.15">
      <c r="A2573" s="33" t="s">
        <v>3002</v>
      </c>
      <c r="B2573" s="33" t="s">
        <v>23</v>
      </c>
      <c r="C2573" s="33" t="s">
        <v>103</v>
      </c>
      <c r="D2573" s="33" t="s">
        <v>30751</v>
      </c>
      <c r="F2573" s="67">
        <v>42983</v>
      </c>
      <c r="G2573" s="33" t="s">
        <v>29061</v>
      </c>
      <c r="H2573" s="33" t="s">
        <v>674</v>
      </c>
      <c r="I2573" s="33" t="s">
        <v>67</v>
      </c>
      <c r="J2573" s="33">
        <v>77068</v>
      </c>
      <c r="K2573" s="33" t="s">
        <v>515</v>
      </c>
      <c r="L2573" s="33" t="s">
        <v>29062</v>
      </c>
      <c r="M2573" s="33" t="s">
        <v>21</v>
      </c>
      <c r="N2573" s="33" t="s">
        <v>29063</v>
      </c>
      <c r="O2573" s="33" t="s">
        <v>372</v>
      </c>
      <c r="P2573" s="33" t="s">
        <v>30089</v>
      </c>
      <c r="Q2573" s="42" t="s">
        <v>29064</v>
      </c>
      <c r="R2573" s="33" t="s">
        <v>94</v>
      </c>
      <c r="S2573" s="33" t="s">
        <v>351</v>
      </c>
      <c r="T2573" s="36" t="s">
        <v>26867</v>
      </c>
      <c r="U2573" s="36" t="s">
        <v>26572</v>
      </c>
      <c r="V2573" s="36" t="s">
        <v>26571</v>
      </c>
      <c r="W2573" s="36" t="s">
        <v>94</v>
      </c>
      <c r="X2573" s="33">
        <v>2924</v>
      </c>
      <c r="Z2573" s="33" t="s">
        <v>42968</v>
      </c>
      <c r="AA2573" s="33">
        <v>5093</v>
      </c>
    </row>
    <row r="2574" spans="1:46" ht="12" customHeight="1" x14ac:dyDescent="0.15">
      <c r="A2574" s="33" t="s">
        <v>30820</v>
      </c>
      <c r="B2574" s="33">
        <v>16</v>
      </c>
      <c r="C2574" s="33" t="s">
        <v>14</v>
      </c>
      <c r="D2574" s="33" t="s">
        <v>31</v>
      </c>
      <c r="F2574" s="67">
        <v>42983</v>
      </c>
      <c r="G2574" s="33" t="s">
        <v>29199</v>
      </c>
      <c r="H2574" s="33" t="s">
        <v>196</v>
      </c>
      <c r="I2574" s="33" t="s">
        <v>56</v>
      </c>
      <c r="J2574" s="33">
        <v>33183</v>
      </c>
      <c r="K2574" s="33" t="s">
        <v>148</v>
      </c>
      <c r="L2574" s="33" t="s">
        <v>149</v>
      </c>
      <c r="M2574" s="33" t="s">
        <v>4966</v>
      </c>
      <c r="N2574" s="33" t="s">
        <v>29059</v>
      </c>
      <c r="O2574" s="33" t="s">
        <v>372</v>
      </c>
      <c r="P2574" s="33" t="s">
        <v>30089</v>
      </c>
      <c r="Q2574" s="42" t="s">
        <v>29060</v>
      </c>
      <c r="R2574" s="33" t="s">
        <v>94</v>
      </c>
      <c r="S2574" s="33" t="s">
        <v>22</v>
      </c>
      <c r="T2574" s="36" t="s">
        <v>26774</v>
      </c>
      <c r="U2574" s="36" t="s">
        <v>26572</v>
      </c>
      <c r="V2574" s="36" t="s">
        <v>26573</v>
      </c>
      <c r="W2574" s="36" t="s">
        <v>94</v>
      </c>
      <c r="X2574" s="33">
        <v>2934</v>
      </c>
      <c r="Z2574" s="33" t="s">
        <v>42968</v>
      </c>
      <c r="AA2574" s="33">
        <v>5092</v>
      </c>
    </row>
    <row r="2575" spans="1:46" ht="12" customHeight="1" x14ac:dyDescent="0.15">
      <c r="A2575" s="33" t="s">
        <v>29055</v>
      </c>
      <c r="B2575" s="33">
        <v>67</v>
      </c>
      <c r="C2575" s="33" t="s">
        <v>14</v>
      </c>
      <c r="D2575" s="33" t="s">
        <v>30751</v>
      </c>
      <c r="F2575" s="67">
        <v>42982</v>
      </c>
      <c r="G2575" s="33" t="s">
        <v>29056</v>
      </c>
      <c r="H2575" s="33" t="s">
        <v>18226</v>
      </c>
      <c r="I2575" s="33" t="s">
        <v>298</v>
      </c>
      <c r="J2575" s="33">
        <v>38462</v>
      </c>
      <c r="K2575" s="33" t="s">
        <v>1441</v>
      </c>
      <c r="L2575" s="33" t="s">
        <v>36532</v>
      </c>
      <c r="M2575" s="33" t="s">
        <v>21</v>
      </c>
      <c r="N2575" s="33" t="s">
        <v>29057</v>
      </c>
      <c r="O2575" s="33" t="s">
        <v>372</v>
      </c>
      <c r="P2575" s="33" t="s">
        <v>30089</v>
      </c>
      <c r="Q2575" s="42" t="s">
        <v>29058</v>
      </c>
      <c r="R2575" s="33" t="s">
        <v>23</v>
      </c>
      <c r="S2575" s="33" t="s">
        <v>22</v>
      </c>
      <c r="T2575" s="36" t="s">
        <v>26781</v>
      </c>
      <c r="U2575" s="36" t="s">
        <v>26570</v>
      </c>
      <c r="V2575" s="36" t="s">
        <v>26573</v>
      </c>
      <c r="W2575" s="36" t="s">
        <v>94</v>
      </c>
      <c r="X2575" s="33">
        <v>2925</v>
      </c>
      <c r="Z2575" s="33" t="s">
        <v>42967</v>
      </c>
      <c r="AA2575" s="33">
        <v>5089</v>
      </c>
    </row>
    <row r="2576" spans="1:46" ht="12" customHeight="1" x14ac:dyDescent="0.15">
      <c r="A2576" s="33" t="s">
        <v>3002</v>
      </c>
      <c r="B2576" s="33">
        <v>25</v>
      </c>
      <c r="C2576" s="33" t="s">
        <v>14</v>
      </c>
      <c r="D2576" s="33" t="s">
        <v>79</v>
      </c>
      <c r="F2576" s="67">
        <v>42982</v>
      </c>
      <c r="G2576" s="33" t="s">
        <v>29204</v>
      </c>
      <c r="H2576" s="33" t="s">
        <v>81</v>
      </c>
      <c r="I2576" s="33" t="s">
        <v>38</v>
      </c>
      <c r="J2576" s="33">
        <v>60623</v>
      </c>
      <c r="K2576" s="33" t="s">
        <v>82</v>
      </c>
      <c r="L2576" s="33" t="s">
        <v>83</v>
      </c>
      <c r="M2576" s="33" t="s">
        <v>21</v>
      </c>
      <c r="N2576" s="33" t="s">
        <v>30818</v>
      </c>
      <c r="O2576" s="33" t="s">
        <v>372</v>
      </c>
      <c r="P2576" s="33" t="s">
        <v>30089</v>
      </c>
      <c r="Q2576" s="42" t="s">
        <v>29050</v>
      </c>
      <c r="R2576" s="33" t="s">
        <v>94</v>
      </c>
      <c r="S2576" s="33" t="s">
        <v>12</v>
      </c>
      <c r="T2576" s="36" t="s">
        <v>29705</v>
      </c>
      <c r="U2576" s="36" t="s">
        <v>26570</v>
      </c>
      <c r="V2576" s="36" t="s">
        <v>26573</v>
      </c>
      <c r="Z2576" s="33" t="s">
        <v>42966</v>
      </c>
      <c r="AA2576" s="33">
        <v>5091</v>
      </c>
    </row>
    <row r="2577" spans="1:46" ht="12" customHeight="1" x14ac:dyDescent="0.15">
      <c r="A2577" s="33" t="s">
        <v>29051</v>
      </c>
      <c r="B2577" s="33">
        <v>44</v>
      </c>
      <c r="C2577" s="33" t="s">
        <v>14</v>
      </c>
      <c r="D2577" s="33" t="s">
        <v>31</v>
      </c>
      <c r="E2577" s="42" t="s">
        <v>29052</v>
      </c>
      <c r="F2577" s="67">
        <v>42982</v>
      </c>
      <c r="G2577" s="33" t="s">
        <v>29198</v>
      </c>
      <c r="H2577" s="33" t="s">
        <v>720</v>
      </c>
      <c r="I2577" s="33" t="s">
        <v>63</v>
      </c>
      <c r="J2577" s="33">
        <v>43613</v>
      </c>
      <c r="K2577" s="33" t="s">
        <v>721</v>
      </c>
      <c r="L2577" s="33" t="s">
        <v>722</v>
      </c>
      <c r="M2577" s="33" t="s">
        <v>21</v>
      </c>
      <c r="N2577" s="33" t="s">
        <v>29053</v>
      </c>
      <c r="O2577" s="33" t="s">
        <v>372</v>
      </c>
      <c r="P2577" s="33" t="s">
        <v>30089</v>
      </c>
      <c r="Q2577" s="42" t="s">
        <v>29054</v>
      </c>
      <c r="R2577" s="33" t="s">
        <v>94</v>
      </c>
      <c r="S2577" s="33" t="s">
        <v>22</v>
      </c>
      <c r="T2577" s="36" t="s">
        <v>26774</v>
      </c>
      <c r="U2577" s="36" t="s">
        <v>26572</v>
      </c>
      <c r="V2577" s="36" t="s">
        <v>26573</v>
      </c>
      <c r="W2577" s="36" t="s">
        <v>94</v>
      </c>
      <c r="X2577" s="33">
        <v>2923</v>
      </c>
      <c r="Z2577" s="33" t="s">
        <v>42968</v>
      </c>
      <c r="AA2577" s="33">
        <v>5090</v>
      </c>
    </row>
    <row r="2578" spans="1:46" ht="12" customHeight="1" x14ac:dyDescent="0.15">
      <c r="A2578" s="33" t="s">
        <v>29047</v>
      </c>
      <c r="B2578" s="33">
        <v>52</v>
      </c>
      <c r="C2578" s="33" t="s">
        <v>14</v>
      </c>
      <c r="D2578" s="33" t="s">
        <v>31</v>
      </c>
      <c r="F2578" s="67">
        <v>42982</v>
      </c>
      <c r="G2578" s="33" t="s">
        <v>29186</v>
      </c>
      <c r="H2578" s="33" t="s">
        <v>1202</v>
      </c>
      <c r="I2578" s="33" t="s">
        <v>160</v>
      </c>
      <c r="J2578" s="33">
        <v>31903</v>
      </c>
      <c r="K2578" s="33" t="s">
        <v>9779</v>
      </c>
      <c r="L2578" s="33" t="s">
        <v>17580</v>
      </c>
      <c r="M2578" s="33" t="s">
        <v>4966</v>
      </c>
      <c r="N2578" s="33" t="s">
        <v>29048</v>
      </c>
      <c r="O2578" s="33" t="s">
        <v>372</v>
      </c>
      <c r="P2578" s="33" t="s">
        <v>30089</v>
      </c>
      <c r="Q2578" s="42" t="s">
        <v>29049</v>
      </c>
      <c r="R2578" s="33" t="s">
        <v>94</v>
      </c>
      <c r="S2578" s="33" t="s">
        <v>29</v>
      </c>
      <c r="T2578" s="36" t="s">
        <v>29185</v>
      </c>
      <c r="U2578" s="36" t="s">
        <v>26572</v>
      </c>
      <c r="V2578" s="36" t="s">
        <v>26573</v>
      </c>
      <c r="W2578" s="36" t="s">
        <v>94</v>
      </c>
      <c r="X2578" s="33">
        <v>2922</v>
      </c>
      <c r="Z2578" s="33" t="s">
        <v>42966</v>
      </c>
      <c r="AA2578" s="33">
        <v>5088</v>
      </c>
    </row>
    <row r="2579" spans="1:46" ht="12" customHeight="1" x14ac:dyDescent="0.15">
      <c r="A2579" s="33" t="s">
        <v>29039</v>
      </c>
      <c r="B2579" s="33">
        <v>47</v>
      </c>
      <c r="C2579" s="33" t="s">
        <v>14</v>
      </c>
      <c r="D2579" s="33" t="s">
        <v>31</v>
      </c>
      <c r="F2579" s="67">
        <v>42981</v>
      </c>
      <c r="G2579" s="33" t="s">
        <v>29040</v>
      </c>
      <c r="H2579" s="33" t="s">
        <v>550</v>
      </c>
      <c r="I2579" s="33" t="s">
        <v>282</v>
      </c>
      <c r="J2579" s="33">
        <v>98632</v>
      </c>
      <c r="K2579" s="33" t="s">
        <v>1780</v>
      </c>
      <c r="L2579" s="33" t="s">
        <v>552</v>
      </c>
      <c r="M2579" s="33" t="s">
        <v>21</v>
      </c>
      <c r="N2579" s="33" t="s">
        <v>29041</v>
      </c>
      <c r="O2579" s="33" t="s">
        <v>372</v>
      </c>
      <c r="P2579" s="33" t="s">
        <v>30089</v>
      </c>
      <c r="Q2579" s="42" t="s">
        <v>29042</v>
      </c>
      <c r="R2579" s="33" t="s">
        <v>94</v>
      </c>
      <c r="S2579" s="33" t="s">
        <v>22</v>
      </c>
      <c r="T2579" s="36" t="s">
        <v>26781</v>
      </c>
      <c r="U2579" s="36" t="s">
        <v>26570</v>
      </c>
      <c r="V2579" s="36" t="s">
        <v>26573</v>
      </c>
      <c r="W2579" s="36" t="s">
        <v>94</v>
      </c>
      <c r="X2579" s="33">
        <v>2920</v>
      </c>
      <c r="Z2579" s="33" t="s">
        <v>42968</v>
      </c>
      <c r="AA2579" s="33">
        <v>5085</v>
      </c>
      <c r="AQ2579" s="42"/>
    </row>
    <row r="2580" spans="1:46" ht="12" customHeight="1" x14ac:dyDescent="0.15">
      <c r="A2580" s="33" t="s">
        <v>29043</v>
      </c>
      <c r="B2580" s="33">
        <v>37</v>
      </c>
      <c r="C2580" s="33" t="s">
        <v>14</v>
      </c>
      <c r="D2580" s="33" t="s">
        <v>79</v>
      </c>
      <c r="E2580" s="42" t="s">
        <v>29044</v>
      </c>
      <c r="F2580" s="67">
        <v>42981</v>
      </c>
      <c r="G2580" s="33" t="s">
        <v>29191</v>
      </c>
      <c r="H2580" s="33" t="s">
        <v>831</v>
      </c>
      <c r="I2580" s="33" t="s">
        <v>409</v>
      </c>
      <c r="J2580" s="33">
        <v>53209</v>
      </c>
      <c r="K2580" s="33" t="s">
        <v>831</v>
      </c>
      <c r="L2580" s="33" t="s">
        <v>3545</v>
      </c>
      <c r="M2580" s="33" t="s">
        <v>21</v>
      </c>
      <c r="N2580" s="33" t="s">
        <v>29045</v>
      </c>
      <c r="O2580" s="33" t="s">
        <v>372</v>
      </c>
      <c r="P2580" s="33" t="s">
        <v>30089</v>
      </c>
      <c r="Q2580" s="42" t="s">
        <v>29046</v>
      </c>
      <c r="R2580" s="33" t="s">
        <v>94</v>
      </c>
      <c r="S2580" s="33" t="s">
        <v>22</v>
      </c>
      <c r="T2580" s="36" t="s">
        <v>26781</v>
      </c>
      <c r="U2580" s="36" t="s">
        <v>26572</v>
      </c>
      <c r="V2580" s="36" t="s">
        <v>26573</v>
      </c>
      <c r="W2580" s="36" t="s">
        <v>94</v>
      </c>
      <c r="X2580" s="33">
        <v>2919</v>
      </c>
      <c r="Z2580" s="33" t="s">
        <v>42966</v>
      </c>
      <c r="AA2580" s="33">
        <v>5084</v>
      </c>
      <c r="AQ2580" s="42"/>
      <c r="AT2580" s="83"/>
    </row>
    <row r="2581" spans="1:46" ht="12" customHeight="1" x14ac:dyDescent="0.15">
      <c r="A2581" s="33" t="s">
        <v>29036</v>
      </c>
      <c r="B2581" s="33">
        <v>31</v>
      </c>
      <c r="C2581" s="33" t="s">
        <v>14</v>
      </c>
      <c r="D2581" s="33" t="s">
        <v>79</v>
      </c>
      <c r="F2581" s="67">
        <v>42981</v>
      </c>
      <c r="G2581" s="33" t="s">
        <v>29037</v>
      </c>
      <c r="H2581" s="33" t="s">
        <v>1014</v>
      </c>
      <c r="I2581" s="33" t="s">
        <v>26</v>
      </c>
      <c r="J2581" s="33">
        <v>29577</v>
      </c>
      <c r="K2581" s="33" t="s">
        <v>1015</v>
      </c>
      <c r="L2581" s="33" t="s">
        <v>19895</v>
      </c>
      <c r="M2581" s="33" t="s">
        <v>21</v>
      </c>
      <c r="N2581" s="33" t="s">
        <v>36533</v>
      </c>
      <c r="O2581" s="33" t="s">
        <v>372</v>
      </c>
      <c r="P2581" s="33" t="s">
        <v>30089</v>
      </c>
      <c r="Q2581" s="42" t="s">
        <v>29038</v>
      </c>
      <c r="R2581" s="33" t="s">
        <v>23</v>
      </c>
      <c r="S2581" s="33" t="s">
        <v>351</v>
      </c>
      <c r="T2581" s="36" t="s">
        <v>26867</v>
      </c>
      <c r="U2581" s="36" t="s">
        <v>26572</v>
      </c>
      <c r="V2581" s="36" t="s">
        <v>26571</v>
      </c>
      <c r="W2581" s="36" t="s">
        <v>94</v>
      </c>
      <c r="X2581" s="33">
        <v>2941</v>
      </c>
      <c r="Z2581" s="33" t="s">
        <v>42966</v>
      </c>
      <c r="AA2581" s="33">
        <v>5087</v>
      </c>
    </row>
    <row r="2582" spans="1:46" ht="12" customHeight="1" x14ac:dyDescent="0.15">
      <c r="A2582" s="33" t="s">
        <v>29031</v>
      </c>
      <c r="B2582" s="33">
        <v>30</v>
      </c>
      <c r="C2582" s="33" t="s">
        <v>14</v>
      </c>
      <c r="D2582" s="33" t="s">
        <v>31</v>
      </c>
      <c r="F2582" s="67">
        <v>42981</v>
      </c>
      <c r="G2582" s="33" t="s">
        <v>29032</v>
      </c>
      <c r="H2582" s="33" t="s">
        <v>187</v>
      </c>
      <c r="I2582" s="33" t="s">
        <v>63</v>
      </c>
      <c r="J2582" s="33">
        <v>44308</v>
      </c>
      <c r="K2582" s="33" t="s">
        <v>3180</v>
      </c>
      <c r="L2582" s="33" t="s">
        <v>29033</v>
      </c>
      <c r="M2582" s="33" t="s">
        <v>21</v>
      </c>
      <c r="N2582" s="33" t="s">
        <v>29034</v>
      </c>
      <c r="O2582" s="33" t="s">
        <v>372</v>
      </c>
      <c r="P2582" s="33" t="s">
        <v>30089</v>
      </c>
      <c r="Q2582" s="42" t="s">
        <v>29035</v>
      </c>
      <c r="R2582" s="33" t="s">
        <v>23</v>
      </c>
      <c r="S2582" s="33" t="s">
        <v>12</v>
      </c>
      <c r="T2582" s="36" t="s">
        <v>29705</v>
      </c>
      <c r="U2582" s="36" t="s">
        <v>26572</v>
      </c>
      <c r="V2582" s="36" t="s">
        <v>26573</v>
      </c>
      <c r="W2582" s="36" t="s">
        <v>94</v>
      </c>
      <c r="X2582" s="33">
        <v>2921</v>
      </c>
      <c r="Z2582" s="33" t="s">
        <v>42966</v>
      </c>
      <c r="AA2582" s="33">
        <v>5086</v>
      </c>
    </row>
    <row r="2583" spans="1:46" ht="12" customHeight="1" x14ac:dyDescent="0.15">
      <c r="A2583" s="33" t="s">
        <v>3002</v>
      </c>
      <c r="B2583" s="33" t="s">
        <v>23</v>
      </c>
      <c r="C2583" s="33" t="s">
        <v>14</v>
      </c>
      <c r="D2583" s="33" t="s">
        <v>30751</v>
      </c>
      <c r="F2583" s="67">
        <v>42980</v>
      </c>
      <c r="G2583" s="33" t="s">
        <v>29028</v>
      </c>
      <c r="H2583" s="33" t="s">
        <v>8137</v>
      </c>
      <c r="I2583" s="33" t="s">
        <v>39</v>
      </c>
      <c r="J2583" s="33">
        <v>92223</v>
      </c>
      <c r="K2583" s="33" t="s">
        <v>728</v>
      </c>
      <c r="L2583" s="33" t="s">
        <v>8139</v>
      </c>
      <c r="M2583" s="33" t="s">
        <v>21</v>
      </c>
      <c r="N2583" s="33" t="s">
        <v>29029</v>
      </c>
      <c r="O2583" s="33" t="s">
        <v>372</v>
      </c>
      <c r="P2583" s="33" t="s">
        <v>30089</v>
      </c>
      <c r="Q2583" s="42" t="s">
        <v>29030</v>
      </c>
      <c r="R2583" s="33" t="s">
        <v>94</v>
      </c>
      <c r="S2583" s="33" t="s">
        <v>22</v>
      </c>
      <c r="T2583" s="36" t="s">
        <v>26781</v>
      </c>
      <c r="U2583" s="36" t="s">
        <v>26572</v>
      </c>
      <c r="V2583" s="36" t="s">
        <v>26573</v>
      </c>
      <c r="W2583" s="36" t="s">
        <v>94</v>
      </c>
      <c r="X2583" s="33">
        <v>2917</v>
      </c>
      <c r="Z2583" s="33" t="s">
        <v>42968</v>
      </c>
      <c r="AA2583" s="33">
        <v>5083</v>
      </c>
    </row>
    <row r="2584" spans="1:46" ht="12" customHeight="1" x14ac:dyDescent="0.15">
      <c r="A2584" s="33" t="s">
        <v>29009</v>
      </c>
      <c r="B2584" s="33">
        <v>36</v>
      </c>
      <c r="C2584" s="33" t="s">
        <v>14</v>
      </c>
      <c r="D2584" s="33" t="s">
        <v>31</v>
      </c>
      <c r="F2584" s="67">
        <v>42979</v>
      </c>
      <c r="G2584" s="33" t="s">
        <v>29010</v>
      </c>
      <c r="H2584" s="33" t="s">
        <v>29011</v>
      </c>
      <c r="I2584" s="33" t="s">
        <v>40</v>
      </c>
      <c r="J2584" s="33">
        <v>1201</v>
      </c>
      <c r="K2584" s="33" t="s">
        <v>29012</v>
      </c>
      <c r="L2584" s="33" t="s">
        <v>29013</v>
      </c>
      <c r="M2584" s="33" t="s">
        <v>21</v>
      </c>
      <c r="N2584" s="33" t="s">
        <v>29014</v>
      </c>
      <c r="O2584" s="33" t="s">
        <v>372</v>
      </c>
      <c r="P2584" s="33" t="s">
        <v>30089</v>
      </c>
      <c r="Q2584" s="42" t="s">
        <v>29015</v>
      </c>
      <c r="R2584" s="33" t="s">
        <v>904</v>
      </c>
      <c r="S2584" s="33" t="s">
        <v>22</v>
      </c>
      <c r="T2584" s="36" t="s">
        <v>26774</v>
      </c>
      <c r="U2584" s="36" t="s">
        <v>26570</v>
      </c>
      <c r="V2584" s="36" t="s">
        <v>26574</v>
      </c>
      <c r="W2584" s="36" t="s">
        <v>94</v>
      </c>
      <c r="X2584" s="33">
        <v>2916</v>
      </c>
      <c r="Z2584" s="33" t="s">
        <v>42968</v>
      </c>
      <c r="AA2584" s="33">
        <v>5080</v>
      </c>
    </row>
    <row r="2585" spans="1:46" ht="12" customHeight="1" x14ac:dyDescent="0.15">
      <c r="A2585" s="33" t="s">
        <v>29023</v>
      </c>
      <c r="B2585" s="33">
        <v>45</v>
      </c>
      <c r="C2585" s="33" t="s">
        <v>14</v>
      </c>
      <c r="D2585" s="33" t="s">
        <v>31</v>
      </c>
      <c r="F2585" s="67">
        <v>42979</v>
      </c>
      <c r="G2585" s="33" t="s">
        <v>29024</v>
      </c>
      <c r="H2585" s="33" t="s">
        <v>29025</v>
      </c>
      <c r="I2585" s="33" t="s">
        <v>409</v>
      </c>
      <c r="J2585" s="33">
        <v>53816</v>
      </c>
      <c r="K2585" s="33" t="s">
        <v>369</v>
      </c>
      <c r="L2585" s="33" t="s">
        <v>370</v>
      </c>
      <c r="M2585" s="33" t="s">
        <v>21</v>
      </c>
      <c r="N2585" s="33" t="s">
        <v>29026</v>
      </c>
      <c r="O2585" s="33" t="s">
        <v>372</v>
      </c>
      <c r="P2585" s="33" t="s">
        <v>30089</v>
      </c>
      <c r="Q2585" s="42" t="s">
        <v>29027</v>
      </c>
      <c r="R2585" s="33" t="s">
        <v>94</v>
      </c>
      <c r="S2585" s="33" t="s">
        <v>29</v>
      </c>
      <c r="T2585" s="36" t="s">
        <v>26575</v>
      </c>
      <c r="U2585" s="36" t="s">
        <v>26570</v>
      </c>
      <c r="V2585" s="36" t="s">
        <v>26574</v>
      </c>
      <c r="W2585" s="36" t="s">
        <v>94</v>
      </c>
      <c r="X2585" s="33">
        <v>2915</v>
      </c>
      <c r="Z2585" s="33" t="s">
        <v>42967</v>
      </c>
      <c r="AA2585" s="33">
        <v>5082</v>
      </c>
    </row>
    <row r="2586" spans="1:46" ht="12" customHeight="1" x14ac:dyDescent="0.15">
      <c r="A2586" s="33" t="s">
        <v>29016</v>
      </c>
      <c r="B2586" s="33">
        <v>32</v>
      </c>
      <c r="C2586" s="33" t="s">
        <v>14</v>
      </c>
      <c r="D2586" s="33" t="s">
        <v>31</v>
      </c>
      <c r="F2586" s="67">
        <v>42979</v>
      </c>
      <c r="G2586" s="33" t="s">
        <v>29017</v>
      </c>
      <c r="H2586" s="33" t="s">
        <v>29018</v>
      </c>
      <c r="I2586" s="33" t="s">
        <v>9710</v>
      </c>
      <c r="J2586" s="33">
        <v>5764</v>
      </c>
      <c r="K2586" s="33" t="s">
        <v>29019</v>
      </c>
      <c r="L2586" s="33" t="s">
        <v>29020</v>
      </c>
      <c r="M2586" s="33" t="s">
        <v>21</v>
      </c>
      <c r="N2586" s="33" t="s">
        <v>29021</v>
      </c>
      <c r="O2586" s="33" t="s">
        <v>372</v>
      </c>
      <c r="P2586" s="33" t="s">
        <v>30089</v>
      </c>
      <c r="Q2586" s="42" t="s">
        <v>29022</v>
      </c>
      <c r="R2586" s="33" t="s">
        <v>512</v>
      </c>
      <c r="S2586" s="33" t="s">
        <v>12</v>
      </c>
      <c r="T2586" s="36" t="s">
        <v>29425</v>
      </c>
      <c r="U2586" s="36" t="s">
        <v>26572</v>
      </c>
      <c r="V2586" s="36" t="s">
        <v>26573</v>
      </c>
      <c r="W2586" s="36" t="s">
        <v>94</v>
      </c>
      <c r="X2586" s="33">
        <v>2914</v>
      </c>
      <c r="Z2586" s="33" t="s">
        <v>42967</v>
      </c>
      <c r="AA2586" s="33">
        <v>5081</v>
      </c>
    </row>
    <row r="2587" spans="1:46" ht="12" customHeight="1" x14ac:dyDescent="0.15">
      <c r="A2587" s="33" t="s">
        <v>29004</v>
      </c>
      <c r="B2587" s="33">
        <v>54</v>
      </c>
      <c r="C2587" s="33" t="s">
        <v>103</v>
      </c>
      <c r="D2587" s="33" t="s">
        <v>31</v>
      </c>
      <c r="E2587" s="42" t="s">
        <v>29005</v>
      </c>
      <c r="F2587" s="67">
        <v>42978</v>
      </c>
      <c r="G2587" s="33" t="s">
        <v>29006</v>
      </c>
      <c r="H2587" s="33" t="s">
        <v>29007</v>
      </c>
      <c r="I2587" s="33" t="s">
        <v>56</v>
      </c>
      <c r="J2587" s="33">
        <v>33931</v>
      </c>
      <c r="K2587" s="33" t="s">
        <v>5086</v>
      </c>
      <c r="L2587" s="33" t="s">
        <v>7052</v>
      </c>
      <c r="M2587" s="33" t="s">
        <v>21</v>
      </c>
      <c r="N2587" s="33" t="s">
        <v>36534</v>
      </c>
      <c r="O2587" s="33" t="s">
        <v>372</v>
      </c>
      <c r="P2587" s="33" t="s">
        <v>30089</v>
      </c>
      <c r="Q2587" s="42" t="s">
        <v>29008</v>
      </c>
      <c r="R2587" s="33" t="s">
        <v>512</v>
      </c>
      <c r="S2587" s="33" t="s">
        <v>22</v>
      </c>
      <c r="T2587" s="36" t="s">
        <v>26781</v>
      </c>
      <c r="U2587" s="36" t="s">
        <v>26572</v>
      </c>
      <c r="V2587" s="36" t="s">
        <v>26573</v>
      </c>
      <c r="W2587" s="36" t="s">
        <v>94</v>
      </c>
      <c r="X2587" s="33">
        <v>2913</v>
      </c>
      <c r="Z2587" s="33" t="s">
        <v>42968</v>
      </c>
      <c r="AA2587" s="33">
        <v>5079</v>
      </c>
      <c r="AT2587" s="42"/>
    </row>
    <row r="2588" spans="1:46" ht="12" customHeight="1" x14ac:dyDescent="0.15">
      <c r="A2588" s="33" t="s">
        <v>28995</v>
      </c>
      <c r="B2588" s="33">
        <v>22</v>
      </c>
      <c r="C2588" s="33" t="s">
        <v>14</v>
      </c>
      <c r="D2588" s="33" t="s">
        <v>42</v>
      </c>
      <c r="F2588" s="67">
        <v>42977</v>
      </c>
      <c r="G2588" s="33" t="s">
        <v>29190</v>
      </c>
      <c r="H2588" s="33" t="s">
        <v>28996</v>
      </c>
      <c r="I2588" s="33" t="s">
        <v>39</v>
      </c>
      <c r="J2588" s="33">
        <v>95035</v>
      </c>
      <c r="K2588" s="33" t="s">
        <v>561</v>
      </c>
      <c r="L2588" s="33" t="s">
        <v>633</v>
      </c>
      <c r="M2588" s="33" t="s">
        <v>21</v>
      </c>
      <c r="N2588" s="33" t="s">
        <v>28997</v>
      </c>
      <c r="O2588" s="33" t="s">
        <v>372</v>
      </c>
      <c r="P2588" s="33" t="s">
        <v>30089</v>
      </c>
      <c r="Q2588" s="42" t="s">
        <v>28998</v>
      </c>
      <c r="R2588" s="33" t="s">
        <v>94</v>
      </c>
      <c r="S2588" s="33" t="s">
        <v>22</v>
      </c>
      <c r="T2588" s="36" t="s">
        <v>26781</v>
      </c>
      <c r="U2588" s="36" t="s">
        <v>26572</v>
      </c>
      <c r="V2588" s="36" t="s">
        <v>26573</v>
      </c>
      <c r="W2588" s="36" t="s">
        <v>94</v>
      </c>
      <c r="X2588" s="33">
        <v>2912</v>
      </c>
      <c r="Z2588" s="33" t="s">
        <v>42968</v>
      </c>
      <c r="AA2588" s="33">
        <v>5077</v>
      </c>
    </row>
    <row r="2589" spans="1:46" ht="12" customHeight="1" x14ac:dyDescent="0.15">
      <c r="A2589" s="33" t="s">
        <v>28999</v>
      </c>
      <c r="B2589" s="33">
        <v>32</v>
      </c>
      <c r="C2589" s="33" t="s">
        <v>14</v>
      </c>
      <c r="D2589" s="33" t="s">
        <v>128</v>
      </c>
      <c r="E2589" s="42" t="s">
        <v>29000</v>
      </c>
      <c r="F2589" s="67">
        <v>42977</v>
      </c>
      <c r="G2589" s="33" t="s">
        <v>29001</v>
      </c>
      <c r="H2589" s="33" t="s">
        <v>1537</v>
      </c>
      <c r="I2589" s="33" t="s">
        <v>39</v>
      </c>
      <c r="J2589" s="33">
        <v>95821</v>
      </c>
      <c r="K2589" s="33" t="s">
        <v>1537</v>
      </c>
      <c r="L2589" s="33" t="s">
        <v>42471</v>
      </c>
      <c r="M2589" s="33" t="s">
        <v>21</v>
      </c>
      <c r="N2589" s="33" t="s">
        <v>29002</v>
      </c>
      <c r="O2589" s="33" t="s">
        <v>372</v>
      </c>
      <c r="P2589" s="33" t="s">
        <v>30089</v>
      </c>
      <c r="Q2589" s="42" t="s">
        <v>29003</v>
      </c>
      <c r="R2589" s="33" t="s">
        <v>94</v>
      </c>
      <c r="S2589" s="33" t="s">
        <v>22</v>
      </c>
      <c r="T2589" s="36" t="s">
        <v>26781</v>
      </c>
      <c r="U2589" s="36" t="s">
        <v>26572</v>
      </c>
      <c r="V2589" s="36" t="s">
        <v>26571</v>
      </c>
      <c r="W2589" s="36" t="s">
        <v>94</v>
      </c>
      <c r="X2589" s="33">
        <v>2918</v>
      </c>
      <c r="Z2589" s="33" t="s">
        <v>42966</v>
      </c>
      <c r="AA2589" s="33">
        <v>5078</v>
      </c>
      <c r="AQ2589" s="42"/>
    </row>
    <row r="2590" spans="1:46" ht="12" customHeight="1" x14ac:dyDescent="0.15">
      <c r="A2590" s="33" t="s">
        <v>28973</v>
      </c>
      <c r="B2590" s="33">
        <v>17</v>
      </c>
      <c r="C2590" s="33" t="s">
        <v>14</v>
      </c>
      <c r="D2590" s="33" t="s">
        <v>79</v>
      </c>
      <c r="F2590" s="67">
        <v>42976</v>
      </c>
      <c r="G2590" s="33" t="s">
        <v>28974</v>
      </c>
      <c r="H2590" s="33" t="s">
        <v>28975</v>
      </c>
      <c r="I2590" s="33" t="s">
        <v>38</v>
      </c>
      <c r="J2590" s="33">
        <v>60429</v>
      </c>
      <c r="K2590" s="33" t="s">
        <v>82</v>
      </c>
      <c r="L2590" s="33" t="s">
        <v>83</v>
      </c>
      <c r="M2590" s="33" t="s">
        <v>21</v>
      </c>
      <c r="N2590" s="33" t="s">
        <v>28976</v>
      </c>
      <c r="O2590" s="33" t="s">
        <v>372</v>
      </c>
      <c r="P2590" s="33" t="s">
        <v>30089</v>
      </c>
      <c r="Q2590" s="42" t="s">
        <v>28977</v>
      </c>
      <c r="R2590" s="33" t="s">
        <v>94</v>
      </c>
      <c r="S2590" s="33" t="s">
        <v>22</v>
      </c>
      <c r="T2590" s="36" t="s">
        <v>26781</v>
      </c>
      <c r="U2590" s="36" t="s">
        <v>26572</v>
      </c>
      <c r="V2590" s="36" t="s">
        <v>26573</v>
      </c>
      <c r="Y2590" s="33" t="s">
        <v>42476</v>
      </c>
      <c r="Z2590" s="33" t="s">
        <v>42968</v>
      </c>
      <c r="AA2590" s="33">
        <v>5076</v>
      </c>
    </row>
    <row r="2591" spans="1:46" ht="12" customHeight="1" x14ac:dyDescent="0.15">
      <c r="A2591" s="33" t="s">
        <v>28978</v>
      </c>
      <c r="B2591" s="33">
        <v>55</v>
      </c>
      <c r="C2591" s="33" t="s">
        <v>14</v>
      </c>
      <c r="D2591" s="33" t="s">
        <v>79</v>
      </c>
      <c r="F2591" s="67">
        <v>42976</v>
      </c>
      <c r="G2591" s="33" t="s">
        <v>28979</v>
      </c>
      <c r="H2591" s="33" t="s">
        <v>20447</v>
      </c>
      <c r="I2591" s="33" t="s">
        <v>198</v>
      </c>
      <c r="J2591" s="33">
        <v>47708</v>
      </c>
      <c r="K2591" s="33" t="s">
        <v>20448</v>
      </c>
      <c r="L2591" s="33" t="s">
        <v>28980</v>
      </c>
      <c r="M2591" s="33" t="s">
        <v>4966</v>
      </c>
      <c r="N2591" s="33" t="s">
        <v>28981</v>
      </c>
      <c r="O2591" s="33" t="s">
        <v>372</v>
      </c>
      <c r="P2591" s="33" t="s">
        <v>30089</v>
      </c>
      <c r="Q2591" s="42" t="s">
        <v>28982</v>
      </c>
      <c r="R2591" s="33" t="s">
        <v>512</v>
      </c>
      <c r="S2591" s="33" t="s">
        <v>29</v>
      </c>
      <c r="T2591" s="36" t="s">
        <v>26580</v>
      </c>
      <c r="U2591" s="36" t="s">
        <v>26570</v>
      </c>
      <c r="V2591" s="36" t="s">
        <v>26573</v>
      </c>
      <c r="W2591" s="36" t="s">
        <v>512</v>
      </c>
      <c r="X2591" s="33">
        <v>2907</v>
      </c>
      <c r="Z2591" s="33" t="s">
        <v>42966</v>
      </c>
      <c r="AA2591" s="33">
        <v>5072</v>
      </c>
      <c r="AQ2591" s="42"/>
      <c r="AT2591" s="83"/>
    </row>
    <row r="2592" spans="1:46" ht="12" customHeight="1" x14ac:dyDescent="0.15">
      <c r="A2592" s="33" t="s">
        <v>28969</v>
      </c>
      <c r="B2592" s="33">
        <v>68</v>
      </c>
      <c r="C2592" s="33" t="s">
        <v>14</v>
      </c>
      <c r="D2592" s="33" t="s">
        <v>30751</v>
      </c>
      <c r="F2592" s="67">
        <v>42976</v>
      </c>
      <c r="G2592" s="33" t="s">
        <v>28970</v>
      </c>
      <c r="H2592" s="33" t="s">
        <v>603</v>
      </c>
      <c r="I2592" s="33" t="s">
        <v>88</v>
      </c>
      <c r="J2592" s="33">
        <v>36265</v>
      </c>
      <c r="K2592" s="33" t="s">
        <v>5619</v>
      </c>
      <c r="L2592" s="33" t="s">
        <v>2186</v>
      </c>
      <c r="M2592" s="33" t="s">
        <v>21</v>
      </c>
      <c r="N2592" s="33" t="s">
        <v>28971</v>
      </c>
      <c r="O2592" s="33" t="s">
        <v>372</v>
      </c>
      <c r="P2592" s="33" t="s">
        <v>30089</v>
      </c>
      <c r="Q2592" s="42" t="s">
        <v>28972</v>
      </c>
      <c r="R2592" s="33" t="s">
        <v>94</v>
      </c>
      <c r="S2592" s="33" t="s">
        <v>22</v>
      </c>
      <c r="T2592" s="36" t="s">
        <v>26781</v>
      </c>
      <c r="U2592" s="36" t="s">
        <v>26572</v>
      </c>
      <c r="V2592" s="36" t="s">
        <v>26573</v>
      </c>
      <c r="W2592" s="36" t="s">
        <v>94</v>
      </c>
      <c r="X2592" s="33">
        <v>2908</v>
      </c>
      <c r="Z2592" s="33" t="s">
        <v>42967</v>
      </c>
      <c r="AA2592" s="33">
        <v>5073</v>
      </c>
    </row>
    <row r="2593" spans="1:43" ht="12" customHeight="1" x14ac:dyDescent="0.15">
      <c r="A2593" s="33" t="s">
        <v>28990</v>
      </c>
      <c r="B2593" s="33">
        <v>46</v>
      </c>
      <c r="C2593" s="33" t="s">
        <v>103</v>
      </c>
      <c r="D2593" s="33" t="s">
        <v>31</v>
      </c>
      <c r="E2593" s="42" t="s">
        <v>28991</v>
      </c>
      <c r="F2593" s="67">
        <v>42976</v>
      </c>
      <c r="G2593" s="33" t="s">
        <v>28992</v>
      </c>
      <c r="H2593" s="33" t="s">
        <v>11144</v>
      </c>
      <c r="I2593" s="33" t="s">
        <v>67</v>
      </c>
      <c r="J2593" s="33">
        <v>76148</v>
      </c>
      <c r="K2593" s="33" t="s">
        <v>68</v>
      </c>
      <c r="L2593" s="33" t="s">
        <v>11146</v>
      </c>
      <c r="M2593" s="33" t="s">
        <v>21</v>
      </c>
      <c r="N2593" s="33" t="s">
        <v>28993</v>
      </c>
      <c r="O2593" s="33" t="s">
        <v>372</v>
      </c>
      <c r="P2593" s="33" t="s">
        <v>30089</v>
      </c>
      <c r="Q2593" s="42" t="s">
        <v>28994</v>
      </c>
      <c r="R2593" s="33" t="s">
        <v>23</v>
      </c>
      <c r="S2593" s="33" t="s">
        <v>22</v>
      </c>
      <c r="T2593" s="36" t="s">
        <v>26781</v>
      </c>
      <c r="U2593" s="36" t="s">
        <v>26570</v>
      </c>
      <c r="V2593" s="36" t="s">
        <v>26573</v>
      </c>
      <c r="W2593" s="36" t="s">
        <v>94</v>
      </c>
      <c r="X2593" s="33">
        <v>2910</v>
      </c>
      <c r="Z2593" s="33" t="s">
        <v>42968</v>
      </c>
      <c r="AA2593" s="33">
        <v>5075</v>
      </c>
    </row>
    <row r="2594" spans="1:43" ht="12" customHeight="1" x14ac:dyDescent="0.15">
      <c r="A2594" s="33" t="s">
        <v>28983</v>
      </c>
      <c r="B2594" s="33">
        <v>22</v>
      </c>
      <c r="C2594" s="33" t="s">
        <v>14</v>
      </c>
      <c r="D2594" s="33" t="s">
        <v>31</v>
      </c>
      <c r="E2594" s="42" t="s">
        <v>28984</v>
      </c>
      <c r="F2594" s="67">
        <v>42976</v>
      </c>
      <c r="G2594" s="33" t="s">
        <v>28985</v>
      </c>
      <c r="H2594" s="33" t="s">
        <v>28986</v>
      </c>
      <c r="I2594" s="33" t="s">
        <v>19</v>
      </c>
      <c r="J2594" s="33">
        <v>71275</v>
      </c>
      <c r="K2594" s="33" t="s">
        <v>2159</v>
      </c>
      <c r="L2594" s="33" t="s">
        <v>28987</v>
      </c>
      <c r="M2594" s="33" t="s">
        <v>21</v>
      </c>
      <c r="N2594" s="33" t="s">
        <v>28988</v>
      </c>
      <c r="O2594" s="33" t="s">
        <v>372</v>
      </c>
      <c r="P2594" s="33" t="s">
        <v>30089</v>
      </c>
      <c r="Q2594" s="42" t="s">
        <v>28989</v>
      </c>
      <c r="R2594" s="33" t="s">
        <v>94</v>
      </c>
      <c r="S2594" s="33" t="s">
        <v>22</v>
      </c>
      <c r="T2594" s="36" t="s">
        <v>26781</v>
      </c>
      <c r="U2594" s="36" t="s">
        <v>26572</v>
      </c>
      <c r="V2594" s="36" t="s">
        <v>26573</v>
      </c>
      <c r="W2594" s="36" t="s">
        <v>94</v>
      </c>
      <c r="X2594" s="33">
        <v>2909</v>
      </c>
      <c r="Z2594" s="33" t="s">
        <v>42967</v>
      </c>
      <c r="AA2594" s="33">
        <v>5074</v>
      </c>
    </row>
    <row r="2595" spans="1:43" ht="12" customHeight="1" x14ac:dyDescent="0.15">
      <c r="A2595" s="33" t="s">
        <v>28964</v>
      </c>
      <c r="B2595" s="33">
        <v>24</v>
      </c>
      <c r="C2595" s="33" t="s">
        <v>14</v>
      </c>
      <c r="D2595" s="33" t="s">
        <v>79</v>
      </c>
      <c r="F2595" s="67">
        <v>42975</v>
      </c>
      <c r="G2595" s="33" t="s">
        <v>28965</v>
      </c>
      <c r="H2595" s="33" t="s">
        <v>28966</v>
      </c>
      <c r="I2595" s="33" t="s">
        <v>337</v>
      </c>
      <c r="J2595" s="33">
        <v>67107</v>
      </c>
      <c r="K2595" s="33" t="s">
        <v>8546</v>
      </c>
      <c r="L2595" s="33" t="s">
        <v>28967</v>
      </c>
      <c r="M2595" s="33" t="s">
        <v>21</v>
      </c>
      <c r="N2595" s="33" t="s">
        <v>30815</v>
      </c>
      <c r="O2595" s="33" t="s">
        <v>372</v>
      </c>
      <c r="P2595" s="33" t="s">
        <v>30089</v>
      </c>
      <c r="Q2595" s="42" t="s">
        <v>28968</v>
      </c>
      <c r="R2595" s="33" t="s">
        <v>512</v>
      </c>
      <c r="S2595" s="33" t="s">
        <v>12</v>
      </c>
      <c r="T2595" s="36" t="s">
        <v>29705</v>
      </c>
      <c r="U2595" s="36" t="s">
        <v>26572</v>
      </c>
      <c r="V2595" s="36" t="s">
        <v>26571</v>
      </c>
      <c r="W2595" s="36" t="s">
        <v>94</v>
      </c>
      <c r="X2595" s="33">
        <v>2906</v>
      </c>
      <c r="Z2595" s="33" t="s">
        <v>42967</v>
      </c>
      <c r="AA2595" s="33">
        <v>5070</v>
      </c>
    </row>
    <row r="2596" spans="1:43" ht="12" customHeight="1" x14ac:dyDescent="0.15">
      <c r="A2596" s="33" t="s">
        <v>28960</v>
      </c>
      <c r="B2596" s="33">
        <v>27</v>
      </c>
      <c r="C2596" s="33" t="s">
        <v>14</v>
      </c>
      <c r="D2596" s="33" t="s">
        <v>79</v>
      </c>
      <c r="F2596" s="67">
        <v>42975</v>
      </c>
      <c r="G2596" s="33" t="s">
        <v>28961</v>
      </c>
      <c r="H2596" s="33" t="s">
        <v>196</v>
      </c>
      <c r="I2596" s="33" t="s">
        <v>56</v>
      </c>
      <c r="J2596" s="33">
        <v>33147</v>
      </c>
      <c r="K2596" s="33" t="s">
        <v>148</v>
      </c>
      <c r="L2596" s="33" t="s">
        <v>149</v>
      </c>
      <c r="M2596" s="33" t="s">
        <v>21</v>
      </c>
      <c r="N2596" s="33" t="s">
        <v>28962</v>
      </c>
      <c r="O2596" s="33" t="s">
        <v>372</v>
      </c>
      <c r="P2596" s="33" t="s">
        <v>30089</v>
      </c>
      <c r="Q2596" s="42" t="s">
        <v>28963</v>
      </c>
      <c r="R2596" s="33" t="s">
        <v>94</v>
      </c>
      <c r="S2596" s="33" t="s">
        <v>12</v>
      </c>
      <c r="T2596" s="36" t="s">
        <v>29705</v>
      </c>
      <c r="U2596" s="36" t="s">
        <v>26570</v>
      </c>
      <c r="V2596" s="36" t="s">
        <v>26574</v>
      </c>
      <c r="W2596" s="36" t="s">
        <v>94</v>
      </c>
      <c r="X2596" s="33">
        <v>2911</v>
      </c>
      <c r="Z2596" s="33" t="s">
        <v>42968</v>
      </c>
      <c r="AA2596" s="33">
        <v>5071</v>
      </c>
    </row>
    <row r="2597" spans="1:43" ht="12" customHeight="1" x14ac:dyDescent="0.15">
      <c r="A2597" s="33" t="s">
        <v>28954</v>
      </c>
      <c r="B2597" s="33">
        <v>62</v>
      </c>
      <c r="C2597" s="33" t="s">
        <v>14</v>
      </c>
      <c r="D2597" s="33" t="s">
        <v>31</v>
      </c>
      <c r="F2597" s="67">
        <v>42975</v>
      </c>
      <c r="G2597" s="33" t="s">
        <v>28955</v>
      </c>
      <c r="H2597" s="33" t="s">
        <v>28956</v>
      </c>
      <c r="I2597" s="33" t="s">
        <v>35</v>
      </c>
      <c r="J2597" s="33">
        <v>6776</v>
      </c>
      <c r="K2597" s="33" t="s">
        <v>22532</v>
      </c>
      <c r="L2597" s="33" t="s">
        <v>28957</v>
      </c>
      <c r="M2597" s="33" t="s">
        <v>21</v>
      </c>
      <c r="N2597" s="33" t="s">
        <v>28958</v>
      </c>
      <c r="O2597" s="33" t="s">
        <v>372</v>
      </c>
      <c r="P2597" s="33" t="s">
        <v>30089</v>
      </c>
      <c r="Q2597" s="42" t="s">
        <v>28959</v>
      </c>
      <c r="R2597" s="33" t="s">
        <v>94</v>
      </c>
      <c r="S2597" s="33" t="s">
        <v>22</v>
      </c>
      <c r="T2597" s="36" t="s">
        <v>26781</v>
      </c>
      <c r="U2597" s="36" t="s">
        <v>26572</v>
      </c>
      <c r="V2597" s="36" t="s">
        <v>26574</v>
      </c>
      <c r="W2597" s="36" t="s">
        <v>94</v>
      </c>
      <c r="X2597" s="33">
        <v>2905</v>
      </c>
      <c r="Z2597" s="33" t="s">
        <v>42968</v>
      </c>
      <c r="AA2597" s="33">
        <v>5069</v>
      </c>
    </row>
    <row r="2598" spans="1:43" ht="12" customHeight="1" x14ac:dyDescent="0.15">
      <c r="A2598" s="33" t="s">
        <v>28947</v>
      </c>
      <c r="B2598" s="33">
        <v>33</v>
      </c>
      <c r="C2598" s="33" t="s">
        <v>14</v>
      </c>
      <c r="D2598" s="33" t="s">
        <v>31</v>
      </c>
      <c r="E2598" s="42" t="s">
        <v>28948</v>
      </c>
      <c r="F2598" s="67">
        <v>42974</v>
      </c>
      <c r="G2598" s="33" t="s">
        <v>28949</v>
      </c>
      <c r="H2598" s="33" t="s">
        <v>28950</v>
      </c>
      <c r="I2598" s="33" t="s">
        <v>63</v>
      </c>
      <c r="J2598" s="33">
        <v>45420</v>
      </c>
      <c r="K2598" s="33" t="s">
        <v>995</v>
      </c>
      <c r="L2598" s="33" t="s">
        <v>28951</v>
      </c>
      <c r="M2598" s="33" t="s">
        <v>21</v>
      </c>
      <c r="N2598" s="33" t="s">
        <v>28952</v>
      </c>
      <c r="O2598" s="33" t="s">
        <v>372</v>
      </c>
      <c r="P2598" s="33" t="s">
        <v>30089</v>
      </c>
      <c r="Q2598" s="42" t="s">
        <v>28953</v>
      </c>
      <c r="R2598" s="33" t="s">
        <v>94</v>
      </c>
      <c r="S2598" s="33" t="s">
        <v>22</v>
      </c>
      <c r="T2598" s="36" t="s">
        <v>26781</v>
      </c>
      <c r="U2598" s="36" t="s">
        <v>26570</v>
      </c>
      <c r="V2598" s="36" t="s">
        <v>26573</v>
      </c>
      <c r="W2598" s="36" t="s">
        <v>94</v>
      </c>
      <c r="X2598" s="33">
        <v>2903</v>
      </c>
      <c r="Z2598" s="33" t="s">
        <v>42968</v>
      </c>
      <c r="AA2598" s="33">
        <v>5067</v>
      </c>
    </row>
    <row r="2599" spans="1:43" ht="12" customHeight="1" x14ac:dyDescent="0.15">
      <c r="A2599" s="33" t="s">
        <v>28942</v>
      </c>
      <c r="B2599" s="33">
        <v>26</v>
      </c>
      <c r="C2599" s="33" t="s">
        <v>14</v>
      </c>
      <c r="D2599" s="33" t="s">
        <v>42</v>
      </c>
      <c r="F2599" s="67">
        <v>42974</v>
      </c>
      <c r="G2599" s="33" t="s">
        <v>28943</v>
      </c>
      <c r="H2599" s="33" t="s">
        <v>11426</v>
      </c>
      <c r="I2599" s="33" t="s">
        <v>178</v>
      </c>
      <c r="J2599" s="33">
        <v>87402</v>
      </c>
      <c r="K2599" s="33" t="s">
        <v>5263</v>
      </c>
      <c r="L2599" s="33" t="s">
        <v>28944</v>
      </c>
      <c r="M2599" s="33" t="s">
        <v>21</v>
      </c>
      <c r="N2599" s="33" t="s">
        <v>28945</v>
      </c>
      <c r="O2599" s="33" t="s">
        <v>372</v>
      </c>
      <c r="P2599" s="33" t="s">
        <v>30089</v>
      </c>
      <c r="Q2599" s="42" t="s">
        <v>28946</v>
      </c>
      <c r="R2599" s="33" t="s">
        <v>94</v>
      </c>
      <c r="S2599" s="33" t="s">
        <v>22</v>
      </c>
      <c r="T2599" s="36" t="s">
        <v>26781</v>
      </c>
      <c r="U2599" s="36" t="s">
        <v>26572</v>
      </c>
      <c r="V2599" s="36" t="s">
        <v>26573</v>
      </c>
      <c r="W2599" s="36" t="s">
        <v>94</v>
      </c>
      <c r="X2599" s="33">
        <v>2902</v>
      </c>
      <c r="Z2599" s="33" t="s">
        <v>42968</v>
      </c>
      <c r="AA2599" s="33">
        <v>5066</v>
      </c>
      <c r="AQ2599" s="42"/>
    </row>
    <row r="2600" spans="1:43" ht="12" customHeight="1" x14ac:dyDescent="0.15">
      <c r="A2600" s="33" t="s">
        <v>28938</v>
      </c>
      <c r="B2600" s="33">
        <v>34</v>
      </c>
      <c r="C2600" s="33" t="s">
        <v>14</v>
      </c>
      <c r="D2600" s="33" t="s">
        <v>31</v>
      </c>
      <c r="F2600" s="67">
        <v>42974</v>
      </c>
      <c r="G2600" s="33" t="s">
        <v>28939</v>
      </c>
      <c r="H2600" s="33" t="s">
        <v>25286</v>
      </c>
      <c r="I2600" s="33" t="s">
        <v>294</v>
      </c>
      <c r="J2600" s="33">
        <v>40374</v>
      </c>
      <c r="K2600" s="33" t="s">
        <v>1346</v>
      </c>
      <c r="L2600" s="33" t="s">
        <v>18258</v>
      </c>
      <c r="M2600" s="33" t="s">
        <v>21</v>
      </c>
      <c r="N2600" s="33" t="s">
        <v>28940</v>
      </c>
      <c r="O2600" s="33" t="s">
        <v>372</v>
      </c>
      <c r="P2600" s="33" t="s">
        <v>30089</v>
      </c>
      <c r="Q2600" s="42" t="s">
        <v>28941</v>
      </c>
      <c r="R2600" s="33" t="s">
        <v>94</v>
      </c>
      <c r="S2600" s="33" t="s">
        <v>22</v>
      </c>
      <c r="T2600" s="36" t="s">
        <v>26774</v>
      </c>
      <c r="U2600" s="36" t="s">
        <v>26572</v>
      </c>
      <c r="V2600" s="36" t="s">
        <v>26574</v>
      </c>
      <c r="W2600" s="36" t="s">
        <v>94</v>
      </c>
      <c r="X2600" s="33">
        <v>2904</v>
      </c>
      <c r="Z2600" s="33" t="s">
        <v>42967</v>
      </c>
      <c r="AA2600" s="33">
        <v>5068</v>
      </c>
    </row>
    <row r="2601" spans="1:43" ht="12" customHeight="1" x14ac:dyDescent="0.15">
      <c r="A2601" s="33" t="s">
        <v>28932</v>
      </c>
      <c r="B2601" s="33">
        <v>18</v>
      </c>
      <c r="C2601" s="33" t="s">
        <v>14</v>
      </c>
      <c r="D2601" s="33" t="s">
        <v>42</v>
      </c>
      <c r="E2601" s="42" t="s">
        <v>28933</v>
      </c>
      <c r="F2601" s="67">
        <v>42973</v>
      </c>
      <c r="G2601" s="33" t="s">
        <v>28934</v>
      </c>
      <c r="H2601" s="33" t="s">
        <v>28935</v>
      </c>
      <c r="I2601" s="33" t="s">
        <v>367</v>
      </c>
      <c r="J2601" s="33">
        <v>73942</v>
      </c>
      <c r="K2601" s="33" t="s">
        <v>18666</v>
      </c>
      <c r="L2601" s="33" t="s">
        <v>1904</v>
      </c>
      <c r="M2601" s="33" t="s">
        <v>21</v>
      </c>
      <c r="N2601" s="33" t="s">
        <v>28936</v>
      </c>
      <c r="O2601" s="33" t="s">
        <v>372</v>
      </c>
      <c r="P2601" s="33" t="s">
        <v>30089</v>
      </c>
      <c r="Q2601" s="42" t="s">
        <v>28937</v>
      </c>
      <c r="R2601" s="33" t="s">
        <v>94</v>
      </c>
      <c r="S2601" s="33" t="s">
        <v>12</v>
      </c>
      <c r="T2601" s="36" t="s">
        <v>29705</v>
      </c>
      <c r="U2601" s="36" t="s">
        <v>26570</v>
      </c>
      <c r="V2601" s="36" t="s">
        <v>26571</v>
      </c>
      <c r="Z2601" s="33" t="s">
        <v>42967</v>
      </c>
      <c r="AA2601" s="33">
        <v>5064</v>
      </c>
    </row>
    <row r="2602" spans="1:43" ht="12" customHeight="1" x14ac:dyDescent="0.15">
      <c r="A2602" s="33" t="s">
        <v>28928</v>
      </c>
      <c r="B2602" s="33">
        <v>15</v>
      </c>
      <c r="C2602" s="33" t="s">
        <v>14</v>
      </c>
      <c r="D2602" s="33" t="s">
        <v>79</v>
      </c>
      <c r="F2602" s="67">
        <v>42973</v>
      </c>
      <c r="G2602" s="33" t="s">
        <v>28929</v>
      </c>
      <c r="H2602" s="33" t="s">
        <v>415</v>
      </c>
      <c r="I2602" s="33" t="s">
        <v>51</v>
      </c>
      <c r="J2602" s="33">
        <v>48205</v>
      </c>
      <c r="K2602" s="33" t="s">
        <v>1057</v>
      </c>
      <c r="L2602" s="33" t="s">
        <v>28930</v>
      </c>
      <c r="M2602" s="33" t="s">
        <v>363</v>
      </c>
      <c r="N2602" s="33" t="s">
        <v>30783</v>
      </c>
      <c r="O2602" s="33" t="s">
        <v>1083</v>
      </c>
      <c r="P2602" s="33" t="s">
        <v>1084</v>
      </c>
      <c r="Q2602" s="42" t="s">
        <v>28931</v>
      </c>
      <c r="R2602" s="33" t="s">
        <v>94</v>
      </c>
      <c r="S2602" s="33" t="s">
        <v>351</v>
      </c>
      <c r="T2602" s="36" t="s">
        <v>26867</v>
      </c>
      <c r="U2602" s="36" t="s">
        <v>26570</v>
      </c>
      <c r="V2602" s="36" t="s">
        <v>26571</v>
      </c>
      <c r="Z2602" s="33" t="s">
        <v>42966</v>
      </c>
      <c r="AA2602" s="33">
        <v>5065</v>
      </c>
      <c r="AQ2602" s="42"/>
    </row>
    <row r="2603" spans="1:43" ht="12" customHeight="1" x14ac:dyDescent="0.15">
      <c r="A2603" s="33" t="s">
        <v>28924</v>
      </c>
      <c r="B2603" s="33">
        <v>18</v>
      </c>
      <c r="C2603" s="33" t="s">
        <v>14</v>
      </c>
      <c r="D2603" s="33" t="s">
        <v>79</v>
      </c>
      <c r="F2603" s="67">
        <v>42973</v>
      </c>
      <c r="G2603" s="33" t="s">
        <v>28925</v>
      </c>
      <c r="H2603" s="33" t="s">
        <v>12907</v>
      </c>
      <c r="I2603" s="33" t="s">
        <v>918</v>
      </c>
      <c r="J2603" s="33">
        <v>71602</v>
      </c>
      <c r="K2603" s="33" t="s">
        <v>1659</v>
      </c>
      <c r="L2603" s="33" t="s">
        <v>27525</v>
      </c>
      <c r="M2603" s="33" t="s">
        <v>21</v>
      </c>
      <c r="N2603" s="33" t="s">
        <v>28926</v>
      </c>
      <c r="O2603" s="33" t="s">
        <v>372</v>
      </c>
      <c r="P2603" s="33" t="s">
        <v>30089</v>
      </c>
      <c r="Q2603" s="42" t="s">
        <v>28927</v>
      </c>
      <c r="R2603" s="33" t="s">
        <v>94</v>
      </c>
      <c r="S2603" s="33" t="s">
        <v>22</v>
      </c>
      <c r="T2603" s="36" t="s">
        <v>26781</v>
      </c>
      <c r="U2603" s="36" t="s">
        <v>26572</v>
      </c>
      <c r="V2603" s="36" t="s">
        <v>26574</v>
      </c>
      <c r="W2603" s="36" t="s">
        <v>94</v>
      </c>
      <c r="X2603" s="33">
        <v>2901</v>
      </c>
      <c r="Z2603" s="33" t="s">
        <v>42968</v>
      </c>
      <c r="AA2603" s="33">
        <v>5063</v>
      </c>
    </row>
    <row r="2604" spans="1:43" ht="12" customHeight="1" x14ac:dyDescent="0.15">
      <c r="A2604" s="33" t="s">
        <v>28920</v>
      </c>
      <c r="B2604" s="33">
        <v>30</v>
      </c>
      <c r="C2604" s="33" t="s">
        <v>14</v>
      </c>
      <c r="D2604" s="33" t="s">
        <v>79</v>
      </c>
      <c r="F2604" s="67">
        <v>42972</v>
      </c>
      <c r="G2604" s="33" t="s">
        <v>28921</v>
      </c>
      <c r="H2604" s="33" t="s">
        <v>5762</v>
      </c>
      <c r="I2604" s="33" t="s">
        <v>160</v>
      </c>
      <c r="J2604" s="33">
        <v>30062</v>
      </c>
      <c r="K2604" s="33" t="s">
        <v>3052</v>
      </c>
      <c r="L2604" s="33" t="s">
        <v>3053</v>
      </c>
      <c r="M2604" s="33" t="s">
        <v>363</v>
      </c>
      <c r="N2604" s="33" t="s">
        <v>28922</v>
      </c>
      <c r="O2604" s="33" t="s">
        <v>372</v>
      </c>
      <c r="P2604" s="33" t="s">
        <v>30089</v>
      </c>
      <c r="Q2604" s="42" t="s">
        <v>28923</v>
      </c>
      <c r="R2604" s="33" t="s">
        <v>94</v>
      </c>
      <c r="S2604" s="33" t="s">
        <v>12</v>
      </c>
      <c r="T2604" s="36" t="s">
        <v>29705</v>
      </c>
      <c r="U2604" s="36" t="s">
        <v>26572</v>
      </c>
      <c r="V2604" s="36" t="s">
        <v>26571</v>
      </c>
      <c r="Z2604" s="33" t="s">
        <v>42968</v>
      </c>
      <c r="AA2604" s="33">
        <v>5062</v>
      </c>
      <c r="AQ2604" s="42"/>
    </row>
    <row r="2605" spans="1:43" ht="12" customHeight="1" x14ac:dyDescent="0.15">
      <c r="A2605" s="33" t="s">
        <v>28915</v>
      </c>
      <c r="B2605" s="33">
        <v>47</v>
      </c>
      <c r="C2605" s="33" t="s">
        <v>14</v>
      </c>
      <c r="D2605" s="33" t="s">
        <v>79</v>
      </c>
      <c r="F2605" s="67">
        <v>42972</v>
      </c>
      <c r="G2605" s="33" t="s">
        <v>28916</v>
      </c>
      <c r="H2605" s="33" t="s">
        <v>28917</v>
      </c>
      <c r="I2605" s="33" t="s">
        <v>160</v>
      </c>
      <c r="J2605" s="33">
        <v>30669</v>
      </c>
      <c r="K2605" s="33" t="s">
        <v>4549</v>
      </c>
      <c r="L2605" s="33" t="s">
        <v>11598</v>
      </c>
      <c r="M2605" s="33" t="s">
        <v>21</v>
      </c>
      <c r="N2605" s="33" t="s">
        <v>28918</v>
      </c>
      <c r="O2605" s="33" t="s">
        <v>372</v>
      </c>
      <c r="P2605" s="33" t="s">
        <v>30089</v>
      </c>
      <c r="Q2605" s="42" t="s">
        <v>28919</v>
      </c>
      <c r="R2605" s="33" t="s">
        <v>94</v>
      </c>
      <c r="S2605" s="33" t="s">
        <v>12</v>
      </c>
      <c r="T2605" s="36" t="s">
        <v>29705</v>
      </c>
      <c r="U2605" s="36" t="s">
        <v>26572</v>
      </c>
      <c r="V2605" s="36" t="s">
        <v>26574</v>
      </c>
      <c r="W2605" s="36" t="s">
        <v>94</v>
      </c>
      <c r="X2605" s="33">
        <v>2900</v>
      </c>
      <c r="Z2605" s="33" t="s">
        <v>42967</v>
      </c>
      <c r="AA2605" s="33">
        <v>5061</v>
      </c>
    </row>
    <row r="2606" spans="1:43" ht="12" customHeight="1" x14ac:dyDescent="0.15">
      <c r="A2606" s="33" t="s">
        <v>28911</v>
      </c>
      <c r="B2606" s="33">
        <v>28</v>
      </c>
      <c r="C2606" s="33" t="s">
        <v>103</v>
      </c>
      <c r="D2606" s="33" t="s">
        <v>31</v>
      </c>
      <c r="E2606" s="42" t="s">
        <v>28912</v>
      </c>
      <c r="F2606" s="67">
        <v>42972</v>
      </c>
      <c r="G2606" s="33" t="s">
        <v>28913</v>
      </c>
      <c r="H2606" s="33" t="s">
        <v>6308</v>
      </c>
      <c r="I2606" s="33" t="s">
        <v>56</v>
      </c>
      <c r="J2606" s="33">
        <v>33351</v>
      </c>
      <c r="K2606" s="33" t="s">
        <v>1052</v>
      </c>
      <c r="L2606" s="33" t="s">
        <v>6310</v>
      </c>
      <c r="M2606" s="33" t="s">
        <v>21</v>
      </c>
      <c r="N2606" s="33" t="s">
        <v>36535</v>
      </c>
      <c r="O2606" s="33" t="s">
        <v>372</v>
      </c>
      <c r="P2606" s="33" t="s">
        <v>30089</v>
      </c>
      <c r="Q2606" s="42" t="s">
        <v>28914</v>
      </c>
      <c r="R2606" s="33" t="s">
        <v>512</v>
      </c>
      <c r="S2606" s="33" t="s">
        <v>22</v>
      </c>
      <c r="T2606" s="36" t="s">
        <v>26781</v>
      </c>
      <c r="U2606" s="36" t="s">
        <v>26575</v>
      </c>
      <c r="V2606" s="36" t="s">
        <v>26573</v>
      </c>
      <c r="W2606" s="36" t="s">
        <v>94</v>
      </c>
      <c r="X2606" s="33">
        <v>2899</v>
      </c>
      <c r="Z2606" s="33" t="s">
        <v>42968</v>
      </c>
      <c r="AA2606" s="33">
        <v>5060</v>
      </c>
    </row>
    <row r="2607" spans="1:43" ht="12" customHeight="1" x14ac:dyDescent="0.15">
      <c r="A2607" s="33" t="s">
        <v>28906</v>
      </c>
      <c r="B2607" s="33">
        <v>44</v>
      </c>
      <c r="C2607" s="33" t="s">
        <v>14</v>
      </c>
      <c r="D2607" s="33" t="s">
        <v>31</v>
      </c>
      <c r="E2607" s="42" t="s">
        <v>28907</v>
      </c>
      <c r="F2607" s="67">
        <v>42972</v>
      </c>
      <c r="G2607" s="33" t="s">
        <v>28908</v>
      </c>
      <c r="H2607" s="33" t="s">
        <v>603</v>
      </c>
      <c r="I2607" s="33" t="s">
        <v>56</v>
      </c>
      <c r="J2607" s="33">
        <v>32254</v>
      </c>
      <c r="K2607" s="33" t="s">
        <v>604</v>
      </c>
      <c r="L2607" s="33" t="s">
        <v>605</v>
      </c>
      <c r="M2607" s="33" t="s">
        <v>21</v>
      </c>
      <c r="N2607" s="33" t="s">
        <v>28909</v>
      </c>
      <c r="O2607" s="33" t="s">
        <v>372</v>
      </c>
      <c r="P2607" s="33" t="s">
        <v>30089</v>
      </c>
      <c r="Q2607" s="42" t="s">
        <v>28910</v>
      </c>
      <c r="R2607" s="33" t="s">
        <v>94</v>
      </c>
      <c r="S2607" s="33" t="s">
        <v>22</v>
      </c>
      <c r="T2607" s="36" t="s">
        <v>26781</v>
      </c>
      <c r="U2607" s="36" t="s">
        <v>26570</v>
      </c>
      <c r="V2607" s="36" t="s">
        <v>26573</v>
      </c>
      <c r="W2607" s="36" t="s">
        <v>94</v>
      </c>
      <c r="X2607" s="33">
        <v>2897</v>
      </c>
      <c r="Z2607" s="33" t="s">
        <v>42966</v>
      </c>
      <c r="AA2607" s="33">
        <v>5059</v>
      </c>
    </row>
    <row r="2608" spans="1:43" ht="12" customHeight="1" x14ac:dyDescent="0.15">
      <c r="A2608" s="33" t="s">
        <v>28901</v>
      </c>
      <c r="B2608" s="33">
        <v>24</v>
      </c>
      <c r="C2608" s="33" t="s">
        <v>14</v>
      </c>
      <c r="D2608" s="33" t="s">
        <v>79</v>
      </c>
      <c r="F2608" s="67">
        <v>42971</v>
      </c>
      <c r="G2608" s="33" t="s">
        <v>28902</v>
      </c>
      <c r="H2608" s="33" t="s">
        <v>998</v>
      </c>
      <c r="I2608" s="33" t="s">
        <v>75</v>
      </c>
      <c r="J2608" s="33">
        <v>7050</v>
      </c>
      <c r="K2608" s="33" t="s">
        <v>486</v>
      </c>
      <c r="L2608" s="33" t="s">
        <v>28903</v>
      </c>
      <c r="M2608" s="33" t="s">
        <v>21</v>
      </c>
      <c r="N2608" s="33" t="s">
        <v>28904</v>
      </c>
      <c r="O2608" s="33" t="s">
        <v>372</v>
      </c>
      <c r="P2608" s="33" t="s">
        <v>30089</v>
      </c>
      <c r="Q2608" s="42" t="s">
        <v>28905</v>
      </c>
      <c r="R2608" s="33" t="s">
        <v>94</v>
      </c>
      <c r="S2608" s="33" t="s">
        <v>22</v>
      </c>
      <c r="T2608" s="36" t="s">
        <v>26781</v>
      </c>
      <c r="U2608" s="36" t="s">
        <v>26570</v>
      </c>
      <c r="V2608" s="36" t="s">
        <v>26574</v>
      </c>
      <c r="W2608" s="36" t="s">
        <v>94</v>
      </c>
      <c r="X2608" s="33">
        <v>2898</v>
      </c>
      <c r="Z2608" s="33" t="s">
        <v>42968</v>
      </c>
      <c r="AA2608" s="33">
        <v>5058</v>
      </c>
    </row>
    <row r="2609" spans="1:46" ht="12" customHeight="1" x14ac:dyDescent="0.15">
      <c r="A2609" s="33" t="s">
        <v>28891</v>
      </c>
      <c r="B2609" s="33">
        <v>19</v>
      </c>
      <c r="C2609" s="33" t="s">
        <v>14</v>
      </c>
      <c r="D2609" s="33" t="s">
        <v>42</v>
      </c>
      <c r="F2609" s="67">
        <v>42971</v>
      </c>
      <c r="G2609" s="33" t="s">
        <v>28892</v>
      </c>
      <c r="H2609" s="33" t="s">
        <v>27461</v>
      </c>
      <c r="I2609" s="33" t="s">
        <v>39</v>
      </c>
      <c r="J2609" s="33">
        <v>91945</v>
      </c>
      <c r="K2609" s="33" t="s">
        <v>143</v>
      </c>
      <c r="L2609" s="33" t="s">
        <v>29630</v>
      </c>
      <c r="M2609" s="33" t="s">
        <v>21</v>
      </c>
      <c r="N2609" s="33" t="s">
        <v>28893</v>
      </c>
      <c r="O2609" s="33" t="s">
        <v>372</v>
      </c>
      <c r="P2609" s="33" t="s">
        <v>30089</v>
      </c>
      <c r="Q2609" s="42" t="s">
        <v>28894</v>
      </c>
      <c r="R2609" s="33" t="s">
        <v>94</v>
      </c>
      <c r="S2609" s="33" t="s">
        <v>22</v>
      </c>
      <c r="T2609" s="36" t="s">
        <v>26781</v>
      </c>
      <c r="U2609" s="36" t="s">
        <v>26572</v>
      </c>
      <c r="V2609" s="36" t="s">
        <v>26574</v>
      </c>
      <c r="W2609" s="36" t="s">
        <v>94</v>
      </c>
      <c r="X2609" s="33">
        <v>2896</v>
      </c>
      <c r="Z2609" s="33" t="s">
        <v>42968</v>
      </c>
      <c r="AA2609" s="33">
        <v>5057</v>
      </c>
      <c r="AQ2609" s="42"/>
    </row>
    <row r="2610" spans="1:46" ht="12" customHeight="1" x14ac:dyDescent="0.15">
      <c r="A2610" s="33" t="s">
        <v>28895</v>
      </c>
      <c r="B2610" s="33">
        <v>28</v>
      </c>
      <c r="C2610" s="33" t="s">
        <v>14</v>
      </c>
      <c r="D2610" s="33" t="s">
        <v>31</v>
      </c>
      <c r="E2610" s="42" t="s">
        <v>28896</v>
      </c>
      <c r="F2610" s="67">
        <v>42971</v>
      </c>
      <c r="G2610" s="33" t="s">
        <v>29189</v>
      </c>
      <c r="H2610" s="33" t="s">
        <v>28897</v>
      </c>
      <c r="I2610" s="33" t="s">
        <v>51</v>
      </c>
      <c r="J2610" s="33">
        <v>48329</v>
      </c>
      <c r="K2610" s="33" t="s">
        <v>557</v>
      </c>
      <c r="L2610" s="33" t="s">
        <v>28898</v>
      </c>
      <c r="M2610" s="33" t="s">
        <v>21</v>
      </c>
      <c r="N2610" s="33" t="s">
        <v>28899</v>
      </c>
      <c r="O2610" s="33" t="s">
        <v>372</v>
      </c>
      <c r="P2610" s="33" t="s">
        <v>30089</v>
      </c>
      <c r="Q2610" s="42" t="s">
        <v>28900</v>
      </c>
      <c r="R2610" s="33" t="s">
        <v>512</v>
      </c>
      <c r="S2610" s="33" t="s">
        <v>22</v>
      </c>
      <c r="T2610" s="36" t="s">
        <v>26781</v>
      </c>
      <c r="U2610" s="36" t="s">
        <v>26570</v>
      </c>
      <c r="V2610" s="36" t="s">
        <v>26573</v>
      </c>
      <c r="W2610" s="36" t="s">
        <v>94</v>
      </c>
      <c r="X2610" s="33">
        <v>2895</v>
      </c>
      <c r="Z2610" s="33" t="s">
        <v>42968</v>
      </c>
      <c r="AA2610" s="33">
        <v>5056</v>
      </c>
    </row>
    <row r="2611" spans="1:46" ht="12" customHeight="1" x14ac:dyDescent="0.15">
      <c r="A2611" s="33" t="s">
        <v>28880</v>
      </c>
      <c r="B2611" s="33">
        <v>43</v>
      </c>
      <c r="C2611" s="33" t="s">
        <v>14</v>
      </c>
      <c r="D2611" s="33" t="s">
        <v>42</v>
      </c>
      <c r="F2611" s="67">
        <v>42970</v>
      </c>
      <c r="G2611" s="33" t="s">
        <v>28881</v>
      </c>
      <c r="H2611" s="33" t="s">
        <v>1212</v>
      </c>
      <c r="I2611" s="33" t="s">
        <v>192</v>
      </c>
      <c r="J2611" s="33">
        <v>80204</v>
      </c>
      <c r="K2611" s="33" t="s">
        <v>1212</v>
      </c>
      <c r="L2611" s="33" t="s">
        <v>28882</v>
      </c>
      <c r="M2611" s="33" t="s">
        <v>21</v>
      </c>
      <c r="N2611" s="33" t="s">
        <v>28883</v>
      </c>
      <c r="O2611" s="33" t="s">
        <v>372</v>
      </c>
      <c r="P2611" s="33" t="s">
        <v>30089</v>
      </c>
      <c r="Q2611" s="42" t="s">
        <v>28884</v>
      </c>
      <c r="R2611" s="33" t="s">
        <v>23</v>
      </c>
      <c r="S2611" s="33" t="s">
        <v>22</v>
      </c>
      <c r="T2611" s="36" t="s">
        <v>26781</v>
      </c>
      <c r="U2611" s="36" t="s">
        <v>26572</v>
      </c>
      <c r="V2611" s="36" t="s">
        <v>26573</v>
      </c>
      <c r="Z2611" s="33" t="s">
        <v>42966</v>
      </c>
      <c r="AA2611" s="33">
        <v>5055</v>
      </c>
      <c r="AQ2611" s="42"/>
      <c r="AT2611" s="87"/>
    </row>
    <row r="2612" spans="1:46" ht="12" customHeight="1" x14ac:dyDescent="0.15">
      <c r="A2612" s="33" t="s">
        <v>28885</v>
      </c>
      <c r="B2612" s="33">
        <v>26</v>
      </c>
      <c r="C2612" s="33" t="s">
        <v>103</v>
      </c>
      <c r="D2612" s="33" t="s">
        <v>31</v>
      </c>
      <c r="E2612" s="42" t="s">
        <v>28886</v>
      </c>
      <c r="F2612" s="67">
        <v>42970</v>
      </c>
      <c r="G2612" s="33" t="s">
        <v>28887</v>
      </c>
      <c r="H2612" s="33" t="s">
        <v>16567</v>
      </c>
      <c r="I2612" s="33" t="s">
        <v>337</v>
      </c>
      <c r="J2612" s="33">
        <v>66061</v>
      </c>
      <c r="K2612" s="33" t="s">
        <v>3032</v>
      </c>
      <c r="L2612" s="33" t="s">
        <v>28888</v>
      </c>
      <c r="M2612" s="33" t="s">
        <v>21</v>
      </c>
      <c r="N2612" s="33" t="s">
        <v>28889</v>
      </c>
      <c r="O2612" s="33" t="s">
        <v>372</v>
      </c>
      <c r="P2612" s="33" t="s">
        <v>30089</v>
      </c>
      <c r="Q2612" s="42" t="s">
        <v>28890</v>
      </c>
      <c r="R2612" s="33" t="s">
        <v>512</v>
      </c>
      <c r="S2612" s="33" t="s">
        <v>22</v>
      </c>
      <c r="T2612" s="36" t="s">
        <v>26781</v>
      </c>
      <c r="U2612" s="36" t="s">
        <v>26570</v>
      </c>
      <c r="V2612" s="36" t="s">
        <v>26573</v>
      </c>
      <c r="W2612" s="36" t="s">
        <v>94</v>
      </c>
      <c r="X2612" s="33">
        <v>2894</v>
      </c>
      <c r="Z2612" s="33" t="s">
        <v>42968</v>
      </c>
      <c r="AA2612" s="33">
        <v>5054</v>
      </c>
    </row>
    <row r="2613" spans="1:46" ht="12" customHeight="1" x14ac:dyDescent="0.15">
      <c r="A2613" s="33" t="s">
        <v>28867</v>
      </c>
      <c r="B2613" s="33">
        <v>30</v>
      </c>
      <c r="C2613" s="33" t="s">
        <v>14</v>
      </c>
      <c r="D2613" s="33" t="s">
        <v>31</v>
      </c>
      <c r="F2613" s="67">
        <v>42969</v>
      </c>
      <c r="G2613" s="33" t="s">
        <v>29197</v>
      </c>
      <c r="H2613" s="33" t="s">
        <v>1817</v>
      </c>
      <c r="I2613" s="33" t="s">
        <v>39</v>
      </c>
      <c r="J2613" s="33">
        <v>93455</v>
      </c>
      <c r="K2613" s="33" t="s">
        <v>1819</v>
      </c>
      <c r="L2613" s="33" t="s">
        <v>23242</v>
      </c>
      <c r="M2613" s="33" t="s">
        <v>21</v>
      </c>
      <c r="N2613" s="33" t="s">
        <v>28868</v>
      </c>
      <c r="O2613" s="33" t="s">
        <v>372</v>
      </c>
      <c r="P2613" s="33" t="s">
        <v>30089</v>
      </c>
      <c r="Q2613" s="42" t="s">
        <v>28869</v>
      </c>
      <c r="R2613" s="33" t="s">
        <v>94</v>
      </c>
      <c r="S2613" s="33" t="s">
        <v>22</v>
      </c>
      <c r="T2613" s="36" t="s">
        <v>26774</v>
      </c>
      <c r="U2613" s="36" t="s">
        <v>26570</v>
      </c>
      <c r="V2613" s="36" t="s">
        <v>26574</v>
      </c>
      <c r="W2613" s="36" t="s">
        <v>94</v>
      </c>
      <c r="X2613" s="33">
        <v>2891</v>
      </c>
      <c r="Z2613" s="33" t="s">
        <v>42968</v>
      </c>
      <c r="AA2613" s="33">
        <v>5052</v>
      </c>
    </row>
    <row r="2614" spans="1:46" ht="12" customHeight="1" x14ac:dyDescent="0.15">
      <c r="A2614" s="33" t="s">
        <v>28864</v>
      </c>
      <c r="B2614" s="33">
        <v>56</v>
      </c>
      <c r="C2614" s="33" t="s">
        <v>14</v>
      </c>
      <c r="D2614" s="33" t="s">
        <v>31</v>
      </c>
      <c r="E2614" s="42" t="s">
        <v>28865</v>
      </c>
      <c r="F2614" s="67">
        <v>42969</v>
      </c>
      <c r="G2614" s="33" t="s">
        <v>29205</v>
      </c>
      <c r="H2614" s="33" t="s">
        <v>455</v>
      </c>
      <c r="I2614" s="33" t="s">
        <v>39</v>
      </c>
      <c r="J2614" s="33">
        <v>95938</v>
      </c>
      <c r="K2614" s="33" t="s">
        <v>4807</v>
      </c>
      <c r="L2614" s="33" t="s">
        <v>8873</v>
      </c>
      <c r="M2614" s="33" t="s">
        <v>21</v>
      </c>
      <c r="N2614" s="33" t="s">
        <v>36537</v>
      </c>
      <c r="O2614" s="33" t="s">
        <v>372</v>
      </c>
      <c r="P2614" s="33" t="s">
        <v>30089</v>
      </c>
      <c r="Q2614" s="42" t="s">
        <v>28866</v>
      </c>
      <c r="R2614" s="33" t="s">
        <v>94</v>
      </c>
      <c r="S2614" s="33" t="s">
        <v>22</v>
      </c>
      <c r="T2614" s="36" t="s">
        <v>26781</v>
      </c>
      <c r="U2614" s="36" t="s">
        <v>26572</v>
      </c>
      <c r="V2614" s="36" t="s">
        <v>26573</v>
      </c>
      <c r="X2614" s="33">
        <v>2988</v>
      </c>
      <c r="Z2614" s="33" t="s">
        <v>42967</v>
      </c>
      <c r="AA2614" s="33">
        <v>5050</v>
      </c>
    </row>
    <row r="2615" spans="1:46" ht="12" customHeight="1" x14ac:dyDescent="0.15">
      <c r="A2615" s="33" t="s">
        <v>28860</v>
      </c>
      <c r="B2615" s="33">
        <v>48</v>
      </c>
      <c r="C2615" s="33" t="s">
        <v>14</v>
      </c>
      <c r="D2615" s="33" t="s">
        <v>31</v>
      </c>
      <c r="E2615" s="42" t="s">
        <v>28861</v>
      </c>
      <c r="F2615" s="67">
        <v>42969</v>
      </c>
      <c r="G2615" s="33" t="s">
        <v>29188</v>
      </c>
      <c r="H2615" s="33" t="s">
        <v>28862</v>
      </c>
      <c r="I2615" s="33" t="s">
        <v>39</v>
      </c>
      <c r="J2615" s="33">
        <v>91356</v>
      </c>
      <c r="K2615" s="33" t="s">
        <v>92</v>
      </c>
      <c r="L2615" s="33" t="s">
        <v>1820</v>
      </c>
      <c r="M2615" s="33" t="s">
        <v>21</v>
      </c>
      <c r="N2615" s="33" t="s">
        <v>36536</v>
      </c>
      <c r="O2615" s="33" t="s">
        <v>372</v>
      </c>
      <c r="P2615" s="33" t="s">
        <v>30089</v>
      </c>
      <c r="Q2615" s="42" t="s">
        <v>28863</v>
      </c>
      <c r="R2615" s="33" t="s">
        <v>94</v>
      </c>
      <c r="S2615" s="33" t="s">
        <v>22</v>
      </c>
      <c r="T2615" s="36" t="s">
        <v>26781</v>
      </c>
      <c r="U2615" s="36" t="s">
        <v>26570</v>
      </c>
      <c r="V2615" s="36" t="s">
        <v>26573</v>
      </c>
      <c r="W2615" s="36" t="s">
        <v>94</v>
      </c>
      <c r="X2615" s="33">
        <v>2893</v>
      </c>
      <c r="Z2615" s="33" t="s">
        <v>42968</v>
      </c>
      <c r="AA2615" s="33">
        <v>5049</v>
      </c>
    </row>
    <row r="2616" spans="1:46" ht="12" customHeight="1" x14ac:dyDescent="0.15">
      <c r="A2616" s="33" t="s">
        <v>28875</v>
      </c>
      <c r="B2616" s="33">
        <v>71</v>
      </c>
      <c r="C2616" s="33" t="s">
        <v>14</v>
      </c>
      <c r="D2616" s="33" t="s">
        <v>42</v>
      </c>
      <c r="F2616" s="67">
        <v>42969</v>
      </c>
      <c r="G2616" s="33" t="s">
        <v>28876</v>
      </c>
      <c r="H2616" s="33" t="s">
        <v>866</v>
      </c>
      <c r="I2616" s="33" t="s">
        <v>178</v>
      </c>
      <c r="J2616" s="33">
        <v>97114</v>
      </c>
      <c r="K2616" s="33" t="s">
        <v>1429</v>
      </c>
      <c r="L2616" s="33" t="s">
        <v>28877</v>
      </c>
      <c r="M2616" s="33" t="s">
        <v>21</v>
      </c>
      <c r="N2616" s="33" t="s">
        <v>28878</v>
      </c>
      <c r="O2616" s="33" t="s">
        <v>372</v>
      </c>
      <c r="P2616" s="33" t="s">
        <v>30089</v>
      </c>
      <c r="Q2616" s="42" t="s">
        <v>28879</v>
      </c>
      <c r="R2616" s="33" t="s">
        <v>94</v>
      </c>
      <c r="S2616" s="33" t="s">
        <v>351</v>
      </c>
      <c r="T2616" s="36" t="s">
        <v>26867</v>
      </c>
      <c r="U2616" s="36" t="s">
        <v>26572</v>
      </c>
      <c r="V2616" s="36" t="s">
        <v>26571</v>
      </c>
      <c r="W2616" s="36" t="s">
        <v>94</v>
      </c>
      <c r="X2616" s="33">
        <v>2890</v>
      </c>
      <c r="Z2616" s="33" t="s">
        <v>42967</v>
      </c>
      <c r="AA2616" s="33">
        <v>5053</v>
      </c>
      <c r="AQ2616" s="42"/>
    </row>
    <row r="2617" spans="1:46" ht="12" customHeight="1" x14ac:dyDescent="0.15">
      <c r="A2617" s="33" t="s">
        <v>28870</v>
      </c>
      <c r="B2617" s="33">
        <v>30</v>
      </c>
      <c r="C2617" s="33" t="s">
        <v>20419</v>
      </c>
      <c r="D2617" s="33" t="s">
        <v>79</v>
      </c>
      <c r="E2617" s="42" t="s">
        <v>28871</v>
      </c>
      <c r="F2617" s="67">
        <v>42969</v>
      </c>
      <c r="G2617" s="33" t="s">
        <v>29196</v>
      </c>
      <c r="H2617" s="33" t="s">
        <v>28872</v>
      </c>
      <c r="I2617" s="33" t="s">
        <v>402</v>
      </c>
      <c r="J2617" s="33">
        <v>63113</v>
      </c>
      <c r="K2617" s="33" t="s">
        <v>29523</v>
      </c>
      <c r="L2617" s="33" t="s">
        <v>4162</v>
      </c>
      <c r="M2617" s="33" t="s">
        <v>21</v>
      </c>
      <c r="N2617" s="33" t="s">
        <v>28873</v>
      </c>
      <c r="O2617" s="33" t="s">
        <v>372</v>
      </c>
      <c r="P2617" s="33" t="s">
        <v>30089</v>
      </c>
      <c r="Q2617" s="42" t="s">
        <v>28874</v>
      </c>
      <c r="R2617" s="33" t="s">
        <v>94</v>
      </c>
      <c r="S2617" s="33" t="s">
        <v>22</v>
      </c>
      <c r="T2617" s="36" t="s">
        <v>26774</v>
      </c>
      <c r="U2617" s="36" t="s">
        <v>26572</v>
      </c>
      <c r="V2617" s="36" t="s">
        <v>26573</v>
      </c>
      <c r="W2617" s="36" t="s">
        <v>94</v>
      </c>
      <c r="X2617" s="33">
        <v>2887</v>
      </c>
      <c r="Z2617" s="33" t="s">
        <v>42966</v>
      </c>
      <c r="AA2617" s="33">
        <v>5051</v>
      </c>
    </row>
    <row r="2618" spans="1:46" ht="12" customHeight="1" x14ac:dyDescent="0.15">
      <c r="A2618" s="33" t="s">
        <v>28858</v>
      </c>
      <c r="B2618" s="33">
        <v>22</v>
      </c>
      <c r="C2618" s="33" t="s">
        <v>14</v>
      </c>
      <c r="D2618" s="33" t="s">
        <v>31</v>
      </c>
      <c r="F2618" s="67">
        <v>42968</v>
      </c>
      <c r="G2618" s="33" t="s">
        <v>28143</v>
      </c>
      <c r="H2618" s="33" t="s">
        <v>1203</v>
      </c>
      <c r="I2618" s="33" t="s">
        <v>409</v>
      </c>
      <c r="J2618" s="33">
        <v>54208</v>
      </c>
      <c r="K2618" s="33" t="s">
        <v>3728</v>
      </c>
      <c r="L2618" s="33" t="s">
        <v>28144</v>
      </c>
      <c r="M2618" s="33" t="s">
        <v>21</v>
      </c>
      <c r="N2618" s="33" t="s">
        <v>28145</v>
      </c>
      <c r="O2618" s="33" t="s">
        <v>372</v>
      </c>
      <c r="P2618" s="33" t="s">
        <v>30089</v>
      </c>
      <c r="Q2618" s="42" t="s">
        <v>28146</v>
      </c>
      <c r="R2618" s="33" t="s">
        <v>512</v>
      </c>
      <c r="S2618" s="33" t="s">
        <v>22</v>
      </c>
      <c r="T2618" s="36" t="s">
        <v>26774</v>
      </c>
      <c r="U2618" s="36" t="s">
        <v>26570</v>
      </c>
      <c r="V2618" s="36" t="s">
        <v>19228</v>
      </c>
      <c r="W2618" s="36" t="s">
        <v>94</v>
      </c>
      <c r="X2618" s="33">
        <v>2886</v>
      </c>
      <c r="Z2618" s="33" t="s">
        <v>42967</v>
      </c>
      <c r="AA2618" s="33">
        <v>5047</v>
      </c>
    </row>
    <row r="2619" spans="1:46" ht="12" customHeight="1" x14ac:dyDescent="0.15">
      <c r="A2619" s="33" t="s">
        <v>28859</v>
      </c>
      <c r="B2619" s="33">
        <v>64</v>
      </c>
      <c r="C2619" s="33" t="s">
        <v>14</v>
      </c>
      <c r="D2619" s="33" t="s">
        <v>31</v>
      </c>
      <c r="F2619" s="67">
        <v>42968</v>
      </c>
      <c r="G2619" s="33" t="s">
        <v>28147</v>
      </c>
      <c r="H2619" s="33" t="s">
        <v>28148</v>
      </c>
      <c r="I2619" s="33" t="s">
        <v>409</v>
      </c>
      <c r="J2619" s="33">
        <v>53954</v>
      </c>
      <c r="K2619" s="33" t="s">
        <v>45</v>
      </c>
      <c r="L2619" s="33" t="s">
        <v>6995</v>
      </c>
      <c r="M2619" s="33" t="s">
        <v>21</v>
      </c>
      <c r="N2619" s="33" t="s">
        <v>28149</v>
      </c>
      <c r="O2619" s="33" t="s">
        <v>372</v>
      </c>
      <c r="P2619" s="33" t="s">
        <v>30089</v>
      </c>
      <c r="Q2619" s="42" t="s">
        <v>28150</v>
      </c>
      <c r="R2619" s="33" t="s">
        <v>94</v>
      </c>
      <c r="S2619" s="33" t="s">
        <v>22</v>
      </c>
      <c r="T2619" s="36" t="s">
        <v>26781</v>
      </c>
      <c r="U2619" s="36" t="s">
        <v>26572</v>
      </c>
      <c r="V2619" s="36" t="s">
        <v>26573</v>
      </c>
      <c r="W2619" s="36" t="s">
        <v>94</v>
      </c>
      <c r="X2619" s="33">
        <v>2892</v>
      </c>
      <c r="Z2619" s="33" t="s">
        <v>42967</v>
      </c>
      <c r="AA2619" s="33">
        <v>5046</v>
      </c>
    </row>
    <row r="2620" spans="1:46" ht="12" customHeight="1" x14ac:dyDescent="0.15">
      <c r="A2620" s="33" t="s">
        <v>28135</v>
      </c>
      <c r="B2620" s="33">
        <v>51</v>
      </c>
      <c r="C2620" s="33" t="s">
        <v>14</v>
      </c>
      <c r="D2620" s="33" t="s">
        <v>79</v>
      </c>
      <c r="F2620" s="67">
        <v>42968</v>
      </c>
      <c r="G2620" s="33" t="s">
        <v>28136</v>
      </c>
      <c r="H2620" s="33" t="s">
        <v>28137</v>
      </c>
      <c r="I2620" s="33" t="s">
        <v>63</v>
      </c>
      <c r="J2620" s="33">
        <v>43952</v>
      </c>
      <c r="K2620" s="33" t="s">
        <v>1659</v>
      </c>
      <c r="L2620" s="33" t="s">
        <v>28138</v>
      </c>
      <c r="M2620" s="33" t="s">
        <v>21</v>
      </c>
      <c r="N2620" s="33" t="s">
        <v>28139</v>
      </c>
      <c r="O2620" s="33" t="s">
        <v>372</v>
      </c>
      <c r="P2620" s="33" t="s">
        <v>30089</v>
      </c>
      <c r="Q2620" s="42" t="s">
        <v>28140</v>
      </c>
      <c r="R2620" s="33" t="s">
        <v>94</v>
      </c>
      <c r="S2620" s="33" t="s">
        <v>22</v>
      </c>
      <c r="T2620" s="36" t="s">
        <v>26781</v>
      </c>
      <c r="U2620" s="36" t="s">
        <v>26572</v>
      </c>
      <c r="V2620" s="36" t="s">
        <v>26573</v>
      </c>
      <c r="W2620" s="36" t="s">
        <v>94</v>
      </c>
      <c r="X2620" s="33">
        <v>2888</v>
      </c>
      <c r="Z2620" s="33" t="s">
        <v>42966</v>
      </c>
      <c r="AA2620" s="33">
        <v>5045</v>
      </c>
    </row>
    <row r="2621" spans="1:46" ht="12" customHeight="1" x14ac:dyDescent="0.15">
      <c r="A2621" s="33" t="s">
        <v>28857</v>
      </c>
      <c r="B2621" s="33">
        <v>66</v>
      </c>
      <c r="C2621" s="33" t="s">
        <v>14</v>
      </c>
      <c r="D2621" s="33" t="s">
        <v>31</v>
      </c>
      <c r="F2621" s="67">
        <v>42968</v>
      </c>
      <c r="G2621" s="33" t="s">
        <v>28830</v>
      </c>
      <c r="H2621" s="33" t="s">
        <v>19945</v>
      </c>
      <c r="I2621" s="33" t="s">
        <v>192</v>
      </c>
      <c r="J2621" s="33">
        <v>81019</v>
      </c>
      <c r="K2621" s="33" t="s">
        <v>4307</v>
      </c>
      <c r="L2621" s="33" t="s">
        <v>28141</v>
      </c>
      <c r="M2621" s="33" t="s">
        <v>21</v>
      </c>
      <c r="N2621" s="33" t="s">
        <v>36538</v>
      </c>
      <c r="O2621" s="33" t="s">
        <v>372</v>
      </c>
      <c r="P2621" s="33" t="s">
        <v>30089</v>
      </c>
      <c r="Q2621" s="42" t="s">
        <v>28142</v>
      </c>
      <c r="R2621" s="33" t="s">
        <v>23</v>
      </c>
      <c r="S2621" s="33" t="s">
        <v>22</v>
      </c>
      <c r="T2621" s="36" t="s">
        <v>26781</v>
      </c>
      <c r="U2621" s="36" t="s">
        <v>26572</v>
      </c>
      <c r="V2621" s="36" t="s">
        <v>26573</v>
      </c>
      <c r="W2621" s="36" t="s">
        <v>94</v>
      </c>
      <c r="X2621" s="33">
        <v>2885</v>
      </c>
      <c r="Z2621" s="33" t="s">
        <v>42967</v>
      </c>
      <c r="AA2621" s="33">
        <v>5044</v>
      </c>
    </row>
    <row r="2622" spans="1:46" ht="12" customHeight="1" x14ac:dyDescent="0.15">
      <c r="A2622" s="33" t="s">
        <v>28129</v>
      </c>
      <c r="B2622" s="33">
        <v>42</v>
      </c>
      <c r="C2622" s="33" t="s">
        <v>14</v>
      </c>
      <c r="D2622" s="33" t="s">
        <v>31</v>
      </c>
      <c r="F2622" s="67">
        <v>42968</v>
      </c>
      <c r="G2622" s="33" t="s">
        <v>28130</v>
      </c>
      <c r="H2622" s="33" t="s">
        <v>28131</v>
      </c>
      <c r="I2622" s="33" t="s">
        <v>338</v>
      </c>
      <c r="J2622" s="33">
        <v>28655</v>
      </c>
      <c r="K2622" s="33" t="s">
        <v>10093</v>
      </c>
      <c r="L2622" s="33" t="s">
        <v>28132</v>
      </c>
      <c r="M2622" s="33" t="s">
        <v>21</v>
      </c>
      <c r="N2622" s="33" t="s">
        <v>28133</v>
      </c>
      <c r="O2622" s="33" t="s">
        <v>372</v>
      </c>
      <c r="P2622" s="33" t="s">
        <v>30089</v>
      </c>
      <c r="Q2622" s="42" t="s">
        <v>28134</v>
      </c>
      <c r="R2622" s="33" t="s">
        <v>94</v>
      </c>
      <c r="S2622" s="33" t="s">
        <v>12</v>
      </c>
      <c r="T2622" s="36" t="s">
        <v>29425</v>
      </c>
      <c r="U2622" s="36" t="s">
        <v>26572</v>
      </c>
      <c r="V2622" s="36" t="s">
        <v>26573</v>
      </c>
      <c r="W2622" s="36" t="s">
        <v>94</v>
      </c>
      <c r="X2622" s="33">
        <v>2884</v>
      </c>
      <c r="Z2622" s="33" t="s">
        <v>42967</v>
      </c>
      <c r="AA2622" s="33">
        <v>5048</v>
      </c>
    </row>
    <row r="2623" spans="1:46" ht="12" customHeight="1" x14ac:dyDescent="0.15">
      <c r="A2623" s="33" t="s">
        <v>28157</v>
      </c>
      <c r="B2623" s="33">
        <v>32</v>
      </c>
      <c r="C2623" s="33" t="s">
        <v>14</v>
      </c>
      <c r="D2623" s="33" t="s">
        <v>79</v>
      </c>
      <c r="F2623" s="67">
        <v>42967</v>
      </c>
      <c r="G2623" s="33" t="s">
        <v>28792</v>
      </c>
      <c r="H2623" s="33" t="s">
        <v>594</v>
      </c>
      <c r="I2623" s="33" t="s">
        <v>75</v>
      </c>
      <c r="J2623" s="33">
        <v>8724</v>
      </c>
      <c r="K2623" s="33" t="s">
        <v>595</v>
      </c>
      <c r="L2623" s="33" t="s">
        <v>596</v>
      </c>
      <c r="M2623" s="33" t="s">
        <v>21</v>
      </c>
      <c r="N2623" s="33" t="s">
        <v>28158</v>
      </c>
      <c r="O2623" s="33" t="s">
        <v>372</v>
      </c>
      <c r="P2623" s="33" t="s">
        <v>30089</v>
      </c>
      <c r="Q2623" s="42" t="s">
        <v>28159</v>
      </c>
      <c r="R2623" s="33" t="s">
        <v>94</v>
      </c>
      <c r="S2623" s="33" t="s">
        <v>22</v>
      </c>
      <c r="T2623" s="36" t="s">
        <v>26781</v>
      </c>
      <c r="U2623" s="36" t="s">
        <v>26572</v>
      </c>
      <c r="V2623" s="36" t="s">
        <v>26573</v>
      </c>
      <c r="W2623" s="36" t="s">
        <v>94</v>
      </c>
      <c r="X2623" s="33">
        <v>2877</v>
      </c>
      <c r="Z2623" s="33" t="s">
        <v>42968</v>
      </c>
      <c r="AA2623" s="33">
        <v>5041</v>
      </c>
      <c r="AQ2623" s="42"/>
    </row>
    <row r="2624" spans="1:46" ht="12" customHeight="1" x14ac:dyDescent="0.15">
      <c r="A2624" s="33" t="s">
        <v>28151</v>
      </c>
      <c r="B2624" s="33">
        <v>44</v>
      </c>
      <c r="C2624" s="33" t="s">
        <v>14</v>
      </c>
      <c r="D2624" s="33" t="s">
        <v>31</v>
      </c>
      <c r="E2624" s="42" t="s">
        <v>30821</v>
      </c>
      <c r="F2624" s="67">
        <v>42967</v>
      </c>
      <c r="G2624" s="33" t="s">
        <v>28152</v>
      </c>
      <c r="H2624" s="33" t="s">
        <v>28153</v>
      </c>
      <c r="I2624" s="33" t="s">
        <v>918</v>
      </c>
      <c r="J2624" s="33">
        <v>72639</v>
      </c>
      <c r="K2624" s="33" t="s">
        <v>6098</v>
      </c>
      <c r="L2624" s="33" t="s">
        <v>28154</v>
      </c>
      <c r="M2624" s="33" t="s">
        <v>21</v>
      </c>
      <c r="N2624" s="33" t="s">
        <v>28155</v>
      </c>
      <c r="O2624" s="33" t="s">
        <v>372</v>
      </c>
      <c r="P2624" s="33" t="s">
        <v>30089</v>
      </c>
      <c r="Q2624" s="42" t="s">
        <v>28156</v>
      </c>
      <c r="R2624" s="33" t="s">
        <v>94</v>
      </c>
      <c r="S2624" s="33" t="s">
        <v>22</v>
      </c>
      <c r="T2624" s="36" t="s">
        <v>30822</v>
      </c>
      <c r="U2624" s="36" t="s">
        <v>26570</v>
      </c>
      <c r="V2624" s="36" t="s">
        <v>26573</v>
      </c>
      <c r="W2624" s="36" t="s">
        <v>94</v>
      </c>
      <c r="X2624" s="33">
        <v>2876</v>
      </c>
      <c r="Z2624" s="33" t="s">
        <v>42967</v>
      </c>
      <c r="AA2624" s="33">
        <v>5040</v>
      </c>
      <c r="AQ2624" s="42"/>
      <c r="AT2624" s="83"/>
    </row>
    <row r="2625" spans="1:46" ht="12" customHeight="1" x14ac:dyDescent="0.15">
      <c r="A2625" s="33" t="s">
        <v>3002</v>
      </c>
      <c r="B2625" s="33" t="s">
        <v>23</v>
      </c>
      <c r="C2625" s="33" t="s">
        <v>14</v>
      </c>
      <c r="D2625" s="33" t="s">
        <v>42</v>
      </c>
      <c r="F2625" s="67">
        <v>42967</v>
      </c>
      <c r="G2625" s="33" t="s">
        <v>28794</v>
      </c>
      <c r="H2625" s="33" t="s">
        <v>12224</v>
      </c>
      <c r="I2625" s="33" t="s">
        <v>39</v>
      </c>
      <c r="J2625" s="33">
        <v>93555</v>
      </c>
      <c r="K2625" s="33" t="s">
        <v>632</v>
      </c>
      <c r="L2625" s="33" t="s">
        <v>897</v>
      </c>
      <c r="M2625" s="33" t="s">
        <v>21</v>
      </c>
      <c r="N2625" s="33" t="s">
        <v>28160</v>
      </c>
      <c r="O2625" s="33" t="s">
        <v>372</v>
      </c>
      <c r="P2625" s="33" t="s">
        <v>30089</v>
      </c>
      <c r="Q2625" s="42" t="s">
        <v>28161</v>
      </c>
      <c r="R2625" s="33" t="s">
        <v>94</v>
      </c>
      <c r="S2625" s="33" t="s">
        <v>12</v>
      </c>
      <c r="T2625" s="36" t="s">
        <v>29705</v>
      </c>
      <c r="U2625" s="36" t="s">
        <v>26570</v>
      </c>
      <c r="V2625" s="36" t="s">
        <v>26574</v>
      </c>
      <c r="W2625" s="36" t="s">
        <v>94</v>
      </c>
      <c r="X2625" s="33">
        <v>2878</v>
      </c>
      <c r="Z2625" s="33" t="s">
        <v>42968</v>
      </c>
      <c r="AA2625" s="33">
        <v>5043</v>
      </c>
    </row>
    <row r="2626" spans="1:46" ht="12" customHeight="1" x14ac:dyDescent="0.15">
      <c r="A2626" s="33" t="s">
        <v>28851</v>
      </c>
      <c r="B2626" s="33">
        <v>22</v>
      </c>
      <c r="C2626" s="33" t="s">
        <v>14</v>
      </c>
      <c r="D2626" s="33" t="s">
        <v>31</v>
      </c>
      <c r="E2626" s="42" t="s">
        <v>28852</v>
      </c>
      <c r="F2626" s="67">
        <v>42967</v>
      </c>
      <c r="G2626" s="33" t="s">
        <v>28853</v>
      </c>
      <c r="H2626" s="33" t="s">
        <v>5762</v>
      </c>
      <c r="I2626" s="33" t="s">
        <v>367</v>
      </c>
      <c r="J2626" s="33">
        <v>73448</v>
      </c>
      <c r="K2626" s="33" t="s">
        <v>28854</v>
      </c>
      <c r="L2626" s="33" t="s">
        <v>1904</v>
      </c>
      <c r="M2626" s="33" t="s">
        <v>21</v>
      </c>
      <c r="N2626" s="33" t="s">
        <v>28855</v>
      </c>
      <c r="O2626" s="33" t="s">
        <v>372</v>
      </c>
      <c r="P2626" s="33" t="s">
        <v>30089</v>
      </c>
      <c r="Q2626" s="42" t="s">
        <v>28856</v>
      </c>
      <c r="R2626" s="33" t="s">
        <v>904</v>
      </c>
      <c r="S2626" s="33" t="s">
        <v>22</v>
      </c>
      <c r="T2626" s="36" t="s">
        <v>26781</v>
      </c>
      <c r="U2626" s="36" t="s">
        <v>26572</v>
      </c>
      <c r="V2626" s="36" t="s">
        <v>26571</v>
      </c>
      <c r="Z2626" s="33" t="s">
        <v>42967</v>
      </c>
      <c r="AA2626" s="33">
        <v>5042</v>
      </c>
    </row>
    <row r="2627" spans="1:46" ht="12" customHeight="1" x14ac:dyDescent="0.15">
      <c r="A2627" s="33" t="s">
        <v>28162</v>
      </c>
      <c r="B2627" s="33">
        <v>32</v>
      </c>
      <c r="C2627" s="33" t="s">
        <v>14</v>
      </c>
      <c r="D2627" s="33" t="s">
        <v>31</v>
      </c>
      <c r="F2627" s="67">
        <v>42966</v>
      </c>
      <c r="G2627" s="33" t="s">
        <v>28163</v>
      </c>
      <c r="H2627" s="33" t="s">
        <v>3809</v>
      </c>
      <c r="I2627" s="33" t="s">
        <v>88</v>
      </c>
      <c r="J2627" s="33">
        <v>35209</v>
      </c>
      <c r="K2627" s="33" t="s">
        <v>1659</v>
      </c>
      <c r="L2627" s="33" t="s">
        <v>3811</v>
      </c>
      <c r="M2627" s="33" t="s">
        <v>21</v>
      </c>
      <c r="N2627" s="33" t="s">
        <v>28164</v>
      </c>
      <c r="O2627" s="33" t="s">
        <v>372</v>
      </c>
      <c r="P2627" s="33" t="s">
        <v>30089</v>
      </c>
      <c r="Q2627" s="42" t="s">
        <v>28165</v>
      </c>
      <c r="R2627" s="33" t="s">
        <v>94</v>
      </c>
      <c r="S2627" s="33" t="s">
        <v>22</v>
      </c>
      <c r="T2627" s="36" t="s">
        <v>27803</v>
      </c>
      <c r="U2627" s="36" t="s">
        <v>26572</v>
      </c>
      <c r="V2627" s="36" t="s">
        <v>26573</v>
      </c>
      <c r="W2627" s="36" t="s">
        <v>94</v>
      </c>
      <c r="X2627" s="33">
        <v>2875</v>
      </c>
      <c r="Z2627" s="33" t="s">
        <v>42968</v>
      </c>
      <c r="AA2627" s="33">
        <v>5039</v>
      </c>
    </row>
    <row r="2628" spans="1:46" ht="12" customHeight="1" x14ac:dyDescent="0.15">
      <c r="A2628" s="33" t="s">
        <v>28175</v>
      </c>
      <c r="B2628" s="33">
        <v>25</v>
      </c>
      <c r="C2628" s="33" t="s">
        <v>14</v>
      </c>
      <c r="D2628" s="33" t="s">
        <v>79</v>
      </c>
      <c r="E2628" s="42" t="s">
        <v>28176</v>
      </c>
      <c r="F2628" s="67">
        <v>42965</v>
      </c>
      <c r="G2628" s="33" t="s">
        <v>28177</v>
      </c>
      <c r="H2628" s="33" t="s">
        <v>603</v>
      </c>
      <c r="I2628" s="33" t="s">
        <v>56</v>
      </c>
      <c r="J2628" s="33">
        <v>32210</v>
      </c>
      <c r="K2628" s="33" t="s">
        <v>604</v>
      </c>
      <c r="L2628" s="33" t="s">
        <v>605</v>
      </c>
      <c r="M2628" s="33" t="s">
        <v>21</v>
      </c>
      <c r="N2628" s="33" t="s">
        <v>28178</v>
      </c>
      <c r="O2628" s="33" t="s">
        <v>372</v>
      </c>
      <c r="P2628" s="33" t="s">
        <v>30089</v>
      </c>
      <c r="Q2628" s="42" t="s">
        <v>28179</v>
      </c>
      <c r="R2628" s="33" t="s">
        <v>904</v>
      </c>
      <c r="S2628" s="33" t="s">
        <v>22</v>
      </c>
      <c r="T2628" s="36" t="s">
        <v>26781</v>
      </c>
      <c r="U2628" s="36" t="s">
        <v>26572</v>
      </c>
      <c r="V2628" s="36" t="s">
        <v>26573</v>
      </c>
      <c r="W2628" s="36" t="s">
        <v>94</v>
      </c>
      <c r="X2628" s="33">
        <v>2881</v>
      </c>
      <c r="Z2628" s="33" t="s">
        <v>42968</v>
      </c>
      <c r="AA2628" s="33">
        <v>5036</v>
      </c>
      <c r="AT2628" s="42"/>
    </row>
    <row r="2629" spans="1:46" ht="12" customHeight="1" x14ac:dyDescent="0.15">
      <c r="A2629" s="33" t="s">
        <v>28180</v>
      </c>
      <c r="B2629" s="33">
        <v>26</v>
      </c>
      <c r="C2629" s="33" t="s">
        <v>14</v>
      </c>
      <c r="D2629" s="33" t="s">
        <v>42</v>
      </c>
      <c r="E2629" s="42" t="s">
        <v>28181</v>
      </c>
      <c r="F2629" s="67">
        <v>42965</v>
      </c>
      <c r="G2629" s="33" t="s">
        <v>28821</v>
      </c>
      <c r="H2629" s="33" t="s">
        <v>15039</v>
      </c>
      <c r="I2629" s="33" t="s">
        <v>39</v>
      </c>
      <c r="J2629" s="33">
        <v>90640</v>
      </c>
      <c r="K2629" s="33" t="s">
        <v>92</v>
      </c>
      <c r="L2629" s="33" t="s">
        <v>15041</v>
      </c>
      <c r="M2629" s="33" t="s">
        <v>21</v>
      </c>
      <c r="N2629" s="33" t="s">
        <v>28182</v>
      </c>
      <c r="O2629" s="33" t="s">
        <v>372</v>
      </c>
      <c r="P2629" s="33" t="s">
        <v>30089</v>
      </c>
      <c r="Q2629" s="42" t="s">
        <v>28183</v>
      </c>
      <c r="R2629" s="33" t="s">
        <v>94</v>
      </c>
      <c r="S2629" s="33" t="s">
        <v>22</v>
      </c>
      <c r="T2629" s="36" t="s">
        <v>26781</v>
      </c>
      <c r="U2629" s="36" t="s">
        <v>26572</v>
      </c>
      <c r="V2629" s="36" t="s">
        <v>26574</v>
      </c>
      <c r="Z2629" s="33" t="s">
        <v>42966</v>
      </c>
      <c r="AA2629" s="33">
        <v>5037</v>
      </c>
    </row>
    <row r="2630" spans="1:46" ht="12" customHeight="1" x14ac:dyDescent="0.15">
      <c r="A2630" s="33" t="s">
        <v>28166</v>
      </c>
      <c r="B2630" s="33">
        <v>60</v>
      </c>
      <c r="C2630" s="33" t="s">
        <v>14</v>
      </c>
      <c r="D2630" s="33" t="s">
        <v>30751</v>
      </c>
      <c r="F2630" s="67">
        <v>42965</v>
      </c>
      <c r="G2630" s="33" t="s">
        <v>28167</v>
      </c>
      <c r="H2630" s="33" t="s">
        <v>6912</v>
      </c>
      <c r="I2630" s="33" t="s">
        <v>75</v>
      </c>
      <c r="J2630" s="33">
        <v>7003</v>
      </c>
      <c r="K2630" s="33" t="s">
        <v>486</v>
      </c>
      <c r="L2630" s="33" t="s">
        <v>6914</v>
      </c>
      <c r="M2630" s="33" t="s">
        <v>21</v>
      </c>
      <c r="N2630" s="33" t="s">
        <v>28168</v>
      </c>
      <c r="O2630" s="33" t="s">
        <v>372</v>
      </c>
      <c r="P2630" s="33" t="s">
        <v>30089</v>
      </c>
      <c r="Q2630" s="42" t="s">
        <v>28169</v>
      </c>
      <c r="R2630" s="33" t="s">
        <v>94</v>
      </c>
      <c r="S2630" s="33" t="s">
        <v>22</v>
      </c>
      <c r="T2630" s="36" t="s">
        <v>26774</v>
      </c>
      <c r="U2630" s="36" t="s">
        <v>26570</v>
      </c>
      <c r="V2630" s="36" t="s">
        <v>26573</v>
      </c>
      <c r="W2630" s="36" t="s">
        <v>94</v>
      </c>
      <c r="X2630" s="33">
        <v>2874</v>
      </c>
      <c r="Z2630" s="33" t="s">
        <v>42968</v>
      </c>
      <c r="AA2630" s="33">
        <v>5038</v>
      </c>
    </row>
    <row r="2631" spans="1:46" ht="12" customHeight="1" x14ac:dyDescent="0.15">
      <c r="A2631" s="33" t="s">
        <v>28170</v>
      </c>
      <c r="B2631" s="33">
        <v>26</v>
      </c>
      <c r="C2631" s="33" t="s">
        <v>14</v>
      </c>
      <c r="D2631" s="33" t="s">
        <v>31</v>
      </c>
      <c r="E2631" s="42" t="s">
        <v>28171</v>
      </c>
      <c r="F2631" s="67">
        <v>42965</v>
      </c>
      <c r="G2631" s="33" t="s">
        <v>28172</v>
      </c>
      <c r="H2631" s="33" t="s">
        <v>28173</v>
      </c>
      <c r="I2631" s="33" t="s">
        <v>376</v>
      </c>
      <c r="J2631" s="33">
        <v>15436</v>
      </c>
      <c r="K2631" s="33" t="s">
        <v>1415</v>
      </c>
      <c r="L2631" s="33" t="s">
        <v>473</v>
      </c>
      <c r="M2631" s="33" t="s">
        <v>21</v>
      </c>
      <c r="N2631" s="33" t="s">
        <v>36539</v>
      </c>
      <c r="O2631" s="33" t="s">
        <v>372</v>
      </c>
      <c r="P2631" s="33" t="s">
        <v>30089</v>
      </c>
      <c r="Q2631" s="42" t="s">
        <v>28174</v>
      </c>
      <c r="R2631" s="33" t="s">
        <v>94</v>
      </c>
      <c r="S2631" s="33" t="s">
        <v>22</v>
      </c>
      <c r="T2631" s="36" t="s">
        <v>26781</v>
      </c>
      <c r="U2631" s="36" t="s">
        <v>26572</v>
      </c>
      <c r="V2631" s="36" t="s">
        <v>26573</v>
      </c>
      <c r="W2631" s="36" t="s">
        <v>94</v>
      </c>
      <c r="X2631" s="33">
        <v>2879</v>
      </c>
      <c r="Z2631" s="33" t="s">
        <v>42968</v>
      </c>
      <c r="AA2631" s="33">
        <v>5035</v>
      </c>
    </row>
    <row r="2632" spans="1:46" ht="12" customHeight="1" x14ac:dyDescent="0.15">
      <c r="A2632" s="33" t="s">
        <v>28184</v>
      </c>
      <c r="B2632" s="33">
        <v>28</v>
      </c>
      <c r="C2632" s="33" t="s">
        <v>14</v>
      </c>
      <c r="D2632" s="33" t="s">
        <v>42</v>
      </c>
      <c r="F2632" s="67">
        <v>42964</v>
      </c>
      <c r="G2632" s="33" t="s">
        <v>28185</v>
      </c>
      <c r="H2632" s="33" t="s">
        <v>584</v>
      </c>
      <c r="I2632" s="33" t="s">
        <v>112</v>
      </c>
      <c r="J2632" s="33">
        <v>85008</v>
      </c>
      <c r="K2632" s="33" t="s">
        <v>585</v>
      </c>
      <c r="L2632" s="33" t="s">
        <v>586</v>
      </c>
      <c r="M2632" s="33" t="s">
        <v>4966</v>
      </c>
      <c r="N2632" s="33" t="s">
        <v>28186</v>
      </c>
      <c r="O2632" s="33" t="s">
        <v>372</v>
      </c>
      <c r="P2632" s="33" t="s">
        <v>30089</v>
      </c>
      <c r="Q2632" s="42" t="s">
        <v>28187</v>
      </c>
      <c r="R2632" s="33" t="s">
        <v>512</v>
      </c>
      <c r="S2632" s="33" t="s">
        <v>22</v>
      </c>
      <c r="T2632" s="36" t="s">
        <v>26774</v>
      </c>
      <c r="U2632" s="36" t="s">
        <v>26570</v>
      </c>
      <c r="V2632" s="36" t="s">
        <v>26573</v>
      </c>
      <c r="W2632" s="36" t="s">
        <v>94</v>
      </c>
      <c r="X2632" s="33">
        <v>2883</v>
      </c>
      <c r="Z2632" s="33" t="s">
        <v>42968</v>
      </c>
      <c r="AA2632" s="33">
        <v>5033</v>
      </c>
    </row>
    <row r="2633" spans="1:46" ht="12" customHeight="1" x14ac:dyDescent="0.15">
      <c r="A2633" s="33" t="s">
        <v>28188</v>
      </c>
      <c r="B2633" s="33">
        <v>65</v>
      </c>
      <c r="C2633" s="33" t="s">
        <v>14</v>
      </c>
      <c r="D2633" s="33" t="s">
        <v>31</v>
      </c>
      <c r="F2633" s="67">
        <v>42964</v>
      </c>
      <c r="G2633" s="33" t="s">
        <v>28189</v>
      </c>
      <c r="H2633" s="33" t="s">
        <v>28190</v>
      </c>
      <c r="I2633" s="33" t="s">
        <v>88</v>
      </c>
      <c r="J2633" s="33">
        <v>36049</v>
      </c>
      <c r="K2633" s="33" t="s">
        <v>28191</v>
      </c>
      <c r="L2633" s="33" t="s">
        <v>28192</v>
      </c>
      <c r="M2633" s="33" t="s">
        <v>21</v>
      </c>
      <c r="N2633" s="33" t="s">
        <v>28193</v>
      </c>
      <c r="O2633" s="33" t="s">
        <v>372</v>
      </c>
      <c r="P2633" s="33" t="s">
        <v>30089</v>
      </c>
      <c r="Q2633" s="42" t="s">
        <v>28194</v>
      </c>
      <c r="R2633" s="33" t="s">
        <v>23</v>
      </c>
      <c r="S2633" s="33" t="s">
        <v>29</v>
      </c>
      <c r="T2633" s="36" t="s">
        <v>26575</v>
      </c>
      <c r="U2633" s="36" t="s">
        <v>26575</v>
      </c>
      <c r="V2633" s="36" t="s">
        <v>26573</v>
      </c>
      <c r="W2633" s="36" t="s">
        <v>94</v>
      </c>
      <c r="X2633" s="33">
        <v>2882</v>
      </c>
      <c r="Z2633" s="33" t="s">
        <v>42967</v>
      </c>
      <c r="AA2633" s="33">
        <v>5034</v>
      </c>
    </row>
    <row r="2634" spans="1:46" ht="12" customHeight="1" x14ac:dyDescent="0.15">
      <c r="A2634" s="33" t="s">
        <v>30356</v>
      </c>
      <c r="B2634" s="33">
        <v>34</v>
      </c>
      <c r="C2634" s="33" t="s">
        <v>14</v>
      </c>
      <c r="D2634" s="33" t="s">
        <v>79</v>
      </c>
      <c r="F2634" s="67">
        <v>42963</v>
      </c>
      <c r="G2634" s="33" t="s">
        <v>28195</v>
      </c>
      <c r="H2634" s="33" t="s">
        <v>92</v>
      </c>
      <c r="I2634" s="33" t="s">
        <v>39</v>
      </c>
      <c r="J2634" s="33">
        <v>90059</v>
      </c>
      <c r="K2634" s="33" t="s">
        <v>92</v>
      </c>
      <c r="L2634" s="33" t="s">
        <v>386</v>
      </c>
      <c r="M2634" s="33" t="s">
        <v>21</v>
      </c>
      <c r="N2634" s="33" t="s">
        <v>28196</v>
      </c>
      <c r="O2634" s="33" t="s">
        <v>372</v>
      </c>
      <c r="P2634" s="33" t="s">
        <v>30089</v>
      </c>
      <c r="Q2634" s="42" t="s">
        <v>28197</v>
      </c>
      <c r="R2634" s="33" t="s">
        <v>94</v>
      </c>
      <c r="S2634" s="33" t="s">
        <v>22</v>
      </c>
      <c r="T2634" s="36" t="s">
        <v>26781</v>
      </c>
      <c r="U2634" s="36" t="s">
        <v>26570</v>
      </c>
      <c r="V2634" s="36" t="s">
        <v>26574</v>
      </c>
      <c r="W2634" s="36" t="s">
        <v>94</v>
      </c>
      <c r="X2634" s="33">
        <v>2872</v>
      </c>
      <c r="Z2634" s="33" t="s">
        <v>42966</v>
      </c>
      <c r="AA2634" s="33">
        <v>5031</v>
      </c>
    </row>
    <row r="2635" spans="1:46" ht="12" customHeight="1" x14ac:dyDescent="0.15">
      <c r="A2635" s="33" t="s">
        <v>28198</v>
      </c>
      <c r="B2635" s="33">
        <v>54</v>
      </c>
      <c r="C2635" s="33" t="s">
        <v>14</v>
      </c>
      <c r="D2635" s="33" t="s">
        <v>31</v>
      </c>
      <c r="F2635" s="67">
        <v>42963</v>
      </c>
      <c r="G2635" s="33" t="s">
        <v>28812</v>
      </c>
      <c r="H2635" s="33" t="s">
        <v>28199</v>
      </c>
      <c r="I2635" s="33" t="s">
        <v>39</v>
      </c>
      <c r="J2635" s="33">
        <v>94551</v>
      </c>
      <c r="K2635" s="33" t="s">
        <v>558</v>
      </c>
      <c r="L2635" s="33" t="s">
        <v>28200</v>
      </c>
      <c r="M2635" s="33" t="s">
        <v>21</v>
      </c>
      <c r="N2635" s="33" t="s">
        <v>28201</v>
      </c>
      <c r="O2635" s="33" t="s">
        <v>372</v>
      </c>
      <c r="P2635" s="33" t="s">
        <v>30089</v>
      </c>
      <c r="Q2635" s="42" t="s">
        <v>28202</v>
      </c>
      <c r="R2635" s="33" t="s">
        <v>512</v>
      </c>
      <c r="S2635" s="33" t="s">
        <v>22</v>
      </c>
      <c r="T2635" s="36" t="s">
        <v>26781</v>
      </c>
      <c r="U2635" s="36" t="s">
        <v>26572</v>
      </c>
      <c r="V2635" s="36" t="s">
        <v>26573</v>
      </c>
      <c r="W2635" s="36" t="s">
        <v>94</v>
      </c>
      <c r="X2635" s="33">
        <v>2873</v>
      </c>
      <c r="Z2635" s="33" t="s">
        <v>42968</v>
      </c>
      <c r="AA2635" s="33">
        <v>5032</v>
      </c>
    </row>
    <row r="2636" spans="1:46" ht="12" customHeight="1" x14ac:dyDescent="0.15">
      <c r="A2636" s="33" t="s">
        <v>28203</v>
      </c>
      <c r="B2636" s="33">
        <v>37</v>
      </c>
      <c r="C2636" s="33" t="s">
        <v>14</v>
      </c>
      <c r="D2636" s="33" t="s">
        <v>79</v>
      </c>
      <c r="E2636" s="42" t="s">
        <v>28204</v>
      </c>
      <c r="F2636" s="67">
        <v>42962</v>
      </c>
      <c r="G2636" s="33" t="s">
        <v>28205</v>
      </c>
      <c r="H2636" s="33" t="s">
        <v>28206</v>
      </c>
      <c r="I2636" s="33" t="s">
        <v>160</v>
      </c>
      <c r="J2636" s="33">
        <v>31792</v>
      </c>
      <c r="K2636" s="33" t="s">
        <v>1101</v>
      </c>
      <c r="L2636" s="33" t="s">
        <v>28207</v>
      </c>
      <c r="M2636" s="33" t="s">
        <v>21</v>
      </c>
      <c r="N2636" s="33" t="s">
        <v>28208</v>
      </c>
      <c r="O2636" s="33" t="s">
        <v>372</v>
      </c>
      <c r="P2636" s="33" t="s">
        <v>30089</v>
      </c>
      <c r="Q2636" s="42" t="s">
        <v>28209</v>
      </c>
      <c r="R2636" s="33" t="s">
        <v>94</v>
      </c>
      <c r="S2636" s="33" t="s">
        <v>12</v>
      </c>
      <c r="T2636" s="36" t="s">
        <v>29705</v>
      </c>
      <c r="U2636" s="36" t="s">
        <v>26570</v>
      </c>
      <c r="V2636" s="36" t="s">
        <v>26573</v>
      </c>
      <c r="W2636" s="36" t="s">
        <v>512</v>
      </c>
      <c r="X2636" s="33">
        <v>2866</v>
      </c>
      <c r="Z2636" s="33" t="s">
        <v>42968</v>
      </c>
      <c r="AA2636" s="33">
        <v>5030</v>
      </c>
    </row>
    <row r="2637" spans="1:46" ht="12" customHeight="1" x14ac:dyDescent="0.15">
      <c r="A2637" s="33" t="s">
        <v>28215</v>
      </c>
      <c r="B2637" s="33">
        <v>45</v>
      </c>
      <c r="C2637" s="33" t="s">
        <v>14</v>
      </c>
      <c r="D2637" s="33" t="s">
        <v>31</v>
      </c>
      <c r="E2637" s="42" t="s">
        <v>28216</v>
      </c>
      <c r="F2637" s="67">
        <v>42961</v>
      </c>
      <c r="G2637" s="33" t="s">
        <v>28799</v>
      </c>
      <c r="H2637" s="33" t="s">
        <v>18214</v>
      </c>
      <c r="I2637" s="33" t="s">
        <v>192</v>
      </c>
      <c r="J2637" s="33">
        <v>80909</v>
      </c>
      <c r="K2637" s="33" t="s">
        <v>801</v>
      </c>
      <c r="L2637" s="33" t="s">
        <v>18216</v>
      </c>
      <c r="M2637" s="33" t="s">
        <v>21</v>
      </c>
      <c r="N2637" s="33" t="s">
        <v>28217</v>
      </c>
      <c r="O2637" s="33" t="s">
        <v>372</v>
      </c>
      <c r="P2637" s="33" t="s">
        <v>30089</v>
      </c>
      <c r="Q2637" s="42" t="s">
        <v>28218</v>
      </c>
      <c r="R2637" s="33" t="s">
        <v>94</v>
      </c>
      <c r="S2637" s="33" t="s">
        <v>12</v>
      </c>
      <c r="T2637" s="36" t="s">
        <v>29425</v>
      </c>
      <c r="U2637" s="36" t="s">
        <v>26572</v>
      </c>
      <c r="V2637" s="36" t="s">
        <v>26574</v>
      </c>
      <c r="W2637" s="36" t="s">
        <v>94</v>
      </c>
      <c r="X2637" s="33">
        <v>2864</v>
      </c>
      <c r="Z2637" s="33" t="s">
        <v>42966</v>
      </c>
      <c r="AA2637" s="33">
        <v>5029</v>
      </c>
    </row>
    <row r="2638" spans="1:46" ht="12" customHeight="1" x14ac:dyDescent="0.15">
      <c r="A2638" s="33" t="s">
        <v>28210</v>
      </c>
      <c r="B2638" s="33">
        <v>20</v>
      </c>
      <c r="C2638" s="33" t="s">
        <v>14</v>
      </c>
      <c r="D2638" s="33" t="s">
        <v>31</v>
      </c>
      <c r="E2638" s="42" t="s">
        <v>28211</v>
      </c>
      <c r="F2638" s="67">
        <v>42961</v>
      </c>
      <c r="G2638" s="33" t="s">
        <v>28212</v>
      </c>
      <c r="H2638" s="33" t="s">
        <v>603</v>
      </c>
      <c r="I2638" s="33" t="s">
        <v>56</v>
      </c>
      <c r="J2638" s="33">
        <v>32210</v>
      </c>
      <c r="K2638" s="33" t="s">
        <v>604</v>
      </c>
      <c r="L2638" s="33" t="s">
        <v>605</v>
      </c>
      <c r="M2638" s="33" t="s">
        <v>21</v>
      </c>
      <c r="N2638" s="33" t="s">
        <v>28213</v>
      </c>
      <c r="O2638" s="33" t="s">
        <v>372</v>
      </c>
      <c r="P2638" s="33" t="s">
        <v>30089</v>
      </c>
      <c r="Q2638" s="42" t="s">
        <v>28214</v>
      </c>
      <c r="R2638" s="33" t="s">
        <v>94</v>
      </c>
      <c r="S2638" s="33" t="s">
        <v>22</v>
      </c>
      <c r="T2638" s="36" t="s">
        <v>26781</v>
      </c>
      <c r="U2638" s="36" t="s">
        <v>26572</v>
      </c>
      <c r="V2638" s="36" t="s">
        <v>26573</v>
      </c>
      <c r="W2638" s="36" t="s">
        <v>94</v>
      </c>
      <c r="X2638" s="33">
        <v>2865</v>
      </c>
      <c r="Z2638" s="33" t="s">
        <v>42968</v>
      </c>
      <c r="AA2638" s="33">
        <v>5028</v>
      </c>
      <c r="AT2638" s="42"/>
    </row>
    <row r="2639" spans="1:46" ht="12" customHeight="1" x14ac:dyDescent="0.15">
      <c r="A2639" s="33" t="s">
        <v>28240</v>
      </c>
      <c r="B2639" s="33">
        <v>50</v>
      </c>
      <c r="C2639" s="33" t="s">
        <v>14</v>
      </c>
      <c r="D2639" s="33" t="s">
        <v>79</v>
      </c>
      <c r="E2639" s="42" t="s">
        <v>30389</v>
      </c>
      <c r="F2639" s="67">
        <v>42960</v>
      </c>
      <c r="G2639" s="33" t="s">
        <v>28241</v>
      </c>
      <c r="H2639" s="33" t="s">
        <v>220</v>
      </c>
      <c r="I2639" s="33" t="s">
        <v>221</v>
      </c>
      <c r="J2639" s="33">
        <v>84111</v>
      </c>
      <c r="K2639" s="33" t="s">
        <v>564</v>
      </c>
      <c r="L2639" s="33" t="s">
        <v>222</v>
      </c>
      <c r="M2639" s="33" t="s">
        <v>21</v>
      </c>
      <c r="N2639" s="33" t="s">
        <v>28242</v>
      </c>
      <c r="O2639" s="33" t="s">
        <v>372</v>
      </c>
      <c r="P2639" s="33" t="s">
        <v>94</v>
      </c>
      <c r="Q2639" s="42" t="s">
        <v>28243</v>
      </c>
      <c r="R2639" s="33" t="s">
        <v>94</v>
      </c>
      <c r="S2639" s="33" t="s">
        <v>22</v>
      </c>
      <c r="T2639" s="36" t="s">
        <v>26774</v>
      </c>
      <c r="U2639" s="36" t="s">
        <v>26570</v>
      </c>
      <c r="V2639" s="36" t="s">
        <v>26574</v>
      </c>
      <c r="W2639" s="36" t="s">
        <v>94</v>
      </c>
      <c r="X2639" s="33">
        <v>2862</v>
      </c>
      <c r="Z2639" s="33" t="s">
        <v>42966</v>
      </c>
      <c r="AA2639" s="33">
        <v>5024</v>
      </c>
      <c r="AQ2639" s="42"/>
    </row>
    <row r="2640" spans="1:46" ht="12" customHeight="1" x14ac:dyDescent="0.15">
      <c r="A2640" s="33" t="s">
        <v>28222</v>
      </c>
      <c r="B2640" s="33">
        <v>54</v>
      </c>
      <c r="C2640" s="33" t="s">
        <v>14</v>
      </c>
      <c r="D2640" s="33" t="s">
        <v>31</v>
      </c>
      <c r="F2640" s="67">
        <v>42960</v>
      </c>
      <c r="G2640" s="33" t="s">
        <v>28223</v>
      </c>
      <c r="H2640" s="33" t="s">
        <v>28224</v>
      </c>
      <c r="I2640" s="33" t="s">
        <v>409</v>
      </c>
      <c r="J2640" s="33">
        <v>54601</v>
      </c>
      <c r="K2640" s="33" t="s">
        <v>28224</v>
      </c>
      <c r="L2640" s="33" t="s">
        <v>28225</v>
      </c>
      <c r="M2640" s="33" t="s">
        <v>21</v>
      </c>
      <c r="N2640" s="33" t="s">
        <v>28226</v>
      </c>
      <c r="O2640" s="33" t="s">
        <v>372</v>
      </c>
      <c r="P2640" s="33" t="s">
        <v>30089</v>
      </c>
      <c r="Q2640" s="42" t="s">
        <v>28227</v>
      </c>
      <c r="R2640" s="33" t="s">
        <v>94</v>
      </c>
      <c r="S2640" s="33" t="s">
        <v>22</v>
      </c>
      <c r="T2640" s="36" t="s">
        <v>26781</v>
      </c>
      <c r="U2640" s="36" t="s">
        <v>26570</v>
      </c>
      <c r="V2640" s="36" t="s">
        <v>26571</v>
      </c>
      <c r="W2640" s="36" t="s">
        <v>94</v>
      </c>
      <c r="X2640" s="33">
        <v>2860</v>
      </c>
      <c r="Z2640" s="33" t="s">
        <v>42968</v>
      </c>
      <c r="AA2640" s="33">
        <v>5023</v>
      </c>
    </row>
    <row r="2641" spans="1:46" ht="12" customHeight="1" x14ac:dyDescent="0.15">
      <c r="A2641" s="33" t="s">
        <v>28228</v>
      </c>
      <c r="B2641" s="33">
        <v>41</v>
      </c>
      <c r="C2641" s="33" t="s">
        <v>14</v>
      </c>
      <c r="D2641" s="33" t="s">
        <v>31</v>
      </c>
      <c r="E2641" s="42" t="s">
        <v>28229</v>
      </c>
      <c r="F2641" s="67">
        <v>42960</v>
      </c>
      <c r="G2641" s="33" t="s">
        <v>28798</v>
      </c>
      <c r="H2641" s="33" t="s">
        <v>28230</v>
      </c>
      <c r="I2641" s="33" t="s">
        <v>298</v>
      </c>
      <c r="J2641" s="33">
        <v>37722</v>
      </c>
      <c r="K2641" s="33" t="s">
        <v>28231</v>
      </c>
      <c r="L2641" s="33" t="s">
        <v>28232</v>
      </c>
      <c r="M2641" s="33" t="s">
        <v>30350</v>
      </c>
      <c r="N2641" s="33" t="s">
        <v>28233</v>
      </c>
      <c r="O2641" s="33" t="s">
        <v>372</v>
      </c>
      <c r="P2641" s="33" t="s">
        <v>30089</v>
      </c>
      <c r="Q2641" s="42" t="s">
        <v>28234</v>
      </c>
      <c r="R2641" s="33" t="s">
        <v>94</v>
      </c>
      <c r="S2641" s="33" t="s">
        <v>22</v>
      </c>
      <c r="T2641" s="36" t="s">
        <v>26593</v>
      </c>
      <c r="U2641" s="36" t="s">
        <v>26572</v>
      </c>
      <c r="V2641" s="36" t="s">
        <v>26574</v>
      </c>
      <c r="W2641" s="36" t="s">
        <v>94</v>
      </c>
      <c r="X2641" s="33">
        <v>2861</v>
      </c>
      <c r="Z2641" s="33" t="s">
        <v>42967</v>
      </c>
      <c r="AA2641" s="33">
        <v>5026</v>
      </c>
    </row>
    <row r="2642" spans="1:46" ht="12" customHeight="1" x14ac:dyDescent="0.15">
      <c r="A2642" s="33" t="s">
        <v>28244</v>
      </c>
      <c r="B2642" s="33">
        <v>34</v>
      </c>
      <c r="C2642" s="33" t="s">
        <v>14</v>
      </c>
      <c r="D2642" s="33" t="s">
        <v>42</v>
      </c>
      <c r="F2642" s="67">
        <v>42960</v>
      </c>
      <c r="G2642" s="33" t="s">
        <v>28245</v>
      </c>
      <c r="H2642" s="33" t="s">
        <v>28246</v>
      </c>
      <c r="I2642" s="33" t="s">
        <v>56</v>
      </c>
      <c r="J2642" s="33">
        <v>33014</v>
      </c>
      <c r="K2642" s="33" t="s">
        <v>148</v>
      </c>
      <c r="L2642" s="33" t="s">
        <v>427</v>
      </c>
      <c r="M2642" s="33" t="s">
        <v>21</v>
      </c>
      <c r="N2642" s="33" t="s">
        <v>28247</v>
      </c>
      <c r="O2642" s="33" t="s">
        <v>372</v>
      </c>
      <c r="P2642" s="33" t="s">
        <v>30089</v>
      </c>
      <c r="Q2642" s="42" t="s">
        <v>28248</v>
      </c>
      <c r="R2642" s="33" t="s">
        <v>94</v>
      </c>
      <c r="S2642" s="33" t="s">
        <v>22</v>
      </c>
      <c r="T2642" s="36" t="s">
        <v>26774</v>
      </c>
      <c r="U2642" s="36" t="s">
        <v>26572</v>
      </c>
      <c r="V2642" s="36" t="s">
        <v>26573</v>
      </c>
      <c r="Z2642" s="33" t="s">
        <v>42966</v>
      </c>
      <c r="AA2642" s="33">
        <v>5025</v>
      </c>
    </row>
    <row r="2643" spans="1:46" ht="12" customHeight="1" x14ac:dyDescent="0.15">
      <c r="A2643" s="33" t="s">
        <v>28235</v>
      </c>
      <c r="B2643" s="33">
        <v>46</v>
      </c>
      <c r="C2643" s="33" t="s">
        <v>14</v>
      </c>
      <c r="D2643" s="33" t="s">
        <v>79</v>
      </c>
      <c r="F2643" s="67">
        <v>42960</v>
      </c>
      <c r="G2643" s="33" t="s">
        <v>28236</v>
      </c>
      <c r="H2643" s="33" t="s">
        <v>2324</v>
      </c>
      <c r="I2643" s="33" t="s">
        <v>282</v>
      </c>
      <c r="J2643" s="33">
        <v>99336</v>
      </c>
      <c r="K2643" s="33" t="s">
        <v>2325</v>
      </c>
      <c r="L2643" s="33" t="s">
        <v>8069</v>
      </c>
      <c r="M2643" s="33" t="s">
        <v>21</v>
      </c>
      <c r="N2643" s="33" t="s">
        <v>28237</v>
      </c>
      <c r="O2643" s="33" t="s">
        <v>372</v>
      </c>
      <c r="P2643" s="33" t="s">
        <v>30089</v>
      </c>
      <c r="Q2643" s="42" t="s">
        <v>28238</v>
      </c>
      <c r="R2643" s="33" t="s">
        <v>94</v>
      </c>
      <c r="S2643" s="33" t="s">
        <v>22</v>
      </c>
      <c r="T2643" s="36" t="s">
        <v>28239</v>
      </c>
      <c r="U2643" s="36" t="s">
        <v>26572</v>
      </c>
      <c r="V2643" s="36" t="s">
        <v>26573</v>
      </c>
      <c r="W2643" s="36" t="s">
        <v>94</v>
      </c>
      <c r="X2643" s="33">
        <v>2863</v>
      </c>
      <c r="Z2643" s="33" t="s">
        <v>42968</v>
      </c>
      <c r="AA2643" s="33">
        <v>5027</v>
      </c>
    </row>
    <row r="2644" spans="1:46" ht="12" customHeight="1" x14ac:dyDescent="0.15">
      <c r="A2644" s="33" t="s">
        <v>28219</v>
      </c>
      <c r="B2644" s="33">
        <v>24</v>
      </c>
      <c r="C2644" s="33" t="s">
        <v>14</v>
      </c>
      <c r="D2644" s="33" t="s">
        <v>31</v>
      </c>
      <c r="F2644" s="67">
        <v>42960</v>
      </c>
      <c r="G2644" s="33" t="s">
        <v>28805</v>
      </c>
      <c r="H2644" s="33" t="s">
        <v>16756</v>
      </c>
      <c r="I2644" s="33" t="s">
        <v>160</v>
      </c>
      <c r="J2644" s="33">
        <v>30563</v>
      </c>
      <c r="K2644" s="33" t="s">
        <v>3790</v>
      </c>
      <c r="L2644" s="33" t="s">
        <v>3791</v>
      </c>
      <c r="M2644" s="33" t="s">
        <v>21</v>
      </c>
      <c r="N2644" s="33" t="s">
        <v>28220</v>
      </c>
      <c r="O2644" s="33" t="s">
        <v>372</v>
      </c>
      <c r="P2644" s="33" t="s">
        <v>30089</v>
      </c>
      <c r="Q2644" s="42" t="s">
        <v>28221</v>
      </c>
      <c r="R2644" s="33" t="s">
        <v>94</v>
      </c>
      <c r="S2644" s="33" t="s">
        <v>22</v>
      </c>
      <c r="T2644" s="36" t="s">
        <v>26781</v>
      </c>
      <c r="U2644" s="36" t="s">
        <v>26570</v>
      </c>
      <c r="V2644" s="36" t="s">
        <v>26573</v>
      </c>
      <c r="W2644" s="36" t="s">
        <v>94</v>
      </c>
      <c r="X2644" s="33">
        <v>2859</v>
      </c>
      <c r="Z2644" s="33" t="s">
        <v>42967</v>
      </c>
      <c r="AA2644" s="33">
        <v>5022</v>
      </c>
    </row>
    <row r="2645" spans="1:46" ht="12" customHeight="1" x14ac:dyDescent="0.15">
      <c r="A2645" s="33" t="s">
        <v>28249</v>
      </c>
      <c r="B2645" s="33">
        <v>35</v>
      </c>
      <c r="C2645" s="33" t="s">
        <v>14</v>
      </c>
      <c r="D2645" s="33" t="s">
        <v>42</v>
      </c>
      <c r="F2645" s="67">
        <v>42959</v>
      </c>
      <c r="G2645" s="33" t="s">
        <v>28827</v>
      </c>
      <c r="H2645" s="33" t="s">
        <v>28250</v>
      </c>
      <c r="I2645" s="33" t="s">
        <v>282</v>
      </c>
      <c r="J2645" s="33">
        <v>98375</v>
      </c>
      <c r="K2645" s="33" t="s">
        <v>827</v>
      </c>
      <c r="L2645" s="33" t="s">
        <v>19834</v>
      </c>
      <c r="M2645" s="33" t="s">
        <v>21</v>
      </c>
      <c r="N2645" s="33" t="s">
        <v>36540</v>
      </c>
      <c r="O2645" s="33" t="s">
        <v>372</v>
      </c>
      <c r="P2645" s="33" t="s">
        <v>30089</v>
      </c>
      <c r="Q2645" s="42" t="s">
        <v>28251</v>
      </c>
      <c r="R2645" s="33" t="s">
        <v>23</v>
      </c>
      <c r="S2645" s="33" t="s">
        <v>22</v>
      </c>
      <c r="T2645" s="36" t="s">
        <v>26774</v>
      </c>
      <c r="U2645" s="36" t="s">
        <v>26572</v>
      </c>
      <c r="V2645" s="36" t="s">
        <v>26573</v>
      </c>
      <c r="W2645" s="36" t="s">
        <v>94</v>
      </c>
      <c r="X2645" s="33">
        <v>2858</v>
      </c>
      <c r="Z2645" s="33" t="s">
        <v>42968</v>
      </c>
      <c r="AA2645" s="33">
        <v>5021</v>
      </c>
    </row>
    <row r="2646" spans="1:46" ht="12" customHeight="1" x14ac:dyDescent="0.15">
      <c r="A2646" s="33" t="s">
        <v>28254</v>
      </c>
      <c r="B2646" s="33">
        <v>31</v>
      </c>
      <c r="C2646" s="33" t="s">
        <v>14</v>
      </c>
      <c r="D2646" s="33" t="s">
        <v>79</v>
      </c>
      <c r="E2646" s="42" t="s">
        <v>28255</v>
      </c>
      <c r="F2646" s="67">
        <v>42958</v>
      </c>
      <c r="G2646" s="33" t="s">
        <v>28826</v>
      </c>
      <c r="H2646" s="33" t="s">
        <v>1033</v>
      </c>
      <c r="I2646" s="33" t="s">
        <v>376</v>
      </c>
      <c r="J2646" s="33">
        <v>19133</v>
      </c>
      <c r="K2646" s="33" t="s">
        <v>1033</v>
      </c>
      <c r="L2646" s="33" t="s">
        <v>1034</v>
      </c>
      <c r="M2646" s="33" t="s">
        <v>21</v>
      </c>
      <c r="N2646" s="33" t="s">
        <v>28256</v>
      </c>
      <c r="O2646" s="33" t="s">
        <v>372</v>
      </c>
      <c r="P2646" s="33" t="s">
        <v>30089</v>
      </c>
      <c r="Q2646" s="42" t="s">
        <v>28257</v>
      </c>
      <c r="R2646" s="33" t="s">
        <v>512</v>
      </c>
      <c r="S2646" s="33" t="s">
        <v>22</v>
      </c>
      <c r="T2646" s="36" t="s">
        <v>26781</v>
      </c>
      <c r="U2646" s="36" t="s">
        <v>26570</v>
      </c>
      <c r="V2646" s="36" t="s">
        <v>26573</v>
      </c>
      <c r="W2646" s="36" t="s">
        <v>94</v>
      </c>
      <c r="X2646" s="33">
        <v>2857</v>
      </c>
      <c r="Z2646" s="33" t="s">
        <v>42966</v>
      </c>
      <c r="AA2646" s="33">
        <v>5020</v>
      </c>
      <c r="AQ2646" s="42"/>
    </row>
    <row r="2647" spans="1:46" ht="12" customHeight="1" x14ac:dyDescent="0.15">
      <c r="A2647" s="33" t="s">
        <v>3002</v>
      </c>
      <c r="B2647" s="33" t="s">
        <v>23</v>
      </c>
      <c r="C2647" s="33" t="s">
        <v>14</v>
      </c>
      <c r="D2647" s="33" t="s">
        <v>42</v>
      </c>
      <c r="F2647" s="67">
        <v>42958</v>
      </c>
      <c r="G2647" s="33" t="s">
        <v>28806</v>
      </c>
      <c r="H2647" s="33" t="s">
        <v>6676</v>
      </c>
      <c r="I2647" s="33" t="s">
        <v>67</v>
      </c>
      <c r="J2647" s="33">
        <v>77530</v>
      </c>
      <c r="K2647" s="33" t="s">
        <v>515</v>
      </c>
      <c r="L2647" s="33" t="s">
        <v>516</v>
      </c>
      <c r="M2647" s="33" t="s">
        <v>21</v>
      </c>
      <c r="N2647" s="33" t="s">
        <v>28252</v>
      </c>
      <c r="O2647" s="33" t="s">
        <v>372</v>
      </c>
      <c r="P2647" s="33" t="s">
        <v>30089</v>
      </c>
      <c r="Q2647" s="42" t="s">
        <v>28253</v>
      </c>
      <c r="R2647" s="33" t="s">
        <v>94</v>
      </c>
      <c r="S2647" s="33" t="s">
        <v>22</v>
      </c>
      <c r="T2647" s="36" t="s">
        <v>26781</v>
      </c>
      <c r="U2647" s="36" t="s">
        <v>26572</v>
      </c>
      <c r="V2647" s="36" t="s">
        <v>26573</v>
      </c>
      <c r="W2647" s="36" t="s">
        <v>94</v>
      </c>
      <c r="X2647" s="33">
        <v>2855</v>
      </c>
      <c r="Z2647" s="33" t="s">
        <v>42968</v>
      </c>
      <c r="AA2647" s="33">
        <v>5019</v>
      </c>
    </row>
    <row r="2648" spans="1:46" ht="12" customHeight="1" x14ac:dyDescent="0.15">
      <c r="A2648" s="33" t="s">
        <v>28261</v>
      </c>
      <c r="B2648" s="33">
        <v>33</v>
      </c>
      <c r="C2648" s="33" t="s">
        <v>14</v>
      </c>
      <c r="D2648" s="33" t="s">
        <v>31</v>
      </c>
      <c r="E2648" s="42" t="s">
        <v>28262</v>
      </c>
      <c r="F2648" s="67">
        <v>42957</v>
      </c>
      <c r="G2648" s="33" t="s">
        <v>28263</v>
      </c>
      <c r="H2648" s="33" t="s">
        <v>28264</v>
      </c>
      <c r="I2648" s="33" t="s">
        <v>198</v>
      </c>
      <c r="J2648" s="33">
        <v>46311</v>
      </c>
      <c r="K2648" s="33" t="s">
        <v>1179</v>
      </c>
      <c r="L2648" s="33" t="s">
        <v>28265</v>
      </c>
      <c r="M2648" s="33" t="s">
        <v>21</v>
      </c>
      <c r="N2648" s="33" t="s">
        <v>28266</v>
      </c>
      <c r="O2648" s="33" t="s">
        <v>372</v>
      </c>
      <c r="P2648" s="33" t="s">
        <v>94</v>
      </c>
      <c r="Q2648" s="42" t="s">
        <v>28267</v>
      </c>
      <c r="R2648" s="33" t="s">
        <v>94</v>
      </c>
      <c r="S2648" s="33" t="s">
        <v>351</v>
      </c>
      <c r="T2648" s="36" t="s">
        <v>26867</v>
      </c>
      <c r="U2648" s="36" t="s">
        <v>26570</v>
      </c>
      <c r="V2648" s="36" t="s">
        <v>26571</v>
      </c>
      <c r="W2648" s="36" t="s">
        <v>94</v>
      </c>
      <c r="X2648" s="33">
        <v>2853</v>
      </c>
      <c r="Z2648" s="33" t="s">
        <v>42968</v>
      </c>
      <c r="AA2648" s="33">
        <v>5018</v>
      </c>
      <c r="AQ2648" s="42"/>
      <c r="AT2648" s="42"/>
    </row>
    <row r="2649" spans="1:46" ht="12" customHeight="1" x14ac:dyDescent="0.15">
      <c r="A2649" s="33" t="s">
        <v>28258</v>
      </c>
      <c r="B2649" s="33">
        <v>49</v>
      </c>
      <c r="C2649" s="33" t="s">
        <v>14</v>
      </c>
      <c r="D2649" s="33" t="s">
        <v>31</v>
      </c>
      <c r="F2649" s="67">
        <v>42957</v>
      </c>
      <c r="G2649" s="33" t="s">
        <v>28814</v>
      </c>
      <c r="H2649" s="33" t="s">
        <v>28259</v>
      </c>
      <c r="I2649" s="33" t="s">
        <v>39</v>
      </c>
      <c r="J2649" s="33">
        <v>90272</v>
      </c>
      <c r="K2649" s="33" t="s">
        <v>92</v>
      </c>
      <c r="L2649" s="33" t="s">
        <v>93</v>
      </c>
      <c r="M2649" s="33" t="s">
        <v>21</v>
      </c>
      <c r="N2649" s="33" t="s">
        <v>36541</v>
      </c>
      <c r="O2649" s="33" t="s">
        <v>372</v>
      </c>
      <c r="P2649" s="33" t="s">
        <v>30089</v>
      </c>
      <c r="Q2649" s="42" t="s">
        <v>28260</v>
      </c>
      <c r="R2649" s="33" t="s">
        <v>94</v>
      </c>
      <c r="S2649" s="33" t="s">
        <v>22</v>
      </c>
      <c r="T2649" s="36" t="s">
        <v>26781</v>
      </c>
      <c r="U2649" s="36" t="s">
        <v>26572</v>
      </c>
      <c r="V2649" s="36" t="s">
        <v>26573</v>
      </c>
      <c r="W2649" s="36" t="s">
        <v>94</v>
      </c>
      <c r="X2649" s="33">
        <v>2856</v>
      </c>
      <c r="Z2649" s="33" t="s">
        <v>42968</v>
      </c>
      <c r="AA2649" s="33">
        <v>5017</v>
      </c>
    </row>
    <row r="2650" spans="1:46" ht="12" customHeight="1" x14ac:dyDescent="0.15">
      <c r="A2650" s="33" t="s">
        <v>28268</v>
      </c>
      <c r="B2650" s="33">
        <v>20</v>
      </c>
      <c r="C2650" s="33" t="s">
        <v>14</v>
      </c>
      <c r="D2650" s="33" t="s">
        <v>79</v>
      </c>
      <c r="E2650" s="42" t="s">
        <v>28269</v>
      </c>
      <c r="F2650" s="67">
        <v>42956</v>
      </c>
      <c r="G2650" s="33" t="s">
        <v>28809</v>
      </c>
      <c r="H2650" s="33" t="s">
        <v>2350</v>
      </c>
      <c r="I2650" s="33" t="s">
        <v>282</v>
      </c>
      <c r="J2650" s="33">
        <v>98031</v>
      </c>
      <c r="K2650" s="33" t="s">
        <v>1133</v>
      </c>
      <c r="L2650" s="33" t="s">
        <v>3181</v>
      </c>
      <c r="M2650" s="33" t="s">
        <v>21</v>
      </c>
      <c r="N2650" s="33" t="s">
        <v>28270</v>
      </c>
      <c r="O2650" s="33" t="s">
        <v>372</v>
      </c>
      <c r="P2650" s="33" t="s">
        <v>30089</v>
      </c>
      <c r="Q2650" s="42" t="s">
        <v>28271</v>
      </c>
      <c r="R2650" s="33" t="s">
        <v>94</v>
      </c>
      <c r="S2650" s="33" t="s">
        <v>351</v>
      </c>
      <c r="T2650" s="36" t="s">
        <v>26867</v>
      </c>
      <c r="U2650" s="36" t="s">
        <v>26572</v>
      </c>
      <c r="V2650" s="36" t="s">
        <v>26571</v>
      </c>
      <c r="W2650" s="36" t="s">
        <v>94</v>
      </c>
      <c r="X2650" s="33">
        <v>2851</v>
      </c>
      <c r="Z2650" s="33" t="s">
        <v>42968</v>
      </c>
      <c r="AA2650" s="33">
        <v>5016</v>
      </c>
    </row>
    <row r="2651" spans="1:46" ht="12" customHeight="1" x14ac:dyDescent="0.15">
      <c r="A2651" s="33" t="s">
        <v>28272</v>
      </c>
      <c r="B2651" s="33">
        <v>23</v>
      </c>
      <c r="C2651" s="33" t="s">
        <v>14</v>
      </c>
      <c r="D2651" s="33" t="s">
        <v>31</v>
      </c>
      <c r="E2651" s="42" t="s">
        <v>28273</v>
      </c>
      <c r="F2651" s="67">
        <v>42955</v>
      </c>
      <c r="G2651" s="33" t="s">
        <v>28274</v>
      </c>
      <c r="H2651" s="33" t="s">
        <v>28275</v>
      </c>
      <c r="I2651" s="33" t="s">
        <v>337</v>
      </c>
      <c r="J2651" s="33">
        <v>66441</v>
      </c>
      <c r="K2651" s="33" t="s">
        <v>28276</v>
      </c>
      <c r="L2651" s="33" t="s">
        <v>36542</v>
      </c>
      <c r="M2651" s="33" t="s">
        <v>21</v>
      </c>
      <c r="N2651" s="33" t="s">
        <v>28277</v>
      </c>
      <c r="O2651" s="33" t="s">
        <v>372</v>
      </c>
      <c r="P2651" s="33" t="s">
        <v>30089</v>
      </c>
      <c r="Q2651" s="42" t="s">
        <v>28278</v>
      </c>
      <c r="R2651" s="33" t="s">
        <v>512</v>
      </c>
      <c r="S2651" s="33" t="s">
        <v>22</v>
      </c>
      <c r="T2651" s="36" t="s">
        <v>26781</v>
      </c>
      <c r="U2651" s="36" t="s">
        <v>26572</v>
      </c>
      <c r="V2651" s="36" t="s">
        <v>26573</v>
      </c>
      <c r="W2651" s="36" t="s">
        <v>94</v>
      </c>
      <c r="X2651" s="33">
        <v>2849</v>
      </c>
      <c r="Z2651" s="33" t="s">
        <v>42968</v>
      </c>
      <c r="AA2651" s="33">
        <v>5014</v>
      </c>
    </row>
    <row r="2652" spans="1:46" ht="12" customHeight="1" x14ac:dyDescent="0.15">
      <c r="A2652" s="33" t="s">
        <v>28279</v>
      </c>
      <c r="B2652" s="33">
        <v>17</v>
      </c>
      <c r="C2652" s="33" t="s">
        <v>14</v>
      </c>
      <c r="D2652" s="33" t="s">
        <v>79</v>
      </c>
      <c r="E2652" s="42" t="s">
        <v>28280</v>
      </c>
      <c r="F2652" s="67">
        <v>42955</v>
      </c>
      <c r="G2652" s="33" t="s">
        <v>28281</v>
      </c>
      <c r="H2652" s="33" t="s">
        <v>7296</v>
      </c>
      <c r="I2652" s="33" t="s">
        <v>38</v>
      </c>
      <c r="J2652" s="33">
        <v>60628</v>
      </c>
      <c r="K2652" s="33" t="s">
        <v>82</v>
      </c>
      <c r="L2652" s="33" t="s">
        <v>22437</v>
      </c>
      <c r="M2652" s="33" t="s">
        <v>21</v>
      </c>
      <c r="N2652" s="33" t="s">
        <v>28282</v>
      </c>
      <c r="O2652" s="33" t="s">
        <v>372</v>
      </c>
      <c r="P2652" s="33" t="s">
        <v>30089</v>
      </c>
      <c r="Q2652" s="42" t="s">
        <v>28283</v>
      </c>
      <c r="R2652" s="33" t="s">
        <v>94</v>
      </c>
      <c r="S2652" s="33" t="s">
        <v>22</v>
      </c>
      <c r="T2652" s="36" t="s">
        <v>26781</v>
      </c>
      <c r="U2652" s="36" t="s">
        <v>26570</v>
      </c>
      <c r="V2652" s="36" t="s">
        <v>19228</v>
      </c>
      <c r="W2652" s="36" t="s">
        <v>94</v>
      </c>
      <c r="X2652" s="33">
        <v>2852</v>
      </c>
      <c r="Z2652" s="33" t="s">
        <v>42966</v>
      </c>
      <c r="AA2652" s="33">
        <v>5015</v>
      </c>
    </row>
    <row r="2653" spans="1:46" ht="12" customHeight="1" x14ac:dyDescent="0.15">
      <c r="A2653" s="33" t="s">
        <v>28290</v>
      </c>
      <c r="B2653" s="33">
        <v>29</v>
      </c>
      <c r="C2653" s="33" t="s">
        <v>14</v>
      </c>
      <c r="D2653" s="33" t="s">
        <v>42</v>
      </c>
      <c r="E2653" s="42" t="s">
        <v>28291</v>
      </c>
      <c r="F2653" s="67">
        <v>42954</v>
      </c>
      <c r="G2653" s="33" t="s">
        <v>28847</v>
      </c>
      <c r="H2653" s="33" t="s">
        <v>635</v>
      </c>
      <c r="I2653" s="33" t="s">
        <v>337</v>
      </c>
      <c r="J2653" s="33">
        <v>67203</v>
      </c>
      <c r="K2653" s="33" t="s">
        <v>636</v>
      </c>
      <c r="L2653" s="33" t="s">
        <v>637</v>
      </c>
      <c r="M2653" s="33" t="s">
        <v>21</v>
      </c>
      <c r="N2653" s="33" t="s">
        <v>28292</v>
      </c>
      <c r="O2653" s="33" t="s">
        <v>372</v>
      </c>
      <c r="P2653" s="33" t="s">
        <v>30089</v>
      </c>
      <c r="Q2653" s="42" t="s">
        <v>28293</v>
      </c>
      <c r="R2653" s="33" t="s">
        <v>94</v>
      </c>
      <c r="S2653" s="33" t="s">
        <v>22</v>
      </c>
      <c r="T2653" s="36" t="s">
        <v>26774</v>
      </c>
      <c r="U2653" s="36" t="s">
        <v>26570</v>
      </c>
      <c r="V2653" s="36" t="s">
        <v>26573</v>
      </c>
      <c r="W2653" s="36" t="s">
        <v>94</v>
      </c>
      <c r="X2653" s="33">
        <v>2848</v>
      </c>
      <c r="Z2653" s="33" t="s">
        <v>42966</v>
      </c>
      <c r="AA2653" s="33">
        <v>5011</v>
      </c>
      <c r="AQ2653" s="42"/>
    </row>
    <row r="2654" spans="1:46" ht="12" customHeight="1" x14ac:dyDescent="0.15">
      <c r="A2654" s="33" t="s">
        <v>28294</v>
      </c>
      <c r="B2654" s="33">
        <v>36</v>
      </c>
      <c r="C2654" s="33" t="s">
        <v>14</v>
      </c>
      <c r="D2654" s="33" t="s">
        <v>31</v>
      </c>
      <c r="E2654" s="33" t="s">
        <v>29645</v>
      </c>
      <c r="F2654" s="67">
        <v>42954</v>
      </c>
      <c r="G2654" s="33" t="s">
        <v>28807</v>
      </c>
      <c r="H2654" s="33" t="s">
        <v>401</v>
      </c>
      <c r="I2654" s="33" t="s">
        <v>402</v>
      </c>
      <c r="J2654" s="33">
        <v>64126</v>
      </c>
      <c r="K2654" s="33" t="s">
        <v>404</v>
      </c>
      <c r="L2654" s="33" t="s">
        <v>1321</v>
      </c>
      <c r="M2654" s="33" t="s">
        <v>21</v>
      </c>
      <c r="N2654" s="33" t="s">
        <v>30785</v>
      </c>
      <c r="O2654" s="33" t="s">
        <v>372</v>
      </c>
      <c r="P2654" s="33" t="s">
        <v>30089</v>
      </c>
      <c r="Q2654" s="42" t="s">
        <v>28295</v>
      </c>
      <c r="R2654" s="33" t="s">
        <v>94</v>
      </c>
      <c r="S2654" s="33" t="s">
        <v>351</v>
      </c>
      <c r="T2654" s="36" t="s">
        <v>26867</v>
      </c>
      <c r="U2654" s="36" t="s">
        <v>26570</v>
      </c>
      <c r="V2654" s="36" t="s">
        <v>26571</v>
      </c>
      <c r="W2654" s="36" t="s">
        <v>94</v>
      </c>
      <c r="X2654" s="33">
        <v>2850</v>
      </c>
      <c r="Z2654" s="33" t="s">
        <v>42966</v>
      </c>
      <c r="AA2654" s="33">
        <v>5013</v>
      </c>
    </row>
    <row r="2655" spans="1:46" ht="12" customHeight="1" x14ac:dyDescent="0.15">
      <c r="A2655" s="33" t="s">
        <v>28284</v>
      </c>
      <c r="B2655" s="33">
        <v>45</v>
      </c>
      <c r="C2655" s="33" t="s">
        <v>14</v>
      </c>
      <c r="D2655" s="33" t="s">
        <v>42</v>
      </c>
      <c r="E2655" s="33" t="s">
        <v>29646</v>
      </c>
      <c r="F2655" s="67">
        <v>42954</v>
      </c>
      <c r="G2655" s="33" t="s">
        <v>28285</v>
      </c>
      <c r="H2655" s="33" t="s">
        <v>28286</v>
      </c>
      <c r="I2655" s="33" t="s">
        <v>75</v>
      </c>
      <c r="J2655" s="33">
        <v>7047</v>
      </c>
      <c r="K2655" s="33" t="s">
        <v>2300</v>
      </c>
      <c r="L2655" s="33" t="s">
        <v>28287</v>
      </c>
      <c r="M2655" s="33" t="s">
        <v>30360</v>
      </c>
      <c r="N2655" s="33" t="s">
        <v>28288</v>
      </c>
      <c r="O2655" s="33" t="s">
        <v>372</v>
      </c>
      <c r="P2655" s="33" t="s">
        <v>30089</v>
      </c>
      <c r="Q2655" s="42" t="s">
        <v>28289</v>
      </c>
      <c r="R2655" s="33" t="s">
        <v>94</v>
      </c>
      <c r="S2655" s="33" t="s">
        <v>22</v>
      </c>
      <c r="T2655" s="36" t="s">
        <v>26774</v>
      </c>
      <c r="U2655" s="36" t="s">
        <v>26572</v>
      </c>
      <c r="V2655" s="36" t="s">
        <v>26573</v>
      </c>
      <c r="W2655" s="36" t="s">
        <v>94</v>
      </c>
      <c r="X2655" s="33">
        <v>2841</v>
      </c>
      <c r="Z2655" s="33" t="s">
        <v>42968</v>
      </c>
      <c r="AA2655" s="33">
        <v>5012</v>
      </c>
    </row>
    <row r="2656" spans="1:46" ht="12" customHeight="1" x14ac:dyDescent="0.15">
      <c r="A2656" s="33" t="s">
        <v>28304</v>
      </c>
      <c r="B2656" s="33">
        <v>28</v>
      </c>
      <c r="C2656" s="33" t="s">
        <v>14</v>
      </c>
      <c r="D2656" s="33" t="s">
        <v>79</v>
      </c>
      <c r="E2656" s="42" t="s">
        <v>30390</v>
      </c>
      <c r="F2656" s="67">
        <v>42953</v>
      </c>
      <c r="G2656" s="33" t="s">
        <v>29623</v>
      </c>
      <c r="H2656" s="33" t="s">
        <v>401</v>
      </c>
      <c r="I2656" s="33" t="s">
        <v>402</v>
      </c>
      <c r="J2656" s="33">
        <v>64128</v>
      </c>
      <c r="K2656" s="33" t="s">
        <v>404</v>
      </c>
      <c r="L2656" s="33" t="s">
        <v>405</v>
      </c>
      <c r="M2656" s="33" t="s">
        <v>21</v>
      </c>
      <c r="N2656" s="33" t="s">
        <v>29624</v>
      </c>
      <c r="O2656" s="33" t="s">
        <v>372</v>
      </c>
      <c r="P2656" s="33" t="s">
        <v>30089</v>
      </c>
      <c r="Q2656" s="33" t="s">
        <v>29625</v>
      </c>
      <c r="R2656" s="33" t="s">
        <v>94</v>
      </c>
      <c r="S2656" s="33" t="s">
        <v>22</v>
      </c>
      <c r="T2656" s="36" t="s">
        <v>26781</v>
      </c>
      <c r="U2656" s="36" t="s">
        <v>26572</v>
      </c>
      <c r="V2656" s="36" t="s">
        <v>26574</v>
      </c>
      <c r="W2656" s="36" t="s">
        <v>94</v>
      </c>
      <c r="X2656" s="33">
        <v>2842</v>
      </c>
      <c r="Z2656" s="33" t="s">
        <v>42966</v>
      </c>
      <c r="AA2656" s="33">
        <v>5009</v>
      </c>
    </row>
    <row r="2657" spans="1:43" ht="12" customHeight="1" x14ac:dyDescent="0.15">
      <c r="A2657" s="33" t="s">
        <v>28296</v>
      </c>
      <c r="B2657" s="33">
        <v>32</v>
      </c>
      <c r="C2657" s="33" t="s">
        <v>14</v>
      </c>
      <c r="D2657" s="33" t="s">
        <v>31</v>
      </c>
      <c r="E2657" s="42" t="s">
        <v>28297</v>
      </c>
      <c r="F2657" s="67">
        <v>42953</v>
      </c>
      <c r="G2657" s="33" t="s">
        <v>28298</v>
      </c>
      <c r="H2657" s="33" t="s">
        <v>28299</v>
      </c>
      <c r="I2657" s="33" t="s">
        <v>298</v>
      </c>
      <c r="J2657" s="33">
        <v>37025</v>
      </c>
      <c r="K2657" s="33" t="s">
        <v>28300</v>
      </c>
      <c r="L2657" s="33" t="s">
        <v>28301</v>
      </c>
      <c r="M2657" s="33" t="s">
        <v>21</v>
      </c>
      <c r="N2657" s="33" t="s">
        <v>28302</v>
      </c>
      <c r="O2657" s="33" t="s">
        <v>372</v>
      </c>
      <c r="P2657" s="33" t="s">
        <v>30089</v>
      </c>
      <c r="Q2657" s="42" t="s">
        <v>28303</v>
      </c>
      <c r="R2657" s="33" t="s">
        <v>94</v>
      </c>
      <c r="S2657" s="33" t="s">
        <v>22</v>
      </c>
      <c r="T2657" s="36" t="s">
        <v>26774</v>
      </c>
      <c r="U2657" s="36" t="s">
        <v>26570</v>
      </c>
      <c r="V2657" s="36" t="s">
        <v>26574</v>
      </c>
      <c r="W2657" s="36" t="s">
        <v>94</v>
      </c>
      <c r="X2657" s="33">
        <v>2839</v>
      </c>
      <c r="Z2657" s="33" t="s">
        <v>42967</v>
      </c>
      <c r="AA2657" s="33">
        <v>5010</v>
      </c>
    </row>
    <row r="2658" spans="1:43" ht="12" customHeight="1" x14ac:dyDescent="0.15">
      <c r="A2658" s="33" t="s">
        <v>28308</v>
      </c>
      <c r="B2658" s="33">
        <v>24</v>
      </c>
      <c r="C2658" s="33" t="s">
        <v>14</v>
      </c>
      <c r="D2658" s="33" t="s">
        <v>31</v>
      </c>
      <c r="E2658" s="33" t="s">
        <v>29647</v>
      </c>
      <c r="F2658" s="67">
        <v>42952</v>
      </c>
      <c r="G2658" s="33" t="s">
        <v>28309</v>
      </c>
      <c r="H2658" s="33" t="s">
        <v>28310</v>
      </c>
      <c r="I2658" s="33" t="s">
        <v>63</v>
      </c>
      <c r="J2658" s="33">
        <v>43766</v>
      </c>
      <c r="K2658" s="33" t="s">
        <v>2319</v>
      </c>
      <c r="L2658" s="33" t="s">
        <v>28311</v>
      </c>
      <c r="M2658" s="33" t="s">
        <v>21</v>
      </c>
      <c r="N2658" s="33" t="s">
        <v>36544</v>
      </c>
      <c r="O2658" s="33" t="s">
        <v>372</v>
      </c>
      <c r="P2658" s="33" t="s">
        <v>30089</v>
      </c>
      <c r="Q2658" s="42" t="s">
        <v>28312</v>
      </c>
      <c r="R2658" s="33" t="s">
        <v>94</v>
      </c>
      <c r="S2658" s="33" t="s">
        <v>22</v>
      </c>
      <c r="T2658" s="36" t="s">
        <v>26781</v>
      </c>
      <c r="U2658" s="36" t="s">
        <v>26572</v>
      </c>
      <c r="V2658" s="36" t="s">
        <v>26573</v>
      </c>
      <c r="W2658" s="36" t="s">
        <v>94</v>
      </c>
      <c r="X2658" s="33">
        <v>2840</v>
      </c>
      <c r="Z2658" s="33" t="s">
        <v>42967</v>
      </c>
      <c r="AA2658" s="33">
        <v>5006</v>
      </c>
    </row>
    <row r="2659" spans="1:43" ht="12" customHeight="1" x14ac:dyDescent="0.15">
      <c r="A2659" s="33" t="s">
        <v>28305</v>
      </c>
      <c r="B2659" s="33">
        <v>35</v>
      </c>
      <c r="C2659" s="33" t="s">
        <v>14</v>
      </c>
      <c r="D2659" s="33" t="s">
        <v>42</v>
      </c>
      <c r="F2659" s="67">
        <v>42952</v>
      </c>
      <c r="G2659" s="33" t="s">
        <v>28306</v>
      </c>
      <c r="H2659" s="33" t="s">
        <v>2742</v>
      </c>
      <c r="I2659" s="33" t="s">
        <v>39</v>
      </c>
      <c r="J2659" s="33">
        <v>95403</v>
      </c>
      <c r="K2659" s="33" t="s">
        <v>2469</v>
      </c>
      <c r="L2659" s="33" t="s">
        <v>9684</v>
      </c>
      <c r="M2659" s="33" t="s">
        <v>4966</v>
      </c>
      <c r="N2659" s="33" t="s">
        <v>36543</v>
      </c>
      <c r="O2659" s="33" t="s">
        <v>372</v>
      </c>
      <c r="P2659" s="33" t="s">
        <v>30089</v>
      </c>
      <c r="Q2659" s="42" t="s">
        <v>28307</v>
      </c>
      <c r="R2659" s="33" t="s">
        <v>512</v>
      </c>
      <c r="S2659" s="33" t="s">
        <v>22</v>
      </c>
      <c r="T2659" s="36" t="s">
        <v>26774</v>
      </c>
      <c r="U2659" s="36" t="s">
        <v>26572</v>
      </c>
      <c r="V2659" s="36" t="s">
        <v>26573</v>
      </c>
      <c r="W2659" s="36" t="s">
        <v>512</v>
      </c>
      <c r="X2659" s="33">
        <v>2844</v>
      </c>
      <c r="Z2659" s="33" t="s">
        <v>42968</v>
      </c>
      <c r="AA2659" s="33">
        <v>5007</v>
      </c>
    </row>
    <row r="2660" spans="1:43" ht="12" customHeight="1" x14ac:dyDescent="0.15">
      <c r="A2660" s="33" t="s">
        <v>28313</v>
      </c>
      <c r="B2660" s="33">
        <v>34</v>
      </c>
      <c r="C2660" s="33" t="s">
        <v>14</v>
      </c>
      <c r="D2660" s="33" t="s">
        <v>79</v>
      </c>
      <c r="E2660" s="33" t="s">
        <v>29632</v>
      </c>
      <c r="F2660" s="67">
        <v>42952</v>
      </c>
      <c r="G2660" s="33" t="s">
        <v>28314</v>
      </c>
      <c r="H2660" s="33" t="s">
        <v>2046</v>
      </c>
      <c r="I2660" s="33" t="s">
        <v>56</v>
      </c>
      <c r="J2660" s="33">
        <v>33311</v>
      </c>
      <c r="K2660" s="33" t="s">
        <v>1052</v>
      </c>
      <c r="L2660" s="33" t="s">
        <v>2052</v>
      </c>
      <c r="M2660" s="33" t="s">
        <v>5157</v>
      </c>
      <c r="N2660" s="33" t="s">
        <v>28315</v>
      </c>
      <c r="O2660" s="33" t="s">
        <v>372</v>
      </c>
      <c r="P2660" s="33" t="s">
        <v>30089</v>
      </c>
      <c r="Q2660" s="42" t="s">
        <v>28316</v>
      </c>
      <c r="R2660" s="33" t="s">
        <v>23</v>
      </c>
      <c r="S2660" s="33" t="s">
        <v>12</v>
      </c>
      <c r="T2660" s="36" t="s">
        <v>29705</v>
      </c>
      <c r="U2660" s="36" t="s">
        <v>26570</v>
      </c>
      <c r="V2660" s="36" t="s">
        <v>26573</v>
      </c>
      <c r="Z2660" s="33" t="s">
        <v>42968</v>
      </c>
      <c r="AA2660" s="33">
        <v>5008</v>
      </c>
    </row>
    <row r="2661" spans="1:43" ht="12" customHeight="1" x14ac:dyDescent="0.15">
      <c r="A2661" s="33" t="s">
        <v>28337</v>
      </c>
      <c r="B2661" s="33">
        <v>35</v>
      </c>
      <c r="C2661" s="33" t="s">
        <v>14</v>
      </c>
      <c r="D2661" s="33" t="s">
        <v>31</v>
      </c>
      <c r="E2661" s="42" t="s">
        <v>28338</v>
      </c>
      <c r="F2661" s="67">
        <v>42951</v>
      </c>
      <c r="G2661" s="33" t="s">
        <v>28339</v>
      </c>
      <c r="H2661" s="33" t="s">
        <v>28340</v>
      </c>
      <c r="I2661" s="33" t="s">
        <v>250</v>
      </c>
      <c r="J2661" s="33">
        <v>89441</v>
      </c>
      <c r="K2661" s="33" t="s">
        <v>5732</v>
      </c>
      <c r="L2661" s="33" t="s">
        <v>14658</v>
      </c>
      <c r="M2661" s="33" t="s">
        <v>21</v>
      </c>
      <c r="N2661" s="33" t="s">
        <v>28341</v>
      </c>
      <c r="O2661" s="33" t="s">
        <v>372</v>
      </c>
      <c r="P2661" s="33" t="s">
        <v>30089</v>
      </c>
      <c r="Q2661" s="42" t="s">
        <v>28342</v>
      </c>
      <c r="R2661" s="33" t="s">
        <v>94</v>
      </c>
      <c r="S2661" s="33" t="s">
        <v>22</v>
      </c>
      <c r="T2661" s="36" t="s">
        <v>26781</v>
      </c>
      <c r="U2661" s="36" t="s">
        <v>26570</v>
      </c>
      <c r="V2661" s="36" t="s">
        <v>26573</v>
      </c>
      <c r="W2661" s="36" t="s">
        <v>94</v>
      </c>
      <c r="X2661" s="33">
        <v>2836</v>
      </c>
      <c r="Z2661" s="33" t="s">
        <v>42967</v>
      </c>
      <c r="AA2661" s="33">
        <v>4999</v>
      </c>
    </row>
    <row r="2662" spans="1:43" ht="12" customHeight="1" x14ac:dyDescent="0.15">
      <c r="A2662" s="33" t="s">
        <v>28333</v>
      </c>
      <c r="B2662" s="33">
        <v>31</v>
      </c>
      <c r="C2662" s="33" t="s">
        <v>14</v>
      </c>
      <c r="D2662" s="33" t="s">
        <v>31</v>
      </c>
      <c r="E2662" s="33" t="s">
        <v>29648</v>
      </c>
      <c r="F2662" s="67">
        <v>42951</v>
      </c>
      <c r="G2662" s="33" t="s">
        <v>28334</v>
      </c>
      <c r="H2662" s="33" t="s">
        <v>2536</v>
      </c>
      <c r="I2662" s="33" t="s">
        <v>621</v>
      </c>
      <c r="J2662" s="33">
        <v>39301</v>
      </c>
      <c r="K2662" s="33" t="s">
        <v>2538</v>
      </c>
      <c r="L2662" s="33" t="s">
        <v>2539</v>
      </c>
      <c r="M2662" s="33" t="s">
        <v>21</v>
      </c>
      <c r="N2662" s="33" t="s">
        <v>28335</v>
      </c>
      <c r="O2662" s="33" t="s">
        <v>372</v>
      </c>
      <c r="P2662" s="33" t="s">
        <v>30089</v>
      </c>
      <c r="Q2662" s="42" t="s">
        <v>28336</v>
      </c>
      <c r="R2662" s="33" t="s">
        <v>512</v>
      </c>
      <c r="S2662" s="33" t="s">
        <v>12</v>
      </c>
      <c r="T2662" s="36" t="s">
        <v>29425</v>
      </c>
      <c r="U2662" s="36" t="s">
        <v>26572</v>
      </c>
      <c r="V2662" s="36" t="s">
        <v>26573</v>
      </c>
      <c r="W2662" s="36" t="s">
        <v>94</v>
      </c>
      <c r="X2662" s="33">
        <v>2838</v>
      </c>
      <c r="Z2662" s="33" t="s">
        <v>42968</v>
      </c>
      <c r="AA2662" s="33">
        <v>5005</v>
      </c>
    </row>
    <row r="2663" spans="1:43" ht="12" customHeight="1" x14ac:dyDescent="0.15">
      <c r="A2663" s="33" t="s">
        <v>28328</v>
      </c>
      <c r="B2663" s="33">
        <v>54</v>
      </c>
      <c r="C2663" s="33" t="s">
        <v>14</v>
      </c>
      <c r="D2663" s="33" t="s">
        <v>31</v>
      </c>
      <c r="E2663" s="33" t="s">
        <v>29649</v>
      </c>
      <c r="F2663" s="67">
        <v>42951</v>
      </c>
      <c r="G2663" s="33" t="s">
        <v>28329</v>
      </c>
      <c r="H2663" s="33" t="s">
        <v>3135</v>
      </c>
      <c r="I2663" s="33" t="s">
        <v>376</v>
      </c>
      <c r="J2663" s="33">
        <v>16313</v>
      </c>
      <c r="K2663" s="33" t="s">
        <v>5481</v>
      </c>
      <c r="L2663" s="33" t="s">
        <v>28330</v>
      </c>
      <c r="M2663" s="33" t="s">
        <v>21</v>
      </c>
      <c r="N2663" s="33" t="s">
        <v>28331</v>
      </c>
      <c r="O2663" s="33" t="s">
        <v>372</v>
      </c>
      <c r="P2663" s="33" t="s">
        <v>30089</v>
      </c>
      <c r="Q2663" s="42" t="s">
        <v>28332</v>
      </c>
      <c r="R2663" s="33" t="s">
        <v>94</v>
      </c>
      <c r="S2663" s="33" t="s">
        <v>22</v>
      </c>
      <c r="T2663" s="36" t="s">
        <v>26781</v>
      </c>
      <c r="U2663" s="36" t="s">
        <v>26570</v>
      </c>
      <c r="V2663" s="36" t="s">
        <v>26573</v>
      </c>
      <c r="W2663" s="36" t="s">
        <v>94</v>
      </c>
      <c r="X2663" s="33">
        <v>2847</v>
      </c>
      <c r="Z2663" s="33" t="s">
        <v>42967</v>
      </c>
      <c r="AA2663" s="33">
        <v>5002</v>
      </c>
    </row>
    <row r="2664" spans="1:43" ht="12" customHeight="1" x14ac:dyDescent="0.15">
      <c r="A2664" s="33" t="s">
        <v>30399</v>
      </c>
      <c r="B2664" s="33">
        <v>53</v>
      </c>
      <c r="C2664" s="33" t="s">
        <v>14</v>
      </c>
      <c r="D2664" s="33" t="s">
        <v>31</v>
      </c>
      <c r="F2664" s="67">
        <v>42951</v>
      </c>
      <c r="G2664" s="33" t="s">
        <v>28815</v>
      </c>
      <c r="H2664" s="33" t="s">
        <v>92</v>
      </c>
      <c r="I2664" s="33" t="s">
        <v>39</v>
      </c>
      <c r="J2664" s="33">
        <v>90015</v>
      </c>
      <c r="K2664" s="33" t="s">
        <v>92</v>
      </c>
      <c r="L2664" s="33" t="s">
        <v>93</v>
      </c>
      <c r="M2664" s="33" t="s">
        <v>21</v>
      </c>
      <c r="N2664" s="33" t="s">
        <v>28350</v>
      </c>
      <c r="O2664" s="33" t="s">
        <v>372</v>
      </c>
      <c r="P2664" s="33" t="s">
        <v>30089</v>
      </c>
      <c r="Q2664" s="42" t="s">
        <v>28351</v>
      </c>
      <c r="R2664" s="33" t="s">
        <v>94</v>
      </c>
      <c r="S2664" s="33" t="s">
        <v>22</v>
      </c>
      <c r="T2664" s="36" t="s">
        <v>26781</v>
      </c>
      <c r="U2664" s="36" t="s">
        <v>26570</v>
      </c>
      <c r="V2664" s="36" t="s">
        <v>26573</v>
      </c>
      <c r="Z2664" s="33" t="s">
        <v>42966</v>
      </c>
      <c r="AA2664" s="33">
        <v>5003</v>
      </c>
    </row>
    <row r="2665" spans="1:43" ht="12" customHeight="1" x14ac:dyDescent="0.15">
      <c r="A2665" s="33" t="s">
        <v>28321</v>
      </c>
      <c r="B2665" s="33">
        <v>47</v>
      </c>
      <c r="C2665" s="33" t="s">
        <v>14</v>
      </c>
      <c r="D2665" s="33" t="s">
        <v>79</v>
      </c>
      <c r="E2665" s="42" t="s">
        <v>30391</v>
      </c>
      <c r="F2665" s="67">
        <v>42951</v>
      </c>
      <c r="G2665" s="33" t="s">
        <v>28836</v>
      </c>
      <c r="H2665" s="33" t="s">
        <v>143</v>
      </c>
      <c r="I2665" s="33" t="s">
        <v>39</v>
      </c>
      <c r="J2665" s="33">
        <v>92101</v>
      </c>
      <c r="K2665" s="33" t="s">
        <v>143</v>
      </c>
      <c r="L2665" s="33" t="s">
        <v>1970</v>
      </c>
      <c r="M2665" s="33" t="s">
        <v>21</v>
      </c>
      <c r="N2665" s="33" t="s">
        <v>28322</v>
      </c>
      <c r="O2665" s="33" t="s">
        <v>372</v>
      </c>
      <c r="P2665" s="33" t="s">
        <v>30089</v>
      </c>
      <c r="Q2665" s="42" t="s">
        <v>28323</v>
      </c>
      <c r="R2665" s="33" t="s">
        <v>94</v>
      </c>
      <c r="S2665" s="33" t="s">
        <v>22</v>
      </c>
      <c r="T2665" s="36" t="s">
        <v>26781</v>
      </c>
      <c r="U2665" s="36" t="s">
        <v>26570</v>
      </c>
      <c r="V2665" s="36" t="s">
        <v>26573</v>
      </c>
      <c r="W2665" s="36" t="s">
        <v>94</v>
      </c>
      <c r="X2665" s="33">
        <v>2837</v>
      </c>
      <c r="Z2665" s="33" t="s">
        <v>42966</v>
      </c>
      <c r="AA2665" s="33">
        <v>5000</v>
      </c>
    </row>
    <row r="2666" spans="1:43" ht="12" customHeight="1" x14ac:dyDescent="0.15">
      <c r="A2666" s="33" t="s">
        <v>28343</v>
      </c>
      <c r="B2666" s="33">
        <v>33</v>
      </c>
      <c r="C2666" s="33" t="s">
        <v>14</v>
      </c>
      <c r="D2666" s="33" t="s">
        <v>31</v>
      </c>
      <c r="E2666" s="42" t="s">
        <v>28344</v>
      </c>
      <c r="F2666" s="67">
        <v>42951</v>
      </c>
      <c r="G2666" s="33" t="s">
        <v>28345</v>
      </c>
      <c r="H2666" s="33" t="s">
        <v>28346</v>
      </c>
      <c r="I2666" s="33" t="s">
        <v>67</v>
      </c>
      <c r="J2666" s="33">
        <v>79052</v>
      </c>
      <c r="K2666" s="33" t="s">
        <v>28347</v>
      </c>
      <c r="L2666" s="33" t="s">
        <v>36545</v>
      </c>
      <c r="M2666" s="33" t="s">
        <v>21</v>
      </c>
      <c r="N2666" s="33" t="s">
        <v>28348</v>
      </c>
      <c r="O2666" s="33" t="s">
        <v>372</v>
      </c>
      <c r="P2666" s="33" t="s">
        <v>30089</v>
      </c>
      <c r="Q2666" s="42" t="s">
        <v>28349</v>
      </c>
      <c r="R2666" s="33" t="s">
        <v>94</v>
      </c>
      <c r="S2666" s="33" t="s">
        <v>22</v>
      </c>
      <c r="T2666" s="36" t="s">
        <v>26774</v>
      </c>
      <c r="U2666" s="36" t="s">
        <v>26575</v>
      </c>
      <c r="V2666" s="36" t="s">
        <v>26573</v>
      </c>
      <c r="Y2666" s="33" t="s">
        <v>42476</v>
      </c>
      <c r="Z2666" s="33" t="s">
        <v>42967</v>
      </c>
      <c r="AA2666" s="33">
        <v>5004</v>
      </c>
    </row>
    <row r="2667" spans="1:43" ht="12" customHeight="1" x14ac:dyDescent="0.15">
      <c r="A2667" s="33" t="s">
        <v>28324</v>
      </c>
      <c r="B2667" s="33">
        <v>36</v>
      </c>
      <c r="C2667" s="33" t="s">
        <v>103</v>
      </c>
      <c r="D2667" s="33" t="s">
        <v>31</v>
      </c>
      <c r="F2667" s="67">
        <v>42951</v>
      </c>
      <c r="G2667" s="33" t="s">
        <v>28817</v>
      </c>
      <c r="H2667" s="33" t="s">
        <v>28325</v>
      </c>
      <c r="I2667" s="33" t="s">
        <v>51</v>
      </c>
      <c r="J2667" s="33">
        <v>48039</v>
      </c>
      <c r="K2667" s="33" t="s">
        <v>20220</v>
      </c>
      <c r="L2667" s="33" t="s">
        <v>28326</v>
      </c>
      <c r="M2667" s="33" t="s">
        <v>21</v>
      </c>
      <c r="N2667" s="33" t="s">
        <v>30823</v>
      </c>
      <c r="O2667" s="33" t="s">
        <v>372</v>
      </c>
      <c r="P2667" s="33" t="s">
        <v>30089</v>
      </c>
      <c r="Q2667" s="42" t="s">
        <v>28327</v>
      </c>
      <c r="R2667" s="33" t="s">
        <v>23</v>
      </c>
      <c r="S2667" s="33" t="s">
        <v>22</v>
      </c>
      <c r="T2667" s="36" t="s">
        <v>26781</v>
      </c>
      <c r="U2667" s="36" t="s">
        <v>26570</v>
      </c>
      <c r="V2667" s="36" t="s">
        <v>26573</v>
      </c>
      <c r="W2667" s="36" t="s">
        <v>94</v>
      </c>
      <c r="X2667" s="33">
        <v>2845</v>
      </c>
      <c r="Z2667" s="33" t="s">
        <v>42968</v>
      </c>
      <c r="AA2667" s="33">
        <v>5001</v>
      </c>
    </row>
    <row r="2668" spans="1:43" ht="12" customHeight="1" x14ac:dyDescent="0.15">
      <c r="A2668" s="33" t="s">
        <v>28317</v>
      </c>
      <c r="B2668" s="33">
        <v>33</v>
      </c>
      <c r="C2668" s="33" t="s">
        <v>14</v>
      </c>
      <c r="D2668" s="33" t="s">
        <v>79</v>
      </c>
      <c r="F2668" s="67">
        <v>42951</v>
      </c>
      <c r="G2668" s="33" t="s">
        <v>28318</v>
      </c>
      <c r="H2668" s="33" t="s">
        <v>1014</v>
      </c>
      <c r="I2668" s="33" t="s">
        <v>26</v>
      </c>
      <c r="J2668" s="33">
        <v>29575</v>
      </c>
      <c r="K2668" s="33" t="s">
        <v>1015</v>
      </c>
      <c r="L2668" s="33" t="s">
        <v>19895</v>
      </c>
      <c r="M2668" s="33" t="s">
        <v>21</v>
      </c>
      <c r="N2668" s="33" t="s">
        <v>28319</v>
      </c>
      <c r="O2668" s="33" t="s">
        <v>372</v>
      </c>
      <c r="P2668" s="33" t="s">
        <v>30089</v>
      </c>
      <c r="Q2668" s="42" t="s">
        <v>28320</v>
      </c>
      <c r="R2668" s="33" t="s">
        <v>512</v>
      </c>
      <c r="S2668" s="33" t="s">
        <v>22</v>
      </c>
      <c r="T2668" s="36" t="s">
        <v>26781</v>
      </c>
      <c r="U2668" s="36" t="s">
        <v>26572</v>
      </c>
      <c r="V2668" s="36" t="s">
        <v>26573</v>
      </c>
      <c r="W2668" s="36" t="s">
        <v>94</v>
      </c>
      <c r="X2668" s="33">
        <v>2835</v>
      </c>
      <c r="Z2668" s="33" t="s">
        <v>42968</v>
      </c>
      <c r="AA2668" s="33">
        <v>4998</v>
      </c>
      <c r="AQ2668" s="42"/>
    </row>
    <row r="2669" spans="1:43" ht="12" customHeight="1" x14ac:dyDescent="0.15">
      <c r="A2669" s="33" t="s">
        <v>28352</v>
      </c>
      <c r="B2669" s="33">
        <v>57</v>
      </c>
      <c r="C2669" s="33" t="s">
        <v>14</v>
      </c>
      <c r="D2669" s="33" t="s">
        <v>31</v>
      </c>
      <c r="E2669" s="33" t="s">
        <v>29650</v>
      </c>
      <c r="F2669" s="67">
        <v>42950</v>
      </c>
      <c r="G2669" s="33" t="s">
        <v>28353</v>
      </c>
      <c r="H2669" s="33" t="s">
        <v>28354</v>
      </c>
      <c r="I2669" s="33" t="s">
        <v>63</v>
      </c>
      <c r="J2669" s="33">
        <v>45801</v>
      </c>
      <c r="K2669" s="33" t="s">
        <v>1680</v>
      </c>
      <c r="L2669" s="33" t="s">
        <v>32213</v>
      </c>
      <c r="M2669" s="33" t="s">
        <v>21</v>
      </c>
      <c r="N2669" s="33" t="s">
        <v>28355</v>
      </c>
      <c r="O2669" s="33" t="s">
        <v>372</v>
      </c>
      <c r="P2669" s="33" t="s">
        <v>30089</v>
      </c>
      <c r="Q2669" s="42" t="s">
        <v>28356</v>
      </c>
      <c r="R2669" s="33" t="s">
        <v>94</v>
      </c>
      <c r="S2669" s="33" t="s">
        <v>22</v>
      </c>
      <c r="T2669" s="36" t="s">
        <v>26781</v>
      </c>
      <c r="U2669" s="36" t="s">
        <v>26572</v>
      </c>
      <c r="V2669" s="36" t="s">
        <v>26573</v>
      </c>
      <c r="W2669" s="36" t="s">
        <v>94</v>
      </c>
      <c r="X2669" s="33">
        <v>2846</v>
      </c>
      <c r="Z2669" s="33" t="s">
        <v>42966</v>
      </c>
      <c r="AA2669" s="33">
        <v>4997</v>
      </c>
    </row>
    <row r="2670" spans="1:43" ht="12" customHeight="1" x14ac:dyDescent="0.15">
      <c r="A2670" s="33" t="s">
        <v>28381</v>
      </c>
      <c r="B2670" s="33">
        <v>15</v>
      </c>
      <c r="C2670" s="33" t="s">
        <v>14</v>
      </c>
      <c r="D2670" s="33" t="s">
        <v>79</v>
      </c>
      <c r="F2670" s="67">
        <v>42949</v>
      </c>
      <c r="G2670" s="33" t="s">
        <v>28382</v>
      </c>
      <c r="H2670" s="33" t="s">
        <v>25537</v>
      </c>
      <c r="I2670" s="33" t="s">
        <v>198</v>
      </c>
      <c r="J2670" s="33">
        <v>46406</v>
      </c>
      <c r="K2670" s="33" t="s">
        <v>1179</v>
      </c>
      <c r="L2670" s="33" t="s">
        <v>25913</v>
      </c>
      <c r="M2670" s="33" t="s">
        <v>21</v>
      </c>
      <c r="N2670" s="33" t="s">
        <v>28383</v>
      </c>
      <c r="O2670" s="33" t="s">
        <v>372</v>
      </c>
      <c r="P2670" s="33" t="s">
        <v>30089</v>
      </c>
      <c r="Q2670" s="33" t="s">
        <v>28384</v>
      </c>
      <c r="R2670" s="33" t="s">
        <v>94</v>
      </c>
      <c r="S2670" s="33" t="s">
        <v>22</v>
      </c>
      <c r="T2670" s="36" t="s">
        <v>26781</v>
      </c>
      <c r="U2670" s="36" t="s">
        <v>26572</v>
      </c>
      <c r="V2670" s="36" t="s">
        <v>26571</v>
      </c>
      <c r="X2670" s="33">
        <v>3060</v>
      </c>
      <c r="Z2670" s="33" t="s">
        <v>42966</v>
      </c>
      <c r="AA2670" s="33">
        <v>4994</v>
      </c>
    </row>
    <row r="2671" spans="1:43" ht="12" customHeight="1" x14ac:dyDescent="0.15">
      <c r="A2671" s="33" t="s">
        <v>28365</v>
      </c>
      <c r="B2671" s="33">
        <v>45</v>
      </c>
      <c r="C2671" s="33" t="s">
        <v>14</v>
      </c>
      <c r="D2671" s="33" t="s">
        <v>42</v>
      </c>
      <c r="E2671" s="42" t="s">
        <v>28366</v>
      </c>
      <c r="F2671" s="67">
        <v>42949</v>
      </c>
      <c r="G2671" s="33" t="s">
        <v>28845</v>
      </c>
      <c r="H2671" s="33" t="s">
        <v>818</v>
      </c>
      <c r="I2671" s="33" t="s">
        <v>39</v>
      </c>
      <c r="J2671" s="33">
        <v>94806</v>
      </c>
      <c r="K2671" s="33" t="s">
        <v>4146</v>
      </c>
      <c r="L2671" s="33" t="s">
        <v>3146</v>
      </c>
      <c r="M2671" s="33" t="s">
        <v>21</v>
      </c>
      <c r="N2671" s="33" t="s">
        <v>28367</v>
      </c>
      <c r="O2671" s="33" t="s">
        <v>372</v>
      </c>
      <c r="P2671" s="33" t="s">
        <v>30089</v>
      </c>
      <c r="Q2671" s="42" t="s">
        <v>28368</v>
      </c>
      <c r="R2671" s="33" t="s">
        <v>94</v>
      </c>
      <c r="S2671" s="33" t="s">
        <v>22</v>
      </c>
      <c r="T2671" s="36" t="s">
        <v>26593</v>
      </c>
      <c r="U2671" s="36" t="s">
        <v>26572</v>
      </c>
      <c r="V2671" s="36" t="s">
        <v>26571</v>
      </c>
      <c r="W2671" s="36" t="s">
        <v>94</v>
      </c>
      <c r="X2671" s="33">
        <v>2833</v>
      </c>
      <c r="Z2671" s="33" t="s">
        <v>42966</v>
      </c>
      <c r="AA2671" s="33">
        <v>4995</v>
      </c>
    </row>
    <row r="2672" spans="1:43" ht="12" customHeight="1" x14ac:dyDescent="0.15">
      <c r="A2672" s="33" t="s">
        <v>28357</v>
      </c>
      <c r="B2672" s="33">
        <v>29</v>
      </c>
      <c r="C2672" s="33" t="s">
        <v>14</v>
      </c>
      <c r="D2672" s="33" t="s">
        <v>79</v>
      </c>
      <c r="E2672" s="42" t="s">
        <v>28358</v>
      </c>
      <c r="F2672" s="67">
        <v>42949</v>
      </c>
      <c r="G2672" s="33" t="s">
        <v>28359</v>
      </c>
      <c r="H2672" s="33" t="s">
        <v>28360</v>
      </c>
      <c r="I2672" s="33" t="s">
        <v>19</v>
      </c>
      <c r="J2672" s="33">
        <v>71019</v>
      </c>
      <c r="K2672" s="33" t="s">
        <v>28361</v>
      </c>
      <c r="L2672" s="33" t="s">
        <v>28362</v>
      </c>
      <c r="M2672" s="33" t="s">
        <v>21</v>
      </c>
      <c r="N2672" s="33" t="s">
        <v>28363</v>
      </c>
      <c r="O2672" s="33" t="s">
        <v>372</v>
      </c>
      <c r="P2672" s="33" t="s">
        <v>30089</v>
      </c>
      <c r="Q2672" s="42" t="s">
        <v>28364</v>
      </c>
      <c r="R2672" s="33" t="s">
        <v>512</v>
      </c>
      <c r="S2672" s="33" t="s">
        <v>22</v>
      </c>
      <c r="T2672" s="36" t="s">
        <v>26781</v>
      </c>
      <c r="U2672" s="36" t="s">
        <v>26572</v>
      </c>
      <c r="V2672" s="36" t="s">
        <v>26573</v>
      </c>
      <c r="W2672" s="36" t="s">
        <v>94</v>
      </c>
      <c r="X2672" s="33">
        <v>2829</v>
      </c>
      <c r="Z2672" s="33" t="s">
        <v>42967</v>
      </c>
      <c r="AA2672" s="33">
        <v>4992</v>
      </c>
    </row>
    <row r="2673" spans="1:46" ht="12" customHeight="1" x14ac:dyDescent="0.15">
      <c r="A2673" s="33" t="s">
        <v>28369</v>
      </c>
      <c r="B2673" s="33">
        <v>27</v>
      </c>
      <c r="C2673" s="33" t="s">
        <v>14</v>
      </c>
      <c r="D2673" s="33" t="s">
        <v>79</v>
      </c>
      <c r="E2673" s="42" t="s">
        <v>28370</v>
      </c>
      <c r="F2673" s="67">
        <v>42949</v>
      </c>
      <c r="G2673" s="33" t="s">
        <v>28371</v>
      </c>
      <c r="H2673" s="33" t="s">
        <v>974</v>
      </c>
      <c r="I2673" s="33" t="s">
        <v>160</v>
      </c>
      <c r="J2673" s="33">
        <v>30032</v>
      </c>
      <c r="K2673" s="33" t="s">
        <v>1218</v>
      </c>
      <c r="L2673" s="33" t="s">
        <v>28372</v>
      </c>
      <c r="M2673" s="33" t="s">
        <v>21</v>
      </c>
      <c r="N2673" s="33" t="s">
        <v>28373</v>
      </c>
      <c r="O2673" s="33" t="s">
        <v>372</v>
      </c>
      <c r="P2673" s="33" t="s">
        <v>30089</v>
      </c>
      <c r="Q2673" s="42" t="s">
        <v>28374</v>
      </c>
      <c r="R2673" s="33" t="s">
        <v>512</v>
      </c>
      <c r="S2673" s="33" t="s">
        <v>22</v>
      </c>
      <c r="T2673" s="36" t="s">
        <v>26781</v>
      </c>
      <c r="U2673" s="36" t="s">
        <v>26572</v>
      </c>
      <c r="V2673" s="36" t="s">
        <v>26573</v>
      </c>
      <c r="W2673" s="36" t="s">
        <v>94</v>
      </c>
      <c r="X2673" s="33">
        <v>2834</v>
      </c>
      <c r="Z2673" s="33" t="s">
        <v>42968</v>
      </c>
      <c r="AA2673" s="33">
        <v>4993</v>
      </c>
    </row>
    <row r="2674" spans="1:46" ht="12" customHeight="1" x14ac:dyDescent="0.15">
      <c r="A2674" s="33" t="s">
        <v>28375</v>
      </c>
      <c r="B2674" s="33">
        <v>28</v>
      </c>
      <c r="C2674" s="33" t="s">
        <v>14</v>
      </c>
      <c r="D2674" s="33" t="s">
        <v>31</v>
      </c>
      <c r="E2674" s="42" t="s">
        <v>28376</v>
      </c>
      <c r="F2674" s="67">
        <v>42949</v>
      </c>
      <c r="G2674" s="33" t="s">
        <v>28377</v>
      </c>
      <c r="H2674" s="33" t="s">
        <v>28378</v>
      </c>
      <c r="I2674" s="33" t="s">
        <v>139</v>
      </c>
      <c r="J2674" s="33">
        <v>26591</v>
      </c>
      <c r="K2674" s="33" t="s">
        <v>392</v>
      </c>
      <c r="L2674" s="33" t="s">
        <v>12924</v>
      </c>
      <c r="M2674" s="33" t="s">
        <v>21</v>
      </c>
      <c r="N2674" s="33" t="s">
        <v>28379</v>
      </c>
      <c r="O2674" s="33" t="s">
        <v>372</v>
      </c>
      <c r="P2674" s="33" t="s">
        <v>94</v>
      </c>
      <c r="Q2674" s="42" t="s">
        <v>28380</v>
      </c>
      <c r="R2674" s="33" t="s">
        <v>94</v>
      </c>
      <c r="S2674" s="33" t="s">
        <v>351</v>
      </c>
      <c r="T2674" s="36" t="s">
        <v>26867</v>
      </c>
      <c r="U2674" s="36" t="s">
        <v>26570</v>
      </c>
      <c r="V2674" s="36" t="s">
        <v>26571</v>
      </c>
      <c r="W2674" s="36" t="s">
        <v>94</v>
      </c>
      <c r="X2674" s="33">
        <v>2854</v>
      </c>
      <c r="Y2674" s="86"/>
      <c r="Z2674" s="33" t="s">
        <v>42967</v>
      </c>
      <c r="AA2674" s="33">
        <v>4996</v>
      </c>
    </row>
    <row r="2675" spans="1:46" ht="12" customHeight="1" x14ac:dyDescent="0.15">
      <c r="A2675" s="33" t="s">
        <v>28386</v>
      </c>
      <c r="B2675" s="33">
        <v>39</v>
      </c>
      <c r="C2675" s="33" t="s">
        <v>14</v>
      </c>
      <c r="D2675" s="33" t="s">
        <v>31</v>
      </c>
      <c r="F2675" s="67">
        <v>42948</v>
      </c>
      <c r="G2675" s="33" t="s">
        <v>28846</v>
      </c>
      <c r="H2675" s="33" t="s">
        <v>1632</v>
      </c>
      <c r="I2675" s="33" t="s">
        <v>39</v>
      </c>
      <c r="J2675" s="33">
        <v>93292</v>
      </c>
      <c r="K2675" s="33" t="s">
        <v>1088</v>
      </c>
      <c r="L2675" s="33" t="s">
        <v>1634</v>
      </c>
      <c r="M2675" s="33" t="s">
        <v>21</v>
      </c>
      <c r="N2675" s="33" t="s">
        <v>28387</v>
      </c>
      <c r="O2675" s="33" t="s">
        <v>372</v>
      </c>
      <c r="P2675" s="33" t="s">
        <v>30089</v>
      </c>
      <c r="Q2675" s="42" t="s">
        <v>28388</v>
      </c>
      <c r="R2675" s="33" t="s">
        <v>94</v>
      </c>
      <c r="S2675" s="33" t="s">
        <v>22</v>
      </c>
      <c r="T2675" s="36" t="s">
        <v>26781</v>
      </c>
      <c r="U2675" s="36" t="s">
        <v>26572</v>
      </c>
      <c r="V2675" s="36" t="s">
        <v>26574</v>
      </c>
      <c r="W2675" s="36" t="s">
        <v>94</v>
      </c>
      <c r="X2675" s="33">
        <v>2827</v>
      </c>
      <c r="Z2675" s="33" t="s">
        <v>42968</v>
      </c>
      <c r="AA2675" s="33">
        <v>4986</v>
      </c>
    </row>
    <row r="2676" spans="1:46" ht="12" customHeight="1" x14ac:dyDescent="0.15">
      <c r="A2676" s="33" t="s">
        <v>28389</v>
      </c>
      <c r="B2676" s="33">
        <v>42</v>
      </c>
      <c r="C2676" s="33" t="s">
        <v>14</v>
      </c>
      <c r="D2676" s="33" t="s">
        <v>31</v>
      </c>
      <c r="F2676" s="67">
        <v>42948</v>
      </c>
      <c r="G2676" s="33" t="s">
        <v>28390</v>
      </c>
      <c r="H2676" s="33" t="s">
        <v>16756</v>
      </c>
      <c r="I2676" s="33" t="s">
        <v>338</v>
      </c>
      <c r="J2676" s="33">
        <v>27030</v>
      </c>
      <c r="K2676" s="33" t="s">
        <v>9321</v>
      </c>
      <c r="L2676" s="33" t="s">
        <v>9322</v>
      </c>
      <c r="M2676" s="33" t="s">
        <v>21</v>
      </c>
      <c r="N2676" s="33" t="s">
        <v>28391</v>
      </c>
      <c r="O2676" s="33" t="s">
        <v>372</v>
      </c>
      <c r="P2676" s="33" t="s">
        <v>30089</v>
      </c>
      <c r="Q2676" s="42" t="s">
        <v>28392</v>
      </c>
      <c r="R2676" s="33" t="s">
        <v>94</v>
      </c>
      <c r="S2676" s="33" t="s">
        <v>22</v>
      </c>
      <c r="T2676" s="36" t="s">
        <v>26774</v>
      </c>
      <c r="U2676" s="36" t="s">
        <v>26570</v>
      </c>
      <c r="V2676" s="36" t="s">
        <v>26573</v>
      </c>
      <c r="W2676" s="36" t="s">
        <v>94</v>
      </c>
      <c r="X2676" s="33">
        <v>2830</v>
      </c>
      <c r="Z2676" s="33" t="s">
        <v>42967</v>
      </c>
      <c r="AA2676" s="33">
        <v>4989</v>
      </c>
    </row>
    <row r="2677" spans="1:46" ht="12" customHeight="1" x14ac:dyDescent="0.15">
      <c r="A2677" s="33" t="s">
        <v>28399</v>
      </c>
      <c r="B2677" s="33">
        <v>25</v>
      </c>
      <c r="C2677" s="33" t="s">
        <v>14</v>
      </c>
      <c r="D2677" s="33" t="s">
        <v>42</v>
      </c>
      <c r="F2677" s="67">
        <v>42948</v>
      </c>
      <c r="G2677" s="33" t="s">
        <v>28811</v>
      </c>
      <c r="H2677" s="33" t="s">
        <v>607</v>
      </c>
      <c r="I2677" s="33" t="s">
        <v>250</v>
      </c>
      <c r="J2677" s="33">
        <v>89103</v>
      </c>
      <c r="K2677" s="33" t="s">
        <v>527</v>
      </c>
      <c r="L2677" s="33" t="s">
        <v>528</v>
      </c>
      <c r="M2677" s="33" t="s">
        <v>21</v>
      </c>
      <c r="N2677" s="33" t="s">
        <v>28400</v>
      </c>
      <c r="O2677" s="33" t="s">
        <v>372</v>
      </c>
      <c r="P2677" s="33" t="s">
        <v>30089</v>
      </c>
      <c r="Q2677" s="42" t="s">
        <v>28401</v>
      </c>
      <c r="R2677" s="33" t="s">
        <v>512</v>
      </c>
      <c r="S2677" s="33" t="s">
        <v>22</v>
      </c>
      <c r="T2677" s="36" t="s">
        <v>26781</v>
      </c>
      <c r="U2677" s="36" t="s">
        <v>26572</v>
      </c>
      <c r="V2677" s="36" t="s">
        <v>26573</v>
      </c>
      <c r="W2677" s="36" t="s">
        <v>512</v>
      </c>
      <c r="X2677" s="33">
        <v>2843</v>
      </c>
      <c r="Z2677" s="33" t="s">
        <v>42966</v>
      </c>
      <c r="AA2677" s="33">
        <v>4988</v>
      </c>
    </row>
    <row r="2678" spans="1:46" ht="12" customHeight="1" x14ac:dyDescent="0.15">
      <c r="A2678" s="33" t="s">
        <v>28407</v>
      </c>
      <c r="B2678" s="33">
        <v>35</v>
      </c>
      <c r="C2678" s="33" t="s">
        <v>14</v>
      </c>
      <c r="D2678" s="33" t="s">
        <v>79</v>
      </c>
      <c r="F2678" s="67">
        <v>42948</v>
      </c>
      <c r="G2678" s="33" t="s">
        <v>28408</v>
      </c>
      <c r="H2678" s="33" t="s">
        <v>13120</v>
      </c>
      <c r="I2678" s="33" t="s">
        <v>46</v>
      </c>
      <c r="J2678" s="33">
        <v>21228</v>
      </c>
      <c r="K2678" s="33" t="s">
        <v>1487</v>
      </c>
      <c r="L2678" s="33" t="s">
        <v>212</v>
      </c>
      <c r="M2678" s="33" t="s">
        <v>21</v>
      </c>
      <c r="N2678" s="33" t="s">
        <v>30348</v>
      </c>
      <c r="O2678" s="33" t="s">
        <v>372</v>
      </c>
      <c r="P2678" s="33" t="s">
        <v>30089</v>
      </c>
      <c r="Q2678" s="42" t="s">
        <v>30349</v>
      </c>
      <c r="R2678" s="33" t="s">
        <v>94</v>
      </c>
      <c r="S2678" s="33" t="s">
        <v>351</v>
      </c>
      <c r="T2678" s="36" t="s">
        <v>26867</v>
      </c>
      <c r="U2678" s="36" t="s">
        <v>26570</v>
      </c>
      <c r="V2678" s="36" t="s">
        <v>26571</v>
      </c>
      <c r="Y2678" s="33" t="s">
        <v>42476</v>
      </c>
      <c r="Z2678" s="33" t="s">
        <v>42968</v>
      </c>
      <c r="AA2678" s="33">
        <v>4991</v>
      </c>
    </row>
    <row r="2679" spans="1:46" ht="12" customHeight="1" x14ac:dyDescent="0.15">
      <c r="A2679" s="33" t="s">
        <v>28393</v>
      </c>
      <c r="B2679" s="33">
        <v>33</v>
      </c>
      <c r="C2679" s="33" t="s">
        <v>14</v>
      </c>
      <c r="D2679" s="33" t="s">
        <v>42</v>
      </c>
      <c r="E2679" s="42" t="s">
        <v>28394</v>
      </c>
      <c r="F2679" s="67">
        <v>42948</v>
      </c>
      <c r="G2679" s="33" t="s">
        <v>28395</v>
      </c>
      <c r="H2679" s="33" t="s">
        <v>28396</v>
      </c>
      <c r="I2679" s="33" t="s">
        <v>39</v>
      </c>
      <c r="J2679" s="33">
        <v>95962</v>
      </c>
      <c r="K2679" s="33" t="s">
        <v>1245</v>
      </c>
      <c r="L2679" s="33" t="s">
        <v>1246</v>
      </c>
      <c r="M2679" s="33" t="s">
        <v>21</v>
      </c>
      <c r="N2679" s="33" t="s">
        <v>28397</v>
      </c>
      <c r="O2679" s="33" t="s">
        <v>372</v>
      </c>
      <c r="P2679" s="33" t="s">
        <v>30089</v>
      </c>
      <c r="Q2679" s="42" t="s">
        <v>28398</v>
      </c>
      <c r="R2679" s="33" t="s">
        <v>94</v>
      </c>
      <c r="S2679" s="33" t="s">
        <v>22</v>
      </c>
      <c r="T2679" s="36" t="s">
        <v>26781</v>
      </c>
      <c r="U2679" s="36" t="s">
        <v>26572</v>
      </c>
      <c r="V2679" s="36" t="s">
        <v>26573</v>
      </c>
      <c r="W2679" s="36" t="s">
        <v>94</v>
      </c>
      <c r="X2679" s="33">
        <v>2832</v>
      </c>
      <c r="Z2679" s="33" t="s">
        <v>42967</v>
      </c>
      <c r="AA2679" s="33">
        <v>4987</v>
      </c>
    </row>
    <row r="2680" spans="1:46" ht="12" customHeight="1" x14ac:dyDescent="0.15">
      <c r="A2680" s="33" t="s">
        <v>28402</v>
      </c>
      <c r="B2680" s="33">
        <v>37</v>
      </c>
      <c r="C2680" s="33" t="s">
        <v>14</v>
      </c>
      <c r="D2680" s="33" t="s">
        <v>79</v>
      </c>
      <c r="E2680" s="42" t="s">
        <v>28403</v>
      </c>
      <c r="F2680" s="67">
        <v>42948</v>
      </c>
      <c r="G2680" s="33" t="s">
        <v>28404</v>
      </c>
      <c r="H2680" s="33" t="s">
        <v>743</v>
      </c>
      <c r="I2680" s="33" t="s">
        <v>67</v>
      </c>
      <c r="J2680" s="33">
        <v>76708</v>
      </c>
      <c r="K2680" s="33" t="s">
        <v>744</v>
      </c>
      <c r="L2680" s="33" t="s">
        <v>745</v>
      </c>
      <c r="M2680" s="33" t="s">
        <v>21</v>
      </c>
      <c r="N2680" s="33" t="s">
        <v>28405</v>
      </c>
      <c r="O2680" s="33" t="s">
        <v>372</v>
      </c>
      <c r="P2680" s="33" t="s">
        <v>30089</v>
      </c>
      <c r="Q2680" s="42" t="s">
        <v>28406</v>
      </c>
      <c r="R2680" s="33" t="s">
        <v>94</v>
      </c>
      <c r="S2680" s="33" t="s">
        <v>351</v>
      </c>
      <c r="T2680" s="36" t="s">
        <v>26867</v>
      </c>
      <c r="U2680" s="36" t="s">
        <v>26572</v>
      </c>
      <c r="V2680" s="36" t="s">
        <v>26571</v>
      </c>
      <c r="W2680" s="36" t="s">
        <v>94</v>
      </c>
      <c r="X2680" s="33">
        <v>2825</v>
      </c>
      <c r="Z2680" s="33" t="s">
        <v>42968</v>
      </c>
      <c r="AA2680" s="33">
        <v>4990</v>
      </c>
    </row>
    <row r="2681" spans="1:46" ht="12" customHeight="1" x14ac:dyDescent="0.15">
      <c r="A2681" s="33" t="s">
        <v>28409</v>
      </c>
      <c r="B2681" s="33">
        <v>32</v>
      </c>
      <c r="C2681" s="33" t="s">
        <v>14</v>
      </c>
      <c r="D2681" s="33" t="s">
        <v>79</v>
      </c>
      <c r="E2681" s="42" t="s">
        <v>28410</v>
      </c>
      <c r="F2681" s="67">
        <v>42947</v>
      </c>
      <c r="G2681" s="33" t="s">
        <v>28411</v>
      </c>
      <c r="H2681" s="33" t="s">
        <v>1599</v>
      </c>
      <c r="I2681" s="33" t="s">
        <v>395</v>
      </c>
      <c r="J2681" s="33">
        <v>11226</v>
      </c>
      <c r="K2681" s="33" t="s">
        <v>1601</v>
      </c>
      <c r="L2681" s="33" t="s">
        <v>539</v>
      </c>
      <c r="M2681" s="33" t="s">
        <v>4966</v>
      </c>
      <c r="N2681" s="33" t="s">
        <v>28412</v>
      </c>
      <c r="O2681" s="33" t="s">
        <v>372</v>
      </c>
      <c r="P2681" s="33" t="s">
        <v>30089</v>
      </c>
      <c r="Q2681" s="42" t="s">
        <v>28413</v>
      </c>
      <c r="R2681" s="33" t="s">
        <v>512</v>
      </c>
      <c r="S2681" s="33" t="s">
        <v>22</v>
      </c>
      <c r="T2681" s="36" t="s">
        <v>26774</v>
      </c>
      <c r="U2681" s="36" t="s">
        <v>26572</v>
      </c>
      <c r="V2681" s="36" t="s">
        <v>26573</v>
      </c>
      <c r="W2681" s="36" t="s">
        <v>94</v>
      </c>
      <c r="X2681" s="33">
        <v>2815</v>
      </c>
      <c r="Z2681" s="33" t="s">
        <v>42966</v>
      </c>
      <c r="AA2681" s="33">
        <v>4984</v>
      </c>
    </row>
    <row r="2682" spans="1:46" ht="12" customHeight="1" x14ac:dyDescent="0.15">
      <c r="A2682" s="33" t="s">
        <v>28414</v>
      </c>
      <c r="B2682" s="33">
        <v>43</v>
      </c>
      <c r="C2682" s="33" t="s">
        <v>14</v>
      </c>
      <c r="D2682" s="33" t="s">
        <v>31</v>
      </c>
      <c r="E2682" s="42" t="s">
        <v>28415</v>
      </c>
      <c r="F2682" s="67">
        <v>42947</v>
      </c>
      <c r="G2682" s="33" t="s">
        <v>28416</v>
      </c>
      <c r="H2682" s="33" t="s">
        <v>866</v>
      </c>
      <c r="I2682" s="33" t="s">
        <v>178</v>
      </c>
      <c r="J2682" s="33">
        <v>87107</v>
      </c>
      <c r="K2682" s="33" t="s">
        <v>433</v>
      </c>
      <c r="L2682" s="33" t="s">
        <v>4562</v>
      </c>
      <c r="M2682" s="33" t="s">
        <v>21</v>
      </c>
      <c r="N2682" s="33" t="s">
        <v>28417</v>
      </c>
      <c r="O2682" s="33" t="s">
        <v>372</v>
      </c>
      <c r="P2682" s="33" t="s">
        <v>30089</v>
      </c>
      <c r="Q2682" s="42" t="s">
        <v>28418</v>
      </c>
      <c r="R2682" s="33" t="s">
        <v>94</v>
      </c>
      <c r="S2682" s="33" t="s">
        <v>22</v>
      </c>
      <c r="T2682" s="36" t="s">
        <v>26781</v>
      </c>
      <c r="U2682" s="36" t="s">
        <v>26572</v>
      </c>
      <c r="V2682" s="36" t="s">
        <v>26573</v>
      </c>
      <c r="W2682" s="36" t="s">
        <v>512</v>
      </c>
      <c r="X2682" s="33">
        <v>2823</v>
      </c>
      <c r="Z2682" s="33" t="s">
        <v>42968</v>
      </c>
      <c r="AA2682" s="33">
        <v>4982</v>
      </c>
    </row>
    <row r="2683" spans="1:46" ht="12" customHeight="1" x14ac:dyDescent="0.15">
      <c r="A2683" s="33" t="s">
        <v>28419</v>
      </c>
      <c r="B2683" s="33">
        <v>39</v>
      </c>
      <c r="C2683" s="33" t="s">
        <v>14</v>
      </c>
      <c r="D2683" s="33" t="s">
        <v>42</v>
      </c>
      <c r="F2683" s="67">
        <v>42947</v>
      </c>
      <c r="G2683" s="33" t="s">
        <v>28816</v>
      </c>
      <c r="H2683" s="33" t="s">
        <v>13005</v>
      </c>
      <c r="I2683" s="33" t="s">
        <v>39</v>
      </c>
      <c r="J2683" s="33">
        <v>93635</v>
      </c>
      <c r="K2683" s="33" t="s">
        <v>1332</v>
      </c>
      <c r="L2683" s="33" t="s">
        <v>13007</v>
      </c>
      <c r="M2683" s="33" t="s">
        <v>4966</v>
      </c>
      <c r="N2683" s="33" t="s">
        <v>36546</v>
      </c>
      <c r="O2683" s="33" t="s">
        <v>372</v>
      </c>
      <c r="P2683" s="33" t="s">
        <v>30089</v>
      </c>
      <c r="Q2683" s="42" t="s">
        <v>28420</v>
      </c>
      <c r="R2683" s="33" t="s">
        <v>512</v>
      </c>
      <c r="S2683" s="33" t="s">
        <v>22</v>
      </c>
      <c r="T2683" s="36" t="s">
        <v>26781</v>
      </c>
      <c r="U2683" s="36" t="s">
        <v>26572</v>
      </c>
      <c r="V2683" s="36" t="s">
        <v>26573</v>
      </c>
      <c r="W2683" s="36" t="s">
        <v>94</v>
      </c>
      <c r="X2683" s="33">
        <v>2824</v>
      </c>
      <c r="Z2683" s="33" t="s">
        <v>42968</v>
      </c>
      <c r="AA2683" s="33">
        <v>4983</v>
      </c>
    </row>
    <row r="2684" spans="1:46" ht="12" customHeight="1" x14ac:dyDescent="0.15">
      <c r="A2684" s="33" t="s">
        <v>28421</v>
      </c>
      <c r="B2684" s="33">
        <v>28</v>
      </c>
      <c r="C2684" s="33" t="s">
        <v>14</v>
      </c>
      <c r="D2684" s="33" t="s">
        <v>79</v>
      </c>
      <c r="E2684" s="42" t="s">
        <v>28422</v>
      </c>
      <c r="F2684" s="67">
        <v>42947</v>
      </c>
      <c r="G2684" s="33" t="s">
        <v>28825</v>
      </c>
      <c r="H2684" s="33" t="s">
        <v>28423</v>
      </c>
      <c r="I2684" s="33" t="s">
        <v>409</v>
      </c>
      <c r="J2684" s="33">
        <v>54902</v>
      </c>
      <c r="K2684" s="33" t="s">
        <v>2173</v>
      </c>
      <c r="L2684" s="33" t="s">
        <v>28424</v>
      </c>
      <c r="M2684" s="33" t="s">
        <v>21</v>
      </c>
      <c r="N2684" s="33" t="s">
        <v>28425</v>
      </c>
      <c r="O2684" s="33" t="s">
        <v>372</v>
      </c>
      <c r="P2684" s="33" t="s">
        <v>30089</v>
      </c>
      <c r="Q2684" s="42" t="s">
        <v>28426</v>
      </c>
      <c r="R2684" s="33" t="s">
        <v>94</v>
      </c>
      <c r="S2684" s="33" t="s">
        <v>351</v>
      </c>
      <c r="T2684" s="36" t="s">
        <v>26867</v>
      </c>
      <c r="U2684" s="36" t="s">
        <v>26572</v>
      </c>
      <c r="V2684" s="36" t="s">
        <v>26571</v>
      </c>
      <c r="W2684" s="36" t="s">
        <v>512</v>
      </c>
      <c r="X2684" s="33">
        <v>2817</v>
      </c>
      <c r="Z2684" s="33" t="s">
        <v>42968</v>
      </c>
      <c r="AA2684" s="33">
        <v>4985</v>
      </c>
    </row>
    <row r="2685" spans="1:46" ht="12" customHeight="1" x14ac:dyDescent="0.15">
      <c r="A2685" s="33" t="s">
        <v>28427</v>
      </c>
      <c r="B2685" s="33">
        <v>48</v>
      </c>
      <c r="C2685" s="33" t="s">
        <v>14</v>
      </c>
      <c r="D2685" s="33" t="s">
        <v>31</v>
      </c>
      <c r="F2685" s="67">
        <v>42945</v>
      </c>
      <c r="G2685" s="33" t="s">
        <v>28428</v>
      </c>
      <c r="H2685" s="33" t="s">
        <v>28429</v>
      </c>
      <c r="I2685" s="33" t="s">
        <v>735</v>
      </c>
      <c r="J2685" s="33">
        <v>83641</v>
      </c>
      <c r="K2685" s="33" t="s">
        <v>3223</v>
      </c>
      <c r="L2685" s="33" t="s">
        <v>36547</v>
      </c>
      <c r="M2685" s="33" t="s">
        <v>21</v>
      </c>
      <c r="N2685" s="33" t="s">
        <v>36548</v>
      </c>
      <c r="O2685" s="33" t="s">
        <v>372</v>
      </c>
      <c r="P2685" s="33" t="s">
        <v>30089</v>
      </c>
      <c r="Q2685" s="42" t="s">
        <v>28430</v>
      </c>
      <c r="R2685" s="33" t="s">
        <v>512</v>
      </c>
      <c r="S2685" s="33" t="s">
        <v>22</v>
      </c>
      <c r="T2685" s="36" t="s">
        <v>26781</v>
      </c>
      <c r="U2685" s="36" t="s">
        <v>26572</v>
      </c>
      <c r="V2685" s="36" t="s">
        <v>26571</v>
      </c>
      <c r="W2685" s="36" t="s">
        <v>94</v>
      </c>
      <c r="X2685" s="33">
        <v>2818</v>
      </c>
      <c r="Z2685" s="33" t="s">
        <v>42967</v>
      </c>
      <c r="AA2685" s="33">
        <v>4980</v>
      </c>
    </row>
    <row r="2686" spans="1:46" ht="12" customHeight="1" x14ac:dyDescent="0.15">
      <c r="A2686" s="33" t="s">
        <v>30357</v>
      </c>
      <c r="B2686" s="33">
        <v>34</v>
      </c>
      <c r="C2686" s="33" t="s">
        <v>14</v>
      </c>
      <c r="D2686" s="33" t="s">
        <v>79</v>
      </c>
      <c r="E2686" s="33" t="s">
        <v>29651</v>
      </c>
      <c r="F2686" s="67">
        <v>42945</v>
      </c>
      <c r="G2686" s="33" t="s">
        <v>28431</v>
      </c>
      <c r="H2686" s="33" t="s">
        <v>14042</v>
      </c>
      <c r="I2686" s="33" t="s">
        <v>39</v>
      </c>
      <c r="J2686" s="33">
        <v>92880</v>
      </c>
      <c r="K2686" s="33" t="s">
        <v>728</v>
      </c>
      <c r="L2686" s="33" t="s">
        <v>4139</v>
      </c>
      <c r="M2686" s="33" t="s">
        <v>21</v>
      </c>
      <c r="N2686" s="33" t="s">
        <v>28432</v>
      </c>
      <c r="O2686" s="33" t="s">
        <v>372</v>
      </c>
      <c r="P2686" s="33" t="s">
        <v>30089</v>
      </c>
      <c r="Q2686" s="42" t="s">
        <v>28433</v>
      </c>
      <c r="R2686" s="33" t="s">
        <v>94</v>
      </c>
      <c r="S2686" s="33" t="s">
        <v>22</v>
      </c>
      <c r="T2686" s="36" t="s">
        <v>26781</v>
      </c>
      <c r="U2686" s="36" t="s">
        <v>26572</v>
      </c>
      <c r="V2686" s="36" t="s">
        <v>26571</v>
      </c>
      <c r="W2686" s="36" t="s">
        <v>94</v>
      </c>
      <c r="X2686" s="33">
        <v>2930</v>
      </c>
      <c r="Z2686" s="33" t="s">
        <v>42968</v>
      </c>
      <c r="AA2686" s="33">
        <v>4981</v>
      </c>
      <c r="AQ2686" s="42"/>
    </row>
    <row r="2687" spans="1:46" ht="12" customHeight="1" x14ac:dyDescent="0.15">
      <c r="A2687" s="33" t="s">
        <v>28440</v>
      </c>
      <c r="B2687" s="33">
        <v>31</v>
      </c>
      <c r="C2687" s="33" t="s">
        <v>14</v>
      </c>
      <c r="D2687" s="33" t="s">
        <v>79</v>
      </c>
      <c r="E2687" s="33" t="s">
        <v>29633</v>
      </c>
      <c r="F2687" s="67">
        <v>42944</v>
      </c>
      <c r="G2687" s="33" t="s">
        <v>28441</v>
      </c>
      <c r="H2687" s="33" t="s">
        <v>401</v>
      </c>
      <c r="I2687" s="33" t="s">
        <v>402</v>
      </c>
      <c r="J2687" s="33">
        <v>64130</v>
      </c>
      <c r="K2687" s="33" t="s">
        <v>404</v>
      </c>
      <c r="L2687" s="33" t="s">
        <v>405</v>
      </c>
      <c r="M2687" s="33" t="s">
        <v>21</v>
      </c>
      <c r="N2687" s="33" t="s">
        <v>28442</v>
      </c>
      <c r="O2687" s="33" t="s">
        <v>372</v>
      </c>
      <c r="P2687" s="33" t="s">
        <v>30089</v>
      </c>
      <c r="Q2687" s="42" t="s">
        <v>28443</v>
      </c>
      <c r="R2687" s="33" t="s">
        <v>94</v>
      </c>
      <c r="S2687" s="33" t="s">
        <v>22</v>
      </c>
      <c r="T2687" s="36" t="s">
        <v>26781</v>
      </c>
      <c r="U2687" s="36" t="s">
        <v>26572</v>
      </c>
      <c r="V2687" s="36" t="s">
        <v>26573</v>
      </c>
      <c r="W2687" s="36" t="s">
        <v>94</v>
      </c>
      <c r="X2687" s="33">
        <v>2822</v>
      </c>
      <c r="Z2687" s="33" t="s">
        <v>42966</v>
      </c>
      <c r="AA2687" s="33">
        <v>4977</v>
      </c>
      <c r="AT2687" s="42"/>
    </row>
    <row r="2688" spans="1:46" ht="12" customHeight="1" x14ac:dyDescent="0.15">
      <c r="A2688" s="33" t="s">
        <v>30786</v>
      </c>
      <c r="B2688" s="33">
        <v>37</v>
      </c>
      <c r="C2688" s="33" t="s">
        <v>14</v>
      </c>
      <c r="D2688" s="33" t="s">
        <v>42</v>
      </c>
      <c r="F2688" s="67">
        <v>42944</v>
      </c>
      <c r="G2688" s="33" t="s">
        <v>28444</v>
      </c>
      <c r="H2688" s="33" t="s">
        <v>866</v>
      </c>
      <c r="I2688" s="33" t="s">
        <v>178</v>
      </c>
      <c r="J2688" s="33">
        <v>87105</v>
      </c>
      <c r="K2688" s="33" t="s">
        <v>433</v>
      </c>
      <c r="L2688" s="33" t="s">
        <v>7415</v>
      </c>
      <c r="M2688" s="33" t="s">
        <v>21</v>
      </c>
      <c r="N2688" s="33" t="s">
        <v>28445</v>
      </c>
      <c r="O2688" s="33" t="s">
        <v>372</v>
      </c>
      <c r="P2688" s="33" t="s">
        <v>30089</v>
      </c>
      <c r="Q2688" s="42" t="s">
        <v>28446</v>
      </c>
      <c r="R2688" s="33" t="s">
        <v>94</v>
      </c>
      <c r="S2688" s="33" t="s">
        <v>351</v>
      </c>
      <c r="T2688" s="36" t="s">
        <v>26867</v>
      </c>
      <c r="U2688" s="36" t="s">
        <v>26572</v>
      </c>
      <c r="V2688" s="36" t="s">
        <v>26571</v>
      </c>
      <c r="W2688" s="36" t="s">
        <v>94</v>
      </c>
      <c r="X2688" s="33">
        <v>2813</v>
      </c>
      <c r="Z2688" s="33" t="s">
        <v>42968</v>
      </c>
      <c r="AA2688" s="33">
        <v>4979</v>
      </c>
      <c r="AQ2688" s="42"/>
    </row>
    <row r="2689" spans="1:46" ht="12" customHeight="1" x14ac:dyDescent="0.15">
      <c r="A2689" s="33" t="s">
        <v>28434</v>
      </c>
      <c r="B2689" s="33">
        <v>32</v>
      </c>
      <c r="C2689" s="33" t="s">
        <v>14</v>
      </c>
      <c r="D2689" s="33" t="s">
        <v>31</v>
      </c>
      <c r="E2689" s="42" t="s">
        <v>28435</v>
      </c>
      <c r="F2689" s="67">
        <v>42944</v>
      </c>
      <c r="G2689" s="33" t="s">
        <v>28436</v>
      </c>
      <c r="H2689" s="33" t="s">
        <v>15286</v>
      </c>
      <c r="I2689" s="33" t="s">
        <v>395</v>
      </c>
      <c r="J2689" s="33">
        <v>12302</v>
      </c>
      <c r="K2689" s="33" t="s">
        <v>15286</v>
      </c>
      <c r="L2689" s="33" t="s">
        <v>28437</v>
      </c>
      <c r="M2689" s="33" t="s">
        <v>21</v>
      </c>
      <c r="N2689" s="33" t="s">
        <v>28438</v>
      </c>
      <c r="O2689" s="33" t="s">
        <v>372</v>
      </c>
      <c r="P2689" s="33" t="s">
        <v>30089</v>
      </c>
      <c r="Q2689" s="42" t="s">
        <v>28439</v>
      </c>
      <c r="R2689" s="33" t="s">
        <v>512</v>
      </c>
      <c r="S2689" s="33" t="s">
        <v>22</v>
      </c>
      <c r="T2689" s="36" t="s">
        <v>26774</v>
      </c>
      <c r="U2689" s="36" t="s">
        <v>26570</v>
      </c>
      <c r="V2689" s="36" t="s">
        <v>26573</v>
      </c>
      <c r="W2689" s="36" t="s">
        <v>94</v>
      </c>
      <c r="X2689" s="33">
        <v>2819</v>
      </c>
      <c r="Z2689" s="33" t="s">
        <v>42968</v>
      </c>
      <c r="AA2689" s="33">
        <v>4978</v>
      </c>
    </row>
    <row r="2690" spans="1:46" ht="12" customHeight="1" x14ac:dyDescent="0.15">
      <c r="A2690" s="33" t="s">
        <v>28447</v>
      </c>
      <c r="B2690" s="33">
        <v>25</v>
      </c>
      <c r="C2690" s="33" t="s">
        <v>14</v>
      </c>
      <c r="D2690" s="33" t="s">
        <v>42</v>
      </c>
      <c r="F2690" s="67">
        <v>42943</v>
      </c>
      <c r="G2690" s="33" t="s">
        <v>28789</v>
      </c>
      <c r="H2690" s="33" t="s">
        <v>28448</v>
      </c>
      <c r="I2690" s="33" t="s">
        <v>39</v>
      </c>
      <c r="J2690" s="33">
        <v>93204</v>
      </c>
      <c r="K2690" s="33" t="s">
        <v>1601</v>
      </c>
      <c r="L2690" s="33" t="s">
        <v>26210</v>
      </c>
      <c r="M2690" s="33" t="s">
        <v>4966</v>
      </c>
      <c r="N2690" s="33" t="s">
        <v>28449</v>
      </c>
      <c r="O2690" s="33" t="s">
        <v>372</v>
      </c>
      <c r="P2690" s="33" t="s">
        <v>30089</v>
      </c>
      <c r="Q2690" s="42" t="s">
        <v>28450</v>
      </c>
      <c r="R2690" s="33" t="s">
        <v>94</v>
      </c>
      <c r="S2690" s="33" t="s">
        <v>29</v>
      </c>
      <c r="T2690" s="36" t="s">
        <v>26591</v>
      </c>
      <c r="U2690" s="36" t="s">
        <v>26572</v>
      </c>
      <c r="V2690" s="36" t="s">
        <v>26573</v>
      </c>
      <c r="W2690" s="36" t="s">
        <v>94</v>
      </c>
      <c r="X2690" s="33">
        <v>2809</v>
      </c>
      <c r="Z2690" s="33" t="s">
        <v>42967</v>
      </c>
      <c r="AA2690" s="33">
        <v>4971</v>
      </c>
    </row>
    <row r="2691" spans="1:46" ht="12" customHeight="1" x14ac:dyDescent="0.15">
      <c r="A2691" s="33" t="s">
        <v>28451</v>
      </c>
      <c r="B2691" s="33">
        <v>31</v>
      </c>
      <c r="C2691" s="33" t="s">
        <v>14</v>
      </c>
      <c r="D2691" s="33" t="s">
        <v>31</v>
      </c>
      <c r="E2691" s="42" t="s">
        <v>28452</v>
      </c>
      <c r="F2691" s="67">
        <v>42943</v>
      </c>
      <c r="G2691" s="33" t="s">
        <v>28453</v>
      </c>
      <c r="H2691" s="33" t="s">
        <v>11453</v>
      </c>
      <c r="I2691" s="33" t="s">
        <v>282</v>
      </c>
      <c r="J2691" s="33">
        <v>98801</v>
      </c>
      <c r="K2691" s="33" t="s">
        <v>12590</v>
      </c>
      <c r="L2691" s="33" t="s">
        <v>11455</v>
      </c>
      <c r="M2691" s="33" t="s">
        <v>21</v>
      </c>
      <c r="N2691" s="33" t="s">
        <v>28454</v>
      </c>
      <c r="O2691" s="33" t="s">
        <v>372</v>
      </c>
      <c r="P2691" s="33" t="s">
        <v>30089</v>
      </c>
      <c r="Q2691" s="42" t="s">
        <v>28455</v>
      </c>
      <c r="R2691" s="33" t="s">
        <v>23</v>
      </c>
      <c r="S2691" s="33" t="s">
        <v>22</v>
      </c>
      <c r="T2691" s="36" t="s">
        <v>26774</v>
      </c>
      <c r="U2691" s="36" t="s">
        <v>26570</v>
      </c>
      <c r="V2691" s="36" t="s">
        <v>26573</v>
      </c>
      <c r="W2691" s="36" t="s">
        <v>94</v>
      </c>
      <c r="X2691" s="33">
        <v>2811</v>
      </c>
      <c r="Z2691" s="33" t="s">
        <v>42968</v>
      </c>
      <c r="AA2691" s="33">
        <v>4975</v>
      </c>
    </row>
    <row r="2692" spans="1:46" ht="12" customHeight="1" x14ac:dyDescent="0.15">
      <c r="A2692" s="33" t="s">
        <v>28462</v>
      </c>
      <c r="B2692" s="33">
        <v>46</v>
      </c>
      <c r="C2692" s="33" t="s">
        <v>14</v>
      </c>
      <c r="D2692" s="33" t="s">
        <v>31</v>
      </c>
      <c r="F2692" s="67">
        <v>42943</v>
      </c>
      <c r="G2692" s="33" t="s">
        <v>28463</v>
      </c>
      <c r="H2692" s="33" t="s">
        <v>92</v>
      </c>
      <c r="I2692" s="33" t="s">
        <v>39</v>
      </c>
      <c r="J2692" s="33">
        <v>90028</v>
      </c>
      <c r="K2692" s="33" t="s">
        <v>92</v>
      </c>
      <c r="L2692" s="33" t="s">
        <v>93</v>
      </c>
      <c r="M2692" s="33" t="s">
        <v>21</v>
      </c>
      <c r="N2692" s="33" t="s">
        <v>28464</v>
      </c>
      <c r="O2692" s="33" t="s">
        <v>372</v>
      </c>
      <c r="P2692" s="33" t="s">
        <v>30089</v>
      </c>
      <c r="Q2692" s="42" t="s">
        <v>28465</v>
      </c>
      <c r="R2692" s="33" t="s">
        <v>94</v>
      </c>
      <c r="S2692" s="33" t="s">
        <v>22</v>
      </c>
      <c r="T2692" s="36" t="s">
        <v>26781</v>
      </c>
      <c r="U2692" s="36" t="s">
        <v>26570</v>
      </c>
      <c r="V2692" s="36" t="s">
        <v>26573</v>
      </c>
      <c r="W2692" s="36" t="s">
        <v>94</v>
      </c>
      <c r="X2692" s="33">
        <v>2816</v>
      </c>
      <c r="Z2692" s="33" t="s">
        <v>42966</v>
      </c>
      <c r="AA2692" s="33">
        <v>4972</v>
      </c>
    </row>
    <row r="2693" spans="1:46" ht="12" customHeight="1" x14ac:dyDescent="0.15">
      <c r="A2693" s="33" t="s">
        <v>28456</v>
      </c>
      <c r="B2693" s="33">
        <v>35</v>
      </c>
      <c r="C2693" s="33" t="s">
        <v>14</v>
      </c>
      <c r="D2693" s="33" t="s">
        <v>42</v>
      </c>
      <c r="F2693" s="67">
        <v>42943</v>
      </c>
      <c r="G2693" s="33" t="s">
        <v>28457</v>
      </c>
      <c r="H2693" s="33" t="s">
        <v>28458</v>
      </c>
      <c r="I2693" s="33" t="s">
        <v>39</v>
      </c>
      <c r="J2693" s="33">
        <v>93610</v>
      </c>
      <c r="K2693" s="33" t="s">
        <v>16560</v>
      </c>
      <c r="L2693" s="33" t="s">
        <v>28459</v>
      </c>
      <c r="M2693" s="33" t="s">
        <v>4966</v>
      </c>
      <c r="N2693" s="33" t="s">
        <v>28460</v>
      </c>
      <c r="O2693" s="33" t="s">
        <v>372</v>
      </c>
      <c r="P2693" s="33" t="s">
        <v>30089</v>
      </c>
      <c r="Q2693" s="42" t="s">
        <v>28461</v>
      </c>
      <c r="R2693" s="33" t="s">
        <v>23</v>
      </c>
      <c r="S2693" s="33" t="s">
        <v>22</v>
      </c>
      <c r="T2693" s="36" t="s">
        <v>26774</v>
      </c>
      <c r="U2693" s="36" t="s">
        <v>26572</v>
      </c>
      <c r="V2693" s="36" t="s">
        <v>26573</v>
      </c>
      <c r="W2693" s="36" t="s">
        <v>94</v>
      </c>
      <c r="X2693" s="33">
        <v>2812</v>
      </c>
      <c r="Z2693" s="33" t="s">
        <v>42968</v>
      </c>
      <c r="AA2693" s="33">
        <v>4976</v>
      </c>
    </row>
    <row r="2694" spans="1:46" ht="12" customHeight="1" x14ac:dyDescent="0.15">
      <c r="A2694" s="33" t="s">
        <v>28471</v>
      </c>
      <c r="B2694" s="33">
        <v>26</v>
      </c>
      <c r="C2694" s="33" t="s">
        <v>14</v>
      </c>
      <c r="D2694" s="33" t="s">
        <v>31</v>
      </c>
      <c r="E2694" s="42" t="s">
        <v>28472</v>
      </c>
      <c r="F2694" s="67">
        <v>42943</v>
      </c>
      <c r="G2694" s="33" t="s">
        <v>28473</v>
      </c>
      <c r="H2694" s="33" t="s">
        <v>28474</v>
      </c>
      <c r="I2694" s="33" t="s">
        <v>39</v>
      </c>
      <c r="J2694" s="33">
        <v>92313</v>
      </c>
      <c r="K2694" s="33" t="s">
        <v>288</v>
      </c>
      <c r="L2694" s="33" t="s">
        <v>289</v>
      </c>
      <c r="M2694" s="33" t="s">
        <v>21</v>
      </c>
      <c r="N2694" s="33" t="s">
        <v>28475</v>
      </c>
      <c r="O2694" s="33" t="s">
        <v>372</v>
      </c>
      <c r="P2694" s="33" t="s">
        <v>30089</v>
      </c>
      <c r="Q2694" s="42" t="s">
        <v>28476</v>
      </c>
      <c r="R2694" s="33" t="s">
        <v>23</v>
      </c>
      <c r="S2694" s="33" t="s">
        <v>22</v>
      </c>
      <c r="T2694" s="36" t="s">
        <v>26781</v>
      </c>
      <c r="U2694" s="36" t="s">
        <v>26572</v>
      </c>
      <c r="V2694" s="36" t="s">
        <v>26573</v>
      </c>
      <c r="X2694" s="33">
        <v>2929</v>
      </c>
      <c r="Z2694" s="33" t="s">
        <v>42968</v>
      </c>
      <c r="AA2694" s="33">
        <v>4973</v>
      </c>
    </row>
    <row r="2695" spans="1:46" ht="12" customHeight="1" x14ac:dyDescent="0.15">
      <c r="A2695" s="33" t="s">
        <v>28466</v>
      </c>
      <c r="B2695" s="33">
        <v>39</v>
      </c>
      <c r="C2695" s="33" t="s">
        <v>14</v>
      </c>
      <c r="D2695" s="33" t="s">
        <v>79</v>
      </c>
      <c r="E2695" s="42" t="s">
        <v>30392</v>
      </c>
      <c r="F2695" s="67">
        <v>42943</v>
      </c>
      <c r="G2695" s="33" t="s">
        <v>28467</v>
      </c>
      <c r="H2695" s="33" t="s">
        <v>7243</v>
      </c>
      <c r="I2695" s="33" t="s">
        <v>19</v>
      </c>
      <c r="J2695" s="33">
        <v>71040</v>
      </c>
      <c r="K2695" s="33" t="s">
        <v>7244</v>
      </c>
      <c r="L2695" s="33" t="s">
        <v>28468</v>
      </c>
      <c r="M2695" s="33" t="s">
        <v>21</v>
      </c>
      <c r="N2695" s="33" t="s">
        <v>28469</v>
      </c>
      <c r="O2695" s="33" t="s">
        <v>372</v>
      </c>
      <c r="P2695" s="33" t="s">
        <v>30089</v>
      </c>
      <c r="Q2695" s="42" t="s">
        <v>28470</v>
      </c>
      <c r="R2695" s="33" t="s">
        <v>94</v>
      </c>
      <c r="S2695" s="33" t="s">
        <v>22</v>
      </c>
      <c r="T2695" s="36" t="s">
        <v>26781</v>
      </c>
      <c r="U2695" s="36" t="s">
        <v>26572</v>
      </c>
      <c r="V2695" s="36" t="s">
        <v>26571</v>
      </c>
      <c r="W2695" s="36" t="s">
        <v>94</v>
      </c>
      <c r="X2695" s="33">
        <v>2820</v>
      </c>
      <c r="Z2695" s="33" t="s">
        <v>42967</v>
      </c>
      <c r="AA2695" s="33">
        <v>4974</v>
      </c>
    </row>
    <row r="2696" spans="1:46" ht="12" customHeight="1" x14ac:dyDescent="0.15">
      <c r="A2696" s="33" t="s">
        <v>28487</v>
      </c>
      <c r="B2696" s="33">
        <v>25</v>
      </c>
      <c r="C2696" s="33" t="s">
        <v>14</v>
      </c>
      <c r="D2696" s="33" t="s">
        <v>79</v>
      </c>
      <c r="F2696" s="67">
        <v>42942</v>
      </c>
      <c r="G2696" s="33" t="s">
        <v>28488</v>
      </c>
      <c r="H2696" s="33" t="s">
        <v>994</v>
      </c>
      <c r="I2696" s="33" t="s">
        <v>63</v>
      </c>
      <c r="J2696" s="33">
        <v>45414</v>
      </c>
      <c r="K2696" s="33" t="s">
        <v>995</v>
      </c>
      <c r="L2696" s="33" t="s">
        <v>36551</v>
      </c>
      <c r="M2696" s="33" t="s">
        <v>21</v>
      </c>
      <c r="N2696" s="33" t="s">
        <v>36552</v>
      </c>
      <c r="O2696" s="33" t="s">
        <v>372</v>
      </c>
      <c r="P2696" s="33" t="s">
        <v>30089</v>
      </c>
      <c r="Q2696" s="42" t="s">
        <v>28489</v>
      </c>
      <c r="R2696" s="33" t="s">
        <v>94</v>
      </c>
      <c r="S2696" s="33" t="s">
        <v>351</v>
      </c>
      <c r="T2696" s="36" t="s">
        <v>26867</v>
      </c>
      <c r="U2696" s="36" t="s">
        <v>26572</v>
      </c>
      <c r="V2696" s="36" t="s">
        <v>26571</v>
      </c>
      <c r="W2696" s="36" t="s">
        <v>94</v>
      </c>
      <c r="X2696" s="33">
        <v>2808</v>
      </c>
      <c r="Z2696" s="33" t="s">
        <v>42968</v>
      </c>
      <c r="AA2696" s="33">
        <v>4970</v>
      </c>
    </row>
    <row r="2697" spans="1:46" ht="12" customHeight="1" x14ac:dyDescent="0.15">
      <c r="A2697" s="33" t="s">
        <v>28477</v>
      </c>
      <c r="B2697" s="33">
        <v>35</v>
      </c>
      <c r="C2697" s="33" t="s">
        <v>14</v>
      </c>
      <c r="D2697" s="33" t="s">
        <v>31</v>
      </c>
      <c r="F2697" s="67">
        <v>42942</v>
      </c>
      <c r="G2697" s="33" t="s">
        <v>28478</v>
      </c>
      <c r="H2697" s="33" t="s">
        <v>584</v>
      </c>
      <c r="I2697" s="33" t="s">
        <v>112</v>
      </c>
      <c r="J2697" s="33">
        <v>85027</v>
      </c>
      <c r="K2697" s="33" t="s">
        <v>585</v>
      </c>
      <c r="L2697" s="33" t="s">
        <v>586</v>
      </c>
      <c r="M2697" s="33" t="s">
        <v>21</v>
      </c>
      <c r="N2697" s="33" t="s">
        <v>28479</v>
      </c>
      <c r="O2697" s="33" t="s">
        <v>372</v>
      </c>
      <c r="P2697" s="33" t="s">
        <v>30089</v>
      </c>
      <c r="Q2697" s="42" t="s">
        <v>28480</v>
      </c>
      <c r="R2697" s="33" t="s">
        <v>94</v>
      </c>
      <c r="S2697" s="33" t="s">
        <v>22</v>
      </c>
      <c r="T2697" s="36" t="s">
        <v>26781</v>
      </c>
      <c r="U2697" s="36" t="s">
        <v>26572</v>
      </c>
      <c r="V2697" s="36" t="s">
        <v>19228</v>
      </c>
      <c r="W2697" s="36" t="s">
        <v>94</v>
      </c>
      <c r="X2697" s="33">
        <v>2804</v>
      </c>
      <c r="Z2697" s="33" t="s">
        <v>42966</v>
      </c>
      <c r="AA2697" s="33">
        <v>4967</v>
      </c>
    </row>
    <row r="2698" spans="1:46" ht="12" customHeight="1" x14ac:dyDescent="0.15">
      <c r="A2698" s="33" t="s">
        <v>28484</v>
      </c>
      <c r="B2698" s="33">
        <v>62</v>
      </c>
      <c r="C2698" s="33" t="s">
        <v>103</v>
      </c>
      <c r="D2698" s="33" t="s">
        <v>31</v>
      </c>
      <c r="E2698" s="42" t="s">
        <v>28485</v>
      </c>
      <c r="F2698" s="67">
        <v>42942</v>
      </c>
      <c r="G2698" s="33" t="s">
        <v>28808</v>
      </c>
      <c r="H2698" s="33" t="s">
        <v>1620</v>
      </c>
      <c r="I2698" s="33" t="s">
        <v>56</v>
      </c>
      <c r="J2698" s="33">
        <v>32968</v>
      </c>
      <c r="K2698" s="33" t="s">
        <v>1621</v>
      </c>
      <c r="L2698" s="33" t="s">
        <v>36549</v>
      </c>
      <c r="M2698" s="33" t="s">
        <v>21</v>
      </c>
      <c r="N2698" s="33" t="s">
        <v>36550</v>
      </c>
      <c r="O2698" s="33" t="s">
        <v>372</v>
      </c>
      <c r="P2698" s="33" t="s">
        <v>30089</v>
      </c>
      <c r="Q2698" s="42" t="s">
        <v>28486</v>
      </c>
      <c r="R2698" s="33" t="s">
        <v>512</v>
      </c>
      <c r="S2698" s="33" t="s">
        <v>22</v>
      </c>
      <c r="T2698" s="36" t="s">
        <v>26774</v>
      </c>
      <c r="U2698" s="36" t="s">
        <v>26572</v>
      </c>
      <c r="V2698" s="36" t="s">
        <v>26573</v>
      </c>
      <c r="W2698" s="36" t="s">
        <v>94</v>
      </c>
      <c r="X2698" s="33">
        <v>2807</v>
      </c>
      <c r="Z2698" s="33" t="s">
        <v>42968</v>
      </c>
      <c r="AA2698" s="33">
        <v>4969</v>
      </c>
    </row>
    <row r="2699" spans="1:46" ht="12" customHeight="1" x14ac:dyDescent="0.15">
      <c r="A2699" s="33" t="s">
        <v>28481</v>
      </c>
      <c r="B2699" s="33">
        <v>26</v>
      </c>
      <c r="C2699" s="33" t="s">
        <v>14</v>
      </c>
      <c r="D2699" s="33" t="s">
        <v>31</v>
      </c>
      <c r="F2699" s="67">
        <v>42942</v>
      </c>
      <c r="G2699" s="33" t="s">
        <v>28832</v>
      </c>
      <c r="H2699" s="33" t="s">
        <v>532</v>
      </c>
      <c r="I2699" s="33" t="s">
        <v>67</v>
      </c>
      <c r="J2699" s="33">
        <v>78238</v>
      </c>
      <c r="K2699" s="33" t="s">
        <v>533</v>
      </c>
      <c r="L2699" s="33" t="s">
        <v>534</v>
      </c>
      <c r="M2699" s="33" t="s">
        <v>21</v>
      </c>
      <c r="N2699" s="33" t="s">
        <v>28482</v>
      </c>
      <c r="O2699" s="33" t="s">
        <v>372</v>
      </c>
      <c r="P2699" s="33" t="s">
        <v>30089</v>
      </c>
      <c r="Q2699" s="42" t="s">
        <v>28483</v>
      </c>
      <c r="R2699" s="33" t="s">
        <v>94</v>
      </c>
      <c r="S2699" s="33" t="s">
        <v>22</v>
      </c>
      <c r="T2699" s="36" t="s">
        <v>26781</v>
      </c>
      <c r="U2699" s="36" t="s">
        <v>26572</v>
      </c>
      <c r="V2699" s="36" t="s">
        <v>26573</v>
      </c>
      <c r="W2699" s="36" t="s">
        <v>94</v>
      </c>
      <c r="X2699" s="33">
        <v>2806</v>
      </c>
      <c r="Z2699" s="33" t="s">
        <v>42966</v>
      </c>
      <c r="AA2699" s="33">
        <v>4968</v>
      </c>
    </row>
    <row r="2700" spans="1:46" ht="12" customHeight="1" x14ac:dyDescent="0.15">
      <c r="A2700" s="33" t="s">
        <v>28504</v>
      </c>
      <c r="B2700" s="33">
        <v>16</v>
      </c>
      <c r="C2700" s="33" t="s">
        <v>14</v>
      </c>
      <c r="D2700" s="33" t="s">
        <v>79</v>
      </c>
      <c r="E2700" s="42" t="s">
        <v>28505</v>
      </c>
      <c r="F2700" s="67">
        <v>42941</v>
      </c>
      <c r="G2700" s="33" t="s">
        <v>28506</v>
      </c>
      <c r="H2700" s="33" t="s">
        <v>392</v>
      </c>
      <c r="I2700" s="33" t="s">
        <v>918</v>
      </c>
      <c r="J2700" s="33">
        <v>72364</v>
      </c>
      <c r="K2700" s="33" t="s">
        <v>5233</v>
      </c>
      <c r="L2700" s="33" t="s">
        <v>23522</v>
      </c>
      <c r="M2700" s="33" t="s">
        <v>21</v>
      </c>
      <c r="N2700" s="33" t="s">
        <v>28507</v>
      </c>
      <c r="O2700" s="33" t="s">
        <v>372</v>
      </c>
      <c r="P2700" s="33" t="s">
        <v>30089</v>
      </c>
      <c r="Q2700" s="42" t="s">
        <v>28508</v>
      </c>
      <c r="R2700" s="33" t="s">
        <v>512</v>
      </c>
      <c r="S2700" s="33" t="s">
        <v>12</v>
      </c>
      <c r="T2700" s="36" t="s">
        <v>29425</v>
      </c>
      <c r="U2700" s="36" t="s">
        <v>26572</v>
      </c>
      <c r="V2700" s="36" t="s">
        <v>26573</v>
      </c>
      <c r="W2700" s="36" t="s">
        <v>94</v>
      </c>
      <c r="X2700" s="33">
        <v>2805</v>
      </c>
      <c r="Z2700" s="33" t="s">
        <v>42967</v>
      </c>
      <c r="AA2700" s="33">
        <v>4966</v>
      </c>
    </row>
    <row r="2701" spans="1:46" ht="12" customHeight="1" x14ac:dyDescent="0.15">
      <c r="A2701" s="33" t="s">
        <v>28499</v>
      </c>
      <c r="B2701" s="33">
        <v>33</v>
      </c>
      <c r="C2701" s="33" t="s">
        <v>14</v>
      </c>
      <c r="D2701" s="33" t="s">
        <v>42</v>
      </c>
      <c r="E2701" s="42" t="s">
        <v>28500</v>
      </c>
      <c r="F2701" s="67">
        <v>42941</v>
      </c>
      <c r="G2701" s="33" t="s">
        <v>28501</v>
      </c>
      <c r="H2701" s="33" t="s">
        <v>6010</v>
      </c>
      <c r="I2701" s="33" t="s">
        <v>112</v>
      </c>
      <c r="J2701" s="33">
        <v>85392</v>
      </c>
      <c r="K2701" s="33" t="s">
        <v>585</v>
      </c>
      <c r="L2701" s="33" t="s">
        <v>6012</v>
      </c>
      <c r="M2701" s="33" t="s">
        <v>21</v>
      </c>
      <c r="N2701" s="33" t="s">
        <v>28502</v>
      </c>
      <c r="O2701" s="33" t="s">
        <v>372</v>
      </c>
      <c r="P2701" s="33" t="s">
        <v>30089</v>
      </c>
      <c r="Q2701" s="42" t="s">
        <v>28503</v>
      </c>
      <c r="R2701" s="33" t="s">
        <v>512</v>
      </c>
      <c r="S2701" s="33" t="s">
        <v>22</v>
      </c>
      <c r="T2701" s="36" t="s">
        <v>26781</v>
      </c>
      <c r="U2701" s="36" t="s">
        <v>26572</v>
      </c>
      <c r="V2701" s="36" t="s">
        <v>26573</v>
      </c>
      <c r="W2701" s="36" t="s">
        <v>94</v>
      </c>
      <c r="X2701" s="33">
        <v>2803</v>
      </c>
      <c r="Z2701" s="33" t="s">
        <v>42968</v>
      </c>
      <c r="AA2701" s="33">
        <v>4965</v>
      </c>
    </row>
    <row r="2702" spans="1:46" ht="12" customHeight="1" x14ac:dyDescent="0.15">
      <c r="A2702" s="33" t="s">
        <v>28495</v>
      </c>
      <c r="B2702" s="33">
        <v>28</v>
      </c>
      <c r="C2702" s="33" t="s">
        <v>14</v>
      </c>
      <c r="D2702" s="33" t="s">
        <v>31</v>
      </c>
      <c r="F2702" s="67">
        <v>42941</v>
      </c>
      <c r="G2702" s="33" t="s">
        <v>28496</v>
      </c>
      <c r="H2702" s="33" t="s">
        <v>603</v>
      </c>
      <c r="I2702" s="33" t="s">
        <v>56</v>
      </c>
      <c r="J2702" s="33">
        <v>32210</v>
      </c>
      <c r="K2702" s="33" t="s">
        <v>604</v>
      </c>
      <c r="L2702" s="33" t="s">
        <v>605</v>
      </c>
      <c r="M2702" s="33" t="s">
        <v>21</v>
      </c>
      <c r="N2702" s="33" t="s">
        <v>28497</v>
      </c>
      <c r="O2702" s="33" t="s">
        <v>372</v>
      </c>
      <c r="P2702" s="33" t="s">
        <v>30089</v>
      </c>
      <c r="Q2702" s="42" t="s">
        <v>28498</v>
      </c>
      <c r="R2702" s="33" t="s">
        <v>94</v>
      </c>
      <c r="S2702" s="33" t="s">
        <v>22</v>
      </c>
      <c r="T2702" s="36" t="s">
        <v>26781</v>
      </c>
      <c r="U2702" s="36" t="s">
        <v>26572</v>
      </c>
      <c r="V2702" s="36" t="s">
        <v>26571</v>
      </c>
      <c r="W2702" s="36" t="s">
        <v>94</v>
      </c>
      <c r="X2702" s="33">
        <v>2802</v>
      </c>
      <c r="Z2702" s="33" t="s">
        <v>42968</v>
      </c>
      <c r="AA2702" s="33">
        <v>4964</v>
      </c>
      <c r="AT2702" s="42"/>
    </row>
    <row r="2703" spans="1:46" ht="12" customHeight="1" x14ac:dyDescent="0.15">
      <c r="A2703" s="33" t="s">
        <v>28490</v>
      </c>
      <c r="B2703" s="33">
        <v>23</v>
      </c>
      <c r="C2703" s="33" t="s">
        <v>14</v>
      </c>
      <c r="D2703" s="33" t="s">
        <v>31</v>
      </c>
      <c r="E2703" s="42" t="s">
        <v>28491</v>
      </c>
      <c r="F2703" s="67">
        <v>42941</v>
      </c>
      <c r="G2703" s="33" t="s">
        <v>28492</v>
      </c>
      <c r="H2703" s="33" t="s">
        <v>818</v>
      </c>
      <c r="I2703" s="33" t="s">
        <v>225</v>
      </c>
      <c r="J2703" s="33">
        <v>23219</v>
      </c>
      <c r="K2703" s="33" t="s">
        <v>17195</v>
      </c>
      <c r="L2703" s="33" t="s">
        <v>819</v>
      </c>
      <c r="M2703" s="33" t="s">
        <v>4966</v>
      </c>
      <c r="N2703" s="33" t="s">
        <v>28493</v>
      </c>
      <c r="O2703" s="33" t="s">
        <v>372</v>
      </c>
      <c r="P2703" s="33" t="s">
        <v>30089</v>
      </c>
      <c r="Q2703" s="42" t="s">
        <v>28494</v>
      </c>
      <c r="R2703" s="33" t="s">
        <v>512</v>
      </c>
      <c r="S2703" s="33" t="s">
        <v>22</v>
      </c>
      <c r="T2703" s="36" t="s">
        <v>27020</v>
      </c>
      <c r="U2703" s="36" t="s">
        <v>26570</v>
      </c>
      <c r="V2703" s="36" t="s">
        <v>26574</v>
      </c>
      <c r="W2703" s="36" t="s">
        <v>94</v>
      </c>
      <c r="X2703" s="33">
        <v>2801</v>
      </c>
      <c r="Z2703" s="33" t="s">
        <v>42966</v>
      </c>
      <c r="AA2703" s="33">
        <v>4963</v>
      </c>
    </row>
    <row r="2704" spans="1:46" ht="12" customHeight="1" x14ac:dyDescent="0.15">
      <c r="A2704" s="33" t="s">
        <v>28509</v>
      </c>
      <c r="B2704" s="33">
        <v>31</v>
      </c>
      <c r="C2704" s="33" t="s">
        <v>14</v>
      </c>
      <c r="D2704" s="33" t="s">
        <v>31</v>
      </c>
      <c r="E2704" s="42" t="s">
        <v>28510</v>
      </c>
      <c r="F2704" s="67">
        <v>42940</v>
      </c>
      <c r="G2704" s="33" t="s">
        <v>28511</v>
      </c>
      <c r="H2704" s="33" t="s">
        <v>661</v>
      </c>
      <c r="I2704" s="33" t="s">
        <v>402</v>
      </c>
      <c r="J2704" s="33">
        <v>63128</v>
      </c>
      <c r="K2704" s="33" t="s">
        <v>661</v>
      </c>
      <c r="L2704" s="33" t="s">
        <v>36553</v>
      </c>
      <c r="M2704" s="33" t="s">
        <v>21</v>
      </c>
      <c r="N2704" s="33" t="s">
        <v>36554</v>
      </c>
      <c r="O2704" s="33" t="s">
        <v>372</v>
      </c>
      <c r="P2704" s="33" t="s">
        <v>30089</v>
      </c>
      <c r="Q2704" s="42" t="s">
        <v>28512</v>
      </c>
      <c r="R2704" s="33" t="s">
        <v>512</v>
      </c>
      <c r="S2704" s="33" t="s">
        <v>22</v>
      </c>
      <c r="T2704" s="36" t="s">
        <v>26781</v>
      </c>
      <c r="U2704" s="36" t="s">
        <v>26572</v>
      </c>
      <c r="V2704" s="36" t="s">
        <v>26571</v>
      </c>
      <c r="W2704" s="36" t="s">
        <v>94</v>
      </c>
      <c r="X2704" s="33">
        <v>2798</v>
      </c>
      <c r="Z2704" s="33" t="s">
        <v>42968</v>
      </c>
      <c r="AA2704" s="33">
        <v>4962</v>
      </c>
    </row>
    <row r="2705" spans="1:46" ht="12" customHeight="1" x14ac:dyDescent="0.15">
      <c r="A2705" s="33" t="s">
        <v>28520</v>
      </c>
      <c r="B2705" s="33">
        <v>34</v>
      </c>
      <c r="C2705" s="33" t="s">
        <v>14</v>
      </c>
      <c r="D2705" s="33" t="s">
        <v>31</v>
      </c>
      <c r="F2705" s="67">
        <v>42939</v>
      </c>
      <c r="G2705" s="33" t="s">
        <v>28521</v>
      </c>
      <c r="H2705" s="33" t="s">
        <v>12753</v>
      </c>
      <c r="I2705" s="33" t="s">
        <v>39</v>
      </c>
      <c r="J2705" s="33">
        <v>95928</v>
      </c>
      <c r="K2705" s="33" t="s">
        <v>4807</v>
      </c>
      <c r="L2705" s="33" t="s">
        <v>36555</v>
      </c>
      <c r="M2705" s="33" t="s">
        <v>21</v>
      </c>
      <c r="N2705" s="33" t="s">
        <v>28522</v>
      </c>
      <c r="O2705" s="33" t="s">
        <v>372</v>
      </c>
      <c r="P2705" s="33" t="s">
        <v>30089</v>
      </c>
      <c r="Q2705" s="42" t="s">
        <v>28523</v>
      </c>
      <c r="R2705" s="33" t="s">
        <v>94</v>
      </c>
      <c r="S2705" s="33" t="s">
        <v>22</v>
      </c>
      <c r="T2705" s="36" t="s">
        <v>26774</v>
      </c>
      <c r="U2705" s="36" t="s">
        <v>26572</v>
      </c>
      <c r="V2705" s="36" t="s">
        <v>26573</v>
      </c>
      <c r="W2705" s="36" t="s">
        <v>512</v>
      </c>
      <c r="X2705" s="33">
        <v>2800</v>
      </c>
      <c r="Z2705" s="33" t="s">
        <v>42966</v>
      </c>
      <c r="AA2705" s="33">
        <v>4960</v>
      </c>
    </row>
    <row r="2706" spans="1:46" ht="12" customHeight="1" x14ac:dyDescent="0.15">
      <c r="A2706" s="33" t="s">
        <v>28524</v>
      </c>
      <c r="B2706" s="33">
        <v>49</v>
      </c>
      <c r="C2706" s="33" t="s">
        <v>14</v>
      </c>
      <c r="D2706" s="33" t="s">
        <v>31</v>
      </c>
      <c r="E2706" s="42" t="s">
        <v>28525</v>
      </c>
      <c r="F2706" s="67">
        <v>42939</v>
      </c>
      <c r="G2706" s="33" t="s">
        <v>28526</v>
      </c>
      <c r="H2706" s="33" t="s">
        <v>22735</v>
      </c>
      <c r="I2706" s="33" t="s">
        <v>40</v>
      </c>
      <c r="J2706" s="33">
        <v>1562</v>
      </c>
      <c r="K2706" s="33" t="s">
        <v>890</v>
      </c>
      <c r="L2706" s="33" t="s">
        <v>28527</v>
      </c>
      <c r="M2706" s="33" t="s">
        <v>21</v>
      </c>
      <c r="N2706" s="33" t="s">
        <v>28528</v>
      </c>
      <c r="O2706" s="33" t="s">
        <v>372</v>
      </c>
      <c r="P2706" s="33" t="s">
        <v>30089</v>
      </c>
      <c r="Q2706" s="42" t="s">
        <v>28529</v>
      </c>
      <c r="R2706" s="33" t="s">
        <v>94</v>
      </c>
      <c r="S2706" s="33" t="s">
        <v>12</v>
      </c>
      <c r="T2706" s="36" t="s">
        <v>29425</v>
      </c>
      <c r="U2706" s="36" t="s">
        <v>26572</v>
      </c>
      <c r="V2706" s="36" t="s">
        <v>26571</v>
      </c>
      <c r="W2706" s="36" t="s">
        <v>94</v>
      </c>
      <c r="X2706" s="33">
        <v>2795</v>
      </c>
      <c r="Z2706" s="33" t="s">
        <v>42968</v>
      </c>
      <c r="AA2706" s="33">
        <v>4961</v>
      </c>
      <c r="AQ2706" s="42"/>
    </row>
    <row r="2707" spans="1:46" ht="12" customHeight="1" x14ac:dyDescent="0.15">
      <c r="A2707" s="33" t="s">
        <v>28516</v>
      </c>
      <c r="B2707" s="33">
        <v>41</v>
      </c>
      <c r="C2707" s="33" t="s">
        <v>14</v>
      </c>
      <c r="D2707" s="33" t="s">
        <v>42</v>
      </c>
      <c r="E2707" s="42" t="s">
        <v>28517</v>
      </c>
      <c r="F2707" s="67">
        <v>42939</v>
      </c>
      <c r="G2707" s="33" t="s">
        <v>28841</v>
      </c>
      <c r="H2707" s="33" t="s">
        <v>6081</v>
      </c>
      <c r="I2707" s="33" t="s">
        <v>621</v>
      </c>
      <c r="J2707" s="33">
        <v>38671</v>
      </c>
      <c r="K2707" s="33" t="s">
        <v>1107</v>
      </c>
      <c r="L2707" s="33" t="s">
        <v>1108</v>
      </c>
      <c r="M2707" s="33" t="s">
        <v>21</v>
      </c>
      <c r="N2707" s="33" t="s">
        <v>28518</v>
      </c>
      <c r="O2707" s="33" t="s">
        <v>372</v>
      </c>
      <c r="P2707" s="33" t="s">
        <v>30089</v>
      </c>
      <c r="Q2707" s="42" t="s">
        <v>28519</v>
      </c>
      <c r="R2707" s="33" t="s">
        <v>94</v>
      </c>
      <c r="S2707" s="33" t="s">
        <v>22</v>
      </c>
      <c r="T2707" s="36" t="s">
        <v>26781</v>
      </c>
      <c r="U2707" s="36" t="s">
        <v>26572</v>
      </c>
      <c r="V2707" s="36" t="s">
        <v>26573</v>
      </c>
      <c r="W2707" s="36" t="s">
        <v>94</v>
      </c>
      <c r="X2707" s="33">
        <v>2799</v>
      </c>
      <c r="Z2707" s="33" t="s">
        <v>42968</v>
      </c>
      <c r="AA2707" s="33">
        <v>4959</v>
      </c>
    </row>
    <row r="2708" spans="1:46" ht="12" customHeight="1" x14ac:dyDescent="0.15">
      <c r="A2708" s="33" t="s">
        <v>28513</v>
      </c>
      <c r="B2708" s="33">
        <v>59</v>
      </c>
      <c r="C2708" s="33" t="s">
        <v>14</v>
      </c>
      <c r="D2708" s="33" t="s">
        <v>31</v>
      </c>
      <c r="F2708" s="67">
        <v>42939</v>
      </c>
      <c r="G2708" s="33" t="s">
        <v>28802</v>
      </c>
      <c r="H2708" s="33" t="s">
        <v>20889</v>
      </c>
      <c r="I2708" s="33" t="s">
        <v>409</v>
      </c>
      <c r="J2708" s="33">
        <v>54703</v>
      </c>
      <c r="K2708" s="33" t="s">
        <v>20889</v>
      </c>
      <c r="L2708" s="33" t="s">
        <v>25594</v>
      </c>
      <c r="M2708" s="33" t="s">
        <v>21</v>
      </c>
      <c r="N2708" s="33" t="s">
        <v>28514</v>
      </c>
      <c r="O2708" s="33" t="s">
        <v>372</v>
      </c>
      <c r="P2708" s="33" t="s">
        <v>30089</v>
      </c>
      <c r="Q2708" s="42" t="s">
        <v>28515</v>
      </c>
      <c r="R2708" s="33" t="s">
        <v>512</v>
      </c>
      <c r="S2708" s="33" t="s">
        <v>22</v>
      </c>
      <c r="T2708" s="36" t="s">
        <v>26781</v>
      </c>
      <c r="U2708" s="36" t="s">
        <v>26572</v>
      </c>
      <c r="V2708" s="36" t="s">
        <v>26573</v>
      </c>
      <c r="W2708" s="36" t="s">
        <v>94</v>
      </c>
      <c r="X2708" s="33">
        <v>2796</v>
      </c>
      <c r="Z2708" s="33" t="s">
        <v>42968</v>
      </c>
      <c r="AA2708" s="33">
        <v>4958</v>
      </c>
    </row>
    <row r="2709" spans="1:46" ht="12" customHeight="1" x14ac:dyDescent="0.15">
      <c r="A2709" s="33" t="s">
        <v>28530</v>
      </c>
      <c r="B2709" s="33">
        <v>23</v>
      </c>
      <c r="C2709" s="33" t="s">
        <v>14</v>
      </c>
      <c r="D2709" s="33" t="s">
        <v>31</v>
      </c>
      <c r="E2709" s="42" t="s">
        <v>28531</v>
      </c>
      <c r="F2709" s="67">
        <v>42938</v>
      </c>
      <c r="G2709" s="33" t="s">
        <v>28787</v>
      </c>
      <c r="H2709" s="33" t="s">
        <v>787</v>
      </c>
      <c r="I2709" s="33" t="s">
        <v>67</v>
      </c>
      <c r="J2709" s="33">
        <v>76013</v>
      </c>
      <c r="K2709" s="33" t="s">
        <v>68</v>
      </c>
      <c r="L2709" s="33" t="s">
        <v>788</v>
      </c>
      <c r="M2709" s="33" t="s">
        <v>21</v>
      </c>
      <c r="N2709" s="33" t="s">
        <v>28532</v>
      </c>
      <c r="O2709" s="33" t="s">
        <v>372</v>
      </c>
      <c r="P2709" s="33" t="s">
        <v>30089</v>
      </c>
      <c r="Q2709" s="42" t="s">
        <v>28533</v>
      </c>
      <c r="R2709" s="33" t="s">
        <v>512</v>
      </c>
      <c r="S2709" s="33" t="s">
        <v>22</v>
      </c>
      <c r="T2709" s="36" t="s">
        <v>26781</v>
      </c>
      <c r="U2709" s="36" t="s">
        <v>26572</v>
      </c>
      <c r="V2709" s="36" t="s">
        <v>26573</v>
      </c>
      <c r="Z2709" s="33" t="s">
        <v>42968</v>
      </c>
      <c r="AA2709" s="33">
        <v>4957</v>
      </c>
      <c r="AQ2709" s="42"/>
    </row>
    <row r="2710" spans="1:46" ht="12" customHeight="1" x14ac:dyDescent="0.15">
      <c r="A2710" s="33" t="s">
        <v>28538</v>
      </c>
      <c r="B2710" s="33">
        <v>42</v>
      </c>
      <c r="C2710" s="33" t="s">
        <v>14</v>
      </c>
      <c r="D2710" s="33" t="s">
        <v>42</v>
      </c>
      <c r="E2710" s="42" t="s">
        <v>28539</v>
      </c>
      <c r="F2710" s="67">
        <v>42937</v>
      </c>
      <c r="G2710" s="33" t="s">
        <v>28540</v>
      </c>
      <c r="H2710" s="33" t="s">
        <v>2543</v>
      </c>
      <c r="I2710" s="33" t="s">
        <v>67</v>
      </c>
      <c r="J2710" s="33">
        <v>78572</v>
      </c>
      <c r="K2710" s="33" t="s">
        <v>1304</v>
      </c>
      <c r="L2710" s="33" t="s">
        <v>19953</v>
      </c>
      <c r="M2710" s="33" t="s">
        <v>21</v>
      </c>
      <c r="N2710" s="33" t="s">
        <v>28541</v>
      </c>
      <c r="O2710" s="33" t="s">
        <v>372</v>
      </c>
      <c r="P2710" s="33" t="s">
        <v>30089</v>
      </c>
      <c r="Q2710" s="42" t="s">
        <v>28542</v>
      </c>
      <c r="R2710" s="33" t="s">
        <v>94</v>
      </c>
      <c r="S2710" s="33" t="s">
        <v>22</v>
      </c>
      <c r="T2710" s="36" t="s">
        <v>26781</v>
      </c>
      <c r="U2710" s="36" t="s">
        <v>26572</v>
      </c>
      <c r="V2710" s="36" t="s">
        <v>26574</v>
      </c>
      <c r="W2710" s="36" t="s">
        <v>94</v>
      </c>
      <c r="X2710" s="33">
        <v>2797</v>
      </c>
      <c r="Z2710" s="33" t="s">
        <v>42968</v>
      </c>
      <c r="AA2710" s="33">
        <v>4954</v>
      </c>
    </row>
    <row r="2711" spans="1:46" ht="12" customHeight="1" x14ac:dyDescent="0.15">
      <c r="A2711" s="33" t="s">
        <v>28534</v>
      </c>
      <c r="B2711" s="33">
        <v>22</v>
      </c>
      <c r="C2711" s="33" t="s">
        <v>14</v>
      </c>
      <c r="D2711" s="33" t="s">
        <v>42</v>
      </c>
      <c r="E2711" s="42" t="s">
        <v>28535</v>
      </c>
      <c r="F2711" s="67">
        <v>42937</v>
      </c>
      <c r="G2711" s="33" t="s">
        <v>28838</v>
      </c>
      <c r="H2711" s="33" t="s">
        <v>3383</v>
      </c>
      <c r="I2711" s="33" t="s">
        <v>39</v>
      </c>
      <c r="J2711" s="33">
        <v>92707</v>
      </c>
      <c r="K2711" s="33" t="s">
        <v>998</v>
      </c>
      <c r="L2711" s="33" t="s">
        <v>3385</v>
      </c>
      <c r="M2711" s="33" t="s">
        <v>21</v>
      </c>
      <c r="N2711" s="33" t="s">
        <v>28536</v>
      </c>
      <c r="O2711" s="33" t="s">
        <v>372</v>
      </c>
      <c r="P2711" s="33" t="s">
        <v>30089</v>
      </c>
      <c r="Q2711" s="42" t="s">
        <v>28537</v>
      </c>
      <c r="R2711" s="33" t="s">
        <v>94</v>
      </c>
      <c r="S2711" s="33" t="s">
        <v>22</v>
      </c>
      <c r="T2711" s="36" t="s">
        <v>26774</v>
      </c>
      <c r="U2711" s="36" t="s">
        <v>26570</v>
      </c>
      <c r="V2711" s="36" t="s">
        <v>26573</v>
      </c>
      <c r="W2711" s="36" t="s">
        <v>94</v>
      </c>
      <c r="X2711" s="33">
        <v>2794</v>
      </c>
      <c r="Z2711" s="33" t="s">
        <v>42966</v>
      </c>
      <c r="AA2711" s="33">
        <v>4956</v>
      </c>
    </row>
    <row r="2712" spans="1:46" ht="12" customHeight="1" x14ac:dyDescent="0.15">
      <c r="A2712" s="33" t="s">
        <v>28543</v>
      </c>
      <c r="B2712" s="33">
        <v>70</v>
      </c>
      <c r="C2712" s="33" t="s">
        <v>14</v>
      </c>
      <c r="D2712" s="33" t="s">
        <v>42</v>
      </c>
      <c r="F2712" s="67">
        <v>42937</v>
      </c>
      <c r="G2712" s="33" t="s">
        <v>28848</v>
      </c>
      <c r="H2712" s="33" t="s">
        <v>28544</v>
      </c>
      <c r="I2712" s="33" t="s">
        <v>112</v>
      </c>
      <c r="J2712" s="33">
        <v>86323</v>
      </c>
      <c r="K2712" s="33" t="s">
        <v>166</v>
      </c>
      <c r="L2712" s="33" t="s">
        <v>36556</v>
      </c>
      <c r="M2712" s="33" t="s">
        <v>21</v>
      </c>
      <c r="N2712" s="33" t="s">
        <v>36557</v>
      </c>
      <c r="O2712" s="33" t="s">
        <v>372</v>
      </c>
      <c r="P2712" s="33" t="s">
        <v>30089</v>
      </c>
      <c r="Q2712" s="42" t="s">
        <v>28545</v>
      </c>
      <c r="R2712" s="33" t="s">
        <v>94</v>
      </c>
      <c r="S2712" s="33" t="s">
        <v>22</v>
      </c>
      <c r="T2712" s="36" t="s">
        <v>26781</v>
      </c>
      <c r="U2712" s="36" t="s">
        <v>26572</v>
      </c>
      <c r="V2712" s="36" t="s">
        <v>26573</v>
      </c>
      <c r="W2712" s="36" t="s">
        <v>512</v>
      </c>
      <c r="X2712" s="33">
        <v>2928</v>
      </c>
      <c r="Z2712" s="33" t="s">
        <v>42967</v>
      </c>
      <c r="AA2712" s="33">
        <v>4955</v>
      </c>
      <c r="AT2712" s="42"/>
    </row>
    <row r="2713" spans="1:46" ht="12" customHeight="1" x14ac:dyDescent="0.15">
      <c r="A2713" s="33" t="s">
        <v>28555</v>
      </c>
      <c r="B2713" s="33">
        <v>45</v>
      </c>
      <c r="C2713" s="33" t="s">
        <v>14</v>
      </c>
      <c r="D2713" s="33" t="s">
        <v>31</v>
      </c>
      <c r="F2713" s="67">
        <v>42936</v>
      </c>
      <c r="G2713" s="33" t="s">
        <v>28556</v>
      </c>
      <c r="H2713" s="33" t="s">
        <v>3995</v>
      </c>
      <c r="I2713" s="33" t="s">
        <v>160</v>
      </c>
      <c r="J2713" s="33">
        <v>30176</v>
      </c>
      <c r="K2713" s="33" t="s">
        <v>28557</v>
      </c>
      <c r="L2713" s="33" t="s">
        <v>17396</v>
      </c>
      <c r="M2713" s="33" t="s">
        <v>21</v>
      </c>
      <c r="N2713" s="33" t="s">
        <v>28558</v>
      </c>
      <c r="O2713" s="33" t="s">
        <v>372</v>
      </c>
      <c r="P2713" s="33" t="s">
        <v>30089</v>
      </c>
      <c r="Q2713" s="42" t="s">
        <v>28559</v>
      </c>
      <c r="R2713" s="33" t="s">
        <v>94</v>
      </c>
      <c r="S2713" s="33" t="s">
        <v>12</v>
      </c>
      <c r="T2713" s="36" t="s">
        <v>29705</v>
      </c>
      <c r="U2713" s="36" t="s">
        <v>26572</v>
      </c>
      <c r="V2713" s="36" t="s">
        <v>26573</v>
      </c>
      <c r="Z2713" s="33" t="s">
        <v>42967</v>
      </c>
      <c r="AA2713" s="33">
        <v>4953</v>
      </c>
      <c r="AQ2713" s="42"/>
    </row>
    <row r="2714" spans="1:46" ht="12" customHeight="1" x14ac:dyDescent="0.15">
      <c r="A2714" s="33" t="s">
        <v>28546</v>
      </c>
      <c r="B2714" s="33">
        <v>52</v>
      </c>
      <c r="C2714" s="33" t="s">
        <v>14</v>
      </c>
      <c r="D2714" s="33" t="s">
        <v>31</v>
      </c>
      <c r="F2714" s="67">
        <v>42936</v>
      </c>
      <c r="G2714" s="33" t="s">
        <v>28547</v>
      </c>
      <c r="H2714" s="33" t="s">
        <v>28548</v>
      </c>
      <c r="I2714" s="33" t="s">
        <v>402</v>
      </c>
      <c r="J2714" s="33">
        <v>64850</v>
      </c>
      <c r="K2714" s="33" t="s">
        <v>1249</v>
      </c>
      <c r="L2714" s="33" t="s">
        <v>28549</v>
      </c>
      <c r="M2714" s="33" t="s">
        <v>21</v>
      </c>
      <c r="N2714" s="33" t="s">
        <v>36558</v>
      </c>
      <c r="O2714" s="33" t="s">
        <v>372</v>
      </c>
      <c r="P2714" s="33" t="s">
        <v>94</v>
      </c>
      <c r="Q2714" s="42" t="s">
        <v>28550</v>
      </c>
      <c r="R2714" s="33" t="s">
        <v>512</v>
      </c>
      <c r="S2714" s="33" t="s">
        <v>22</v>
      </c>
      <c r="T2714" s="36" t="s">
        <v>26781</v>
      </c>
      <c r="U2714" s="36" t="s">
        <v>26572</v>
      </c>
      <c r="V2714" s="36" t="s">
        <v>26573</v>
      </c>
      <c r="W2714" s="36" t="s">
        <v>94</v>
      </c>
      <c r="X2714" s="33">
        <v>2792</v>
      </c>
      <c r="Z2714" s="33" t="s">
        <v>42967</v>
      </c>
      <c r="AA2714" s="33">
        <v>4951</v>
      </c>
    </row>
    <row r="2715" spans="1:46" ht="12" customHeight="1" x14ac:dyDescent="0.15">
      <c r="A2715" s="33" t="s">
        <v>28551</v>
      </c>
      <c r="B2715" s="33">
        <v>27</v>
      </c>
      <c r="C2715" s="33" t="s">
        <v>14</v>
      </c>
      <c r="D2715" s="33" t="s">
        <v>79</v>
      </c>
      <c r="E2715" s="42" t="s">
        <v>28552</v>
      </c>
      <c r="F2715" s="67">
        <v>42936</v>
      </c>
      <c r="G2715" s="33" t="s">
        <v>28844</v>
      </c>
      <c r="H2715" s="33" t="s">
        <v>661</v>
      </c>
      <c r="I2715" s="33" t="s">
        <v>402</v>
      </c>
      <c r="J2715" s="33">
        <v>63136</v>
      </c>
      <c r="K2715" s="33" t="s">
        <v>661</v>
      </c>
      <c r="L2715" s="33" t="s">
        <v>4162</v>
      </c>
      <c r="M2715" s="33" t="s">
        <v>21</v>
      </c>
      <c r="N2715" s="33" t="s">
        <v>28553</v>
      </c>
      <c r="O2715" s="33" t="s">
        <v>372</v>
      </c>
      <c r="P2715" s="33" t="s">
        <v>30089</v>
      </c>
      <c r="Q2715" s="42" t="s">
        <v>28554</v>
      </c>
      <c r="R2715" s="33" t="s">
        <v>94</v>
      </c>
      <c r="S2715" s="33" t="s">
        <v>22</v>
      </c>
      <c r="T2715" s="36" t="s">
        <v>26781</v>
      </c>
      <c r="U2715" s="36" t="s">
        <v>26572</v>
      </c>
      <c r="V2715" s="36" t="s">
        <v>26571</v>
      </c>
      <c r="W2715" s="36" t="s">
        <v>94</v>
      </c>
      <c r="X2715" s="33">
        <v>2793</v>
      </c>
      <c r="Z2715" s="33" t="s">
        <v>42968</v>
      </c>
      <c r="AA2715" s="33">
        <v>4952</v>
      </c>
    </row>
    <row r="2716" spans="1:46" ht="12" customHeight="1" x14ac:dyDescent="0.15">
      <c r="A2716" s="33" t="s">
        <v>28567</v>
      </c>
      <c r="B2716" s="33">
        <v>38</v>
      </c>
      <c r="C2716" s="33" t="s">
        <v>14</v>
      </c>
      <c r="D2716" s="33" t="s">
        <v>15</v>
      </c>
      <c r="E2716" s="42" t="s">
        <v>28568</v>
      </c>
      <c r="F2716" s="67">
        <v>42935</v>
      </c>
      <c r="G2716" s="33" t="s">
        <v>28569</v>
      </c>
      <c r="H2716" s="33" t="s">
        <v>21376</v>
      </c>
      <c r="I2716" s="33" t="s">
        <v>51</v>
      </c>
      <c r="J2716" s="33">
        <v>48638</v>
      </c>
      <c r="K2716" s="33" t="s">
        <v>21376</v>
      </c>
      <c r="L2716" s="33" t="s">
        <v>28570</v>
      </c>
      <c r="M2716" s="33" t="s">
        <v>21</v>
      </c>
      <c r="N2716" s="33" t="s">
        <v>28571</v>
      </c>
      <c r="O2716" s="33" t="s">
        <v>372</v>
      </c>
      <c r="P2716" s="33" t="s">
        <v>30089</v>
      </c>
      <c r="Q2716" s="42" t="s">
        <v>28572</v>
      </c>
      <c r="R2716" s="33" t="s">
        <v>904</v>
      </c>
      <c r="S2716" s="33" t="s">
        <v>12</v>
      </c>
      <c r="T2716" s="36" t="s">
        <v>29705</v>
      </c>
      <c r="U2716" s="36" t="s">
        <v>26572</v>
      </c>
      <c r="V2716" s="36" t="s">
        <v>26573</v>
      </c>
      <c r="W2716" s="36" t="s">
        <v>94</v>
      </c>
      <c r="X2716" s="33">
        <v>2791</v>
      </c>
      <c r="Z2716" s="33" t="s">
        <v>42968</v>
      </c>
      <c r="AA2716" s="33">
        <v>4950</v>
      </c>
    </row>
    <row r="2717" spans="1:46" ht="12" customHeight="1" x14ac:dyDescent="0.15">
      <c r="A2717" s="33" t="s">
        <v>30400</v>
      </c>
      <c r="B2717" s="33">
        <v>24</v>
      </c>
      <c r="C2717" s="33" t="s">
        <v>14</v>
      </c>
      <c r="D2717" s="33" t="s">
        <v>31</v>
      </c>
      <c r="F2717" s="67">
        <v>42935</v>
      </c>
      <c r="G2717" s="33" t="s">
        <v>28831</v>
      </c>
      <c r="H2717" s="33" t="s">
        <v>10328</v>
      </c>
      <c r="I2717" s="33" t="s">
        <v>39</v>
      </c>
      <c r="J2717" s="33">
        <v>95628</v>
      </c>
      <c r="K2717" s="33" t="s">
        <v>1537</v>
      </c>
      <c r="L2717" s="33" t="s">
        <v>28560</v>
      </c>
      <c r="M2717" s="33" t="s">
        <v>21</v>
      </c>
      <c r="N2717" s="33" t="s">
        <v>36559</v>
      </c>
      <c r="O2717" s="33" t="s">
        <v>372</v>
      </c>
      <c r="P2717" s="33" t="s">
        <v>30089</v>
      </c>
      <c r="Q2717" s="42" t="s">
        <v>28561</v>
      </c>
      <c r="R2717" s="33" t="s">
        <v>94</v>
      </c>
      <c r="S2717" s="33" t="s">
        <v>22</v>
      </c>
      <c r="T2717" s="36" t="s">
        <v>26781</v>
      </c>
      <c r="U2717" s="36" t="s">
        <v>26572</v>
      </c>
      <c r="V2717" s="36" t="s">
        <v>26573</v>
      </c>
      <c r="W2717" s="36" t="s">
        <v>94</v>
      </c>
      <c r="X2717" s="33">
        <v>2789</v>
      </c>
      <c r="Z2717" s="33" t="s">
        <v>42968</v>
      </c>
      <c r="AA2717" s="33">
        <v>4948</v>
      </c>
    </row>
    <row r="2718" spans="1:46" ht="12" customHeight="1" x14ac:dyDescent="0.15">
      <c r="A2718" s="33" t="s">
        <v>28562</v>
      </c>
      <c r="B2718" s="33">
        <v>24</v>
      </c>
      <c r="C2718" s="33" t="s">
        <v>14</v>
      </c>
      <c r="D2718" s="33" t="s">
        <v>31</v>
      </c>
      <c r="E2718" s="42" t="s">
        <v>28563</v>
      </c>
      <c r="F2718" s="67">
        <v>42935</v>
      </c>
      <c r="G2718" s="33" t="s">
        <v>28564</v>
      </c>
      <c r="H2718" s="33" t="s">
        <v>580</v>
      </c>
      <c r="I2718" s="33" t="s">
        <v>178</v>
      </c>
      <c r="J2718" s="33">
        <v>87505</v>
      </c>
      <c r="K2718" s="33" t="s">
        <v>580</v>
      </c>
      <c r="L2718" s="33" t="s">
        <v>19889</v>
      </c>
      <c r="M2718" s="33" t="s">
        <v>21</v>
      </c>
      <c r="N2718" s="33" t="s">
        <v>28565</v>
      </c>
      <c r="O2718" s="33" t="s">
        <v>372</v>
      </c>
      <c r="P2718" s="33" t="s">
        <v>30089</v>
      </c>
      <c r="Q2718" s="42" t="s">
        <v>28566</v>
      </c>
      <c r="R2718" s="33" t="s">
        <v>23</v>
      </c>
      <c r="S2718" s="33" t="s">
        <v>22</v>
      </c>
      <c r="T2718" s="36" t="s">
        <v>26774</v>
      </c>
      <c r="U2718" s="36" t="s">
        <v>26570</v>
      </c>
      <c r="V2718" s="36" t="s">
        <v>26573</v>
      </c>
      <c r="W2718" s="36" t="s">
        <v>94</v>
      </c>
      <c r="X2718" s="33">
        <v>2790</v>
      </c>
      <c r="Z2718" s="33" t="s">
        <v>42968</v>
      </c>
      <c r="AA2718" s="33">
        <v>4949</v>
      </c>
    </row>
    <row r="2719" spans="1:46" ht="12" customHeight="1" x14ac:dyDescent="0.15">
      <c r="A2719" s="33" t="s">
        <v>28573</v>
      </c>
      <c r="B2719" s="33">
        <v>32</v>
      </c>
      <c r="C2719" s="33" t="s">
        <v>14</v>
      </c>
      <c r="D2719" s="33" t="s">
        <v>31</v>
      </c>
      <c r="E2719" s="42" t="s">
        <v>28574</v>
      </c>
      <c r="F2719" s="67">
        <v>42934</v>
      </c>
      <c r="G2719" s="33" t="s">
        <v>28575</v>
      </c>
      <c r="H2719" s="33" t="s">
        <v>3117</v>
      </c>
      <c r="I2719" s="33" t="s">
        <v>88</v>
      </c>
      <c r="J2719" s="33">
        <v>35126</v>
      </c>
      <c r="K2719" s="33" t="s">
        <v>1659</v>
      </c>
      <c r="L2719" s="33" t="s">
        <v>1579</v>
      </c>
      <c r="M2719" s="33" t="s">
        <v>21</v>
      </c>
      <c r="N2719" s="33" t="s">
        <v>28576</v>
      </c>
      <c r="O2719" s="33" t="s">
        <v>372</v>
      </c>
      <c r="P2719" s="33" t="s">
        <v>30089</v>
      </c>
      <c r="Q2719" s="42" t="s">
        <v>28577</v>
      </c>
      <c r="R2719" s="33" t="s">
        <v>23</v>
      </c>
      <c r="S2719" s="33" t="s">
        <v>22</v>
      </c>
      <c r="T2719" s="36" t="s">
        <v>26781</v>
      </c>
      <c r="U2719" s="36" t="s">
        <v>26572</v>
      </c>
      <c r="V2719" s="36" t="s">
        <v>26573</v>
      </c>
      <c r="W2719" s="36" t="s">
        <v>94</v>
      </c>
      <c r="X2719" s="33">
        <v>2786</v>
      </c>
      <c r="Z2719" s="33" t="s">
        <v>42968</v>
      </c>
      <c r="AA2719" s="33">
        <v>4945</v>
      </c>
    </row>
    <row r="2720" spans="1:46" ht="12" customHeight="1" x14ac:dyDescent="0.15">
      <c r="A2720" s="33" t="s">
        <v>28578</v>
      </c>
      <c r="B2720" s="33">
        <v>70</v>
      </c>
      <c r="C2720" s="33" t="s">
        <v>14</v>
      </c>
      <c r="D2720" s="33" t="s">
        <v>31</v>
      </c>
      <c r="E2720" s="42" t="s">
        <v>28579</v>
      </c>
      <c r="F2720" s="67">
        <v>42934</v>
      </c>
      <c r="G2720" s="33" t="s">
        <v>28843</v>
      </c>
      <c r="H2720" s="33" t="s">
        <v>3846</v>
      </c>
      <c r="I2720" s="33" t="s">
        <v>106</v>
      </c>
      <c r="J2720" s="33">
        <v>97477</v>
      </c>
      <c r="K2720" s="33" t="s">
        <v>2946</v>
      </c>
      <c r="L2720" s="33" t="s">
        <v>3849</v>
      </c>
      <c r="M2720" s="33" t="s">
        <v>21</v>
      </c>
      <c r="N2720" s="33" t="s">
        <v>28580</v>
      </c>
      <c r="O2720" s="33" t="s">
        <v>372</v>
      </c>
      <c r="P2720" s="33" t="s">
        <v>94</v>
      </c>
      <c r="Q2720" s="42" t="s">
        <v>28581</v>
      </c>
      <c r="R2720" s="33" t="s">
        <v>512</v>
      </c>
      <c r="S2720" s="33" t="s">
        <v>22</v>
      </c>
      <c r="T2720" s="36" t="s">
        <v>26781</v>
      </c>
      <c r="U2720" s="36" t="s">
        <v>26570</v>
      </c>
      <c r="V2720" s="36" t="s">
        <v>26573</v>
      </c>
      <c r="W2720" s="36" t="s">
        <v>94</v>
      </c>
      <c r="X2720" s="33">
        <v>2787</v>
      </c>
      <c r="Z2720" s="33" t="s">
        <v>42968</v>
      </c>
      <c r="AA2720" s="33">
        <v>4946</v>
      </c>
      <c r="AQ2720" s="42"/>
    </row>
    <row r="2721" spans="1:46" ht="12" customHeight="1" x14ac:dyDescent="0.15">
      <c r="A2721" s="33" t="s">
        <v>28582</v>
      </c>
      <c r="B2721" s="33">
        <v>36</v>
      </c>
      <c r="C2721" s="33" t="s">
        <v>14</v>
      </c>
      <c r="D2721" s="33" t="s">
        <v>30751</v>
      </c>
      <c r="F2721" s="67">
        <v>42934</v>
      </c>
      <c r="G2721" s="33" t="s">
        <v>28583</v>
      </c>
      <c r="H2721" s="33" t="s">
        <v>2023</v>
      </c>
      <c r="I2721" s="33" t="s">
        <v>112</v>
      </c>
      <c r="J2721" s="33">
        <v>85925</v>
      </c>
      <c r="K2721" s="33" t="s">
        <v>2025</v>
      </c>
      <c r="L2721" s="33" t="s">
        <v>17356</v>
      </c>
      <c r="M2721" s="33" t="s">
        <v>21</v>
      </c>
      <c r="N2721" s="33" t="s">
        <v>28584</v>
      </c>
      <c r="O2721" s="33" t="s">
        <v>372</v>
      </c>
      <c r="P2721" s="33" t="s">
        <v>30089</v>
      </c>
      <c r="Q2721" s="42" t="s">
        <v>28585</v>
      </c>
      <c r="R2721" s="33" t="s">
        <v>94</v>
      </c>
      <c r="S2721" s="33" t="s">
        <v>12</v>
      </c>
      <c r="T2721" s="36" t="s">
        <v>29425</v>
      </c>
      <c r="U2721" s="36" t="s">
        <v>26570</v>
      </c>
      <c r="V2721" s="36" t="s">
        <v>26573</v>
      </c>
      <c r="W2721" s="36" t="s">
        <v>94</v>
      </c>
      <c r="X2721" s="33">
        <v>2788</v>
      </c>
      <c r="Z2721" s="33" t="s">
        <v>42967</v>
      </c>
      <c r="AA2721" s="33">
        <v>4947</v>
      </c>
      <c r="AQ2721" s="42"/>
    </row>
    <row r="2722" spans="1:46" ht="12" customHeight="1" x14ac:dyDescent="0.15">
      <c r="A2722" s="33" t="s">
        <v>28586</v>
      </c>
      <c r="B2722" s="33">
        <v>25</v>
      </c>
      <c r="C2722" s="33" t="s">
        <v>103</v>
      </c>
      <c r="D2722" s="33" t="s">
        <v>79</v>
      </c>
      <c r="F2722" s="67">
        <v>42933</v>
      </c>
      <c r="G2722" s="33" t="s">
        <v>28587</v>
      </c>
      <c r="H2722" s="33" t="s">
        <v>3060</v>
      </c>
      <c r="I2722" s="33" t="s">
        <v>225</v>
      </c>
      <c r="J2722" s="33">
        <v>23511</v>
      </c>
      <c r="K2722" s="33" t="s">
        <v>14991</v>
      </c>
      <c r="L2722" s="33" t="s">
        <v>4650</v>
      </c>
      <c r="M2722" s="33" t="s">
        <v>21</v>
      </c>
      <c r="N2722" s="33" t="s">
        <v>28588</v>
      </c>
      <c r="O2722" s="33" t="s">
        <v>372</v>
      </c>
      <c r="P2722" s="33" t="s">
        <v>30089</v>
      </c>
      <c r="Q2722" s="42" t="s">
        <v>28589</v>
      </c>
      <c r="R2722" s="33" t="s">
        <v>94</v>
      </c>
      <c r="S2722" s="33" t="s">
        <v>22</v>
      </c>
      <c r="T2722" s="36" t="s">
        <v>26781</v>
      </c>
      <c r="U2722" s="36" t="s">
        <v>26572</v>
      </c>
      <c r="V2722" s="36" t="s">
        <v>26573</v>
      </c>
      <c r="W2722" s="36" t="s">
        <v>94</v>
      </c>
      <c r="X2722" s="33">
        <v>2782</v>
      </c>
      <c r="Z2722" s="33" t="s">
        <v>42968</v>
      </c>
      <c r="AA2722" s="33">
        <v>4941</v>
      </c>
    </row>
    <row r="2723" spans="1:46" ht="12" customHeight="1" x14ac:dyDescent="0.15">
      <c r="A2723" s="33" t="s">
        <v>28594</v>
      </c>
      <c r="B2723" s="33">
        <v>43</v>
      </c>
      <c r="C2723" s="33" t="s">
        <v>14</v>
      </c>
      <c r="D2723" s="33" t="s">
        <v>31</v>
      </c>
      <c r="F2723" s="67">
        <v>42933</v>
      </c>
      <c r="G2723" s="33" t="s">
        <v>28595</v>
      </c>
      <c r="H2723" s="33" t="s">
        <v>1586</v>
      </c>
      <c r="I2723" s="33" t="s">
        <v>225</v>
      </c>
      <c r="J2723" s="33">
        <v>22713</v>
      </c>
      <c r="K2723" s="33" t="s">
        <v>2928</v>
      </c>
      <c r="L2723" s="33" t="s">
        <v>21889</v>
      </c>
      <c r="M2723" s="33" t="s">
        <v>21</v>
      </c>
      <c r="N2723" s="33" t="s">
        <v>36560</v>
      </c>
      <c r="O2723" s="33" t="s">
        <v>372</v>
      </c>
      <c r="P2723" s="33" t="s">
        <v>30089</v>
      </c>
      <c r="Q2723" s="42" t="s">
        <v>28596</v>
      </c>
      <c r="R2723" s="33" t="s">
        <v>94</v>
      </c>
      <c r="S2723" s="33" t="s">
        <v>22</v>
      </c>
      <c r="T2723" s="36" t="s">
        <v>26781</v>
      </c>
      <c r="U2723" s="36" t="s">
        <v>26572</v>
      </c>
      <c r="V2723" s="36" t="s">
        <v>26571</v>
      </c>
      <c r="W2723" s="36" t="s">
        <v>94</v>
      </c>
      <c r="X2723" s="33">
        <v>2784</v>
      </c>
      <c r="Z2723" s="33" t="s">
        <v>42967</v>
      </c>
      <c r="AA2723" s="33">
        <v>4943</v>
      </c>
    </row>
    <row r="2724" spans="1:46" ht="12" customHeight="1" x14ac:dyDescent="0.15">
      <c r="A2724" s="33" t="s">
        <v>28590</v>
      </c>
      <c r="B2724" s="33">
        <v>52</v>
      </c>
      <c r="C2724" s="33" t="s">
        <v>14</v>
      </c>
      <c r="D2724" s="33" t="s">
        <v>42</v>
      </c>
      <c r="F2724" s="67">
        <v>42933</v>
      </c>
      <c r="G2724" s="33" t="s">
        <v>28591</v>
      </c>
      <c r="H2724" s="33" t="s">
        <v>911</v>
      </c>
      <c r="I2724" s="33" t="s">
        <v>178</v>
      </c>
      <c r="J2724" s="33">
        <v>88001</v>
      </c>
      <c r="K2724" s="33" t="s">
        <v>912</v>
      </c>
      <c r="L2724" s="33" t="s">
        <v>6512</v>
      </c>
      <c r="M2724" s="33" t="s">
        <v>21</v>
      </c>
      <c r="N2724" s="33" t="s">
        <v>28592</v>
      </c>
      <c r="O2724" s="33" t="s">
        <v>372</v>
      </c>
      <c r="P2724" s="33" t="s">
        <v>30089</v>
      </c>
      <c r="Q2724" s="42" t="s">
        <v>28593</v>
      </c>
      <c r="R2724" s="33" t="s">
        <v>94</v>
      </c>
      <c r="S2724" s="33" t="s">
        <v>22</v>
      </c>
      <c r="T2724" s="36" t="s">
        <v>26781</v>
      </c>
      <c r="U2724" s="36" t="s">
        <v>26572</v>
      </c>
      <c r="V2724" s="36" t="s">
        <v>26573</v>
      </c>
      <c r="W2724" s="36" t="s">
        <v>512</v>
      </c>
      <c r="X2724" s="33">
        <v>2783</v>
      </c>
      <c r="Z2724" s="33" t="s">
        <v>42968</v>
      </c>
      <c r="AA2724" s="33">
        <v>4942</v>
      </c>
      <c r="AQ2724" s="42"/>
    </row>
    <row r="2725" spans="1:46" ht="12" customHeight="1" x14ac:dyDescent="0.15">
      <c r="A2725" s="33" t="s">
        <v>28597</v>
      </c>
      <c r="B2725" s="33">
        <v>37</v>
      </c>
      <c r="C2725" s="33" t="s">
        <v>14</v>
      </c>
      <c r="D2725" s="33" t="s">
        <v>42</v>
      </c>
      <c r="E2725" s="42" t="s">
        <v>28598</v>
      </c>
      <c r="F2725" s="67">
        <v>42933</v>
      </c>
      <c r="G2725" s="33" t="s">
        <v>28833</v>
      </c>
      <c r="H2725" s="33" t="s">
        <v>532</v>
      </c>
      <c r="I2725" s="33" t="s">
        <v>67</v>
      </c>
      <c r="J2725" s="33">
        <v>78207</v>
      </c>
      <c r="K2725" s="33" t="s">
        <v>533</v>
      </c>
      <c r="L2725" s="33" t="s">
        <v>534</v>
      </c>
      <c r="M2725" s="33" t="s">
        <v>21</v>
      </c>
      <c r="N2725" s="33" t="s">
        <v>28599</v>
      </c>
      <c r="O2725" s="33" t="s">
        <v>372</v>
      </c>
      <c r="P2725" s="33" t="s">
        <v>30089</v>
      </c>
      <c r="Q2725" s="42" t="s">
        <v>28600</v>
      </c>
      <c r="R2725" s="33" t="s">
        <v>94</v>
      </c>
      <c r="S2725" s="33" t="s">
        <v>22</v>
      </c>
      <c r="T2725" s="36" t="s">
        <v>26781</v>
      </c>
      <c r="U2725" s="36" t="s">
        <v>26572</v>
      </c>
      <c r="V2725" s="36" t="s">
        <v>26573</v>
      </c>
      <c r="W2725" s="36" t="s">
        <v>94</v>
      </c>
      <c r="X2725" s="33">
        <v>2785</v>
      </c>
      <c r="Z2725" s="33" t="s">
        <v>42966</v>
      </c>
      <c r="AA2725" s="33">
        <v>4944</v>
      </c>
    </row>
    <row r="2726" spans="1:46" ht="12" customHeight="1" x14ac:dyDescent="0.15">
      <c r="A2726" s="33" t="s">
        <v>28601</v>
      </c>
      <c r="B2726" s="33">
        <v>37</v>
      </c>
      <c r="C2726" s="33" t="s">
        <v>103</v>
      </c>
      <c r="D2726" s="33" t="s">
        <v>31</v>
      </c>
      <c r="E2726" s="42" t="s">
        <v>28602</v>
      </c>
      <c r="F2726" s="67">
        <v>42932</v>
      </c>
      <c r="G2726" s="33" t="s">
        <v>28603</v>
      </c>
      <c r="H2726" s="33" t="s">
        <v>28604</v>
      </c>
      <c r="I2726" s="33" t="s">
        <v>39</v>
      </c>
      <c r="J2726" s="33">
        <v>90740</v>
      </c>
      <c r="K2726" s="33" t="s">
        <v>998</v>
      </c>
      <c r="L2726" s="33" t="s">
        <v>28605</v>
      </c>
      <c r="M2726" s="33" t="s">
        <v>21</v>
      </c>
      <c r="N2726" s="33" t="s">
        <v>28606</v>
      </c>
      <c r="O2726" s="33" t="s">
        <v>372</v>
      </c>
      <c r="P2726" s="33" t="s">
        <v>30089</v>
      </c>
      <c r="Q2726" s="42" t="s">
        <v>28607</v>
      </c>
      <c r="R2726" s="33" t="s">
        <v>94</v>
      </c>
      <c r="S2726" s="33" t="s">
        <v>12</v>
      </c>
      <c r="T2726" s="36" t="s">
        <v>29705</v>
      </c>
      <c r="U2726" s="36" t="s">
        <v>26570</v>
      </c>
      <c r="V2726" s="36" t="s">
        <v>26573</v>
      </c>
      <c r="Z2726" s="33" t="s">
        <v>42968</v>
      </c>
      <c r="AA2726" s="33">
        <v>4940</v>
      </c>
    </row>
    <row r="2727" spans="1:46" ht="12" customHeight="1" x14ac:dyDescent="0.15">
      <c r="A2727" s="33" t="s">
        <v>28620</v>
      </c>
      <c r="B2727" s="33">
        <v>32</v>
      </c>
      <c r="C2727" s="33" t="s">
        <v>14</v>
      </c>
      <c r="D2727" s="33" t="s">
        <v>42</v>
      </c>
      <c r="E2727" s="42" t="s">
        <v>28621</v>
      </c>
      <c r="F2727" s="67">
        <v>42931</v>
      </c>
      <c r="G2727" s="33" t="s">
        <v>28622</v>
      </c>
      <c r="H2727" s="33" t="s">
        <v>28623</v>
      </c>
      <c r="I2727" s="33" t="s">
        <v>112</v>
      </c>
      <c r="J2727" s="33">
        <v>85501</v>
      </c>
      <c r="K2727" s="33" t="s">
        <v>6518</v>
      </c>
      <c r="L2727" s="33" t="s">
        <v>28624</v>
      </c>
      <c r="M2727" s="33" t="s">
        <v>21</v>
      </c>
      <c r="N2727" s="33" t="s">
        <v>28625</v>
      </c>
      <c r="O2727" s="33" t="s">
        <v>372</v>
      </c>
      <c r="P2727" s="33" t="s">
        <v>30089</v>
      </c>
      <c r="Q2727" s="42" t="s">
        <v>28626</v>
      </c>
      <c r="R2727" s="33" t="s">
        <v>94</v>
      </c>
      <c r="S2727" s="33" t="s">
        <v>22</v>
      </c>
      <c r="T2727" s="36" t="s">
        <v>26781</v>
      </c>
      <c r="U2727" s="36" t="s">
        <v>26572</v>
      </c>
      <c r="V2727" s="36" t="s">
        <v>26573</v>
      </c>
      <c r="Z2727" s="33" t="s">
        <v>42967</v>
      </c>
      <c r="AA2727" s="33">
        <v>4938</v>
      </c>
    </row>
    <row r="2728" spans="1:46" ht="12" customHeight="1" x14ac:dyDescent="0.15">
      <c r="A2728" s="33" t="s">
        <v>28617</v>
      </c>
      <c r="B2728" s="33">
        <v>29</v>
      </c>
      <c r="C2728" s="33" t="s">
        <v>14</v>
      </c>
      <c r="D2728" s="33" t="s">
        <v>42</v>
      </c>
      <c r="F2728" s="67">
        <v>42931</v>
      </c>
      <c r="G2728" s="33" t="s">
        <v>28618</v>
      </c>
      <c r="H2728" s="33" t="s">
        <v>14177</v>
      </c>
      <c r="I2728" s="33" t="s">
        <v>39</v>
      </c>
      <c r="J2728" s="33">
        <v>91331</v>
      </c>
      <c r="K2728" s="33" t="s">
        <v>92</v>
      </c>
      <c r="L2728" s="33" t="s">
        <v>93</v>
      </c>
      <c r="M2728" s="33" t="s">
        <v>21</v>
      </c>
      <c r="N2728" s="33" t="s">
        <v>30819</v>
      </c>
      <c r="O2728" s="33" t="s">
        <v>372</v>
      </c>
      <c r="P2728" s="33" t="s">
        <v>30089</v>
      </c>
      <c r="Q2728" s="42" t="s">
        <v>28619</v>
      </c>
      <c r="R2728" s="33" t="s">
        <v>94</v>
      </c>
      <c r="S2728" s="33" t="s">
        <v>22</v>
      </c>
      <c r="T2728" s="36" t="s">
        <v>26781</v>
      </c>
      <c r="U2728" s="36" t="s">
        <v>26570</v>
      </c>
      <c r="V2728" s="36" t="s">
        <v>26574</v>
      </c>
      <c r="W2728" s="36" t="s">
        <v>94</v>
      </c>
      <c r="X2728" s="33">
        <v>2778</v>
      </c>
      <c r="Z2728" s="33" t="s">
        <v>42966</v>
      </c>
      <c r="AA2728" s="33">
        <v>4935</v>
      </c>
      <c r="AQ2728" s="42"/>
      <c r="AT2728" s="42"/>
    </row>
    <row r="2729" spans="1:46" ht="12" customHeight="1" x14ac:dyDescent="0.15">
      <c r="A2729" s="33" t="s">
        <v>30401</v>
      </c>
      <c r="B2729" s="33">
        <v>23</v>
      </c>
      <c r="C2729" s="33" t="s">
        <v>14</v>
      </c>
      <c r="D2729" s="33" t="s">
        <v>79</v>
      </c>
      <c r="F2729" s="67">
        <v>42931</v>
      </c>
      <c r="G2729" s="33" t="s">
        <v>28608</v>
      </c>
      <c r="H2729" s="33" t="s">
        <v>1143</v>
      </c>
      <c r="I2729" s="33" t="s">
        <v>39</v>
      </c>
      <c r="J2729" s="33">
        <v>92553</v>
      </c>
      <c r="K2729" s="33" t="s">
        <v>728</v>
      </c>
      <c r="L2729" s="33" t="s">
        <v>729</v>
      </c>
      <c r="M2729" s="33" t="s">
        <v>21</v>
      </c>
      <c r="N2729" s="33" t="s">
        <v>28609</v>
      </c>
      <c r="O2729" s="33" t="s">
        <v>372</v>
      </c>
      <c r="P2729" s="33" t="s">
        <v>30089</v>
      </c>
      <c r="Q2729" s="42" t="s">
        <v>28610</v>
      </c>
      <c r="R2729" s="33" t="s">
        <v>512</v>
      </c>
      <c r="S2729" s="33" t="s">
        <v>22</v>
      </c>
      <c r="T2729" s="36" t="s">
        <v>26781</v>
      </c>
      <c r="U2729" s="36" t="s">
        <v>26570</v>
      </c>
      <c r="V2729" s="36" t="s">
        <v>26573</v>
      </c>
      <c r="W2729" s="36" t="s">
        <v>94</v>
      </c>
      <c r="X2729" s="33">
        <v>2780</v>
      </c>
      <c r="Z2729" s="33" t="s">
        <v>42968</v>
      </c>
      <c r="AA2729" s="33">
        <v>4936</v>
      </c>
    </row>
    <row r="2730" spans="1:46" ht="12" customHeight="1" x14ac:dyDescent="0.15">
      <c r="A2730" s="33" t="s">
        <v>28613</v>
      </c>
      <c r="B2730" s="33">
        <v>40</v>
      </c>
      <c r="C2730" s="33" t="s">
        <v>103</v>
      </c>
      <c r="D2730" s="33" t="s">
        <v>31</v>
      </c>
      <c r="E2730" s="42" t="s">
        <v>28614</v>
      </c>
      <c r="F2730" s="67">
        <v>42931</v>
      </c>
      <c r="G2730" s="33" t="s">
        <v>28615</v>
      </c>
      <c r="H2730" s="33" t="s">
        <v>6191</v>
      </c>
      <c r="I2730" s="33" t="s">
        <v>122</v>
      </c>
      <c r="J2730" s="33">
        <v>55410</v>
      </c>
      <c r="K2730" s="33" t="s">
        <v>1009</v>
      </c>
      <c r="L2730" s="33" t="s">
        <v>15162</v>
      </c>
      <c r="M2730" s="33" t="s">
        <v>21</v>
      </c>
      <c r="N2730" s="33" t="s">
        <v>36561</v>
      </c>
      <c r="O2730" s="33" t="s">
        <v>36349</v>
      </c>
      <c r="P2730" s="33" t="s">
        <v>26737</v>
      </c>
      <c r="Q2730" s="42" t="s">
        <v>28616</v>
      </c>
      <c r="R2730" s="33" t="s">
        <v>94</v>
      </c>
      <c r="S2730" s="33" t="s">
        <v>12</v>
      </c>
      <c r="T2730" s="36" t="s">
        <v>29705</v>
      </c>
      <c r="U2730" s="36" t="s">
        <v>26570</v>
      </c>
      <c r="V2730" s="36" t="s">
        <v>26573</v>
      </c>
      <c r="W2730" s="36" t="s">
        <v>94</v>
      </c>
      <c r="X2730" s="33">
        <v>2779</v>
      </c>
      <c r="Z2730" s="33" t="s">
        <v>42966</v>
      </c>
      <c r="AA2730" s="33">
        <v>4939</v>
      </c>
    </row>
    <row r="2731" spans="1:46" ht="12" customHeight="1" x14ac:dyDescent="0.15">
      <c r="A2731" s="33" t="s">
        <v>28530</v>
      </c>
      <c r="B2731" s="33">
        <v>22</v>
      </c>
      <c r="C2731" s="33" t="s">
        <v>14</v>
      </c>
      <c r="D2731" s="33" t="s">
        <v>31</v>
      </c>
      <c r="F2731" s="67">
        <v>42931</v>
      </c>
      <c r="G2731" s="33" t="s">
        <v>28788</v>
      </c>
      <c r="H2731" s="33" t="s">
        <v>787</v>
      </c>
      <c r="I2731" s="33" t="s">
        <v>67</v>
      </c>
      <c r="J2731" s="33">
        <v>76013</v>
      </c>
      <c r="K2731" s="33" t="s">
        <v>68</v>
      </c>
      <c r="L2731" s="33" t="s">
        <v>788</v>
      </c>
      <c r="M2731" s="33" t="s">
        <v>21</v>
      </c>
      <c r="N2731" s="33" t="s">
        <v>28611</v>
      </c>
      <c r="O2731" s="33" t="s">
        <v>372</v>
      </c>
      <c r="P2731" s="33" t="s">
        <v>30089</v>
      </c>
      <c r="Q2731" s="42" t="s">
        <v>28612</v>
      </c>
      <c r="R2731" s="33" t="s">
        <v>94</v>
      </c>
      <c r="S2731" s="33" t="s">
        <v>22</v>
      </c>
      <c r="T2731" s="36" t="s">
        <v>26781</v>
      </c>
      <c r="U2731" s="36" t="s">
        <v>26572</v>
      </c>
      <c r="V2731" s="36" t="s">
        <v>26574</v>
      </c>
      <c r="W2731" s="36" t="s">
        <v>94</v>
      </c>
      <c r="X2731" s="33">
        <v>2781</v>
      </c>
      <c r="Z2731" s="33" t="s">
        <v>42968</v>
      </c>
      <c r="AA2731" s="33">
        <v>4937</v>
      </c>
    </row>
    <row r="2732" spans="1:46" ht="12" customHeight="1" x14ac:dyDescent="0.15">
      <c r="A2732" s="33" t="s">
        <v>28634</v>
      </c>
      <c r="B2732" s="33">
        <v>42</v>
      </c>
      <c r="C2732" s="33" t="s">
        <v>14</v>
      </c>
      <c r="D2732" s="33" t="s">
        <v>42</v>
      </c>
      <c r="F2732" s="67">
        <v>42929</v>
      </c>
      <c r="G2732" s="33" t="s">
        <v>28635</v>
      </c>
      <c r="H2732" s="33" t="s">
        <v>9313</v>
      </c>
      <c r="I2732" s="33" t="s">
        <v>112</v>
      </c>
      <c r="J2732" s="33">
        <v>85395</v>
      </c>
      <c r="K2732" s="33" t="s">
        <v>585</v>
      </c>
      <c r="L2732" s="33" t="s">
        <v>1765</v>
      </c>
      <c r="M2732" s="33" t="s">
        <v>21</v>
      </c>
      <c r="N2732" s="33" t="s">
        <v>28636</v>
      </c>
      <c r="O2732" s="33" t="s">
        <v>372</v>
      </c>
      <c r="P2732" s="33" t="s">
        <v>30089</v>
      </c>
      <c r="Q2732" s="42" t="s">
        <v>28637</v>
      </c>
      <c r="R2732" s="33" t="s">
        <v>94</v>
      </c>
      <c r="S2732" s="33" t="s">
        <v>22</v>
      </c>
      <c r="T2732" s="36" t="s">
        <v>26774</v>
      </c>
      <c r="U2732" s="36" t="s">
        <v>26572</v>
      </c>
      <c r="V2732" s="36" t="s">
        <v>26573</v>
      </c>
      <c r="W2732" s="36" t="s">
        <v>94</v>
      </c>
      <c r="X2732" s="33">
        <v>2776</v>
      </c>
      <c r="Z2732" s="33" t="s">
        <v>42968</v>
      </c>
      <c r="AA2732" s="33">
        <v>4934</v>
      </c>
    </row>
    <row r="2733" spans="1:46" ht="12" customHeight="1" x14ac:dyDescent="0.15">
      <c r="A2733" s="33" t="s">
        <v>28627</v>
      </c>
      <c r="B2733" s="33">
        <v>55</v>
      </c>
      <c r="C2733" s="33" t="s">
        <v>14</v>
      </c>
      <c r="D2733" s="33" t="s">
        <v>31</v>
      </c>
      <c r="F2733" s="67">
        <v>42929</v>
      </c>
      <c r="G2733" s="33" t="s">
        <v>28828</v>
      </c>
      <c r="H2733" s="33" t="s">
        <v>518</v>
      </c>
      <c r="I2733" s="33" t="s">
        <v>112</v>
      </c>
      <c r="J2733" s="33">
        <v>85736</v>
      </c>
      <c r="K2733" s="33" t="s">
        <v>519</v>
      </c>
      <c r="L2733" s="33" t="s">
        <v>11583</v>
      </c>
      <c r="M2733" s="33" t="s">
        <v>21</v>
      </c>
      <c r="N2733" s="33" t="s">
        <v>28628</v>
      </c>
      <c r="O2733" s="33" t="s">
        <v>372</v>
      </c>
      <c r="P2733" s="33" t="s">
        <v>30089</v>
      </c>
      <c r="Q2733" s="42" t="s">
        <v>28629</v>
      </c>
      <c r="R2733" s="33" t="s">
        <v>94</v>
      </c>
      <c r="S2733" s="33" t="s">
        <v>22</v>
      </c>
      <c r="T2733" s="36" t="s">
        <v>26781</v>
      </c>
      <c r="U2733" s="36" t="s">
        <v>26572</v>
      </c>
      <c r="V2733" s="36" t="s">
        <v>26573</v>
      </c>
      <c r="W2733" s="36" t="s">
        <v>94</v>
      </c>
      <c r="X2733" s="33">
        <v>2774</v>
      </c>
      <c r="Z2733" s="33" t="s">
        <v>42967</v>
      </c>
      <c r="AA2733" s="33">
        <v>4932</v>
      </c>
    </row>
    <row r="2734" spans="1:46" ht="12" customHeight="1" x14ac:dyDescent="0.15">
      <c r="A2734" s="33" t="s">
        <v>28630</v>
      </c>
      <c r="B2734" s="33">
        <v>56</v>
      </c>
      <c r="C2734" s="33" t="s">
        <v>14</v>
      </c>
      <c r="D2734" s="33" t="s">
        <v>31</v>
      </c>
      <c r="F2734" s="67">
        <v>42929</v>
      </c>
      <c r="G2734" s="33" t="s">
        <v>28631</v>
      </c>
      <c r="H2734" s="33" t="s">
        <v>8011</v>
      </c>
      <c r="I2734" s="33" t="s">
        <v>56</v>
      </c>
      <c r="J2734" s="33">
        <v>33540</v>
      </c>
      <c r="K2734" s="33" t="s">
        <v>4016</v>
      </c>
      <c r="L2734" s="33" t="s">
        <v>4955</v>
      </c>
      <c r="M2734" s="33" t="s">
        <v>21</v>
      </c>
      <c r="N2734" s="33" t="s">
        <v>28632</v>
      </c>
      <c r="O2734" s="33" t="s">
        <v>372</v>
      </c>
      <c r="P2734" s="33" t="s">
        <v>30089</v>
      </c>
      <c r="Q2734" s="42" t="s">
        <v>28633</v>
      </c>
      <c r="R2734" s="33" t="s">
        <v>512</v>
      </c>
      <c r="S2734" s="33" t="s">
        <v>22</v>
      </c>
      <c r="T2734" s="36" t="s">
        <v>26774</v>
      </c>
      <c r="U2734" s="36" t="s">
        <v>26570</v>
      </c>
      <c r="V2734" s="36" t="s">
        <v>26573</v>
      </c>
      <c r="W2734" s="36" t="s">
        <v>94</v>
      </c>
      <c r="X2734" s="33">
        <v>2775</v>
      </c>
      <c r="Z2734" s="33" t="s">
        <v>42968</v>
      </c>
      <c r="AA2734" s="33">
        <v>4933</v>
      </c>
    </row>
    <row r="2735" spans="1:46" ht="12" customHeight="1" x14ac:dyDescent="0.15">
      <c r="A2735" s="33" t="s">
        <v>28638</v>
      </c>
      <c r="B2735" s="33">
        <v>33</v>
      </c>
      <c r="C2735" s="33" t="s">
        <v>14</v>
      </c>
      <c r="D2735" s="33" t="s">
        <v>128</v>
      </c>
      <c r="E2735" s="42" t="s">
        <v>28639</v>
      </c>
      <c r="F2735" s="67">
        <v>42928</v>
      </c>
      <c r="G2735" s="33" t="s">
        <v>28824</v>
      </c>
      <c r="H2735" s="33" t="s">
        <v>1027</v>
      </c>
      <c r="I2735" s="33" t="s">
        <v>367</v>
      </c>
      <c r="J2735" s="33">
        <v>73108</v>
      </c>
      <c r="K2735" s="33" t="s">
        <v>1028</v>
      </c>
      <c r="L2735" s="33" t="s">
        <v>1029</v>
      </c>
      <c r="M2735" s="33" t="s">
        <v>21</v>
      </c>
      <c r="N2735" s="33" t="s">
        <v>28640</v>
      </c>
      <c r="O2735" s="33" t="s">
        <v>372</v>
      </c>
      <c r="P2735" s="33" t="s">
        <v>30089</v>
      </c>
      <c r="Q2735" s="42" t="s">
        <v>28641</v>
      </c>
      <c r="R2735" s="33" t="s">
        <v>94</v>
      </c>
      <c r="S2735" s="33" t="s">
        <v>22</v>
      </c>
      <c r="T2735" s="36" t="s">
        <v>26781</v>
      </c>
      <c r="U2735" s="36" t="s">
        <v>26572</v>
      </c>
      <c r="V2735" s="36" t="s">
        <v>26573</v>
      </c>
      <c r="W2735" s="36" t="s">
        <v>94</v>
      </c>
      <c r="X2735" s="33">
        <v>2771</v>
      </c>
      <c r="Z2735" s="33" t="s">
        <v>42966</v>
      </c>
      <c r="AA2735" s="33">
        <v>4930</v>
      </c>
    </row>
    <row r="2736" spans="1:46" ht="12" customHeight="1" x14ac:dyDescent="0.15">
      <c r="A2736" s="33" t="s">
        <v>28648</v>
      </c>
      <c r="B2736" s="33">
        <v>40</v>
      </c>
      <c r="C2736" s="33" t="s">
        <v>14</v>
      </c>
      <c r="D2736" s="33" t="s">
        <v>31</v>
      </c>
      <c r="E2736" s="42" t="s">
        <v>28649</v>
      </c>
      <c r="F2736" s="67">
        <v>42928</v>
      </c>
      <c r="G2736" s="33" t="s">
        <v>28650</v>
      </c>
      <c r="H2736" s="33" t="s">
        <v>28651</v>
      </c>
      <c r="I2736" s="33" t="s">
        <v>26</v>
      </c>
      <c r="J2736" s="33">
        <v>29563</v>
      </c>
      <c r="K2736" s="33" t="s">
        <v>17457</v>
      </c>
      <c r="L2736" s="33" t="s">
        <v>20498</v>
      </c>
      <c r="M2736" s="33" t="s">
        <v>21</v>
      </c>
      <c r="N2736" s="33" t="s">
        <v>28652</v>
      </c>
      <c r="O2736" s="33" t="s">
        <v>372</v>
      </c>
      <c r="P2736" s="33" t="s">
        <v>30089</v>
      </c>
      <c r="Q2736" s="42" t="s">
        <v>28653</v>
      </c>
      <c r="R2736" s="33" t="s">
        <v>23</v>
      </c>
      <c r="S2736" s="33" t="s">
        <v>29</v>
      </c>
      <c r="T2736" s="36" t="s">
        <v>26575</v>
      </c>
      <c r="U2736" s="36" t="s">
        <v>26570</v>
      </c>
      <c r="V2736" s="36" t="s">
        <v>19228</v>
      </c>
      <c r="W2736" s="36" t="s">
        <v>94</v>
      </c>
      <c r="X2736" s="33">
        <v>2772</v>
      </c>
      <c r="Z2736" s="33" t="s">
        <v>42967</v>
      </c>
      <c r="AA2736" s="33">
        <v>4931</v>
      </c>
    </row>
    <row r="2737" spans="1:46" ht="12" customHeight="1" x14ac:dyDescent="0.15">
      <c r="A2737" s="33" t="s">
        <v>28642</v>
      </c>
      <c r="B2737" s="33">
        <v>58</v>
      </c>
      <c r="C2737" s="33" t="s">
        <v>14</v>
      </c>
      <c r="D2737" s="33" t="s">
        <v>31</v>
      </c>
      <c r="E2737" s="42" t="s">
        <v>28643</v>
      </c>
      <c r="F2737" s="67">
        <v>42928</v>
      </c>
      <c r="G2737" s="33" t="s">
        <v>28804</v>
      </c>
      <c r="H2737" s="33" t="s">
        <v>28644</v>
      </c>
      <c r="I2737" s="33" t="s">
        <v>39</v>
      </c>
      <c r="J2737" s="33">
        <v>93433</v>
      </c>
      <c r="K2737" s="33" t="s">
        <v>25473</v>
      </c>
      <c r="L2737" s="33" t="s">
        <v>28645</v>
      </c>
      <c r="M2737" s="33" t="s">
        <v>4966</v>
      </c>
      <c r="N2737" s="33" t="s">
        <v>28646</v>
      </c>
      <c r="O2737" s="33" t="s">
        <v>372</v>
      </c>
      <c r="P2737" s="33" t="s">
        <v>30089</v>
      </c>
      <c r="Q2737" s="42" t="s">
        <v>28647</v>
      </c>
      <c r="R2737" s="33" t="s">
        <v>23</v>
      </c>
      <c r="S2737" s="33" t="s">
        <v>29</v>
      </c>
      <c r="T2737" s="36" t="s">
        <v>26591</v>
      </c>
      <c r="U2737" s="36" t="s">
        <v>26570</v>
      </c>
      <c r="V2737" s="36" t="s">
        <v>26573</v>
      </c>
      <c r="W2737" s="36" t="s">
        <v>94</v>
      </c>
      <c r="X2737" s="33">
        <v>2773</v>
      </c>
      <c r="Z2737" s="33" t="s">
        <v>42968</v>
      </c>
      <c r="AA2737" s="33">
        <v>4929</v>
      </c>
    </row>
    <row r="2738" spans="1:46" ht="12" customHeight="1" x14ac:dyDescent="0.15">
      <c r="A2738" s="33" t="s">
        <v>28664</v>
      </c>
      <c r="B2738" s="33">
        <v>48</v>
      </c>
      <c r="C2738" s="33" t="s">
        <v>14</v>
      </c>
      <c r="D2738" s="33" t="s">
        <v>31</v>
      </c>
      <c r="F2738" s="67">
        <v>42927</v>
      </c>
      <c r="G2738" s="33" t="s">
        <v>28665</v>
      </c>
      <c r="H2738" s="33" t="s">
        <v>5061</v>
      </c>
      <c r="I2738" s="33" t="s">
        <v>402</v>
      </c>
      <c r="J2738" s="33">
        <v>63901</v>
      </c>
      <c r="K2738" s="33" t="s">
        <v>5063</v>
      </c>
      <c r="L2738" s="33" t="s">
        <v>28666</v>
      </c>
      <c r="M2738" s="33" t="s">
        <v>21</v>
      </c>
      <c r="N2738" s="33" t="s">
        <v>28667</v>
      </c>
      <c r="O2738" s="33" t="s">
        <v>372</v>
      </c>
      <c r="P2738" s="33" t="s">
        <v>30089</v>
      </c>
      <c r="Q2738" s="42" t="s">
        <v>28668</v>
      </c>
      <c r="R2738" s="33" t="s">
        <v>94</v>
      </c>
      <c r="S2738" s="33" t="s">
        <v>22</v>
      </c>
      <c r="T2738" s="36" t="s">
        <v>26781</v>
      </c>
      <c r="U2738" s="36" t="s">
        <v>26570</v>
      </c>
      <c r="V2738" s="36" t="s">
        <v>26573</v>
      </c>
      <c r="W2738" s="36" t="s">
        <v>94</v>
      </c>
      <c r="X2738" s="33">
        <v>2768</v>
      </c>
      <c r="Z2738" s="33" t="s">
        <v>42967</v>
      </c>
      <c r="AA2738" s="33">
        <v>4924</v>
      </c>
      <c r="AQ2738" s="42"/>
    </row>
    <row r="2739" spans="1:46" ht="12" customHeight="1" x14ac:dyDescent="0.15">
      <c r="A2739" s="33" t="s">
        <v>28672</v>
      </c>
      <c r="B2739" s="33">
        <v>47</v>
      </c>
      <c r="C2739" s="33" t="s">
        <v>14</v>
      </c>
      <c r="D2739" s="33" t="s">
        <v>79</v>
      </c>
      <c r="E2739" s="42" t="s">
        <v>30716</v>
      </c>
      <c r="F2739" s="67">
        <v>42927</v>
      </c>
      <c r="G2739" s="33" t="s">
        <v>28673</v>
      </c>
      <c r="H2739" s="33" t="s">
        <v>7705</v>
      </c>
      <c r="I2739" s="33" t="s">
        <v>337</v>
      </c>
      <c r="J2739" s="33">
        <v>66048</v>
      </c>
      <c r="K2739" s="33" t="s">
        <v>7705</v>
      </c>
      <c r="L2739" s="33" t="s">
        <v>7707</v>
      </c>
      <c r="M2739" s="33" t="s">
        <v>21</v>
      </c>
      <c r="N2739" s="33" t="s">
        <v>29642</v>
      </c>
      <c r="O2739" s="33" t="s">
        <v>36128</v>
      </c>
      <c r="P2739" s="33" t="s">
        <v>1084</v>
      </c>
      <c r="Q2739" s="42" t="s">
        <v>28674</v>
      </c>
      <c r="R2739" s="33" t="s">
        <v>94</v>
      </c>
      <c r="S2739" s="33" t="s">
        <v>12</v>
      </c>
      <c r="T2739" s="36" t="s">
        <v>29705</v>
      </c>
      <c r="U2739" s="36" t="s">
        <v>26570</v>
      </c>
      <c r="V2739" s="36" t="s">
        <v>26571</v>
      </c>
      <c r="W2739" s="36" t="s">
        <v>94</v>
      </c>
      <c r="X2739" s="33">
        <v>2769</v>
      </c>
      <c r="Z2739" s="33" t="s">
        <v>42968</v>
      </c>
      <c r="AA2739" s="33">
        <v>4928</v>
      </c>
    </row>
    <row r="2740" spans="1:46" ht="12" customHeight="1" x14ac:dyDescent="0.15">
      <c r="A2740" s="33" t="s">
        <v>30402</v>
      </c>
      <c r="B2740" s="33">
        <v>54</v>
      </c>
      <c r="C2740" s="33" t="s">
        <v>14</v>
      </c>
      <c r="D2740" s="33" t="s">
        <v>31</v>
      </c>
      <c r="F2740" s="67">
        <v>42927</v>
      </c>
      <c r="G2740" s="33" t="s">
        <v>28819</v>
      </c>
      <c r="H2740" s="33" t="s">
        <v>28669</v>
      </c>
      <c r="I2740" s="33" t="s">
        <v>112</v>
      </c>
      <c r="J2740" s="33">
        <v>86413</v>
      </c>
      <c r="K2740" s="33" t="s">
        <v>5363</v>
      </c>
      <c r="L2740" s="33" t="s">
        <v>13350</v>
      </c>
      <c r="M2740" s="33" t="s">
        <v>21</v>
      </c>
      <c r="N2740" s="33" t="s">
        <v>28670</v>
      </c>
      <c r="O2740" s="33" t="s">
        <v>372</v>
      </c>
      <c r="P2740" s="33" t="s">
        <v>30089</v>
      </c>
      <c r="Q2740" s="42" t="s">
        <v>28671</v>
      </c>
      <c r="R2740" s="33" t="s">
        <v>94</v>
      </c>
      <c r="S2740" s="33" t="s">
        <v>22</v>
      </c>
      <c r="T2740" s="36" t="s">
        <v>26781</v>
      </c>
      <c r="U2740" s="36" t="s">
        <v>26572</v>
      </c>
      <c r="V2740" s="36" t="s">
        <v>26574</v>
      </c>
      <c r="W2740" s="36" t="s">
        <v>94</v>
      </c>
      <c r="X2740" s="33">
        <v>2770</v>
      </c>
      <c r="Z2740" s="33" t="s">
        <v>42967</v>
      </c>
      <c r="AA2740" s="33">
        <v>4925</v>
      </c>
      <c r="AQ2740" s="42"/>
    </row>
    <row r="2741" spans="1:46" ht="12" customHeight="1" x14ac:dyDescent="0.15">
      <c r="A2741" s="33" t="s">
        <v>28675</v>
      </c>
      <c r="B2741" s="33">
        <v>40</v>
      </c>
      <c r="C2741" s="33" t="s">
        <v>14</v>
      </c>
      <c r="D2741" s="33" t="s">
        <v>30751</v>
      </c>
      <c r="F2741" s="67">
        <v>42927</v>
      </c>
      <c r="G2741" s="33" t="s">
        <v>28676</v>
      </c>
      <c r="H2741" s="33" t="s">
        <v>818</v>
      </c>
      <c r="I2741" s="33" t="s">
        <v>225</v>
      </c>
      <c r="J2741" s="33">
        <v>23231</v>
      </c>
      <c r="K2741" s="33" t="s">
        <v>27272</v>
      </c>
      <c r="L2741" s="33" t="s">
        <v>27273</v>
      </c>
      <c r="M2741" s="33" t="s">
        <v>21</v>
      </c>
      <c r="N2741" s="33" t="s">
        <v>28677</v>
      </c>
      <c r="O2741" s="33" t="s">
        <v>372</v>
      </c>
      <c r="P2741" s="33" t="s">
        <v>30089</v>
      </c>
      <c r="Q2741" s="42" t="s">
        <v>28678</v>
      </c>
      <c r="R2741" s="33" t="s">
        <v>94</v>
      </c>
      <c r="S2741" s="33" t="s">
        <v>22</v>
      </c>
      <c r="T2741" s="36" t="s">
        <v>26781</v>
      </c>
      <c r="U2741" s="36" t="s">
        <v>26572</v>
      </c>
      <c r="V2741" s="36" t="s">
        <v>26573</v>
      </c>
      <c r="Z2741" s="33" t="s">
        <v>42968</v>
      </c>
      <c r="AA2741" s="33">
        <v>4926</v>
      </c>
    </row>
    <row r="2742" spans="1:46" ht="12" customHeight="1" x14ac:dyDescent="0.15">
      <c r="A2742" s="33" t="s">
        <v>28654</v>
      </c>
      <c r="B2742" s="33">
        <v>34</v>
      </c>
      <c r="C2742" s="33" t="s">
        <v>14</v>
      </c>
      <c r="D2742" s="33" t="s">
        <v>31</v>
      </c>
      <c r="F2742" s="67">
        <v>42927</v>
      </c>
      <c r="G2742" s="33" t="s">
        <v>28655</v>
      </c>
      <c r="H2742" s="33" t="s">
        <v>28656</v>
      </c>
      <c r="I2742" s="33" t="s">
        <v>409</v>
      </c>
      <c r="J2742" s="33">
        <v>53038</v>
      </c>
      <c r="K2742" s="33" t="s">
        <v>1659</v>
      </c>
      <c r="L2742" s="33" t="s">
        <v>28657</v>
      </c>
      <c r="M2742" s="33" t="s">
        <v>21</v>
      </c>
      <c r="N2742" s="33" t="s">
        <v>28658</v>
      </c>
      <c r="O2742" s="33" t="s">
        <v>372</v>
      </c>
      <c r="P2742" s="33" t="s">
        <v>94</v>
      </c>
      <c r="Q2742" s="42" t="s">
        <v>28659</v>
      </c>
      <c r="R2742" s="33" t="s">
        <v>512</v>
      </c>
      <c r="S2742" s="33" t="s">
        <v>22</v>
      </c>
      <c r="T2742" s="36" t="s">
        <v>26781</v>
      </c>
      <c r="U2742" s="36" t="s">
        <v>26570</v>
      </c>
      <c r="V2742" s="36" t="s">
        <v>26571</v>
      </c>
      <c r="W2742" s="36" t="s">
        <v>94</v>
      </c>
      <c r="X2742" s="33">
        <v>2766</v>
      </c>
      <c r="Z2742" s="33" t="s">
        <v>42967</v>
      </c>
      <c r="AA2742" s="33">
        <v>4923</v>
      </c>
      <c r="AQ2742" s="84"/>
    </row>
    <row r="2743" spans="1:46" ht="12" customHeight="1" x14ac:dyDescent="0.15">
      <c r="A2743" s="33" t="s">
        <v>28660</v>
      </c>
      <c r="B2743" s="33">
        <v>27</v>
      </c>
      <c r="C2743" s="33" t="s">
        <v>14</v>
      </c>
      <c r="D2743" s="33" t="s">
        <v>31</v>
      </c>
      <c r="F2743" s="67">
        <v>42927</v>
      </c>
      <c r="G2743" s="33" t="s">
        <v>28661</v>
      </c>
      <c r="H2743" s="33" t="s">
        <v>607</v>
      </c>
      <c r="I2743" s="33" t="s">
        <v>250</v>
      </c>
      <c r="J2743" s="33">
        <v>89130</v>
      </c>
      <c r="K2743" s="33" t="s">
        <v>527</v>
      </c>
      <c r="L2743" s="33" t="s">
        <v>528</v>
      </c>
      <c r="M2743" s="33" t="s">
        <v>21</v>
      </c>
      <c r="N2743" s="33" t="s">
        <v>28662</v>
      </c>
      <c r="O2743" s="33" t="s">
        <v>372</v>
      </c>
      <c r="P2743" s="33" t="s">
        <v>30089</v>
      </c>
      <c r="Q2743" s="42" t="s">
        <v>28663</v>
      </c>
      <c r="R2743" s="33" t="s">
        <v>512</v>
      </c>
      <c r="S2743" s="33" t="s">
        <v>22</v>
      </c>
      <c r="T2743" s="36" t="s">
        <v>26774</v>
      </c>
      <c r="U2743" s="36" t="s">
        <v>26572</v>
      </c>
      <c r="V2743" s="36" t="s">
        <v>26573</v>
      </c>
      <c r="W2743" s="36" t="s">
        <v>512</v>
      </c>
      <c r="X2743" s="33">
        <v>2767</v>
      </c>
      <c r="Z2743" s="33" t="s">
        <v>42968</v>
      </c>
      <c r="AA2743" s="33">
        <v>4927</v>
      </c>
    </row>
    <row r="2744" spans="1:46" ht="12" customHeight="1" x14ac:dyDescent="0.15">
      <c r="A2744" s="33" t="s">
        <v>28679</v>
      </c>
      <c r="B2744" s="33">
        <v>39</v>
      </c>
      <c r="C2744" s="33" t="s">
        <v>14</v>
      </c>
      <c r="D2744" s="33" t="s">
        <v>31</v>
      </c>
      <c r="F2744" s="67">
        <v>42926</v>
      </c>
      <c r="G2744" s="33" t="s">
        <v>28680</v>
      </c>
      <c r="H2744" s="33" t="s">
        <v>515</v>
      </c>
      <c r="I2744" s="33" t="s">
        <v>122</v>
      </c>
      <c r="J2744" s="33">
        <v>55032</v>
      </c>
      <c r="K2744" s="33" t="s">
        <v>28681</v>
      </c>
      <c r="L2744" s="33" t="s">
        <v>28682</v>
      </c>
      <c r="M2744" s="33" t="s">
        <v>21</v>
      </c>
      <c r="N2744" s="33" t="s">
        <v>28683</v>
      </c>
      <c r="O2744" s="33" t="s">
        <v>372</v>
      </c>
      <c r="P2744" s="33" t="s">
        <v>30089</v>
      </c>
      <c r="Q2744" s="42" t="s">
        <v>28684</v>
      </c>
      <c r="R2744" s="33" t="s">
        <v>512</v>
      </c>
      <c r="S2744" s="33" t="s">
        <v>22</v>
      </c>
      <c r="T2744" s="36" t="s">
        <v>26781</v>
      </c>
      <c r="U2744" s="36" t="s">
        <v>26572</v>
      </c>
      <c r="V2744" s="36" t="s">
        <v>26571</v>
      </c>
      <c r="W2744" s="36" t="s">
        <v>94</v>
      </c>
      <c r="X2744" s="33">
        <v>2764</v>
      </c>
      <c r="Z2744" s="33" t="s">
        <v>42967</v>
      </c>
      <c r="AA2744" s="33">
        <v>4921</v>
      </c>
    </row>
    <row r="2745" spans="1:46" ht="12" customHeight="1" x14ac:dyDescent="0.15">
      <c r="A2745" s="33" t="s">
        <v>28685</v>
      </c>
      <c r="B2745" s="33">
        <v>26</v>
      </c>
      <c r="C2745" s="33" t="s">
        <v>14</v>
      </c>
      <c r="D2745" s="33" t="s">
        <v>31</v>
      </c>
      <c r="E2745" s="42" t="s">
        <v>28686</v>
      </c>
      <c r="F2745" s="67">
        <v>42926</v>
      </c>
      <c r="G2745" s="33" t="s">
        <v>28687</v>
      </c>
      <c r="H2745" s="33" t="s">
        <v>16756</v>
      </c>
      <c r="I2745" s="33" t="s">
        <v>46</v>
      </c>
      <c r="J2745" s="33">
        <v>21771</v>
      </c>
      <c r="K2745" s="33" t="s">
        <v>2865</v>
      </c>
      <c r="L2745" s="33" t="s">
        <v>48</v>
      </c>
      <c r="M2745" s="33" t="s">
        <v>21</v>
      </c>
      <c r="N2745" s="33" t="s">
        <v>28688</v>
      </c>
      <c r="O2745" s="33" t="s">
        <v>372</v>
      </c>
      <c r="P2745" s="33" t="s">
        <v>30089</v>
      </c>
      <c r="Q2745" s="42" t="s">
        <v>28689</v>
      </c>
      <c r="R2745" s="33" t="s">
        <v>94</v>
      </c>
      <c r="S2745" s="33" t="s">
        <v>351</v>
      </c>
      <c r="T2745" s="36" t="s">
        <v>26867</v>
      </c>
      <c r="U2745" s="36" t="s">
        <v>26572</v>
      </c>
      <c r="V2745" s="36" t="s">
        <v>26573</v>
      </c>
      <c r="W2745" s="36" t="s">
        <v>94</v>
      </c>
      <c r="X2745" s="33">
        <v>2762</v>
      </c>
      <c r="Z2745" s="33" t="s">
        <v>42968</v>
      </c>
      <c r="AA2745" s="33">
        <v>4922</v>
      </c>
    </row>
    <row r="2746" spans="1:46" ht="12" customHeight="1" x14ac:dyDescent="0.15">
      <c r="A2746" s="33" t="s">
        <v>28696</v>
      </c>
      <c r="B2746" s="33">
        <v>34</v>
      </c>
      <c r="C2746" s="33" t="s">
        <v>14</v>
      </c>
      <c r="D2746" s="33" t="s">
        <v>31</v>
      </c>
      <c r="F2746" s="67">
        <v>42925</v>
      </c>
      <c r="G2746" s="33" t="s">
        <v>28697</v>
      </c>
      <c r="H2746" s="33" t="s">
        <v>28698</v>
      </c>
      <c r="I2746" s="33" t="s">
        <v>282</v>
      </c>
      <c r="J2746" s="33">
        <v>98110</v>
      </c>
      <c r="K2746" s="33" t="s">
        <v>8257</v>
      </c>
      <c r="L2746" s="33" t="s">
        <v>28699</v>
      </c>
      <c r="M2746" s="33" t="s">
        <v>21</v>
      </c>
      <c r="N2746" s="33" t="s">
        <v>28700</v>
      </c>
      <c r="O2746" s="33" t="s">
        <v>372</v>
      </c>
      <c r="P2746" s="33" t="s">
        <v>30089</v>
      </c>
      <c r="Q2746" s="42" t="s">
        <v>28701</v>
      </c>
      <c r="R2746" s="33" t="s">
        <v>512</v>
      </c>
      <c r="S2746" s="33" t="s">
        <v>22</v>
      </c>
      <c r="T2746" s="36" t="s">
        <v>26781</v>
      </c>
      <c r="U2746" s="36" t="s">
        <v>26572</v>
      </c>
      <c r="V2746" s="36" t="s">
        <v>26573</v>
      </c>
      <c r="W2746" s="36" t="s">
        <v>94</v>
      </c>
      <c r="X2746" s="33">
        <v>2754</v>
      </c>
      <c r="Z2746" s="33" t="s">
        <v>42968</v>
      </c>
      <c r="AA2746" s="33">
        <v>4917</v>
      </c>
      <c r="AQ2746" s="42"/>
    </row>
    <row r="2747" spans="1:46" ht="12" customHeight="1" x14ac:dyDescent="0.15">
      <c r="A2747" s="33" t="s">
        <v>28702</v>
      </c>
      <c r="B2747" s="33">
        <v>24</v>
      </c>
      <c r="C2747" s="33" t="s">
        <v>14</v>
      </c>
      <c r="D2747" s="33" t="s">
        <v>42</v>
      </c>
      <c r="E2747" s="42" t="s">
        <v>30396</v>
      </c>
      <c r="F2747" s="67">
        <v>42925</v>
      </c>
      <c r="G2747" s="33" t="s">
        <v>28796</v>
      </c>
      <c r="H2747" s="33" t="s">
        <v>81</v>
      </c>
      <c r="I2747" s="33" t="s">
        <v>38</v>
      </c>
      <c r="J2747" s="33">
        <v>60639</v>
      </c>
      <c r="K2747" s="33" t="s">
        <v>82</v>
      </c>
      <c r="L2747" s="33" t="s">
        <v>83</v>
      </c>
      <c r="M2747" s="33" t="s">
        <v>21</v>
      </c>
      <c r="N2747" s="33" t="s">
        <v>28703</v>
      </c>
      <c r="O2747" s="33" t="s">
        <v>372</v>
      </c>
      <c r="P2747" s="33" t="s">
        <v>30089</v>
      </c>
      <c r="Q2747" s="42" t="s">
        <v>28704</v>
      </c>
      <c r="R2747" s="33" t="s">
        <v>94</v>
      </c>
      <c r="S2747" s="33" t="s">
        <v>22</v>
      </c>
      <c r="T2747" s="36" t="s">
        <v>26781</v>
      </c>
      <c r="U2747" s="36" t="s">
        <v>26572</v>
      </c>
      <c r="V2747" s="36" t="s">
        <v>26574</v>
      </c>
      <c r="W2747" s="36" t="s">
        <v>94</v>
      </c>
      <c r="X2747" s="33">
        <v>2755</v>
      </c>
      <c r="Z2747" s="33" t="s">
        <v>42966</v>
      </c>
      <c r="AA2747" s="33">
        <v>4918</v>
      </c>
      <c r="AQ2747" s="42"/>
      <c r="AT2747" s="42"/>
    </row>
    <row r="2748" spans="1:46" ht="12" customHeight="1" x14ac:dyDescent="0.15">
      <c r="A2748" s="33" t="s">
        <v>28705</v>
      </c>
      <c r="B2748" s="33">
        <v>54</v>
      </c>
      <c r="C2748" s="33" t="s">
        <v>14</v>
      </c>
      <c r="D2748" s="33" t="s">
        <v>79</v>
      </c>
      <c r="F2748" s="67">
        <v>42925</v>
      </c>
      <c r="G2748" s="33" t="s">
        <v>28786</v>
      </c>
      <c r="H2748" s="33" t="s">
        <v>187</v>
      </c>
      <c r="I2748" s="33" t="s">
        <v>63</v>
      </c>
      <c r="J2748" s="33">
        <v>44313</v>
      </c>
      <c r="K2748" s="33" t="s">
        <v>3180</v>
      </c>
      <c r="L2748" s="33" t="s">
        <v>188</v>
      </c>
      <c r="M2748" s="33" t="s">
        <v>21</v>
      </c>
      <c r="N2748" s="33" t="s">
        <v>28706</v>
      </c>
      <c r="O2748" s="33" t="s">
        <v>372</v>
      </c>
      <c r="P2748" s="33" t="s">
        <v>30089</v>
      </c>
      <c r="Q2748" s="42" t="s">
        <v>28707</v>
      </c>
      <c r="R2748" s="33" t="s">
        <v>94</v>
      </c>
      <c r="S2748" s="33" t="s">
        <v>22</v>
      </c>
      <c r="T2748" s="36" t="s">
        <v>26781</v>
      </c>
      <c r="U2748" s="36" t="s">
        <v>26572</v>
      </c>
      <c r="V2748" s="36" t="s">
        <v>26573</v>
      </c>
      <c r="W2748" s="36" t="s">
        <v>94</v>
      </c>
      <c r="X2748" s="33">
        <v>2761</v>
      </c>
      <c r="Z2748" s="33" t="s">
        <v>42968</v>
      </c>
      <c r="AA2748" s="33">
        <v>4919</v>
      </c>
    </row>
    <row r="2749" spans="1:46" ht="12" customHeight="1" x14ac:dyDescent="0.15">
      <c r="A2749" s="33" t="s">
        <v>28690</v>
      </c>
      <c r="B2749" s="33">
        <v>28</v>
      </c>
      <c r="C2749" s="33" t="s">
        <v>14</v>
      </c>
      <c r="D2749" s="33" t="s">
        <v>31</v>
      </c>
      <c r="E2749" s="42" t="s">
        <v>28691</v>
      </c>
      <c r="F2749" s="67">
        <v>42925</v>
      </c>
      <c r="G2749" s="33" t="s">
        <v>28692</v>
      </c>
      <c r="H2749" s="33" t="s">
        <v>14221</v>
      </c>
      <c r="I2749" s="33" t="s">
        <v>63</v>
      </c>
      <c r="J2749" s="33">
        <v>44685</v>
      </c>
      <c r="K2749" s="33" t="s">
        <v>2114</v>
      </c>
      <c r="L2749" s="33" t="s">
        <v>28693</v>
      </c>
      <c r="M2749" s="33" t="s">
        <v>21</v>
      </c>
      <c r="N2749" s="33" t="s">
        <v>28694</v>
      </c>
      <c r="O2749" s="33" t="s">
        <v>372</v>
      </c>
      <c r="P2749" s="33" t="s">
        <v>30089</v>
      </c>
      <c r="Q2749" s="42" t="s">
        <v>28695</v>
      </c>
      <c r="R2749" s="33" t="s">
        <v>94</v>
      </c>
      <c r="S2749" s="33" t="s">
        <v>22</v>
      </c>
      <c r="T2749" s="36" t="s">
        <v>26781</v>
      </c>
      <c r="U2749" s="36" t="s">
        <v>26572</v>
      </c>
      <c r="V2749" s="36" t="s">
        <v>26573</v>
      </c>
      <c r="W2749" s="36" t="s">
        <v>94</v>
      </c>
      <c r="X2749" s="33">
        <v>2753</v>
      </c>
      <c r="Z2749" s="33" t="s">
        <v>42968</v>
      </c>
      <c r="AA2749" s="33">
        <v>4916</v>
      </c>
    </row>
    <row r="2750" spans="1:46" ht="12" customHeight="1" x14ac:dyDescent="0.15">
      <c r="A2750" s="33" t="s">
        <v>28711</v>
      </c>
      <c r="B2750" s="33">
        <v>27</v>
      </c>
      <c r="C2750" s="33" t="s">
        <v>14</v>
      </c>
      <c r="D2750" s="33" t="s">
        <v>79</v>
      </c>
      <c r="F2750" s="67">
        <v>42925</v>
      </c>
      <c r="G2750" s="33" t="s">
        <v>28708</v>
      </c>
      <c r="H2750" s="33" t="s">
        <v>3577</v>
      </c>
      <c r="I2750" s="33" t="s">
        <v>46</v>
      </c>
      <c r="J2750" s="33">
        <v>21804</v>
      </c>
      <c r="K2750" s="33" t="s">
        <v>3579</v>
      </c>
      <c r="L2750" s="33" t="s">
        <v>647</v>
      </c>
      <c r="M2750" s="33" t="s">
        <v>21</v>
      </c>
      <c r="N2750" s="33" t="s">
        <v>28709</v>
      </c>
      <c r="O2750" s="33" t="s">
        <v>372</v>
      </c>
      <c r="P2750" s="33" t="s">
        <v>30089</v>
      </c>
      <c r="Q2750" s="42" t="s">
        <v>28710</v>
      </c>
      <c r="R2750" s="33" t="s">
        <v>94</v>
      </c>
      <c r="S2750" s="33" t="s">
        <v>22</v>
      </c>
      <c r="T2750" s="36" t="s">
        <v>26781</v>
      </c>
      <c r="U2750" s="36" t="s">
        <v>26572</v>
      </c>
      <c r="V2750" s="36" t="s">
        <v>26573</v>
      </c>
      <c r="Y2750" s="33" t="s">
        <v>42476</v>
      </c>
      <c r="Z2750" s="33" t="s">
        <v>42968</v>
      </c>
      <c r="AA2750" s="33">
        <v>4920</v>
      </c>
    </row>
    <row r="2751" spans="1:46" ht="12" customHeight="1" x14ac:dyDescent="0.15">
      <c r="A2751" s="33" t="s">
        <v>30403</v>
      </c>
      <c r="B2751" s="33">
        <v>23</v>
      </c>
      <c r="C2751" s="33" t="s">
        <v>14</v>
      </c>
      <c r="D2751" s="33" t="s">
        <v>79</v>
      </c>
      <c r="F2751" s="67">
        <v>42924</v>
      </c>
      <c r="G2751" s="33" t="s">
        <v>28717</v>
      </c>
      <c r="H2751" s="33" t="s">
        <v>28718</v>
      </c>
      <c r="I2751" s="33" t="s">
        <v>56</v>
      </c>
      <c r="J2751" s="33">
        <v>32112</v>
      </c>
      <c r="K2751" s="33" t="s">
        <v>1950</v>
      </c>
      <c r="L2751" s="33" t="s">
        <v>3112</v>
      </c>
      <c r="M2751" s="33" t="s">
        <v>4966</v>
      </c>
      <c r="N2751" s="33" t="s">
        <v>36563</v>
      </c>
      <c r="O2751" s="33" t="s">
        <v>372</v>
      </c>
      <c r="P2751" s="33" t="s">
        <v>30089</v>
      </c>
      <c r="Q2751" s="42" t="s">
        <v>28719</v>
      </c>
      <c r="R2751" s="33" t="s">
        <v>512</v>
      </c>
      <c r="S2751" s="33" t="s">
        <v>22</v>
      </c>
      <c r="T2751" s="36" t="s">
        <v>26774</v>
      </c>
      <c r="U2751" s="36" t="s">
        <v>26570</v>
      </c>
      <c r="V2751" s="36" t="s">
        <v>26573</v>
      </c>
      <c r="W2751" s="36" t="s">
        <v>94</v>
      </c>
      <c r="X2751" s="33">
        <v>2758</v>
      </c>
      <c r="Z2751" s="33" t="s">
        <v>42967</v>
      </c>
      <c r="AA2751" s="33">
        <v>4915</v>
      </c>
    </row>
    <row r="2752" spans="1:46" ht="12" customHeight="1" x14ac:dyDescent="0.15">
      <c r="A2752" s="33" t="s">
        <v>28720</v>
      </c>
      <c r="B2752" s="33">
        <v>50</v>
      </c>
      <c r="C2752" s="33" t="s">
        <v>103</v>
      </c>
      <c r="D2752" s="33" t="s">
        <v>31</v>
      </c>
      <c r="E2752" s="42" t="s">
        <v>28721</v>
      </c>
      <c r="F2752" s="67">
        <v>42924</v>
      </c>
      <c r="G2752" s="33" t="s">
        <v>28722</v>
      </c>
      <c r="H2752" s="33" t="s">
        <v>1606</v>
      </c>
      <c r="I2752" s="33" t="s">
        <v>338</v>
      </c>
      <c r="J2752" s="33">
        <v>27504</v>
      </c>
      <c r="K2752" s="33" t="s">
        <v>20547</v>
      </c>
      <c r="L2752" s="33" t="s">
        <v>28723</v>
      </c>
      <c r="M2752" s="33" t="s">
        <v>21</v>
      </c>
      <c r="N2752" s="33" t="s">
        <v>36562</v>
      </c>
      <c r="O2752" s="33" t="s">
        <v>372</v>
      </c>
      <c r="P2752" s="33" t="s">
        <v>30089</v>
      </c>
      <c r="Q2752" s="42" t="s">
        <v>28724</v>
      </c>
      <c r="R2752" s="33" t="s">
        <v>94</v>
      </c>
      <c r="S2752" s="33" t="s">
        <v>22</v>
      </c>
      <c r="T2752" s="36" t="s">
        <v>26781</v>
      </c>
      <c r="U2752" s="36" t="s">
        <v>26572</v>
      </c>
      <c r="V2752" s="36" t="s">
        <v>26573</v>
      </c>
      <c r="W2752" s="36" t="s">
        <v>94</v>
      </c>
      <c r="X2752" s="33">
        <v>2760</v>
      </c>
      <c r="Z2752" s="33" t="s">
        <v>42967</v>
      </c>
      <c r="AA2752" s="33">
        <v>4913</v>
      </c>
    </row>
    <row r="2753" spans="1:46" ht="12" customHeight="1" x14ac:dyDescent="0.15">
      <c r="A2753" s="33" t="s">
        <v>28712</v>
      </c>
      <c r="B2753" s="33">
        <v>22</v>
      </c>
      <c r="C2753" s="33" t="s">
        <v>14</v>
      </c>
      <c r="D2753" s="33" t="s">
        <v>31</v>
      </c>
      <c r="E2753" s="42" t="s">
        <v>28713</v>
      </c>
      <c r="F2753" s="67">
        <v>42924</v>
      </c>
      <c r="G2753" s="33" t="s">
        <v>28714</v>
      </c>
      <c r="H2753" s="33" t="s">
        <v>6597</v>
      </c>
      <c r="I2753" s="33" t="s">
        <v>282</v>
      </c>
      <c r="J2753" s="33">
        <v>98516</v>
      </c>
      <c r="K2753" s="33" t="s">
        <v>6599</v>
      </c>
      <c r="L2753" s="33" t="s">
        <v>8302</v>
      </c>
      <c r="M2753" s="33" t="s">
        <v>21</v>
      </c>
      <c r="N2753" s="33" t="s">
        <v>28715</v>
      </c>
      <c r="O2753" s="33" t="s">
        <v>372</v>
      </c>
      <c r="P2753" s="33" t="s">
        <v>30089</v>
      </c>
      <c r="Q2753" s="42" t="s">
        <v>28716</v>
      </c>
      <c r="R2753" s="33" t="s">
        <v>512</v>
      </c>
      <c r="S2753" s="33" t="s">
        <v>22</v>
      </c>
      <c r="T2753" s="36" t="s">
        <v>26774</v>
      </c>
      <c r="U2753" s="36" t="s">
        <v>26570</v>
      </c>
      <c r="V2753" s="36" t="s">
        <v>26573</v>
      </c>
      <c r="W2753" s="36" t="s">
        <v>94</v>
      </c>
      <c r="X2753" s="33">
        <v>2757</v>
      </c>
      <c r="Z2753" s="33" t="s">
        <v>42968</v>
      </c>
      <c r="AA2753" s="33">
        <v>4914</v>
      </c>
    </row>
    <row r="2754" spans="1:46" ht="12" customHeight="1" x14ac:dyDescent="0.15">
      <c r="A2754" s="33" t="s">
        <v>28729</v>
      </c>
      <c r="B2754" s="33">
        <v>16</v>
      </c>
      <c r="C2754" s="33" t="s">
        <v>14</v>
      </c>
      <c r="D2754" s="33" t="s">
        <v>31</v>
      </c>
      <c r="E2754" s="33" t="s">
        <v>28730</v>
      </c>
      <c r="F2754" s="67">
        <v>42923</v>
      </c>
      <c r="G2754" s="33" t="s">
        <v>28731</v>
      </c>
      <c r="H2754" s="33" t="s">
        <v>2012</v>
      </c>
      <c r="I2754" s="33" t="s">
        <v>88</v>
      </c>
      <c r="J2754" s="33">
        <v>35805</v>
      </c>
      <c r="K2754" s="33" t="s">
        <v>2014</v>
      </c>
      <c r="L2754" s="33" t="s">
        <v>28732</v>
      </c>
      <c r="M2754" s="33" t="s">
        <v>21</v>
      </c>
      <c r="N2754" s="33" t="s">
        <v>28733</v>
      </c>
      <c r="O2754" s="33" t="s">
        <v>372</v>
      </c>
      <c r="P2754" s="33" t="s">
        <v>30089</v>
      </c>
      <c r="Q2754" s="42" t="s">
        <v>28734</v>
      </c>
      <c r="R2754" s="33" t="s">
        <v>94</v>
      </c>
      <c r="S2754" s="33" t="s">
        <v>351</v>
      </c>
      <c r="T2754" s="36" t="s">
        <v>26867</v>
      </c>
      <c r="U2754" s="36" t="s">
        <v>26572</v>
      </c>
      <c r="V2754" s="36" t="s">
        <v>26571</v>
      </c>
      <c r="W2754" s="36" t="s">
        <v>94</v>
      </c>
      <c r="X2754" s="33">
        <v>2752</v>
      </c>
      <c r="Z2754" s="33" t="s">
        <v>42968</v>
      </c>
      <c r="AA2754" s="33">
        <v>4912</v>
      </c>
    </row>
    <row r="2755" spans="1:46" ht="12" customHeight="1" x14ac:dyDescent="0.15">
      <c r="A2755" s="33" t="s">
        <v>30717</v>
      </c>
      <c r="B2755" s="33">
        <v>58</v>
      </c>
      <c r="C2755" s="33" t="s">
        <v>14</v>
      </c>
      <c r="D2755" s="33" t="s">
        <v>79</v>
      </c>
      <c r="F2755" s="67">
        <v>42923</v>
      </c>
      <c r="G2755" s="33" t="s">
        <v>28740</v>
      </c>
      <c r="H2755" s="33" t="s">
        <v>28741</v>
      </c>
      <c r="I2755" s="33" t="s">
        <v>160</v>
      </c>
      <c r="J2755" s="33">
        <v>31082</v>
      </c>
      <c r="K2755" s="33" t="s">
        <v>107</v>
      </c>
      <c r="L2755" s="33" t="s">
        <v>108</v>
      </c>
      <c r="M2755" s="33" t="s">
        <v>363</v>
      </c>
      <c r="N2755" s="33" t="s">
        <v>28742</v>
      </c>
      <c r="O2755" s="33" t="s">
        <v>1083</v>
      </c>
      <c r="P2755" s="33" t="s">
        <v>1084</v>
      </c>
      <c r="Q2755" s="42" t="s">
        <v>28743</v>
      </c>
      <c r="R2755" s="33" t="s">
        <v>94</v>
      </c>
      <c r="S2755" s="33" t="s">
        <v>12</v>
      </c>
      <c r="T2755" s="36" t="s">
        <v>29705</v>
      </c>
      <c r="U2755" s="36" t="s">
        <v>26570</v>
      </c>
      <c r="V2755" s="36" t="s">
        <v>26573</v>
      </c>
      <c r="Z2755" s="33" t="s">
        <v>42967</v>
      </c>
      <c r="AA2755" s="33">
        <v>4911</v>
      </c>
      <c r="AQ2755" s="42"/>
      <c r="AT2755" s="42"/>
    </row>
    <row r="2756" spans="1:46" ht="12" customHeight="1" x14ac:dyDescent="0.15">
      <c r="A2756" s="33" t="s">
        <v>28725</v>
      </c>
      <c r="B2756" s="33">
        <v>30</v>
      </c>
      <c r="C2756" s="33" t="s">
        <v>14</v>
      </c>
      <c r="D2756" s="33" t="s">
        <v>79</v>
      </c>
      <c r="E2756" s="42" t="s">
        <v>28726</v>
      </c>
      <c r="F2756" s="67">
        <v>42923</v>
      </c>
      <c r="G2756" s="33" t="s">
        <v>28800</v>
      </c>
      <c r="H2756" s="33" t="s">
        <v>28727</v>
      </c>
      <c r="I2756" s="33" t="s">
        <v>63</v>
      </c>
      <c r="J2756" s="33">
        <v>43222</v>
      </c>
      <c r="K2756" s="33" t="s">
        <v>1203</v>
      </c>
      <c r="L2756" s="33" t="s">
        <v>11441</v>
      </c>
      <c r="M2756" s="33" t="s">
        <v>21</v>
      </c>
      <c r="N2756" s="33" t="s">
        <v>36564</v>
      </c>
      <c r="O2756" s="33" t="s">
        <v>372</v>
      </c>
      <c r="P2756" s="33" t="s">
        <v>30089</v>
      </c>
      <c r="Q2756" s="42" t="s">
        <v>28728</v>
      </c>
      <c r="R2756" s="33" t="s">
        <v>23</v>
      </c>
      <c r="S2756" s="33" t="s">
        <v>22</v>
      </c>
      <c r="T2756" s="36" t="s">
        <v>26781</v>
      </c>
      <c r="U2756" s="36" t="s">
        <v>26575</v>
      </c>
      <c r="V2756" s="36" t="s">
        <v>26573</v>
      </c>
      <c r="W2756" s="36" t="s">
        <v>512</v>
      </c>
      <c r="X2756" s="33">
        <v>2765</v>
      </c>
      <c r="Z2756" s="33" t="s">
        <v>42966</v>
      </c>
      <c r="AA2756" s="33">
        <v>4909</v>
      </c>
    </row>
    <row r="2757" spans="1:46" ht="12" customHeight="1" x14ac:dyDescent="0.15">
      <c r="A2757" s="33" t="s">
        <v>28735</v>
      </c>
      <c r="B2757" s="33">
        <v>33</v>
      </c>
      <c r="C2757" s="33" t="s">
        <v>14</v>
      </c>
      <c r="D2757" s="33" t="s">
        <v>79</v>
      </c>
      <c r="E2757" s="42" t="s">
        <v>28736</v>
      </c>
      <c r="F2757" s="67">
        <v>42923</v>
      </c>
      <c r="G2757" s="33" t="s">
        <v>28737</v>
      </c>
      <c r="H2757" s="33" t="s">
        <v>5762</v>
      </c>
      <c r="I2757" s="33" t="s">
        <v>160</v>
      </c>
      <c r="J2757" s="33">
        <v>30067</v>
      </c>
      <c r="K2757" s="33" t="s">
        <v>3052</v>
      </c>
      <c r="L2757" s="33" t="s">
        <v>3053</v>
      </c>
      <c r="M2757" s="33" t="s">
        <v>21</v>
      </c>
      <c r="N2757" s="33" t="s">
        <v>28738</v>
      </c>
      <c r="O2757" s="33" t="s">
        <v>372</v>
      </c>
      <c r="P2757" s="33" t="s">
        <v>30089</v>
      </c>
      <c r="Q2757" s="42" t="s">
        <v>28739</v>
      </c>
      <c r="R2757" s="33" t="s">
        <v>512</v>
      </c>
      <c r="S2757" s="33" t="s">
        <v>12</v>
      </c>
      <c r="T2757" s="36" t="s">
        <v>29705</v>
      </c>
      <c r="U2757" s="36" t="s">
        <v>26572</v>
      </c>
      <c r="V2757" s="36" t="s">
        <v>26573</v>
      </c>
      <c r="W2757" s="36" t="s">
        <v>94</v>
      </c>
      <c r="X2757" s="33">
        <v>2751</v>
      </c>
      <c r="Z2757" s="33" t="s">
        <v>42968</v>
      </c>
      <c r="AA2757" s="33">
        <v>4910</v>
      </c>
    </row>
    <row r="2758" spans="1:46" ht="12" customHeight="1" x14ac:dyDescent="0.15">
      <c r="A2758" s="33" t="s">
        <v>28747</v>
      </c>
      <c r="B2758" s="33">
        <v>27</v>
      </c>
      <c r="C2758" s="33" t="s">
        <v>14</v>
      </c>
      <c r="D2758" s="33" t="s">
        <v>79</v>
      </c>
      <c r="E2758" s="42" t="s">
        <v>28748</v>
      </c>
      <c r="F2758" s="67">
        <v>42922</v>
      </c>
      <c r="G2758" s="33" t="s">
        <v>28749</v>
      </c>
      <c r="H2758" s="33" t="s">
        <v>28750</v>
      </c>
      <c r="I2758" s="33" t="s">
        <v>19</v>
      </c>
      <c r="J2758" s="33">
        <v>70554</v>
      </c>
      <c r="K2758" s="33" t="s">
        <v>4516</v>
      </c>
      <c r="L2758" s="33" t="s">
        <v>28751</v>
      </c>
      <c r="M2758" s="33" t="s">
        <v>21</v>
      </c>
      <c r="N2758" s="33" t="s">
        <v>36565</v>
      </c>
      <c r="O2758" s="33" t="s">
        <v>372</v>
      </c>
      <c r="P2758" s="33" t="s">
        <v>30089</v>
      </c>
      <c r="Q2758" s="42" t="s">
        <v>28752</v>
      </c>
      <c r="R2758" s="33" t="s">
        <v>94</v>
      </c>
      <c r="S2758" s="33" t="s">
        <v>12</v>
      </c>
      <c r="T2758" s="36" t="s">
        <v>29705</v>
      </c>
      <c r="U2758" s="36" t="s">
        <v>26570</v>
      </c>
      <c r="V2758" s="36" t="s">
        <v>26573</v>
      </c>
      <c r="W2758" s="36" t="s">
        <v>94</v>
      </c>
      <c r="X2758" s="33">
        <v>2745</v>
      </c>
      <c r="Z2758" s="33" t="s">
        <v>42967</v>
      </c>
      <c r="AA2758" s="33">
        <v>4907</v>
      </c>
    </row>
    <row r="2759" spans="1:46" ht="12" customHeight="1" x14ac:dyDescent="0.15">
      <c r="A2759" s="33" t="s">
        <v>28753</v>
      </c>
      <c r="B2759" s="33">
        <v>35</v>
      </c>
      <c r="C2759" s="33" t="s">
        <v>14</v>
      </c>
      <c r="D2759" s="33" t="s">
        <v>42</v>
      </c>
      <c r="E2759" s="42" t="s">
        <v>28754</v>
      </c>
      <c r="F2759" s="67">
        <v>42922</v>
      </c>
      <c r="G2759" s="33" t="s">
        <v>28755</v>
      </c>
      <c r="H2759" s="33" t="s">
        <v>5610</v>
      </c>
      <c r="I2759" s="33" t="s">
        <v>56</v>
      </c>
      <c r="J2759" s="33">
        <v>33563</v>
      </c>
      <c r="K2759" s="33" t="s">
        <v>590</v>
      </c>
      <c r="L2759" s="33" t="s">
        <v>5612</v>
      </c>
      <c r="M2759" s="33" t="s">
        <v>21</v>
      </c>
      <c r="N2759" s="33" t="s">
        <v>28756</v>
      </c>
      <c r="O2759" s="33" t="s">
        <v>372</v>
      </c>
      <c r="P2759" s="33" t="s">
        <v>30089</v>
      </c>
      <c r="Q2759" s="42" t="s">
        <v>28757</v>
      </c>
      <c r="R2759" s="33" t="s">
        <v>94</v>
      </c>
      <c r="S2759" s="33" t="s">
        <v>351</v>
      </c>
      <c r="T2759" s="36" t="s">
        <v>26867</v>
      </c>
      <c r="U2759" s="36" t="s">
        <v>26570</v>
      </c>
      <c r="V2759" s="36" t="s">
        <v>26571</v>
      </c>
      <c r="W2759" s="36" t="s">
        <v>94</v>
      </c>
      <c r="X2759" s="33">
        <v>2744</v>
      </c>
      <c r="Z2759" s="33" t="s">
        <v>42968</v>
      </c>
      <c r="AA2759" s="33">
        <v>4908</v>
      </c>
    </row>
    <row r="2760" spans="1:46" ht="12" customHeight="1" x14ac:dyDescent="0.15">
      <c r="A2760" s="33" t="s">
        <v>28762</v>
      </c>
      <c r="B2760" s="33">
        <v>45</v>
      </c>
      <c r="C2760" s="33" t="s">
        <v>14</v>
      </c>
      <c r="D2760" s="33" t="s">
        <v>31</v>
      </c>
      <c r="E2760" s="42" t="s">
        <v>28763</v>
      </c>
      <c r="F2760" s="67">
        <v>42921</v>
      </c>
      <c r="G2760" s="33" t="s">
        <v>28764</v>
      </c>
      <c r="H2760" s="33" t="s">
        <v>28765</v>
      </c>
      <c r="I2760" s="33" t="s">
        <v>367</v>
      </c>
      <c r="J2760" s="33">
        <v>74955</v>
      </c>
      <c r="K2760" s="33" t="s">
        <v>27608</v>
      </c>
      <c r="L2760" s="33" t="s">
        <v>29717</v>
      </c>
      <c r="M2760" s="33" t="s">
        <v>21</v>
      </c>
      <c r="N2760" s="33" t="s">
        <v>28766</v>
      </c>
      <c r="O2760" s="33" t="s">
        <v>372</v>
      </c>
      <c r="P2760" s="33" t="s">
        <v>30089</v>
      </c>
      <c r="Q2760" s="42" t="s">
        <v>28767</v>
      </c>
      <c r="R2760" s="33" t="s">
        <v>94</v>
      </c>
      <c r="S2760" s="33" t="s">
        <v>22</v>
      </c>
      <c r="T2760" s="36" t="s">
        <v>26781</v>
      </c>
      <c r="U2760" s="36" t="s">
        <v>26572</v>
      </c>
      <c r="V2760" s="36" t="s">
        <v>26573</v>
      </c>
      <c r="W2760" s="36" t="s">
        <v>94</v>
      </c>
      <c r="X2760" s="33">
        <v>2747</v>
      </c>
      <c r="Z2760" s="33" t="s">
        <v>42967</v>
      </c>
      <c r="AA2760" s="33">
        <v>4904</v>
      </c>
    </row>
    <row r="2761" spans="1:46" ht="12" customHeight="1" x14ac:dyDescent="0.15">
      <c r="A2761" s="33" t="s">
        <v>27871</v>
      </c>
      <c r="B2761" s="33">
        <v>29</v>
      </c>
      <c r="C2761" s="33" t="s">
        <v>103</v>
      </c>
      <c r="D2761" s="33" t="s">
        <v>31</v>
      </c>
      <c r="E2761" s="42" t="s">
        <v>28758</v>
      </c>
      <c r="F2761" s="67">
        <v>42921</v>
      </c>
      <c r="G2761" s="33" t="s">
        <v>28759</v>
      </c>
      <c r="H2761" s="33" t="s">
        <v>1734</v>
      </c>
      <c r="I2761" s="33" t="s">
        <v>342</v>
      </c>
      <c r="J2761" s="33">
        <v>50316</v>
      </c>
      <c r="K2761" s="33" t="s">
        <v>1736</v>
      </c>
      <c r="L2761" s="33" t="s">
        <v>1737</v>
      </c>
      <c r="M2761" s="33" t="s">
        <v>21</v>
      </c>
      <c r="N2761" s="33" t="s">
        <v>28760</v>
      </c>
      <c r="O2761" s="33" t="s">
        <v>372</v>
      </c>
      <c r="P2761" s="33" t="s">
        <v>30089</v>
      </c>
      <c r="Q2761" s="42" t="s">
        <v>28761</v>
      </c>
      <c r="R2761" s="33" t="s">
        <v>94</v>
      </c>
      <c r="S2761" s="33" t="s">
        <v>22</v>
      </c>
      <c r="T2761" s="36" t="s">
        <v>26781</v>
      </c>
      <c r="U2761" s="36" t="s">
        <v>26572</v>
      </c>
      <c r="V2761" s="36" t="s">
        <v>26574</v>
      </c>
      <c r="W2761" s="36" t="s">
        <v>512</v>
      </c>
      <c r="X2761" s="33">
        <v>2743</v>
      </c>
      <c r="Z2761" s="33" t="s">
        <v>42966</v>
      </c>
      <c r="AA2761" s="33">
        <v>4903</v>
      </c>
    </row>
    <row r="2762" spans="1:46" ht="12" customHeight="1" x14ac:dyDescent="0.15">
      <c r="A2762" s="33" t="s">
        <v>28774</v>
      </c>
      <c r="B2762" s="33">
        <v>53</v>
      </c>
      <c r="C2762" s="33" t="s">
        <v>14</v>
      </c>
      <c r="D2762" s="33" t="s">
        <v>31</v>
      </c>
      <c r="E2762" s="42" t="s">
        <v>28775</v>
      </c>
      <c r="F2762" s="67">
        <v>42921</v>
      </c>
      <c r="G2762" s="33" t="s">
        <v>28820</v>
      </c>
      <c r="H2762" s="33" t="s">
        <v>29430</v>
      </c>
      <c r="I2762" s="33" t="s">
        <v>38</v>
      </c>
      <c r="J2762" s="33">
        <v>62244</v>
      </c>
      <c r="K2762" s="33" t="s">
        <v>1037</v>
      </c>
      <c r="L2762" s="33" t="s">
        <v>4752</v>
      </c>
      <c r="M2762" s="33" t="s">
        <v>21</v>
      </c>
      <c r="N2762" s="33" t="s">
        <v>28776</v>
      </c>
      <c r="O2762" s="33" t="s">
        <v>372</v>
      </c>
      <c r="P2762" s="33" t="s">
        <v>30089</v>
      </c>
      <c r="Q2762" s="42" t="s">
        <v>28777</v>
      </c>
      <c r="R2762" s="33" t="s">
        <v>94</v>
      </c>
      <c r="S2762" s="33" t="s">
        <v>22</v>
      </c>
      <c r="T2762" s="36" t="s">
        <v>29429</v>
      </c>
      <c r="U2762" s="36" t="s">
        <v>26570</v>
      </c>
      <c r="V2762" s="36" t="s">
        <v>26573</v>
      </c>
      <c r="W2762" s="36" t="s">
        <v>94</v>
      </c>
      <c r="X2762" s="33">
        <v>2746</v>
      </c>
      <c r="Z2762" s="33" t="s">
        <v>42967</v>
      </c>
      <c r="AA2762" s="33">
        <v>4901</v>
      </c>
    </row>
    <row r="2763" spans="1:46" ht="12" customHeight="1" x14ac:dyDescent="0.15">
      <c r="A2763" s="33" t="s">
        <v>28770</v>
      </c>
      <c r="B2763" s="33">
        <v>24</v>
      </c>
      <c r="C2763" s="33" t="s">
        <v>14</v>
      </c>
      <c r="D2763" s="33" t="s">
        <v>42</v>
      </c>
      <c r="E2763" s="42" t="s">
        <v>28771</v>
      </c>
      <c r="F2763" s="67">
        <v>42921</v>
      </c>
      <c r="G2763" s="33" t="s">
        <v>28837</v>
      </c>
      <c r="H2763" s="33" t="s">
        <v>10722</v>
      </c>
      <c r="I2763" s="33" t="s">
        <v>39</v>
      </c>
      <c r="J2763" s="33">
        <v>92083</v>
      </c>
      <c r="K2763" s="33" t="s">
        <v>143</v>
      </c>
      <c r="L2763" s="33" t="s">
        <v>1970</v>
      </c>
      <c r="M2763" s="33" t="s">
        <v>21</v>
      </c>
      <c r="N2763" s="33" t="s">
        <v>28772</v>
      </c>
      <c r="O2763" s="33" t="s">
        <v>372</v>
      </c>
      <c r="P2763" s="33" t="s">
        <v>30089</v>
      </c>
      <c r="Q2763" s="42" t="s">
        <v>28773</v>
      </c>
      <c r="R2763" s="33" t="s">
        <v>94</v>
      </c>
      <c r="S2763" s="33" t="s">
        <v>12</v>
      </c>
      <c r="T2763" s="36" t="s">
        <v>29705</v>
      </c>
      <c r="U2763" s="36" t="s">
        <v>26570</v>
      </c>
      <c r="V2763" s="36" t="s">
        <v>26574</v>
      </c>
      <c r="W2763" s="36" t="s">
        <v>94</v>
      </c>
      <c r="X2763" s="33">
        <v>2748</v>
      </c>
      <c r="Z2763" s="33" t="s">
        <v>42968</v>
      </c>
      <c r="AA2763" s="33">
        <v>4906</v>
      </c>
    </row>
    <row r="2764" spans="1:46" ht="12" customHeight="1" x14ac:dyDescent="0.15">
      <c r="A2764" s="33" t="s">
        <v>28114</v>
      </c>
      <c r="B2764" s="33">
        <v>34</v>
      </c>
      <c r="C2764" s="33" t="s">
        <v>14</v>
      </c>
      <c r="D2764" s="33" t="s">
        <v>79</v>
      </c>
      <c r="E2764" s="42" t="s">
        <v>28113</v>
      </c>
      <c r="F2764" s="67">
        <v>42921</v>
      </c>
      <c r="G2764" s="33" t="s">
        <v>28112</v>
      </c>
      <c r="H2764" s="33" t="s">
        <v>1716</v>
      </c>
      <c r="I2764" s="33" t="s">
        <v>395</v>
      </c>
      <c r="J2764" s="33">
        <v>10453</v>
      </c>
      <c r="K2764" s="33" t="s">
        <v>1716</v>
      </c>
      <c r="L2764" s="33" t="s">
        <v>539</v>
      </c>
      <c r="M2764" s="33" t="s">
        <v>21</v>
      </c>
      <c r="N2764" s="33" t="s">
        <v>36566</v>
      </c>
      <c r="O2764" s="33" t="s">
        <v>372</v>
      </c>
      <c r="P2764" s="33" t="s">
        <v>30089</v>
      </c>
      <c r="Q2764" s="42" t="s">
        <v>28111</v>
      </c>
      <c r="R2764" s="33" t="s">
        <v>94</v>
      </c>
      <c r="S2764" s="33" t="s">
        <v>22</v>
      </c>
      <c r="T2764" s="36" t="s">
        <v>26781</v>
      </c>
      <c r="U2764" s="36" t="s">
        <v>26572</v>
      </c>
      <c r="V2764" s="36" t="s">
        <v>26574</v>
      </c>
      <c r="W2764" s="36" t="s">
        <v>94</v>
      </c>
      <c r="X2764" s="33">
        <v>2742</v>
      </c>
      <c r="Z2764" s="33" t="s">
        <v>42966</v>
      </c>
      <c r="AA2764" s="33">
        <v>4902</v>
      </c>
    </row>
    <row r="2765" spans="1:46" ht="12" customHeight="1" x14ac:dyDescent="0.15">
      <c r="A2765" s="33" t="s">
        <v>28768</v>
      </c>
      <c r="B2765" s="33">
        <v>51</v>
      </c>
      <c r="C2765" s="33" t="s">
        <v>14</v>
      </c>
      <c r="D2765" s="33" t="s">
        <v>31</v>
      </c>
      <c r="F2765" s="67">
        <v>42921</v>
      </c>
      <c r="G2765" s="33" t="s">
        <v>28839</v>
      </c>
      <c r="H2765" s="33" t="s">
        <v>2014</v>
      </c>
      <c r="I2765" s="33" t="s">
        <v>4034</v>
      </c>
      <c r="J2765" s="33">
        <v>4950</v>
      </c>
      <c r="K2765" s="33" t="s">
        <v>2043</v>
      </c>
      <c r="L2765" s="33" t="s">
        <v>36567</v>
      </c>
      <c r="M2765" s="33" t="s">
        <v>21</v>
      </c>
      <c r="N2765" s="33" t="s">
        <v>36568</v>
      </c>
      <c r="O2765" s="33" t="s">
        <v>372</v>
      </c>
      <c r="P2765" s="33" t="s">
        <v>30089</v>
      </c>
      <c r="Q2765" s="42" t="s">
        <v>28769</v>
      </c>
      <c r="R2765" s="33" t="s">
        <v>94</v>
      </c>
      <c r="S2765" s="33" t="s">
        <v>22</v>
      </c>
      <c r="T2765" s="36" t="s">
        <v>26781</v>
      </c>
      <c r="U2765" s="36" t="s">
        <v>26572</v>
      </c>
      <c r="V2765" s="36" t="s">
        <v>26573</v>
      </c>
      <c r="W2765" s="36" t="s">
        <v>94</v>
      </c>
      <c r="X2765" s="33">
        <v>2749</v>
      </c>
      <c r="Z2765" s="33" t="s">
        <v>42967</v>
      </c>
      <c r="AA2765" s="33">
        <v>4905</v>
      </c>
    </row>
    <row r="2766" spans="1:46" ht="12" customHeight="1" x14ac:dyDescent="0.15">
      <c r="A2766" s="33" t="s">
        <v>27928</v>
      </c>
      <c r="B2766" s="33">
        <v>28</v>
      </c>
      <c r="C2766" s="33" t="s">
        <v>14</v>
      </c>
      <c r="D2766" s="33" t="s">
        <v>42</v>
      </c>
      <c r="F2766" s="67">
        <v>42920</v>
      </c>
      <c r="G2766" s="33" t="s">
        <v>28791</v>
      </c>
      <c r="H2766" s="33" t="s">
        <v>866</v>
      </c>
      <c r="I2766" s="33" t="s">
        <v>178</v>
      </c>
      <c r="J2766" s="33">
        <v>87121</v>
      </c>
      <c r="K2766" s="33" t="s">
        <v>433</v>
      </c>
      <c r="L2766" s="33" t="s">
        <v>7415</v>
      </c>
      <c r="M2766" s="33" t="s">
        <v>21</v>
      </c>
      <c r="N2766" s="33" t="s">
        <v>27927</v>
      </c>
      <c r="O2766" s="33" t="s">
        <v>372</v>
      </c>
      <c r="P2766" s="33" t="s">
        <v>30089</v>
      </c>
      <c r="Q2766" s="42" t="s">
        <v>27926</v>
      </c>
      <c r="R2766" s="33" t="s">
        <v>94</v>
      </c>
      <c r="S2766" s="33" t="s">
        <v>22</v>
      </c>
      <c r="T2766" s="36" t="s">
        <v>26781</v>
      </c>
      <c r="U2766" s="36" t="s">
        <v>26572</v>
      </c>
      <c r="V2766" s="36" t="s">
        <v>19228</v>
      </c>
      <c r="W2766" s="36" t="s">
        <v>94</v>
      </c>
      <c r="X2766" s="33">
        <v>2737</v>
      </c>
      <c r="Z2766" s="33" t="s">
        <v>42968</v>
      </c>
      <c r="AA2766" s="33">
        <v>4895</v>
      </c>
    </row>
    <row r="2767" spans="1:46" ht="12" customHeight="1" x14ac:dyDescent="0.15">
      <c r="A2767" s="33" t="s">
        <v>28051</v>
      </c>
      <c r="B2767" s="33">
        <v>32</v>
      </c>
      <c r="C2767" s="33" t="s">
        <v>14</v>
      </c>
      <c r="D2767" s="33" t="s">
        <v>31</v>
      </c>
      <c r="E2767" s="42" t="s">
        <v>28050</v>
      </c>
      <c r="F2767" s="67">
        <v>42920</v>
      </c>
      <c r="G2767" s="33" t="s">
        <v>28049</v>
      </c>
      <c r="H2767" s="33" t="s">
        <v>11426</v>
      </c>
      <c r="I2767" s="33" t="s">
        <v>221</v>
      </c>
      <c r="J2767" s="33">
        <v>84025</v>
      </c>
      <c r="K2767" s="33" t="s">
        <v>4602</v>
      </c>
      <c r="L2767" s="33" t="s">
        <v>9535</v>
      </c>
      <c r="M2767" s="33" t="s">
        <v>21</v>
      </c>
      <c r="N2767" s="33" t="s">
        <v>28048</v>
      </c>
      <c r="O2767" s="33" t="s">
        <v>372</v>
      </c>
      <c r="P2767" s="33" t="s">
        <v>30089</v>
      </c>
      <c r="Q2767" s="42" t="s">
        <v>28047</v>
      </c>
      <c r="R2767" s="33" t="s">
        <v>512</v>
      </c>
      <c r="S2767" s="33" t="s">
        <v>351</v>
      </c>
      <c r="T2767" s="36" t="s">
        <v>26867</v>
      </c>
      <c r="U2767" s="36" t="s">
        <v>26572</v>
      </c>
      <c r="V2767" s="36" t="s">
        <v>26571</v>
      </c>
      <c r="W2767" s="36" t="s">
        <v>94</v>
      </c>
      <c r="X2767" s="33">
        <v>2740</v>
      </c>
      <c r="Z2767" s="33" t="s">
        <v>42968</v>
      </c>
      <c r="AA2767" s="33">
        <v>4900</v>
      </c>
    </row>
    <row r="2768" spans="1:46" ht="12" customHeight="1" x14ac:dyDescent="0.15">
      <c r="A2768" s="33" t="s">
        <v>28018</v>
      </c>
      <c r="B2768" s="33">
        <v>39</v>
      </c>
      <c r="C2768" s="33" t="s">
        <v>14</v>
      </c>
      <c r="D2768" s="33" t="s">
        <v>31</v>
      </c>
      <c r="F2768" s="67">
        <v>42920</v>
      </c>
      <c r="G2768" s="33" t="s">
        <v>28017</v>
      </c>
      <c r="H2768" s="33" t="s">
        <v>13970</v>
      </c>
      <c r="I2768" s="33" t="s">
        <v>38</v>
      </c>
      <c r="J2768" s="33">
        <v>62226</v>
      </c>
      <c r="K2768" s="33" t="s">
        <v>20220</v>
      </c>
      <c r="L2768" s="33" t="s">
        <v>13972</v>
      </c>
      <c r="M2768" s="33" t="s">
        <v>21</v>
      </c>
      <c r="N2768" s="33" t="s">
        <v>28016</v>
      </c>
      <c r="O2768" s="33" t="s">
        <v>372</v>
      </c>
      <c r="P2768" s="33" t="s">
        <v>30089</v>
      </c>
      <c r="Q2768" s="42" t="s">
        <v>28015</v>
      </c>
      <c r="R2768" s="33" t="s">
        <v>512</v>
      </c>
      <c r="S2768" s="33" t="s">
        <v>22</v>
      </c>
      <c r="T2768" s="36" t="s">
        <v>26781</v>
      </c>
      <c r="U2768" s="36" t="s">
        <v>26572</v>
      </c>
      <c r="V2768" s="36" t="s">
        <v>26573</v>
      </c>
      <c r="W2768" s="36" t="s">
        <v>94</v>
      </c>
      <c r="X2768" s="33">
        <v>2741</v>
      </c>
      <c r="Z2768" s="33" t="s">
        <v>42968</v>
      </c>
      <c r="AA2768" s="33">
        <v>4896</v>
      </c>
    </row>
    <row r="2769" spans="1:46" ht="12" customHeight="1" x14ac:dyDescent="0.15">
      <c r="A2769" s="33" t="s">
        <v>30404</v>
      </c>
      <c r="B2769" s="33">
        <v>30</v>
      </c>
      <c r="C2769" s="33" t="s">
        <v>14</v>
      </c>
      <c r="D2769" s="33" t="s">
        <v>42</v>
      </c>
      <c r="F2769" s="67">
        <v>42920</v>
      </c>
      <c r="G2769" s="33" t="s">
        <v>27858</v>
      </c>
      <c r="H2769" s="33" t="s">
        <v>10822</v>
      </c>
      <c r="I2769" s="33" t="s">
        <v>192</v>
      </c>
      <c r="J2769" s="33">
        <v>80260</v>
      </c>
      <c r="K2769" s="33" t="s">
        <v>1790</v>
      </c>
      <c r="L2769" s="33" t="s">
        <v>10824</v>
      </c>
      <c r="M2769" s="33" t="s">
        <v>21</v>
      </c>
      <c r="N2769" s="33" t="s">
        <v>27857</v>
      </c>
      <c r="O2769" s="33" t="s">
        <v>372</v>
      </c>
      <c r="P2769" s="33" t="s">
        <v>94</v>
      </c>
      <c r="Q2769" s="42" t="s">
        <v>27856</v>
      </c>
      <c r="R2769" s="33" t="s">
        <v>94</v>
      </c>
      <c r="S2769" s="33" t="s">
        <v>22</v>
      </c>
      <c r="T2769" s="36" t="s">
        <v>26781</v>
      </c>
      <c r="U2769" s="36" t="s">
        <v>26570</v>
      </c>
      <c r="V2769" s="36" t="s">
        <v>26573</v>
      </c>
      <c r="W2769" s="36" t="s">
        <v>94</v>
      </c>
      <c r="X2769" s="33">
        <v>2735</v>
      </c>
      <c r="Z2769" s="33" t="s">
        <v>42966</v>
      </c>
      <c r="AA2769" s="33">
        <v>4894</v>
      </c>
      <c r="AQ2769" s="42"/>
      <c r="AT2769" s="42"/>
    </row>
    <row r="2770" spans="1:46" ht="12" customHeight="1" x14ac:dyDescent="0.15">
      <c r="A2770" s="33" t="s">
        <v>28782</v>
      </c>
      <c r="B2770" s="33">
        <v>53</v>
      </c>
      <c r="C2770" s="33" t="s">
        <v>14</v>
      </c>
      <c r="D2770" s="33" t="s">
        <v>128</v>
      </c>
      <c r="F2770" s="67">
        <v>42920</v>
      </c>
      <c r="G2770" s="33" t="s">
        <v>27820</v>
      </c>
      <c r="H2770" s="33" t="s">
        <v>27819</v>
      </c>
      <c r="I2770" s="33" t="s">
        <v>192</v>
      </c>
      <c r="J2770" s="33">
        <v>81331</v>
      </c>
      <c r="K2770" s="33" t="s">
        <v>27818</v>
      </c>
      <c r="L2770" s="33" t="s">
        <v>27817</v>
      </c>
      <c r="M2770" s="33" t="s">
        <v>21</v>
      </c>
      <c r="N2770" s="33" t="s">
        <v>27816</v>
      </c>
      <c r="O2770" s="33" t="s">
        <v>372</v>
      </c>
      <c r="P2770" s="33" t="s">
        <v>94</v>
      </c>
      <c r="Q2770" s="42" t="s">
        <v>27815</v>
      </c>
      <c r="R2770" s="33" t="s">
        <v>94</v>
      </c>
      <c r="S2770" s="33" t="s">
        <v>22</v>
      </c>
      <c r="T2770" s="36" t="s">
        <v>26781</v>
      </c>
      <c r="U2770" s="36" t="s">
        <v>26572</v>
      </c>
      <c r="V2770" s="36" t="s">
        <v>26573</v>
      </c>
      <c r="X2770" s="33">
        <v>2926</v>
      </c>
      <c r="Z2770" s="33" t="s">
        <v>42967</v>
      </c>
      <c r="AA2770" s="33">
        <v>4898</v>
      </c>
      <c r="AQ2770" s="42"/>
    </row>
    <row r="2771" spans="1:46" ht="12" customHeight="1" x14ac:dyDescent="0.15">
      <c r="A2771" s="33" t="s">
        <v>28778</v>
      </c>
      <c r="B2771" s="33">
        <v>46</v>
      </c>
      <c r="C2771" s="33" t="s">
        <v>14</v>
      </c>
      <c r="D2771" s="33" t="s">
        <v>31</v>
      </c>
      <c r="F2771" s="67">
        <v>42920</v>
      </c>
      <c r="G2771" s="33" t="s">
        <v>28790</v>
      </c>
      <c r="H2771" s="33" t="s">
        <v>28779</v>
      </c>
      <c r="I2771" s="33" t="s">
        <v>282</v>
      </c>
      <c r="J2771" s="33">
        <v>99353</v>
      </c>
      <c r="K2771" s="33" t="s">
        <v>2325</v>
      </c>
      <c r="L2771" s="33" t="s">
        <v>7886</v>
      </c>
      <c r="M2771" s="33" t="s">
        <v>21</v>
      </c>
      <c r="N2771" s="33" t="s">
        <v>28780</v>
      </c>
      <c r="O2771" s="33" t="s">
        <v>372</v>
      </c>
      <c r="P2771" s="33" t="s">
        <v>30089</v>
      </c>
      <c r="Q2771" s="42" t="s">
        <v>28781</v>
      </c>
      <c r="R2771" s="33" t="s">
        <v>94</v>
      </c>
      <c r="S2771" s="33" t="s">
        <v>22</v>
      </c>
      <c r="T2771" s="36" t="s">
        <v>26781</v>
      </c>
      <c r="U2771" s="36" t="s">
        <v>26570</v>
      </c>
      <c r="V2771" s="36" t="s">
        <v>26573</v>
      </c>
      <c r="W2771" s="36" t="s">
        <v>94</v>
      </c>
      <c r="X2771" s="33">
        <v>2750</v>
      </c>
      <c r="Z2771" s="33" t="s">
        <v>42968</v>
      </c>
      <c r="AA2771" s="33">
        <v>4897</v>
      </c>
    </row>
    <row r="2772" spans="1:46" ht="12" customHeight="1" x14ac:dyDescent="0.15">
      <c r="A2772" s="33" t="s">
        <v>28046</v>
      </c>
      <c r="B2772" s="33">
        <v>36</v>
      </c>
      <c r="C2772" s="33" t="s">
        <v>14</v>
      </c>
      <c r="D2772" s="33" t="s">
        <v>79</v>
      </c>
      <c r="E2772" s="42" t="s">
        <v>28045</v>
      </c>
      <c r="F2772" s="67">
        <v>42920</v>
      </c>
      <c r="G2772" s="33" t="s">
        <v>28044</v>
      </c>
      <c r="H2772" s="33" t="s">
        <v>28043</v>
      </c>
      <c r="I2772" s="33" t="s">
        <v>63</v>
      </c>
      <c r="J2772" s="33">
        <v>45377</v>
      </c>
      <c r="K2772" s="33" t="s">
        <v>995</v>
      </c>
      <c r="L2772" s="33" t="s">
        <v>17337</v>
      </c>
      <c r="M2772" s="33" t="s">
        <v>21</v>
      </c>
      <c r="N2772" s="33" t="s">
        <v>28042</v>
      </c>
      <c r="O2772" s="33" t="s">
        <v>372</v>
      </c>
      <c r="P2772" s="33" t="s">
        <v>30089</v>
      </c>
      <c r="Q2772" s="42" t="s">
        <v>28041</v>
      </c>
      <c r="R2772" s="33" t="s">
        <v>94</v>
      </c>
      <c r="S2772" s="33" t="s">
        <v>22</v>
      </c>
      <c r="T2772" s="36" t="s">
        <v>26774</v>
      </c>
      <c r="U2772" s="36" t="s">
        <v>26572</v>
      </c>
      <c r="V2772" s="36" t="s">
        <v>26573</v>
      </c>
      <c r="W2772" s="36" t="s">
        <v>94</v>
      </c>
      <c r="X2772" s="33">
        <v>2739</v>
      </c>
      <c r="Z2772" s="33" t="s">
        <v>42968</v>
      </c>
      <c r="AA2772" s="33">
        <v>4899</v>
      </c>
    </row>
    <row r="2773" spans="1:46" ht="12" customHeight="1" x14ac:dyDescent="0.15">
      <c r="A2773" s="33" t="s">
        <v>28061</v>
      </c>
      <c r="B2773" s="33">
        <v>45</v>
      </c>
      <c r="C2773" s="33" t="s">
        <v>14</v>
      </c>
      <c r="D2773" s="33" t="s">
        <v>31</v>
      </c>
      <c r="F2773" s="67">
        <v>42919</v>
      </c>
      <c r="G2773" s="33" t="s">
        <v>28060</v>
      </c>
      <c r="H2773" s="33" t="s">
        <v>28059</v>
      </c>
      <c r="I2773" s="33" t="s">
        <v>160</v>
      </c>
      <c r="J2773" s="33">
        <v>31005</v>
      </c>
      <c r="K2773" s="33" t="s">
        <v>674</v>
      </c>
      <c r="L2773" s="33" t="s">
        <v>27682</v>
      </c>
      <c r="M2773" s="33" t="s">
        <v>21</v>
      </c>
      <c r="N2773" s="33" t="s">
        <v>28058</v>
      </c>
      <c r="O2773" s="33" t="s">
        <v>372</v>
      </c>
      <c r="P2773" s="33" t="s">
        <v>30089</v>
      </c>
      <c r="Q2773" s="42" t="s">
        <v>28057</v>
      </c>
      <c r="R2773" s="33" t="s">
        <v>94</v>
      </c>
      <c r="S2773" s="33" t="s">
        <v>22</v>
      </c>
      <c r="T2773" s="36" t="s">
        <v>26781</v>
      </c>
      <c r="U2773" s="36" t="s">
        <v>26572</v>
      </c>
      <c r="V2773" s="36" t="s">
        <v>26573</v>
      </c>
      <c r="W2773" s="36" t="s">
        <v>94</v>
      </c>
      <c r="X2773" s="33">
        <v>2738</v>
      </c>
      <c r="Z2773" s="33" t="s">
        <v>42968</v>
      </c>
      <c r="AA2773" s="33">
        <v>4891</v>
      </c>
    </row>
    <row r="2774" spans="1:46" ht="12" customHeight="1" x14ac:dyDescent="0.15">
      <c r="A2774" s="33" t="s">
        <v>27968</v>
      </c>
      <c r="B2774" s="33">
        <v>51</v>
      </c>
      <c r="C2774" s="33" t="s">
        <v>14</v>
      </c>
      <c r="D2774" s="33" t="s">
        <v>31</v>
      </c>
      <c r="F2774" s="67">
        <v>42919</v>
      </c>
      <c r="G2774" s="33" t="s">
        <v>28803</v>
      </c>
      <c r="H2774" s="33" t="s">
        <v>27967</v>
      </c>
      <c r="I2774" s="33" t="s">
        <v>198</v>
      </c>
      <c r="J2774" s="33">
        <v>46038</v>
      </c>
      <c r="K2774" s="33" t="s">
        <v>505</v>
      </c>
      <c r="L2774" s="33" t="s">
        <v>27966</v>
      </c>
      <c r="M2774" s="33" t="s">
        <v>21</v>
      </c>
      <c r="N2774" s="33" t="s">
        <v>27965</v>
      </c>
      <c r="O2774" s="33" t="s">
        <v>372</v>
      </c>
      <c r="P2774" s="33" t="s">
        <v>30089</v>
      </c>
      <c r="Q2774" s="42" t="s">
        <v>27964</v>
      </c>
      <c r="R2774" s="33" t="s">
        <v>512</v>
      </c>
      <c r="S2774" s="33" t="s">
        <v>22</v>
      </c>
      <c r="T2774" s="36" t="s">
        <v>26781</v>
      </c>
      <c r="U2774" s="36" t="s">
        <v>26572</v>
      </c>
      <c r="V2774" s="36" t="s">
        <v>26573</v>
      </c>
      <c r="W2774" s="36" t="s">
        <v>94</v>
      </c>
      <c r="X2774" s="33">
        <v>2732</v>
      </c>
      <c r="Z2774" s="33" t="s">
        <v>42968</v>
      </c>
      <c r="AA2774" s="33">
        <v>4889</v>
      </c>
    </row>
    <row r="2775" spans="1:46" ht="12" customHeight="1" x14ac:dyDescent="0.15">
      <c r="A2775" s="33" t="s">
        <v>28783</v>
      </c>
      <c r="B2775" s="33">
        <v>42</v>
      </c>
      <c r="C2775" s="33" t="s">
        <v>14</v>
      </c>
      <c r="D2775" s="33" t="s">
        <v>79</v>
      </c>
      <c r="E2775" s="42" t="s">
        <v>28784</v>
      </c>
      <c r="F2775" s="67">
        <v>42919</v>
      </c>
      <c r="G2775" s="33" t="s">
        <v>27826</v>
      </c>
      <c r="H2775" s="33" t="s">
        <v>822</v>
      </c>
      <c r="I2775" s="33" t="s">
        <v>39</v>
      </c>
      <c r="J2775" s="33">
        <v>94509</v>
      </c>
      <c r="K2775" s="33" t="s">
        <v>4146</v>
      </c>
      <c r="L2775" s="33" t="s">
        <v>13144</v>
      </c>
      <c r="M2775" s="33" t="s">
        <v>21</v>
      </c>
      <c r="N2775" s="33" t="s">
        <v>27825</v>
      </c>
      <c r="O2775" s="33" t="s">
        <v>372</v>
      </c>
      <c r="P2775" s="33" t="s">
        <v>30089</v>
      </c>
      <c r="Q2775" s="42" t="s">
        <v>27824</v>
      </c>
      <c r="R2775" s="33" t="s">
        <v>94</v>
      </c>
      <c r="S2775" s="33" t="s">
        <v>22</v>
      </c>
      <c r="T2775" s="36" t="s">
        <v>26781</v>
      </c>
      <c r="U2775" s="36" t="s">
        <v>26570</v>
      </c>
      <c r="V2775" s="36" t="s">
        <v>26573</v>
      </c>
      <c r="W2775" s="36" t="s">
        <v>94</v>
      </c>
      <c r="X2775" s="33">
        <v>2927</v>
      </c>
      <c r="Z2775" s="33" t="s">
        <v>42968</v>
      </c>
      <c r="AA2775" s="33">
        <v>4892</v>
      </c>
    </row>
    <row r="2776" spans="1:46" ht="12" customHeight="1" x14ac:dyDescent="0.15">
      <c r="A2776" s="33" t="s">
        <v>28040</v>
      </c>
      <c r="B2776" s="33">
        <v>53</v>
      </c>
      <c r="C2776" s="33" t="s">
        <v>14</v>
      </c>
      <c r="D2776" s="33" t="s">
        <v>31</v>
      </c>
      <c r="F2776" s="67">
        <v>42919</v>
      </c>
      <c r="G2776" s="33" t="s">
        <v>28842</v>
      </c>
      <c r="H2776" s="33" t="s">
        <v>782</v>
      </c>
      <c r="I2776" s="33" t="s">
        <v>282</v>
      </c>
      <c r="J2776" s="33">
        <v>99223</v>
      </c>
      <c r="K2776" s="33" t="s">
        <v>782</v>
      </c>
      <c r="L2776" s="33" t="s">
        <v>783</v>
      </c>
      <c r="M2776" s="33" t="s">
        <v>21</v>
      </c>
      <c r="N2776" s="33" t="s">
        <v>28039</v>
      </c>
      <c r="O2776" s="33" t="s">
        <v>372</v>
      </c>
      <c r="P2776" s="33" t="s">
        <v>94</v>
      </c>
      <c r="Q2776" s="42" t="s">
        <v>28038</v>
      </c>
      <c r="R2776" s="33" t="s">
        <v>94</v>
      </c>
      <c r="S2776" s="33" t="s">
        <v>22</v>
      </c>
      <c r="T2776" s="36" t="s">
        <v>26781</v>
      </c>
      <c r="U2776" s="36" t="s">
        <v>26570</v>
      </c>
      <c r="V2776" s="36" t="s">
        <v>26573</v>
      </c>
      <c r="W2776" s="36" t="s">
        <v>512</v>
      </c>
      <c r="X2776" s="33">
        <v>2729</v>
      </c>
      <c r="Z2776" s="33" t="s">
        <v>42968</v>
      </c>
      <c r="AA2776" s="33">
        <v>4888</v>
      </c>
      <c r="AQ2776" s="42"/>
    </row>
    <row r="2777" spans="1:46" ht="12" customHeight="1" x14ac:dyDescent="0.15">
      <c r="A2777" s="33" t="s">
        <v>27836</v>
      </c>
      <c r="B2777" s="33">
        <v>30</v>
      </c>
      <c r="C2777" s="33" t="s">
        <v>14</v>
      </c>
      <c r="D2777" s="33" t="s">
        <v>79</v>
      </c>
      <c r="E2777" s="42" t="s">
        <v>27835</v>
      </c>
      <c r="F2777" s="67">
        <v>42919</v>
      </c>
      <c r="G2777" s="33" t="s">
        <v>28793</v>
      </c>
      <c r="H2777" s="33" t="s">
        <v>11083</v>
      </c>
      <c r="I2777" s="33" t="s">
        <v>160</v>
      </c>
      <c r="J2777" s="33">
        <v>31520</v>
      </c>
      <c r="K2777" s="33" t="s">
        <v>27834</v>
      </c>
      <c r="L2777" s="33" t="s">
        <v>27833</v>
      </c>
      <c r="M2777" s="33" t="s">
        <v>21</v>
      </c>
      <c r="N2777" s="33" t="s">
        <v>27832</v>
      </c>
      <c r="O2777" s="33" t="s">
        <v>372</v>
      </c>
      <c r="P2777" s="33" t="s">
        <v>30089</v>
      </c>
      <c r="Q2777" s="42" t="s">
        <v>27831</v>
      </c>
      <c r="R2777" s="33" t="s">
        <v>94</v>
      </c>
      <c r="S2777" s="33" t="s">
        <v>22</v>
      </c>
      <c r="T2777" s="36" t="s">
        <v>26774</v>
      </c>
      <c r="U2777" s="36" t="s">
        <v>26572</v>
      </c>
      <c r="V2777" s="36" t="s">
        <v>26573</v>
      </c>
      <c r="Y2777" s="33" t="s">
        <v>42476</v>
      </c>
      <c r="Z2777" s="33" t="s">
        <v>42966</v>
      </c>
      <c r="AA2777" s="33">
        <v>4893</v>
      </c>
    </row>
    <row r="2778" spans="1:46" ht="12" customHeight="1" x14ac:dyDescent="0.15">
      <c r="A2778" s="33" t="s">
        <v>28005</v>
      </c>
      <c r="B2778" s="33">
        <v>25</v>
      </c>
      <c r="C2778" s="33" t="s">
        <v>14</v>
      </c>
      <c r="D2778" s="33" t="s">
        <v>31</v>
      </c>
      <c r="F2778" s="67">
        <v>42919</v>
      </c>
      <c r="G2778" s="33" t="s">
        <v>28004</v>
      </c>
      <c r="H2778" s="33" t="s">
        <v>12216</v>
      </c>
      <c r="I2778" s="33" t="s">
        <v>106</v>
      </c>
      <c r="J2778" s="33">
        <v>97124</v>
      </c>
      <c r="K2778" s="33" t="s">
        <v>107</v>
      </c>
      <c r="L2778" s="33" t="s">
        <v>12218</v>
      </c>
      <c r="M2778" s="33" t="s">
        <v>21</v>
      </c>
      <c r="N2778" s="33" t="s">
        <v>28003</v>
      </c>
      <c r="O2778" s="33" t="s">
        <v>372</v>
      </c>
      <c r="P2778" s="33" t="s">
        <v>30089</v>
      </c>
      <c r="Q2778" s="42" t="s">
        <v>28002</v>
      </c>
      <c r="R2778" s="33" t="s">
        <v>94</v>
      </c>
      <c r="S2778" s="33" t="s">
        <v>22</v>
      </c>
      <c r="T2778" s="36" t="s">
        <v>26781</v>
      </c>
      <c r="U2778" s="36" t="s">
        <v>26572</v>
      </c>
      <c r="V2778" s="36" t="s">
        <v>26574</v>
      </c>
      <c r="W2778" s="36" t="s">
        <v>94</v>
      </c>
      <c r="X2778" s="33">
        <v>2736</v>
      </c>
      <c r="Z2778" s="33" t="s">
        <v>42968</v>
      </c>
      <c r="AA2778" s="33">
        <v>4890</v>
      </c>
      <c r="AQ2778" s="42"/>
    </row>
    <row r="2779" spans="1:46" ht="12" customHeight="1" x14ac:dyDescent="0.15">
      <c r="A2779" s="33" t="s">
        <v>28785</v>
      </c>
      <c r="B2779" s="33">
        <v>39</v>
      </c>
      <c r="C2779" s="33" t="s">
        <v>14</v>
      </c>
      <c r="D2779" s="33" t="s">
        <v>31</v>
      </c>
      <c r="F2779" s="67">
        <v>42918</v>
      </c>
      <c r="G2779" s="33" t="s">
        <v>28822</v>
      </c>
      <c r="H2779" s="33" t="s">
        <v>3060</v>
      </c>
      <c r="I2779" s="33" t="s">
        <v>225</v>
      </c>
      <c r="J2779" s="33">
        <v>23518</v>
      </c>
      <c r="K2779" s="33" t="s">
        <v>14991</v>
      </c>
      <c r="L2779" s="33" t="s">
        <v>4650</v>
      </c>
      <c r="M2779" s="33" t="s">
        <v>21</v>
      </c>
      <c r="N2779" s="33" t="s">
        <v>27852</v>
      </c>
      <c r="O2779" s="33" t="s">
        <v>372</v>
      </c>
      <c r="P2779" s="33" t="s">
        <v>30089</v>
      </c>
      <c r="Q2779" s="42" t="s">
        <v>27851</v>
      </c>
      <c r="R2779" s="33" t="s">
        <v>512</v>
      </c>
      <c r="S2779" s="33" t="s">
        <v>22</v>
      </c>
      <c r="T2779" s="36" t="s">
        <v>26781</v>
      </c>
      <c r="U2779" s="36" t="s">
        <v>26572</v>
      </c>
      <c r="V2779" s="36" t="s">
        <v>26573</v>
      </c>
      <c r="W2779" s="36" t="s">
        <v>94</v>
      </c>
      <c r="X2779" s="33">
        <v>2728</v>
      </c>
      <c r="Z2779" s="33" t="s">
        <v>42968</v>
      </c>
      <c r="AA2779" s="33">
        <v>4887</v>
      </c>
    </row>
    <row r="2780" spans="1:46" ht="12" customHeight="1" x14ac:dyDescent="0.15">
      <c r="A2780" s="33" t="s">
        <v>27984</v>
      </c>
      <c r="B2780" s="33">
        <v>19</v>
      </c>
      <c r="C2780" s="33" t="s">
        <v>14</v>
      </c>
      <c r="D2780" s="33" t="s">
        <v>31</v>
      </c>
      <c r="F2780" s="67">
        <v>42917</v>
      </c>
      <c r="G2780" s="33" t="s">
        <v>27983</v>
      </c>
      <c r="H2780" s="33" t="s">
        <v>1096</v>
      </c>
      <c r="I2780" s="33" t="s">
        <v>192</v>
      </c>
      <c r="J2780" s="33">
        <v>80526</v>
      </c>
      <c r="K2780" s="33" t="s">
        <v>510</v>
      </c>
      <c r="L2780" s="33" t="s">
        <v>42468</v>
      </c>
      <c r="M2780" s="33" t="s">
        <v>21</v>
      </c>
      <c r="N2780" s="33" t="s">
        <v>27982</v>
      </c>
      <c r="O2780" s="33" t="s">
        <v>372</v>
      </c>
      <c r="P2780" s="33" t="s">
        <v>30089</v>
      </c>
      <c r="Q2780" s="42" t="s">
        <v>27981</v>
      </c>
      <c r="R2780" s="33" t="s">
        <v>94</v>
      </c>
      <c r="S2780" s="33" t="s">
        <v>22</v>
      </c>
      <c r="T2780" s="36" t="s">
        <v>26774</v>
      </c>
      <c r="U2780" s="36" t="s">
        <v>26570</v>
      </c>
      <c r="V2780" s="36" t="s">
        <v>26573</v>
      </c>
      <c r="W2780" s="36" t="s">
        <v>512</v>
      </c>
      <c r="X2780" s="33">
        <v>2733</v>
      </c>
      <c r="Z2780" s="33" t="s">
        <v>42968</v>
      </c>
      <c r="AA2780" s="33">
        <v>4885</v>
      </c>
    </row>
    <row r="2781" spans="1:46" ht="12" customHeight="1" x14ac:dyDescent="0.15">
      <c r="A2781" s="33" t="s">
        <v>27914</v>
      </c>
      <c r="B2781" s="33">
        <v>23</v>
      </c>
      <c r="C2781" s="33" t="s">
        <v>14</v>
      </c>
      <c r="D2781" s="33" t="s">
        <v>42</v>
      </c>
      <c r="F2781" s="67">
        <v>42917</v>
      </c>
      <c r="G2781" s="33" t="s">
        <v>27913</v>
      </c>
      <c r="H2781" s="33" t="s">
        <v>3067</v>
      </c>
      <c r="I2781" s="33" t="s">
        <v>112</v>
      </c>
      <c r="J2781" s="33">
        <v>85303</v>
      </c>
      <c r="K2781" s="33" t="s">
        <v>585</v>
      </c>
      <c r="L2781" s="33" t="s">
        <v>3069</v>
      </c>
      <c r="M2781" s="33" t="s">
        <v>21</v>
      </c>
      <c r="N2781" s="33" t="s">
        <v>27912</v>
      </c>
      <c r="O2781" s="33" t="s">
        <v>372</v>
      </c>
      <c r="P2781" s="33" t="s">
        <v>30089</v>
      </c>
      <c r="Q2781" s="42" t="s">
        <v>27911</v>
      </c>
      <c r="R2781" s="33" t="s">
        <v>94</v>
      </c>
      <c r="S2781" s="33" t="s">
        <v>22</v>
      </c>
      <c r="T2781" s="36" t="s">
        <v>26781</v>
      </c>
      <c r="U2781" s="36" t="s">
        <v>26570</v>
      </c>
      <c r="V2781" s="36" t="s">
        <v>26573</v>
      </c>
      <c r="W2781" s="36" t="s">
        <v>512</v>
      </c>
      <c r="X2781" s="33">
        <v>2727</v>
      </c>
      <c r="Z2781" s="33" t="s">
        <v>42968</v>
      </c>
      <c r="AA2781" s="33">
        <v>4883</v>
      </c>
    </row>
    <row r="2782" spans="1:46" ht="12" customHeight="1" x14ac:dyDescent="0.15">
      <c r="A2782" s="33" t="s">
        <v>27906</v>
      </c>
      <c r="B2782" s="33">
        <v>37</v>
      </c>
      <c r="C2782" s="33" t="s">
        <v>14</v>
      </c>
      <c r="D2782" s="33" t="s">
        <v>79</v>
      </c>
      <c r="E2782" s="42" t="s">
        <v>27905</v>
      </c>
      <c r="F2782" s="67">
        <v>42917</v>
      </c>
      <c r="G2782" s="33" t="s">
        <v>28797</v>
      </c>
      <c r="H2782" s="33" t="s">
        <v>81</v>
      </c>
      <c r="I2782" s="33" t="s">
        <v>38</v>
      </c>
      <c r="J2782" s="33">
        <v>60623</v>
      </c>
      <c r="K2782" s="33" t="s">
        <v>82</v>
      </c>
      <c r="L2782" s="33" t="s">
        <v>83</v>
      </c>
      <c r="M2782" s="33" t="s">
        <v>21</v>
      </c>
      <c r="N2782" s="33" t="s">
        <v>27904</v>
      </c>
      <c r="O2782" s="33" t="s">
        <v>372</v>
      </c>
      <c r="P2782" s="33" t="s">
        <v>30089</v>
      </c>
      <c r="Q2782" s="42" t="s">
        <v>27903</v>
      </c>
      <c r="R2782" s="33" t="s">
        <v>94</v>
      </c>
      <c r="S2782" s="33" t="s">
        <v>22</v>
      </c>
      <c r="T2782" s="36" t="s">
        <v>26781</v>
      </c>
      <c r="U2782" s="36" t="s">
        <v>26570</v>
      </c>
      <c r="V2782" s="36" t="s">
        <v>26573</v>
      </c>
      <c r="W2782" s="36" t="s">
        <v>512</v>
      </c>
      <c r="X2782" s="33">
        <v>2730</v>
      </c>
      <c r="Z2782" s="33" t="s">
        <v>42966</v>
      </c>
      <c r="AA2782" s="33">
        <v>4884</v>
      </c>
    </row>
    <row r="2783" spans="1:46" ht="12" customHeight="1" x14ac:dyDescent="0.15">
      <c r="A2783" s="33" t="s">
        <v>3002</v>
      </c>
      <c r="B2783" s="33" t="s">
        <v>23</v>
      </c>
      <c r="C2783" s="33" t="s">
        <v>14</v>
      </c>
      <c r="D2783" s="33" t="s">
        <v>30751</v>
      </c>
      <c r="F2783" s="67">
        <v>42917</v>
      </c>
      <c r="G2783" s="33" t="s">
        <v>27823</v>
      </c>
      <c r="H2783" s="33" t="s">
        <v>196</v>
      </c>
      <c r="I2783" s="33" t="s">
        <v>56</v>
      </c>
      <c r="J2783" s="33">
        <v>33130</v>
      </c>
      <c r="K2783" s="33" t="s">
        <v>148</v>
      </c>
      <c r="L2783" s="33" t="s">
        <v>427</v>
      </c>
      <c r="M2783" s="33" t="s">
        <v>27767</v>
      </c>
      <c r="N2783" s="33" t="s">
        <v>27822</v>
      </c>
      <c r="O2783" s="33" t="s">
        <v>372</v>
      </c>
      <c r="P2783" s="33" t="s">
        <v>30089</v>
      </c>
      <c r="Q2783" s="42" t="s">
        <v>27821</v>
      </c>
      <c r="R2783" s="33" t="s">
        <v>904</v>
      </c>
      <c r="S2783" s="33" t="s">
        <v>12</v>
      </c>
      <c r="T2783" s="36" t="s">
        <v>29705</v>
      </c>
      <c r="U2783" s="36" t="s">
        <v>26572</v>
      </c>
      <c r="V2783" s="36" t="s">
        <v>26571</v>
      </c>
      <c r="Z2783" s="33" t="s">
        <v>42966</v>
      </c>
      <c r="AA2783" s="33">
        <v>4886</v>
      </c>
    </row>
    <row r="2784" spans="1:46" ht="12" customHeight="1" x14ac:dyDescent="0.15">
      <c r="A2784" s="33" t="s">
        <v>28079</v>
      </c>
      <c r="B2784" s="33">
        <v>33</v>
      </c>
      <c r="C2784" s="33" t="s">
        <v>14</v>
      </c>
      <c r="D2784" s="33" t="s">
        <v>42</v>
      </c>
      <c r="E2784" s="42" t="s">
        <v>28078</v>
      </c>
      <c r="F2784" s="67">
        <v>42916</v>
      </c>
      <c r="G2784" s="33" t="s">
        <v>28077</v>
      </c>
      <c r="H2784" s="33" t="s">
        <v>21113</v>
      </c>
      <c r="I2784" s="33" t="s">
        <v>192</v>
      </c>
      <c r="J2784" s="33">
        <v>80030</v>
      </c>
      <c r="K2784" s="33" t="s">
        <v>1790</v>
      </c>
      <c r="L2784" s="33" t="s">
        <v>21114</v>
      </c>
      <c r="M2784" s="33" t="s">
        <v>21</v>
      </c>
      <c r="N2784" s="33" t="s">
        <v>28076</v>
      </c>
      <c r="O2784" s="33" t="s">
        <v>372</v>
      </c>
      <c r="P2784" s="33" t="s">
        <v>94</v>
      </c>
      <c r="Q2784" s="42" t="s">
        <v>28075</v>
      </c>
      <c r="R2784" s="33" t="s">
        <v>94</v>
      </c>
      <c r="S2784" s="33" t="s">
        <v>22</v>
      </c>
      <c r="T2784" s="36" t="s">
        <v>26781</v>
      </c>
      <c r="U2784" s="36" t="s">
        <v>26570</v>
      </c>
      <c r="V2784" s="36" t="s">
        <v>26574</v>
      </c>
      <c r="W2784" s="36" t="s">
        <v>94</v>
      </c>
      <c r="X2784" s="33">
        <v>2726</v>
      </c>
      <c r="Z2784" s="33" t="s">
        <v>42966</v>
      </c>
      <c r="AA2784" s="33">
        <v>4881</v>
      </c>
      <c r="AT2784" s="42"/>
    </row>
    <row r="2785" spans="1:27" ht="12" customHeight="1" x14ac:dyDescent="0.15">
      <c r="A2785" s="33" t="s">
        <v>28065</v>
      </c>
      <c r="B2785" s="33">
        <v>23</v>
      </c>
      <c r="C2785" s="33" t="s">
        <v>14</v>
      </c>
      <c r="D2785" s="33" t="s">
        <v>31</v>
      </c>
      <c r="F2785" s="67">
        <v>42916</v>
      </c>
      <c r="G2785" s="33" t="s">
        <v>28064</v>
      </c>
      <c r="H2785" s="33" t="s">
        <v>1096</v>
      </c>
      <c r="I2785" s="33" t="s">
        <v>192</v>
      </c>
      <c r="J2785" s="33">
        <v>80528</v>
      </c>
      <c r="K2785" s="33" t="s">
        <v>510</v>
      </c>
      <c r="L2785" s="33" t="s">
        <v>19778</v>
      </c>
      <c r="M2785" s="33" t="s">
        <v>21</v>
      </c>
      <c r="N2785" s="33" t="s">
        <v>28063</v>
      </c>
      <c r="O2785" s="33" t="s">
        <v>372</v>
      </c>
      <c r="P2785" s="33" t="s">
        <v>30089</v>
      </c>
      <c r="Q2785" s="42" t="s">
        <v>28062</v>
      </c>
      <c r="R2785" s="33" t="s">
        <v>94</v>
      </c>
      <c r="S2785" s="33" t="s">
        <v>12</v>
      </c>
      <c r="T2785" s="36" t="s">
        <v>29705</v>
      </c>
      <c r="U2785" s="36" t="s">
        <v>26572</v>
      </c>
      <c r="V2785" s="36" t="s">
        <v>26574</v>
      </c>
      <c r="W2785" s="36" t="s">
        <v>94</v>
      </c>
      <c r="X2785" s="33">
        <v>2725</v>
      </c>
      <c r="Z2785" s="33" t="s">
        <v>42968</v>
      </c>
      <c r="AA2785" s="33">
        <v>4882</v>
      </c>
    </row>
    <row r="2786" spans="1:27" ht="12" customHeight="1" x14ac:dyDescent="0.15">
      <c r="A2786" s="33" t="s">
        <v>27864</v>
      </c>
      <c r="B2786" s="33">
        <v>32</v>
      </c>
      <c r="C2786" s="33" t="s">
        <v>103</v>
      </c>
      <c r="D2786" s="33" t="s">
        <v>42</v>
      </c>
      <c r="E2786" s="42" t="s">
        <v>27863</v>
      </c>
      <c r="F2786" s="67">
        <v>42916</v>
      </c>
      <c r="G2786" s="33" t="s">
        <v>27862</v>
      </c>
      <c r="H2786" s="33" t="s">
        <v>25367</v>
      </c>
      <c r="I2786" s="33" t="s">
        <v>192</v>
      </c>
      <c r="J2786" s="33">
        <v>80223</v>
      </c>
      <c r="K2786" s="33" t="s">
        <v>1212</v>
      </c>
      <c r="L2786" s="33" t="s">
        <v>27861</v>
      </c>
      <c r="M2786" s="33" t="s">
        <v>21</v>
      </c>
      <c r="N2786" s="33" t="s">
        <v>27860</v>
      </c>
      <c r="O2786" s="33" t="s">
        <v>372</v>
      </c>
      <c r="P2786" s="33" t="s">
        <v>30089</v>
      </c>
      <c r="Q2786" s="42" t="s">
        <v>27859</v>
      </c>
      <c r="R2786" s="33" t="s">
        <v>94</v>
      </c>
      <c r="S2786" s="33" t="s">
        <v>22</v>
      </c>
      <c r="T2786" s="36" t="s">
        <v>26781</v>
      </c>
      <c r="U2786" s="36" t="s">
        <v>26572</v>
      </c>
      <c r="V2786" s="36" t="s">
        <v>26571</v>
      </c>
      <c r="W2786" s="36" t="s">
        <v>94</v>
      </c>
      <c r="X2786" s="33">
        <v>2721</v>
      </c>
      <c r="Z2786" s="33" t="s">
        <v>42966</v>
      </c>
      <c r="AA2786" s="33">
        <v>4880</v>
      </c>
    </row>
    <row r="2787" spans="1:27" ht="12" customHeight="1" x14ac:dyDescent="0.15">
      <c r="A2787" s="33" t="s">
        <v>27949</v>
      </c>
      <c r="B2787" s="33">
        <v>41</v>
      </c>
      <c r="C2787" s="33" t="s">
        <v>14</v>
      </c>
      <c r="D2787" s="33" t="s">
        <v>42</v>
      </c>
      <c r="F2787" s="67">
        <v>42915</v>
      </c>
      <c r="G2787" s="33" t="s">
        <v>27948</v>
      </c>
      <c r="H2787" s="33" t="s">
        <v>3550</v>
      </c>
      <c r="I2787" s="33" t="s">
        <v>39</v>
      </c>
      <c r="J2787" s="33">
        <v>91504</v>
      </c>
      <c r="K2787" s="33" t="s">
        <v>92</v>
      </c>
      <c r="L2787" s="33" t="s">
        <v>27947</v>
      </c>
      <c r="M2787" s="33" t="s">
        <v>21</v>
      </c>
      <c r="N2787" s="33" t="s">
        <v>27946</v>
      </c>
      <c r="O2787" s="33" t="s">
        <v>372</v>
      </c>
      <c r="P2787" s="33" t="s">
        <v>30089</v>
      </c>
      <c r="Q2787" s="42" t="s">
        <v>27945</v>
      </c>
      <c r="R2787" s="33" t="s">
        <v>94</v>
      </c>
      <c r="S2787" s="33" t="s">
        <v>12</v>
      </c>
      <c r="T2787" s="36" t="s">
        <v>29425</v>
      </c>
      <c r="U2787" s="36" t="s">
        <v>26572</v>
      </c>
      <c r="V2787" s="36" t="s">
        <v>26573</v>
      </c>
      <c r="W2787" s="36" t="s">
        <v>94</v>
      </c>
      <c r="X2787" s="33">
        <v>2720</v>
      </c>
      <c r="Z2787" s="33" t="s">
        <v>42968</v>
      </c>
      <c r="AA2787" s="33">
        <v>4876</v>
      </c>
    </row>
    <row r="2788" spans="1:27" ht="12" customHeight="1" x14ac:dyDescent="0.15">
      <c r="A2788" s="33" t="s">
        <v>27973</v>
      </c>
      <c r="B2788" s="33">
        <v>23</v>
      </c>
      <c r="C2788" s="33" t="s">
        <v>14</v>
      </c>
      <c r="D2788" s="33" t="s">
        <v>79</v>
      </c>
      <c r="F2788" s="67">
        <v>42915</v>
      </c>
      <c r="G2788" s="33" t="s">
        <v>27972</v>
      </c>
      <c r="H2788" s="33" t="s">
        <v>5762</v>
      </c>
      <c r="I2788" s="33" t="s">
        <v>160</v>
      </c>
      <c r="J2788" s="33">
        <v>30067</v>
      </c>
      <c r="K2788" s="33" t="s">
        <v>3052</v>
      </c>
      <c r="L2788" s="33" t="s">
        <v>27971</v>
      </c>
      <c r="M2788" s="33" t="s">
        <v>21</v>
      </c>
      <c r="N2788" s="33" t="s">
        <v>27970</v>
      </c>
      <c r="O2788" s="33" t="s">
        <v>372</v>
      </c>
      <c r="P2788" s="33" t="s">
        <v>30089</v>
      </c>
      <c r="Q2788" s="42" t="s">
        <v>27969</v>
      </c>
      <c r="R2788" s="33" t="s">
        <v>94</v>
      </c>
      <c r="S2788" s="33" t="s">
        <v>351</v>
      </c>
      <c r="T2788" s="36" t="s">
        <v>26867</v>
      </c>
      <c r="U2788" s="36" t="s">
        <v>26570</v>
      </c>
      <c r="V2788" s="36" t="s">
        <v>26573</v>
      </c>
      <c r="W2788" s="36" t="s">
        <v>94</v>
      </c>
      <c r="X2788" s="33">
        <v>2723</v>
      </c>
      <c r="Z2788" s="33" t="s">
        <v>42968</v>
      </c>
      <c r="AA2788" s="33">
        <v>4879</v>
      </c>
    </row>
    <row r="2789" spans="1:27" ht="12" customHeight="1" x14ac:dyDescent="0.15">
      <c r="A2789" s="33" t="s">
        <v>28119</v>
      </c>
      <c r="B2789" s="33">
        <v>45</v>
      </c>
      <c r="C2789" s="33" t="s">
        <v>14</v>
      </c>
      <c r="D2789" s="33" t="s">
        <v>79</v>
      </c>
      <c r="E2789" s="42" t="s">
        <v>28118</v>
      </c>
      <c r="F2789" s="67">
        <v>42915</v>
      </c>
      <c r="G2789" s="33" t="s">
        <v>28117</v>
      </c>
      <c r="H2789" s="33" t="s">
        <v>197</v>
      </c>
      <c r="I2789" s="33" t="s">
        <v>198</v>
      </c>
      <c r="J2789" s="33">
        <v>46208</v>
      </c>
      <c r="K2789" s="33" t="s">
        <v>392</v>
      </c>
      <c r="L2789" s="33" t="s">
        <v>199</v>
      </c>
      <c r="M2789" s="33" t="s">
        <v>21</v>
      </c>
      <c r="N2789" s="33" t="s">
        <v>28116</v>
      </c>
      <c r="O2789" s="33" t="s">
        <v>372</v>
      </c>
      <c r="P2789" s="33" t="s">
        <v>30089</v>
      </c>
      <c r="Q2789" s="42" t="s">
        <v>28115</v>
      </c>
      <c r="R2789" s="33" t="s">
        <v>94</v>
      </c>
      <c r="S2789" s="33" t="s">
        <v>12</v>
      </c>
      <c r="T2789" s="36" t="s">
        <v>29705</v>
      </c>
      <c r="U2789" s="36" t="s">
        <v>26570</v>
      </c>
      <c r="V2789" s="36" t="s">
        <v>26571</v>
      </c>
      <c r="W2789" s="36" t="s">
        <v>94</v>
      </c>
      <c r="X2789" s="33">
        <v>2717</v>
      </c>
      <c r="Z2789" s="33" t="s">
        <v>42966</v>
      </c>
      <c r="AA2789" s="33">
        <v>4877</v>
      </c>
    </row>
    <row r="2790" spans="1:27" ht="12" customHeight="1" x14ac:dyDescent="0.15">
      <c r="A2790" s="33" t="s">
        <v>27963</v>
      </c>
      <c r="B2790" s="33">
        <v>37</v>
      </c>
      <c r="C2790" s="33" t="s">
        <v>14</v>
      </c>
      <c r="D2790" s="33" t="s">
        <v>42</v>
      </c>
      <c r="E2790" s="42" t="s">
        <v>27962</v>
      </c>
      <c r="F2790" s="67">
        <v>42915</v>
      </c>
      <c r="G2790" s="33" t="s">
        <v>27961</v>
      </c>
      <c r="H2790" s="33" t="s">
        <v>3569</v>
      </c>
      <c r="I2790" s="33" t="s">
        <v>56</v>
      </c>
      <c r="J2790" s="33">
        <v>32725</v>
      </c>
      <c r="K2790" s="33" t="s">
        <v>3571</v>
      </c>
      <c r="L2790" s="33" t="s">
        <v>242</v>
      </c>
      <c r="M2790" s="33" t="s">
        <v>21</v>
      </c>
      <c r="N2790" s="33" t="s">
        <v>27960</v>
      </c>
      <c r="O2790" s="33" t="s">
        <v>372</v>
      </c>
      <c r="P2790" s="33" t="s">
        <v>30089</v>
      </c>
      <c r="Q2790" s="42" t="s">
        <v>27959</v>
      </c>
      <c r="R2790" s="33" t="s">
        <v>904</v>
      </c>
      <c r="S2790" s="33" t="s">
        <v>12</v>
      </c>
      <c r="T2790" s="36" t="s">
        <v>29705</v>
      </c>
      <c r="U2790" s="36" t="s">
        <v>26570</v>
      </c>
      <c r="V2790" s="36" t="s">
        <v>26573</v>
      </c>
      <c r="W2790" s="36" t="s">
        <v>94</v>
      </c>
      <c r="X2790" s="33">
        <v>2724</v>
      </c>
      <c r="Z2790" s="33" t="s">
        <v>42968</v>
      </c>
      <c r="AA2790" s="33">
        <v>4878</v>
      </c>
    </row>
    <row r="2791" spans="1:27" ht="12" customHeight="1" x14ac:dyDescent="0.15">
      <c r="A2791" s="33" t="s">
        <v>29634</v>
      </c>
      <c r="B2791" s="33" t="s">
        <v>23</v>
      </c>
      <c r="C2791" s="33" t="s">
        <v>14</v>
      </c>
      <c r="D2791" s="33" t="s">
        <v>42</v>
      </c>
      <c r="F2791" s="67">
        <v>42914</v>
      </c>
      <c r="G2791" s="33" t="s">
        <v>27867</v>
      </c>
      <c r="H2791" s="33" t="s">
        <v>92</v>
      </c>
      <c r="I2791" s="33" t="s">
        <v>39</v>
      </c>
      <c r="J2791" s="33">
        <v>90017</v>
      </c>
      <c r="K2791" s="33" t="s">
        <v>92</v>
      </c>
      <c r="L2791" s="33" t="s">
        <v>93</v>
      </c>
      <c r="M2791" s="33" t="s">
        <v>21</v>
      </c>
      <c r="N2791" s="33" t="s">
        <v>27866</v>
      </c>
      <c r="O2791" s="33" t="s">
        <v>372</v>
      </c>
      <c r="P2791" s="33" t="s">
        <v>30089</v>
      </c>
      <c r="Q2791" s="42" t="s">
        <v>27865</v>
      </c>
      <c r="R2791" s="33" t="s">
        <v>512</v>
      </c>
      <c r="S2791" s="33" t="s">
        <v>22</v>
      </c>
      <c r="T2791" s="36" t="s">
        <v>26781</v>
      </c>
      <c r="U2791" s="36" t="s">
        <v>26570</v>
      </c>
      <c r="V2791" s="36" t="s">
        <v>26573</v>
      </c>
      <c r="W2791" s="36" t="s">
        <v>512</v>
      </c>
      <c r="X2791" s="33">
        <v>2716</v>
      </c>
      <c r="Z2791" s="33" t="s">
        <v>42966</v>
      </c>
      <c r="AA2791" s="33">
        <v>4874</v>
      </c>
    </row>
    <row r="2792" spans="1:27" ht="12" customHeight="1" x14ac:dyDescent="0.15">
      <c r="A2792" s="33" t="s">
        <v>27887</v>
      </c>
      <c r="B2792" s="33">
        <v>37</v>
      </c>
      <c r="C2792" s="33" t="s">
        <v>14</v>
      </c>
      <c r="D2792" s="33" t="s">
        <v>79</v>
      </c>
      <c r="F2792" s="67">
        <v>42914</v>
      </c>
      <c r="G2792" s="33" t="s">
        <v>27886</v>
      </c>
      <c r="H2792" s="33" t="s">
        <v>1888</v>
      </c>
      <c r="I2792" s="33" t="s">
        <v>298</v>
      </c>
      <c r="J2792" s="33">
        <v>37204</v>
      </c>
      <c r="K2792" s="33" t="s">
        <v>823</v>
      </c>
      <c r="L2792" s="33" t="s">
        <v>27885</v>
      </c>
      <c r="M2792" s="33" t="s">
        <v>21</v>
      </c>
      <c r="N2792" s="33" t="s">
        <v>27884</v>
      </c>
      <c r="O2792" s="33" t="s">
        <v>372</v>
      </c>
      <c r="P2792" s="33" t="s">
        <v>30089</v>
      </c>
      <c r="Q2792" s="42" t="s">
        <v>27883</v>
      </c>
      <c r="R2792" s="33" t="s">
        <v>94</v>
      </c>
      <c r="S2792" s="33" t="s">
        <v>29</v>
      </c>
      <c r="T2792" s="36" t="s">
        <v>26586</v>
      </c>
      <c r="U2792" s="36" t="s">
        <v>26572</v>
      </c>
      <c r="V2792" s="36" t="s">
        <v>26573</v>
      </c>
      <c r="W2792" s="36" t="s">
        <v>94</v>
      </c>
      <c r="X2792" s="33">
        <v>2718</v>
      </c>
      <c r="Z2792" s="33" t="s">
        <v>42968</v>
      </c>
      <c r="AA2792" s="33">
        <v>4875</v>
      </c>
    </row>
    <row r="2793" spans="1:27" ht="12" customHeight="1" x14ac:dyDescent="0.15">
      <c r="A2793" s="33" t="s">
        <v>27989</v>
      </c>
      <c r="B2793" s="33">
        <v>35</v>
      </c>
      <c r="C2793" s="33" t="s">
        <v>14</v>
      </c>
      <c r="D2793" s="33" t="s">
        <v>42</v>
      </c>
      <c r="E2793" s="42" t="s">
        <v>27988</v>
      </c>
      <c r="F2793" s="67">
        <v>42913</v>
      </c>
      <c r="G2793" s="33" t="s">
        <v>27987</v>
      </c>
      <c r="H2793" s="33" t="s">
        <v>116</v>
      </c>
      <c r="I2793" s="33" t="s">
        <v>67</v>
      </c>
      <c r="J2793" s="33">
        <v>79104</v>
      </c>
      <c r="K2793" s="33" t="s">
        <v>14029</v>
      </c>
      <c r="L2793" s="33" t="s">
        <v>14030</v>
      </c>
      <c r="M2793" s="33" t="s">
        <v>4966</v>
      </c>
      <c r="N2793" s="33" t="s">
        <v>27986</v>
      </c>
      <c r="O2793" s="33" t="s">
        <v>372</v>
      </c>
      <c r="P2793" s="33" t="s">
        <v>30089</v>
      </c>
      <c r="Q2793" s="42" t="s">
        <v>27985</v>
      </c>
      <c r="R2793" s="33" t="s">
        <v>94</v>
      </c>
      <c r="S2793" s="33" t="s">
        <v>22</v>
      </c>
      <c r="T2793" s="36" t="s">
        <v>26781</v>
      </c>
      <c r="U2793" s="36" t="s">
        <v>26572</v>
      </c>
      <c r="V2793" s="36" t="s">
        <v>26574</v>
      </c>
      <c r="W2793" s="36" t="s">
        <v>94</v>
      </c>
      <c r="X2793" s="33">
        <v>2705</v>
      </c>
      <c r="Z2793" s="33" t="s">
        <v>42966</v>
      </c>
      <c r="AA2793" s="33">
        <v>4873</v>
      </c>
    </row>
    <row r="2794" spans="1:27" ht="12" customHeight="1" x14ac:dyDescent="0.15">
      <c r="A2794" s="33" t="s">
        <v>27902</v>
      </c>
      <c r="B2794" s="33">
        <v>36</v>
      </c>
      <c r="C2794" s="33" t="s">
        <v>14</v>
      </c>
      <c r="D2794" s="33" t="s">
        <v>42</v>
      </c>
      <c r="F2794" s="67">
        <v>42911</v>
      </c>
      <c r="G2794" s="33" t="s">
        <v>27901</v>
      </c>
      <c r="H2794" s="33" t="s">
        <v>27900</v>
      </c>
      <c r="I2794" s="33" t="s">
        <v>178</v>
      </c>
      <c r="J2794" s="33">
        <v>87552</v>
      </c>
      <c r="K2794" s="33" t="s">
        <v>9069</v>
      </c>
      <c r="L2794" s="33" t="s">
        <v>2847</v>
      </c>
      <c r="M2794" s="33" t="s">
        <v>21</v>
      </c>
      <c r="N2794" s="33" t="s">
        <v>36569</v>
      </c>
      <c r="O2794" s="33" t="s">
        <v>372</v>
      </c>
      <c r="P2794" s="33" t="s">
        <v>30089</v>
      </c>
      <c r="Q2794" s="42" t="s">
        <v>27899</v>
      </c>
      <c r="R2794" s="33" t="s">
        <v>512</v>
      </c>
      <c r="S2794" s="33" t="s">
        <v>22</v>
      </c>
      <c r="T2794" s="36" t="s">
        <v>26781</v>
      </c>
      <c r="U2794" s="36" t="s">
        <v>26572</v>
      </c>
      <c r="V2794" s="36" t="s">
        <v>26573</v>
      </c>
      <c r="W2794" s="36" t="s">
        <v>94</v>
      </c>
      <c r="X2794" s="33">
        <v>2694</v>
      </c>
      <c r="Z2794" s="33" t="s">
        <v>42967</v>
      </c>
      <c r="AA2794" s="33">
        <v>4869</v>
      </c>
    </row>
    <row r="2795" spans="1:27" ht="12" customHeight="1" x14ac:dyDescent="0.15">
      <c r="A2795" s="33" t="s">
        <v>21056</v>
      </c>
      <c r="B2795" s="33">
        <v>56</v>
      </c>
      <c r="C2795" s="33" t="s">
        <v>14</v>
      </c>
      <c r="D2795" s="33" t="s">
        <v>31</v>
      </c>
      <c r="F2795" s="67">
        <v>42911</v>
      </c>
      <c r="G2795" s="33" t="s">
        <v>27855</v>
      </c>
      <c r="H2795" s="33" t="s">
        <v>607</v>
      </c>
      <c r="I2795" s="33" t="s">
        <v>250</v>
      </c>
      <c r="J2795" s="33">
        <v>89108</v>
      </c>
      <c r="K2795" s="33" t="s">
        <v>527</v>
      </c>
      <c r="L2795" s="33" t="s">
        <v>528</v>
      </c>
      <c r="M2795" s="33" t="s">
        <v>21</v>
      </c>
      <c r="N2795" s="33" t="s">
        <v>27854</v>
      </c>
      <c r="O2795" s="33" t="s">
        <v>372</v>
      </c>
      <c r="P2795" s="33" t="s">
        <v>30089</v>
      </c>
      <c r="Q2795" s="42" t="s">
        <v>27853</v>
      </c>
      <c r="R2795" s="33" t="s">
        <v>94</v>
      </c>
      <c r="S2795" s="33" t="s">
        <v>22</v>
      </c>
      <c r="T2795" s="36" t="s">
        <v>26781</v>
      </c>
      <c r="U2795" s="36" t="s">
        <v>26572</v>
      </c>
      <c r="V2795" s="36" t="s">
        <v>26573</v>
      </c>
      <c r="W2795" s="36" t="s">
        <v>94</v>
      </c>
      <c r="X2795" s="33">
        <v>2698</v>
      </c>
      <c r="Z2795" s="33" t="s">
        <v>42966</v>
      </c>
      <c r="AA2795" s="33">
        <v>4872</v>
      </c>
    </row>
    <row r="2796" spans="1:27" ht="12" customHeight="1" x14ac:dyDescent="0.15">
      <c r="A2796" s="33" t="s">
        <v>27920</v>
      </c>
      <c r="B2796" s="33">
        <v>47</v>
      </c>
      <c r="C2796" s="33" t="s">
        <v>14</v>
      </c>
      <c r="D2796" s="33" t="s">
        <v>31</v>
      </c>
      <c r="E2796" s="42" t="s">
        <v>27919</v>
      </c>
      <c r="F2796" s="67">
        <v>42911</v>
      </c>
      <c r="G2796" s="33" t="s">
        <v>27918</v>
      </c>
      <c r="H2796" s="33" t="s">
        <v>27917</v>
      </c>
      <c r="I2796" s="33" t="s">
        <v>112</v>
      </c>
      <c r="J2796" s="33">
        <v>85331</v>
      </c>
      <c r="K2796" s="33" t="s">
        <v>585</v>
      </c>
      <c r="L2796" s="33" t="s">
        <v>586</v>
      </c>
      <c r="M2796" s="33" t="s">
        <v>21</v>
      </c>
      <c r="N2796" s="33" t="s">
        <v>27916</v>
      </c>
      <c r="O2796" s="33" t="s">
        <v>372</v>
      </c>
      <c r="P2796" s="33" t="s">
        <v>30089</v>
      </c>
      <c r="Q2796" s="42" t="s">
        <v>27915</v>
      </c>
      <c r="R2796" s="33" t="s">
        <v>94</v>
      </c>
      <c r="S2796" s="33" t="s">
        <v>22</v>
      </c>
      <c r="T2796" s="36" t="s">
        <v>26781</v>
      </c>
      <c r="U2796" s="36" t="s">
        <v>26572</v>
      </c>
      <c r="V2796" s="36" t="s">
        <v>26573</v>
      </c>
      <c r="W2796" s="36" t="s">
        <v>94</v>
      </c>
      <c r="X2796" s="33">
        <v>2696</v>
      </c>
      <c r="Z2796" s="33" t="s">
        <v>42968</v>
      </c>
      <c r="AA2796" s="33">
        <v>4871</v>
      </c>
    </row>
    <row r="2797" spans="1:27" ht="12" customHeight="1" x14ac:dyDescent="0.15">
      <c r="A2797" s="33" t="s">
        <v>28022</v>
      </c>
      <c r="B2797" s="33">
        <v>24</v>
      </c>
      <c r="C2797" s="33" t="s">
        <v>14</v>
      </c>
      <c r="D2797" s="33" t="s">
        <v>79</v>
      </c>
      <c r="F2797" s="67">
        <v>42911</v>
      </c>
      <c r="G2797" s="33" t="s">
        <v>28021</v>
      </c>
      <c r="H2797" s="33" t="s">
        <v>1027</v>
      </c>
      <c r="I2797" s="33" t="s">
        <v>367</v>
      </c>
      <c r="J2797" s="33">
        <v>73109</v>
      </c>
      <c r="K2797" s="33" t="s">
        <v>1028</v>
      </c>
      <c r="L2797" s="33" t="s">
        <v>1029</v>
      </c>
      <c r="M2797" s="33" t="s">
        <v>21</v>
      </c>
      <c r="N2797" s="33" t="s">
        <v>28020</v>
      </c>
      <c r="O2797" s="33" t="s">
        <v>372</v>
      </c>
      <c r="P2797" s="33" t="s">
        <v>30089</v>
      </c>
      <c r="Q2797" s="42" t="s">
        <v>28019</v>
      </c>
      <c r="R2797" s="33" t="s">
        <v>94</v>
      </c>
      <c r="S2797" s="33" t="s">
        <v>22</v>
      </c>
      <c r="T2797" s="36" t="s">
        <v>26781</v>
      </c>
      <c r="U2797" s="36" t="s">
        <v>26572</v>
      </c>
      <c r="V2797" s="36" t="s">
        <v>26573</v>
      </c>
      <c r="W2797" s="36" t="s">
        <v>512</v>
      </c>
      <c r="X2797" s="33">
        <v>2695</v>
      </c>
      <c r="Z2797" s="33" t="s">
        <v>42966</v>
      </c>
      <c r="AA2797" s="33">
        <v>4870</v>
      </c>
    </row>
    <row r="2798" spans="1:27" ht="12" customHeight="1" x14ac:dyDescent="0.15">
      <c r="A2798" s="33" t="s">
        <v>27954</v>
      </c>
      <c r="B2798" s="33">
        <v>56</v>
      </c>
      <c r="C2798" s="33" t="s">
        <v>14</v>
      </c>
      <c r="D2798" s="33" t="s">
        <v>79</v>
      </c>
      <c r="E2798" s="42" t="s">
        <v>27953</v>
      </c>
      <c r="F2798" s="67">
        <v>42911</v>
      </c>
      <c r="G2798" s="33" t="s">
        <v>27952</v>
      </c>
      <c r="H2798" s="33" t="s">
        <v>2839</v>
      </c>
      <c r="I2798" s="33" t="s">
        <v>26</v>
      </c>
      <c r="J2798" s="33">
        <v>29406</v>
      </c>
      <c r="K2798" s="33" t="s">
        <v>2064</v>
      </c>
      <c r="L2798" s="33" t="s">
        <v>2087</v>
      </c>
      <c r="M2798" s="33" t="s">
        <v>21</v>
      </c>
      <c r="N2798" s="33" t="s">
        <v>27951</v>
      </c>
      <c r="O2798" s="33" t="s">
        <v>372</v>
      </c>
      <c r="P2798" s="33" t="s">
        <v>30089</v>
      </c>
      <c r="Q2798" s="42" t="s">
        <v>27950</v>
      </c>
      <c r="R2798" s="33" t="s">
        <v>94</v>
      </c>
      <c r="S2798" s="33" t="s">
        <v>22</v>
      </c>
      <c r="T2798" s="36" t="s">
        <v>26781</v>
      </c>
      <c r="U2798" s="36" t="s">
        <v>26575</v>
      </c>
      <c r="V2798" s="36" t="s">
        <v>26574</v>
      </c>
      <c r="W2798" s="36" t="s">
        <v>94</v>
      </c>
      <c r="X2798" s="33">
        <v>2692</v>
      </c>
      <c r="Z2798" s="33" t="s">
        <v>42966</v>
      </c>
      <c r="AA2798" s="33">
        <v>4868</v>
      </c>
    </row>
    <row r="2799" spans="1:27" ht="12" customHeight="1" x14ac:dyDescent="0.15">
      <c r="A2799" s="33" t="s">
        <v>28074</v>
      </c>
      <c r="B2799" s="33">
        <v>37</v>
      </c>
      <c r="C2799" s="33" t="s">
        <v>14</v>
      </c>
      <c r="D2799" s="33" t="s">
        <v>31</v>
      </c>
      <c r="F2799" s="67">
        <v>42910</v>
      </c>
      <c r="G2799" s="33" t="s">
        <v>28073</v>
      </c>
      <c r="H2799" s="33" t="s">
        <v>3040</v>
      </c>
      <c r="I2799" s="33" t="s">
        <v>106</v>
      </c>
      <c r="J2799" s="33">
        <v>97439</v>
      </c>
      <c r="K2799" s="33" t="s">
        <v>2946</v>
      </c>
      <c r="L2799" s="33" t="s">
        <v>17398</v>
      </c>
      <c r="M2799" s="33" t="s">
        <v>21</v>
      </c>
      <c r="N2799" s="33" t="s">
        <v>28072</v>
      </c>
      <c r="O2799" s="33" t="s">
        <v>372</v>
      </c>
      <c r="P2799" s="33" t="s">
        <v>30089</v>
      </c>
      <c r="Q2799" s="42" t="s">
        <v>28071</v>
      </c>
      <c r="R2799" s="33" t="s">
        <v>512</v>
      </c>
      <c r="S2799" s="33" t="s">
        <v>22</v>
      </c>
      <c r="T2799" s="36" t="s">
        <v>26781</v>
      </c>
      <c r="U2799" s="36" t="s">
        <v>26572</v>
      </c>
      <c r="V2799" s="36" t="s">
        <v>26571</v>
      </c>
      <c r="W2799" s="36" t="s">
        <v>94</v>
      </c>
      <c r="X2799" s="33">
        <v>2699</v>
      </c>
      <c r="Z2799" s="33" t="s">
        <v>42967</v>
      </c>
      <c r="AA2799" s="33">
        <v>4864</v>
      </c>
    </row>
    <row r="2800" spans="1:27" ht="12" customHeight="1" x14ac:dyDescent="0.15">
      <c r="A2800" s="33" t="s">
        <v>28056</v>
      </c>
      <c r="B2800" s="33" t="s">
        <v>23</v>
      </c>
      <c r="C2800" s="33" t="s">
        <v>14</v>
      </c>
      <c r="D2800" s="33" t="s">
        <v>31</v>
      </c>
      <c r="F2800" s="67">
        <v>42910</v>
      </c>
      <c r="G2800" s="33" t="s">
        <v>28055</v>
      </c>
      <c r="H2800" s="33" t="s">
        <v>28054</v>
      </c>
      <c r="I2800" s="33" t="s">
        <v>88</v>
      </c>
      <c r="J2800" s="33">
        <v>36529</v>
      </c>
      <c r="K2800" s="33" t="s">
        <v>107</v>
      </c>
      <c r="L2800" s="33" t="s">
        <v>108</v>
      </c>
      <c r="M2800" s="33" t="s">
        <v>21</v>
      </c>
      <c r="N2800" s="33" t="s">
        <v>28053</v>
      </c>
      <c r="O2800" s="33" t="s">
        <v>372</v>
      </c>
      <c r="P2800" s="33" t="s">
        <v>30089</v>
      </c>
      <c r="Q2800" s="42" t="s">
        <v>28052</v>
      </c>
      <c r="R2800" s="33" t="s">
        <v>94</v>
      </c>
      <c r="S2800" s="33" t="s">
        <v>351</v>
      </c>
      <c r="T2800" s="36" t="s">
        <v>26867</v>
      </c>
      <c r="U2800" s="36" t="s">
        <v>26570</v>
      </c>
      <c r="V2800" s="36" t="s">
        <v>26573</v>
      </c>
      <c r="W2800" s="36" t="s">
        <v>94</v>
      </c>
      <c r="X2800" s="33">
        <v>2701</v>
      </c>
      <c r="Z2800" s="33" t="s">
        <v>42967</v>
      </c>
      <c r="AA2800" s="33">
        <v>4866</v>
      </c>
    </row>
    <row r="2801" spans="1:46" ht="12" customHeight="1" x14ac:dyDescent="0.15">
      <c r="A2801" s="33" t="s">
        <v>27976</v>
      </c>
      <c r="B2801" s="33">
        <v>47</v>
      </c>
      <c r="C2801" s="33" t="s">
        <v>14</v>
      </c>
      <c r="D2801" s="33" t="s">
        <v>31</v>
      </c>
      <c r="F2801" s="67">
        <v>42910</v>
      </c>
      <c r="G2801" s="33" t="s">
        <v>27975</v>
      </c>
      <c r="H2801" s="33" t="s">
        <v>2307</v>
      </c>
      <c r="I2801" s="33" t="s">
        <v>367</v>
      </c>
      <c r="J2801" s="33">
        <v>74128</v>
      </c>
      <c r="K2801" s="33" t="s">
        <v>2307</v>
      </c>
      <c r="L2801" s="33" t="s">
        <v>3108</v>
      </c>
      <c r="M2801" s="33" t="s">
        <v>21</v>
      </c>
      <c r="N2801" s="33" t="s">
        <v>36570</v>
      </c>
      <c r="O2801" s="33" t="s">
        <v>372</v>
      </c>
      <c r="P2801" s="33" t="s">
        <v>30089</v>
      </c>
      <c r="Q2801" s="42" t="s">
        <v>27974</v>
      </c>
      <c r="R2801" s="33" t="s">
        <v>94</v>
      </c>
      <c r="S2801" s="33" t="s">
        <v>22</v>
      </c>
      <c r="T2801" s="36" t="s">
        <v>26781</v>
      </c>
      <c r="U2801" s="36" t="s">
        <v>26572</v>
      </c>
      <c r="V2801" s="36" t="s">
        <v>26574</v>
      </c>
      <c r="W2801" s="36" t="s">
        <v>94</v>
      </c>
      <c r="X2801" s="33">
        <v>2702</v>
      </c>
      <c r="Z2801" s="33" t="s">
        <v>42968</v>
      </c>
      <c r="AA2801" s="33">
        <v>4865</v>
      </c>
    </row>
    <row r="2802" spans="1:46" ht="12" customHeight="1" x14ac:dyDescent="0.15">
      <c r="A2802" s="33" t="s">
        <v>28014</v>
      </c>
      <c r="B2802" s="33">
        <v>20</v>
      </c>
      <c r="C2802" s="33" t="s">
        <v>14</v>
      </c>
      <c r="D2802" s="33" t="s">
        <v>79</v>
      </c>
      <c r="F2802" s="67">
        <v>42910</v>
      </c>
      <c r="G2802" s="33" t="s">
        <v>28013</v>
      </c>
      <c r="H2802" s="33" t="s">
        <v>2350</v>
      </c>
      <c r="I2802" s="33" t="s">
        <v>282</v>
      </c>
      <c r="J2802" s="33">
        <v>98030</v>
      </c>
      <c r="K2802" s="33" t="s">
        <v>1133</v>
      </c>
      <c r="L2802" s="33" t="s">
        <v>3181</v>
      </c>
      <c r="M2802" s="33" t="s">
        <v>21</v>
      </c>
      <c r="N2802" s="33" t="s">
        <v>28012</v>
      </c>
      <c r="O2802" s="33" t="s">
        <v>372</v>
      </c>
      <c r="P2802" s="33" t="s">
        <v>30089</v>
      </c>
      <c r="Q2802" s="42" t="s">
        <v>28011</v>
      </c>
      <c r="R2802" s="33" t="s">
        <v>94</v>
      </c>
      <c r="S2802" s="33" t="s">
        <v>351</v>
      </c>
      <c r="T2802" s="36" t="s">
        <v>26867</v>
      </c>
      <c r="U2802" s="36" t="s">
        <v>26570</v>
      </c>
      <c r="V2802" s="36" t="s">
        <v>26571</v>
      </c>
      <c r="W2802" s="36" t="s">
        <v>94</v>
      </c>
      <c r="X2802" s="33">
        <v>2703</v>
      </c>
      <c r="Z2802" s="33" t="s">
        <v>42968</v>
      </c>
      <c r="AA2802" s="33">
        <v>4867</v>
      </c>
    </row>
    <row r="2803" spans="1:46" ht="12" customHeight="1" x14ac:dyDescent="0.15">
      <c r="A2803" s="33" t="s">
        <v>27980</v>
      </c>
      <c r="B2803" s="33">
        <v>34</v>
      </c>
      <c r="C2803" s="33" t="s">
        <v>14</v>
      </c>
      <c r="D2803" s="33" t="s">
        <v>42</v>
      </c>
      <c r="F2803" s="67">
        <v>42909</v>
      </c>
      <c r="G2803" s="33" t="s">
        <v>27979</v>
      </c>
      <c r="H2803" s="33" t="s">
        <v>584</v>
      </c>
      <c r="I2803" s="33" t="s">
        <v>112</v>
      </c>
      <c r="J2803" s="33">
        <v>85034</v>
      </c>
      <c r="K2803" s="33" t="s">
        <v>585</v>
      </c>
      <c r="L2803" s="33" t="s">
        <v>586</v>
      </c>
      <c r="M2803" s="33" t="s">
        <v>21</v>
      </c>
      <c r="N2803" s="33" t="s">
        <v>27978</v>
      </c>
      <c r="O2803" s="33" t="s">
        <v>372</v>
      </c>
      <c r="P2803" s="33" t="s">
        <v>30089</v>
      </c>
      <c r="Q2803" s="42" t="s">
        <v>27977</v>
      </c>
      <c r="R2803" s="33" t="s">
        <v>94</v>
      </c>
      <c r="S2803" s="33" t="s">
        <v>351</v>
      </c>
      <c r="T2803" s="36" t="s">
        <v>26867</v>
      </c>
      <c r="U2803" s="36" t="s">
        <v>26572</v>
      </c>
      <c r="V2803" s="36" t="s">
        <v>26571</v>
      </c>
      <c r="W2803" s="36" t="s">
        <v>94</v>
      </c>
      <c r="X2803" s="33">
        <v>2704</v>
      </c>
      <c r="Z2803" s="33" t="s">
        <v>42966</v>
      </c>
      <c r="AA2803" s="33">
        <v>4863</v>
      </c>
    </row>
    <row r="2804" spans="1:46" ht="12" customHeight="1" x14ac:dyDescent="0.15">
      <c r="A2804" s="33" t="s">
        <v>27882</v>
      </c>
      <c r="B2804" s="33">
        <v>20</v>
      </c>
      <c r="C2804" s="33" t="s">
        <v>14</v>
      </c>
      <c r="D2804" s="33" t="s">
        <v>42</v>
      </c>
      <c r="E2804" s="42" t="s">
        <v>27881</v>
      </c>
      <c r="F2804" s="67">
        <v>42908</v>
      </c>
      <c r="G2804" s="33" t="s">
        <v>27880</v>
      </c>
      <c r="H2804" s="33" t="s">
        <v>92</v>
      </c>
      <c r="I2804" s="33" t="s">
        <v>39</v>
      </c>
      <c r="J2804" s="33">
        <v>90046</v>
      </c>
      <c r="K2804" s="33" t="s">
        <v>92</v>
      </c>
      <c r="L2804" s="33" t="s">
        <v>93</v>
      </c>
      <c r="M2804" s="33" t="s">
        <v>21</v>
      </c>
      <c r="N2804" s="33" t="s">
        <v>27879</v>
      </c>
      <c r="O2804" s="33" t="s">
        <v>372</v>
      </c>
      <c r="P2804" s="33" t="s">
        <v>30089</v>
      </c>
      <c r="Q2804" s="42" t="s">
        <v>27878</v>
      </c>
      <c r="R2804" s="33" t="s">
        <v>94</v>
      </c>
      <c r="S2804" s="33" t="s">
        <v>22</v>
      </c>
      <c r="T2804" s="36" t="s">
        <v>26781</v>
      </c>
      <c r="U2804" s="36" t="s">
        <v>26572</v>
      </c>
      <c r="V2804" s="36" t="s">
        <v>26573</v>
      </c>
      <c r="W2804" s="36" t="s">
        <v>94</v>
      </c>
      <c r="X2804" s="33">
        <v>2693</v>
      </c>
      <c r="Z2804" s="33" t="s">
        <v>42966</v>
      </c>
      <c r="AA2804" s="33">
        <v>4861</v>
      </c>
      <c r="AT2804" s="42"/>
    </row>
    <row r="2805" spans="1:46" ht="12" customHeight="1" x14ac:dyDescent="0.15">
      <c r="A2805" s="33" t="s">
        <v>28106</v>
      </c>
      <c r="B2805" s="33">
        <v>17</v>
      </c>
      <c r="C2805" s="33" t="s">
        <v>14</v>
      </c>
      <c r="D2805" s="33" t="s">
        <v>42</v>
      </c>
      <c r="E2805" s="42" t="s">
        <v>28105</v>
      </c>
      <c r="F2805" s="67">
        <v>42908</v>
      </c>
      <c r="G2805" s="33" t="s">
        <v>28104</v>
      </c>
      <c r="H2805" s="33" t="s">
        <v>5722</v>
      </c>
      <c r="I2805" s="33" t="s">
        <v>39</v>
      </c>
      <c r="J2805" s="33">
        <v>93550</v>
      </c>
      <c r="K2805" s="33" t="s">
        <v>92</v>
      </c>
      <c r="L2805" s="33" t="s">
        <v>386</v>
      </c>
      <c r="M2805" s="33" t="s">
        <v>21</v>
      </c>
      <c r="N2805" s="33" t="s">
        <v>36571</v>
      </c>
      <c r="O2805" s="33" t="s">
        <v>372</v>
      </c>
      <c r="P2805" s="33" t="s">
        <v>30089</v>
      </c>
      <c r="Q2805" s="42" t="s">
        <v>28103</v>
      </c>
      <c r="R2805" s="33" t="s">
        <v>94</v>
      </c>
      <c r="S2805" s="33" t="s">
        <v>12</v>
      </c>
      <c r="T2805" s="36" t="s">
        <v>29705</v>
      </c>
      <c r="U2805" s="36" t="s">
        <v>26570</v>
      </c>
      <c r="V2805" s="36" t="s">
        <v>26573</v>
      </c>
      <c r="W2805" s="36" t="s">
        <v>94</v>
      </c>
      <c r="X2805" s="33">
        <v>2691</v>
      </c>
      <c r="Z2805" s="33" t="s">
        <v>42968</v>
      </c>
      <c r="AA2805" s="33">
        <v>4862</v>
      </c>
      <c r="AT2805" s="42"/>
    </row>
    <row r="2806" spans="1:46" ht="12" customHeight="1" x14ac:dyDescent="0.15">
      <c r="A2806" s="33" t="s">
        <v>28083</v>
      </c>
      <c r="B2806" s="33">
        <v>33</v>
      </c>
      <c r="C2806" s="33" t="s">
        <v>14</v>
      </c>
      <c r="D2806" s="33" t="s">
        <v>31</v>
      </c>
      <c r="F2806" s="67">
        <v>42907</v>
      </c>
      <c r="G2806" s="33" t="s">
        <v>28082</v>
      </c>
      <c r="H2806" s="33" t="s">
        <v>18672</v>
      </c>
      <c r="I2806" s="33" t="s">
        <v>402</v>
      </c>
      <c r="J2806" s="33">
        <v>64772</v>
      </c>
      <c r="K2806" s="33" t="s">
        <v>28081</v>
      </c>
      <c r="L2806" s="33" t="s">
        <v>36572</v>
      </c>
      <c r="M2806" s="33" t="s">
        <v>21</v>
      </c>
      <c r="N2806" s="33" t="s">
        <v>36573</v>
      </c>
      <c r="O2806" s="33" t="s">
        <v>372</v>
      </c>
      <c r="P2806" s="33" t="s">
        <v>30089</v>
      </c>
      <c r="Q2806" s="42" t="s">
        <v>28080</v>
      </c>
      <c r="R2806" s="33" t="s">
        <v>94</v>
      </c>
      <c r="S2806" s="33" t="s">
        <v>351</v>
      </c>
      <c r="T2806" s="36" t="s">
        <v>26867</v>
      </c>
      <c r="U2806" s="36" t="s">
        <v>26572</v>
      </c>
      <c r="V2806" s="36" t="s">
        <v>26571</v>
      </c>
      <c r="W2806" s="36" t="s">
        <v>94</v>
      </c>
      <c r="X2806" s="33">
        <v>2688</v>
      </c>
      <c r="Z2806" s="33" t="s">
        <v>42967</v>
      </c>
      <c r="AA2806" s="33">
        <v>4860</v>
      </c>
      <c r="AQ2806" s="42"/>
    </row>
    <row r="2807" spans="1:46" ht="12" customHeight="1" x14ac:dyDescent="0.15">
      <c r="A2807" s="33" t="s">
        <v>28037</v>
      </c>
      <c r="B2807" s="33">
        <v>37</v>
      </c>
      <c r="C2807" s="33" t="s">
        <v>14</v>
      </c>
      <c r="D2807" s="33" t="s">
        <v>42</v>
      </c>
      <c r="F2807" s="67">
        <v>42907</v>
      </c>
      <c r="G2807" s="33" t="s">
        <v>28036</v>
      </c>
      <c r="H2807" s="33" t="s">
        <v>28035</v>
      </c>
      <c r="I2807" s="33" t="s">
        <v>367</v>
      </c>
      <c r="J2807" s="33">
        <v>74750</v>
      </c>
      <c r="K2807" s="33" t="s">
        <v>23576</v>
      </c>
      <c r="L2807" s="33" t="s">
        <v>28034</v>
      </c>
      <c r="M2807" s="33" t="s">
        <v>21</v>
      </c>
      <c r="N2807" s="33" t="s">
        <v>28033</v>
      </c>
      <c r="O2807" s="33" t="s">
        <v>372</v>
      </c>
      <c r="P2807" s="33" t="s">
        <v>30089</v>
      </c>
      <c r="Q2807" s="42" t="s">
        <v>28032</v>
      </c>
      <c r="R2807" s="33" t="s">
        <v>94</v>
      </c>
      <c r="S2807" s="33" t="s">
        <v>22</v>
      </c>
      <c r="T2807" s="36" t="s">
        <v>26774</v>
      </c>
      <c r="U2807" s="36" t="s">
        <v>26570</v>
      </c>
      <c r="V2807" s="36" t="s">
        <v>26573</v>
      </c>
      <c r="W2807" s="36" t="s">
        <v>94</v>
      </c>
      <c r="X2807" s="33">
        <v>2690</v>
      </c>
      <c r="Z2807" s="33" t="s">
        <v>42967</v>
      </c>
      <c r="AA2807" s="33">
        <v>4859</v>
      </c>
      <c r="AT2807" s="42"/>
    </row>
    <row r="2808" spans="1:46" ht="12" customHeight="1" x14ac:dyDescent="0.15">
      <c r="A2808" s="33" t="s">
        <v>28026</v>
      </c>
      <c r="B2808" s="33">
        <v>36</v>
      </c>
      <c r="C2808" s="33" t="s">
        <v>14</v>
      </c>
      <c r="D2808" s="33" t="s">
        <v>42</v>
      </c>
      <c r="F2808" s="67">
        <v>42906</v>
      </c>
      <c r="G2808" s="33" t="s">
        <v>28025</v>
      </c>
      <c r="H2808" s="33" t="s">
        <v>3390</v>
      </c>
      <c r="I2808" s="33" t="s">
        <v>39</v>
      </c>
      <c r="J2808" s="33">
        <v>90280</v>
      </c>
      <c r="K2808" s="33" t="s">
        <v>92</v>
      </c>
      <c r="L2808" s="33" t="s">
        <v>3392</v>
      </c>
      <c r="M2808" s="33" t="s">
        <v>21</v>
      </c>
      <c r="N2808" s="33" t="s">
        <v>28024</v>
      </c>
      <c r="O2808" s="33" t="s">
        <v>372</v>
      </c>
      <c r="P2808" s="33" t="s">
        <v>30089</v>
      </c>
      <c r="Q2808" s="42" t="s">
        <v>28023</v>
      </c>
      <c r="R2808" s="33" t="s">
        <v>94</v>
      </c>
      <c r="S2808" s="33" t="s">
        <v>12</v>
      </c>
      <c r="T2808" s="36" t="s">
        <v>29425</v>
      </c>
      <c r="U2808" s="36" t="s">
        <v>26572</v>
      </c>
      <c r="V2808" s="36" t="s">
        <v>19228</v>
      </c>
      <c r="W2808" s="36" t="s">
        <v>94</v>
      </c>
      <c r="X2808" s="33">
        <v>2684</v>
      </c>
      <c r="Z2808" s="33" t="s">
        <v>42966</v>
      </c>
      <c r="AA2808" s="33">
        <v>4858</v>
      </c>
    </row>
    <row r="2809" spans="1:46" ht="12" customHeight="1" x14ac:dyDescent="0.15">
      <c r="A2809" s="33" t="s">
        <v>27898</v>
      </c>
      <c r="B2809" s="33">
        <v>50</v>
      </c>
      <c r="C2809" s="33" t="s">
        <v>14</v>
      </c>
      <c r="D2809" s="33" t="s">
        <v>31</v>
      </c>
      <c r="F2809" s="67">
        <v>42906</v>
      </c>
      <c r="G2809" s="33" t="s">
        <v>27897</v>
      </c>
      <c r="H2809" s="33" t="s">
        <v>3753</v>
      </c>
      <c r="I2809" s="33" t="s">
        <v>337</v>
      </c>
      <c r="J2809" s="33">
        <v>67073</v>
      </c>
      <c r="K2809" s="33" t="s">
        <v>392</v>
      </c>
      <c r="L2809" s="33" t="s">
        <v>6836</v>
      </c>
      <c r="M2809" s="33" t="s">
        <v>21</v>
      </c>
      <c r="N2809" s="33" t="s">
        <v>27896</v>
      </c>
      <c r="O2809" s="33" t="s">
        <v>372</v>
      </c>
      <c r="P2809" s="33" t="s">
        <v>30089</v>
      </c>
      <c r="Q2809" s="42" t="s">
        <v>27895</v>
      </c>
      <c r="R2809" s="33" t="s">
        <v>512</v>
      </c>
      <c r="S2809" s="33" t="s">
        <v>22</v>
      </c>
      <c r="T2809" s="36" t="s">
        <v>26781</v>
      </c>
      <c r="U2809" s="36" t="s">
        <v>26570</v>
      </c>
      <c r="V2809" s="36" t="s">
        <v>26573</v>
      </c>
      <c r="W2809" s="36" t="s">
        <v>94</v>
      </c>
      <c r="X2809" s="36">
        <v>2687</v>
      </c>
      <c r="Z2809" s="33" t="s">
        <v>42967</v>
      </c>
      <c r="AA2809" s="33">
        <v>4856</v>
      </c>
    </row>
    <row r="2810" spans="1:46" ht="12" customHeight="1" x14ac:dyDescent="0.15">
      <c r="A2810" s="33" t="s">
        <v>28031</v>
      </c>
      <c r="B2810" s="33">
        <v>40</v>
      </c>
      <c r="C2810" s="33" t="s">
        <v>14</v>
      </c>
      <c r="D2810" s="33" t="s">
        <v>31</v>
      </c>
      <c r="F2810" s="67">
        <v>42906</v>
      </c>
      <c r="G2810" s="33" t="s">
        <v>28030</v>
      </c>
      <c r="H2810" s="33" t="s">
        <v>1203</v>
      </c>
      <c r="I2810" s="33" t="s">
        <v>298</v>
      </c>
      <c r="J2810" s="33">
        <v>37064</v>
      </c>
      <c r="K2810" s="33" t="s">
        <v>2397</v>
      </c>
      <c r="L2810" s="33" t="s">
        <v>28029</v>
      </c>
      <c r="M2810" s="33" t="s">
        <v>21</v>
      </c>
      <c r="N2810" s="33" t="s">
        <v>28028</v>
      </c>
      <c r="O2810" s="33" t="s">
        <v>372</v>
      </c>
      <c r="P2810" s="33" t="s">
        <v>30089</v>
      </c>
      <c r="Q2810" s="42" t="s">
        <v>28027</v>
      </c>
      <c r="R2810" s="33" t="s">
        <v>94</v>
      </c>
      <c r="S2810" s="33" t="s">
        <v>22</v>
      </c>
      <c r="T2810" s="36" t="s">
        <v>26781</v>
      </c>
      <c r="U2810" s="36" t="s">
        <v>26572</v>
      </c>
      <c r="V2810" s="36" t="s">
        <v>26571</v>
      </c>
      <c r="W2810" s="36" t="s">
        <v>94</v>
      </c>
      <c r="X2810" s="33">
        <v>2685</v>
      </c>
      <c r="Z2810" s="33" t="s">
        <v>42968</v>
      </c>
      <c r="AA2810" s="33">
        <v>4854</v>
      </c>
    </row>
    <row r="2811" spans="1:46" ht="12" customHeight="1" x14ac:dyDescent="0.15">
      <c r="A2811" s="33" t="s">
        <v>28001</v>
      </c>
      <c r="B2811" s="33">
        <v>32</v>
      </c>
      <c r="C2811" s="33" t="s">
        <v>14</v>
      </c>
      <c r="D2811" s="33" t="s">
        <v>31</v>
      </c>
      <c r="F2811" s="67">
        <v>42906</v>
      </c>
      <c r="G2811" s="33" t="s">
        <v>28000</v>
      </c>
      <c r="H2811" s="33" t="s">
        <v>505</v>
      </c>
      <c r="I2811" s="33" t="s">
        <v>63</v>
      </c>
      <c r="J2811" s="33">
        <v>45011</v>
      </c>
      <c r="K2811" s="33" t="s">
        <v>5063</v>
      </c>
      <c r="L2811" s="33" t="s">
        <v>8770</v>
      </c>
      <c r="M2811" s="33" t="s">
        <v>21</v>
      </c>
      <c r="N2811" s="33" t="s">
        <v>27999</v>
      </c>
      <c r="O2811" s="33" t="s">
        <v>372</v>
      </c>
      <c r="P2811" s="33" t="s">
        <v>30089</v>
      </c>
      <c r="Q2811" s="42" t="s">
        <v>27998</v>
      </c>
      <c r="R2811" s="33" t="s">
        <v>512</v>
      </c>
      <c r="S2811" s="33" t="s">
        <v>22</v>
      </c>
      <c r="T2811" s="36" t="s">
        <v>26781</v>
      </c>
      <c r="U2811" s="36" t="s">
        <v>26572</v>
      </c>
      <c r="V2811" s="36" t="s">
        <v>19228</v>
      </c>
      <c r="W2811" s="36" t="s">
        <v>94</v>
      </c>
      <c r="X2811" s="33">
        <v>2686</v>
      </c>
      <c r="Z2811" s="33" t="s">
        <v>42968</v>
      </c>
      <c r="AA2811" s="33">
        <v>4855</v>
      </c>
      <c r="AQ2811" s="42"/>
    </row>
    <row r="2812" spans="1:46" ht="12" customHeight="1" x14ac:dyDescent="0.15">
      <c r="A2812" s="33" t="s">
        <v>27910</v>
      </c>
      <c r="B2812" s="33">
        <v>28</v>
      </c>
      <c r="C2812" s="33" t="s">
        <v>14</v>
      </c>
      <c r="D2812" s="33" t="s">
        <v>42</v>
      </c>
      <c r="F2812" s="67">
        <v>42906</v>
      </c>
      <c r="G2812" s="33" t="s">
        <v>27909</v>
      </c>
      <c r="H2812" s="33" t="s">
        <v>607</v>
      </c>
      <c r="I2812" s="33" t="s">
        <v>250</v>
      </c>
      <c r="J2812" s="33">
        <v>89117</v>
      </c>
      <c r="K2812" s="33" t="s">
        <v>527</v>
      </c>
      <c r="L2812" s="33" t="s">
        <v>528</v>
      </c>
      <c r="M2812" s="33" t="s">
        <v>4966</v>
      </c>
      <c r="N2812" s="33" t="s">
        <v>27908</v>
      </c>
      <c r="O2812" s="33" t="s">
        <v>372</v>
      </c>
      <c r="P2812" s="33" t="s">
        <v>30089</v>
      </c>
      <c r="Q2812" s="42" t="s">
        <v>27907</v>
      </c>
      <c r="R2812" s="33" t="s">
        <v>94</v>
      </c>
      <c r="S2812" s="33" t="s">
        <v>22</v>
      </c>
      <c r="T2812" s="36" t="s">
        <v>26774</v>
      </c>
      <c r="U2812" s="36" t="s">
        <v>26570</v>
      </c>
      <c r="V2812" s="36" t="s">
        <v>26573</v>
      </c>
      <c r="W2812" s="36" t="s">
        <v>94</v>
      </c>
      <c r="X2812" s="33">
        <v>2683</v>
      </c>
      <c r="Z2812" s="33" t="s">
        <v>42966</v>
      </c>
      <c r="AA2812" s="33">
        <v>4857</v>
      </c>
    </row>
    <row r="2813" spans="1:46" ht="12" customHeight="1" x14ac:dyDescent="0.15">
      <c r="A2813" s="33" t="s">
        <v>28110</v>
      </c>
      <c r="B2813" s="33">
        <v>28</v>
      </c>
      <c r="C2813" s="33" t="s">
        <v>14</v>
      </c>
      <c r="D2813" s="33" t="s">
        <v>31</v>
      </c>
      <c r="F2813" s="67">
        <v>42905</v>
      </c>
      <c r="G2813" s="33" t="s">
        <v>28109</v>
      </c>
      <c r="H2813" s="33" t="s">
        <v>266</v>
      </c>
      <c r="I2813" s="33" t="s">
        <v>67</v>
      </c>
      <c r="J2813" s="33">
        <v>75217</v>
      </c>
      <c r="K2813" s="33" t="s">
        <v>266</v>
      </c>
      <c r="L2813" s="33" t="s">
        <v>267</v>
      </c>
      <c r="M2813" s="33" t="s">
        <v>21</v>
      </c>
      <c r="N2813" s="33" t="s">
        <v>28108</v>
      </c>
      <c r="O2813" s="33" t="s">
        <v>372</v>
      </c>
      <c r="P2813" s="33" t="s">
        <v>30089</v>
      </c>
      <c r="Q2813" s="42" t="s">
        <v>28107</v>
      </c>
      <c r="R2813" s="33" t="s">
        <v>94</v>
      </c>
      <c r="S2813" s="33" t="s">
        <v>22</v>
      </c>
      <c r="T2813" s="36" t="s">
        <v>26781</v>
      </c>
      <c r="U2813" s="36" t="s">
        <v>26570</v>
      </c>
      <c r="V2813" s="36" t="s">
        <v>26573</v>
      </c>
      <c r="W2813" s="36" t="s">
        <v>94</v>
      </c>
      <c r="X2813" s="36">
        <v>2681</v>
      </c>
      <c r="Z2813" s="33" t="s">
        <v>42968</v>
      </c>
      <c r="AA2813" s="33">
        <v>4853</v>
      </c>
    </row>
    <row r="2814" spans="1:46" ht="12" customHeight="1" x14ac:dyDescent="0.15">
      <c r="A2814" s="33" t="s">
        <v>27944</v>
      </c>
      <c r="B2814" s="33">
        <v>21</v>
      </c>
      <c r="C2814" s="33" t="s">
        <v>14</v>
      </c>
      <c r="D2814" s="33" t="s">
        <v>128</v>
      </c>
      <c r="F2814" s="67">
        <v>42905</v>
      </c>
      <c r="G2814" s="33" t="s">
        <v>27943</v>
      </c>
      <c r="H2814" s="33" t="s">
        <v>308</v>
      </c>
      <c r="I2814" s="33" t="s">
        <v>309</v>
      </c>
      <c r="J2814" s="33">
        <v>99701</v>
      </c>
      <c r="K2814" s="33" t="s">
        <v>18138</v>
      </c>
      <c r="L2814" s="33" t="s">
        <v>22848</v>
      </c>
      <c r="M2814" s="33" t="s">
        <v>21</v>
      </c>
      <c r="N2814" s="33" t="s">
        <v>27942</v>
      </c>
      <c r="O2814" s="33" t="s">
        <v>372</v>
      </c>
      <c r="P2814" s="33" t="s">
        <v>30089</v>
      </c>
      <c r="Q2814" s="42" t="s">
        <v>27941</v>
      </c>
      <c r="R2814" s="33" t="s">
        <v>512</v>
      </c>
      <c r="S2814" s="33" t="s">
        <v>22</v>
      </c>
      <c r="T2814" s="36" t="s">
        <v>26781</v>
      </c>
      <c r="U2814" s="36" t="s">
        <v>26572</v>
      </c>
      <c r="V2814" s="36" t="s">
        <v>26574</v>
      </c>
      <c r="W2814" s="36" t="s">
        <v>94</v>
      </c>
      <c r="X2814" s="36">
        <v>2680</v>
      </c>
      <c r="Z2814" s="33" t="s">
        <v>42968</v>
      </c>
      <c r="AA2814" s="33">
        <v>4852</v>
      </c>
    </row>
    <row r="2815" spans="1:46" ht="12" customHeight="1" x14ac:dyDescent="0.15">
      <c r="A2815" s="33" t="s">
        <v>27764</v>
      </c>
      <c r="B2815" s="33">
        <v>30</v>
      </c>
      <c r="C2815" s="33" t="s">
        <v>103</v>
      </c>
      <c r="D2815" s="33" t="s">
        <v>79</v>
      </c>
      <c r="F2815" s="67">
        <v>42904</v>
      </c>
      <c r="H2815" s="33" t="s">
        <v>1132</v>
      </c>
      <c r="I2815" s="33" t="s">
        <v>282</v>
      </c>
      <c r="K2815" s="33" t="s">
        <v>1133</v>
      </c>
      <c r="L2815" s="33" t="s">
        <v>1134</v>
      </c>
      <c r="M2815" s="33" t="s">
        <v>21</v>
      </c>
      <c r="N2815" s="33" t="s">
        <v>27765</v>
      </c>
      <c r="O2815" s="33" t="s">
        <v>372</v>
      </c>
      <c r="P2815" s="33" t="s">
        <v>30089</v>
      </c>
      <c r="Q2815" s="33" t="s">
        <v>27766</v>
      </c>
      <c r="R2815" s="33" t="s">
        <v>512</v>
      </c>
      <c r="S2815" s="33" t="s">
        <v>22</v>
      </c>
      <c r="T2815" s="36" t="s">
        <v>26774</v>
      </c>
      <c r="U2815" s="36" t="s">
        <v>26570</v>
      </c>
      <c r="V2815" s="36" t="s">
        <v>26573</v>
      </c>
      <c r="W2815" s="36" t="s">
        <v>94</v>
      </c>
      <c r="X2815" s="36">
        <v>2672</v>
      </c>
      <c r="Z2815" s="33" t="e">
        <v>#N/A</v>
      </c>
      <c r="AA2815" s="33">
        <v>4850</v>
      </c>
    </row>
    <row r="2816" spans="1:46" ht="12" customHeight="1" x14ac:dyDescent="0.15">
      <c r="A2816" s="33" t="s">
        <v>30824</v>
      </c>
      <c r="B2816" s="36">
        <v>64</v>
      </c>
      <c r="C2816" s="33" t="s">
        <v>14</v>
      </c>
      <c r="D2816" s="33" t="s">
        <v>31</v>
      </c>
      <c r="F2816" s="67">
        <v>42904</v>
      </c>
      <c r="G2816" s="33" t="s">
        <v>27846</v>
      </c>
      <c r="H2816" s="33" t="s">
        <v>27845</v>
      </c>
      <c r="I2816" s="33" t="s">
        <v>409</v>
      </c>
      <c r="J2816" s="33">
        <v>53188</v>
      </c>
      <c r="K2816" s="33" t="s">
        <v>27845</v>
      </c>
      <c r="L2816" s="33" t="s">
        <v>27844</v>
      </c>
      <c r="M2816" s="33" t="s">
        <v>21</v>
      </c>
      <c r="N2816" s="33" t="s">
        <v>27843</v>
      </c>
      <c r="O2816" s="33" t="s">
        <v>372</v>
      </c>
      <c r="P2816" s="33" t="s">
        <v>30089</v>
      </c>
      <c r="Q2816" s="42" t="s">
        <v>27842</v>
      </c>
      <c r="R2816" s="33" t="s">
        <v>512</v>
      </c>
      <c r="S2816" s="33" t="s">
        <v>22</v>
      </c>
      <c r="T2816" s="36" t="s">
        <v>26781</v>
      </c>
      <c r="U2816" s="36" t="s">
        <v>26570</v>
      </c>
      <c r="V2816" s="36" t="s">
        <v>26573</v>
      </c>
      <c r="W2816" s="36" t="s">
        <v>94</v>
      </c>
      <c r="X2816" s="36">
        <v>2675</v>
      </c>
      <c r="Z2816" s="33" t="s">
        <v>42968</v>
      </c>
      <c r="AA2816" s="33">
        <v>4849</v>
      </c>
      <c r="AQ2816" s="42"/>
    </row>
    <row r="2817" spans="1:43" ht="12" customHeight="1" x14ac:dyDescent="0.15">
      <c r="A2817" s="33" t="s">
        <v>27841</v>
      </c>
      <c r="B2817" s="33">
        <v>30</v>
      </c>
      <c r="C2817" s="33" t="s">
        <v>14</v>
      </c>
      <c r="D2817" s="33" t="s">
        <v>42</v>
      </c>
      <c r="E2817" s="42" t="s">
        <v>27840</v>
      </c>
      <c r="F2817" s="67">
        <v>42904</v>
      </c>
      <c r="G2817" s="33" t="s">
        <v>27839</v>
      </c>
      <c r="H2817" s="33" t="s">
        <v>1303</v>
      </c>
      <c r="I2817" s="33" t="s">
        <v>67</v>
      </c>
      <c r="J2817" s="33">
        <v>78539</v>
      </c>
      <c r="K2817" s="33" t="s">
        <v>1304</v>
      </c>
      <c r="L2817" s="33" t="s">
        <v>27838</v>
      </c>
      <c r="M2817" s="33" t="s">
        <v>11646</v>
      </c>
      <c r="N2817" s="33" t="s">
        <v>27837</v>
      </c>
      <c r="O2817" s="33" t="s">
        <v>372</v>
      </c>
      <c r="P2817" s="33" t="s">
        <v>30089</v>
      </c>
      <c r="Q2817" s="42" t="s">
        <v>37060</v>
      </c>
      <c r="R2817" s="33" t="s">
        <v>904</v>
      </c>
      <c r="S2817" s="33" t="s">
        <v>12</v>
      </c>
      <c r="T2817" s="36" t="s">
        <v>29705</v>
      </c>
      <c r="U2817" s="36" t="s">
        <v>26570</v>
      </c>
      <c r="V2817" s="36" t="s">
        <v>26573</v>
      </c>
      <c r="W2817" s="36" t="s">
        <v>512</v>
      </c>
      <c r="Z2817" s="33" t="s">
        <v>42966</v>
      </c>
      <c r="AA2817" s="33">
        <v>4851</v>
      </c>
    </row>
    <row r="2818" spans="1:43" ht="12" customHeight="1" x14ac:dyDescent="0.15">
      <c r="A2818" s="33" t="s">
        <v>27958</v>
      </c>
      <c r="B2818" s="33">
        <v>48</v>
      </c>
      <c r="C2818" s="33" t="s">
        <v>14</v>
      </c>
      <c r="D2818" s="33" t="s">
        <v>31</v>
      </c>
      <c r="F2818" s="67">
        <v>42903</v>
      </c>
      <c r="G2818" s="33" t="s">
        <v>27957</v>
      </c>
      <c r="H2818" s="33" t="s">
        <v>131</v>
      </c>
      <c r="I2818" s="33" t="s">
        <v>132</v>
      </c>
      <c r="J2818" s="33">
        <v>57701</v>
      </c>
      <c r="K2818" s="33" t="s">
        <v>133</v>
      </c>
      <c r="L2818" s="33" t="s">
        <v>134</v>
      </c>
      <c r="M2818" s="33" t="s">
        <v>21</v>
      </c>
      <c r="N2818" s="33" t="s">
        <v>27956</v>
      </c>
      <c r="O2818" s="33" t="s">
        <v>372</v>
      </c>
      <c r="P2818" s="33" t="s">
        <v>30089</v>
      </c>
      <c r="Q2818" s="42" t="s">
        <v>27955</v>
      </c>
      <c r="R2818" s="33" t="s">
        <v>94</v>
      </c>
      <c r="S2818" s="33" t="s">
        <v>22</v>
      </c>
      <c r="T2818" s="36" t="s">
        <v>26781</v>
      </c>
      <c r="U2818" s="36" t="s">
        <v>26572</v>
      </c>
      <c r="V2818" s="36" t="s">
        <v>26573</v>
      </c>
      <c r="W2818" s="36" t="s">
        <v>94</v>
      </c>
      <c r="X2818" s="36">
        <v>2674</v>
      </c>
      <c r="Z2818" s="33" t="s">
        <v>42968</v>
      </c>
      <c r="AA2818" s="33">
        <v>4847</v>
      </c>
    </row>
    <row r="2819" spans="1:43" ht="12" customHeight="1" x14ac:dyDescent="0.15">
      <c r="A2819" s="33" t="s">
        <v>30787</v>
      </c>
      <c r="B2819" s="36">
        <v>28</v>
      </c>
      <c r="C2819" s="33" t="s">
        <v>103</v>
      </c>
      <c r="D2819" s="33" t="s">
        <v>42</v>
      </c>
      <c r="F2819" s="67">
        <v>42903</v>
      </c>
      <c r="G2819" s="33" t="s">
        <v>27870</v>
      </c>
      <c r="H2819" s="33" t="s">
        <v>15039</v>
      </c>
      <c r="I2819" s="33" t="s">
        <v>39</v>
      </c>
      <c r="J2819" s="33">
        <v>90640</v>
      </c>
      <c r="K2819" s="33" t="s">
        <v>92</v>
      </c>
      <c r="L2819" s="33" t="s">
        <v>15041</v>
      </c>
      <c r="M2819" s="33" t="s">
        <v>21</v>
      </c>
      <c r="N2819" s="33" t="s">
        <v>27869</v>
      </c>
      <c r="O2819" s="33" t="s">
        <v>372</v>
      </c>
      <c r="P2819" s="33" t="s">
        <v>30089</v>
      </c>
      <c r="Q2819" s="42" t="s">
        <v>27868</v>
      </c>
      <c r="R2819" s="33" t="s">
        <v>94</v>
      </c>
      <c r="S2819" s="33" t="s">
        <v>351</v>
      </c>
      <c r="T2819" s="36" t="s">
        <v>26867</v>
      </c>
      <c r="U2819" s="36" t="s">
        <v>26570</v>
      </c>
      <c r="V2819" s="36" t="s">
        <v>26573</v>
      </c>
      <c r="W2819" s="36" t="s">
        <v>94</v>
      </c>
      <c r="X2819" s="36">
        <v>2673</v>
      </c>
      <c r="Z2819" s="33" t="s">
        <v>42966</v>
      </c>
      <c r="AA2819" s="33">
        <v>4848</v>
      </c>
      <c r="AQ2819" s="42"/>
    </row>
    <row r="2820" spans="1:43" ht="12" customHeight="1" x14ac:dyDescent="0.15">
      <c r="A2820" s="33" t="s">
        <v>27877</v>
      </c>
      <c r="B2820" s="33">
        <v>32</v>
      </c>
      <c r="C2820" s="33" t="s">
        <v>14</v>
      </c>
      <c r="D2820" s="33" t="s">
        <v>42</v>
      </c>
      <c r="E2820" s="42" t="s">
        <v>27876</v>
      </c>
      <c r="F2820" s="67">
        <v>42902</v>
      </c>
      <c r="G2820" s="33" t="s">
        <v>27875</v>
      </c>
      <c r="H2820" s="33" t="s">
        <v>16560</v>
      </c>
      <c r="I2820" s="33" t="s">
        <v>39</v>
      </c>
      <c r="J2820" s="33">
        <v>93638</v>
      </c>
      <c r="K2820" s="33" t="s">
        <v>16560</v>
      </c>
      <c r="L2820" s="33" t="s">
        <v>27874</v>
      </c>
      <c r="M2820" s="33" t="s">
        <v>21</v>
      </c>
      <c r="N2820" s="33" t="s">
        <v>27873</v>
      </c>
      <c r="O2820" s="33" t="s">
        <v>372</v>
      </c>
      <c r="P2820" s="33" t="s">
        <v>30089</v>
      </c>
      <c r="Q2820" s="42" t="s">
        <v>27872</v>
      </c>
      <c r="R2820" s="33" t="s">
        <v>512</v>
      </c>
      <c r="S2820" s="33" t="s">
        <v>22</v>
      </c>
      <c r="T2820" s="36" t="s">
        <v>26593</v>
      </c>
      <c r="U2820" s="36" t="s">
        <v>26570</v>
      </c>
      <c r="V2820" s="36" t="s">
        <v>26573</v>
      </c>
      <c r="W2820" s="36" t="s">
        <v>94</v>
      </c>
      <c r="X2820" s="36">
        <v>2676</v>
      </c>
      <c r="Z2820" s="33" t="s">
        <v>42968</v>
      </c>
      <c r="AA2820" s="33">
        <v>4844</v>
      </c>
    </row>
    <row r="2821" spans="1:43" ht="12" customHeight="1" x14ac:dyDescent="0.15">
      <c r="A2821" s="33" t="s">
        <v>27925</v>
      </c>
      <c r="B2821" s="33">
        <v>37</v>
      </c>
      <c r="C2821" s="33" t="s">
        <v>14</v>
      </c>
      <c r="D2821" s="33" t="s">
        <v>31</v>
      </c>
      <c r="E2821" s="42" t="s">
        <v>27924</v>
      </c>
      <c r="F2821" s="67">
        <v>42902</v>
      </c>
      <c r="G2821" s="33" t="s">
        <v>27923</v>
      </c>
      <c r="H2821" s="33" t="s">
        <v>822</v>
      </c>
      <c r="I2821" s="33" t="s">
        <v>39</v>
      </c>
      <c r="J2821" s="33">
        <v>94509</v>
      </c>
      <c r="K2821" s="33" t="s">
        <v>4146</v>
      </c>
      <c r="L2821" s="33" t="s">
        <v>13144</v>
      </c>
      <c r="M2821" s="33" t="s">
        <v>21</v>
      </c>
      <c r="N2821" s="33" t="s">
        <v>27922</v>
      </c>
      <c r="O2821" s="33" t="s">
        <v>372</v>
      </c>
      <c r="P2821" s="33" t="s">
        <v>30089</v>
      </c>
      <c r="Q2821" s="42" t="s">
        <v>27921</v>
      </c>
      <c r="R2821" s="33" t="s">
        <v>94</v>
      </c>
      <c r="S2821" s="33" t="s">
        <v>22</v>
      </c>
      <c r="T2821" s="36" t="s">
        <v>26781</v>
      </c>
      <c r="U2821" s="36" t="s">
        <v>26570</v>
      </c>
      <c r="V2821" s="36" t="s">
        <v>26574</v>
      </c>
      <c r="W2821" s="36" t="s">
        <v>94</v>
      </c>
      <c r="X2821" s="36">
        <v>2678</v>
      </c>
      <c r="Z2821" s="33" t="s">
        <v>42968</v>
      </c>
      <c r="AA2821" s="33">
        <v>4843</v>
      </c>
    </row>
    <row r="2822" spans="1:43" ht="12" customHeight="1" x14ac:dyDescent="0.15">
      <c r="A2822" s="33" t="s">
        <v>28010</v>
      </c>
      <c r="B2822" s="33">
        <v>30</v>
      </c>
      <c r="C2822" s="33" t="s">
        <v>14</v>
      </c>
      <c r="D2822" s="33" t="s">
        <v>42</v>
      </c>
      <c r="E2822" s="42" t="s">
        <v>28009</v>
      </c>
      <c r="F2822" s="67">
        <v>42902</v>
      </c>
      <c r="G2822" s="33" t="s">
        <v>28008</v>
      </c>
      <c r="H2822" s="33" t="s">
        <v>98</v>
      </c>
      <c r="I2822" s="33" t="s">
        <v>39</v>
      </c>
      <c r="J2822" s="33">
        <v>92376</v>
      </c>
      <c r="K2822" s="33" t="s">
        <v>288</v>
      </c>
      <c r="L2822" s="33" t="s">
        <v>100</v>
      </c>
      <c r="M2822" s="33" t="s">
        <v>21</v>
      </c>
      <c r="N2822" s="33" t="s">
        <v>28007</v>
      </c>
      <c r="O2822" s="33" t="s">
        <v>372</v>
      </c>
      <c r="P2822" s="33" t="s">
        <v>30089</v>
      </c>
      <c r="Q2822" s="42" t="s">
        <v>28006</v>
      </c>
      <c r="R2822" s="33" t="s">
        <v>94</v>
      </c>
      <c r="S2822" s="33" t="s">
        <v>22</v>
      </c>
      <c r="T2822" s="36" t="s">
        <v>26781</v>
      </c>
      <c r="U2822" s="36" t="s">
        <v>26570</v>
      </c>
      <c r="V2822" s="36" t="s">
        <v>26573</v>
      </c>
      <c r="W2822" s="36" t="s">
        <v>512</v>
      </c>
      <c r="X2822" s="36">
        <v>2670</v>
      </c>
      <c r="Z2822" s="33" t="s">
        <v>42968</v>
      </c>
      <c r="AA2822" s="33">
        <v>4842</v>
      </c>
    </row>
    <row r="2823" spans="1:43" ht="12" customHeight="1" x14ac:dyDescent="0.15">
      <c r="A2823" s="33" t="s">
        <v>27830</v>
      </c>
      <c r="B2823" s="33">
        <v>25</v>
      </c>
      <c r="C2823" s="33" t="s">
        <v>14</v>
      </c>
      <c r="D2823" s="33" t="s">
        <v>79</v>
      </c>
      <c r="F2823" s="67">
        <v>42902</v>
      </c>
      <c r="G2823" s="33" t="s">
        <v>27829</v>
      </c>
      <c r="H2823" s="33" t="s">
        <v>657</v>
      </c>
      <c r="I2823" s="33" t="s">
        <v>88</v>
      </c>
      <c r="J2823" s="33">
        <v>35401</v>
      </c>
      <c r="K2823" s="33" t="s">
        <v>657</v>
      </c>
      <c r="L2823" s="33" t="s">
        <v>8414</v>
      </c>
      <c r="M2823" s="33" t="s">
        <v>363</v>
      </c>
      <c r="N2823" s="33" t="s">
        <v>27828</v>
      </c>
      <c r="O2823" s="33" t="s">
        <v>372</v>
      </c>
      <c r="P2823" s="33" t="s">
        <v>30089</v>
      </c>
      <c r="Q2823" s="42" t="s">
        <v>27827</v>
      </c>
      <c r="R2823" s="33" t="s">
        <v>94</v>
      </c>
      <c r="S2823" s="33" t="s">
        <v>12</v>
      </c>
      <c r="T2823" s="36" t="s">
        <v>29705</v>
      </c>
      <c r="U2823" s="36" t="s">
        <v>26570</v>
      </c>
      <c r="V2823" s="36" t="s">
        <v>26573</v>
      </c>
      <c r="Z2823" s="33" t="s">
        <v>42968</v>
      </c>
      <c r="AA2823" s="33">
        <v>4846</v>
      </c>
    </row>
    <row r="2824" spans="1:43" ht="12" customHeight="1" x14ac:dyDescent="0.15">
      <c r="A2824" s="33" t="s">
        <v>27991</v>
      </c>
      <c r="B2824" s="33">
        <v>24</v>
      </c>
      <c r="C2824" s="33" t="s">
        <v>103</v>
      </c>
      <c r="D2824" s="33" t="s">
        <v>31</v>
      </c>
      <c r="E2824" s="42" t="s">
        <v>27990</v>
      </c>
      <c r="F2824" s="67">
        <v>42902</v>
      </c>
      <c r="G2824" s="33" t="s">
        <v>27892</v>
      </c>
      <c r="H2824" s="33" t="s">
        <v>27891</v>
      </c>
      <c r="I2824" s="33" t="s">
        <v>621</v>
      </c>
      <c r="J2824" s="33">
        <v>38965</v>
      </c>
      <c r="K2824" s="33" t="s">
        <v>12341</v>
      </c>
      <c r="L2824" s="33" t="s">
        <v>27890</v>
      </c>
      <c r="M2824" s="33" t="s">
        <v>21</v>
      </c>
      <c r="N2824" s="33" t="s">
        <v>27889</v>
      </c>
      <c r="O2824" s="33" t="s">
        <v>372</v>
      </c>
      <c r="P2824" s="33" t="s">
        <v>30089</v>
      </c>
      <c r="Q2824" s="42" t="s">
        <v>27888</v>
      </c>
      <c r="R2824" s="33" t="s">
        <v>94</v>
      </c>
      <c r="S2824" s="33" t="s">
        <v>12</v>
      </c>
      <c r="T2824" s="36" t="s">
        <v>29705</v>
      </c>
      <c r="U2824" s="36" t="s">
        <v>26570</v>
      </c>
      <c r="V2824" s="36" t="s">
        <v>26571</v>
      </c>
      <c r="W2824" s="36" t="s">
        <v>94</v>
      </c>
      <c r="X2824" s="36">
        <v>2677</v>
      </c>
      <c r="Z2824" s="33" t="s">
        <v>42967</v>
      </c>
      <c r="AA2824" s="33">
        <v>4845</v>
      </c>
    </row>
    <row r="2825" spans="1:43" ht="12" customHeight="1" x14ac:dyDescent="0.15">
      <c r="A2825" s="33" t="s">
        <v>27894</v>
      </c>
      <c r="B2825" s="33">
        <v>41</v>
      </c>
      <c r="C2825" s="33" t="s">
        <v>14</v>
      </c>
      <c r="D2825" s="33" t="s">
        <v>31</v>
      </c>
      <c r="E2825" s="42" t="s">
        <v>27893</v>
      </c>
      <c r="F2825" s="67">
        <v>42902</v>
      </c>
      <c r="G2825" s="33" t="s">
        <v>27892</v>
      </c>
      <c r="H2825" s="33" t="s">
        <v>27891</v>
      </c>
      <c r="I2825" s="33" t="s">
        <v>621</v>
      </c>
      <c r="J2825" s="33">
        <v>38965</v>
      </c>
      <c r="K2825" s="33" t="s">
        <v>12341</v>
      </c>
      <c r="L2825" s="33" t="s">
        <v>27890</v>
      </c>
      <c r="M2825" s="33" t="s">
        <v>21</v>
      </c>
      <c r="N2825" s="33" t="s">
        <v>27889</v>
      </c>
      <c r="O2825" s="33" t="s">
        <v>372</v>
      </c>
      <c r="P2825" s="33" t="s">
        <v>30089</v>
      </c>
      <c r="Q2825" s="42" t="s">
        <v>27888</v>
      </c>
      <c r="R2825" s="33" t="s">
        <v>94</v>
      </c>
      <c r="S2825" s="33" t="s">
        <v>22</v>
      </c>
      <c r="T2825" s="36" t="s">
        <v>26781</v>
      </c>
      <c r="U2825" s="36" t="s">
        <v>26572</v>
      </c>
      <c r="V2825" s="36" t="s">
        <v>26571</v>
      </c>
      <c r="W2825" s="36" t="s">
        <v>94</v>
      </c>
      <c r="X2825" s="36">
        <v>2669</v>
      </c>
      <c r="Z2825" s="33" t="s">
        <v>42967</v>
      </c>
      <c r="AA2825" s="33">
        <v>4841</v>
      </c>
    </row>
    <row r="2826" spans="1:43" ht="12" customHeight="1" x14ac:dyDescent="0.15">
      <c r="A2826" s="33" t="s">
        <v>7300</v>
      </c>
      <c r="B2826" s="33">
        <v>40</v>
      </c>
      <c r="C2826" s="33" t="s">
        <v>14</v>
      </c>
      <c r="D2826" s="33" t="s">
        <v>31</v>
      </c>
      <c r="E2826" s="42" t="s">
        <v>27940</v>
      </c>
      <c r="F2826" s="67">
        <v>42901</v>
      </c>
      <c r="G2826" s="33" t="s">
        <v>27939</v>
      </c>
      <c r="H2826" s="33" t="s">
        <v>1249</v>
      </c>
      <c r="I2826" s="33" t="s">
        <v>468</v>
      </c>
      <c r="J2826" s="33">
        <v>3858</v>
      </c>
      <c r="K2826" s="33" t="s">
        <v>4386</v>
      </c>
      <c r="L2826" s="33" t="s">
        <v>27938</v>
      </c>
      <c r="M2826" s="33" t="s">
        <v>21</v>
      </c>
      <c r="N2826" s="33" t="s">
        <v>27937</v>
      </c>
      <c r="O2826" s="33" t="s">
        <v>372</v>
      </c>
      <c r="P2826" s="33" t="s">
        <v>30089</v>
      </c>
      <c r="Q2826" s="42" t="s">
        <v>27936</v>
      </c>
      <c r="R2826" s="33" t="s">
        <v>94</v>
      </c>
      <c r="S2826" s="33" t="s">
        <v>22</v>
      </c>
      <c r="T2826" s="36" t="s">
        <v>26781</v>
      </c>
      <c r="U2826" s="36" t="s">
        <v>26572</v>
      </c>
      <c r="V2826" s="36" t="s">
        <v>26571</v>
      </c>
      <c r="W2826" s="36" t="s">
        <v>94</v>
      </c>
      <c r="X2826" s="36">
        <v>2671</v>
      </c>
      <c r="Z2826" s="33" t="s">
        <v>42968</v>
      </c>
      <c r="AA2826" s="33">
        <v>4840</v>
      </c>
      <c r="AQ2826" s="42"/>
    </row>
    <row r="2827" spans="1:43" ht="12" customHeight="1" x14ac:dyDescent="0.15">
      <c r="A2827" s="33" t="s">
        <v>27935</v>
      </c>
      <c r="B2827" s="33">
        <v>54</v>
      </c>
      <c r="C2827" s="33" t="s">
        <v>14</v>
      </c>
      <c r="D2827" s="33" t="s">
        <v>31</v>
      </c>
      <c r="E2827" s="42" t="s">
        <v>27934</v>
      </c>
      <c r="F2827" s="67">
        <v>42900</v>
      </c>
      <c r="G2827" s="33" t="s">
        <v>27933</v>
      </c>
      <c r="H2827" s="33" t="s">
        <v>27932</v>
      </c>
      <c r="I2827" s="33" t="s">
        <v>298</v>
      </c>
      <c r="J2827" s="33">
        <v>38068</v>
      </c>
      <c r="K2827" s="33" t="s">
        <v>1415</v>
      </c>
      <c r="L2827" s="33" t="s">
        <v>27931</v>
      </c>
      <c r="M2827" s="33" t="s">
        <v>30359</v>
      </c>
      <c r="N2827" s="33" t="s">
        <v>27930</v>
      </c>
      <c r="O2827" s="33" t="s">
        <v>372</v>
      </c>
      <c r="P2827" s="33" t="s">
        <v>30089</v>
      </c>
      <c r="Q2827" s="42" t="s">
        <v>27929</v>
      </c>
      <c r="R2827" s="33" t="s">
        <v>512</v>
      </c>
      <c r="S2827" s="33" t="s">
        <v>22</v>
      </c>
      <c r="T2827" s="36" t="s">
        <v>26774</v>
      </c>
      <c r="U2827" s="36" t="s">
        <v>26570</v>
      </c>
      <c r="V2827" s="36" t="s">
        <v>26573</v>
      </c>
      <c r="W2827" s="36" t="s">
        <v>94</v>
      </c>
      <c r="X2827" s="36">
        <v>2668</v>
      </c>
      <c r="Z2827" s="33" t="s">
        <v>42967</v>
      </c>
      <c r="AA2827" s="33">
        <v>4838</v>
      </c>
    </row>
    <row r="2828" spans="1:43" ht="12" customHeight="1" x14ac:dyDescent="0.15">
      <c r="A2828" s="33" t="s">
        <v>27997</v>
      </c>
      <c r="B2828" s="33">
        <v>66</v>
      </c>
      <c r="C2828" s="33" t="s">
        <v>14</v>
      </c>
      <c r="D2828" s="33" t="s">
        <v>31</v>
      </c>
      <c r="E2828" s="42" t="s">
        <v>27996</v>
      </c>
      <c r="F2828" s="67">
        <v>42900</v>
      </c>
      <c r="G2828" s="33" t="s">
        <v>27995</v>
      </c>
      <c r="H2828" s="33" t="s">
        <v>315</v>
      </c>
      <c r="I2828" s="33" t="s">
        <v>225</v>
      </c>
      <c r="J2828" s="33">
        <v>22301</v>
      </c>
      <c r="K2828" s="33" t="s">
        <v>14958</v>
      </c>
      <c r="L2828" s="33" t="s">
        <v>27994</v>
      </c>
      <c r="M2828" s="33" t="s">
        <v>21</v>
      </c>
      <c r="N2828" s="33" t="s">
        <v>27993</v>
      </c>
      <c r="O2828" s="33" t="s">
        <v>372</v>
      </c>
      <c r="P2828" s="33" t="s">
        <v>30089</v>
      </c>
      <c r="Q2828" s="42" t="s">
        <v>27992</v>
      </c>
      <c r="R2828" s="33" t="s">
        <v>94</v>
      </c>
      <c r="S2828" s="33" t="s">
        <v>22</v>
      </c>
      <c r="T2828" s="36" t="s">
        <v>26781</v>
      </c>
      <c r="U2828" s="36" t="s">
        <v>26572</v>
      </c>
      <c r="V2828" s="36" t="s">
        <v>26573</v>
      </c>
      <c r="W2828" s="36" t="s">
        <v>94</v>
      </c>
      <c r="X2828" s="36">
        <v>2667</v>
      </c>
      <c r="Z2828" s="33" t="s">
        <v>42966</v>
      </c>
      <c r="AA2828" s="33">
        <v>4837</v>
      </c>
    </row>
    <row r="2829" spans="1:43" ht="12" customHeight="1" x14ac:dyDescent="0.15">
      <c r="A2829" s="33" t="s">
        <v>27850</v>
      </c>
      <c r="B2829" s="33">
        <v>20</v>
      </c>
      <c r="C2829" s="33" t="s">
        <v>14</v>
      </c>
      <c r="D2829" s="33" t="s">
        <v>15</v>
      </c>
      <c r="F2829" s="67">
        <v>42900</v>
      </c>
      <c r="G2829" s="33" t="s">
        <v>27849</v>
      </c>
      <c r="H2829" s="33" t="s">
        <v>7280</v>
      </c>
      <c r="I2829" s="33" t="s">
        <v>282</v>
      </c>
      <c r="J2829" s="33">
        <v>98168</v>
      </c>
      <c r="K2829" s="33" t="s">
        <v>1133</v>
      </c>
      <c r="L2829" s="33" t="s">
        <v>7282</v>
      </c>
      <c r="M2829" s="33" t="s">
        <v>4966</v>
      </c>
      <c r="N2829" s="33" t="s">
        <v>36574</v>
      </c>
      <c r="O2829" s="33" t="s">
        <v>372</v>
      </c>
      <c r="P2829" s="33" t="s">
        <v>30089</v>
      </c>
      <c r="Q2829" s="42" t="s">
        <v>27848</v>
      </c>
      <c r="R2829" s="33" t="s">
        <v>512</v>
      </c>
      <c r="S2829" s="33" t="s">
        <v>29</v>
      </c>
      <c r="T2829" s="36" t="s">
        <v>27847</v>
      </c>
      <c r="U2829" s="36" t="s">
        <v>26572</v>
      </c>
      <c r="V2829" s="36" t="s">
        <v>26573</v>
      </c>
      <c r="W2829" s="36" t="s">
        <v>94</v>
      </c>
      <c r="X2829" s="36">
        <v>2666</v>
      </c>
      <c r="Z2829" s="33" t="s">
        <v>42968</v>
      </c>
      <c r="AA2829" s="33">
        <v>4839</v>
      </c>
    </row>
    <row r="2830" spans="1:43" ht="12" customHeight="1" x14ac:dyDescent="0.15">
      <c r="A2830" s="33" t="s">
        <v>27752</v>
      </c>
      <c r="B2830" s="33">
        <v>19</v>
      </c>
      <c r="C2830" s="33" t="s">
        <v>14</v>
      </c>
      <c r="D2830" s="33" t="s">
        <v>79</v>
      </c>
      <c r="F2830" s="67">
        <v>42899</v>
      </c>
      <c r="G2830" s="33" t="s">
        <v>27812</v>
      </c>
      <c r="H2830" s="33" t="s">
        <v>831</v>
      </c>
      <c r="I2830" s="33" t="s">
        <v>409</v>
      </c>
      <c r="J2830" s="33">
        <v>53211</v>
      </c>
      <c r="K2830" s="33" t="s">
        <v>831</v>
      </c>
      <c r="L2830" s="33" t="s">
        <v>27813</v>
      </c>
      <c r="M2830" s="33" t="s">
        <v>21</v>
      </c>
      <c r="N2830" s="33" t="s">
        <v>27814</v>
      </c>
      <c r="O2830" s="33" t="s">
        <v>372</v>
      </c>
      <c r="P2830" s="33" t="s">
        <v>30089</v>
      </c>
      <c r="Q2830" s="33" t="s">
        <v>27753</v>
      </c>
      <c r="R2830" s="33" t="s">
        <v>94</v>
      </c>
      <c r="S2830" s="33" t="s">
        <v>351</v>
      </c>
      <c r="T2830" s="36" t="s">
        <v>26867</v>
      </c>
      <c r="U2830" s="36" t="s">
        <v>26570</v>
      </c>
      <c r="V2830" s="36" t="s">
        <v>26571</v>
      </c>
      <c r="W2830" s="36" t="s">
        <v>94</v>
      </c>
      <c r="X2830" s="36">
        <v>2661</v>
      </c>
      <c r="Z2830" s="33" t="s">
        <v>42966</v>
      </c>
      <c r="AA2830" s="33">
        <v>4836</v>
      </c>
    </row>
    <row r="2831" spans="1:43" ht="12" customHeight="1" x14ac:dyDescent="0.15">
      <c r="A2831" s="33" t="s">
        <v>28102</v>
      </c>
      <c r="B2831" s="33">
        <v>24</v>
      </c>
      <c r="C2831" s="33" t="s">
        <v>14</v>
      </c>
      <c r="D2831" s="33" t="s">
        <v>31</v>
      </c>
      <c r="E2831" s="42" t="s">
        <v>28101</v>
      </c>
      <c r="F2831" s="67">
        <v>42899</v>
      </c>
      <c r="G2831" s="33" t="s">
        <v>28100</v>
      </c>
      <c r="H2831" s="33" t="s">
        <v>28099</v>
      </c>
      <c r="I2831" s="33" t="s">
        <v>38</v>
      </c>
      <c r="J2831" s="33">
        <v>62052</v>
      </c>
      <c r="K2831" s="33" t="s">
        <v>28098</v>
      </c>
      <c r="L2831" s="33" t="s">
        <v>28097</v>
      </c>
      <c r="M2831" s="33" t="s">
        <v>21</v>
      </c>
      <c r="N2831" s="33" t="s">
        <v>28096</v>
      </c>
      <c r="O2831" s="33" t="s">
        <v>372</v>
      </c>
      <c r="P2831" s="33" t="s">
        <v>30089</v>
      </c>
      <c r="Q2831" s="42" t="s">
        <v>28095</v>
      </c>
      <c r="R2831" s="33" t="s">
        <v>94</v>
      </c>
      <c r="S2831" s="33" t="s">
        <v>22</v>
      </c>
      <c r="T2831" s="36" t="s">
        <v>26781</v>
      </c>
      <c r="U2831" s="36" t="s">
        <v>26572</v>
      </c>
      <c r="V2831" s="36" t="s">
        <v>26574</v>
      </c>
      <c r="W2831" s="36" t="s">
        <v>94</v>
      </c>
      <c r="X2831" s="36">
        <v>2657</v>
      </c>
      <c r="Z2831" s="33" t="s">
        <v>42967</v>
      </c>
      <c r="AA2831" s="33">
        <v>4832</v>
      </c>
    </row>
    <row r="2832" spans="1:43" ht="12" customHeight="1" x14ac:dyDescent="0.15">
      <c r="A2832" s="33" t="s">
        <v>28088</v>
      </c>
      <c r="B2832" s="33">
        <v>36</v>
      </c>
      <c r="C2832" s="33" t="s">
        <v>14</v>
      </c>
      <c r="D2832" s="33" t="s">
        <v>31</v>
      </c>
      <c r="E2832" s="42" t="s">
        <v>28087</v>
      </c>
      <c r="F2832" s="67">
        <v>42899</v>
      </c>
      <c r="G2832" s="33" t="s">
        <v>2299</v>
      </c>
      <c r="H2832" s="33" t="s">
        <v>7622</v>
      </c>
      <c r="I2832" s="33" t="s">
        <v>468</v>
      </c>
      <c r="J2832" s="33">
        <v>3842</v>
      </c>
      <c r="K2832" s="33" t="s">
        <v>4386</v>
      </c>
      <c r="L2832" s="33" t="s">
        <v>28086</v>
      </c>
      <c r="M2832" s="33" t="s">
        <v>21</v>
      </c>
      <c r="N2832" s="33" t="s">
        <v>28085</v>
      </c>
      <c r="O2832" s="33" t="s">
        <v>372</v>
      </c>
      <c r="P2832" s="33" t="s">
        <v>30089</v>
      </c>
      <c r="Q2832" s="42" t="s">
        <v>28084</v>
      </c>
      <c r="R2832" s="33" t="s">
        <v>904</v>
      </c>
      <c r="S2832" s="33" t="s">
        <v>22</v>
      </c>
      <c r="T2832" s="36" t="s">
        <v>26781</v>
      </c>
      <c r="U2832" s="36" t="s">
        <v>26570</v>
      </c>
      <c r="V2832" s="36" t="s">
        <v>26573</v>
      </c>
      <c r="W2832" s="36" t="s">
        <v>94</v>
      </c>
      <c r="X2832" s="36">
        <v>2662</v>
      </c>
      <c r="Z2832" s="33" t="s">
        <v>42968</v>
      </c>
      <c r="AA2832" s="33">
        <v>4833</v>
      </c>
    </row>
    <row r="2833" spans="1:43" ht="12" customHeight="1" x14ac:dyDescent="0.15">
      <c r="A2833" s="33" t="s">
        <v>28070</v>
      </c>
      <c r="B2833" s="33">
        <v>33</v>
      </c>
      <c r="C2833" s="33" t="s">
        <v>14</v>
      </c>
      <c r="D2833" s="33" t="s">
        <v>79</v>
      </c>
      <c r="E2833" s="42" t="s">
        <v>28069</v>
      </c>
      <c r="F2833" s="67">
        <v>42899</v>
      </c>
      <c r="G2833" s="33" t="s">
        <v>28068</v>
      </c>
      <c r="H2833" s="33" t="s">
        <v>661</v>
      </c>
      <c r="I2833" s="33" t="s">
        <v>402</v>
      </c>
      <c r="J2833" s="33">
        <v>63118</v>
      </c>
      <c r="K2833" s="33" t="s">
        <v>661</v>
      </c>
      <c r="L2833" s="33" t="s">
        <v>4162</v>
      </c>
      <c r="M2833" s="33" t="s">
        <v>21</v>
      </c>
      <c r="N2833" s="33" t="s">
        <v>28067</v>
      </c>
      <c r="O2833" s="33" t="s">
        <v>372</v>
      </c>
      <c r="P2833" s="33" t="s">
        <v>30089</v>
      </c>
      <c r="Q2833" s="42" t="s">
        <v>28066</v>
      </c>
      <c r="R2833" s="33" t="s">
        <v>94</v>
      </c>
      <c r="S2833" s="33" t="s">
        <v>22</v>
      </c>
      <c r="T2833" s="36" t="s">
        <v>26781</v>
      </c>
      <c r="U2833" s="36" t="s">
        <v>26572</v>
      </c>
      <c r="V2833" s="36" t="s">
        <v>26573</v>
      </c>
      <c r="W2833" s="36" t="s">
        <v>94</v>
      </c>
      <c r="X2833" s="36">
        <v>2665</v>
      </c>
      <c r="Y2833" s="33" t="s">
        <v>42476</v>
      </c>
      <c r="Z2833" s="33" t="s">
        <v>42966</v>
      </c>
      <c r="AA2833" s="33">
        <v>4835</v>
      </c>
    </row>
    <row r="2834" spans="1:43" ht="12" customHeight="1" x14ac:dyDescent="0.15">
      <c r="A2834" s="33" t="s">
        <v>27547</v>
      </c>
      <c r="B2834" s="33">
        <v>36</v>
      </c>
      <c r="C2834" s="33" t="s">
        <v>14</v>
      </c>
      <c r="D2834" s="33" t="s">
        <v>79</v>
      </c>
      <c r="F2834" s="67">
        <v>42899</v>
      </c>
      <c r="G2834" s="33" t="s">
        <v>27548</v>
      </c>
      <c r="H2834" s="33" t="s">
        <v>172</v>
      </c>
      <c r="I2834" s="33" t="s">
        <v>19</v>
      </c>
      <c r="J2834" s="33">
        <v>70808</v>
      </c>
      <c r="K2834" s="33" t="s">
        <v>3435</v>
      </c>
      <c r="L2834" s="33" t="s">
        <v>1573</v>
      </c>
      <c r="M2834" s="33" t="s">
        <v>21</v>
      </c>
      <c r="N2834" s="33" t="s">
        <v>27549</v>
      </c>
      <c r="O2834" s="33" t="s">
        <v>372</v>
      </c>
      <c r="P2834" s="33" t="s">
        <v>30089</v>
      </c>
      <c r="Q2834" s="33" t="s">
        <v>27550</v>
      </c>
      <c r="R2834" s="33" t="s">
        <v>94</v>
      </c>
      <c r="S2834" s="33" t="s">
        <v>22</v>
      </c>
      <c r="T2834" s="36" t="s">
        <v>26781</v>
      </c>
      <c r="U2834" s="36" t="s">
        <v>26570</v>
      </c>
      <c r="V2834" s="36" t="s">
        <v>26573</v>
      </c>
      <c r="W2834" s="36" t="s">
        <v>94</v>
      </c>
      <c r="X2834" s="36">
        <v>2664</v>
      </c>
      <c r="Z2834" s="33" t="s">
        <v>42968</v>
      </c>
      <c r="AA2834" s="33">
        <v>4834</v>
      </c>
    </row>
    <row r="2835" spans="1:43" ht="12" customHeight="1" x14ac:dyDescent="0.15">
      <c r="A2835" s="33" t="s">
        <v>27555</v>
      </c>
      <c r="B2835" s="33">
        <v>50</v>
      </c>
      <c r="C2835" s="33" t="s">
        <v>14</v>
      </c>
      <c r="D2835" s="33" t="s">
        <v>31</v>
      </c>
      <c r="F2835" s="67">
        <v>42898</v>
      </c>
      <c r="G2835" s="33" t="s">
        <v>27556</v>
      </c>
      <c r="H2835" s="33" t="s">
        <v>27557</v>
      </c>
      <c r="I2835" s="33" t="s">
        <v>294</v>
      </c>
      <c r="J2835" s="33">
        <v>40906</v>
      </c>
      <c r="K2835" s="33" t="s">
        <v>2476</v>
      </c>
      <c r="L2835" s="33" t="s">
        <v>2477</v>
      </c>
      <c r="M2835" s="33" t="s">
        <v>21</v>
      </c>
      <c r="N2835" s="33" t="s">
        <v>36575</v>
      </c>
      <c r="O2835" s="33" t="s">
        <v>372</v>
      </c>
      <c r="P2835" s="33" t="s">
        <v>30089</v>
      </c>
      <c r="Q2835" s="42" t="s">
        <v>27558</v>
      </c>
      <c r="R2835" s="33" t="s">
        <v>94</v>
      </c>
      <c r="S2835" s="33" t="s">
        <v>22</v>
      </c>
      <c r="T2835" s="36" t="s">
        <v>26781</v>
      </c>
      <c r="U2835" s="36" t="s">
        <v>26572</v>
      </c>
      <c r="V2835" s="36" t="s">
        <v>26573</v>
      </c>
      <c r="W2835" s="36" t="s">
        <v>94</v>
      </c>
      <c r="X2835" s="36">
        <v>2659</v>
      </c>
      <c r="Z2835" s="33" t="s">
        <v>42967</v>
      </c>
      <c r="AA2835" s="33">
        <v>4829</v>
      </c>
    </row>
    <row r="2836" spans="1:43" ht="12" customHeight="1" x14ac:dyDescent="0.15">
      <c r="A2836" s="33" t="s">
        <v>28094</v>
      </c>
      <c r="B2836" s="33">
        <v>35</v>
      </c>
      <c r="C2836" s="33" t="s">
        <v>14</v>
      </c>
      <c r="D2836" s="33" t="s">
        <v>79</v>
      </c>
      <c r="E2836" s="42" t="s">
        <v>28093</v>
      </c>
      <c r="F2836" s="67">
        <v>42898</v>
      </c>
      <c r="G2836" s="33" t="s">
        <v>28092</v>
      </c>
      <c r="H2836" s="33" t="s">
        <v>28091</v>
      </c>
      <c r="I2836" s="33" t="s">
        <v>19</v>
      </c>
      <c r="J2836" s="33">
        <v>70518</v>
      </c>
      <c r="K2836" s="33" t="s">
        <v>10335</v>
      </c>
      <c r="L2836" s="33" t="s">
        <v>11229</v>
      </c>
      <c r="M2836" s="33" t="s">
        <v>21</v>
      </c>
      <c r="N2836" s="33" t="s">
        <v>28090</v>
      </c>
      <c r="O2836" s="33" t="s">
        <v>372</v>
      </c>
      <c r="P2836" s="33" t="s">
        <v>30089</v>
      </c>
      <c r="Q2836" s="42" t="s">
        <v>28089</v>
      </c>
      <c r="R2836" s="33" t="s">
        <v>94</v>
      </c>
      <c r="S2836" s="33" t="s">
        <v>22</v>
      </c>
      <c r="T2836" s="36" t="s">
        <v>26781</v>
      </c>
      <c r="U2836" s="36" t="s">
        <v>26570</v>
      </c>
      <c r="V2836" s="36" t="s">
        <v>26573</v>
      </c>
      <c r="W2836" s="36" t="s">
        <v>94</v>
      </c>
      <c r="X2836" s="36">
        <v>2663</v>
      </c>
      <c r="Z2836" s="33" t="s">
        <v>42968</v>
      </c>
      <c r="AA2836" s="33">
        <v>4830</v>
      </c>
    </row>
    <row r="2837" spans="1:43" ht="12" customHeight="1" x14ac:dyDescent="0.15">
      <c r="A2837" s="33" t="s">
        <v>27559</v>
      </c>
      <c r="B2837" s="33">
        <v>63</v>
      </c>
      <c r="C2837" s="33" t="s">
        <v>14</v>
      </c>
      <c r="D2837" s="33" t="s">
        <v>42</v>
      </c>
      <c r="F2837" s="67">
        <v>42898</v>
      </c>
      <c r="G2837" s="33" t="s">
        <v>27560</v>
      </c>
      <c r="H2837" s="33" t="s">
        <v>19236</v>
      </c>
      <c r="I2837" s="33" t="s">
        <v>67</v>
      </c>
      <c r="J2837" s="33">
        <v>75024</v>
      </c>
      <c r="K2837" s="33" t="s">
        <v>18009</v>
      </c>
      <c r="L2837" s="33" t="s">
        <v>19237</v>
      </c>
      <c r="M2837" s="33" t="s">
        <v>21</v>
      </c>
      <c r="N2837" s="33" t="s">
        <v>27561</v>
      </c>
      <c r="O2837" s="33" t="s">
        <v>372</v>
      </c>
      <c r="P2837" s="33" t="s">
        <v>30089</v>
      </c>
      <c r="Q2837" s="42" t="s">
        <v>27562</v>
      </c>
      <c r="R2837" s="33" t="s">
        <v>94</v>
      </c>
      <c r="S2837" s="33" t="s">
        <v>22</v>
      </c>
      <c r="T2837" s="36" t="s">
        <v>26781</v>
      </c>
      <c r="U2837" s="36" t="s">
        <v>26572</v>
      </c>
      <c r="V2837" s="36" t="s">
        <v>26573</v>
      </c>
      <c r="W2837" s="36" t="s">
        <v>94</v>
      </c>
      <c r="X2837" s="36">
        <v>2658</v>
      </c>
      <c r="Y2837" s="33" t="s">
        <v>42476</v>
      </c>
      <c r="Z2837" s="33" t="s">
        <v>42968</v>
      </c>
      <c r="AA2837" s="33">
        <v>4828</v>
      </c>
    </row>
    <row r="2838" spans="1:43" ht="12" customHeight="1" x14ac:dyDescent="0.15">
      <c r="A2838" s="33" t="s">
        <v>27551</v>
      </c>
      <c r="B2838" s="33">
        <v>45</v>
      </c>
      <c r="C2838" s="33" t="s">
        <v>14</v>
      </c>
      <c r="D2838" s="33" t="s">
        <v>42</v>
      </c>
      <c r="F2838" s="67">
        <v>42898</v>
      </c>
      <c r="G2838" s="33" t="s">
        <v>27552</v>
      </c>
      <c r="H2838" s="33" t="s">
        <v>11556</v>
      </c>
      <c r="I2838" s="33" t="s">
        <v>39</v>
      </c>
      <c r="J2838" s="33">
        <v>93662</v>
      </c>
      <c r="K2838" s="33" t="s">
        <v>183</v>
      </c>
      <c r="L2838" s="33" t="s">
        <v>11558</v>
      </c>
      <c r="M2838" s="33" t="s">
        <v>4966</v>
      </c>
      <c r="N2838" s="33" t="s">
        <v>27553</v>
      </c>
      <c r="O2838" s="33" t="s">
        <v>372</v>
      </c>
      <c r="P2838" s="33" t="s">
        <v>30089</v>
      </c>
      <c r="Q2838" s="42" t="s">
        <v>27554</v>
      </c>
      <c r="R2838" s="33" t="s">
        <v>94</v>
      </c>
      <c r="S2838" s="33" t="s">
        <v>22</v>
      </c>
      <c r="T2838" s="36" t="s">
        <v>26774</v>
      </c>
      <c r="U2838" s="36" t="s">
        <v>26570</v>
      </c>
      <c r="V2838" s="36" t="s">
        <v>26573</v>
      </c>
      <c r="W2838" s="36" t="s">
        <v>94</v>
      </c>
      <c r="X2838" s="36">
        <v>2656</v>
      </c>
      <c r="Z2838" s="33" t="s">
        <v>42968</v>
      </c>
      <c r="AA2838" s="33">
        <v>4831</v>
      </c>
      <c r="AQ2838" s="42"/>
    </row>
    <row r="2839" spans="1:43" ht="12" customHeight="1" x14ac:dyDescent="0.15">
      <c r="A2839" s="33" t="s">
        <v>27563</v>
      </c>
      <c r="B2839" s="33">
        <v>60</v>
      </c>
      <c r="C2839" s="33" t="s">
        <v>14</v>
      </c>
      <c r="D2839" s="33" t="s">
        <v>31</v>
      </c>
      <c r="F2839" s="67">
        <v>42897</v>
      </c>
      <c r="G2839" s="33" t="s">
        <v>27564</v>
      </c>
      <c r="H2839" s="33" t="s">
        <v>6652</v>
      </c>
      <c r="I2839" s="33" t="s">
        <v>67</v>
      </c>
      <c r="J2839" s="33">
        <v>79602</v>
      </c>
      <c r="K2839" s="33" t="s">
        <v>6654</v>
      </c>
      <c r="L2839" s="33" t="s">
        <v>10662</v>
      </c>
      <c r="M2839" s="33" t="s">
        <v>21</v>
      </c>
      <c r="N2839" s="33" t="s">
        <v>27565</v>
      </c>
      <c r="O2839" s="33" t="s">
        <v>372</v>
      </c>
      <c r="P2839" s="33" t="s">
        <v>30089</v>
      </c>
      <c r="Q2839" s="42" t="s">
        <v>27566</v>
      </c>
      <c r="R2839" s="33" t="s">
        <v>512</v>
      </c>
      <c r="S2839" s="33" t="s">
        <v>22</v>
      </c>
      <c r="T2839" s="36" t="s">
        <v>26774</v>
      </c>
      <c r="U2839" s="36" t="s">
        <v>26570</v>
      </c>
      <c r="V2839" s="36" t="s">
        <v>26573</v>
      </c>
      <c r="W2839" s="36" t="s">
        <v>94</v>
      </c>
      <c r="X2839" s="36">
        <v>2660</v>
      </c>
      <c r="Z2839" s="33" t="s">
        <v>42968</v>
      </c>
      <c r="AA2839" s="33">
        <v>4827</v>
      </c>
    </row>
    <row r="2840" spans="1:43" ht="12" customHeight="1" x14ac:dyDescent="0.15">
      <c r="A2840" s="33" t="s">
        <v>29635</v>
      </c>
      <c r="B2840" s="33">
        <v>25</v>
      </c>
      <c r="C2840" s="33" t="s">
        <v>14</v>
      </c>
      <c r="D2840" s="33" t="s">
        <v>885</v>
      </c>
      <c r="F2840" s="67">
        <v>42896</v>
      </c>
      <c r="G2840" s="33" t="s">
        <v>27578</v>
      </c>
      <c r="H2840" s="33" t="s">
        <v>4932</v>
      </c>
      <c r="I2840" s="33" t="s">
        <v>282</v>
      </c>
      <c r="J2840" s="33">
        <v>98002</v>
      </c>
      <c r="K2840" s="33" t="s">
        <v>1133</v>
      </c>
      <c r="L2840" s="33" t="s">
        <v>10523</v>
      </c>
      <c r="M2840" s="33" t="s">
        <v>21</v>
      </c>
      <c r="N2840" s="33" t="s">
        <v>27579</v>
      </c>
      <c r="O2840" s="33" t="s">
        <v>372</v>
      </c>
      <c r="P2840" s="33" t="s">
        <v>30089</v>
      </c>
      <c r="Q2840" s="42" t="s">
        <v>27580</v>
      </c>
      <c r="R2840" s="33" t="s">
        <v>94</v>
      </c>
      <c r="S2840" s="33" t="s">
        <v>22</v>
      </c>
      <c r="T2840" s="36" t="s">
        <v>26774</v>
      </c>
      <c r="U2840" s="36" t="s">
        <v>26570</v>
      </c>
      <c r="V2840" s="36" t="s">
        <v>26571</v>
      </c>
      <c r="W2840" s="36" t="s">
        <v>94</v>
      </c>
      <c r="X2840" s="36">
        <v>2654</v>
      </c>
      <c r="Z2840" s="33" t="s">
        <v>42968</v>
      </c>
      <c r="AA2840" s="33">
        <v>4826</v>
      </c>
    </row>
    <row r="2841" spans="1:43" ht="12" customHeight="1" x14ac:dyDescent="0.15">
      <c r="A2841" s="33" t="s">
        <v>27571</v>
      </c>
      <c r="B2841" s="33">
        <v>53</v>
      </c>
      <c r="C2841" s="33" t="s">
        <v>14</v>
      </c>
      <c r="D2841" s="33" t="s">
        <v>31</v>
      </c>
      <c r="F2841" s="67">
        <v>42896</v>
      </c>
      <c r="G2841" s="33" t="s">
        <v>27572</v>
      </c>
      <c r="H2841" s="33" t="s">
        <v>27573</v>
      </c>
      <c r="I2841" s="33" t="s">
        <v>342</v>
      </c>
      <c r="J2841" s="33">
        <v>52316</v>
      </c>
      <c r="K2841" s="33" t="s">
        <v>27574</v>
      </c>
      <c r="L2841" s="33" t="s">
        <v>27575</v>
      </c>
      <c r="M2841" s="33" t="s">
        <v>21</v>
      </c>
      <c r="N2841" s="33" t="s">
        <v>27576</v>
      </c>
      <c r="O2841" s="33" t="s">
        <v>372</v>
      </c>
      <c r="P2841" s="33" t="s">
        <v>30089</v>
      </c>
      <c r="Q2841" s="42" t="s">
        <v>27577</v>
      </c>
      <c r="R2841" s="33" t="s">
        <v>94</v>
      </c>
      <c r="S2841" s="33" t="s">
        <v>22</v>
      </c>
      <c r="T2841" s="36" t="s">
        <v>26781</v>
      </c>
      <c r="U2841" s="36" t="s">
        <v>26570</v>
      </c>
      <c r="V2841" s="36" t="s">
        <v>26573</v>
      </c>
      <c r="W2841" s="36" t="s">
        <v>94</v>
      </c>
      <c r="X2841" s="36">
        <v>2655</v>
      </c>
      <c r="Z2841" s="33" t="s">
        <v>42967</v>
      </c>
      <c r="AA2841" s="33">
        <v>4825</v>
      </c>
    </row>
    <row r="2842" spans="1:43" ht="12" customHeight="1" x14ac:dyDescent="0.15">
      <c r="A2842" s="33" t="s">
        <v>27567</v>
      </c>
      <c r="B2842" s="33">
        <v>82</v>
      </c>
      <c r="C2842" s="33" t="s">
        <v>14</v>
      </c>
      <c r="D2842" s="33" t="s">
        <v>31</v>
      </c>
      <c r="F2842" s="67">
        <v>42896</v>
      </c>
      <c r="G2842" s="33" t="s">
        <v>27568</v>
      </c>
      <c r="H2842" s="33" t="s">
        <v>196</v>
      </c>
      <c r="I2842" s="33" t="s">
        <v>56</v>
      </c>
      <c r="J2842" s="33">
        <v>33156</v>
      </c>
      <c r="K2842" s="33" t="s">
        <v>148</v>
      </c>
      <c r="L2842" s="33" t="s">
        <v>149</v>
      </c>
      <c r="M2842" s="33" t="s">
        <v>21</v>
      </c>
      <c r="N2842" s="33" t="s">
        <v>27569</v>
      </c>
      <c r="O2842" s="33" t="s">
        <v>372</v>
      </c>
      <c r="P2842" s="33" t="s">
        <v>30089</v>
      </c>
      <c r="Q2842" s="42" t="s">
        <v>27570</v>
      </c>
      <c r="R2842" s="33" t="s">
        <v>512</v>
      </c>
      <c r="S2842" s="33" t="s">
        <v>22</v>
      </c>
      <c r="T2842" s="36" t="s">
        <v>26781</v>
      </c>
      <c r="U2842" s="36" t="s">
        <v>26572</v>
      </c>
      <c r="V2842" s="36" t="s">
        <v>26573</v>
      </c>
      <c r="W2842" s="36" t="s">
        <v>94</v>
      </c>
      <c r="X2842" s="36">
        <v>2653</v>
      </c>
      <c r="Z2842" s="33" t="s">
        <v>42968</v>
      </c>
      <c r="AA2842" s="33">
        <v>4824</v>
      </c>
    </row>
    <row r="2843" spans="1:43" ht="12" customHeight="1" x14ac:dyDescent="0.15">
      <c r="A2843" s="33" t="s">
        <v>27581</v>
      </c>
      <c r="B2843" s="33">
        <v>44</v>
      </c>
      <c r="C2843" s="33" t="s">
        <v>14</v>
      </c>
      <c r="D2843" s="33" t="s">
        <v>42</v>
      </c>
      <c r="F2843" s="67">
        <v>42895</v>
      </c>
      <c r="G2843" s="33" t="s">
        <v>27582</v>
      </c>
      <c r="H2843" s="33" t="s">
        <v>27583</v>
      </c>
      <c r="I2843" s="33" t="s">
        <v>38</v>
      </c>
      <c r="J2843" s="33">
        <v>60534</v>
      </c>
      <c r="K2843" s="33" t="s">
        <v>82</v>
      </c>
      <c r="L2843" s="33" t="s">
        <v>20024</v>
      </c>
      <c r="M2843" s="33" t="s">
        <v>21</v>
      </c>
      <c r="N2843" s="33" t="s">
        <v>27584</v>
      </c>
      <c r="O2843" s="33" t="s">
        <v>372</v>
      </c>
      <c r="P2843" s="33" t="s">
        <v>30089</v>
      </c>
      <c r="Q2843" s="42" t="s">
        <v>27585</v>
      </c>
      <c r="R2843" s="33" t="s">
        <v>94</v>
      </c>
      <c r="S2843" s="33" t="s">
        <v>22</v>
      </c>
      <c r="T2843" s="36" t="s">
        <v>26781</v>
      </c>
      <c r="U2843" s="36" t="s">
        <v>26572</v>
      </c>
      <c r="V2843" s="36" t="s">
        <v>26571</v>
      </c>
      <c r="W2843" s="36" t="s">
        <v>94</v>
      </c>
      <c r="X2843" s="36">
        <v>2652</v>
      </c>
      <c r="Z2843" s="33" t="s">
        <v>42968</v>
      </c>
      <c r="AA2843" s="33">
        <v>4822</v>
      </c>
    </row>
    <row r="2844" spans="1:43" ht="12" customHeight="1" x14ac:dyDescent="0.15">
      <c r="A2844" s="33" t="s">
        <v>27586</v>
      </c>
      <c r="B2844" s="33">
        <v>29</v>
      </c>
      <c r="C2844" s="33" t="s">
        <v>14</v>
      </c>
      <c r="D2844" s="33" t="s">
        <v>79</v>
      </c>
      <c r="E2844" s="42" t="s">
        <v>27587</v>
      </c>
      <c r="F2844" s="67">
        <v>42895</v>
      </c>
      <c r="G2844" s="33" t="s">
        <v>27588</v>
      </c>
      <c r="H2844" s="33" t="s">
        <v>2307</v>
      </c>
      <c r="I2844" s="33" t="s">
        <v>367</v>
      </c>
      <c r="J2844" s="33">
        <v>74106</v>
      </c>
      <c r="K2844" s="33" t="s">
        <v>2307</v>
      </c>
      <c r="L2844" s="33" t="s">
        <v>36576</v>
      </c>
      <c r="M2844" s="33" t="s">
        <v>4966</v>
      </c>
      <c r="N2844" s="33" t="s">
        <v>36577</v>
      </c>
      <c r="O2844" s="33" t="s">
        <v>372</v>
      </c>
      <c r="P2844" s="33" t="s">
        <v>30089</v>
      </c>
      <c r="Q2844" s="42" t="s">
        <v>27589</v>
      </c>
      <c r="R2844" s="33" t="s">
        <v>512</v>
      </c>
      <c r="S2844" s="33" t="s">
        <v>22</v>
      </c>
      <c r="T2844" s="36" t="s">
        <v>26774</v>
      </c>
      <c r="U2844" s="36" t="s">
        <v>26570</v>
      </c>
      <c r="V2844" s="36" t="s">
        <v>26573</v>
      </c>
      <c r="W2844" s="36" t="s">
        <v>94</v>
      </c>
      <c r="X2844" s="36">
        <v>2651</v>
      </c>
      <c r="Z2844" s="33" t="s">
        <v>42966</v>
      </c>
      <c r="AA2844" s="33">
        <v>4823</v>
      </c>
    </row>
    <row r="2845" spans="1:43" ht="12" customHeight="1" x14ac:dyDescent="0.15">
      <c r="A2845" s="33" t="s">
        <v>27605</v>
      </c>
      <c r="B2845" s="33">
        <v>57</v>
      </c>
      <c r="C2845" s="33" t="s">
        <v>14</v>
      </c>
      <c r="D2845" s="33" t="s">
        <v>31</v>
      </c>
      <c r="E2845" s="42" t="s">
        <v>27606</v>
      </c>
      <c r="F2845" s="67">
        <v>42894</v>
      </c>
      <c r="H2845" s="33" t="s">
        <v>27607</v>
      </c>
      <c r="I2845" s="33" t="s">
        <v>367</v>
      </c>
      <c r="J2845" s="33">
        <v>74954</v>
      </c>
      <c r="K2845" s="33" t="s">
        <v>27608</v>
      </c>
      <c r="L2845" s="33" t="s">
        <v>27609</v>
      </c>
      <c r="M2845" s="33" t="s">
        <v>21</v>
      </c>
      <c r="N2845" s="33" t="s">
        <v>36578</v>
      </c>
      <c r="O2845" s="33" t="s">
        <v>372</v>
      </c>
      <c r="P2845" s="33" t="s">
        <v>30089</v>
      </c>
      <c r="Q2845" s="42" t="s">
        <v>27610</v>
      </c>
      <c r="R2845" s="33" t="s">
        <v>512</v>
      </c>
      <c r="S2845" s="33" t="s">
        <v>22</v>
      </c>
      <c r="T2845" s="36" t="s">
        <v>26781</v>
      </c>
      <c r="U2845" s="36" t="s">
        <v>26572</v>
      </c>
      <c r="V2845" s="36" t="s">
        <v>26573</v>
      </c>
      <c r="W2845" s="36" t="s">
        <v>94</v>
      </c>
      <c r="X2845" s="36">
        <v>2650</v>
      </c>
      <c r="Z2845" s="33" t="s">
        <v>42967</v>
      </c>
      <c r="AA2845" s="33">
        <v>4819</v>
      </c>
    </row>
    <row r="2846" spans="1:43" ht="12" customHeight="1" x14ac:dyDescent="0.15">
      <c r="A2846" s="33" t="s">
        <v>27590</v>
      </c>
      <c r="B2846" s="33">
        <v>33</v>
      </c>
      <c r="C2846" s="33" t="s">
        <v>103</v>
      </c>
      <c r="D2846" s="33" t="s">
        <v>31</v>
      </c>
      <c r="E2846" s="42" t="s">
        <v>27591</v>
      </c>
      <c r="F2846" s="67">
        <v>42894</v>
      </c>
      <c r="G2846" s="33" t="s">
        <v>27592</v>
      </c>
      <c r="H2846" s="33" t="s">
        <v>451</v>
      </c>
      <c r="I2846" s="33" t="s">
        <v>39</v>
      </c>
      <c r="J2846" s="33">
        <v>90808</v>
      </c>
      <c r="K2846" s="33" t="s">
        <v>92</v>
      </c>
      <c r="L2846" s="33" t="s">
        <v>897</v>
      </c>
      <c r="M2846" s="33" t="s">
        <v>21</v>
      </c>
      <c r="N2846" s="33" t="s">
        <v>27593</v>
      </c>
      <c r="O2846" s="33" t="s">
        <v>372</v>
      </c>
      <c r="P2846" s="33" t="s">
        <v>30089</v>
      </c>
      <c r="Q2846" s="42" t="s">
        <v>27594</v>
      </c>
      <c r="R2846" s="33" t="s">
        <v>94</v>
      </c>
      <c r="S2846" s="33" t="s">
        <v>22</v>
      </c>
      <c r="T2846" s="36" t="s">
        <v>26781</v>
      </c>
      <c r="U2846" s="36" t="s">
        <v>26572</v>
      </c>
      <c r="V2846" s="36" t="s">
        <v>26573</v>
      </c>
      <c r="W2846" s="36" t="s">
        <v>94</v>
      </c>
      <c r="X2846" s="36">
        <v>2646</v>
      </c>
      <c r="Y2846" s="33" t="s">
        <v>42476</v>
      </c>
      <c r="Z2846" s="33" t="s">
        <v>42966</v>
      </c>
      <c r="AA2846" s="33">
        <v>4816</v>
      </c>
      <c r="AQ2846" s="42"/>
    </row>
    <row r="2847" spans="1:43" ht="12" customHeight="1" x14ac:dyDescent="0.15">
      <c r="A2847" s="33" t="s">
        <v>27595</v>
      </c>
      <c r="B2847" s="33">
        <v>45</v>
      </c>
      <c r="C2847" s="33" t="s">
        <v>14</v>
      </c>
      <c r="D2847" s="33" t="s">
        <v>42</v>
      </c>
      <c r="E2847" s="42" t="s">
        <v>27596</v>
      </c>
      <c r="F2847" s="67">
        <v>42894</v>
      </c>
      <c r="G2847" s="33" t="s">
        <v>27597</v>
      </c>
      <c r="H2847" s="33" t="s">
        <v>12224</v>
      </c>
      <c r="I2847" s="33" t="s">
        <v>39</v>
      </c>
      <c r="J2847" s="33">
        <v>93555</v>
      </c>
      <c r="K2847" s="33" t="s">
        <v>632</v>
      </c>
      <c r="L2847" s="33" t="s">
        <v>27598</v>
      </c>
      <c r="M2847" s="33" t="s">
        <v>21</v>
      </c>
      <c r="N2847" s="33" t="s">
        <v>27599</v>
      </c>
      <c r="O2847" s="33" t="s">
        <v>372</v>
      </c>
      <c r="P2847" s="33" t="s">
        <v>30089</v>
      </c>
      <c r="Q2847" s="42" t="s">
        <v>27600</v>
      </c>
      <c r="R2847" s="33" t="s">
        <v>94</v>
      </c>
      <c r="S2847" s="33" t="s">
        <v>22</v>
      </c>
      <c r="T2847" s="36" t="s">
        <v>26781</v>
      </c>
      <c r="U2847" s="36" t="s">
        <v>26572</v>
      </c>
      <c r="V2847" s="36" t="s">
        <v>26573</v>
      </c>
      <c r="W2847" s="36" t="s">
        <v>94</v>
      </c>
      <c r="X2847" s="36">
        <v>2647</v>
      </c>
      <c r="Z2847" s="33" t="s">
        <v>42968</v>
      </c>
      <c r="AA2847" s="33">
        <v>4817</v>
      </c>
    </row>
    <row r="2848" spans="1:43" ht="12" customHeight="1" x14ac:dyDescent="0.15">
      <c r="A2848" s="33" t="s">
        <v>27611</v>
      </c>
      <c r="B2848" s="33">
        <v>32</v>
      </c>
      <c r="C2848" s="33" t="s">
        <v>14</v>
      </c>
      <c r="D2848" s="33" t="s">
        <v>79</v>
      </c>
      <c r="E2848" s="42" t="s">
        <v>27612</v>
      </c>
      <c r="F2848" s="67">
        <v>42894</v>
      </c>
      <c r="G2848" s="33" t="s">
        <v>27613</v>
      </c>
      <c r="H2848" s="33" t="s">
        <v>1033</v>
      </c>
      <c r="I2848" s="33" t="s">
        <v>376</v>
      </c>
      <c r="J2848" s="33">
        <v>19124</v>
      </c>
      <c r="K2848" s="33" t="s">
        <v>1033</v>
      </c>
      <c r="L2848" s="33" t="s">
        <v>1034</v>
      </c>
      <c r="M2848" s="33" t="s">
        <v>4966</v>
      </c>
      <c r="N2848" s="33" t="s">
        <v>27614</v>
      </c>
      <c r="O2848" s="33" t="s">
        <v>36127</v>
      </c>
      <c r="P2848" s="33" t="s">
        <v>1084</v>
      </c>
      <c r="Q2848" s="42" t="s">
        <v>27615</v>
      </c>
      <c r="R2848" s="33" t="s">
        <v>94</v>
      </c>
      <c r="S2848" s="33" t="s">
        <v>22</v>
      </c>
      <c r="T2848" s="36" t="s">
        <v>26781</v>
      </c>
      <c r="U2848" s="36" t="s">
        <v>26570</v>
      </c>
      <c r="V2848" s="36" t="s">
        <v>26574</v>
      </c>
      <c r="W2848" s="36" t="s">
        <v>94</v>
      </c>
      <c r="X2848" s="36">
        <v>2648</v>
      </c>
      <c r="Z2848" s="33" t="s">
        <v>42966</v>
      </c>
      <c r="AA2848" s="33">
        <v>4821</v>
      </c>
    </row>
    <row r="2849" spans="1:43" ht="12" customHeight="1" x14ac:dyDescent="0.15">
      <c r="A2849" s="33" t="s">
        <v>27616</v>
      </c>
      <c r="B2849" s="33">
        <v>38</v>
      </c>
      <c r="C2849" s="33" t="s">
        <v>14</v>
      </c>
      <c r="D2849" s="33" t="s">
        <v>42</v>
      </c>
      <c r="E2849" s="42" t="s">
        <v>27617</v>
      </c>
      <c r="F2849" s="67">
        <v>42894</v>
      </c>
      <c r="G2849" s="33" t="s">
        <v>27618</v>
      </c>
      <c r="H2849" s="33" t="s">
        <v>27619</v>
      </c>
      <c r="I2849" s="33" t="s">
        <v>67</v>
      </c>
      <c r="J2849" s="33">
        <v>78586</v>
      </c>
      <c r="K2849" s="33" t="s">
        <v>1123</v>
      </c>
      <c r="L2849" s="33" t="s">
        <v>36481</v>
      </c>
      <c r="M2849" s="33" t="s">
        <v>21</v>
      </c>
      <c r="N2849" s="33" t="s">
        <v>27620</v>
      </c>
      <c r="O2849" s="33" t="s">
        <v>372</v>
      </c>
      <c r="P2849" s="33" t="s">
        <v>30089</v>
      </c>
      <c r="Q2849" s="42" t="s">
        <v>27621</v>
      </c>
      <c r="R2849" s="33" t="s">
        <v>94</v>
      </c>
      <c r="S2849" s="33" t="s">
        <v>22</v>
      </c>
      <c r="T2849" s="36" t="s">
        <v>26781</v>
      </c>
      <c r="U2849" s="36" t="s">
        <v>26572</v>
      </c>
      <c r="V2849" s="36" t="s">
        <v>26571</v>
      </c>
      <c r="Z2849" s="33" t="s">
        <v>42968</v>
      </c>
      <c r="AA2849" s="33">
        <v>4820</v>
      </c>
    </row>
    <row r="2850" spans="1:43" ht="12" customHeight="1" x14ac:dyDescent="0.15">
      <c r="A2850" s="33" t="s">
        <v>27601</v>
      </c>
      <c r="B2850" s="33">
        <v>48</v>
      </c>
      <c r="C2850" s="33" t="s">
        <v>14</v>
      </c>
      <c r="D2850" s="33" t="s">
        <v>31</v>
      </c>
      <c r="F2850" s="67">
        <v>42894</v>
      </c>
      <c r="G2850" s="33" t="s">
        <v>27602</v>
      </c>
      <c r="H2850" s="33" t="s">
        <v>509</v>
      </c>
      <c r="I2850" s="33" t="s">
        <v>192</v>
      </c>
      <c r="J2850" s="33">
        <v>80537</v>
      </c>
      <c r="K2850" s="33" t="s">
        <v>510</v>
      </c>
      <c r="L2850" s="33" t="s">
        <v>511</v>
      </c>
      <c r="M2850" s="33" t="s">
        <v>21</v>
      </c>
      <c r="N2850" s="33" t="s">
        <v>27603</v>
      </c>
      <c r="O2850" s="33" t="s">
        <v>372</v>
      </c>
      <c r="P2850" s="33" t="s">
        <v>30089</v>
      </c>
      <c r="Q2850" s="42" t="s">
        <v>27604</v>
      </c>
      <c r="R2850" s="33" t="s">
        <v>94</v>
      </c>
      <c r="S2850" s="33" t="s">
        <v>22</v>
      </c>
      <c r="T2850" s="36" t="s">
        <v>26781</v>
      </c>
      <c r="U2850" s="36" t="s">
        <v>26572</v>
      </c>
      <c r="V2850" s="36" t="s">
        <v>26573</v>
      </c>
      <c r="W2850" s="36" t="s">
        <v>94</v>
      </c>
      <c r="X2850" s="36">
        <v>2649</v>
      </c>
      <c r="Z2850" s="33" t="s">
        <v>42968</v>
      </c>
      <c r="AA2850" s="33">
        <v>4818</v>
      </c>
    </row>
    <row r="2851" spans="1:43" ht="12" customHeight="1" x14ac:dyDescent="0.15">
      <c r="A2851" s="33" t="s">
        <v>27630</v>
      </c>
      <c r="B2851" s="33">
        <v>54</v>
      </c>
      <c r="C2851" s="33" t="s">
        <v>14</v>
      </c>
      <c r="D2851" s="33" t="s">
        <v>31</v>
      </c>
      <c r="E2851" s="42" t="s">
        <v>27631</v>
      </c>
      <c r="F2851" s="67">
        <v>42893</v>
      </c>
      <c r="G2851" s="33" t="s">
        <v>27632</v>
      </c>
      <c r="H2851" s="33" t="s">
        <v>27633</v>
      </c>
      <c r="I2851" s="33" t="s">
        <v>4034</v>
      </c>
      <c r="J2851" s="33">
        <v>4474</v>
      </c>
      <c r="K2851" s="33" t="s">
        <v>6374</v>
      </c>
      <c r="L2851" s="33" t="s">
        <v>27634</v>
      </c>
      <c r="M2851" s="33" t="s">
        <v>21</v>
      </c>
      <c r="N2851" s="33" t="s">
        <v>27635</v>
      </c>
      <c r="O2851" s="33" t="s">
        <v>372</v>
      </c>
      <c r="P2851" s="33" t="s">
        <v>30089</v>
      </c>
      <c r="Q2851" s="42" t="s">
        <v>27636</v>
      </c>
      <c r="R2851" s="33" t="s">
        <v>94</v>
      </c>
      <c r="S2851" s="33" t="s">
        <v>22</v>
      </c>
      <c r="T2851" s="36" t="s">
        <v>26781</v>
      </c>
      <c r="U2851" s="36" t="s">
        <v>26572</v>
      </c>
      <c r="V2851" s="36" t="s">
        <v>26573</v>
      </c>
      <c r="W2851" s="36" t="s">
        <v>94</v>
      </c>
      <c r="X2851" s="36">
        <v>2640</v>
      </c>
      <c r="Z2851" s="33" t="s">
        <v>42967</v>
      </c>
      <c r="AA2851" s="33">
        <v>4812</v>
      </c>
    </row>
    <row r="2852" spans="1:43" ht="12" customHeight="1" x14ac:dyDescent="0.15">
      <c r="A2852" s="33" t="s">
        <v>27626</v>
      </c>
      <c r="B2852" s="33">
        <v>35</v>
      </c>
      <c r="C2852" s="33" t="s">
        <v>14</v>
      </c>
      <c r="D2852" s="33" t="s">
        <v>31</v>
      </c>
      <c r="F2852" s="67">
        <v>42893</v>
      </c>
      <c r="G2852" s="33" t="s">
        <v>27627</v>
      </c>
      <c r="H2852" s="33" t="s">
        <v>27628</v>
      </c>
      <c r="I2852" s="33" t="s">
        <v>46</v>
      </c>
      <c r="J2852" s="33">
        <v>21222</v>
      </c>
      <c r="K2852" s="33" t="s">
        <v>1487</v>
      </c>
      <c r="L2852" s="33" t="s">
        <v>212</v>
      </c>
      <c r="M2852" s="33" t="s">
        <v>21</v>
      </c>
      <c r="N2852" s="33" t="s">
        <v>30825</v>
      </c>
      <c r="O2852" s="33" t="s">
        <v>372</v>
      </c>
      <c r="P2852" s="33" t="s">
        <v>30089</v>
      </c>
      <c r="Q2852" s="42" t="s">
        <v>27629</v>
      </c>
      <c r="R2852" s="33" t="s">
        <v>94</v>
      </c>
      <c r="S2852" s="33" t="s">
        <v>22</v>
      </c>
      <c r="T2852" s="36" t="s">
        <v>26781</v>
      </c>
      <c r="U2852" s="36" t="s">
        <v>26572</v>
      </c>
      <c r="V2852" s="36" t="s">
        <v>26573</v>
      </c>
      <c r="W2852" s="36" t="s">
        <v>512</v>
      </c>
      <c r="X2852" s="36">
        <v>2644</v>
      </c>
      <c r="Z2852" s="33" t="s">
        <v>42968</v>
      </c>
      <c r="AA2852" s="33">
        <v>4814</v>
      </c>
    </row>
    <row r="2853" spans="1:43" ht="12" customHeight="1" x14ac:dyDescent="0.15">
      <c r="A2853" s="33" t="s">
        <v>27622</v>
      </c>
      <c r="B2853" s="33">
        <v>21</v>
      </c>
      <c r="C2853" s="33" t="s">
        <v>14</v>
      </c>
      <c r="D2853" s="33" t="s">
        <v>42</v>
      </c>
      <c r="F2853" s="67">
        <v>42893</v>
      </c>
      <c r="G2853" s="33" t="s">
        <v>27623</v>
      </c>
      <c r="H2853" s="33" t="s">
        <v>183</v>
      </c>
      <c r="I2853" s="33" t="s">
        <v>39</v>
      </c>
      <c r="J2853" s="33">
        <v>93705</v>
      </c>
      <c r="K2853" s="33" t="s">
        <v>183</v>
      </c>
      <c r="L2853" s="33" t="s">
        <v>184</v>
      </c>
      <c r="M2853" s="33" t="s">
        <v>21</v>
      </c>
      <c r="N2853" s="33" t="s">
        <v>27624</v>
      </c>
      <c r="O2853" s="33" t="s">
        <v>372</v>
      </c>
      <c r="P2853" s="33" t="s">
        <v>30089</v>
      </c>
      <c r="Q2853" s="42" t="s">
        <v>27625</v>
      </c>
      <c r="R2853" s="33" t="s">
        <v>94</v>
      </c>
      <c r="S2853" s="33" t="s">
        <v>22</v>
      </c>
      <c r="T2853" s="36" t="s">
        <v>26781</v>
      </c>
      <c r="U2853" s="36" t="s">
        <v>26572</v>
      </c>
      <c r="V2853" s="36" t="s">
        <v>26573</v>
      </c>
      <c r="W2853" s="36" t="s">
        <v>512</v>
      </c>
      <c r="X2853" s="36">
        <v>2639</v>
      </c>
      <c r="Z2853" s="33" t="s">
        <v>42966</v>
      </c>
      <c r="AA2853" s="33">
        <v>4811</v>
      </c>
    </row>
    <row r="2854" spans="1:43" ht="12" customHeight="1" x14ac:dyDescent="0.15">
      <c r="A2854" s="33" t="s">
        <v>27637</v>
      </c>
      <c r="B2854" s="33">
        <v>21</v>
      </c>
      <c r="C2854" s="33" t="s">
        <v>14</v>
      </c>
      <c r="D2854" s="33" t="s">
        <v>31</v>
      </c>
      <c r="E2854" s="42" t="s">
        <v>27638</v>
      </c>
      <c r="F2854" s="67">
        <v>42893</v>
      </c>
      <c r="G2854" s="33" t="s">
        <v>27639</v>
      </c>
      <c r="H2854" s="33" t="s">
        <v>661</v>
      </c>
      <c r="I2854" s="33" t="s">
        <v>402</v>
      </c>
      <c r="J2854" s="33">
        <v>63109</v>
      </c>
      <c r="K2854" s="33" t="s">
        <v>661</v>
      </c>
      <c r="L2854" s="33" t="s">
        <v>4162</v>
      </c>
      <c r="M2854" s="33" t="s">
        <v>21</v>
      </c>
      <c r="N2854" s="33" t="s">
        <v>27640</v>
      </c>
      <c r="O2854" s="33" t="s">
        <v>372</v>
      </c>
      <c r="P2854" s="33" t="s">
        <v>30089</v>
      </c>
      <c r="Q2854" s="42" t="s">
        <v>27641</v>
      </c>
      <c r="R2854" s="33" t="s">
        <v>94</v>
      </c>
      <c r="S2854" s="33" t="s">
        <v>22</v>
      </c>
      <c r="T2854" s="36" t="s">
        <v>26781</v>
      </c>
      <c r="U2854" s="36" t="s">
        <v>26572</v>
      </c>
      <c r="V2854" s="36" t="s">
        <v>26573</v>
      </c>
      <c r="W2854" s="36" t="s">
        <v>94</v>
      </c>
      <c r="X2854" s="36">
        <v>2642</v>
      </c>
      <c r="Z2854" s="33" t="s">
        <v>42966</v>
      </c>
      <c r="AA2854" s="33">
        <v>4813</v>
      </c>
    </row>
    <row r="2855" spans="1:43" ht="12" customHeight="1" x14ac:dyDescent="0.15">
      <c r="A2855" s="33" t="s">
        <v>27642</v>
      </c>
      <c r="B2855" s="33">
        <v>75</v>
      </c>
      <c r="C2855" s="33" t="s">
        <v>14</v>
      </c>
      <c r="D2855" s="33" t="s">
        <v>31</v>
      </c>
      <c r="E2855" s="42" t="s">
        <v>27643</v>
      </c>
      <c r="F2855" s="67">
        <v>42893</v>
      </c>
      <c r="G2855" s="33" t="s">
        <v>27644</v>
      </c>
      <c r="H2855" s="33" t="s">
        <v>27645</v>
      </c>
      <c r="I2855" s="33" t="s">
        <v>338</v>
      </c>
      <c r="J2855" s="33">
        <v>28630</v>
      </c>
      <c r="K2855" s="33" t="s">
        <v>7861</v>
      </c>
      <c r="L2855" s="33" t="s">
        <v>24694</v>
      </c>
      <c r="M2855" s="33" t="s">
        <v>21</v>
      </c>
      <c r="N2855" s="33" t="s">
        <v>27646</v>
      </c>
      <c r="O2855" s="33" t="s">
        <v>372</v>
      </c>
      <c r="P2855" s="33" t="s">
        <v>30089</v>
      </c>
      <c r="Q2855" s="42" t="s">
        <v>27647</v>
      </c>
      <c r="R2855" s="33" t="s">
        <v>512</v>
      </c>
      <c r="S2855" s="33" t="s">
        <v>22</v>
      </c>
      <c r="T2855" s="36" t="s">
        <v>26781</v>
      </c>
      <c r="U2855" s="36" t="s">
        <v>26572</v>
      </c>
      <c r="V2855" s="36" t="s">
        <v>26573</v>
      </c>
      <c r="W2855" s="36" t="s">
        <v>94</v>
      </c>
      <c r="X2855" s="36">
        <v>2645</v>
      </c>
      <c r="Z2855" s="33" t="s">
        <v>42968</v>
      </c>
      <c r="AA2855" s="33">
        <v>4815</v>
      </c>
    </row>
    <row r="2856" spans="1:43" ht="12" customHeight="1" x14ac:dyDescent="0.15">
      <c r="A2856" s="33" t="s">
        <v>27652</v>
      </c>
      <c r="B2856" s="33">
        <v>50</v>
      </c>
      <c r="C2856" s="33" t="s">
        <v>14</v>
      </c>
      <c r="D2856" s="33" t="s">
        <v>30751</v>
      </c>
      <c r="F2856" s="67">
        <v>42892</v>
      </c>
      <c r="G2856" s="33" t="s">
        <v>27653</v>
      </c>
      <c r="H2856" s="33" t="s">
        <v>3086</v>
      </c>
      <c r="I2856" s="33" t="s">
        <v>282</v>
      </c>
      <c r="J2856" s="33">
        <v>98682</v>
      </c>
      <c r="K2856" s="33" t="s">
        <v>527</v>
      </c>
      <c r="L2856" s="33" t="s">
        <v>5331</v>
      </c>
      <c r="M2856" s="33" t="s">
        <v>21</v>
      </c>
      <c r="N2856" s="33" t="s">
        <v>27654</v>
      </c>
      <c r="O2856" s="33" t="s">
        <v>372</v>
      </c>
      <c r="P2856" s="33" t="s">
        <v>30089</v>
      </c>
      <c r="Q2856" s="42" t="s">
        <v>27655</v>
      </c>
      <c r="R2856" s="33" t="s">
        <v>94</v>
      </c>
      <c r="S2856" s="33" t="s">
        <v>22</v>
      </c>
      <c r="T2856" s="36" t="s">
        <v>26781</v>
      </c>
      <c r="U2856" s="36" t="s">
        <v>26572</v>
      </c>
      <c r="V2856" s="36" t="s">
        <v>26571</v>
      </c>
      <c r="W2856" s="36" t="s">
        <v>94</v>
      </c>
      <c r="X2856" s="36">
        <v>2641</v>
      </c>
      <c r="Z2856" s="33" t="s">
        <v>42968</v>
      </c>
      <c r="AA2856" s="33">
        <v>4809</v>
      </c>
      <c r="AQ2856" s="42"/>
    </row>
    <row r="2857" spans="1:43" ht="12" customHeight="1" x14ac:dyDescent="0.15">
      <c r="A2857" s="33" t="s">
        <v>27648</v>
      </c>
      <c r="B2857" s="33">
        <v>20</v>
      </c>
      <c r="C2857" s="33" t="s">
        <v>14</v>
      </c>
      <c r="D2857" s="33" t="s">
        <v>42</v>
      </c>
      <c r="F2857" s="67">
        <v>42892</v>
      </c>
      <c r="G2857" s="33" t="s">
        <v>27649</v>
      </c>
      <c r="H2857" s="33" t="s">
        <v>205</v>
      </c>
      <c r="I2857" s="33" t="s">
        <v>39</v>
      </c>
      <c r="J2857" s="33">
        <v>90744</v>
      </c>
      <c r="K2857" s="33" t="s">
        <v>92</v>
      </c>
      <c r="L2857" s="33" t="s">
        <v>93</v>
      </c>
      <c r="M2857" s="33" t="s">
        <v>21</v>
      </c>
      <c r="N2857" s="33" t="s">
        <v>27650</v>
      </c>
      <c r="O2857" s="33" t="s">
        <v>372</v>
      </c>
      <c r="P2857" s="33" t="s">
        <v>30089</v>
      </c>
      <c r="Q2857" s="42" t="s">
        <v>27651</v>
      </c>
      <c r="R2857" s="33" t="s">
        <v>94</v>
      </c>
      <c r="S2857" s="33" t="s">
        <v>12</v>
      </c>
      <c r="T2857" s="36" t="s">
        <v>29425</v>
      </c>
      <c r="U2857" s="36" t="s">
        <v>26570</v>
      </c>
      <c r="V2857" s="36" t="s">
        <v>26573</v>
      </c>
      <c r="Z2857" s="33" t="s">
        <v>42966</v>
      </c>
      <c r="AA2857" s="33">
        <v>4810</v>
      </c>
    </row>
    <row r="2858" spans="1:43" ht="12" customHeight="1" x14ac:dyDescent="0.15">
      <c r="A2858" s="33" t="s">
        <v>27668</v>
      </c>
      <c r="B2858" s="33">
        <v>47</v>
      </c>
      <c r="C2858" s="33" t="s">
        <v>14</v>
      </c>
      <c r="D2858" s="33" t="s">
        <v>79</v>
      </c>
      <c r="E2858" s="42" t="s">
        <v>27669</v>
      </c>
      <c r="F2858" s="67">
        <v>42891</v>
      </c>
      <c r="G2858" s="33" t="s">
        <v>27670</v>
      </c>
      <c r="H2858" s="33" t="s">
        <v>196</v>
      </c>
      <c r="I2858" s="33" t="s">
        <v>56</v>
      </c>
      <c r="J2858" s="33">
        <v>33166</v>
      </c>
      <c r="K2858" s="33" t="s">
        <v>148</v>
      </c>
      <c r="L2858" s="33" t="s">
        <v>149</v>
      </c>
      <c r="M2858" s="33" t="s">
        <v>21</v>
      </c>
      <c r="N2858" s="33" t="s">
        <v>27671</v>
      </c>
      <c r="O2858" s="33" t="s">
        <v>372</v>
      </c>
      <c r="P2858" s="33" t="s">
        <v>30089</v>
      </c>
      <c r="Q2858" s="42" t="s">
        <v>27672</v>
      </c>
      <c r="R2858" s="33" t="s">
        <v>94</v>
      </c>
      <c r="S2858" s="33" t="s">
        <v>22</v>
      </c>
      <c r="T2858" s="36" t="s">
        <v>26781</v>
      </c>
      <c r="U2858" s="36" t="s">
        <v>26570</v>
      </c>
      <c r="V2858" s="36" t="s">
        <v>26573</v>
      </c>
      <c r="W2858" s="36" t="s">
        <v>94</v>
      </c>
      <c r="X2858" s="36">
        <v>2635</v>
      </c>
      <c r="Z2858" s="33" t="s">
        <v>42968</v>
      </c>
      <c r="AA2858" s="33">
        <v>4805</v>
      </c>
    </row>
    <row r="2859" spans="1:43" ht="12" customHeight="1" x14ac:dyDescent="0.15">
      <c r="A2859" s="33" t="s">
        <v>27656</v>
      </c>
      <c r="B2859" s="33">
        <v>37</v>
      </c>
      <c r="C2859" s="33" t="s">
        <v>14</v>
      </c>
      <c r="D2859" s="33" t="s">
        <v>79</v>
      </c>
      <c r="F2859" s="67">
        <v>42891</v>
      </c>
      <c r="G2859" s="33" t="s">
        <v>27657</v>
      </c>
      <c r="H2859" s="33" t="s">
        <v>27658</v>
      </c>
      <c r="I2859" s="33" t="s">
        <v>67</v>
      </c>
      <c r="J2859" s="33">
        <v>77984</v>
      </c>
      <c r="K2859" s="33" t="s">
        <v>27659</v>
      </c>
      <c r="L2859" s="33" t="s">
        <v>262</v>
      </c>
      <c r="M2859" s="33" t="s">
        <v>21</v>
      </c>
      <c r="N2859" s="33" t="s">
        <v>27660</v>
      </c>
      <c r="O2859" s="33" t="s">
        <v>372</v>
      </c>
      <c r="P2859" s="33" t="s">
        <v>30089</v>
      </c>
      <c r="Q2859" s="42" t="s">
        <v>27661</v>
      </c>
      <c r="R2859" s="33" t="s">
        <v>512</v>
      </c>
      <c r="S2859" s="33" t="s">
        <v>22</v>
      </c>
      <c r="T2859" s="36" t="s">
        <v>26781</v>
      </c>
      <c r="U2859" s="36" t="s">
        <v>26570</v>
      </c>
      <c r="V2859" s="36" t="s">
        <v>26573</v>
      </c>
      <c r="W2859" s="36" t="s">
        <v>94</v>
      </c>
      <c r="X2859" s="36">
        <v>2638</v>
      </c>
      <c r="Z2859" s="33" t="s">
        <v>42967</v>
      </c>
      <c r="AA2859" s="33">
        <v>4807</v>
      </c>
    </row>
    <row r="2860" spans="1:43" ht="12" customHeight="1" x14ac:dyDescent="0.15">
      <c r="A2860" s="33" t="s">
        <v>27677</v>
      </c>
      <c r="B2860" s="33">
        <v>29</v>
      </c>
      <c r="C2860" s="33" t="s">
        <v>14</v>
      </c>
      <c r="D2860" s="33" t="s">
        <v>128</v>
      </c>
      <c r="E2860" s="42" t="s">
        <v>27678</v>
      </c>
      <c r="F2860" s="67">
        <v>42891</v>
      </c>
      <c r="G2860" s="33" t="s">
        <v>27679</v>
      </c>
      <c r="H2860" s="33" t="s">
        <v>1522</v>
      </c>
      <c r="I2860" s="33" t="s">
        <v>432</v>
      </c>
      <c r="J2860" s="33">
        <v>68106</v>
      </c>
      <c r="K2860" s="33" t="s">
        <v>882</v>
      </c>
      <c r="L2860" s="33" t="s">
        <v>2101</v>
      </c>
      <c r="M2860" s="33" t="s">
        <v>363</v>
      </c>
      <c r="N2860" s="33" t="s">
        <v>27680</v>
      </c>
      <c r="O2860" s="33" t="s">
        <v>1083</v>
      </c>
      <c r="P2860" s="33" t="s">
        <v>1084</v>
      </c>
      <c r="Q2860" s="42" t="s">
        <v>27681</v>
      </c>
      <c r="R2860" s="33" t="s">
        <v>512</v>
      </c>
      <c r="S2860" s="33" t="s">
        <v>12</v>
      </c>
      <c r="T2860" s="36" t="s">
        <v>29705</v>
      </c>
      <c r="U2860" s="36" t="s">
        <v>26570</v>
      </c>
      <c r="V2860" s="36" t="s">
        <v>26573</v>
      </c>
      <c r="Z2860" s="33" t="s">
        <v>42966</v>
      </c>
      <c r="AA2860" s="33">
        <v>4808</v>
      </c>
    </row>
    <row r="2861" spans="1:43" ht="12" customHeight="1" x14ac:dyDescent="0.15">
      <c r="A2861" s="33" t="s">
        <v>27673</v>
      </c>
      <c r="B2861" s="33">
        <v>34</v>
      </c>
      <c r="C2861" s="33" t="s">
        <v>14</v>
      </c>
      <c r="D2861" s="33" t="s">
        <v>31</v>
      </c>
      <c r="E2861" s="42" t="s">
        <v>27674</v>
      </c>
      <c r="F2861" s="67">
        <v>42891</v>
      </c>
      <c r="G2861" s="33" t="s">
        <v>27675</v>
      </c>
      <c r="H2861" s="33" t="s">
        <v>24605</v>
      </c>
      <c r="I2861" s="33" t="s">
        <v>56</v>
      </c>
      <c r="J2861" s="33">
        <v>33898</v>
      </c>
      <c r="K2861" s="33" t="s">
        <v>1736</v>
      </c>
      <c r="L2861" s="33" t="s">
        <v>238</v>
      </c>
      <c r="M2861" s="33" t="s">
        <v>21</v>
      </c>
      <c r="N2861" s="33" t="s">
        <v>36579</v>
      </c>
      <c r="O2861" s="33" t="s">
        <v>372</v>
      </c>
      <c r="P2861" s="33" t="s">
        <v>30089</v>
      </c>
      <c r="Q2861" s="42" t="s">
        <v>27676</v>
      </c>
      <c r="R2861" s="33" t="s">
        <v>94</v>
      </c>
      <c r="S2861" s="33" t="s">
        <v>22</v>
      </c>
      <c r="T2861" s="36" t="s">
        <v>26781</v>
      </c>
      <c r="U2861" s="36" t="s">
        <v>26572</v>
      </c>
      <c r="V2861" s="36" t="s">
        <v>19228</v>
      </c>
      <c r="W2861" s="36" t="s">
        <v>94</v>
      </c>
      <c r="X2861" s="36">
        <v>2637</v>
      </c>
      <c r="Z2861" s="33" t="s">
        <v>42967</v>
      </c>
      <c r="AA2861" s="33">
        <v>4806</v>
      </c>
    </row>
    <row r="2862" spans="1:43" ht="12" customHeight="1" x14ac:dyDescent="0.15">
      <c r="A2862" s="33" t="s">
        <v>27662</v>
      </c>
      <c r="B2862" s="33">
        <v>45</v>
      </c>
      <c r="C2862" s="33" t="s">
        <v>14</v>
      </c>
      <c r="D2862" s="33" t="s">
        <v>31</v>
      </c>
      <c r="E2862" s="42" t="s">
        <v>27663</v>
      </c>
      <c r="F2862" s="67">
        <v>42891</v>
      </c>
      <c r="G2862" s="33" t="s">
        <v>27664</v>
      </c>
      <c r="H2862" s="33" t="s">
        <v>27665</v>
      </c>
      <c r="I2862" s="33" t="s">
        <v>294</v>
      </c>
      <c r="J2862" s="33">
        <v>40004</v>
      </c>
      <c r="K2862" s="33" t="s">
        <v>14608</v>
      </c>
      <c r="L2862" s="33" t="s">
        <v>18258</v>
      </c>
      <c r="M2862" s="33" t="s">
        <v>21</v>
      </c>
      <c r="N2862" s="33" t="s">
        <v>27666</v>
      </c>
      <c r="O2862" s="33" t="s">
        <v>372</v>
      </c>
      <c r="P2862" s="33" t="s">
        <v>30089</v>
      </c>
      <c r="Q2862" s="42" t="s">
        <v>27667</v>
      </c>
      <c r="R2862" s="33" t="s">
        <v>94</v>
      </c>
      <c r="S2862" s="33" t="s">
        <v>22</v>
      </c>
      <c r="T2862" s="36" t="s">
        <v>26781</v>
      </c>
      <c r="U2862" s="36" t="s">
        <v>26572</v>
      </c>
      <c r="V2862" s="36" t="s">
        <v>26571</v>
      </c>
      <c r="W2862" s="36" t="s">
        <v>94</v>
      </c>
      <c r="X2862" s="36">
        <v>2632</v>
      </c>
      <c r="Z2862" s="33" t="s">
        <v>42967</v>
      </c>
      <c r="AA2862" s="33">
        <v>4804</v>
      </c>
    </row>
    <row r="2863" spans="1:43" ht="12" customHeight="1" x14ac:dyDescent="0.15">
      <c r="A2863" s="33" t="s">
        <v>27683</v>
      </c>
      <c r="B2863" s="33">
        <v>27</v>
      </c>
      <c r="C2863" s="33" t="s">
        <v>14</v>
      </c>
      <c r="D2863" s="33" t="s">
        <v>31</v>
      </c>
      <c r="F2863" s="67">
        <v>42890</v>
      </c>
      <c r="G2863" s="33" t="s">
        <v>27684</v>
      </c>
      <c r="H2863" s="33" t="s">
        <v>27685</v>
      </c>
      <c r="I2863" s="33" t="s">
        <v>56</v>
      </c>
      <c r="J2863" s="33">
        <v>32011</v>
      </c>
      <c r="K2863" s="33" t="s">
        <v>5127</v>
      </c>
      <c r="L2863" s="33" t="s">
        <v>5128</v>
      </c>
      <c r="M2863" s="33" t="s">
        <v>21</v>
      </c>
      <c r="N2863" s="33" t="s">
        <v>27686</v>
      </c>
      <c r="O2863" s="33" t="s">
        <v>372</v>
      </c>
      <c r="P2863" s="33" t="s">
        <v>30089</v>
      </c>
      <c r="Q2863" s="42" t="s">
        <v>27687</v>
      </c>
      <c r="R2863" s="33" t="s">
        <v>94</v>
      </c>
      <c r="S2863" s="33" t="s">
        <v>22</v>
      </c>
      <c r="T2863" s="36" t="s">
        <v>26781</v>
      </c>
      <c r="U2863" s="36" t="s">
        <v>26572</v>
      </c>
      <c r="V2863" s="36" t="s">
        <v>26573</v>
      </c>
      <c r="W2863" s="36" t="s">
        <v>94</v>
      </c>
      <c r="X2863" s="36">
        <v>2622</v>
      </c>
      <c r="Z2863" s="33" t="s">
        <v>42967</v>
      </c>
      <c r="AA2863" s="33">
        <v>4801</v>
      </c>
    </row>
    <row r="2864" spans="1:43" ht="12" customHeight="1" x14ac:dyDescent="0.15">
      <c r="A2864" s="33" t="s">
        <v>3002</v>
      </c>
      <c r="B2864" s="33" t="s">
        <v>23</v>
      </c>
      <c r="C2864" s="33" t="s">
        <v>14</v>
      </c>
      <c r="D2864" s="33" t="s">
        <v>30751</v>
      </c>
      <c r="F2864" s="67">
        <v>42890</v>
      </c>
      <c r="G2864" s="33" t="s">
        <v>27692</v>
      </c>
      <c r="H2864" s="33" t="s">
        <v>415</v>
      </c>
      <c r="I2864" s="33" t="s">
        <v>51</v>
      </c>
      <c r="J2864" s="33">
        <v>48207</v>
      </c>
      <c r="K2864" s="33" t="s">
        <v>1057</v>
      </c>
      <c r="L2864" s="33" t="s">
        <v>2030</v>
      </c>
      <c r="M2864" s="33" t="s">
        <v>21</v>
      </c>
      <c r="N2864" s="33" t="s">
        <v>27693</v>
      </c>
      <c r="O2864" s="33" t="s">
        <v>372</v>
      </c>
      <c r="P2864" s="33" t="s">
        <v>30089</v>
      </c>
      <c r="Q2864" s="42" t="s">
        <v>27694</v>
      </c>
      <c r="R2864" s="33" t="s">
        <v>94</v>
      </c>
      <c r="S2864" s="33" t="s">
        <v>22</v>
      </c>
      <c r="T2864" s="36" t="s">
        <v>26781</v>
      </c>
      <c r="U2864" s="36" t="s">
        <v>26572</v>
      </c>
      <c r="V2864" s="36" t="s">
        <v>26573</v>
      </c>
      <c r="Y2864" s="33" t="s">
        <v>42476</v>
      </c>
      <c r="Z2864" s="33" t="s">
        <v>42966</v>
      </c>
      <c r="AA2864" s="33">
        <v>4803</v>
      </c>
    </row>
    <row r="2865" spans="1:46" ht="12" customHeight="1" x14ac:dyDescent="0.15">
      <c r="A2865" s="33" t="s">
        <v>27688</v>
      </c>
      <c r="B2865" s="33">
        <v>66</v>
      </c>
      <c r="C2865" s="33" t="s">
        <v>14</v>
      </c>
      <c r="D2865" s="33" t="s">
        <v>31</v>
      </c>
      <c r="F2865" s="67">
        <v>42890</v>
      </c>
      <c r="G2865" s="33" t="s">
        <v>27689</v>
      </c>
      <c r="H2865" s="33" t="s">
        <v>27690</v>
      </c>
      <c r="I2865" s="33" t="s">
        <v>39</v>
      </c>
      <c r="J2865" s="33">
        <v>91906</v>
      </c>
      <c r="K2865" s="33" t="s">
        <v>143</v>
      </c>
      <c r="L2865" s="33" t="s">
        <v>1970</v>
      </c>
      <c r="M2865" s="33" t="s">
        <v>21</v>
      </c>
      <c r="N2865" s="33" t="s">
        <v>36580</v>
      </c>
      <c r="O2865" s="33" t="s">
        <v>372</v>
      </c>
      <c r="P2865" s="33" t="s">
        <v>30089</v>
      </c>
      <c r="Q2865" s="42" t="s">
        <v>27691</v>
      </c>
      <c r="R2865" s="33" t="s">
        <v>512</v>
      </c>
      <c r="S2865" s="33" t="s">
        <v>22</v>
      </c>
      <c r="T2865" s="36" t="s">
        <v>26781</v>
      </c>
      <c r="U2865" s="36" t="s">
        <v>26572</v>
      </c>
      <c r="V2865" s="36" t="s">
        <v>26573</v>
      </c>
      <c r="W2865" s="36" t="s">
        <v>94</v>
      </c>
      <c r="X2865" s="36">
        <v>2636</v>
      </c>
      <c r="Z2865" s="33" t="s">
        <v>42967</v>
      </c>
      <c r="AA2865" s="33">
        <v>4802</v>
      </c>
      <c r="AQ2865" s="42"/>
    </row>
    <row r="2866" spans="1:46" ht="12" customHeight="1" x14ac:dyDescent="0.15">
      <c r="A2866" s="33" t="s">
        <v>27695</v>
      </c>
      <c r="B2866" s="33">
        <v>44</v>
      </c>
      <c r="C2866" s="33" t="s">
        <v>14</v>
      </c>
      <c r="D2866" s="33" t="s">
        <v>31</v>
      </c>
      <c r="F2866" s="67">
        <v>42889</v>
      </c>
      <c r="G2866" s="33" t="s">
        <v>27696</v>
      </c>
      <c r="H2866" s="33" t="s">
        <v>6010</v>
      </c>
      <c r="I2866" s="33" t="s">
        <v>112</v>
      </c>
      <c r="J2866" s="33">
        <v>85392</v>
      </c>
      <c r="K2866" s="33" t="s">
        <v>585</v>
      </c>
      <c r="L2866" s="33" t="s">
        <v>6012</v>
      </c>
      <c r="M2866" s="33" t="s">
        <v>21</v>
      </c>
      <c r="N2866" s="33" t="s">
        <v>27697</v>
      </c>
      <c r="O2866" s="33" t="s">
        <v>372</v>
      </c>
      <c r="P2866" s="33" t="s">
        <v>30089</v>
      </c>
      <c r="Q2866" s="42" t="s">
        <v>27698</v>
      </c>
      <c r="R2866" s="33" t="s">
        <v>94</v>
      </c>
      <c r="S2866" s="33" t="s">
        <v>22</v>
      </c>
      <c r="T2866" s="36" t="s">
        <v>26781</v>
      </c>
      <c r="U2866" s="36" t="s">
        <v>26572</v>
      </c>
      <c r="V2866" s="36" t="s">
        <v>26573</v>
      </c>
      <c r="W2866" s="36" t="s">
        <v>94</v>
      </c>
      <c r="X2866" s="36">
        <v>2625</v>
      </c>
      <c r="Z2866" s="33" t="s">
        <v>42968</v>
      </c>
      <c r="AA2866" s="33">
        <v>4800</v>
      </c>
      <c r="AT2866" s="42"/>
    </row>
    <row r="2867" spans="1:46" ht="12" customHeight="1" x14ac:dyDescent="0.15">
      <c r="A2867" s="33" t="s">
        <v>27705</v>
      </c>
      <c r="B2867" s="33">
        <v>51</v>
      </c>
      <c r="C2867" s="33" t="s">
        <v>14</v>
      </c>
      <c r="D2867" s="33" t="s">
        <v>31</v>
      </c>
      <c r="F2867" s="67">
        <v>42888</v>
      </c>
      <c r="G2867" s="33" t="s">
        <v>27706</v>
      </c>
      <c r="H2867" s="33" t="s">
        <v>10611</v>
      </c>
      <c r="I2867" s="33" t="s">
        <v>56</v>
      </c>
      <c r="J2867" s="33">
        <v>32034</v>
      </c>
      <c r="K2867" s="33" t="s">
        <v>5127</v>
      </c>
      <c r="L2867" s="33" t="s">
        <v>5128</v>
      </c>
      <c r="M2867" s="33" t="s">
        <v>21</v>
      </c>
      <c r="N2867" s="33" t="s">
        <v>27707</v>
      </c>
      <c r="O2867" s="33" t="s">
        <v>372</v>
      </c>
      <c r="P2867" s="33" t="s">
        <v>30089</v>
      </c>
      <c r="Q2867" s="42" t="s">
        <v>27708</v>
      </c>
      <c r="R2867" s="33" t="s">
        <v>94</v>
      </c>
      <c r="S2867" s="33" t="s">
        <v>351</v>
      </c>
      <c r="T2867" s="36" t="s">
        <v>26867</v>
      </c>
      <c r="U2867" s="36" t="s">
        <v>26572</v>
      </c>
      <c r="V2867" s="36" t="s">
        <v>26571</v>
      </c>
      <c r="W2867" s="36" t="s">
        <v>94</v>
      </c>
      <c r="X2867" s="36">
        <v>2623</v>
      </c>
      <c r="Z2867" s="33" t="s">
        <v>42968</v>
      </c>
      <c r="AA2867" s="33">
        <v>4799</v>
      </c>
    </row>
    <row r="2868" spans="1:46" ht="12" customHeight="1" x14ac:dyDescent="0.15">
      <c r="A2868" s="33" t="s">
        <v>27722</v>
      </c>
      <c r="B2868" s="33">
        <v>17</v>
      </c>
      <c r="C2868" s="33" t="s">
        <v>14</v>
      </c>
      <c r="D2868" s="33" t="s">
        <v>79</v>
      </c>
      <c r="F2868" s="67">
        <v>42888</v>
      </c>
      <c r="G2868" s="33" t="s">
        <v>27723</v>
      </c>
      <c r="H2868" s="33" t="s">
        <v>81</v>
      </c>
      <c r="I2868" s="33" t="s">
        <v>38</v>
      </c>
      <c r="J2868" s="33">
        <v>60637</v>
      </c>
      <c r="K2868" s="33" t="s">
        <v>82</v>
      </c>
      <c r="L2868" s="33" t="s">
        <v>83</v>
      </c>
      <c r="M2868" s="33" t="s">
        <v>21</v>
      </c>
      <c r="N2868" s="33" t="s">
        <v>27724</v>
      </c>
      <c r="O2868" s="33" t="s">
        <v>372</v>
      </c>
      <c r="P2868" s="33" t="s">
        <v>30089</v>
      </c>
      <c r="Q2868" s="42" t="s">
        <v>27725</v>
      </c>
      <c r="R2868" s="33" t="s">
        <v>94</v>
      </c>
      <c r="S2868" s="33" t="s">
        <v>22</v>
      </c>
      <c r="T2868" s="36" t="s">
        <v>26781</v>
      </c>
      <c r="U2868" s="36" t="s">
        <v>26572</v>
      </c>
      <c r="V2868" s="36" t="s">
        <v>26573</v>
      </c>
      <c r="W2868" s="36" t="s">
        <v>94</v>
      </c>
      <c r="X2868" s="36">
        <v>2628</v>
      </c>
      <c r="Z2868" s="33" t="s">
        <v>42966</v>
      </c>
      <c r="AA2868" s="33">
        <v>4795</v>
      </c>
    </row>
    <row r="2869" spans="1:46" ht="12" customHeight="1" x14ac:dyDescent="0.15">
      <c r="A2869" s="33" t="s">
        <v>27709</v>
      </c>
      <c r="B2869" s="33">
        <v>34</v>
      </c>
      <c r="C2869" s="33" t="s">
        <v>14</v>
      </c>
      <c r="D2869" s="33" t="s">
        <v>79</v>
      </c>
      <c r="F2869" s="67">
        <v>42888</v>
      </c>
      <c r="G2869" s="33" t="s">
        <v>27710</v>
      </c>
      <c r="H2869" s="33" t="s">
        <v>27711</v>
      </c>
      <c r="I2869" s="33" t="s">
        <v>621</v>
      </c>
      <c r="J2869" s="33">
        <v>39465</v>
      </c>
      <c r="K2869" s="33" t="s">
        <v>25000</v>
      </c>
      <c r="L2869" s="33" t="s">
        <v>27712</v>
      </c>
      <c r="M2869" s="33" t="s">
        <v>21</v>
      </c>
      <c r="N2869" s="33" t="s">
        <v>27713</v>
      </c>
      <c r="O2869" s="33" t="s">
        <v>372</v>
      </c>
      <c r="P2869" s="33" t="s">
        <v>30089</v>
      </c>
      <c r="Q2869" s="42" t="s">
        <v>27714</v>
      </c>
      <c r="R2869" s="33" t="s">
        <v>94</v>
      </c>
      <c r="S2869" s="33" t="s">
        <v>12</v>
      </c>
      <c r="T2869" s="36" t="s">
        <v>29705</v>
      </c>
      <c r="U2869" s="36" t="s">
        <v>26572</v>
      </c>
      <c r="V2869" s="36" t="s">
        <v>26573</v>
      </c>
      <c r="W2869" s="36" t="s">
        <v>94</v>
      </c>
      <c r="X2869" s="36">
        <v>2626</v>
      </c>
      <c r="Z2869" s="33" t="s">
        <v>42967</v>
      </c>
      <c r="AA2869" s="33">
        <v>4798</v>
      </c>
    </row>
    <row r="2870" spans="1:46" ht="12" customHeight="1" x14ac:dyDescent="0.15">
      <c r="A2870" s="33" t="s">
        <v>27726</v>
      </c>
      <c r="B2870" s="33">
        <v>55</v>
      </c>
      <c r="C2870" s="33" t="s">
        <v>14</v>
      </c>
      <c r="D2870" s="33" t="s">
        <v>42</v>
      </c>
      <c r="E2870" s="42" t="s">
        <v>27727</v>
      </c>
      <c r="F2870" s="67">
        <v>42888</v>
      </c>
      <c r="G2870" s="33" t="s">
        <v>27728</v>
      </c>
      <c r="H2870" s="33" t="s">
        <v>3942</v>
      </c>
      <c r="I2870" s="33" t="s">
        <v>67</v>
      </c>
      <c r="J2870" s="33">
        <v>78041</v>
      </c>
      <c r="K2870" s="33" t="s">
        <v>3944</v>
      </c>
      <c r="L2870" s="33" t="s">
        <v>3945</v>
      </c>
      <c r="M2870" s="33" t="s">
        <v>21</v>
      </c>
      <c r="N2870" s="33" t="s">
        <v>27729</v>
      </c>
      <c r="O2870" s="33" t="s">
        <v>372</v>
      </c>
      <c r="P2870" s="33" t="s">
        <v>30089</v>
      </c>
      <c r="Q2870" s="42" t="s">
        <v>27730</v>
      </c>
      <c r="R2870" s="33" t="s">
        <v>94</v>
      </c>
      <c r="S2870" s="33" t="s">
        <v>22</v>
      </c>
      <c r="T2870" s="36" t="s">
        <v>26781</v>
      </c>
      <c r="U2870" s="36" t="s">
        <v>26572</v>
      </c>
      <c r="V2870" s="36" t="s">
        <v>26573</v>
      </c>
      <c r="W2870" s="36" t="s">
        <v>94</v>
      </c>
      <c r="X2870" s="36">
        <v>2634</v>
      </c>
      <c r="Z2870" s="33" t="s">
        <v>42966</v>
      </c>
      <c r="AA2870" s="33">
        <v>4796</v>
      </c>
    </row>
    <row r="2871" spans="1:46" ht="12" customHeight="1" x14ac:dyDescent="0.15">
      <c r="A2871" s="33" t="s">
        <v>27715</v>
      </c>
      <c r="B2871" s="33">
        <v>18</v>
      </c>
      <c r="C2871" s="33" t="s">
        <v>14</v>
      </c>
      <c r="D2871" s="33" t="s">
        <v>15</v>
      </c>
      <c r="F2871" s="67">
        <v>42888</v>
      </c>
      <c r="G2871" s="33" t="s">
        <v>27716</v>
      </c>
      <c r="H2871" s="33" t="s">
        <v>2307</v>
      </c>
      <c r="I2871" s="33" t="s">
        <v>367</v>
      </c>
      <c r="J2871" s="33">
        <v>74128</v>
      </c>
      <c r="K2871" s="33" t="s">
        <v>2307</v>
      </c>
      <c r="L2871" s="33" t="s">
        <v>3108</v>
      </c>
      <c r="M2871" s="33" t="s">
        <v>21</v>
      </c>
      <c r="N2871" s="33" t="s">
        <v>27717</v>
      </c>
      <c r="O2871" s="33" t="s">
        <v>372</v>
      </c>
      <c r="P2871" s="33" t="s">
        <v>30089</v>
      </c>
      <c r="Q2871" s="42" t="s">
        <v>27718</v>
      </c>
      <c r="R2871" s="33" t="s">
        <v>94</v>
      </c>
      <c r="S2871" s="33" t="s">
        <v>22</v>
      </c>
      <c r="T2871" s="36" t="s">
        <v>26781</v>
      </c>
      <c r="U2871" s="36" t="s">
        <v>26572</v>
      </c>
      <c r="V2871" s="36" t="s">
        <v>26574</v>
      </c>
      <c r="W2871" s="36" t="s">
        <v>94</v>
      </c>
      <c r="X2871" s="36">
        <v>2627</v>
      </c>
      <c r="Z2871" s="33" t="s">
        <v>42968</v>
      </c>
      <c r="AA2871" s="33">
        <v>4794</v>
      </c>
    </row>
    <row r="2872" spans="1:46" ht="12" customHeight="1" x14ac:dyDescent="0.15">
      <c r="A2872" s="33" t="s">
        <v>27699</v>
      </c>
      <c r="B2872" s="33">
        <v>29</v>
      </c>
      <c r="C2872" s="33" t="s">
        <v>14</v>
      </c>
      <c r="D2872" s="33" t="s">
        <v>79</v>
      </c>
      <c r="F2872" s="67">
        <v>42888</v>
      </c>
      <c r="G2872" s="33" t="s">
        <v>27700</v>
      </c>
      <c r="H2872" s="33" t="s">
        <v>27701</v>
      </c>
      <c r="I2872" s="33" t="s">
        <v>88</v>
      </c>
      <c r="J2872" s="33">
        <v>36310</v>
      </c>
      <c r="K2872" s="33" t="s">
        <v>7624</v>
      </c>
      <c r="L2872" s="33" t="s">
        <v>27702</v>
      </c>
      <c r="M2872" s="33" t="s">
        <v>21</v>
      </c>
      <c r="N2872" s="33" t="s">
        <v>27703</v>
      </c>
      <c r="O2872" s="33" t="s">
        <v>372</v>
      </c>
      <c r="P2872" s="33" t="s">
        <v>30089</v>
      </c>
      <c r="Q2872" s="42" t="s">
        <v>27704</v>
      </c>
      <c r="R2872" s="33" t="s">
        <v>94</v>
      </c>
      <c r="S2872" s="33" t="s">
        <v>22</v>
      </c>
      <c r="T2872" s="36" t="s">
        <v>26781</v>
      </c>
      <c r="U2872" s="36" t="s">
        <v>26572</v>
      </c>
      <c r="V2872" s="36" t="s">
        <v>26573</v>
      </c>
      <c r="W2872" s="36" t="s">
        <v>94</v>
      </c>
      <c r="X2872" s="36">
        <v>2624</v>
      </c>
      <c r="Z2872" s="33" t="s">
        <v>42967</v>
      </c>
      <c r="AA2872" s="33">
        <v>4793</v>
      </c>
    </row>
    <row r="2873" spans="1:46" ht="12" customHeight="1" x14ac:dyDescent="0.15">
      <c r="A2873" s="33" t="s">
        <v>27719</v>
      </c>
      <c r="B2873" s="33">
        <v>45</v>
      </c>
      <c r="C2873" s="33" t="s">
        <v>14</v>
      </c>
      <c r="D2873" s="33" t="s">
        <v>42</v>
      </c>
      <c r="F2873" s="67">
        <v>42888</v>
      </c>
      <c r="G2873" s="33" t="s">
        <v>27720</v>
      </c>
      <c r="H2873" s="33" t="s">
        <v>866</v>
      </c>
      <c r="I2873" s="33" t="s">
        <v>178</v>
      </c>
      <c r="J2873" s="33">
        <v>87114</v>
      </c>
      <c r="K2873" s="33" t="s">
        <v>433</v>
      </c>
      <c r="L2873" s="33" t="s">
        <v>4562</v>
      </c>
      <c r="M2873" s="33" t="s">
        <v>363</v>
      </c>
      <c r="N2873" s="33" t="s">
        <v>27802</v>
      </c>
      <c r="O2873" s="33" t="s">
        <v>372</v>
      </c>
      <c r="P2873" s="33" t="s">
        <v>30089</v>
      </c>
      <c r="Q2873" s="42" t="s">
        <v>27721</v>
      </c>
      <c r="R2873" s="33" t="s">
        <v>94</v>
      </c>
      <c r="S2873" s="33" t="s">
        <v>29</v>
      </c>
      <c r="T2873" s="36" t="s">
        <v>26586</v>
      </c>
      <c r="U2873" s="36" t="s">
        <v>26570</v>
      </c>
      <c r="V2873" s="36" t="s">
        <v>26574</v>
      </c>
      <c r="Z2873" s="33" t="s">
        <v>42968</v>
      </c>
      <c r="AA2873" s="33">
        <v>4797</v>
      </c>
    </row>
    <row r="2874" spans="1:46" ht="12" customHeight="1" x14ac:dyDescent="0.15">
      <c r="A2874" s="33" t="s">
        <v>27731</v>
      </c>
      <c r="B2874" s="33">
        <v>27</v>
      </c>
      <c r="C2874" s="33" t="s">
        <v>14</v>
      </c>
      <c r="D2874" s="33" t="s">
        <v>42</v>
      </c>
      <c r="E2874" s="42" t="s">
        <v>27732</v>
      </c>
      <c r="F2874" s="67">
        <v>42887</v>
      </c>
      <c r="G2874" s="33" t="s">
        <v>27733</v>
      </c>
      <c r="H2874" s="33" t="s">
        <v>607</v>
      </c>
      <c r="I2874" s="33" t="s">
        <v>250</v>
      </c>
      <c r="J2874" s="33">
        <v>89156</v>
      </c>
      <c r="K2874" s="33" t="s">
        <v>527</v>
      </c>
      <c r="L2874" s="33" t="s">
        <v>528</v>
      </c>
      <c r="M2874" s="33" t="s">
        <v>21</v>
      </c>
      <c r="N2874" s="33" t="s">
        <v>36581</v>
      </c>
      <c r="O2874" s="33" t="s">
        <v>372</v>
      </c>
      <c r="P2874" s="33" t="s">
        <v>30089</v>
      </c>
      <c r="Q2874" s="42" t="s">
        <v>27734</v>
      </c>
      <c r="R2874" s="33" t="s">
        <v>512</v>
      </c>
      <c r="S2874" s="33" t="s">
        <v>22</v>
      </c>
      <c r="T2874" s="36" t="s">
        <v>26781</v>
      </c>
      <c r="U2874" s="36" t="s">
        <v>26572</v>
      </c>
      <c r="V2874" s="36" t="s">
        <v>26573</v>
      </c>
      <c r="W2874" s="36" t="s">
        <v>94</v>
      </c>
      <c r="X2874" s="36">
        <v>2633</v>
      </c>
      <c r="Z2874" s="33" t="s">
        <v>42968</v>
      </c>
      <c r="AA2874" s="33">
        <v>4792</v>
      </c>
      <c r="AQ2874" s="42"/>
    </row>
    <row r="2875" spans="1:46" ht="12" customHeight="1" x14ac:dyDescent="0.15">
      <c r="A2875" s="33" t="s">
        <v>27741</v>
      </c>
      <c r="B2875" s="33">
        <v>24</v>
      </c>
      <c r="C2875" s="33" t="s">
        <v>14</v>
      </c>
      <c r="D2875" s="33" t="s">
        <v>31</v>
      </c>
      <c r="E2875" s="42" t="s">
        <v>27742</v>
      </c>
      <c r="F2875" s="67">
        <v>42886</v>
      </c>
      <c r="G2875" s="33" t="s">
        <v>27743</v>
      </c>
      <c r="H2875" s="33" t="s">
        <v>21406</v>
      </c>
      <c r="I2875" s="33" t="s">
        <v>39</v>
      </c>
      <c r="J2875" s="33">
        <v>92344</v>
      </c>
      <c r="K2875" s="33" t="s">
        <v>288</v>
      </c>
      <c r="L2875" s="33" t="s">
        <v>27744</v>
      </c>
      <c r="M2875" s="33" t="s">
        <v>21</v>
      </c>
      <c r="N2875" s="33" t="s">
        <v>27745</v>
      </c>
      <c r="O2875" s="33" t="s">
        <v>372</v>
      </c>
      <c r="P2875" s="33" t="s">
        <v>30089</v>
      </c>
      <c r="Q2875" s="42" t="s">
        <v>27746</v>
      </c>
      <c r="R2875" s="33" t="s">
        <v>94</v>
      </c>
      <c r="S2875" s="33" t="s">
        <v>351</v>
      </c>
      <c r="T2875" s="36" t="s">
        <v>26867</v>
      </c>
      <c r="U2875" s="36" t="s">
        <v>26572</v>
      </c>
      <c r="V2875" s="36" t="s">
        <v>26573</v>
      </c>
      <c r="W2875" s="36" t="s">
        <v>94</v>
      </c>
      <c r="X2875" s="36">
        <v>2620</v>
      </c>
      <c r="Z2875" s="33" t="s">
        <v>42968</v>
      </c>
      <c r="AA2875" s="33">
        <v>4791</v>
      </c>
      <c r="AQ2875" s="42"/>
    </row>
    <row r="2876" spans="1:46" ht="12" customHeight="1" x14ac:dyDescent="0.15">
      <c r="A2876" s="33" t="s">
        <v>27735</v>
      </c>
      <c r="B2876" s="33">
        <v>17</v>
      </c>
      <c r="C2876" s="33" t="s">
        <v>14</v>
      </c>
      <c r="D2876" s="33" t="s">
        <v>31</v>
      </c>
      <c r="E2876" s="42" t="s">
        <v>27736</v>
      </c>
      <c r="F2876" s="67">
        <v>42886</v>
      </c>
      <c r="G2876" s="33" t="s">
        <v>27737</v>
      </c>
      <c r="H2876" s="33" t="s">
        <v>27738</v>
      </c>
      <c r="I2876" s="33" t="s">
        <v>192</v>
      </c>
      <c r="J2876" s="33">
        <v>80112</v>
      </c>
      <c r="K2876" s="33" t="s">
        <v>3510</v>
      </c>
      <c r="L2876" s="33" t="s">
        <v>1791</v>
      </c>
      <c r="M2876" s="33" t="s">
        <v>21</v>
      </c>
      <c r="N2876" s="33" t="s">
        <v>27739</v>
      </c>
      <c r="O2876" s="33" t="s">
        <v>372</v>
      </c>
      <c r="P2876" s="33" t="s">
        <v>94</v>
      </c>
      <c r="Q2876" s="42" t="s">
        <v>27740</v>
      </c>
      <c r="R2876" s="33" t="s">
        <v>94</v>
      </c>
      <c r="S2876" s="33" t="s">
        <v>22</v>
      </c>
      <c r="T2876" s="36" t="s">
        <v>26781</v>
      </c>
      <c r="U2876" s="36" t="s">
        <v>26570</v>
      </c>
      <c r="V2876" s="36" t="s">
        <v>19228</v>
      </c>
      <c r="W2876" s="36" t="s">
        <v>94</v>
      </c>
      <c r="X2876" s="36">
        <v>2621</v>
      </c>
      <c r="Z2876" s="33" t="s">
        <v>42968</v>
      </c>
      <c r="AA2876" s="33">
        <v>4790</v>
      </c>
      <c r="AQ2876" s="42"/>
    </row>
    <row r="2877" spans="1:46" ht="12" customHeight="1" x14ac:dyDescent="0.15">
      <c r="A2877" s="33" t="s">
        <v>27320</v>
      </c>
      <c r="B2877" s="33">
        <v>37</v>
      </c>
      <c r="C2877" s="33" t="s">
        <v>14</v>
      </c>
      <c r="D2877" s="33" t="s">
        <v>31</v>
      </c>
      <c r="F2877" s="67">
        <v>42884</v>
      </c>
      <c r="G2877" s="33" t="s">
        <v>27321</v>
      </c>
      <c r="H2877" s="33" t="s">
        <v>27322</v>
      </c>
      <c r="I2877" s="33" t="s">
        <v>4034</v>
      </c>
      <c r="J2877" s="33">
        <v>4046</v>
      </c>
      <c r="K2877" s="33" t="s">
        <v>1499</v>
      </c>
      <c r="L2877" s="33" t="s">
        <v>10417</v>
      </c>
      <c r="M2877" s="33" t="s">
        <v>21</v>
      </c>
      <c r="N2877" s="33" t="s">
        <v>27323</v>
      </c>
      <c r="O2877" s="33" t="s">
        <v>372</v>
      </c>
      <c r="P2877" s="33" t="s">
        <v>30089</v>
      </c>
      <c r="Q2877" s="42" t="s">
        <v>27324</v>
      </c>
      <c r="R2877" s="33" t="s">
        <v>94</v>
      </c>
      <c r="S2877" s="33" t="s">
        <v>22</v>
      </c>
      <c r="T2877" s="36" t="s">
        <v>26781</v>
      </c>
      <c r="U2877" s="36" t="s">
        <v>26570</v>
      </c>
      <c r="V2877" s="36" t="s">
        <v>26573</v>
      </c>
      <c r="W2877" s="36" t="s">
        <v>94</v>
      </c>
      <c r="X2877" s="36">
        <v>2607</v>
      </c>
      <c r="Z2877" s="33" t="s">
        <v>42967</v>
      </c>
      <c r="AA2877" s="33">
        <v>4786</v>
      </c>
    </row>
    <row r="2878" spans="1:46" ht="12" customHeight="1" x14ac:dyDescent="0.15">
      <c r="A2878" s="33" t="s">
        <v>27546</v>
      </c>
      <c r="B2878" s="33">
        <v>20</v>
      </c>
      <c r="C2878" s="33" t="s">
        <v>14</v>
      </c>
      <c r="D2878" s="33" t="s">
        <v>42</v>
      </c>
      <c r="F2878" s="67">
        <v>42884</v>
      </c>
      <c r="G2878" s="33" t="s">
        <v>27325</v>
      </c>
      <c r="H2878" s="33" t="s">
        <v>13845</v>
      </c>
      <c r="I2878" s="33" t="s">
        <v>39</v>
      </c>
      <c r="J2878" s="33">
        <v>95687</v>
      </c>
      <c r="K2878" s="33" t="s">
        <v>3145</v>
      </c>
      <c r="L2878" s="33" t="s">
        <v>13847</v>
      </c>
      <c r="M2878" s="33" t="s">
        <v>21</v>
      </c>
      <c r="N2878" s="33" t="s">
        <v>27326</v>
      </c>
      <c r="O2878" s="33" t="s">
        <v>372</v>
      </c>
      <c r="P2878" s="33" t="s">
        <v>30089</v>
      </c>
      <c r="Q2878" s="42" t="s">
        <v>27327</v>
      </c>
      <c r="R2878" s="33" t="s">
        <v>94</v>
      </c>
      <c r="S2878" s="33" t="s">
        <v>351</v>
      </c>
      <c r="T2878" s="36" t="s">
        <v>26867</v>
      </c>
      <c r="U2878" s="36" t="s">
        <v>26572</v>
      </c>
      <c r="V2878" s="36" t="s">
        <v>26571</v>
      </c>
      <c r="W2878" s="36" t="s">
        <v>512</v>
      </c>
      <c r="X2878" s="36">
        <v>2609</v>
      </c>
      <c r="Z2878" s="33" t="s">
        <v>42968</v>
      </c>
      <c r="AA2878" s="33">
        <v>4788</v>
      </c>
    </row>
    <row r="2879" spans="1:46" ht="12" customHeight="1" x14ac:dyDescent="0.15">
      <c r="A2879" s="33" t="s">
        <v>27747</v>
      </c>
      <c r="B2879" s="33">
        <v>63</v>
      </c>
      <c r="C2879" s="33" t="s">
        <v>14</v>
      </c>
      <c r="D2879" s="33" t="s">
        <v>30751</v>
      </c>
      <c r="F2879" s="67">
        <v>42884</v>
      </c>
      <c r="G2879" s="33" t="s">
        <v>27748</v>
      </c>
      <c r="H2879" s="33" t="s">
        <v>27749</v>
      </c>
      <c r="I2879" s="33" t="s">
        <v>139</v>
      </c>
      <c r="J2879" s="33">
        <v>25420</v>
      </c>
      <c r="K2879" s="33" t="s">
        <v>4889</v>
      </c>
      <c r="L2879" s="33" t="s">
        <v>17498</v>
      </c>
      <c r="M2879" s="33" t="s">
        <v>21</v>
      </c>
      <c r="N2879" s="33" t="s">
        <v>27750</v>
      </c>
      <c r="O2879" s="33" t="s">
        <v>372</v>
      </c>
      <c r="P2879" s="33" t="s">
        <v>30089</v>
      </c>
      <c r="Q2879" s="42" t="s">
        <v>27751</v>
      </c>
      <c r="R2879" s="33" t="s">
        <v>512</v>
      </c>
      <c r="S2879" s="33" t="s">
        <v>22</v>
      </c>
      <c r="T2879" s="36" t="s">
        <v>26781</v>
      </c>
      <c r="U2879" s="36" t="s">
        <v>26572</v>
      </c>
      <c r="V2879" s="36" t="s">
        <v>26573</v>
      </c>
      <c r="W2879" s="36" t="s">
        <v>94</v>
      </c>
      <c r="X2879" s="36">
        <v>2619</v>
      </c>
      <c r="Z2879" s="33" t="s">
        <v>42967</v>
      </c>
      <c r="AA2879" s="33">
        <v>4787</v>
      </c>
    </row>
    <row r="2880" spans="1:46" ht="12" customHeight="1" x14ac:dyDescent="0.15">
      <c r="A2880" s="33" t="s">
        <v>27334</v>
      </c>
      <c r="B2880" s="33">
        <v>31</v>
      </c>
      <c r="C2880" s="33" t="s">
        <v>14</v>
      </c>
      <c r="D2880" s="33" t="s">
        <v>31</v>
      </c>
      <c r="E2880" s="42" t="s">
        <v>27335</v>
      </c>
      <c r="F2880" s="67">
        <v>42883</v>
      </c>
      <c r="G2880" s="33" t="s">
        <v>27336</v>
      </c>
      <c r="H2880" s="33" t="s">
        <v>27337</v>
      </c>
      <c r="I2880" s="33" t="s">
        <v>402</v>
      </c>
      <c r="J2880" s="33">
        <v>64138</v>
      </c>
      <c r="K2880" s="33" t="s">
        <v>404</v>
      </c>
      <c r="L2880" s="33" t="s">
        <v>8407</v>
      </c>
      <c r="M2880" s="33" t="s">
        <v>21</v>
      </c>
      <c r="N2880" s="33" t="s">
        <v>27338</v>
      </c>
      <c r="O2880" s="33" t="s">
        <v>372</v>
      </c>
      <c r="P2880" s="33" t="s">
        <v>30089</v>
      </c>
      <c r="Q2880" s="42" t="s">
        <v>27339</v>
      </c>
      <c r="R2880" s="33" t="s">
        <v>94</v>
      </c>
      <c r="S2880" s="33" t="s">
        <v>22</v>
      </c>
      <c r="T2880" s="36" t="s">
        <v>27803</v>
      </c>
      <c r="U2880" s="36" t="s">
        <v>26572</v>
      </c>
      <c r="V2880" s="36" t="s">
        <v>26573</v>
      </c>
      <c r="Z2880" s="33" t="s">
        <v>42968</v>
      </c>
      <c r="AA2880" s="33">
        <v>4785</v>
      </c>
    </row>
    <row r="2881" spans="1:46" ht="12" customHeight="1" x14ac:dyDescent="0.15">
      <c r="A2881" s="33" t="s">
        <v>27545</v>
      </c>
      <c r="B2881" s="33" t="s">
        <v>23</v>
      </c>
      <c r="C2881" s="33" t="s">
        <v>14</v>
      </c>
      <c r="D2881" s="33" t="s">
        <v>42</v>
      </c>
      <c r="F2881" s="67">
        <v>42883</v>
      </c>
      <c r="G2881" s="33" t="s">
        <v>27340</v>
      </c>
      <c r="H2881" s="33" t="s">
        <v>560</v>
      </c>
      <c r="I2881" s="33" t="s">
        <v>39</v>
      </c>
      <c r="J2881" s="33">
        <v>95112</v>
      </c>
      <c r="K2881" s="33" t="s">
        <v>561</v>
      </c>
      <c r="L2881" s="33" t="s">
        <v>678</v>
      </c>
      <c r="M2881" s="33" t="s">
        <v>4966</v>
      </c>
      <c r="N2881" s="33" t="s">
        <v>27341</v>
      </c>
      <c r="O2881" s="33" t="s">
        <v>372</v>
      </c>
      <c r="P2881" s="33" t="s">
        <v>30089</v>
      </c>
      <c r="Q2881" s="42" t="s">
        <v>27342</v>
      </c>
      <c r="R2881" s="33" t="s">
        <v>512</v>
      </c>
      <c r="S2881" s="33" t="s">
        <v>22</v>
      </c>
      <c r="T2881" s="36" t="s">
        <v>27020</v>
      </c>
      <c r="U2881" s="36" t="s">
        <v>26570</v>
      </c>
      <c r="V2881" s="36" t="s">
        <v>26573</v>
      </c>
      <c r="W2881" s="36" t="s">
        <v>94</v>
      </c>
      <c r="X2881" s="36">
        <v>2611</v>
      </c>
      <c r="Z2881" s="33" t="s">
        <v>42966</v>
      </c>
      <c r="AA2881" s="33">
        <v>4782</v>
      </c>
    </row>
    <row r="2882" spans="1:46" ht="12" customHeight="1" x14ac:dyDescent="0.15">
      <c r="A2882" s="33" t="s">
        <v>27413</v>
      </c>
      <c r="B2882" s="33">
        <v>21</v>
      </c>
      <c r="C2882" s="33" t="s">
        <v>14</v>
      </c>
      <c r="D2882" s="33" t="s">
        <v>42</v>
      </c>
      <c r="F2882" s="67">
        <v>42883</v>
      </c>
      <c r="G2882" s="33" t="s">
        <v>28818</v>
      </c>
      <c r="H2882" s="33" t="s">
        <v>1418</v>
      </c>
      <c r="I2882" s="33" t="s">
        <v>56</v>
      </c>
      <c r="J2882" s="33">
        <v>33139</v>
      </c>
      <c r="K2882" s="33" t="s">
        <v>148</v>
      </c>
      <c r="L2882" s="33" t="s">
        <v>149</v>
      </c>
      <c r="M2882" s="33" t="s">
        <v>21</v>
      </c>
      <c r="N2882" s="33" t="s">
        <v>27343</v>
      </c>
      <c r="O2882" s="33" t="s">
        <v>372</v>
      </c>
      <c r="P2882" s="33" t="s">
        <v>30089</v>
      </c>
      <c r="Q2882" s="42" t="s">
        <v>27344</v>
      </c>
      <c r="R2882" s="33" t="s">
        <v>94</v>
      </c>
      <c r="S2882" s="33" t="s">
        <v>22</v>
      </c>
      <c r="T2882" s="36" t="s">
        <v>26781</v>
      </c>
      <c r="U2882" s="36" t="s">
        <v>26572</v>
      </c>
      <c r="V2882" s="36" t="s">
        <v>26571</v>
      </c>
      <c r="W2882" s="36" t="s">
        <v>94</v>
      </c>
      <c r="X2882" s="36">
        <v>2608</v>
      </c>
      <c r="Z2882" s="33" t="s">
        <v>42966</v>
      </c>
      <c r="AA2882" s="33">
        <v>4783</v>
      </c>
      <c r="AT2882" s="42"/>
    </row>
    <row r="2883" spans="1:46" ht="12" customHeight="1" x14ac:dyDescent="0.15">
      <c r="A2883" s="33" t="s">
        <v>27328</v>
      </c>
      <c r="B2883" s="33">
        <v>22</v>
      </c>
      <c r="C2883" s="33" t="s">
        <v>14</v>
      </c>
      <c r="D2883" s="33" t="s">
        <v>79</v>
      </c>
      <c r="E2883" s="42" t="s">
        <v>27329</v>
      </c>
      <c r="F2883" s="67">
        <v>42883</v>
      </c>
      <c r="G2883" s="33" t="s">
        <v>28795</v>
      </c>
      <c r="H2883" s="33" t="s">
        <v>27330</v>
      </c>
      <c r="I2883" s="33" t="s">
        <v>338</v>
      </c>
      <c r="J2883" s="33">
        <v>27513</v>
      </c>
      <c r="K2883" s="33" t="s">
        <v>642</v>
      </c>
      <c r="L2883" s="33" t="s">
        <v>27331</v>
      </c>
      <c r="M2883" s="33" t="s">
        <v>21</v>
      </c>
      <c r="N2883" s="33" t="s">
        <v>27332</v>
      </c>
      <c r="O2883" s="33" t="s">
        <v>372</v>
      </c>
      <c r="P2883" s="33" t="s">
        <v>30089</v>
      </c>
      <c r="Q2883" s="42" t="s">
        <v>27333</v>
      </c>
      <c r="R2883" s="33" t="s">
        <v>94</v>
      </c>
      <c r="S2883" s="33" t="s">
        <v>22</v>
      </c>
      <c r="T2883" s="36" t="s">
        <v>26781</v>
      </c>
      <c r="U2883" s="36" t="s">
        <v>26572</v>
      </c>
      <c r="V2883" s="36" t="s">
        <v>26573</v>
      </c>
      <c r="W2883" s="36" t="s">
        <v>94</v>
      </c>
      <c r="X2883" s="36">
        <v>2610</v>
      </c>
      <c r="Z2883" s="33" t="s">
        <v>42968</v>
      </c>
      <c r="AA2883" s="33">
        <v>4784</v>
      </c>
    </row>
    <row r="2884" spans="1:46" ht="12" customHeight="1" x14ac:dyDescent="0.15">
      <c r="A2884" s="33" t="s">
        <v>27351</v>
      </c>
      <c r="B2884" s="33">
        <v>71</v>
      </c>
      <c r="C2884" s="33" t="s">
        <v>14</v>
      </c>
      <c r="D2884" s="33" t="s">
        <v>31</v>
      </c>
      <c r="F2884" s="67">
        <v>42882</v>
      </c>
      <c r="G2884" s="33" t="s">
        <v>27352</v>
      </c>
      <c r="H2884" s="33" t="s">
        <v>27353</v>
      </c>
      <c r="I2884" s="33" t="s">
        <v>4034</v>
      </c>
      <c r="J2884" s="33">
        <v>4915</v>
      </c>
      <c r="K2884" s="33" t="s">
        <v>27354</v>
      </c>
      <c r="L2884" s="33" t="s">
        <v>27355</v>
      </c>
      <c r="M2884" s="33" t="s">
        <v>363</v>
      </c>
      <c r="N2884" s="33" t="s">
        <v>27356</v>
      </c>
      <c r="O2884" s="33" t="s">
        <v>372</v>
      </c>
      <c r="P2884" s="33" t="s">
        <v>30089</v>
      </c>
      <c r="Q2884" s="42" t="s">
        <v>27357</v>
      </c>
      <c r="R2884" s="33" t="s">
        <v>94</v>
      </c>
      <c r="S2884" s="33" t="s">
        <v>22</v>
      </c>
      <c r="T2884" s="36" t="s">
        <v>26781</v>
      </c>
      <c r="U2884" s="36" t="s">
        <v>26572</v>
      </c>
      <c r="V2884" s="36" t="s">
        <v>26573</v>
      </c>
      <c r="Z2884" s="33" t="s">
        <v>42967</v>
      </c>
      <c r="AA2884" s="33">
        <v>4780</v>
      </c>
    </row>
    <row r="2885" spans="1:46" ht="12" customHeight="1" x14ac:dyDescent="0.15">
      <c r="A2885" s="33" t="s">
        <v>27345</v>
      </c>
      <c r="B2885" s="33">
        <v>30</v>
      </c>
      <c r="C2885" s="33" t="s">
        <v>14</v>
      </c>
      <c r="D2885" s="33" t="s">
        <v>31</v>
      </c>
      <c r="E2885" s="42" t="s">
        <v>27346</v>
      </c>
      <c r="F2885" s="67">
        <v>42882</v>
      </c>
      <c r="G2885" s="33" t="s">
        <v>27347</v>
      </c>
      <c r="H2885" s="33" t="s">
        <v>27348</v>
      </c>
      <c r="I2885" s="33" t="s">
        <v>298</v>
      </c>
      <c r="J2885" s="33">
        <v>37841</v>
      </c>
      <c r="K2885" s="33" t="s">
        <v>6440</v>
      </c>
      <c r="L2885" s="33" t="s">
        <v>36582</v>
      </c>
      <c r="M2885" s="33" t="s">
        <v>21</v>
      </c>
      <c r="N2885" s="33" t="s">
        <v>27349</v>
      </c>
      <c r="O2885" s="33" t="s">
        <v>372</v>
      </c>
      <c r="P2885" s="33" t="s">
        <v>30089</v>
      </c>
      <c r="Q2885" s="42" t="s">
        <v>27350</v>
      </c>
      <c r="R2885" s="33" t="s">
        <v>94</v>
      </c>
      <c r="S2885" s="33" t="s">
        <v>351</v>
      </c>
      <c r="T2885" s="36" t="s">
        <v>26867</v>
      </c>
      <c r="U2885" s="36" t="s">
        <v>26570</v>
      </c>
      <c r="V2885" s="36" t="s">
        <v>26571</v>
      </c>
      <c r="W2885" s="36" t="s">
        <v>94</v>
      </c>
      <c r="X2885" s="36">
        <v>2612</v>
      </c>
      <c r="Z2885" s="33" t="s">
        <v>42967</v>
      </c>
      <c r="AA2885" s="33">
        <v>4781</v>
      </c>
    </row>
    <row r="2886" spans="1:46" ht="12" customHeight="1" x14ac:dyDescent="0.15">
      <c r="A2886" s="33" t="s">
        <v>27358</v>
      </c>
      <c r="B2886" s="33" t="s">
        <v>23</v>
      </c>
      <c r="C2886" s="33" t="s">
        <v>14</v>
      </c>
      <c r="D2886" s="33" t="s">
        <v>42</v>
      </c>
      <c r="F2886" s="67">
        <v>42882</v>
      </c>
      <c r="G2886" s="33" t="s">
        <v>27359</v>
      </c>
      <c r="H2886" s="33" t="s">
        <v>27360</v>
      </c>
      <c r="I2886" s="33" t="s">
        <v>160</v>
      </c>
      <c r="J2886" s="33">
        <v>30168</v>
      </c>
      <c r="K2886" s="33" t="s">
        <v>3052</v>
      </c>
      <c r="L2886" s="33" t="s">
        <v>3053</v>
      </c>
      <c r="M2886" s="33" t="s">
        <v>21</v>
      </c>
      <c r="N2886" s="33" t="s">
        <v>27361</v>
      </c>
      <c r="O2886" s="33" t="s">
        <v>372</v>
      </c>
      <c r="P2886" s="33" t="s">
        <v>30089</v>
      </c>
      <c r="Q2886" s="42" t="s">
        <v>27362</v>
      </c>
      <c r="R2886" s="33" t="s">
        <v>94</v>
      </c>
      <c r="S2886" s="33" t="s">
        <v>22</v>
      </c>
      <c r="T2886" s="36" t="s">
        <v>26781</v>
      </c>
      <c r="U2886" s="36" t="s">
        <v>26572</v>
      </c>
      <c r="V2886" s="36" t="s">
        <v>26573</v>
      </c>
      <c r="W2886" s="36" t="s">
        <v>94</v>
      </c>
      <c r="X2886" s="36">
        <v>2613</v>
      </c>
      <c r="Y2886" s="33" t="s">
        <v>42476</v>
      </c>
      <c r="Z2886" s="33" t="s">
        <v>42968</v>
      </c>
      <c r="AA2886" s="33">
        <v>4779</v>
      </c>
    </row>
    <row r="2887" spans="1:46" ht="12" customHeight="1" x14ac:dyDescent="0.15">
      <c r="A2887" s="33" t="s">
        <v>17317</v>
      </c>
      <c r="B2887" s="33">
        <v>15</v>
      </c>
      <c r="C2887" s="33" t="s">
        <v>14</v>
      </c>
      <c r="D2887" s="33" t="s">
        <v>79</v>
      </c>
      <c r="E2887" s="42" t="s">
        <v>27363</v>
      </c>
      <c r="F2887" s="67">
        <v>42881</v>
      </c>
      <c r="G2887" s="33" t="s">
        <v>27364</v>
      </c>
      <c r="H2887" s="33" t="s">
        <v>27365</v>
      </c>
      <c r="I2887" s="33" t="s">
        <v>39</v>
      </c>
      <c r="J2887" s="33">
        <v>91006</v>
      </c>
      <c r="K2887" s="33" t="s">
        <v>92</v>
      </c>
      <c r="L2887" s="33" t="s">
        <v>27366</v>
      </c>
      <c r="M2887" s="33" t="s">
        <v>21</v>
      </c>
      <c r="N2887" s="33" t="s">
        <v>27367</v>
      </c>
      <c r="O2887" s="33" t="s">
        <v>372</v>
      </c>
      <c r="P2887" s="33" t="s">
        <v>30089</v>
      </c>
      <c r="Q2887" s="42" t="s">
        <v>27368</v>
      </c>
      <c r="R2887" s="33" t="s">
        <v>94</v>
      </c>
      <c r="S2887" s="33" t="s">
        <v>22</v>
      </c>
      <c r="T2887" s="36" t="s">
        <v>26781</v>
      </c>
      <c r="U2887" s="36" t="s">
        <v>26572</v>
      </c>
      <c r="V2887" s="36" t="s">
        <v>26573</v>
      </c>
      <c r="W2887" s="36" t="s">
        <v>94</v>
      </c>
      <c r="Y2887" s="33" t="s">
        <v>42476</v>
      </c>
      <c r="Z2887" s="33" t="s">
        <v>42968</v>
      </c>
      <c r="AA2887" s="33">
        <v>4776</v>
      </c>
      <c r="AT2887" s="83"/>
    </row>
    <row r="2888" spans="1:46" ht="12" customHeight="1" x14ac:dyDescent="0.15">
      <c r="A2888" s="33" t="s">
        <v>27369</v>
      </c>
      <c r="B2888" s="33">
        <v>59</v>
      </c>
      <c r="C2888" s="33" t="s">
        <v>14</v>
      </c>
      <c r="D2888" s="33" t="s">
        <v>42</v>
      </c>
      <c r="E2888" s="42" t="s">
        <v>27370</v>
      </c>
      <c r="F2888" s="67">
        <v>42881</v>
      </c>
      <c r="H2888" s="33" t="s">
        <v>27371</v>
      </c>
      <c r="I2888" s="33" t="s">
        <v>178</v>
      </c>
      <c r="J2888" s="33">
        <v>87051</v>
      </c>
      <c r="K2888" s="33" t="s">
        <v>22531</v>
      </c>
      <c r="L2888" s="33" t="s">
        <v>4562</v>
      </c>
      <c r="M2888" s="33" t="s">
        <v>21</v>
      </c>
      <c r="N2888" s="33" t="s">
        <v>36583</v>
      </c>
      <c r="O2888" s="33" t="s">
        <v>372</v>
      </c>
      <c r="P2888" s="33" t="s">
        <v>30089</v>
      </c>
      <c r="Q2888" s="42" t="s">
        <v>27372</v>
      </c>
      <c r="R2888" s="33" t="s">
        <v>94</v>
      </c>
      <c r="S2888" s="33" t="s">
        <v>12</v>
      </c>
      <c r="T2888" s="36" t="s">
        <v>29705</v>
      </c>
      <c r="U2888" s="36" t="s">
        <v>26570</v>
      </c>
      <c r="V2888" s="36" t="s">
        <v>26573</v>
      </c>
      <c r="W2888" s="36" t="s">
        <v>94</v>
      </c>
      <c r="X2888" s="36">
        <v>2614</v>
      </c>
      <c r="Z2888" s="33" t="s">
        <v>42967</v>
      </c>
      <c r="AA2888" s="33">
        <v>4778</v>
      </c>
    </row>
    <row r="2889" spans="1:46" ht="12" customHeight="1" x14ac:dyDescent="0.15">
      <c r="A2889" s="33" t="s">
        <v>27373</v>
      </c>
      <c r="B2889" s="33">
        <v>33</v>
      </c>
      <c r="C2889" s="33" t="s">
        <v>14</v>
      </c>
      <c r="D2889" s="33" t="s">
        <v>79</v>
      </c>
      <c r="F2889" s="67">
        <v>42881</v>
      </c>
      <c r="G2889" s="33" t="s">
        <v>27374</v>
      </c>
      <c r="H2889" s="33" t="s">
        <v>661</v>
      </c>
      <c r="I2889" s="33" t="s">
        <v>402</v>
      </c>
      <c r="J2889" s="33">
        <v>63116</v>
      </c>
      <c r="K2889" s="33" t="s">
        <v>661</v>
      </c>
      <c r="L2889" s="33" t="s">
        <v>4162</v>
      </c>
      <c r="M2889" s="33" t="s">
        <v>21</v>
      </c>
      <c r="N2889" s="33" t="s">
        <v>27375</v>
      </c>
      <c r="O2889" s="33" t="s">
        <v>372</v>
      </c>
      <c r="P2889" s="33" t="s">
        <v>30089</v>
      </c>
      <c r="Q2889" s="42" t="s">
        <v>27376</v>
      </c>
      <c r="R2889" s="33" t="s">
        <v>512</v>
      </c>
      <c r="S2889" s="33" t="s">
        <v>22</v>
      </c>
      <c r="T2889" s="36" t="s">
        <v>26781</v>
      </c>
      <c r="U2889" s="36" t="s">
        <v>26572</v>
      </c>
      <c r="V2889" s="36" t="s">
        <v>26573</v>
      </c>
      <c r="W2889" s="36" t="s">
        <v>94</v>
      </c>
      <c r="X2889" s="36">
        <v>2615</v>
      </c>
      <c r="Z2889" s="33" t="s">
        <v>42966</v>
      </c>
      <c r="AA2889" s="33">
        <v>4775</v>
      </c>
      <c r="AT2889" s="83"/>
    </row>
    <row r="2890" spans="1:46" ht="12" customHeight="1" x14ac:dyDescent="0.15">
      <c r="A2890" s="33" t="s">
        <v>27377</v>
      </c>
      <c r="B2890" s="33">
        <v>34</v>
      </c>
      <c r="C2890" s="33" t="s">
        <v>14</v>
      </c>
      <c r="D2890" s="33" t="s">
        <v>31</v>
      </c>
      <c r="F2890" s="67">
        <v>42881</v>
      </c>
      <c r="G2890" s="33" t="s">
        <v>27378</v>
      </c>
      <c r="H2890" s="33" t="s">
        <v>518</v>
      </c>
      <c r="I2890" s="33" t="s">
        <v>112</v>
      </c>
      <c r="J2890" s="33">
        <v>85706</v>
      </c>
      <c r="K2890" s="33" t="s">
        <v>519</v>
      </c>
      <c r="L2890" s="33" t="s">
        <v>520</v>
      </c>
      <c r="M2890" s="33" t="s">
        <v>21</v>
      </c>
      <c r="N2890" s="33" t="s">
        <v>27379</v>
      </c>
      <c r="O2890" s="33" t="s">
        <v>372</v>
      </c>
      <c r="P2890" s="33" t="s">
        <v>30089</v>
      </c>
      <c r="Q2890" s="42" t="s">
        <v>27380</v>
      </c>
      <c r="R2890" s="33" t="s">
        <v>512</v>
      </c>
      <c r="S2890" s="33" t="s">
        <v>12</v>
      </c>
      <c r="T2890" s="36" t="s">
        <v>29425</v>
      </c>
      <c r="U2890" s="36" t="s">
        <v>26572</v>
      </c>
      <c r="V2890" s="36" t="s">
        <v>26573</v>
      </c>
      <c r="W2890" s="36" t="s">
        <v>94</v>
      </c>
      <c r="X2890" s="36">
        <v>2616</v>
      </c>
      <c r="Z2890" s="33" t="s">
        <v>42968</v>
      </c>
      <c r="AA2890" s="33">
        <v>4777</v>
      </c>
    </row>
    <row r="2891" spans="1:46" ht="12" customHeight="1" x14ac:dyDescent="0.15">
      <c r="A2891" s="33" t="s">
        <v>27387</v>
      </c>
      <c r="B2891" s="33">
        <v>23</v>
      </c>
      <c r="C2891" s="33" t="s">
        <v>14</v>
      </c>
      <c r="D2891" s="33" t="s">
        <v>31</v>
      </c>
      <c r="E2891" s="42" t="s">
        <v>27388</v>
      </c>
      <c r="F2891" s="67">
        <v>42880</v>
      </c>
      <c r="G2891" s="33" t="s">
        <v>27389</v>
      </c>
      <c r="H2891" s="33" t="s">
        <v>308</v>
      </c>
      <c r="I2891" s="33" t="s">
        <v>309</v>
      </c>
      <c r="J2891" s="33">
        <v>99701</v>
      </c>
      <c r="K2891" s="33" t="s">
        <v>18138</v>
      </c>
      <c r="L2891" s="33" t="s">
        <v>27390</v>
      </c>
      <c r="M2891" s="33" t="s">
        <v>21</v>
      </c>
      <c r="N2891" s="33" t="s">
        <v>27391</v>
      </c>
      <c r="O2891" s="33" t="s">
        <v>372</v>
      </c>
      <c r="P2891" s="33" t="s">
        <v>30089</v>
      </c>
      <c r="Q2891" s="42" t="s">
        <v>27392</v>
      </c>
      <c r="R2891" s="33" t="s">
        <v>94</v>
      </c>
      <c r="S2891" s="33" t="s">
        <v>22</v>
      </c>
      <c r="T2891" s="36" t="s">
        <v>26781</v>
      </c>
      <c r="U2891" s="36" t="s">
        <v>26572</v>
      </c>
      <c r="V2891" s="36" t="s">
        <v>26571</v>
      </c>
      <c r="W2891" s="36" t="s">
        <v>94</v>
      </c>
      <c r="X2891" s="36">
        <v>2618</v>
      </c>
      <c r="Z2891" s="33" t="s">
        <v>42968</v>
      </c>
      <c r="AA2891" s="33">
        <v>4773</v>
      </c>
    </row>
    <row r="2892" spans="1:46" ht="12" customHeight="1" x14ac:dyDescent="0.15">
      <c r="A2892" s="33" t="s">
        <v>27381</v>
      </c>
      <c r="B2892" s="33">
        <v>22</v>
      </c>
      <c r="C2892" s="33" t="s">
        <v>14</v>
      </c>
      <c r="D2892" s="33" t="s">
        <v>79</v>
      </c>
      <c r="E2892" s="42" t="s">
        <v>27382</v>
      </c>
      <c r="F2892" s="67">
        <v>42880</v>
      </c>
      <c r="G2892" s="33" t="s">
        <v>27383</v>
      </c>
      <c r="H2892" s="33" t="s">
        <v>27384</v>
      </c>
      <c r="I2892" s="33" t="s">
        <v>409</v>
      </c>
      <c r="J2892" s="33">
        <v>53214</v>
      </c>
      <c r="K2892" s="33" t="s">
        <v>831</v>
      </c>
      <c r="L2892" s="33" t="s">
        <v>27385</v>
      </c>
      <c r="M2892" s="33" t="s">
        <v>363</v>
      </c>
      <c r="N2892" s="33" t="s">
        <v>29643</v>
      </c>
      <c r="O2892" s="33" t="s">
        <v>372</v>
      </c>
      <c r="P2892" s="33" t="s">
        <v>30089</v>
      </c>
      <c r="Q2892" s="42" t="s">
        <v>27386</v>
      </c>
      <c r="R2892" s="33" t="s">
        <v>512</v>
      </c>
      <c r="S2892" s="33" t="s">
        <v>12</v>
      </c>
      <c r="T2892" s="36" t="s">
        <v>29705</v>
      </c>
      <c r="U2892" s="36" t="s">
        <v>26570</v>
      </c>
      <c r="V2892" s="36" t="s">
        <v>26573</v>
      </c>
      <c r="W2892" s="36" t="s">
        <v>512</v>
      </c>
      <c r="Z2892" s="33" t="s">
        <v>42966</v>
      </c>
      <c r="AA2892" s="33">
        <v>4774</v>
      </c>
      <c r="AQ2892" s="42"/>
      <c r="AT2892" s="83"/>
    </row>
    <row r="2893" spans="1:46" ht="12" customHeight="1" x14ac:dyDescent="0.15">
      <c r="A2893" s="33" t="s">
        <v>3002</v>
      </c>
      <c r="B2893" s="33" t="s">
        <v>23</v>
      </c>
      <c r="C2893" s="33" t="s">
        <v>14</v>
      </c>
      <c r="D2893" s="33" t="s">
        <v>42</v>
      </c>
      <c r="F2893" s="67">
        <v>42879</v>
      </c>
      <c r="G2893" s="33" t="s">
        <v>28813</v>
      </c>
      <c r="H2893" s="33" t="s">
        <v>4767</v>
      </c>
      <c r="I2893" s="33" t="s">
        <v>39</v>
      </c>
      <c r="J2893" s="33">
        <v>90221</v>
      </c>
      <c r="K2893" s="33" t="s">
        <v>92</v>
      </c>
      <c r="L2893" s="33" t="s">
        <v>386</v>
      </c>
      <c r="M2893" s="33" t="s">
        <v>21</v>
      </c>
      <c r="N2893" s="33" t="s">
        <v>27403</v>
      </c>
      <c r="O2893" s="33" t="s">
        <v>372</v>
      </c>
      <c r="P2893" s="33" t="s">
        <v>30089</v>
      </c>
      <c r="Q2893" s="42" t="s">
        <v>27404</v>
      </c>
      <c r="R2893" s="33" t="s">
        <v>94</v>
      </c>
      <c r="S2893" s="33" t="s">
        <v>22</v>
      </c>
      <c r="T2893" s="36" t="s">
        <v>26781</v>
      </c>
      <c r="U2893" s="36" t="s">
        <v>26572</v>
      </c>
      <c r="V2893" s="36" t="s">
        <v>26573</v>
      </c>
      <c r="W2893" s="36" t="s">
        <v>94</v>
      </c>
      <c r="X2893" s="36">
        <v>2606</v>
      </c>
      <c r="Z2893" s="33" t="s">
        <v>42968</v>
      </c>
      <c r="AA2893" s="33">
        <v>4771</v>
      </c>
    </row>
    <row r="2894" spans="1:46" ht="12" customHeight="1" x14ac:dyDescent="0.15">
      <c r="A2894" s="33" t="s">
        <v>27393</v>
      </c>
      <c r="B2894" s="33">
        <v>24</v>
      </c>
      <c r="C2894" s="33" t="s">
        <v>14</v>
      </c>
      <c r="D2894" s="33" t="s">
        <v>31</v>
      </c>
      <c r="E2894" s="42" t="s">
        <v>27394</v>
      </c>
      <c r="F2894" s="67">
        <v>42879</v>
      </c>
      <c r="G2894" s="33" t="s">
        <v>27395</v>
      </c>
      <c r="H2894" s="33" t="s">
        <v>7248</v>
      </c>
      <c r="I2894" s="33" t="s">
        <v>63</v>
      </c>
      <c r="J2894" s="33">
        <v>44703</v>
      </c>
      <c r="K2894" s="33" t="s">
        <v>2114</v>
      </c>
      <c r="L2894" s="33" t="s">
        <v>27396</v>
      </c>
      <c r="M2894" s="33" t="s">
        <v>21</v>
      </c>
      <c r="N2894" s="33" t="s">
        <v>27397</v>
      </c>
      <c r="O2894" s="33" t="s">
        <v>372</v>
      </c>
      <c r="P2894" s="33" t="s">
        <v>94</v>
      </c>
      <c r="Q2894" s="42" t="s">
        <v>27398</v>
      </c>
      <c r="R2894" s="33" t="s">
        <v>512</v>
      </c>
      <c r="S2894" s="33" t="s">
        <v>12</v>
      </c>
      <c r="T2894" s="36" t="s">
        <v>29705</v>
      </c>
      <c r="U2894" s="36" t="s">
        <v>26572</v>
      </c>
      <c r="V2894" s="36" t="s">
        <v>26573</v>
      </c>
      <c r="W2894" s="36" t="s">
        <v>512</v>
      </c>
      <c r="X2894" s="36">
        <v>2604</v>
      </c>
      <c r="Z2894" s="33" t="s">
        <v>42966</v>
      </c>
      <c r="AA2894" s="33">
        <v>4772</v>
      </c>
      <c r="AQ2894" s="42"/>
    </row>
    <row r="2895" spans="1:46" ht="12" customHeight="1" x14ac:dyDescent="0.15">
      <c r="A2895" s="33" t="s">
        <v>27399</v>
      </c>
      <c r="B2895" s="33">
        <v>59</v>
      </c>
      <c r="C2895" s="33" t="s">
        <v>14</v>
      </c>
      <c r="D2895" s="33" t="s">
        <v>31</v>
      </c>
      <c r="F2895" s="67">
        <v>42879</v>
      </c>
      <c r="G2895" s="33" t="s">
        <v>28840</v>
      </c>
      <c r="H2895" s="33" t="s">
        <v>886</v>
      </c>
      <c r="I2895" s="33" t="s">
        <v>39</v>
      </c>
      <c r="J2895" s="33">
        <v>94080</v>
      </c>
      <c r="K2895" s="33" t="s">
        <v>4269</v>
      </c>
      <c r="L2895" s="33" t="s">
        <v>27400</v>
      </c>
      <c r="M2895" s="33" t="s">
        <v>21</v>
      </c>
      <c r="N2895" s="33" t="s">
        <v>27401</v>
      </c>
      <c r="O2895" s="33" t="s">
        <v>372</v>
      </c>
      <c r="P2895" s="33" t="s">
        <v>30089</v>
      </c>
      <c r="Q2895" s="42" t="s">
        <v>27402</v>
      </c>
      <c r="R2895" s="33" t="s">
        <v>94</v>
      </c>
      <c r="S2895" s="33" t="s">
        <v>22</v>
      </c>
      <c r="T2895" s="36" t="s">
        <v>26781</v>
      </c>
      <c r="U2895" s="36" t="s">
        <v>26570</v>
      </c>
      <c r="V2895" s="36" t="s">
        <v>26573</v>
      </c>
      <c r="W2895" s="36" t="s">
        <v>94</v>
      </c>
      <c r="X2895" s="36">
        <v>2603</v>
      </c>
      <c r="Z2895" s="33" t="s">
        <v>42968</v>
      </c>
      <c r="AA2895" s="33">
        <v>4770</v>
      </c>
    </row>
    <row r="2896" spans="1:46" ht="12" customHeight="1" x14ac:dyDescent="0.15">
      <c r="A2896" s="33" t="s">
        <v>27418</v>
      </c>
      <c r="B2896" s="33">
        <v>65</v>
      </c>
      <c r="C2896" s="33" t="s">
        <v>14</v>
      </c>
      <c r="D2896" s="33" t="s">
        <v>31</v>
      </c>
      <c r="E2896" s="42" t="s">
        <v>27419</v>
      </c>
      <c r="F2896" s="67">
        <v>42878</v>
      </c>
      <c r="G2896" s="33" t="s">
        <v>28823</v>
      </c>
      <c r="H2896" s="33" t="s">
        <v>27420</v>
      </c>
      <c r="I2896" s="33" t="s">
        <v>250</v>
      </c>
      <c r="J2896" s="33">
        <v>89060</v>
      </c>
      <c r="K2896" s="33" t="s">
        <v>27421</v>
      </c>
      <c r="L2896" s="33" t="s">
        <v>27422</v>
      </c>
      <c r="M2896" s="33" t="s">
        <v>21</v>
      </c>
      <c r="N2896" s="33" t="s">
        <v>27423</v>
      </c>
      <c r="O2896" s="33" t="s">
        <v>372</v>
      </c>
      <c r="P2896" s="33" t="s">
        <v>30089</v>
      </c>
      <c r="Q2896" s="42" t="s">
        <v>27424</v>
      </c>
      <c r="R2896" s="33" t="s">
        <v>94</v>
      </c>
      <c r="S2896" s="33" t="s">
        <v>22</v>
      </c>
      <c r="T2896" s="36" t="s">
        <v>26781</v>
      </c>
      <c r="U2896" s="36" t="s">
        <v>26572</v>
      </c>
      <c r="V2896" s="36" t="s">
        <v>26573</v>
      </c>
      <c r="W2896" s="36" t="s">
        <v>94</v>
      </c>
      <c r="X2896" s="36">
        <v>2602</v>
      </c>
      <c r="Z2896" s="33" t="s">
        <v>42968</v>
      </c>
      <c r="AA2896" s="33">
        <v>4766</v>
      </c>
    </row>
    <row r="2897" spans="1:46" ht="12" customHeight="1" x14ac:dyDescent="0.15">
      <c r="A2897" s="33" t="s">
        <v>27413</v>
      </c>
      <c r="B2897" s="33">
        <v>21</v>
      </c>
      <c r="C2897" s="33" t="s">
        <v>14</v>
      </c>
      <c r="D2897" s="33" t="s">
        <v>42</v>
      </c>
      <c r="E2897" s="42" t="s">
        <v>27414</v>
      </c>
      <c r="F2897" s="67">
        <v>42878</v>
      </c>
      <c r="G2897" s="33" t="s">
        <v>27415</v>
      </c>
      <c r="H2897" s="33" t="s">
        <v>584</v>
      </c>
      <c r="I2897" s="33" t="s">
        <v>112</v>
      </c>
      <c r="J2897" s="33">
        <v>85051</v>
      </c>
      <c r="K2897" s="33" t="s">
        <v>585</v>
      </c>
      <c r="L2897" s="33" t="s">
        <v>3069</v>
      </c>
      <c r="M2897" s="33" t="s">
        <v>4966</v>
      </c>
      <c r="N2897" s="33" t="s">
        <v>27416</v>
      </c>
      <c r="O2897" s="33" t="s">
        <v>372</v>
      </c>
      <c r="P2897" s="33" t="s">
        <v>30089</v>
      </c>
      <c r="Q2897" s="42" t="s">
        <v>27417</v>
      </c>
      <c r="R2897" s="33" t="s">
        <v>94</v>
      </c>
      <c r="S2897" s="33" t="s">
        <v>22</v>
      </c>
      <c r="T2897" s="36" t="s">
        <v>26781</v>
      </c>
      <c r="U2897" s="36" t="s">
        <v>26572</v>
      </c>
      <c r="V2897" s="36" t="s">
        <v>19228</v>
      </c>
      <c r="W2897" s="36" t="s">
        <v>94</v>
      </c>
      <c r="X2897" s="36">
        <v>2601</v>
      </c>
      <c r="Z2897" s="33" t="s">
        <v>42966</v>
      </c>
      <c r="AA2897" s="33">
        <v>4768</v>
      </c>
    </row>
    <row r="2898" spans="1:46" ht="12" customHeight="1" x14ac:dyDescent="0.15">
      <c r="A2898" s="33" t="s">
        <v>27405</v>
      </c>
      <c r="B2898" s="33">
        <v>31</v>
      </c>
      <c r="C2898" s="33" t="s">
        <v>14</v>
      </c>
      <c r="D2898" s="33" t="s">
        <v>31</v>
      </c>
      <c r="F2898" s="67">
        <v>42878</v>
      </c>
      <c r="G2898" s="33" t="s">
        <v>27406</v>
      </c>
      <c r="H2898" s="33" t="s">
        <v>27407</v>
      </c>
      <c r="I2898" s="33" t="s">
        <v>735</v>
      </c>
      <c r="J2898" s="33">
        <v>83647</v>
      </c>
      <c r="K2898" s="33" t="s">
        <v>3736</v>
      </c>
      <c r="L2898" s="33" t="s">
        <v>23268</v>
      </c>
      <c r="M2898" s="33" t="s">
        <v>21</v>
      </c>
      <c r="N2898" s="33" t="s">
        <v>27408</v>
      </c>
      <c r="O2898" s="33" t="s">
        <v>372</v>
      </c>
      <c r="P2898" s="33" t="s">
        <v>30089</v>
      </c>
      <c r="Q2898" s="42" t="s">
        <v>27409</v>
      </c>
      <c r="R2898" s="33" t="s">
        <v>94</v>
      </c>
      <c r="S2898" s="33" t="s">
        <v>22</v>
      </c>
      <c r="T2898" s="36" t="s">
        <v>26774</v>
      </c>
      <c r="U2898" s="36" t="s">
        <v>26572</v>
      </c>
      <c r="V2898" s="36" t="s">
        <v>26573</v>
      </c>
      <c r="W2898" s="36" t="s">
        <v>94</v>
      </c>
      <c r="X2898" s="36">
        <v>2600</v>
      </c>
      <c r="Z2898" s="33" t="s">
        <v>42967</v>
      </c>
      <c r="AA2898" s="33">
        <v>4769</v>
      </c>
    </row>
    <row r="2899" spans="1:46" ht="12" customHeight="1" x14ac:dyDescent="0.15">
      <c r="A2899" s="33" t="s">
        <v>27410</v>
      </c>
      <c r="B2899" s="33">
        <v>74</v>
      </c>
      <c r="C2899" s="33" t="s">
        <v>14</v>
      </c>
      <c r="D2899" s="33" t="s">
        <v>31</v>
      </c>
      <c r="F2899" s="67">
        <v>42878</v>
      </c>
      <c r="G2899" s="33" t="s">
        <v>28810</v>
      </c>
      <c r="H2899" s="33" t="s">
        <v>359</v>
      </c>
      <c r="I2899" s="33" t="s">
        <v>298</v>
      </c>
      <c r="J2899" s="33">
        <v>37920</v>
      </c>
      <c r="K2899" s="33" t="s">
        <v>2476</v>
      </c>
      <c r="L2899" s="33" t="s">
        <v>2477</v>
      </c>
      <c r="M2899" s="33" t="s">
        <v>21</v>
      </c>
      <c r="N2899" s="33" t="s">
        <v>27411</v>
      </c>
      <c r="O2899" s="33" t="s">
        <v>372</v>
      </c>
      <c r="P2899" s="33" t="s">
        <v>94</v>
      </c>
      <c r="Q2899" s="42" t="s">
        <v>27412</v>
      </c>
      <c r="R2899" s="33" t="s">
        <v>23</v>
      </c>
      <c r="S2899" s="33" t="s">
        <v>22</v>
      </c>
      <c r="T2899" s="36" t="s">
        <v>26781</v>
      </c>
      <c r="U2899" s="36" t="s">
        <v>26572</v>
      </c>
      <c r="V2899" s="36" t="s">
        <v>26573</v>
      </c>
      <c r="W2899" s="36" t="s">
        <v>94</v>
      </c>
      <c r="X2899" s="36">
        <v>2605</v>
      </c>
      <c r="Z2899" s="33" t="s">
        <v>42968</v>
      </c>
      <c r="AA2899" s="33">
        <v>4767</v>
      </c>
      <c r="AQ2899" s="42"/>
    </row>
    <row r="2900" spans="1:46" ht="12" customHeight="1" x14ac:dyDescent="0.15">
      <c r="A2900" s="33" t="s">
        <v>27430</v>
      </c>
      <c r="B2900" s="33">
        <v>43</v>
      </c>
      <c r="C2900" s="33" t="s">
        <v>14</v>
      </c>
      <c r="D2900" s="33" t="s">
        <v>79</v>
      </c>
      <c r="F2900" s="67">
        <v>42877</v>
      </c>
      <c r="G2900" s="33" t="s">
        <v>28801</v>
      </c>
      <c r="H2900" s="33" t="s">
        <v>205</v>
      </c>
      <c r="I2900" s="33" t="s">
        <v>206</v>
      </c>
      <c r="J2900" s="33">
        <v>19808</v>
      </c>
      <c r="K2900" s="33" t="s">
        <v>3496</v>
      </c>
      <c r="L2900" s="33" t="s">
        <v>5554</v>
      </c>
      <c r="M2900" s="33" t="s">
        <v>21</v>
      </c>
      <c r="N2900" s="33" t="s">
        <v>27431</v>
      </c>
      <c r="O2900" s="33" t="s">
        <v>372</v>
      </c>
      <c r="P2900" s="33" t="s">
        <v>30089</v>
      </c>
      <c r="Q2900" s="42" t="s">
        <v>27432</v>
      </c>
      <c r="R2900" s="33" t="s">
        <v>23</v>
      </c>
      <c r="S2900" s="33" t="s">
        <v>29</v>
      </c>
      <c r="T2900" s="36" t="s">
        <v>26575</v>
      </c>
      <c r="U2900" s="36" t="s">
        <v>26572</v>
      </c>
      <c r="V2900" s="36" t="s">
        <v>26573</v>
      </c>
      <c r="Y2900" s="33" t="s">
        <v>42476</v>
      </c>
      <c r="Z2900" s="33" t="s">
        <v>42968</v>
      </c>
      <c r="AA2900" s="33">
        <v>4765</v>
      </c>
    </row>
    <row r="2901" spans="1:46" ht="12" customHeight="1" x14ac:dyDescent="0.15">
      <c r="A2901" s="33" t="s">
        <v>27425</v>
      </c>
      <c r="B2901" s="33">
        <v>38</v>
      </c>
      <c r="C2901" s="33" t="s">
        <v>14</v>
      </c>
      <c r="D2901" s="33" t="s">
        <v>31</v>
      </c>
      <c r="E2901" s="42" t="s">
        <v>27426</v>
      </c>
      <c r="F2901" s="67">
        <v>42877</v>
      </c>
      <c r="G2901" s="33" t="s">
        <v>27427</v>
      </c>
      <c r="H2901" s="33" t="s">
        <v>8085</v>
      </c>
      <c r="I2901" s="33" t="s">
        <v>40</v>
      </c>
      <c r="J2901" s="33">
        <v>2150</v>
      </c>
      <c r="K2901" s="33" t="s">
        <v>1588</v>
      </c>
      <c r="L2901" s="33" t="s">
        <v>8087</v>
      </c>
      <c r="M2901" s="33" t="s">
        <v>21</v>
      </c>
      <c r="N2901" s="33" t="s">
        <v>27428</v>
      </c>
      <c r="O2901" s="33" t="s">
        <v>372</v>
      </c>
      <c r="P2901" s="33" t="s">
        <v>30089</v>
      </c>
      <c r="Q2901" s="42" t="s">
        <v>27429</v>
      </c>
      <c r="R2901" s="33" t="s">
        <v>94</v>
      </c>
      <c r="S2901" s="33" t="s">
        <v>22</v>
      </c>
      <c r="T2901" s="36" t="s">
        <v>26781</v>
      </c>
      <c r="U2901" s="36" t="s">
        <v>26572</v>
      </c>
      <c r="V2901" s="36" t="s">
        <v>26573</v>
      </c>
      <c r="Z2901" s="33" t="s">
        <v>42966</v>
      </c>
      <c r="AA2901" s="33">
        <v>4764</v>
      </c>
    </row>
    <row r="2902" spans="1:46" ht="12" customHeight="1" x14ac:dyDescent="0.15">
      <c r="A2902" s="33" t="s">
        <v>27439</v>
      </c>
      <c r="B2902" s="33">
        <v>24</v>
      </c>
      <c r="C2902" s="33" t="s">
        <v>14</v>
      </c>
      <c r="D2902" s="33" t="s">
        <v>79</v>
      </c>
      <c r="E2902" s="42" t="s">
        <v>27440</v>
      </c>
      <c r="F2902" s="67">
        <v>42876</v>
      </c>
      <c r="G2902" s="33" t="s">
        <v>27441</v>
      </c>
      <c r="H2902" s="33" t="s">
        <v>1021</v>
      </c>
      <c r="I2902" s="33" t="s">
        <v>19</v>
      </c>
      <c r="J2902" s="33">
        <v>71419</v>
      </c>
      <c r="K2902" s="33" t="s">
        <v>27442</v>
      </c>
      <c r="L2902" s="33" t="s">
        <v>27443</v>
      </c>
      <c r="M2902" s="33" t="s">
        <v>21</v>
      </c>
      <c r="N2902" s="33" t="s">
        <v>27444</v>
      </c>
      <c r="O2902" s="33" t="s">
        <v>372</v>
      </c>
      <c r="P2902" s="33" t="s">
        <v>30089</v>
      </c>
      <c r="Q2902" s="42" t="s">
        <v>27445</v>
      </c>
      <c r="R2902" s="33" t="s">
        <v>23</v>
      </c>
      <c r="S2902" s="33" t="s">
        <v>12</v>
      </c>
      <c r="T2902" s="36" t="s">
        <v>29705</v>
      </c>
      <c r="U2902" s="36" t="s">
        <v>26572</v>
      </c>
      <c r="V2902" s="36" t="s">
        <v>26573</v>
      </c>
      <c r="W2902" s="36" t="s">
        <v>94</v>
      </c>
      <c r="X2902" s="36">
        <v>2596</v>
      </c>
      <c r="Z2902" s="33" t="s">
        <v>42967</v>
      </c>
      <c r="AA2902" s="33">
        <v>4762</v>
      </c>
    </row>
    <row r="2903" spans="1:46" ht="12" customHeight="1" x14ac:dyDescent="0.15">
      <c r="A2903" s="33" t="s">
        <v>27452</v>
      </c>
      <c r="B2903" s="33">
        <v>43</v>
      </c>
      <c r="C2903" s="33" t="s">
        <v>14</v>
      </c>
      <c r="D2903" s="33" t="s">
        <v>31</v>
      </c>
      <c r="F2903" s="67">
        <v>42876</v>
      </c>
      <c r="G2903" s="33" t="s">
        <v>27453</v>
      </c>
      <c r="H2903" s="33" t="s">
        <v>3751</v>
      </c>
      <c r="I2903" s="33" t="s">
        <v>376</v>
      </c>
      <c r="J2903" s="33">
        <v>18104</v>
      </c>
      <c r="K2903" s="33" t="s">
        <v>3753</v>
      </c>
      <c r="L2903" s="33" t="s">
        <v>16176</v>
      </c>
      <c r="M2903" s="33" t="s">
        <v>21</v>
      </c>
      <c r="N2903" s="33" t="s">
        <v>27454</v>
      </c>
      <c r="O2903" s="33" t="s">
        <v>372</v>
      </c>
      <c r="P2903" s="33" t="s">
        <v>30826</v>
      </c>
      <c r="Q2903" s="42" t="s">
        <v>27455</v>
      </c>
      <c r="R2903" s="33" t="s">
        <v>94</v>
      </c>
      <c r="S2903" s="33" t="s">
        <v>22</v>
      </c>
      <c r="T2903" s="36" t="s">
        <v>26781</v>
      </c>
      <c r="U2903" s="36" t="s">
        <v>26572</v>
      </c>
      <c r="V2903" s="36" t="s">
        <v>26571</v>
      </c>
      <c r="W2903" s="36" t="s">
        <v>94</v>
      </c>
      <c r="X2903" s="36">
        <v>2595</v>
      </c>
      <c r="Y2903" s="85"/>
      <c r="Z2903" s="33" t="s">
        <v>42968</v>
      </c>
      <c r="AA2903" s="33">
        <v>4760</v>
      </c>
      <c r="AQ2903" s="42"/>
    </row>
    <row r="2904" spans="1:46" ht="12" customHeight="1" x14ac:dyDescent="0.15">
      <c r="A2904" s="33" t="s">
        <v>27433</v>
      </c>
      <c r="B2904" s="33">
        <v>37</v>
      </c>
      <c r="C2904" s="33" t="s">
        <v>14</v>
      </c>
      <c r="D2904" s="33" t="s">
        <v>42</v>
      </c>
      <c r="E2904" s="42" t="s">
        <v>27434</v>
      </c>
      <c r="F2904" s="67">
        <v>42876</v>
      </c>
      <c r="G2904" s="33" t="s">
        <v>27435</v>
      </c>
      <c r="H2904" s="33" t="s">
        <v>11594</v>
      </c>
      <c r="I2904" s="33" t="s">
        <v>56</v>
      </c>
      <c r="J2904" s="33">
        <v>34972</v>
      </c>
      <c r="K2904" s="33" t="s">
        <v>11594</v>
      </c>
      <c r="L2904" s="33" t="s">
        <v>27436</v>
      </c>
      <c r="M2904" s="33" t="s">
        <v>21</v>
      </c>
      <c r="N2904" s="33" t="s">
        <v>27437</v>
      </c>
      <c r="O2904" s="33" t="s">
        <v>372</v>
      </c>
      <c r="P2904" s="33" t="s">
        <v>30089</v>
      </c>
      <c r="Q2904" s="42" t="s">
        <v>27438</v>
      </c>
      <c r="R2904" s="33" t="s">
        <v>23</v>
      </c>
      <c r="S2904" s="33" t="s">
        <v>12</v>
      </c>
      <c r="T2904" s="36" t="s">
        <v>29705</v>
      </c>
      <c r="U2904" s="36" t="s">
        <v>26572</v>
      </c>
      <c r="V2904" s="36" t="s">
        <v>26573</v>
      </c>
      <c r="W2904" s="36" t="s">
        <v>94</v>
      </c>
      <c r="X2904" s="36">
        <v>2598</v>
      </c>
      <c r="Z2904" s="33" t="s">
        <v>42967</v>
      </c>
      <c r="AA2904" s="33">
        <v>4763</v>
      </c>
    </row>
    <row r="2905" spans="1:46" ht="12" customHeight="1" x14ac:dyDescent="0.15">
      <c r="A2905" s="33" t="s">
        <v>27446</v>
      </c>
      <c r="B2905" s="33">
        <v>33</v>
      </c>
      <c r="C2905" s="33" t="s">
        <v>14</v>
      </c>
      <c r="D2905" s="33" t="s">
        <v>79</v>
      </c>
      <c r="F2905" s="67">
        <v>42876</v>
      </c>
      <c r="G2905" s="33" t="s">
        <v>27447</v>
      </c>
      <c r="H2905" s="33" t="s">
        <v>27448</v>
      </c>
      <c r="I2905" s="33" t="s">
        <v>409</v>
      </c>
      <c r="J2905" s="33">
        <v>54911</v>
      </c>
      <c r="K2905" s="33" t="s">
        <v>27449</v>
      </c>
      <c r="L2905" s="33" t="s">
        <v>27450</v>
      </c>
      <c r="M2905" s="33" t="s">
        <v>21</v>
      </c>
      <c r="N2905" s="33" t="s">
        <v>36584</v>
      </c>
      <c r="O2905" s="33" t="s">
        <v>372</v>
      </c>
      <c r="P2905" s="33" t="s">
        <v>30089</v>
      </c>
      <c r="Q2905" s="42" t="s">
        <v>27451</v>
      </c>
      <c r="R2905" s="33" t="s">
        <v>94</v>
      </c>
      <c r="S2905" s="33" t="s">
        <v>12</v>
      </c>
      <c r="T2905" s="36" t="s">
        <v>29705</v>
      </c>
      <c r="U2905" s="36" t="s">
        <v>26570</v>
      </c>
      <c r="V2905" s="36" t="s">
        <v>26573</v>
      </c>
      <c r="W2905" s="36" t="s">
        <v>94</v>
      </c>
      <c r="X2905" s="36">
        <v>2594</v>
      </c>
      <c r="Z2905" s="33" t="s">
        <v>42966</v>
      </c>
      <c r="AA2905" s="33">
        <v>4761</v>
      </c>
      <c r="AQ2905" s="42"/>
    </row>
    <row r="2906" spans="1:46" ht="12" customHeight="1" x14ac:dyDescent="0.15">
      <c r="A2906" s="33" t="s">
        <v>27464</v>
      </c>
      <c r="B2906" s="33">
        <v>58</v>
      </c>
      <c r="C2906" s="33" t="s">
        <v>14</v>
      </c>
      <c r="D2906" s="33" t="s">
        <v>31</v>
      </c>
      <c r="F2906" s="67">
        <v>42875</v>
      </c>
      <c r="G2906" s="33" t="s">
        <v>28829</v>
      </c>
      <c r="H2906" s="33" t="s">
        <v>1365</v>
      </c>
      <c r="I2906" s="33" t="s">
        <v>39</v>
      </c>
      <c r="J2906" s="33">
        <v>94566</v>
      </c>
      <c r="K2906" s="33" t="s">
        <v>558</v>
      </c>
      <c r="L2906" s="33" t="s">
        <v>1366</v>
      </c>
      <c r="M2906" s="33" t="s">
        <v>21</v>
      </c>
      <c r="N2906" s="33" t="s">
        <v>27465</v>
      </c>
      <c r="O2906" s="33" t="s">
        <v>372</v>
      </c>
      <c r="P2906" s="33" t="s">
        <v>30089</v>
      </c>
      <c r="Q2906" s="42" t="s">
        <v>27466</v>
      </c>
      <c r="R2906" s="33" t="s">
        <v>512</v>
      </c>
      <c r="S2906" s="33" t="s">
        <v>12</v>
      </c>
      <c r="T2906" s="36" t="s">
        <v>29425</v>
      </c>
      <c r="U2906" s="36" t="s">
        <v>26572</v>
      </c>
      <c r="V2906" s="36" t="s">
        <v>26573</v>
      </c>
      <c r="W2906" s="36" t="s">
        <v>512</v>
      </c>
      <c r="X2906" s="36">
        <v>2599</v>
      </c>
      <c r="Z2906" s="33" t="s">
        <v>42968</v>
      </c>
      <c r="AA2906" s="33">
        <v>4758</v>
      </c>
    </row>
    <row r="2907" spans="1:46" ht="12" customHeight="1" x14ac:dyDescent="0.15">
      <c r="A2907" s="33" t="s">
        <v>27456</v>
      </c>
      <c r="B2907" s="33">
        <v>47</v>
      </c>
      <c r="C2907" s="33" t="s">
        <v>14</v>
      </c>
      <c r="D2907" s="33" t="s">
        <v>31</v>
      </c>
      <c r="F2907" s="67">
        <v>42875</v>
      </c>
      <c r="G2907" s="33" t="s">
        <v>27457</v>
      </c>
      <c r="H2907" s="33" t="s">
        <v>18414</v>
      </c>
      <c r="I2907" s="33" t="s">
        <v>376</v>
      </c>
      <c r="J2907" s="33">
        <v>18013</v>
      </c>
      <c r="K2907" s="33" t="s">
        <v>5967</v>
      </c>
      <c r="L2907" s="33" t="s">
        <v>473</v>
      </c>
      <c r="M2907" s="33" t="s">
        <v>21</v>
      </c>
      <c r="N2907" s="33" t="s">
        <v>27458</v>
      </c>
      <c r="O2907" s="33" t="s">
        <v>372</v>
      </c>
      <c r="P2907" s="33" t="s">
        <v>94</v>
      </c>
      <c r="Q2907" s="42" t="s">
        <v>27459</v>
      </c>
      <c r="R2907" s="33" t="s">
        <v>512</v>
      </c>
      <c r="S2907" s="33" t="s">
        <v>29</v>
      </c>
      <c r="T2907" s="36" t="s">
        <v>27801</v>
      </c>
      <c r="U2907" s="36" t="s">
        <v>26570</v>
      </c>
      <c r="V2907" s="36" t="s">
        <v>26573</v>
      </c>
      <c r="W2907" s="36" t="s">
        <v>94</v>
      </c>
      <c r="X2907" s="36">
        <v>2592</v>
      </c>
      <c r="Y2907" s="83"/>
      <c r="Z2907" s="33" t="s">
        <v>42968</v>
      </c>
      <c r="AA2907" s="33">
        <v>4757</v>
      </c>
      <c r="AQ2907" s="42"/>
    </row>
    <row r="2908" spans="1:46" ht="12" customHeight="1" x14ac:dyDescent="0.15">
      <c r="A2908" s="33" t="s">
        <v>27460</v>
      </c>
      <c r="B2908" s="33">
        <v>54</v>
      </c>
      <c r="C2908" s="33" t="s">
        <v>14</v>
      </c>
      <c r="D2908" s="33" t="s">
        <v>79</v>
      </c>
      <c r="F2908" s="67">
        <v>42875</v>
      </c>
      <c r="G2908" s="33" t="s">
        <v>28834</v>
      </c>
      <c r="H2908" s="33" t="s">
        <v>27461</v>
      </c>
      <c r="I2908" s="33" t="s">
        <v>39</v>
      </c>
      <c r="J2908" s="33">
        <v>91945</v>
      </c>
      <c r="K2908" s="33" t="s">
        <v>143</v>
      </c>
      <c r="L2908" s="33" t="s">
        <v>1970</v>
      </c>
      <c r="M2908" s="33" t="s">
        <v>363</v>
      </c>
      <c r="N2908" s="33" t="s">
        <v>27462</v>
      </c>
      <c r="O2908" s="33" t="s">
        <v>372</v>
      </c>
      <c r="P2908" s="33" t="s">
        <v>30089</v>
      </c>
      <c r="Q2908" s="42" t="s">
        <v>27463</v>
      </c>
      <c r="R2908" s="33" t="s">
        <v>904</v>
      </c>
      <c r="S2908" s="33" t="s">
        <v>12</v>
      </c>
      <c r="T2908" s="36" t="s">
        <v>29705</v>
      </c>
      <c r="U2908" s="36" t="s">
        <v>26570</v>
      </c>
      <c r="V2908" s="36" t="s">
        <v>26573</v>
      </c>
      <c r="Z2908" s="33" t="s">
        <v>42968</v>
      </c>
      <c r="AA2908" s="33">
        <v>4759</v>
      </c>
    </row>
    <row r="2909" spans="1:46" ht="12" customHeight="1" x14ac:dyDescent="0.15">
      <c r="A2909" s="33" t="s">
        <v>27467</v>
      </c>
      <c r="B2909" s="33">
        <v>18</v>
      </c>
      <c r="C2909" s="33" t="s">
        <v>14</v>
      </c>
      <c r="D2909" s="33" t="s">
        <v>79</v>
      </c>
      <c r="F2909" s="67">
        <v>42874</v>
      </c>
      <c r="G2909" s="33" t="s">
        <v>27468</v>
      </c>
      <c r="H2909" s="33" t="s">
        <v>3067</v>
      </c>
      <c r="I2909" s="33" t="s">
        <v>112</v>
      </c>
      <c r="J2909" s="33">
        <v>85301</v>
      </c>
      <c r="K2909" s="33" t="s">
        <v>585</v>
      </c>
      <c r="L2909" s="33" t="s">
        <v>3069</v>
      </c>
      <c r="M2909" s="33" t="s">
        <v>21</v>
      </c>
      <c r="N2909" s="33" t="s">
        <v>27469</v>
      </c>
      <c r="O2909" s="33" t="s">
        <v>372</v>
      </c>
      <c r="P2909" s="33" t="s">
        <v>30089</v>
      </c>
      <c r="Q2909" s="42" t="s">
        <v>27470</v>
      </c>
      <c r="R2909" s="33" t="s">
        <v>512</v>
      </c>
      <c r="S2909" s="33" t="s">
        <v>22</v>
      </c>
      <c r="T2909" s="36" t="s">
        <v>26781</v>
      </c>
      <c r="U2909" s="36" t="s">
        <v>26572</v>
      </c>
      <c r="V2909" s="36" t="s">
        <v>26573</v>
      </c>
      <c r="W2909" s="36" t="s">
        <v>512</v>
      </c>
      <c r="Z2909" s="33" t="s">
        <v>42968</v>
      </c>
      <c r="AA2909" s="33">
        <v>4756</v>
      </c>
    </row>
    <row r="2910" spans="1:46" ht="12" customHeight="1" x14ac:dyDescent="0.15">
      <c r="A2910" s="33" t="s">
        <v>27471</v>
      </c>
      <c r="B2910" s="33">
        <v>65</v>
      </c>
      <c r="C2910" s="33" t="s">
        <v>14</v>
      </c>
      <c r="D2910" s="33" t="s">
        <v>31</v>
      </c>
      <c r="E2910" s="42" t="s">
        <v>27472</v>
      </c>
      <c r="F2910" s="67">
        <v>42874</v>
      </c>
      <c r="G2910" s="33" t="s">
        <v>27473</v>
      </c>
      <c r="H2910" s="33" t="s">
        <v>27474</v>
      </c>
      <c r="I2910" s="33" t="s">
        <v>4034</v>
      </c>
      <c r="J2910" s="33">
        <v>4917</v>
      </c>
      <c r="K2910" s="33" t="s">
        <v>25746</v>
      </c>
      <c r="L2910" s="33" t="s">
        <v>27475</v>
      </c>
      <c r="M2910" s="33" t="s">
        <v>21</v>
      </c>
      <c r="N2910" s="33" t="s">
        <v>27476</v>
      </c>
      <c r="O2910" s="33" t="s">
        <v>372</v>
      </c>
      <c r="P2910" s="33" t="s">
        <v>30089</v>
      </c>
      <c r="Q2910" s="42" t="s">
        <v>27477</v>
      </c>
      <c r="R2910" s="33" t="s">
        <v>904</v>
      </c>
      <c r="S2910" s="33" t="s">
        <v>22</v>
      </c>
      <c r="T2910" s="36" t="s">
        <v>26781</v>
      </c>
      <c r="U2910" s="36" t="s">
        <v>26572</v>
      </c>
      <c r="V2910" s="36" t="s">
        <v>26573</v>
      </c>
      <c r="W2910" s="36" t="s">
        <v>94</v>
      </c>
      <c r="X2910" s="36">
        <v>2593</v>
      </c>
      <c r="Z2910" s="33" t="s">
        <v>42967</v>
      </c>
      <c r="AA2910" s="33">
        <v>4755</v>
      </c>
    </row>
    <row r="2911" spans="1:46" ht="12" customHeight="1" x14ac:dyDescent="0.15">
      <c r="A2911" s="33" t="s">
        <v>27482</v>
      </c>
      <c r="B2911" s="33">
        <v>22</v>
      </c>
      <c r="C2911" s="33" t="s">
        <v>14</v>
      </c>
      <c r="D2911" s="33" t="s">
        <v>79</v>
      </c>
      <c r="F2911" s="67">
        <v>42873</v>
      </c>
      <c r="G2911" s="33" t="s">
        <v>27483</v>
      </c>
      <c r="H2911" s="33" t="s">
        <v>1202</v>
      </c>
      <c r="I2911" s="33" t="s">
        <v>160</v>
      </c>
      <c r="J2911" s="33">
        <v>31903</v>
      </c>
      <c r="K2911" s="33" t="s">
        <v>9779</v>
      </c>
      <c r="L2911" s="33" t="s">
        <v>3124</v>
      </c>
      <c r="M2911" s="33" t="s">
        <v>351</v>
      </c>
      <c r="N2911" s="33" t="s">
        <v>36585</v>
      </c>
      <c r="O2911" s="33" t="s">
        <v>372</v>
      </c>
      <c r="P2911" s="33" t="s">
        <v>30089</v>
      </c>
      <c r="Q2911" s="42" t="s">
        <v>27484</v>
      </c>
      <c r="R2911" s="33" t="s">
        <v>94</v>
      </c>
      <c r="S2911" s="33" t="s">
        <v>22</v>
      </c>
      <c r="T2911" s="36" t="s">
        <v>26781</v>
      </c>
      <c r="U2911" s="36" t="s">
        <v>26572</v>
      </c>
      <c r="V2911" s="36" t="s">
        <v>26571</v>
      </c>
      <c r="Z2911" s="33" t="s">
        <v>42966</v>
      </c>
      <c r="AA2911" s="33">
        <v>4753</v>
      </c>
    </row>
    <row r="2912" spans="1:46" ht="12" customHeight="1" x14ac:dyDescent="0.15">
      <c r="A2912" s="33" t="s">
        <v>30788</v>
      </c>
      <c r="B2912" s="33">
        <v>28</v>
      </c>
      <c r="C2912" s="33" t="s">
        <v>14</v>
      </c>
      <c r="D2912" s="33" t="s">
        <v>31</v>
      </c>
      <c r="F2912" s="67">
        <v>42873</v>
      </c>
      <c r="G2912" s="33" t="s">
        <v>27478</v>
      </c>
      <c r="H2912" s="33" t="s">
        <v>787</v>
      </c>
      <c r="I2912" s="33" t="s">
        <v>225</v>
      </c>
      <c r="J2912" s="33">
        <v>22206</v>
      </c>
      <c r="K2912" s="33" t="s">
        <v>787</v>
      </c>
      <c r="L2912" s="33" t="s">
        <v>27479</v>
      </c>
      <c r="M2912" s="33" t="s">
        <v>21</v>
      </c>
      <c r="N2912" s="33" t="s">
        <v>27480</v>
      </c>
      <c r="O2912" s="33" t="s">
        <v>372</v>
      </c>
      <c r="P2912" s="33" t="s">
        <v>94</v>
      </c>
      <c r="Q2912" s="42" t="s">
        <v>27481</v>
      </c>
      <c r="R2912" s="33" t="s">
        <v>94</v>
      </c>
      <c r="S2912" s="33" t="s">
        <v>351</v>
      </c>
      <c r="T2912" s="36" t="s">
        <v>26867</v>
      </c>
      <c r="U2912" s="36" t="s">
        <v>26572</v>
      </c>
      <c r="V2912" s="36" t="s">
        <v>26571</v>
      </c>
      <c r="W2912" s="36" t="s">
        <v>94</v>
      </c>
      <c r="X2912" s="36">
        <v>2590</v>
      </c>
      <c r="Z2912" s="33" t="s">
        <v>42966</v>
      </c>
      <c r="AA2912" s="33">
        <v>4754</v>
      </c>
      <c r="AT2912" s="42"/>
    </row>
    <row r="2913" spans="1:43" ht="12" customHeight="1" x14ac:dyDescent="0.15">
      <c r="A2913" s="33" t="s">
        <v>27485</v>
      </c>
      <c r="B2913" s="33">
        <v>17</v>
      </c>
      <c r="C2913" s="33" t="s">
        <v>14</v>
      </c>
      <c r="D2913" s="33" t="s">
        <v>79</v>
      </c>
      <c r="F2913" s="67">
        <v>42872</v>
      </c>
      <c r="G2913" s="33" t="s">
        <v>27486</v>
      </c>
      <c r="H2913" s="33" t="s">
        <v>81</v>
      </c>
      <c r="I2913" s="33" t="s">
        <v>38</v>
      </c>
      <c r="J2913" s="33">
        <v>60621</v>
      </c>
      <c r="K2913" s="33" t="s">
        <v>82</v>
      </c>
      <c r="L2913" s="33" t="s">
        <v>10593</v>
      </c>
      <c r="M2913" s="33" t="s">
        <v>21</v>
      </c>
      <c r="N2913" s="33" t="s">
        <v>27487</v>
      </c>
      <c r="O2913" s="33" t="s">
        <v>372</v>
      </c>
      <c r="P2913" s="33" t="s">
        <v>30089</v>
      </c>
      <c r="Q2913" s="42" t="s">
        <v>27488</v>
      </c>
      <c r="R2913" s="33" t="s">
        <v>94</v>
      </c>
      <c r="S2913" s="33" t="s">
        <v>22</v>
      </c>
      <c r="T2913" s="36" t="s">
        <v>26781</v>
      </c>
      <c r="U2913" s="36" t="s">
        <v>26572</v>
      </c>
      <c r="V2913" s="36" t="s">
        <v>26573</v>
      </c>
      <c r="Y2913" s="33" t="s">
        <v>42476</v>
      </c>
      <c r="Z2913" s="33" t="s">
        <v>42966</v>
      </c>
      <c r="AA2913" s="33">
        <v>4752</v>
      </c>
    </row>
    <row r="2914" spans="1:43" ht="12" customHeight="1" x14ac:dyDescent="0.15">
      <c r="A2914" s="33" t="s">
        <v>27494</v>
      </c>
      <c r="B2914" s="33">
        <v>41</v>
      </c>
      <c r="C2914" s="33" t="s">
        <v>103</v>
      </c>
      <c r="D2914" s="33" t="s">
        <v>31</v>
      </c>
      <c r="E2914" s="42" t="s">
        <v>27495</v>
      </c>
      <c r="F2914" s="67">
        <v>42871</v>
      </c>
      <c r="G2914" s="33" t="s">
        <v>27496</v>
      </c>
      <c r="H2914" s="33" t="s">
        <v>107</v>
      </c>
      <c r="I2914" s="33" t="s">
        <v>3357</v>
      </c>
      <c r="J2914" s="33">
        <v>20032</v>
      </c>
      <c r="K2914" s="33" t="s">
        <v>3359</v>
      </c>
      <c r="L2914" s="33" t="s">
        <v>17581</v>
      </c>
      <c r="M2914" s="33" t="s">
        <v>21</v>
      </c>
      <c r="N2914" s="33" t="s">
        <v>27497</v>
      </c>
      <c r="O2914" s="33" t="s">
        <v>372</v>
      </c>
      <c r="P2914" s="33" t="s">
        <v>30089</v>
      </c>
      <c r="Q2914" s="42" t="s">
        <v>27498</v>
      </c>
      <c r="R2914" s="33" t="s">
        <v>94</v>
      </c>
      <c r="S2914" s="33" t="s">
        <v>22</v>
      </c>
      <c r="T2914" s="36" t="s">
        <v>26781</v>
      </c>
      <c r="U2914" s="36" t="s">
        <v>26572</v>
      </c>
      <c r="V2914" s="36" t="s">
        <v>26573</v>
      </c>
      <c r="W2914" s="36" t="s">
        <v>94</v>
      </c>
      <c r="X2914" s="36">
        <v>2586</v>
      </c>
      <c r="Z2914" s="33" t="s">
        <v>42966</v>
      </c>
      <c r="AA2914" s="33">
        <v>4748</v>
      </c>
    </row>
    <row r="2915" spans="1:43" ht="12" customHeight="1" x14ac:dyDescent="0.15">
      <c r="A2915" s="33" t="s">
        <v>27504</v>
      </c>
      <c r="B2915" s="33">
        <v>25</v>
      </c>
      <c r="C2915" s="33" t="s">
        <v>14</v>
      </c>
      <c r="D2915" s="33" t="s">
        <v>79</v>
      </c>
      <c r="F2915" s="67">
        <v>42871</v>
      </c>
      <c r="G2915" s="33" t="s">
        <v>26971</v>
      </c>
      <c r="H2915" s="33" t="s">
        <v>3585</v>
      </c>
      <c r="I2915" s="33" t="s">
        <v>112</v>
      </c>
      <c r="J2915" s="33">
        <v>85282</v>
      </c>
      <c r="K2915" s="33" t="s">
        <v>585</v>
      </c>
      <c r="L2915" s="33" t="s">
        <v>3587</v>
      </c>
      <c r="M2915" s="33" t="s">
        <v>21</v>
      </c>
      <c r="N2915" s="33" t="s">
        <v>27505</v>
      </c>
      <c r="O2915" s="33" t="s">
        <v>372</v>
      </c>
      <c r="P2915" s="33" t="s">
        <v>30089</v>
      </c>
      <c r="Q2915" s="42" t="s">
        <v>26972</v>
      </c>
      <c r="R2915" s="33" t="s">
        <v>23</v>
      </c>
      <c r="S2915" s="33" t="s">
        <v>22</v>
      </c>
      <c r="T2915" s="36" t="s">
        <v>26774</v>
      </c>
      <c r="U2915" s="36" t="s">
        <v>26570</v>
      </c>
      <c r="V2915" s="36" t="s">
        <v>26573</v>
      </c>
      <c r="W2915" s="36" t="s">
        <v>94</v>
      </c>
      <c r="X2915" s="36">
        <v>2587</v>
      </c>
      <c r="Z2915" s="33" t="s">
        <v>42968</v>
      </c>
      <c r="AA2915" s="33">
        <v>4751</v>
      </c>
      <c r="AQ2915" s="42"/>
    </row>
    <row r="2916" spans="1:43" ht="12" customHeight="1" x14ac:dyDescent="0.15">
      <c r="A2916" s="33" t="s">
        <v>27499</v>
      </c>
      <c r="B2916" s="33">
        <v>38</v>
      </c>
      <c r="C2916" s="33" t="s">
        <v>14</v>
      </c>
      <c r="D2916" s="33" t="s">
        <v>31</v>
      </c>
      <c r="E2916" s="42" t="s">
        <v>27500</v>
      </c>
      <c r="F2916" s="67">
        <v>42871</v>
      </c>
      <c r="G2916" s="33" t="s">
        <v>27501</v>
      </c>
      <c r="H2916" s="33" t="s">
        <v>5836</v>
      </c>
      <c r="I2916" s="33" t="s">
        <v>798</v>
      </c>
      <c r="J2916" s="33">
        <v>59825</v>
      </c>
      <c r="K2916" s="33" t="s">
        <v>4771</v>
      </c>
      <c r="L2916" s="33" t="s">
        <v>27502</v>
      </c>
      <c r="M2916" s="33" t="s">
        <v>21</v>
      </c>
      <c r="N2916" s="33" t="s">
        <v>36586</v>
      </c>
      <c r="O2916" s="33" t="s">
        <v>372</v>
      </c>
      <c r="P2916" s="33" t="s">
        <v>30089</v>
      </c>
      <c r="Q2916" s="42" t="s">
        <v>27503</v>
      </c>
      <c r="R2916" s="33" t="s">
        <v>94</v>
      </c>
      <c r="S2916" s="33" t="s">
        <v>22</v>
      </c>
      <c r="T2916" s="36" t="s">
        <v>26781</v>
      </c>
      <c r="U2916" s="36" t="s">
        <v>26572</v>
      </c>
      <c r="V2916" s="36" t="s">
        <v>26571</v>
      </c>
      <c r="W2916" s="36" t="s">
        <v>94</v>
      </c>
      <c r="X2916" s="36">
        <v>2591</v>
      </c>
      <c r="Z2916" s="33" t="s">
        <v>42967</v>
      </c>
      <c r="AA2916" s="33">
        <v>4750</v>
      </c>
    </row>
    <row r="2917" spans="1:43" ht="12" customHeight="1" x14ac:dyDescent="0.15">
      <c r="A2917" s="33" t="s">
        <v>27489</v>
      </c>
      <c r="B2917" s="33">
        <v>24</v>
      </c>
      <c r="C2917" s="33" t="s">
        <v>14</v>
      </c>
      <c r="D2917" s="33" t="s">
        <v>42</v>
      </c>
      <c r="E2917" s="42" t="s">
        <v>27490</v>
      </c>
      <c r="F2917" s="67">
        <v>42871</v>
      </c>
      <c r="G2917" s="33" t="s">
        <v>27491</v>
      </c>
      <c r="H2917" s="33" t="s">
        <v>10606</v>
      </c>
      <c r="I2917" s="33" t="s">
        <v>39</v>
      </c>
      <c r="J2917" s="33">
        <v>92780</v>
      </c>
      <c r="K2917" s="33" t="s">
        <v>998</v>
      </c>
      <c r="L2917" s="33" t="s">
        <v>10608</v>
      </c>
      <c r="M2917" s="33" t="s">
        <v>21</v>
      </c>
      <c r="N2917" s="33" t="s">
        <v>27492</v>
      </c>
      <c r="O2917" s="33" t="s">
        <v>372</v>
      </c>
      <c r="P2917" s="33" t="s">
        <v>30089</v>
      </c>
      <c r="Q2917" s="42" t="s">
        <v>27493</v>
      </c>
      <c r="R2917" s="33" t="s">
        <v>512</v>
      </c>
      <c r="S2917" s="33" t="s">
        <v>22</v>
      </c>
      <c r="T2917" s="36" t="s">
        <v>26781</v>
      </c>
      <c r="U2917" s="36" t="s">
        <v>26572</v>
      </c>
      <c r="V2917" s="36" t="s">
        <v>26573</v>
      </c>
      <c r="W2917" s="36" t="s">
        <v>94</v>
      </c>
      <c r="X2917" s="36">
        <v>2588</v>
      </c>
      <c r="Z2917" s="33" t="s">
        <v>42966</v>
      </c>
      <c r="AA2917" s="33">
        <v>4749</v>
      </c>
    </row>
    <row r="2918" spans="1:43" ht="12" customHeight="1" x14ac:dyDescent="0.15">
      <c r="A2918" s="33" t="s">
        <v>27227</v>
      </c>
      <c r="B2918" s="33">
        <v>48</v>
      </c>
      <c r="C2918" s="33" t="s">
        <v>14</v>
      </c>
      <c r="D2918" s="33" t="s">
        <v>31</v>
      </c>
      <c r="E2918" s="42" t="s">
        <v>27120</v>
      </c>
      <c r="F2918" s="67">
        <v>42870</v>
      </c>
      <c r="G2918" s="33" t="s">
        <v>27228</v>
      </c>
      <c r="H2918" s="33" t="s">
        <v>27229</v>
      </c>
      <c r="I2918" s="33" t="s">
        <v>367</v>
      </c>
      <c r="J2918" s="33">
        <v>74884</v>
      </c>
      <c r="K2918" s="33" t="s">
        <v>8294</v>
      </c>
      <c r="L2918" s="33" t="s">
        <v>27230</v>
      </c>
      <c r="M2918" s="33" t="s">
        <v>21</v>
      </c>
      <c r="N2918" s="33" t="s">
        <v>27231</v>
      </c>
      <c r="O2918" s="33" t="s">
        <v>372</v>
      </c>
      <c r="P2918" s="33" t="s">
        <v>30089</v>
      </c>
      <c r="Q2918" s="42" t="s">
        <v>27232</v>
      </c>
      <c r="R2918" s="33" t="s">
        <v>512</v>
      </c>
      <c r="S2918" s="33" t="s">
        <v>22</v>
      </c>
      <c r="T2918" s="36" t="s">
        <v>26587</v>
      </c>
      <c r="U2918" s="36" t="s">
        <v>26572</v>
      </c>
      <c r="V2918" s="36" t="s">
        <v>26573</v>
      </c>
      <c r="W2918" s="36" t="s">
        <v>94</v>
      </c>
      <c r="X2918" s="36">
        <v>2589</v>
      </c>
      <c r="Z2918" s="33" t="s">
        <v>42967</v>
      </c>
      <c r="AA2918" s="33">
        <v>4742</v>
      </c>
    </row>
    <row r="2919" spans="1:43" ht="12" customHeight="1" x14ac:dyDescent="0.15">
      <c r="A2919" s="33" t="s">
        <v>27003</v>
      </c>
      <c r="B2919" s="33">
        <v>47</v>
      </c>
      <c r="C2919" s="33" t="s">
        <v>14</v>
      </c>
      <c r="D2919" s="33" t="s">
        <v>31</v>
      </c>
      <c r="F2919" s="67">
        <v>42870</v>
      </c>
      <c r="G2919" s="33" t="s">
        <v>27004</v>
      </c>
      <c r="H2919" s="33" t="s">
        <v>9771</v>
      </c>
      <c r="I2919" s="33" t="s">
        <v>298</v>
      </c>
      <c r="J2919" s="33">
        <v>37604</v>
      </c>
      <c r="K2919" s="33" t="s">
        <v>107</v>
      </c>
      <c r="L2919" s="33" t="s">
        <v>36587</v>
      </c>
      <c r="M2919" s="33" t="s">
        <v>21</v>
      </c>
      <c r="N2919" s="33" t="s">
        <v>27005</v>
      </c>
      <c r="O2919" s="33" t="s">
        <v>372</v>
      </c>
      <c r="P2919" s="33" t="s">
        <v>30089</v>
      </c>
      <c r="Q2919" s="42" t="s">
        <v>27006</v>
      </c>
      <c r="R2919" s="33" t="s">
        <v>94</v>
      </c>
      <c r="S2919" s="33" t="s">
        <v>22</v>
      </c>
      <c r="T2919" s="36" t="s">
        <v>26781</v>
      </c>
      <c r="U2919" s="36" t="s">
        <v>26572</v>
      </c>
      <c r="V2919" s="36" t="s">
        <v>26571</v>
      </c>
      <c r="W2919" s="36" t="s">
        <v>94</v>
      </c>
      <c r="X2919" s="33">
        <v>2583</v>
      </c>
      <c r="Z2919" s="33" t="s">
        <v>42968</v>
      </c>
      <c r="AA2919" s="33">
        <v>4744</v>
      </c>
    </row>
    <row r="2920" spans="1:43" ht="12" customHeight="1" x14ac:dyDescent="0.15">
      <c r="A2920" s="33" t="s">
        <v>27318</v>
      </c>
      <c r="B2920" s="33">
        <v>27</v>
      </c>
      <c r="C2920" s="33" t="s">
        <v>103</v>
      </c>
      <c r="D2920" s="33" t="s">
        <v>79</v>
      </c>
      <c r="F2920" s="67">
        <v>42870</v>
      </c>
      <c r="G2920" s="33" t="s">
        <v>26968</v>
      </c>
      <c r="H2920" s="33" t="s">
        <v>584</v>
      </c>
      <c r="I2920" s="33" t="s">
        <v>112</v>
      </c>
      <c r="J2920" s="33">
        <v>85003</v>
      </c>
      <c r="K2920" s="33" t="s">
        <v>585</v>
      </c>
      <c r="L2920" s="33" t="s">
        <v>586</v>
      </c>
      <c r="M2920" s="33" t="s">
        <v>21</v>
      </c>
      <c r="N2920" s="33" t="s">
        <v>26969</v>
      </c>
      <c r="O2920" s="33" t="s">
        <v>372</v>
      </c>
      <c r="P2920" s="33" t="s">
        <v>30089</v>
      </c>
      <c r="Q2920" s="42" t="s">
        <v>26970</v>
      </c>
      <c r="R2920" s="33" t="s">
        <v>94</v>
      </c>
      <c r="S2920" s="33" t="s">
        <v>22</v>
      </c>
      <c r="T2920" s="36" t="s">
        <v>26781</v>
      </c>
      <c r="U2920" s="36" t="s">
        <v>26570</v>
      </c>
      <c r="V2920" s="36" t="s">
        <v>26573</v>
      </c>
      <c r="X2920" s="33">
        <v>2581</v>
      </c>
      <c r="Z2920" s="33" t="s">
        <v>42966</v>
      </c>
      <c r="AA2920" s="33">
        <v>4743</v>
      </c>
    </row>
    <row r="2921" spans="1:43" ht="12" customHeight="1" x14ac:dyDescent="0.15">
      <c r="A2921" s="33" t="s">
        <v>27506</v>
      </c>
      <c r="B2921" s="33">
        <v>34</v>
      </c>
      <c r="C2921" s="33" t="s">
        <v>14</v>
      </c>
      <c r="D2921" s="33" t="s">
        <v>42</v>
      </c>
      <c r="F2921" s="67">
        <v>42870</v>
      </c>
      <c r="G2921" s="33" t="s">
        <v>28835</v>
      </c>
      <c r="H2921" s="33" t="s">
        <v>27507</v>
      </c>
      <c r="I2921" s="33" t="s">
        <v>39</v>
      </c>
      <c r="J2921" s="33">
        <v>92014</v>
      </c>
      <c r="K2921" s="33" t="s">
        <v>143</v>
      </c>
      <c r="L2921" s="33" t="s">
        <v>1970</v>
      </c>
      <c r="M2921" s="33" t="s">
        <v>21</v>
      </c>
      <c r="N2921" s="33" t="s">
        <v>27508</v>
      </c>
      <c r="O2921" s="33" t="s">
        <v>372</v>
      </c>
      <c r="P2921" s="33" t="s">
        <v>30089</v>
      </c>
      <c r="Q2921" s="42" t="s">
        <v>27509</v>
      </c>
      <c r="R2921" s="33" t="s">
        <v>512</v>
      </c>
      <c r="S2921" s="33" t="s">
        <v>22</v>
      </c>
      <c r="T2921" s="36" t="s">
        <v>26774</v>
      </c>
      <c r="U2921" s="36" t="s">
        <v>26572</v>
      </c>
      <c r="V2921" s="36" t="s">
        <v>26574</v>
      </c>
      <c r="W2921" s="36" t="s">
        <v>94</v>
      </c>
      <c r="X2921" s="36">
        <v>2585</v>
      </c>
      <c r="Z2921" s="33" t="s">
        <v>42968</v>
      </c>
      <c r="AA2921" s="33">
        <v>4747</v>
      </c>
      <c r="AQ2921" s="42"/>
    </row>
    <row r="2922" spans="1:43" ht="12" customHeight="1" x14ac:dyDescent="0.15">
      <c r="A2922" s="33" t="s">
        <v>27319</v>
      </c>
      <c r="B2922" s="33">
        <v>22</v>
      </c>
      <c r="C2922" s="33" t="s">
        <v>14</v>
      </c>
      <c r="D2922" s="33" t="s">
        <v>42</v>
      </c>
      <c r="F2922" s="67">
        <v>42870</v>
      </c>
      <c r="G2922" s="33" t="s">
        <v>27000</v>
      </c>
      <c r="H2922" s="33" t="s">
        <v>451</v>
      </c>
      <c r="I2922" s="33" t="s">
        <v>39</v>
      </c>
      <c r="J2922" s="33">
        <v>90805</v>
      </c>
      <c r="K2922" s="33" t="s">
        <v>92</v>
      </c>
      <c r="L2922" s="33" t="s">
        <v>93</v>
      </c>
      <c r="M2922" s="33" t="s">
        <v>21</v>
      </c>
      <c r="N2922" s="33" t="s">
        <v>27001</v>
      </c>
      <c r="O2922" s="33" t="s">
        <v>372</v>
      </c>
      <c r="P2922" s="33" t="s">
        <v>30089</v>
      </c>
      <c r="Q2922" s="42" t="s">
        <v>27002</v>
      </c>
      <c r="R2922" s="33" t="s">
        <v>94</v>
      </c>
      <c r="S2922" s="33" t="s">
        <v>22</v>
      </c>
      <c r="T2922" s="36" t="s">
        <v>26781</v>
      </c>
      <c r="U2922" s="36" t="s">
        <v>26572</v>
      </c>
      <c r="V2922" s="36" t="s">
        <v>26571</v>
      </c>
      <c r="X2922" s="33">
        <v>2584</v>
      </c>
      <c r="Z2922" s="33" t="s">
        <v>42966</v>
      </c>
      <c r="AA2922" s="33">
        <v>4745</v>
      </c>
    </row>
    <row r="2923" spans="1:43" ht="12" customHeight="1" x14ac:dyDescent="0.15">
      <c r="A2923" s="33" t="s">
        <v>26846</v>
      </c>
      <c r="B2923" s="33">
        <v>29</v>
      </c>
      <c r="C2923" s="33" t="s">
        <v>14</v>
      </c>
      <c r="D2923" s="33" t="s">
        <v>79</v>
      </c>
      <c r="F2923" s="67">
        <v>42870</v>
      </c>
      <c r="G2923" s="33" t="s">
        <v>26847</v>
      </c>
      <c r="H2923" s="33" t="s">
        <v>818</v>
      </c>
      <c r="I2923" s="33" t="s">
        <v>225</v>
      </c>
      <c r="J2923" s="33">
        <v>23234</v>
      </c>
      <c r="K2923" s="33" t="s">
        <v>10815</v>
      </c>
      <c r="L2923" s="33" t="s">
        <v>819</v>
      </c>
      <c r="M2923" s="33" t="s">
        <v>21</v>
      </c>
      <c r="N2923" s="33" t="s">
        <v>26848</v>
      </c>
      <c r="O2923" s="33" t="s">
        <v>372</v>
      </c>
      <c r="P2923" s="33" t="s">
        <v>30089</v>
      </c>
      <c r="Q2923" s="42" t="s">
        <v>26849</v>
      </c>
      <c r="R2923" s="33" t="s">
        <v>94</v>
      </c>
      <c r="S2923" s="33" t="s">
        <v>22</v>
      </c>
      <c r="T2923" s="36" t="s">
        <v>26781</v>
      </c>
      <c r="U2923" s="36" t="s">
        <v>26570</v>
      </c>
      <c r="V2923" s="36" t="s">
        <v>26573</v>
      </c>
      <c r="W2923" s="36" t="s">
        <v>94</v>
      </c>
      <c r="X2923" s="36">
        <v>2582</v>
      </c>
      <c r="Z2923" s="33" t="s">
        <v>42968</v>
      </c>
      <c r="AA2923" s="33">
        <v>4746</v>
      </c>
    </row>
    <row r="2924" spans="1:43" ht="12" customHeight="1" x14ac:dyDescent="0.15">
      <c r="A2924" s="33" t="s">
        <v>27277</v>
      </c>
      <c r="B2924" s="33">
        <v>40</v>
      </c>
      <c r="C2924" s="33" t="s">
        <v>14</v>
      </c>
      <c r="D2924" s="33" t="s">
        <v>79</v>
      </c>
      <c r="F2924" s="67">
        <v>42869</v>
      </c>
      <c r="G2924" s="33" t="s">
        <v>27278</v>
      </c>
      <c r="H2924" s="33" t="s">
        <v>607</v>
      </c>
      <c r="I2924" s="33" t="s">
        <v>250</v>
      </c>
      <c r="J2924" s="33">
        <v>89109</v>
      </c>
      <c r="K2924" s="33" t="s">
        <v>527</v>
      </c>
      <c r="L2924" s="33" t="s">
        <v>528</v>
      </c>
      <c r="M2924" s="33" t="s">
        <v>27767</v>
      </c>
      <c r="N2924" s="33" t="s">
        <v>37059</v>
      </c>
      <c r="O2924" s="33" t="s">
        <v>1083</v>
      </c>
      <c r="P2924" s="33" t="s">
        <v>1084</v>
      </c>
      <c r="Q2924" s="42" t="s">
        <v>27279</v>
      </c>
      <c r="R2924" s="33" t="s">
        <v>512</v>
      </c>
      <c r="S2924" s="33" t="s">
        <v>12</v>
      </c>
      <c r="T2924" s="33" t="s">
        <v>29705</v>
      </c>
      <c r="U2924" s="33" t="s">
        <v>26570</v>
      </c>
      <c r="V2924" s="33" t="s">
        <v>26574</v>
      </c>
      <c r="Z2924" s="33" t="s">
        <v>42966</v>
      </c>
      <c r="AA2924" s="33">
        <v>4741</v>
      </c>
    </row>
    <row r="2925" spans="1:43" ht="12" customHeight="1" x14ac:dyDescent="0.15">
      <c r="A2925" s="33" t="s">
        <v>27265</v>
      </c>
      <c r="B2925" s="33">
        <v>48</v>
      </c>
      <c r="C2925" s="33" t="s">
        <v>14</v>
      </c>
      <c r="D2925" s="33" t="s">
        <v>31</v>
      </c>
      <c r="F2925" s="67">
        <v>42869</v>
      </c>
      <c r="G2925" s="33" t="s">
        <v>27266</v>
      </c>
      <c r="H2925" s="33" t="s">
        <v>2312</v>
      </c>
      <c r="I2925" s="33" t="s">
        <v>225</v>
      </c>
      <c r="J2925" s="33">
        <v>24301</v>
      </c>
      <c r="K2925" s="33" t="s">
        <v>2312</v>
      </c>
      <c r="L2925" s="33" t="s">
        <v>27267</v>
      </c>
      <c r="M2925" s="33" t="s">
        <v>21</v>
      </c>
      <c r="N2925" s="33" t="s">
        <v>27268</v>
      </c>
      <c r="O2925" s="33" t="s">
        <v>372</v>
      </c>
      <c r="P2925" s="33" t="s">
        <v>94</v>
      </c>
      <c r="Q2925" s="42" t="s">
        <v>27269</v>
      </c>
      <c r="R2925" s="33" t="s">
        <v>94</v>
      </c>
      <c r="S2925" s="33" t="s">
        <v>22</v>
      </c>
      <c r="T2925" s="36" t="s">
        <v>26781</v>
      </c>
      <c r="U2925" s="36" t="s">
        <v>26572</v>
      </c>
      <c r="V2925" s="36" t="s">
        <v>26573</v>
      </c>
      <c r="W2925" s="36" t="s">
        <v>94</v>
      </c>
      <c r="X2925" s="36">
        <v>2715</v>
      </c>
      <c r="Z2925" s="33" t="s">
        <v>42967</v>
      </c>
      <c r="AA2925" s="33">
        <v>4740</v>
      </c>
    </row>
    <row r="2926" spans="1:43" ht="12" customHeight="1" x14ac:dyDescent="0.15">
      <c r="A2926" s="33" t="s">
        <v>27317</v>
      </c>
      <c r="B2926" s="33">
        <v>41</v>
      </c>
      <c r="C2926" s="33" t="s">
        <v>14</v>
      </c>
      <c r="D2926" s="33" t="s">
        <v>42</v>
      </c>
      <c r="F2926" s="67">
        <v>42869</v>
      </c>
      <c r="G2926" s="33" t="s">
        <v>26966</v>
      </c>
      <c r="H2926" s="33" t="s">
        <v>3413</v>
      </c>
      <c r="I2926" s="33" t="s">
        <v>112</v>
      </c>
      <c r="J2926" s="33">
        <v>86401</v>
      </c>
      <c r="K2926" s="33" t="s">
        <v>5363</v>
      </c>
      <c r="L2926" s="33" t="s">
        <v>22880</v>
      </c>
      <c r="M2926" s="33" t="s">
        <v>21</v>
      </c>
      <c r="N2926" s="33" t="s">
        <v>36588</v>
      </c>
      <c r="O2926" s="33" t="s">
        <v>372</v>
      </c>
      <c r="P2926" s="33" t="s">
        <v>30089</v>
      </c>
      <c r="Q2926" s="42" t="s">
        <v>26967</v>
      </c>
      <c r="R2926" s="33" t="s">
        <v>94</v>
      </c>
      <c r="S2926" s="33" t="s">
        <v>22</v>
      </c>
      <c r="T2926" s="36" t="s">
        <v>26781</v>
      </c>
      <c r="U2926" s="36" t="s">
        <v>26572</v>
      </c>
      <c r="V2926" s="36" t="s">
        <v>26571</v>
      </c>
      <c r="W2926" s="36" t="s">
        <v>94</v>
      </c>
      <c r="X2926" s="36">
        <v>2579</v>
      </c>
      <c r="Z2926" s="33" t="s">
        <v>42968</v>
      </c>
      <c r="AA2926" s="33">
        <v>4739</v>
      </c>
    </row>
    <row r="2927" spans="1:43" ht="12" customHeight="1" x14ac:dyDescent="0.15">
      <c r="A2927" s="33" t="s">
        <v>26957</v>
      </c>
      <c r="B2927" s="33">
        <v>41</v>
      </c>
      <c r="C2927" s="33" t="s">
        <v>14</v>
      </c>
      <c r="D2927" s="33" t="s">
        <v>79</v>
      </c>
      <c r="F2927" s="67">
        <v>42868</v>
      </c>
      <c r="G2927" s="33" t="s">
        <v>26958</v>
      </c>
      <c r="H2927" s="33" t="s">
        <v>45</v>
      </c>
      <c r="I2927" s="33" t="s">
        <v>402</v>
      </c>
      <c r="J2927" s="33">
        <v>65203</v>
      </c>
      <c r="K2927" s="33" t="s">
        <v>2634</v>
      </c>
      <c r="L2927" s="33" t="s">
        <v>1712</v>
      </c>
      <c r="M2927" s="33" t="s">
        <v>21</v>
      </c>
      <c r="N2927" s="33" t="s">
        <v>26959</v>
      </c>
      <c r="O2927" s="33" t="s">
        <v>372</v>
      </c>
      <c r="P2927" s="33" t="s">
        <v>30089</v>
      </c>
      <c r="Q2927" s="42" t="s">
        <v>26960</v>
      </c>
      <c r="R2927" s="33" t="s">
        <v>94</v>
      </c>
      <c r="S2927" s="33" t="s">
        <v>22</v>
      </c>
      <c r="T2927" s="36" t="s">
        <v>26781</v>
      </c>
      <c r="U2927" s="36" t="s">
        <v>26572</v>
      </c>
      <c r="V2927" s="36" t="s">
        <v>26573</v>
      </c>
      <c r="W2927" s="36" t="s">
        <v>94</v>
      </c>
      <c r="X2927" s="36">
        <v>2580</v>
      </c>
      <c r="Z2927" s="33" t="s">
        <v>42966</v>
      </c>
      <c r="AA2927" s="33">
        <v>4736</v>
      </c>
    </row>
    <row r="2928" spans="1:43" ht="12" customHeight="1" x14ac:dyDescent="0.15">
      <c r="A2928" s="33" t="s">
        <v>27237</v>
      </c>
      <c r="B2928" s="33">
        <v>21</v>
      </c>
      <c r="C2928" s="33" t="s">
        <v>14</v>
      </c>
      <c r="D2928" s="33" t="s">
        <v>79</v>
      </c>
      <c r="F2928" s="67">
        <v>42868</v>
      </c>
      <c r="G2928" s="33" t="s">
        <v>27238</v>
      </c>
      <c r="H2928" s="33" t="s">
        <v>25827</v>
      </c>
      <c r="I2928" s="33" t="s">
        <v>38</v>
      </c>
      <c r="J2928" s="33">
        <v>60134</v>
      </c>
      <c r="K2928" s="33" t="s">
        <v>7119</v>
      </c>
      <c r="L2928" s="33" t="s">
        <v>27239</v>
      </c>
      <c r="M2928" s="33" t="s">
        <v>21</v>
      </c>
      <c r="N2928" s="33" t="s">
        <v>27240</v>
      </c>
      <c r="O2928" s="33" t="s">
        <v>372</v>
      </c>
      <c r="P2928" s="33" t="s">
        <v>30089</v>
      </c>
      <c r="Q2928" s="42" t="s">
        <v>27241</v>
      </c>
      <c r="R2928" s="33" t="s">
        <v>94</v>
      </c>
      <c r="S2928" s="33" t="s">
        <v>22</v>
      </c>
      <c r="T2928" s="36" t="s">
        <v>26781</v>
      </c>
      <c r="U2928" s="36" t="s">
        <v>26572</v>
      </c>
      <c r="V2928" s="36" t="s">
        <v>26573</v>
      </c>
      <c r="Z2928" s="33" t="s">
        <v>42968</v>
      </c>
      <c r="AA2928" s="33">
        <v>4737</v>
      </c>
    </row>
    <row r="2929" spans="1:46" ht="12" customHeight="1" x14ac:dyDescent="0.15">
      <c r="A2929" s="33" t="s">
        <v>27315</v>
      </c>
      <c r="B2929" s="33">
        <v>48</v>
      </c>
      <c r="C2929" s="33" t="s">
        <v>14</v>
      </c>
      <c r="D2929" s="33" t="s">
        <v>31</v>
      </c>
      <c r="F2929" s="67">
        <v>42868</v>
      </c>
      <c r="G2929" s="33" t="s">
        <v>27270</v>
      </c>
      <c r="H2929" s="33" t="s">
        <v>830</v>
      </c>
      <c r="I2929" s="33" t="s">
        <v>198</v>
      </c>
      <c r="J2929" s="33">
        <v>46140</v>
      </c>
      <c r="K2929" s="33" t="s">
        <v>1742</v>
      </c>
      <c r="L2929" s="33" t="s">
        <v>832</v>
      </c>
      <c r="M2929" s="33" t="s">
        <v>363</v>
      </c>
      <c r="N2929" s="33" t="s">
        <v>30718</v>
      </c>
      <c r="O2929" s="33" t="s">
        <v>372</v>
      </c>
      <c r="P2929" s="33" t="s">
        <v>30089</v>
      </c>
      <c r="Q2929" s="42" t="s">
        <v>27271</v>
      </c>
      <c r="R2929" s="33" t="s">
        <v>904</v>
      </c>
      <c r="S2929" s="33" t="s">
        <v>12</v>
      </c>
      <c r="T2929" s="33" t="s">
        <v>29705</v>
      </c>
      <c r="U2929" s="33" t="s">
        <v>26572</v>
      </c>
      <c r="V2929" s="33" t="s">
        <v>26573</v>
      </c>
      <c r="Z2929" s="33" t="s">
        <v>42968</v>
      </c>
      <c r="AA2929" s="33">
        <v>4738</v>
      </c>
    </row>
    <row r="2930" spans="1:46" ht="12" customHeight="1" x14ac:dyDescent="0.15">
      <c r="A2930" s="33" t="s">
        <v>27316</v>
      </c>
      <c r="B2930" s="33">
        <v>37</v>
      </c>
      <c r="C2930" s="33" t="s">
        <v>14</v>
      </c>
      <c r="D2930" s="33" t="s">
        <v>31</v>
      </c>
      <c r="F2930" s="67">
        <v>42868</v>
      </c>
      <c r="G2930" s="33" t="s">
        <v>26961</v>
      </c>
      <c r="H2930" s="33" t="s">
        <v>26962</v>
      </c>
      <c r="I2930" s="33" t="s">
        <v>409</v>
      </c>
      <c r="J2930" s="33">
        <v>53219</v>
      </c>
      <c r="K2930" s="33" t="s">
        <v>831</v>
      </c>
      <c r="L2930" s="33" t="s">
        <v>26963</v>
      </c>
      <c r="M2930" s="33" t="s">
        <v>21</v>
      </c>
      <c r="N2930" s="33" t="s">
        <v>26964</v>
      </c>
      <c r="O2930" s="33" t="s">
        <v>372</v>
      </c>
      <c r="P2930" s="33" t="s">
        <v>94</v>
      </c>
      <c r="Q2930" s="42" t="s">
        <v>26965</v>
      </c>
      <c r="R2930" s="33" t="s">
        <v>904</v>
      </c>
      <c r="S2930" s="33" t="s">
        <v>22</v>
      </c>
      <c r="T2930" s="36" t="s">
        <v>26781</v>
      </c>
      <c r="U2930" s="36" t="s">
        <v>26572</v>
      </c>
      <c r="V2930" s="36" t="s">
        <v>26574</v>
      </c>
      <c r="X2930" s="33">
        <v>2576</v>
      </c>
      <c r="Y2930" s="83"/>
      <c r="Z2930" s="33" t="s">
        <v>42966</v>
      </c>
      <c r="AA2930" s="33">
        <v>4735</v>
      </c>
      <c r="AQ2930" s="84"/>
    </row>
    <row r="2931" spans="1:46" ht="12" customHeight="1" x14ac:dyDescent="0.15">
      <c r="A2931" s="33" t="s">
        <v>27163</v>
      </c>
      <c r="B2931" s="33">
        <v>51</v>
      </c>
      <c r="C2931" s="33" t="s">
        <v>14</v>
      </c>
      <c r="D2931" s="33" t="s">
        <v>79</v>
      </c>
      <c r="F2931" s="67">
        <v>42867</v>
      </c>
      <c r="G2931" s="33" t="s">
        <v>27164</v>
      </c>
      <c r="H2931" s="33" t="s">
        <v>1033</v>
      </c>
      <c r="I2931" s="33" t="s">
        <v>376</v>
      </c>
      <c r="J2931" s="33">
        <v>19143</v>
      </c>
      <c r="K2931" s="33" t="s">
        <v>1033</v>
      </c>
      <c r="L2931" s="33" t="s">
        <v>1034</v>
      </c>
      <c r="M2931" s="33" t="s">
        <v>4966</v>
      </c>
      <c r="N2931" s="33" t="s">
        <v>27165</v>
      </c>
      <c r="O2931" s="33" t="s">
        <v>372</v>
      </c>
      <c r="P2931" s="33" t="s">
        <v>30089</v>
      </c>
      <c r="Q2931" s="42" t="s">
        <v>27166</v>
      </c>
      <c r="R2931" s="33" t="s">
        <v>94</v>
      </c>
      <c r="S2931" s="33" t="s">
        <v>22</v>
      </c>
      <c r="T2931" s="36" t="s">
        <v>26774</v>
      </c>
      <c r="U2931" s="36" t="s">
        <v>26570</v>
      </c>
      <c r="V2931" s="36" t="s">
        <v>26573</v>
      </c>
      <c r="W2931" s="36" t="s">
        <v>94</v>
      </c>
      <c r="X2931" s="36">
        <v>2574</v>
      </c>
      <c r="Z2931" s="33" t="s">
        <v>42966</v>
      </c>
      <c r="AA2931" s="33">
        <v>4732</v>
      </c>
    </row>
    <row r="2932" spans="1:46" ht="12" customHeight="1" x14ac:dyDescent="0.15">
      <c r="A2932" s="33" t="s">
        <v>27304</v>
      </c>
      <c r="B2932" s="33">
        <v>41</v>
      </c>
      <c r="C2932" s="33" t="s">
        <v>14</v>
      </c>
      <c r="D2932" s="33" t="s">
        <v>31</v>
      </c>
      <c r="E2932" s="42" t="s">
        <v>27305</v>
      </c>
      <c r="F2932" s="67">
        <v>42867</v>
      </c>
      <c r="G2932" s="33" t="s">
        <v>27306</v>
      </c>
      <c r="H2932" s="33" t="s">
        <v>27307</v>
      </c>
      <c r="I2932" s="33" t="s">
        <v>39</v>
      </c>
      <c r="J2932" s="33">
        <v>94928</v>
      </c>
      <c r="K2932" s="33" t="s">
        <v>2469</v>
      </c>
      <c r="L2932" s="33" t="s">
        <v>27308</v>
      </c>
      <c r="M2932" s="33" t="s">
        <v>363</v>
      </c>
      <c r="N2932" s="33" t="s">
        <v>36590</v>
      </c>
      <c r="O2932" s="33" t="s">
        <v>372</v>
      </c>
      <c r="P2932" s="33" t="s">
        <v>30089</v>
      </c>
      <c r="Q2932" s="42" t="s">
        <v>27309</v>
      </c>
      <c r="R2932" s="33" t="s">
        <v>512</v>
      </c>
      <c r="S2932" s="33" t="s">
        <v>12</v>
      </c>
      <c r="T2932" s="33" t="s">
        <v>29705</v>
      </c>
      <c r="U2932" s="33" t="s">
        <v>26572</v>
      </c>
      <c r="V2932" s="33" t="s">
        <v>26573</v>
      </c>
      <c r="Z2932" s="33" t="s">
        <v>42968</v>
      </c>
      <c r="AA2932" s="33">
        <v>4734</v>
      </c>
    </row>
    <row r="2933" spans="1:46" ht="12" customHeight="1" x14ac:dyDescent="0.15">
      <c r="A2933" s="33" t="s">
        <v>27119</v>
      </c>
      <c r="B2933" s="33">
        <v>35</v>
      </c>
      <c r="C2933" s="33" t="s">
        <v>14</v>
      </c>
      <c r="D2933" s="33" t="s">
        <v>31</v>
      </c>
      <c r="E2933" s="42" t="s">
        <v>27120</v>
      </c>
      <c r="F2933" s="67">
        <v>42867</v>
      </c>
      <c r="G2933" s="33" t="s">
        <v>3667</v>
      </c>
      <c r="H2933" s="33" t="s">
        <v>27121</v>
      </c>
      <c r="I2933" s="33" t="s">
        <v>88</v>
      </c>
      <c r="J2933" s="33">
        <v>36567</v>
      </c>
      <c r="K2933" s="33" t="s">
        <v>3400</v>
      </c>
      <c r="L2933" s="33" t="s">
        <v>3401</v>
      </c>
      <c r="M2933" s="33" t="s">
        <v>21</v>
      </c>
      <c r="N2933" s="33" t="s">
        <v>27122</v>
      </c>
      <c r="O2933" s="33" t="s">
        <v>372</v>
      </c>
      <c r="P2933" s="33" t="s">
        <v>94</v>
      </c>
      <c r="Q2933" s="42" t="s">
        <v>27123</v>
      </c>
      <c r="R2933" s="33" t="s">
        <v>904</v>
      </c>
      <c r="S2933" s="33" t="s">
        <v>12</v>
      </c>
      <c r="T2933" s="36" t="s">
        <v>29705</v>
      </c>
      <c r="U2933" s="36" t="s">
        <v>26570</v>
      </c>
      <c r="V2933" s="36" t="s">
        <v>26573</v>
      </c>
      <c r="W2933" s="36" t="s">
        <v>94</v>
      </c>
      <c r="X2933" s="36">
        <v>2577</v>
      </c>
      <c r="Z2933" s="33" t="s">
        <v>42967</v>
      </c>
      <c r="AA2933" s="33">
        <v>4733</v>
      </c>
    </row>
    <row r="2934" spans="1:46" ht="12" customHeight="1" x14ac:dyDescent="0.15">
      <c r="A2934" s="33" t="s">
        <v>27262</v>
      </c>
      <c r="B2934" s="33">
        <v>27</v>
      </c>
      <c r="C2934" s="33" t="s">
        <v>14</v>
      </c>
      <c r="D2934" s="33" t="s">
        <v>42</v>
      </c>
      <c r="F2934" s="67">
        <v>42867</v>
      </c>
      <c r="G2934" s="33" t="s">
        <v>27263</v>
      </c>
      <c r="H2934" s="33" t="s">
        <v>674</v>
      </c>
      <c r="I2934" s="33" t="s">
        <v>67</v>
      </c>
      <c r="J2934" s="33">
        <v>77015</v>
      </c>
      <c r="K2934" s="33" t="s">
        <v>515</v>
      </c>
      <c r="L2934" s="33" t="s">
        <v>516</v>
      </c>
      <c r="M2934" s="33" t="s">
        <v>21</v>
      </c>
      <c r="N2934" s="33" t="s">
        <v>36589</v>
      </c>
      <c r="O2934" s="33" t="s">
        <v>372</v>
      </c>
      <c r="P2934" s="33" t="s">
        <v>30089</v>
      </c>
      <c r="Q2934" s="42" t="s">
        <v>27264</v>
      </c>
      <c r="R2934" s="33" t="s">
        <v>94</v>
      </c>
      <c r="S2934" s="33" t="s">
        <v>22</v>
      </c>
      <c r="T2934" s="36" t="s">
        <v>26781</v>
      </c>
      <c r="U2934" s="36" t="s">
        <v>26572</v>
      </c>
      <c r="V2934" s="36" t="s">
        <v>26573</v>
      </c>
      <c r="Y2934" s="33" t="s">
        <v>42476</v>
      </c>
      <c r="Z2934" s="33" t="s">
        <v>42968</v>
      </c>
      <c r="AA2934" s="33">
        <v>4731</v>
      </c>
    </row>
    <row r="2935" spans="1:46" ht="12" customHeight="1" x14ac:dyDescent="0.15">
      <c r="A2935" s="33" t="s">
        <v>30405</v>
      </c>
      <c r="B2935" s="33">
        <v>30</v>
      </c>
      <c r="C2935" s="33" t="s">
        <v>14</v>
      </c>
      <c r="D2935" s="33" t="s">
        <v>31</v>
      </c>
      <c r="F2935" s="67">
        <v>42867</v>
      </c>
      <c r="G2935" s="33" t="s">
        <v>27210</v>
      </c>
      <c r="H2935" s="33" t="s">
        <v>4219</v>
      </c>
      <c r="I2935" s="33" t="s">
        <v>798</v>
      </c>
      <c r="J2935" s="33">
        <v>59106</v>
      </c>
      <c r="K2935" s="33" t="s">
        <v>4221</v>
      </c>
      <c r="L2935" s="33" t="s">
        <v>9485</v>
      </c>
      <c r="M2935" s="33" t="s">
        <v>21</v>
      </c>
      <c r="N2935" s="33" t="s">
        <v>27211</v>
      </c>
      <c r="O2935" s="33" t="s">
        <v>372</v>
      </c>
      <c r="P2935" s="33" t="s">
        <v>30089</v>
      </c>
      <c r="Q2935" s="42" t="s">
        <v>27212</v>
      </c>
      <c r="R2935" s="33" t="s">
        <v>512</v>
      </c>
      <c r="S2935" s="33" t="s">
        <v>22</v>
      </c>
      <c r="T2935" s="36" t="s">
        <v>26781</v>
      </c>
      <c r="U2935" s="36" t="s">
        <v>26572</v>
      </c>
      <c r="V2935" s="36" t="s">
        <v>26573</v>
      </c>
      <c r="W2935" s="36" t="s">
        <v>94</v>
      </c>
      <c r="X2935" s="36">
        <v>2575</v>
      </c>
      <c r="Z2935" s="33" t="s">
        <v>42968</v>
      </c>
      <c r="AA2935" s="33">
        <v>4729</v>
      </c>
    </row>
    <row r="2936" spans="1:46" ht="12" customHeight="1" x14ac:dyDescent="0.15">
      <c r="A2936" s="33" t="s">
        <v>27081</v>
      </c>
      <c r="B2936" s="33">
        <v>46</v>
      </c>
      <c r="C2936" s="33" t="s">
        <v>14</v>
      </c>
      <c r="D2936" s="33" t="s">
        <v>31</v>
      </c>
      <c r="E2936" s="42" t="s">
        <v>27082</v>
      </c>
      <c r="F2936" s="67">
        <v>42867</v>
      </c>
      <c r="G2936" s="33" t="s">
        <v>27083</v>
      </c>
      <c r="H2936" s="33" t="s">
        <v>27084</v>
      </c>
      <c r="I2936" s="33" t="s">
        <v>56</v>
      </c>
      <c r="J2936" s="33">
        <v>33458</v>
      </c>
      <c r="K2936" s="33" t="s">
        <v>4878</v>
      </c>
      <c r="L2936" s="33" t="s">
        <v>57</v>
      </c>
      <c r="M2936" s="33" t="s">
        <v>21</v>
      </c>
      <c r="N2936" s="33" t="s">
        <v>27085</v>
      </c>
      <c r="O2936" s="33" t="s">
        <v>372</v>
      </c>
      <c r="P2936" s="33" t="s">
        <v>30089</v>
      </c>
      <c r="Q2936" s="42" t="s">
        <v>27086</v>
      </c>
      <c r="R2936" s="33" t="s">
        <v>94</v>
      </c>
      <c r="S2936" s="33" t="s">
        <v>22</v>
      </c>
      <c r="T2936" s="36" t="s">
        <v>26781</v>
      </c>
      <c r="U2936" s="36" t="s">
        <v>26572</v>
      </c>
      <c r="V2936" s="36" t="s">
        <v>26571</v>
      </c>
      <c r="W2936" s="36" t="s">
        <v>94</v>
      </c>
      <c r="X2936" s="36">
        <v>2578</v>
      </c>
      <c r="Z2936" s="33" t="s">
        <v>42968</v>
      </c>
      <c r="AA2936" s="33">
        <v>4730</v>
      </c>
    </row>
    <row r="2937" spans="1:46" ht="12" customHeight="1" x14ac:dyDescent="0.15">
      <c r="A2937" s="33" t="s">
        <v>3002</v>
      </c>
      <c r="B2937" s="33" t="s">
        <v>23</v>
      </c>
      <c r="C2937" s="33" t="s">
        <v>14</v>
      </c>
      <c r="D2937" s="33" t="s">
        <v>42</v>
      </c>
      <c r="F2937" s="67">
        <v>42866</v>
      </c>
      <c r="G2937" s="33" t="s">
        <v>26954</v>
      </c>
      <c r="H2937" s="33" t="s">
        <v>787</v>
      </c>
      <c r="I2937" s="33" t="s">
        <v>67</v>
      </c>
      <c r="J2937" s="33">
        <v>76011</v>
      </c>
      <c r="K2937" s="33" t="s">
        <v>68</v>
      </c>
      <c r="L2937" s="33" t="s">
        <v>788</v>
      </c>
      <c r="M2937" s="33" t="s">
        <v>21</v>
      </c>
      <c r="N2937" s="33" t="s">
        <v>26955</v>
      </c>
      <c r="O2937" s="33" t="s">
        <v>372</v>
      </c>
      <c r="P2937" s="33" t="s">
        <v>30089</v>
      </c>
      <c r="Q2937" s="42" t="s">
        <v>26956</v>
      </c>
      <c r="R2937" s="33" t="s">
        <v>23</v>
      </c>
      <c r="S2937" s="33" t="s">
        <v>22</v>
      </c>
      <c r="T2937" s="36" t="s">
        <v>26781</v>
      </c>
      <c r="U2937" s="36" t="s">
        <v>26572</v>
      </c>
      <c r="V2937" s="36" t="s">
        <v>26573</v>
      </c>
      <c r="W2937" s="36" t="s">
        <v>94</v>
      </c>
      <c r="X2937" s="36">
        <v>2573</v>
      </c>
      <c r="Z2937" s="33" t="s">
        <v>42966</v>
      </c>
      <c r="AA2937" s="33">
        <v>4728</v>
      </c>
      <c r="AT2937" s="42"/>
    </row>
    <row r="2938" spans="1:46" ht="12" customHeight="1" x14ac:dyDescent="0.15">
      <c r="A2938" s="33" t="s">
        <v>26950</v>
      </c>
      <c r="B2938" s="33">
        <v>50</v>
      </c>
      <c r="C2938" s="33" t="s">
        <v>103</v>
      </c>
      <c r="D2938" s="33" t="s">
        <v>79</v>
      </c>
      <c r="F2938" s="67">
        <v>42865</v>
      </c>
      <c r="G2938" s="33" t="s">
        <v>26951</v>
      </c>
      <c r="H2938" s="33" t="s">
        <v>661</v>
      </c>
      <c r="I2938" s="33" t="s">
        <v>402</v>
      </c>
      <c r="J2938" s="33">
        <v>63116</v>
      </c>
      <c r="K2938" s="33" t="s">
        <v>661</v>
      </c>
      <c r="L2938" s="33" t="s">
        <v>4162</v>
      </c>
      <c r="M2938" s="33" t="s">
        <v>21</v>
      </c>
      <c r="N2938" s="33" t="s">
        <v>26952</v>
      </c>
      <c r="O2938" s="33" t="s">
        <v>372</v>
      </c>
      <c r="P2938" s="33" t="s">
        <v>30089</v>
      </c>
      <c r="Q2938" s="42" t="s">
        <v>26953</v>
      </c>
      <c r="R2938" s="33" t="s">
        <v>512</v>
      </c>
      <c r="S2938" s="33" t="s">
        <v>22</v>
      </c>
      <c r="T2938" s="36" t="s">
        <v>26781</v>
      </c>
      <c r="U2938" s="36" t="s">
        <v>26572</v>
      </c>
      <c r="V2938" s="36" t="s">
        <v>26573</v>
      </c>
      <c r="W2938" s="36" t="s">
        <v>94</v>
      </c>
      <c r="X2938" s="36">
        <v>2571</v>
      </c>
      <c r="Z2938" s="33" t="s">
        <v>42966</v>
      </c>
      <c r="AA2938" s="33">
        <v>4725</v>
      </c>
      <c r="AQ2938" s="42"/>
    </row>
    <row r="2939" spans="1:46" ht="12" customHeight="1" x14ac:dyDescent="0.15">
      <c r="A2939" s="33" t="s">
        <v>27172</v>
      </c>
      <c r="B2939" s="33">
        <v>50</v>
      </c>
      <c r="C2939" s="33" t="s">
        <v>14</v>
      </c>
      <c r="D2939" s="33" t="s">
        <v>31</v>
      </c>
      <c r="F2939" s="67">
        <v>42865</v>
      </c>
      <c r="G2939" s="33" t="s">
        <v>27173</v>
      </c>
      <c r="H2939" s="33" t="s">
        <v>24385</v>
      </c>
      <c r="I2939" s="33" t="s">
        <v>39</v>
      </c>
      <c r="J2939" s="33">
        <v>92040</v>
      </c>
      <c r="K2939" s="33" t="s">
        <v>143</v>
      </c>
      <c r="L2939" s="33" t="s">
        <v>1970</v>
      </c>
      <c r="M2939" s="33" t="s">
        <v>4966</v>
      </c>
      <c r="N2939" s="33" t="s">
        <v>27174</v>
      </c>
      <c r="O2939" s="33" t="s">
        <v>372</v>
      </c>
      <c r="P2939" s="33" t="s">
        <v>30089</v>
      </c>
      <c r="Q2939" s="42" t="s">
        <v>27175</v>
      </c>
      <c r="R2939" s="33" t="s">
        <v>23</v>
      </c>
      <c r="S2939" s="33" t="s">
        <v>351</v>
      </c>
      <c r="T2939" s="36" t="s">
        <v>26867</v>
      </c>
      <c r="U2939" s="36" t="s">
        <v>26570</v>
      </c>
      <c r="V2939" s="36" t="s">
        <v>26571</v>
      </c>
      <c r="W2939" s="36" t="s">
        <v>94</v>
      </c>
      <c r="X2939" s="36">
        <v>2572</v>
      </c>
      <c r="Y2939" s="88"/>
      <c r="Z2939" s="33" t="s">
        <v>42968</v>
      </c>
      <c r="AA2939" s="33">
        <v>4727</v>
      </c>
      <c r="AQ2939" s="42"/>
    </row>
    <row r="2940" spans="1:46" ht="12" customHeight="1" x14ac:dyDescent="0.15">
      <c r="A2940" s="33" t="s">
        <v>26841</v>
      </c>
      <c r="B2940" s="33">
        <v>24</v>
      </c>
      <c r="C2940" s="33" t="s">
        <v>14</v>
      </c>
      <c r="D2940" s="33" t="s">
        <v>79</v>
      </c>
      <c r="E2940" s="42" t="s">
        <v>26842</v>
      </c>
      <c r="F2940" s="67">
        <v>42865</v>
      </c>
      <c r="G2940" s="33" t="s">
        <v>26843</v>
      </c>
      <c r="H2940" s="33" t="s">
        <v>1459</v>
      </c>
      <c r="I2940" s="33" t="s">
        <v>106</v>
      </c>
      <c r="J2940" s="33">
        <v>97266</v>
      </c>
      <c r="K2940" s="33" t="s">
        <v>1461</v>
      </c>
      <c r="L2940" s="33" t="s">
        <v>16039</v>
      </c>
      <c r="M2940" s="33" t="s">
        <v>21</v>
      </c>
      <c r="N2940" s="33" t="s">
        <v>26844</v>
      </c>
      <c r="O2940" s="33" t="s">
        <v>372</v>
      </c>
      <c r="P2940" s="33" t="s">
        <v>30089</v>
      </c>
      <c r="Q2940" s="42" t="s">
        <v>26845</v>
      </c>
      <c r="R2940" s="33" t="s">
        <v>94</v>
      </c>
      <c r="S2940" s="33" t="s">
        <v>22</v>
      </c>
      <c r="T2940" s="36" t="s">
        <v>26774</v>
      </c>
      <c r="U2940" s="36" t="s">
        <v>26570</v>
      </c>
      <c r="V2940" s="36" t="s">
        <v>26574</v>
      </c>
      <c r="W2940" s="36" t="s">
        <v>94</v>
      </c>
      <c r="X2940" s="36">
        <v>2570</v>
      </c>
      <c r="Z2940" s="33" t="s">
        <v>42968</v>
      </c>
      <c r="AA2940" s="33">
        <v>4726</v>
      </c>
    </row>
    <row r="2941" spans="1:46" ht="12" customHeight="1" x14ac:dyDescent="0.15">
      <c r="A2941" s="33" t="s">
        <v>27074</v>
      </c>
      <c r="B2941" s="33">
        <v>34</v>
      </c>
      <c r="C2941" s="33" t="s">
        <v>14</v>
      </c>
      <c r="D2941" s="33" t="s">
        <v>31</v>
      </c>
      <c r="E2941" s="42" t="s">
        <v>27075</v>
      </c>
      <c r="F2941" s="67">
        <v>42864</v>
      </c>
      <c r="G2941" s="33" t="s">
        <v>27076</v>
      </c>
      <c r="H2941" s="33" t="s">
        <v>27077</v>
      </c>
      <c r="I2941" s="33" t="s">
        <v>63</v>
      </c>
      <c r="J2941" s="33">
        <v>44883</v>
      </c>
      <c r="K2941" s="33" t="s">
        <v>958</v>
      </c>
      <c r="L2941" s="33" t="s">
        <v>27078</v>
      </c>
      <c r="M2941" s="33" t="s">
        <v>21</v>
      </c>
      <c r="N2941" s="33" t="s">
        <v>27079</v>
      </c>
      <c r="O2941" s="33" t="s">
        <v>372</v>
      </c>
      <c r="P2941" s="33" t="s">
        <v>30089</v>
      </c>
      <c r="Q2941" s="42" t="s">
        <v>27080</v>
      </c>
      <c r="R2941" s="33" t="s">
        <v>94</v>
      </c>
      <c r="S2941" s="33" t="s">
        <v>22</v>
      </c>
      <c r="T2941" s="36" t="s">
        <v>26781</v>
      </c>
      <c r="U2941" s="36" t="s">
        <v>26572</v>
      </c>
      <c r="V2941" s="36" t="s">
        <v>26573</v>
      </c>
      <c r="W2941" s="36" t="s">
        <v>94</v>
      </c>
      <c r="X2941" s="36">
        <v>2569</v>
      </c>
      <c r="Z2941" s="33" t="s">
        <v>42968</v>
      </c>
      <c r="AA2941" s="33">
        <v>4721</v>
      </c>
    </row>
    <row r="2942" spans="1:46" ht="12" customHeight="1" x14ac:dyDescent="0.15">
      <c r="A2942" s="33" t="s">
        <v>26892</v>
      </c>
      <c r="B2942" s="33">
        <v>15</v>
      </c>
      <c r="C2942" s="33" t="s">
        <v>14</v>
      </c>
      <c r="D2942" s="33" t="s">
        <v>42</v>
      </c>
      <c r="E2942" s="42" t="s">
        <v>26893</v>
      </c>
      <c r="F2942" s="67">
        <v>42864</v>
      </c>
      <c r="G2942" s="33" t="s">
        <v>26894</v>
      </c>
      <c r="H2942" s="33" t="s">
        <v>11669</v>
      </c>
      <c r="I2942" s="33" t="s">
        <v>35</v>
      </c>
      <c r="J2942" s="33">
        <v>6604</v>
      </c>
      <c r="K2942" s="33" t="s">
        <v>4499</v>
      </c>
      <c r="L2942" s="33" t="s">
        <v>11671</v>
      </c>
      <c r="M2942" s="33" t="s">
        <v>21</v>
      </c>
      <c r="N2942" s="33" t="s">
        <v>26895</v>
      </c>
      <c r="O2942" s="33" t="s">
        <v>372</v>
      </c>
      <c r="P2942" s="33" t="s">
        <v>30089</v>
      </c>
      <c r="Q2942" s="42" t="s">
        <v>26896</v>
      </c>
      <c r="R2942" s="33" t="s">
        <v>94</v>
      </c>
      <c r="S2942" s="33" t="s">
        <v>351</v>
      </c>
      <c r="T2942" s="36" t="s">
        <v>26867</v>
      </c>
      <c r="U2942" s="36" t="s">
        <v>26572</v>
      </c>
      <c r="V2942" s="36" t="s">
        <v>26571</v>
      </c>
      <c r="W2942" s="36" t="s">
        <v>94</v>
      </c>
      <c r="X2942" s="36">
        <v>2563</v>
      </c>
      <c r="Z2942" s="33" t="s">
        <v>42966</v>
      </c>
      <c r="AA2942" s="33">
        <v>4724</v>
      </c>
    </row>
    <row r="2943" spans="1:46" ht="12" customHeight="1" x14ac:dyDescent="0.15">
      <c r="A2943" s="33" t="s">
        <v>30406</v>
      </c>
      <c r="B2943" s="33">
        <v>40</v>
      </c>
      <c r="C2943" s="33" t="s">
        <v>14</v>
      </c>
      <c r="D2943" s="33" t="s">
        <v>31</v>
      </c>
      <c r="F2943" s="67">
        <v>42864</v>
      </c>
      <c r="G2943" s="33" t="s">
        <v>26947</v>
      </c>
      <c r="H2943" s="33" t="s">
        <v>21113</v>
      </c>
      <c r="I2943" s="33" t="s">
        <v>192</v>
      </c>
      <c r="J2943" s="33">
        <v>80234</v>
      </c>
      <c r="K2943" s="33" t="s">
        <v>1790</v>
      </c>
      <c r="L2943" s="33" t="s">
        <v>21114</v>
      </c>
      <c r="M2943" s="33" t="s">
        <v>21</v>
      </c>
      <c r="N2943" s="33" t="s">
        <v>26948</v>
      </c>
      <c r="O2943" s="33" t="s">
        <v>372</v>
      </c>
      <c r="P2943" s="33" t="s">
        <v>94</v>
      </c>
      <c r="Q2943" s="42" t="s">
        <v>26949</v>
      </c>
      <c r="R2943" s="33" t="s">
        <v>94</v>
      </c>
      <c r="S2943" s="33" t="s">
        <v>22</v>
      </c>
      <c r="T2943" s="36" t="s">
        <v>26781</v>
      </c>
      <c r="U2943" s="36" t="s">
        <v>26572</v>
      </c>
      <c r="V2943" s="36" t="s">
        <v>26573</v>
      </c>
      <c r="W2943" s="36" t="s">
        <v>94</v>
      </c>
      <c r="X2943" s="36">
        <v>2565</v>
      </c>
      <c r="Z2943" s="33" t="s">
        <v>42968</v>
      </c>
      <c r="AA2943" s="33">
        <v>4720</v>
      </c>
      <c r="AQ2943" s="42"/>
      <c r="AT2943" s="42"/>
    </row>
    <row r="2944" spans="1:46" ht="12" customHeight="1" x14ac:dyDescent="0.15">
      <c r="A2944" s="33" t="s">
        <v>30365</v>
      </c>
      <c r="B2944" s="33">
        <v>36</v>
      </c>
      <c r="C2944" s="33" t="s">
        <v>14</v>
      </c>
      <c r="D2944" s="33" t="s">
        <v>31</v>
      </c>
      <c r="E2944" s="42" t="s">
        <v>30366</v>
      </c>
      <c r="F2944" s="67">
        <v>42864</v>
      </c>
      <c r="G2944" s="33" t="s">
        <v>30367</v>
      </c>
      <c r="H2944" s="33" t="s">
        <v>14842</v>
      </c>
      <c r="I2944" s="33" t="s">
        <v>51</v>
      </c>
      <c r="J2944" s="33">
        <v>48114</v>
      </c>
      <c r="K2944" s="33" t="s">
        <v>3744</v>
      </c>
      <c r="L2944" s="33" t="s">
        <v>30368</v>
      </c>
      <c r="M2944" s="33" t="s">
        <v>21</v>
      </c>
      <c r="N2944" s="33" t="s">
        <v>30369</v>
      </c>
      <c r="O2944" s="33" t="s">
        <v>372</v>
      </c>
      <c r="P2944" s="33" t="s">
        <v>30089</v>
      </c>
      <c r="Q2944" s="42" t="s">
        <v>30370</v>
      </c>
      <c r="R2944" s="33" t="s">
        <v>512</v>
      </c>
      <c r="S2944" s="33" t="s">
        <v>12</v>
      </c>
      <c r="T2944" s="33" t="s">
        <v>29425</v>
      </c>
      <c r="U2944" s="33" t="s">
        <v>26572</v>
      </c>
      <c r="V2944" s="33" t="s">
        <v>26573</v>
      </c>
      <c r="W2944" s="33" t="s">
        <v>94</v>
      </c>
      <c r="X2944" s="33">
        <v>2617</v>
      </c>
      <c r="Z2944" s="33" t="s">
        <v>42968</v>
      </c>
      <c r="AA2944" s="33">
        <v>4722</v>
      </c>
    </row>
    <row r="2945" spans="1:46" ht="12" customHeight="1" x14ac:dyDescent="0.15">
      <c r="A2945" s="33" t="s">
        <v>27176</v>
      </c>
      <c r="B2945" s="33">
        <v>25</v>
      </c>
      <c r="C2945" s="33" t="s">
        <v>14</v>
      </c>
      <c r="D2945" s="33" t="s">
        <v>79</v>
      </c>
      <c r="E2945" s="42" t="s">
        <v>27177</v>
      </c>
      <c r="F2945" s="67">
        <v>42864</v>
      </c>
      <c r="G2945" s="33" t="s">
        <v>27178</v>
      </c>
      <c r="H2945" s="33" t="s">
        <v>603</v>
      </c>
      <c r="I2945" s="33" t="s">
        <v>56</v>
      </c>
      <c r="J2945" s="33">
        <v>32246</v>
      </c>
      <c r="K2945" s="33" t="s">
        <v>604</v>
      </c>
      <c r="L2945" s="33" t="s">
        <v>605</v>
      </c>
      <c r="M2945" s="33" t="s">
        <v>21</v>
      </c>
      <c r="N2945" s="33" t="s">
        <v>27179</v>
      </c>
      <c r="O2945" s="33" t="s">
        <v>372</v>
      </c>
      <c r="P2945" s="33" t="s">
        <v>30089</v>
      </c>
      <c r="Q2945" s="42" t="s">
        <v>27180</v>
      </c>
      <c r="R2945" s="33" t="s">
        <v>512</v>
      </c>
      <c r="S2945" s="33" t="s">
        <v>22</v>
      </c>
      <c r="T2945" s="36" t="s">
        <v>26781</v>
      </c>
      <c r="U2945" s="36" t="s">
        <v>26572</v>
      </c>
      <c r="V2945" s="36" t="s">
        <v>26573</v>
      </c>
      <c r="W2945" s="36" t="s">
        <v>94</v>
      </c>
      <c r="X2945" s="36">
        <v>2564</v>
      </c>
      <c r="Z2945" s="33" t="s">
        <v>42968</v>
      </c>
      <c r="AA2945" s="33">
        <v>4719</v>
      </c>
    </row>
    <row r="2946" spans="1:46" ht="12" customHeight="1" x14ac:dyDescent="0.15">
      <c r="A2946" s="33" t="s">
        <v>27105</v>
      </c>
      <c r="B2946" s="33">
        <v>39</v>
      </c>
      <c r="C2946" s="33" t="s">
        <v>14</v>
      </c>
      <c r="D2946" s="33" t="s">
        <v>31</v>
      </c>
      <c r="F2946" s="67">
        <v>42864</v>
      </c>
      <c r="G2946" s="33" t="s">
        <v>27106</v>
      </c>
      <c r="H2946" s="33" t="s">
        <v>947</v>
      </c>
      <c r="I2946" s="33" t="s">
        <v>26</v>
      </c>
      <c r="J2946" s="33">
        <v>29073</v>
      </c>
      <c r="K2946" s="33" t="s">
        <v>947</v>
      </c>
      <c r="L2946" s="33" t="s">
        <v>2514</v>
      </c>
      <c r="M2946" s="33" t="s">
        <v>21</v>
      </c>
      <c r="N2946" s="33" t="s">
        <v>27107</v>
      </c>
      <c r="O2946" s="33" t="s">
        <v>372</v>
      </c>
      <c r="P2946" s="33" t="s">
        <v>30089</v>
      </c>
      <c r="Q2946" s="42" t="s">
        <v>27108</v>
      </c>
      <c r="R2946" s="33" t="s">
        <v>94</v>
      </c>
      <c r="S2946" s="33" t="s">
        <v>12</v>
      </c>
      <c r="T2946" s="36" t="s">
        <v>29705</v>
      </c>
      <c r="U2946" s="36" t="s">
        <v>26570</v>
      </c>
      <c r="V2946" s="36" t="s">
        <v>26574</v>
      </c>
      <c r="W2946" s="36" t="s">
        <v>94</v>
      </c>
      <c r="X2946" s="36">
        <v>2566</v>
      </c>
      <c r="Z2946" s="33" t="s">
        <v>42968</v>
      </c>
      <c r="AA2946" s="33">
        <v>4723</v>
      </c>
    </row>
    <row r="2947" spans="1:46" ht="12" customHeight="1" x14ac:dyDescent="0.15">
      <c r="A2947" s="33" t="s">
        <v>27069</v>
      </c>
      <c r="B2947" s="33">
        <v>29</v>
      </c>
      <c r="C2947" s="33" t="s">
        <v>14</v>
      </c>
      <c r="D2947" s="33" t="s">
        <v>31</v>
      </c>
      <c r="F2947" s="67">
        <v>42863</v>
      </c>
      <c r="G2947" s="33" t="s">
        <v>27070</v>
      </c>
      <c r="H2947" s="33" t="s">
        <v>27071</v>
      </c>
      <c r="I2947" s="33" t="s">
        <v>39</v>
      </c>
      <c r="J2947" s="33">
        <v>91040</v>
      </c>
      <c r="K2947" s="33" t="s">
        <v>92</v>
      </c>
      <c r="L2947" s="33" t="s">
        <v>93</v>
      </c>
      <c r="M2947" s="33" t="s">
        <v>21</v>
      </c>
      <c r="N2947" s="33" t="s">
        <v>27072</v>
      </c>
      <c r="O2947" s="33" t="s">
        <v>372</v>
      </c>
      <c r="P2947" s="33" t="s">
        <v>30089</v>
      </c>
      <c r="Q2947" s="42" t="s">
        <v>27073</v>
      </c>
      <c r="R2947" s="33" t="s">
        <v>94</v>
      </c>
      <c r="S2947" s="33" t="s">
        <v>22</v>
      </c>
      <c r="T2947" s="36" t="s">
        <v>26781</v>
      </c>
      <c r="U2947" s="36" t="s">
        <v>26572</v>
      </c>
      <c r="V2947" s="36" t="s">
        <v>26573</v>
      </c>
      <c r="W2947" s="36" t="s">
        <v>94</v>
      </c>
      <c r="X2947" s="36">
        <v>2568</v>
      </c>
      <c r="Z2947" s="33" t="s">
        <v>42968</v>
      </c>
      <c r="AA2947" s="33">
        <v>4717</v>
      </c>
    </row>
    <row r="2948" spans="1:46" ht="12" customHeight="1" x14ac:dyDescent="0.15">
      <c r="A2948" s="33" t="s">
        <v>27217</v>
      </c>
      <c r="B2948" s="33">
        <v>32</v>
      </c>
      <c r="C2948" s="33" t="s">
        <v>14</v>
      </c>
      <c r="D2948" s="33" t="s">
        <v>79</v>
      </c>
      <c r="E2948" s="42" t="s">
        <v>30695</v>
      </c>
      <c r="F2948" s="67">
        <v>42863</v>
      </c>
      <c r="G2948" s="33" t="s">
        <v>27218</v>
      </c>
      <c r="H2948" s="33" t="s">
        <v>27219</v>
      </c>
      <c r="I2948" s="33" t="s">
        <v>39</v>
      </c>
      <c r="J2948" s="33">
        <v>95670</v>
      </c>
      <c r="K2948" s="33" t="s">
        <v>1537</v>
      </c>
      <c r="L2948" s="33" t="s">
        <v>22038</v>
      </c>
      <c r="M2948" s="33" t="s">
        <v>30350</v>
      </c>
      <c r="N2948" s="33" t="s">
        <v>27220</v>
      </c>
      <c r="O2948" s="33" t="s">
        <v>372</v>
      </c>
      <c r="P2948" s="33" t="s">
        <v>30089</v>
      </c>
      <c r="Q2948" s="42" t="s">
        <v>27221</v>
      </c>
      <c r="R2948" s="33" t="s">
        <v>512</v>
      </c>
      <c r="S2948" s="33" t="s">
        <v>29</v>
      </c>
      <c r="T2948" s="36" t="s">
        <v>26590</v>
      </c>
      <c r="U2948" s="36" t="s">
        <v>26572</v>
      </c>
      <c r="V2948" s="36" t="s">
        <v>26574</v>
      </c>
      <c r="W2948" s="36" t="s">
        <v>94</v>
      </c>
      <c r="X2948" s="36">
        <v>2567</v>
      </c>
      <c r="Z2948" s="33" t="s">
        <v>42966</v>
      </c>
      <c r="AA2948" s="33">
        <v>4718</v>
      </c>
    </row>
    <row r="2949" spans="1:46" ht="12" customHeight="1" x14ac:dyDescent="0.15">
      <c r="A2949" s="33" t="s">
        <v>26874</v>
      </c>
      <c r="B2949" s="33">
        <v>26</v>
      </c>
      <c r="C2949" s="33" t="s">
        <v>14</v>
      </c>
      <c r="D2949" s="33" t="s">
        <v>42</v>
      </c>
      <c r="E2949" s="42" t="s">
        <v>26875</v>
      </c>
      <c r="F2949" s="67">
        <v>42862</v>
      </c>
      <c r="G2949" s="33" t="s">
        <v>26876</v>
      </c>
      <c r="H2949" s="33" t="s">
        <v>12068</v>
      </c>
      <c r="I2949" s="33" t="s">
        <v>395</v>
      </c>
      <c r="J2949" s="33">
        <v>14207</v>
      </c>
      <c r="K2949" s="33" t="s">
        <v>7964</v>
      </c>
      <c r="L2949" s="33" t="s">
        <v>19235</v>
      </c>
      <c r="M2949" s="33" t="s">
        <v>21</v>
      </c>
      <c r="N2949" s="33" t="s">
        <v>30354</v>
      </c>
      <c r="O2949" s="33" t="s">
        <v>372</v>
      </c>
      <c r="P2949" s="33" t="s">
        <v>30089</v>
      </c>
      <c r="Q2949" s="42" t="s">
        <v>26877</v>
      </c>
      <c r="R2949" s="33" t="s">
        <v>94</v>
      </c>
      <c r="S2949" s="33" t="s">
        <v>12</v>
      </c>
      <c r="T2949" s="33" t="s">
        <v>29705</v>
      </c>
      <c r="U2949" s="36" t="s">
        <v>26572</v>
      </c>
      <c r="V2949" s="36" t="s">
        <v>26574</v>
      </c>
      <c r="W2949" s="36" t="s">
        <v>94</v>
      </c>
      <c r="X2949" s="36">
        <v>2559</v>
      </c>
      <c r="Z2949" s="33" t="s">
        <v>42966</v>
      </c>
      <c r="AA2949" s="33">
        <v>4715</v>
      </c>
    </row>
    <row r="2950" spans="1:46" ht="12" customHeight="1" x14ac:dyDescent="0.15">
      <c r="A2950" s="33" t="s">
        <v>26862</v>
      </c>
      <c r="B2950" s="33">
        <v>27</v>
      </c>
      <c r="C2950" s="33" t="s">
        <v>14</v>
      </c>
      <c r="D2950" s="33" t="s">
        <v>79</v>
      </c>
      <c r="E2950" s="42" t="s">
        <v>26863</v>
      </c>
      <c r="F2950" s="67">
        <v>42862</v>
      </c>
      <c r="G2950" s="33" t="s">
        <v>26864</v>
      </c>
      <c r="H2950" s="33" t="s">
        <v>11365</v>
      </c>
      <c r="I2950" s="33" t="s">
        <v>88</v>
      </c>
      <c r="J2950" s="33">
        <v>36867</v>
      </c>
      <c r="K2950" s="33" t="s">
        <v>11367</v>
      </c>
      <c r="L2950" s="33" t="s">
        <v>11368</v>
      </c>
      <c r="M2950" s="33" t="s">
        <v>21</v>
      </c>
      <c r="N2950" s="33" t="s">
        <v>26865</v>
      </c>
      <c r="O2950" s="33" t="s">
        <v>372</v>
      </c>
      <c r="P2950" s="33" t="s">
        <v>30089</v>
      </c>
      <c r="Q2950" s="42" t="s">
        <v>26866</v>
      </c>
      <c r="R2950" s="33" t="s">
        <v>94</v>
      </c>
      <c r="S2950" s="33" t="s">
        <v>29</v>
      </c>
      <c r="T2950" s="36" t="s">
        <v>26575</v>
      </c>
      <c r="U2950" s="36" t="s">
        <v>26575</v>
      </c>
      <c r="V2950" s="36" t="s">
        <v>26571</v>
      </c>
      <c r="W2950" s="36" t="s">
        <v>94</v>
      </c>
      <c r="X2950" s="36">
        <v>2558</v>
      </c>
      <c r="Z2950" s="33" t="s">
        <v>42968</v>
      </c>
      <c r="AA2950" s="33">
        <v>4716</v>
      </c>
    </row>
    <row r="2951" spans="1:46" ht="12" customHeight="1" x14ac:dyDescent="0.15">
      <c r="A2951" s="33" t="s">
        <v>26836</v>
      </c>
      <c r="B2951" s="33">
        <v>24</v>
      </c>
      <c r="C2951" s="33" t="s">
        <v>14</v>
      </c>
      <c r="D2951" s="33" t="s">
        <v>79</v>
      </c>
      <c r="E2951" s="42" t="s">
        <v>26837</v>
      </c>
      <c r="F2951" s="67">
        <v>42862</v>
      </c>
      <c r="G2951" s="33" t="s">
        <v>26838</v>
      </c>
      <c r="H2951" s="33" t="s">
        <v>1227</v>
      </c>
      <c r="I2951" s="33" t="s">
        <v>67</v>
      </c>
      <c r="J2951" s="33">
        <v>78701</v>
      </c>
      <c r="K2951" s="33" t="s">
        <v>1228</v>
      </c>
      <c r="L2951" s="33" t="s">
        <v>1229</v>
      </c>
      <c r="M2951" s="33" t="s">
        <v>21</v>
      </c>
      <c r="N2951" s="33" t="s">
        <v>26839</v>
      </c>
      <c r="O2951" s="33" t="s">
        <v>372</v>
      </c>
      <c r="P2951" s="33" t="s">
        <v>30089</v>
      </c>
      <c r="Q2951" s="42" t="s">
        <v>26840</v>
      </c>
      <c r="R2951" s="33" t="s">
        <v>94</v>
      </c>
      <c r="S2951" s="33" t="s">
        <v>22</v>
      </c>
      <c r="T2951" s="36" t="s">
        <v>26781</v>
      </c>
      <c r="U2951" s="36" t="s">
        <v>26572</v>
      </c>
      <c r="V2951" s="36" t="s">
        <v>26574</v>
      </c>
      <c r="W2951" s="36" t="s">
        <v>94</v>
      </c>
      <c r="X2951" s="36">
        <v>2562</v>
      </c>
      <c r="Z2951" s="33" t="s">
        <v>42966</v>
      </c>
      <c r="AA2951" s="33">
        <v>4714</v>
      </c>
    </row>
    <row r="2952" spans="1:46" ht="12" customHeight="1" x14ac:dyDescent="0.15">
      <c r="A2952" s="33" t="s">
        <v>27297</v>
      </c>
      <c r="B2952" s="33">
        <v>25</v>
      </c>
      <c r="C2952" s="33" t="s">
        <v>14</v>
      </c>
      <c r="D2952" s="33" t="s">
        <v>31</v>
      </c>
      <c r="E2952" s="42" t="s">
        <v>27298</v>
      </c>
      <c r="F2952" s="67">
        <v>42861</v>
      </c>
      <c r="G2952" s="33" t="s">
        <v>27299</v>
      </c>
      <c r="H2952" s="33" t="s">
        <v>27300</v>
      </c>
      <c r="I2952" s="33" t="s">
        <v>56</v>
      </c>
      <c r="J2952" s="33">
        <v>34689</v>
      </c>
      <c r="K2952" s="33" t="s">
        <v>2152</v>
      </c>
      <c r="L2952" s="33" t="s">
        <v>27301</v>
      </c>
      <c r="M2952" s="33" t="s">
        <v>21</v>
      </c>
      <c r="N2952" s="33" t="s">
        <v>27302</v>
      </c>
      <c r="O2952" s="33" t="s">
        <v>372</v>
      </c>
      <c r="P2952" s="33" t="s">
        <v>30089</v>
      </c>
      <c r="Q2952" s="42" t="s">
        <v>27303</v>
      </c>
      <c r="R2952" s="33" t="s">
        <v>94</v>
      </c>
      <c r="S2952" s="33" t="s">
        <v>22</v>
      </c>
      <c r="T2952" s="36" t="s">
        <v>26774</v>
      </c>
      <c r="U2952" s="36" t="s">
        <v>26572</v>
      </c>
      <c r="V2952" s="36" t="s">
        <v>26573</v>
      </c>
      <c r="Y2952" s="33" t="s">
        <v>42476</v>
      </c>
      <c r="Z2952" s="33" t="s">
        <v>42968</v>
      </c>
      <c r="AA2952" s="33">
        <v>4712</v>
      </c>
    </row>
    <row r="2953" spans="1:46" ht="12" customHeight="1" x14ac:dyDescent="0.15">
      <c r="A2953" s="33" t="s">
        <v>27233</v>
      </c>
      <c r="B2953" s="33">
        <v>15</v>
      </c>
      <c r="C2953" s="33" t="s">
        <v>14</v>
      </c>
      <c r="D2953" s="33" t="s">
        <v>31</v>
      </c>
      <c r="F2953" s="67">
        <v>42861</v>
      </c>
      <c r="G2953" s="33" t="s">
        <v>27234</v>
      </c>
      <c r="H2953" s="33" t="s">
        <v>143</v>
      </c>
      <c r="I2953" s="33" t="s">
        <v>39</v>
      </c>
      <c r="J2953" s="33">
        <v>92130</v>
      </c>
      <c r="K2953" s="33" t="s">
        <v>143</v>
      </c>
      <c r="L2953" s="33" t="s">
        <v>144</v>
      </c>
      <c r="M2953" s="33" t="s">
        <v>21</v>
      </c>
      <c r="N2953" s="33" t="s">
        <v>27235</v>
      </c>
      <c r="O2953" s="33" t="s">
        <v>372</v>
      </c>
      <c r="P2953" s="33" t="s">
        <v>30089</v>
      </c>
      <c r="Q2953" s="42" t="s">
        <v>27236</v>
      </c>
      <c r="R2953" s="33" t="s">
        <v>512</v>
      </c>
      <c r="S2953" s="33" t="s">
        <v>12</v>
      </c>
      <c r="T2953" s="36" t="s">
        <v>29425</v>
      </c>
      <c r="U2953" s="36" t="s">
        <v>26572</v>
      </c>
      <c r="V2953" s="36" t="s">
        <v>26573</v>
      </c>
      <c r="W2953" s="36" t="s">
        <v>512</v>
      </c>
      <c r="X2953" s="36">
        <v>2557</v>
      </c>
      <c r="Z2953" s="33" t="s">
        <v>42968</v>
      </c>
      <c r="AA2953" s="33">
        <v>4713</v>
      </c>
    </row>
    <row r="2954" spans="1:46" ht="12" customHeight="1" x14ac:dyDescent="0.15">
      <c r="A2954" s="33" t="s">
        <v>27015</v>
      </c>
      <c r="B2954" s="33">
        <v>62</v>
      </c>
      <c r="C2954" s="33" t="s">
        <v>14</v>
      </c>
      <c r="D2954" s="33" t="s">
        <v>31</v>
      </c>
      <c r="E2954" s="42" t="s">
        <v>27016</v>
      </c>
      <c r="F2954" s="67">
        <v>42861</v>
      </c>
      <c r="G2954" s="33" t="s">
        <v>27017</v>
      </c>
      <c r="H2954" s="33" t="s">
        <v>607</v>
      </c>
      <c r="I2954" s="33" t="s">
        <v>250</v>
      </c>
      <c r="J2954" s="33">
        <v>89156</v>
      </c>
      <c r="K2954" s="33" t="s">
        <v>527</v>
      </c>
      <c r="L2954" s="33" t="s">
        <v>528</v>
      </c>
      <c r="M2954" s="33" t="s">
        <v>21</v>
      </c>
      <c r="N2954" s="33" t="s">
        <v>27018</v>
      </c>
      <c r="O2954" s="33" t="s">
        <v>372</v>
      </c>
      <c r="P2954" s="33" t="s">
        <v>30089</v>
      </c>
      <c r="Q2954" s="42" t="s">
        <v>27019</v>
      </c>
      <c r="R2954" s="33" t="s">
        <v>94</v>
      </c>
      <c r="S2954" s="33" t="s">
        <v>22</v>
      </c>
      <c r="T2954" s="36" t="s">
        <v>27020</v>
      </c>
      <c r="U2954" s="36" t="s">
        <v>26570</v>
      </c>
      <c r="V2954" s="36" t="s">
        <v>26573</v>
      </c>
      <c r="W2954" s="36" t="s">
        <v>94</v>
      </c>
      <c r="X2954" s="36">
        <v>2560</v>
      </c>
      <c r="Z2954" s="33" t="s">
        <v>42968</v>
      </c>
      <c r="AA2954" s="33">
        <v>4711</v>
      </c>
    </row>
    <row r="2955" spans="1:46" ht="12" customHeight="1" x14ac:dyDescent="0.15">
      <c r="A2955" s="33" t="s">
        <v>27258</v>
      </c>
      <c r="B2955" s="33">
        <v>25</v>
      </c>
      <c r="C2955" s="33" t="s">
        <v>14</v>
      </c>
      <c r="D2955" s="33" t="s">
        <v>79</v>
      </c>
      <c r="E2955" s="33" t="s">
        <v>29636</v>
      </c>
      <c r="F2955" s="67">
        <v>42860</v>
      </c>
      <c r="G2955" s="33" t="s">
        <v>27259</v>
      </c>
      <c r="H2955" s="33" t="s">
        <v>20454</v>
      </c>
      <c r="I2955" s="33" t="s">
        <v>40</v>
      </c>
      <c r="J2955" s="33">
        <v>2184</v>
      </c>
      <c r="K2955" s="33" t="s">
        <v>3060</v>
      </c>
      <c r="L2955" s="33" t="s">
        <v>20456</v>
      </c>
      <c r="M2955" s="33" t="s">
        <v>21</v>
      </c>
      <c r="N2955" s="33" t="s">
        <v>27260</v>
      </c>
      <c r="O2955" s="33" t="s">
        <v>372</v>
      </c>
      <c r="P2955" s="33" t="s">
        <v>30089</v>
      </c>
      <c r="Q2955" s="42" t="s">
        <v>27261</v>
      </c>
      <c r="R2955" s="33" t="s">
        <v>94</v>
      </c>
      <c r="S2955" s="33" t="s">
        <v>22</v>
      </c>
      <c r="T2955" s="36" t="s">
        <v>26781</v>
      </c>
      <c r="U2955" s="36" t="s">
        <v>26572</v>
      </c>
      <c r="V2955" s="36" t="s">
        <v>26573</v>
      </c>
      <c r="Z2955" s="33" t="s">
        <v>42968</v>
      </c>
      <c r="AA2955" s="33">
        <v>4710</v>
      </c>
    </row>
    <row r="2956" spans="1:46" ht="12" customHeight="1" x14ac:dyDescent="0.15">
      <c r="A2956" s="33" t="s">
        <v>27205</v>
      </c>
      <c r="B2956" s="33">
        <v>54</v>
      </c>
      <c r="C2956" s="33" t="s">
        <v>103</v>
      </c>
      <c r="D2956" s="33" t="s">
        <v>42</v>
      </c>
      <c r="F2956" s="67">
        <v>42859</v>
      </c>
      <c r="G2956" s="33" t="s">
        <v>27206</v>
      </c>
      <c r="H2956" s="33" t="s">
        <v>4205</v>
      </c>
      <c r="I2956" s="33" t="s">
        <v>67</v>
      </c>
      <c r="J2956" s="33">
        <v>77449</v>
      </c>
      <c r="K2956" s="33" t="s">
        <v>515</v>
      </c>
      <c r="L2956" s="33" t="s">
        <v>27207</v>
      </c>
      <c r="M2956" s="33" t="s">
        <v>21</v>
      </c>
      <c r="N2956" s="33" t="s">
        <v>27208</v>
      </c>
      <c r="O2956" s="33" t="s">
        <v>372</v>
      </c>
      <c r="P2956" s="33" t="s">
        <v>30089</v>
      </c>
      <c r="Q2956" s="42" t="s">
        <v>27209</v>
      </c>
      <c r="R2956" s="33" t="s">
        <v>512</v>
      </c>
      <c r="S2956" s="33" t="s">
        <v>22</v>
      </c>
      <c r="T2956" s="36" t="s">
        <v>26781</v>
      </c>
      <c r="U2956" s="36" t="s">
        <v>26570</v>
      </c>
      <c r="V2956" s="36" t="s">
        <v>26573</v>
      </c>
      <c r="W2956" s="36" t="s">
        <v>94</v>
      </c>
      <c r="X2956" s="36">
        <v>2561</v>
      </c>
      <c r="Z2956" s="33" t="s">
        <v>42968</v>
      </c>
      <c r="AA2956" s="33">
        <v>4708</v>
      </c>
    </row>
    <row r="2957" spans="1:46" ht="12" customHeight="1" x14ac:dyDescent="0.15">
      <c r="A2957" s="33" t="s">
        <v>27274</v>
      </c>
      <c r="B2957" s="33">
        <v>27</v>
      </c>
      <c r="C2957" s="33" t="s">
        <v>14</v>
      </c>
      <c r="D2957" s="33" t="s">
        <v>42</v>
      </c>
      <c r="F2957" s="67">
        <v>42859</v>
      </c>
      <c r="G2957" s="33" t="s">
        <v>27275</v>
      </c>
      <c r="H2957" s="33" t="s">
        <v>907</v>
      </c>
      <c r="I2957" s="33" t="s">
        <v>39</v>
      </c>
      <c r="J2957" s="33">
        <v>90602</v>
      </c>
      <c r="K2957" s="33" t="s">
        <v>92</v>
      </c>
      <c r="L2957" s="33" t="s">
        <v>24463</v>
      </c>
      <c r="M2957" s="33" t="s">
        <v>27767</v>
      </c>
      <c r="N2957" s="33" t="s">
        <v>30817</v>
      </c>
      <c r="O2957" s="33" t="s">
        <v>372</v>
      </c>
      <c r="P2957" s="33" t="s">
        <v>30089</v>
      </c>
      <c r="Q2957" s="42" t="s">
        <v>27276</v>
      </c>
      <c r="R2957" s="33" t="s">
        <v>512</v>
      </c>
      <c r="S2957" s="33" t="s">
        <v>12</v>
      </c>
      <c r="T2957" s="33" t="s">
        <v>29705</v>
      </c>
      <c r="U2957" s="33" t="s">
        <v>26570</v>
      </c>
      <c r="V2957" s="33" t="s">
        <v>26574</v>
      </c>
      <c r="Z2957" s="33" t="s">
        <v>42968</v>
      </c>
      <c r="AA2957" s="33">
        <v>4709</v>
      </c>
      <c r="AQ2957" s="42"/>
      <c r="AT2957" s="42"/>
    </row>
    <row r="2958" spans="1:46" ht="12" customHeight="1" x14ac:dyDescent="0.15">
      <c r="A2958" s="33" t="s">
        <v>26830</v>
      </c>
      <c r="B2958" s="33">
        <v>18</v>
      </c>
      <c r="C2958" s="33" t="s">
        <v>14</v>
      </c>
      <c r="D2958" s="33" t="s">
        <v>79</v>
      </c>
      <c r="E2958" s="42" t="s">
        <v>26831</v>
      </c>
      <c r="F2958" s="67">
        <v>42858</v>
      </c>
      <c r="G2958" s="33" t="s">
        <v>26832</v>
      </c>
      <c r="H2958" s="33" t="s">
        <v>21964</v>
      </c>
      <c r="I2958" s="33" t="s">
        <v>51</v>
      </c>
      <c r="J2958" s="33">
        <v>49507</v>
      </c>
      <c r="K2958" s="33" t="s">
        <v>2350</v>
      </c>
      <c r="L2958" s="33" t="s">
        <v>26833</v>
      </c>
      <c r="M2958" s="33" t="s">
        <v>21</v>
      </c>
      <c r="N2958" s="33" t="s">
        <v>26834</v>
      </c>
      <c r="O2958" s="33" t="s">
        <v>372</v>
      </c>
      <c r="P2958" s="33" t="s">
        <v>30089</v>
      </c>
      <c r="Q2958" s="42" t="s">
        <v>26835</v>
      </c>
      <c r="R2958" s="33" t="s">
        <v>94</v>
      </c>
      <c r="S2958" s="33" t="s">
        <v>22</v>
      </c>
      <c r="T2958" s="36" t="s">
        <v>26781</v>
      </c>
      <c r="U2958" s="36" t="s">
        <v>26572</v>
      </c>
      <c r="V2958" s="36" t="s">
        <v>26573</v>
      </c>
      <c r="W2958" s="36" t="s">
        <v>94</v>
      </c>
      <c r="X2958" s="36">
        <v>2554</v>
      </c>
      <c r="Z2958" s="33" t="s">
        <v>42966</v>
      </c>
      <c r="AA2958" s="33">
        <v>4704</v>
      </c>
    </row>
    <row r="2959" spans="1:46" ht="12" customHeight="1" x14ac:dyDescent="0.15">
      <c r="A2959" s="33" t="s">
        <v>27063</v>
      </c>
      <c r="B2959" s="33">
        <v>67</v>
      </c>
      <c r="C2959" s="33" t="s">
        <v>14</v>
      </c>
      <c r="D2959" s="33" t="s">
        <v>31</v>
      </c>
      <c r="F2959" s="67">
        <v>42858</v>
      </c>
      <c r="G2959" s="33" t="s">
        <v>27064</v>
      </c>
      <c r="H2959" s="33" t="s">
        <v>27065</v>
      </c>
      <c r="I2959" s="33" t="s">
        <v>160</v>
      </c>
      <c r="J2959" s="33">
        <v>30269</v>
      </c>
      <c r="K2959" s="33" t="s">
        <v>1415</v>
      </c>
      <c r="L2959" s="33" t="s">
        <v>27066</v>
      </c>
      <c r="M2959" s="33" t="s">
        <v>21</v>
      </c>
      <c r="N2959" s="33" t="s">
        <v>27067</v>
      </c>
      <c r="O2959" s="33" t="s">
        <v>372</v>
      </c>
      <c r="P2959" s="33" t="s">
        <v>30089</v>
      </c>
      <c r="Q2959" s="42" t="s">
        <v>27068</v>
      </c>
      <c r="R2959" s="33" t="s">
        <v>94</v>
      </c>
      <c r="S2959" s="33" t="s">
        <v>22</v>
      </c>
      <c r="T2959" s="36" t="s">
        <v>26781</v>
      </c>
      <c r="U2959" s="36" t="s">
        <v>26572</v>
      </c>
      <c r="V2959" s="36" t="s">
        <v>26573</v>
      </c>
      <c r="W2959" s="36" t="s">
        <v>94</v>
      </c>
      <c r="X2959" s="36">
        <v>2555</v>
      </c>
      <c r="Z2959" s="33" t="s">
        <v>42968</v>
      </c>
      <c r="AA2959" s="33">
        <v>4705</v>
      </c>
    </row>
    <row r="2960" spans="1:46" ht="12" customHeight="1" x14ac:dyDescent="0.15">
      <c r="A2960" s="33" t="s">
        <v>27213</v>
      </c>
      <c r="B2960" s="33">
        <v>28</v>
      </c>
      <c r="C2960" s="33" t="s">
        <v>14</v>
      </c>
      <c r="D2960" s="33" t="s">
        <v>885</v>
      </c>
      <c r="E2960" s="42" t="s">
        <v>29652</v>
      </c>
      <c r="F2960" s="67">
        <v>42858</v>
      </c>
      <c r="G2960" s="33" t="s">
        <v>27214</v>
      </c>
      <c r="H2960" s="33" t="s">
        <v>560</v>
      </c>
      <c r="I2960" s="33" t="s">
        <v>39</v>
      </c>
      <c r="J2960" s="33">
        <v>95127</v>
      </c>
      <c r="K2960" s="33" t="s">
        <v>561</v>
      </c>
      <c r="L2960" s="33" t="s">
        <v>678</v>
      </c>
      <c r="M2960" s="33" t="s">
        <v>21</v>
      </c>
      <c r="N2960" s="33" t="s">
        <v>27215</v>
      </c>
      <c r="O2960" s="33" t="s">
        <v>372</v>
      </c>
      <c r="P2960" s="33" t="s">
        <v>30089</v>
      </c>
      <c r="Q2960" s="42" t="s">
        <v>27216</v>
      </c>
      <c r="R2960" s="33" t="s">
        <v>512</v>
      </c>
      <c r="S2960" s="33" t="s">
        <v>22</v>
      </c>
      <c r="T2960" s="36" t="s">
        <v>26774</v>
      </c>
      <c r="U2960" s="36" t="s">
        <v>26572</v>
      </c>
      <c r="V2960" s="36" t="s">
        <v>26573</v>
      </c>
      <c r="W2960" s="36" t="s">
        <v>94</v>
      </c>
      <c r="X2960" s="36">
        <v>2552</v>
      </c>
      <c r="Z2960" s="33" t="s">
        <v>42968</v>
      </c>
      <c r="AA2960" s="33">
        <v>4706</v>
      </c>
    </row>
    <row r="2961" spans="1:46" ht="12" customHeight="1" x14ac:dyDescent="0.15">
      <c r="A2961" s="33" t="s">
        <v>27114</v>
      </c>
      <c r="B2961" s="33">
        <v>24</v>
      </c>
      <c r="C2961" s="33" t="s">
        <v>14</v>
      </c>
      <c r="D2961" s="33" t="s">
        <v>31</v>
      </c>
      <c r="E2961" s="42" t="s">
        <v>27115</v>
      </c>
      <c r="F2961" s="67">
        <v>42858</v>
      </c>
      <c r="G2961" s="33" t="s">
        <v>27116</v>
      </c>
      <c r="H2961" s="33" t="s">
        <v>560</v>
      </c>
      <c r="I2961" s="33" t="s">
        <v>39</v>
      </c>
      <c r="J2961" s="33">
        <v>95125</v>
      </c>
      <c r="K2961" s="33" t="s">
        <v>561</v>
      </c>
      <c r="L2961" s="33" t="s">
        <v>678</v>
      </c>
      <c r="M2961" s="33" t="s">
        <v>21</v>
      </c>
      <c r="N2961" s="33" t="s">
        <v>27117</v>
      </c>
      <c r="O2961" s="33" t="s">
        <v>372</v>
      </c>
      <c r="P2961" s="33" t="s">
        <v>30089</v>
      </c>
      <c r="Q2961" s="42" t="s">
        <v>27118</v>
      </c>
      <c r="R2961" s="33" t="s">
        <v>94</v>
      </c>
      <c r="S2961" s="33" t="s">
        <v>22</v>
      </c>
      <c r="T2961" s="36" t="s">
        <v>26781</v>
      </c>
      <c r="U2961" s="36" t="s">
        <v>26572</v>
      </c>
      <c r="V2961" s="36" t="s">
        <v>26573</v>
      </c>
      <c r="W2961" s="36" t="s">
        <v>94</v>
      </c>
      <c r="X2961" s="36">
        <v>2553</v>
      </c>
      <c r="Z2961" s="33" t="s">
        <v>42966</v>
      </c>
      <c r="AA2961" s="33">
        <v>4703</v>
      </c>
      <c r="AQ2961" s="42"/>
    </row>
    <row r="2962" spans="1:46" ht="12" customHeight="1" x14ac:dyDescent="0.15">
      <c r="A2962" s="33" t="s">
        <v>27095</v>
      </c>
      <c r="B2962" s="33">
        <v>26</v>
      </c>
      <c r="C2962" s="33" t="s">
        <v>14</v>
      </c>
      <c r="D2962" s="33" t="s">
        <v>31</v>
      </c>
      <c r="E2962" s="42" t="s">
        <v>27096</v>
      </c>
      <c r="F2962" s="67">
        <v>42858</v>
      </c>
      <c r="G2962" s="33" t="s">
        <v>27097</v>
      </c>
      <c r="H2962" s="33" t="s">
        <v>886</v>
      </c>
      <c r="I2962" s="33" t="s">
        <v>39</v>
      </c>
      <c r="J2962" s="33">
        <v>94102</v>
      </c>
      <c r="K2962" s="33" t="s">
        <v>886</v>
      </c>
      <c r="L2962" s="33" t="s">
        <v>887</v>
      </c>
      <c r="M2962" s="33" t="s">
        <v>21</v>
      </c>
      <c r="N2962" s="33" t="s">
        <v>27098</v>
      </c>
      <c r="O2962" s="33" t="s">
        <v>372</v>
      </c>
      <c r="P2962" s="33" t="s">
        <v>94</v>
      </c>
      <c r="Q2962" s="42" t="s">
        <v>27099</v>
      </c>
      <c r="R2962" s="33" t="s">
        <v>94</v>
      </c>
      <c r="S2962" s="33" t="s">
        <v>22</v>
      </c>
      <c r="T2962" s="36" t="s">
        <v>26774</v>
      </c>
      <c r="U2962" s="36" t="s">
        <v>26572</v>
      </c>
      <c r="V2962" s="36" t="s">
        <v>26573</v>
      </c>
      <c r="W2962" s="36" t="s">
        <v>512</v>
      </c>
      <c r="X2962" s="36">
        <v>2556</v>
      </c>
      <c r="Z2962" s="33" t="s">
        <v>42966</v>
      </c>
      <c r="AA2962" s="33">
        <v>4707</v>
      </c>
      <c r="AT2962" s="42"/>
    </row>
    <row r="2963" spans="1:46" ht="12" customHeight="1" x14ac:dyDescent="0.15">
      <c r="A2963" s="33" t="s">
        <v>27150</v>
      </c>
      <c r="B2963" s="33">
        <v>48</v>
      </c>
      <c r="C2963" s="33" t="s">
        <v>14</v>
      </c>
      <c r="D2963" s="33" t="s">
        <v>79</v>
      </c>
      <c r="E2963" s="42" t="s">
        <v>27151</v>
      </c>
      <c r="F2963" s="67">
        <v>42857</v>
      </c>
      <c r="G2963" s="33" t="s">
        <v>27152</v>
      </c>
      <c r="H2963" s="33" t="s">
        <v>5639</v>
      </c>
      <c r="I2963" s="33" t="s">
        <v>67</v>
      </c>
      <c r="J2963" s="33">
        <v>75060</v>
      </c>
      <c r="K2963" s="33" t="s">
        <v>266</v>
      </c>
      <c r="L2963" s="33" t="s">
        <v>5641</v>
      </c>
      <c r="M2963" s="33" t="s">
        <v>4966</v>
      </c>
      <c r="N2963" s="33" t="s">
        <v>27153</v>
      </c>
      <c r="O2963" s="33" t="s">
        <v>372</v>
      </c>
      <c r="P2963" s="33" t="s">
        <v>30089</v>
      </c>
      <c r="Q2963" s="42" t="s">
        <v>27154</v>
      </c>
      <c r="R2963" s="33" t="s">
        <v>94</v>
      </c>
      <c r="S2963" s="33" t="s">
        <v>22</v>
      </c>
      <c r="T2963" s="36" t="s">
        <v>26774</v>
      </c>
      <c r="U2963" s="36" t="s">
        <v>26572</v>
      </c>
      <c r="V2963" s="36" t="s">
        <v>26573</v>
      </c>
      <c r="W2963" s="36" t="s">
        <v>94</v>
      </c>
      <c r="X2963" s="36">
        <v>2549</v>
      </c>
      <c r="Z2963" s="33" t="s">
        <v>42968</v>
      </c>
      <c r="AA2963" s="33">
        <v>4702</v>
      </c>
    </row>
    <row r="2964" spans="1:46" ht="12" customHeight="1" x14ac:dyDescent="0.15">
      <c r="A2964" s="33" t="s">
        <v>27186</v>
      </c>
      <c r="B2964" s="33">
        <v>20</v>
      </c>
      <c r="C2964" s="33" t="s">
        <v>14</v>
      </c>
      <c r="D2964" s="33" t="s">
        <v>42</v>
      </c>
      <c r="F2964" s="67">
        <v>42856</v>
      </c>
      <c r="G2964" s="33" t="s">
        <v>27187</v>
      </c>
      <c r="H2964" s="33" t="s">
        <v>1227</v>
      </c>
      <c r="I2964" s="33" t="s">
        <v>67</v>
      </c>
      <c r="J2964" s="33">
        <v>78754</v>
      </c>
      <c r="K2964" s="33" t="s">
        <v>1228</v>
      </c>
      <c r="L2964" s="33" t="s">
        <v>1229</v>
      </c>
      <c r="M2964" s="33" t="s">
        <v>21</v>
      </c>
      <c r="N2964" s="33" t="s">
        <v>27188</v>
      </c>
      <c r="O2964" s="33" t="s">
        <v>372</v>
      </c>
      <c r="P2964" s="33" t="s">
        <v>30089</v>
      </c>
      <c r="Q2964" s="42" t="s">
        <v>27189</v>
      </c>
      <c r="R2964" s="33" t="s">
        <v>512</v>
      </c>
      <c r="S2964" s="33" t="s">
        <v>22</v>
      </c>
      <c r="T2964" s="36" t="s">
        <v>26781</v>
      </c>
      <c r="U2964" s="36" t="s">
        <v>26570</v>
      </c>
      <c r="V2964" s="36" t="s">
        <v>26573</v>
      </c>
      <c r="W2964" s="36" t="s">
        <v>94</v>
      </c>
      <c r="X2964" s="36">
        <v>2551</v>
      </c>
      <c r="Z2964" s="33" t="s">
        <v>42966</v>
      </c>
      <c r="AA2964" s="33">
        <v>4701</v>
      </c>
      <c r="AQ2964" s="42"/>
    </row>
    <row r="2965" spans="1:46" ht="12" customHeight="1" x14ac:dyDescent="0.15">
      <c r="A2965" s="33" t="s">
        <v>27059</v>
      </c>
      <c r="B2965" s="33">
        <v>25</v>
      </c>
      <c r="C2965" s="33" t="s">
        <v>14</v>
      </c>
      <c r="D2965" s="33" t="s">
        <v>31</v>
      </c>
      <c r="E2965" s="42" t="s">
        <v>27060</v>
      </c>
      <c r="F2965" s="67">
        <v>42856</v>
      </c>
      <c r="G2965" s="33" t="s">
        <v>27061</v>
      </c>
      <c r="H2965" s="33" t="s">
        <v>9688</v>
      </c>
      <c r="I2965" s="33" t="s">
        <v>67</v>
      </c>
      <c r="J2965" s="33">
        <v>77303</v>
      </c>
      <c r="K2965" s="33" t="s">
        <v>995</v>
      </c>
      <c r="L2965" s="33" t="s">
        <v>13592</v>
      </c>
      <c r="M2965" s="33" t="s">
        <v>21</v>
      </c>
      <c r="N2965" s="33" t="s">
        <v>36591</v>
      </c>
      <c r="O2965" s="33" t="s">
        <v>372</v>
      </c>
      <c r="P2965" s="33" t="s">
        <v>30089</v>
      </c>
      <c r="Q2965" s="42" t="s">
        <v>27062</v>
      </c>
      <c r="R2965" s="33" t="s">
        <v>94</v>
      </c>
      <c r="S2965" s="33" t="s">
        <v>22</v>
      </c>
      <c r="T2965" s="36" t="s">
        <v>26781</v>
      </c>
      <c r="U2965" s="36" t="s">
        <v>26572</v>
      </c>
      <c r="V2965" s="36" t="s">
        <v>26573</v>
      </c>
      <c r="W2965" s="36" t="s">
        <v>94</v>
      </c>
      <c r="X2965" s="36">
        <v>2550</v>
      </c>
      <c r="Z2965" s="33" t="s">
        <v>42967</v>
      </c>
      <c r="AA2965" s="33">
        <v>4700</v>
      </c>
    </row>
    <row r="2966" spans="1:46" ht="12" customHeight="1" x14ac:dyDescent="0.15">
      <c r="A2966" s="33" t="s">
        <v>27054</v>
      </c>
      <c r="B2966" s="33">
        <v>49</v>
      </c>
      <c r="C2966" s="33" t="s">
        <v>14</v>
      </c>
      <c r="D2966" s="33" t="s">
        <v>31</v>
      </c>
      <c r="E2966" s="42" t="s">
        <v>27055</v>
      </c>
      <c r="F2966" s="67">
        <v>42855</v>
      </c>
      <c r="G2966" s="33" t="s">
        <v>27056</v>
      </c>
      <c r="H2966" s="33" t="s">
        <v>143</v>
      </c>
      <c r="I2966" s="33" t="s">
        <v>39</v>
      </c>
      <c r="J2966" s="33">
        <v>92122</v>
      </c>
      <c r="K2966" s="33" t="s">
        <v>143</v>
      </c>
      <c r="L2966" s="33" t="s">
        <v>144</v>
      </c>
      <c r="M2966" s="33" t="s">
        <v>21</v>
      </c>
      <c r="N2966" s="33" t="s">
        <v>27057</v>
      </c>
      <c r="O2966" s="33" t="s">
        <v>372</v>
      </c>
      <c r="P2966" s="33" t="s">
        <v>30089</v>
      </c>
      <c r="Q2966" s="42" t="s">
        <v>27058</v>
      </c>
      <c r="R2966" s="33" t="s">
        <v>512</v>
      </c>
      <c r="S2966" s="33" t="s">
        <v>22</v>
      </c>
      <c r="T2966" s="36" t="s">
        <v>26781</v>
      </c>
      <c r="U2966" s="36" t="s">
        <v>26572</v>
      </c>
      <c r="V2966" s="36" t="s">
        <v>26573</v>
      </c>
      <c r="W2966" s="36" t="s">
        <v>94</v>
      </c>
      <c r="X2966" s="36">
        <v>2544</v>
      </c>
      <c r="Z2966" s="33" t="s">
        <v>42968</v>
      </c>
      <c r="AA2966" s="33">
        <v>4698</v>
      </c>
    </row>
    <row r="2967" spans="1:46" ht="12" customHeight="1" x14ac:dyDescent="0.15">
      <c r="A2967" s="33" t="s">
        <v>27201</v>
      </c>
      <c r="B2967" s="33">
        <v>32</v>
      </c>
      <c r="C2967" s="33" t="s">
        <v>14</v>
      </c>
      <c r="D2967" s="33" t="s">
        <v>31</v>
      </c>
      <c r="F2967" s="67">
        <v>42855</v>
      </c>
      <c r="G2967" s="33" t="s">
        <v>27202</v>
      </c>
      <c r="H2967" s="33" t="s">
        <v>27203</v>
      </c>
      <c r="I2967" s="33" t="s">
        <v>367</v>
      </c>
      <c r="J2967" s="33">
        <v>74740</v>
      </c>
      <c r="K2967" s="33" t="s">
        <v>23576</v>
      </c>
      <c r="L2967" s="33" t="s">
        <v>36592</v>
      </c>
      <c r="M2967" s="33" t="s">
        <v>21</v>
      </c>
      <c r="N2967" s="33" t="s">
        <v>36593</v>
      </c>
      <c r="O2967" s="33" t="s">
        <v>372</v>
      </c>
      <c r="P2967" s="33" t="s">
        <v>30089</v>
      </c>
      <c r="Q2967" s="42" t="s">
        <v>27204</v>
      </c>
      <c r="R2967" s="33" t="s">
        <v>512</v>
      </c>
      <c r="S2967" s="33" t="s">
        <v>22</v>
      </c>
      <c r="T2967" s="36" t="s">
        <v>26781</v>
      </c>
      <c r="U2967" s="36" t="s">
        <v>26572</v>
      </c>
      <c r="V2967" s="36" t="s">
        <v>26573</v>
      </c>
      <c r="W2967" s="36" t="s">
        <v>94</v>
      </c>
      <c r="X2967" s="36">
        <v>2540</v>
      </c>
      <c r="Z2967" s="33" t="s">
        <v>42967</v>
      </c>
      <c r="AA2967" s="33">
        <v>4697</v>
      </c>
    </row>
    <row r="2968" spans="1:46" ht="12" customHeight="1" x14ac:dyDescent="0.15">
      <c r="A2968" s="33" t="s">
        <v>26826</v>
      </c>
      <c r="B2968" s="33">
        <v>46</v>
      </c>
      <c r="C2968" s="33" t="s">
        <v>14</v>
      </c>
      <c r="D2968" s="33" t="s">
        <v>79</v>
      </c>
      <c r="F2968" s="67">
        <v>42855</v>
      </c>
      <c r="G2968" s="33" t="s">
        <v>26827</v>
      </c>
      <c r="H2968" s="33" t="s">
        <v>415</v>
      </c>
      <c r="I2968" s="33" t="s">
        <v>51</v>
      </c>
      <c r="J2968" s="33">
        <v>48204</v>
      </c>
      <c r="K2968" s="33" t="s">
        <v>1057</v>
      </c>
      <c r="L2968" s="33" t="s">
        <v>2030</v>
      </c>
      <c r="M2968" s="33" t="s">
        <v>21</v>
      </c>
      <c r="N2968" s="33" t="s">
        <v>26828</v>
      </c>
      <c r="O2968" s="33" t="s">
        <v>372</v>
      </c>
      <c r="P2968" s="33" t="s">
        <v>30089</v>
      </c>
      <c r="Q2968" s="42" t="s">
        <v>26829</v>
      </c>
      <c r="R2968" s="33" t="s">
        <v>94</v>
      </c>
      <c r="S2968" s="33" t="s">
        <v>22</v>
      </c>
      <c r="T2968" s="36" t="s">
        <v>26781</v>
      </c>
      <c r="U2968" s="36" t="s">
        <v>26572</v>
      </c>
      <c r="V2968" s="36" t="s">
        <v>26573</v>
      </c>
      <c r="W2968" s="36" t="s">
        <v>94</v>
      </c>
      <c r="X2968" s="36">
        <v>2545</v>
      </c>
      <c r="Z2968" s="33" t="s">
        <v>42966</v>
      </c>
      <c r="AA2968" s="33">
        <v>4699</v>
      </c>
    </row>
    <row r="2969" spans="1:46" ht="12" customHeight="1" x14ac:dyDescent="0.15">
      <c r="A2969" s="33" t="s">
        <v>26820</v>
      </c>
      <c r="B2969" s="33">
        <v>35</v>
      </c>
      <c r="C2969" s="33" t="s">
        <v>14</v>
      </c>
      <c r="D2969" s="33" t="s">
        <v>79</v>
      </c>
      <c r="E2969" s="42" t="s">
        <v>26821</v>
      </c>
      <c r="F2969" s="67">
        <v>42854</v>
      </c>
      <c r="G2969" s="33" t="s">
        <v>26822</v>
      </c>
      <c r="H2969" s="33" t="s">
        <v>1382</v>
      </c>
      <c r="I2969" s="33" t="s">
        <v>225</v>
      </c>
      <c r="J2969" s="33">
        <v>23605</v>
      </c>
      <c r="K2969" s="33" t="s">
        <v>26823</v>
      </c>
      <c r="L2969" s="33" t="s">
        <v>1384</v>
      </c>
      <c r="M2969" s="33" t="s">
        <v>21</v>
      </c>
      <c r="N2969" s="33" t="s">
        <v>26824</v>
      </c>
      <c r="O2969" s="33" t="s">
        <v>372</v>
      </c>
      <c r="P2969" s="33" t="s">
        <v>30089</v>
      </c>
      <c r="Q2969" s="42" t="s">
        <v>26825</v>
      </c>
      <c r="R2969" s="33" t="s">
        <v>94</v>
      </c>
      <c r="S2969" s="33" t="s">
        <v>22</v>
      </c>
      <c r="T2969" s="36" t="s">
        <v>26781</v>
      </c>
      <c r="U2969" s="36" t="s">
        <v>26572</v>
      </c>
      <c r="V2969" s="36" t="s">
        <v>26573</v>
      </c>
      <c r="W2969" s="36" t="s">
        <v>94</v>
      </c>
      <c r="X2969" s="36">
        <v>2543</v>
      </c>
      <c r="Z2969" s="33" t="s">
        <v>42968</v>
      </c>
      <c r="AA2969" s="33">
        <v>4693</v>
      </c>
      <c r="AG2969" s="83"/>
    </row>
    <row r="2970" spans="1:46" ht="12" customHeight="1" x14ac:dyDescent="0.15">
      <c r="A2970" s="33" t="s">
        <v>27021</v>
      </c>
      <c r="B2970" s="33">
        <v>59</v>
      </c>
      <c r="C2970" s="33" t="s">
        <v>14</v>
      </c>
      <c r="D2970" s="33" t="s">
        <v>31</v>
      </c>
      <c r="E2970" s="42" t="s">
        <v>27022</v>
      </c>
      <c r="F2970" s="67">
        <v>42854</v>
      </c>
      <c r="H2970" s="33" t="s">
        <v>27023</v>
      </c>
      <c r="I2970" s="33" t="s">
        <v>814</v>
      </c>
      <c r="J2970" s="33">
        <v>96780</v>
      </c>
      <c r="K2970" s="33" t="s">
        <v>3619</v>
      </c>
      <c r="L2970" s="33" t="s">
        <v>3620</v>
      </c>
      <c r="M2970" s="33" t="s">
        <v>21</v>
      </c>
      <c r="N2970" s="33" t="s">
        <v>27024</v>
      </c>
      <c r="O2970" s="33" t="s">
        <v>372</v>
      </c>
      <c r="P2970" s="33" t="s">
        <v>30089</v>
      </c>
      <c r="Q2970" s="42" t="s">
        <v>27025</v>
      </c>
      <c r="R2970" s="33" t="s">
        <v>94</v>
      </c>
      <c r="S2970" s="33" t="s">
        <v>22</v>
      </c>
      <c r="T2970" s="36" t="s">
        <v>26587</v>
      </c>
      <c r="U2970" s="36" t="s">
        <v>26570</v>
      </c>
      <c r="V2970" s="36" t="s">
        <v>26573</v>
      </c>
      <c r="W2970" s="36" t="s">
        <v>94</v>
      </c>
      <c r="X2970" s="36">
        <v>2539</v>
      </c>
      <c r="Z2970" s="33" t="s">
        <v>42967</v>
      </c>
      <c r="AA2970" s="33">
        <v>4692</v>
      </c>
      <c r="AQ2970" s="42"/>
    </row>
    <row r="2971" spans="1:46" ht="12" customHeight="1" x14ac:dyDescent="0.15">
      <c r="A2971" s="33" t="s">
        <v>27254</v>
      </c>
      <c r="B2971" s="33">
        <v>24</v>
      </c>
      <c r="C2971" s="33" t="s">
        <v>14</v>
      </c>
      <c r="D2971" s="33" t="s">
        <v>79</v>
      </c>
      <c r="E2971" s="42" t="s">
        <v>29638</v>
      </c>
      <c r="F2971" s="67">
        <v>42854</v>
      </c>
      <c r="G2971" s="33" t="s">
        <v>27255</v>
      </c>
      <c r="H2971" s="33" t="s">
        <v>16662</v>
      </c>
      <c r="I2971" s="33" t="s">
        <v>75</v>
      </c>
      <c r="J2971" s="33">
        <v>7018</v>
      </c>
      <c r="K2971" s="33" t="s">
        <v>486</v>
      </c>
      <c r="L2971" s="33" t="s">
        <v>7797</v>
      </c>
      <c r="M2971" s="33" t="s">
        <v>21</v>
      </c>
      <c r="N2971" s="33" t="s">
        <v>27256</v>
      </c>
      <c r="O2971" s="33" t="s">
        <v>372</v>
      </c>
      <c r="P2971" s="33" t="s">
        <v>30089</v>
      </c>
      <c r="Q2971" s="42" t="s">
        <v>27257</v>
      </c>
      <c r="R2971" s="33" t="s">
        <v>23</v>
      </c>
      <c r="S2971" s="33" t="s">
        <v>22</v>
      </c>
      <c r="T2971" s="36" t="s">
        <v>26781</v>
      </c>
      <c r="U2971" s="36" t="s">
        <v>26572</v>
      </c>
      <c r="V2971" s="36" t="s">
        <v>26573</v>
      </c>
      <c r="Y2971" s="33" t="s">
        <v>42476</v>
      </c>
      <c r="Z2971" s="33" t="s">
        <v>42966</v>
      </c>
      <c r="AA2971" s="33">
        <v>4694</v>
      </c>
      <c r="AQ2971" s="42"/>
    </row>
    <row r="2972" spans="1:46" ht="12" customHeight="1" x14ac:dyDescent="0.15">
      <c r="A2972" s="33" t="s">
        <v>27011</v>
      </c>
      <c r="B2972" s="33">
        <v>33</v>
      </c>
      <c r="C2972" s="33" t="s">
        <v>14</v>
      </c>
      <c r="D2972" s="33" t="s">
        <v>42</v>
      </c>
      <c r="E2972" s="42" t="s">
        <v>29637</v>
      </c>
      <c r="F2972" s="67">
        <v>42854</v>
      </c>
      <c r="G2972" s="33" t="s">
        <v>27012</v>
      </c>
      <c r="H2972" s="33" t="s">
        <v>580</v>
      </c>
      <c r="I2972" s="33" t="s">
        <v>178</v>
      </c>
      <c r="J2972" s="33">
        <v>87508</v>
      </c>
      <c r="K2972" s="33" t="s">
        <v>580</v>
      </c>
      <c r="L2972" s="33" t="s">
        <v>19889</v>
      </c>
      <c r="M2972" s="33" t="s">
        <v>21</v>
      </c>
      <c r="N2972" s="33" t="s">
        <v>27013</v>
      </c>
      <c r="O2972" s="33" t="s">
        <v>372</v>
      </c>
      <c r="P2972" s="33" t="s">
        <v>30089</v>
      </c>
      <c r="Q2972" s="42" t="s">
        <v>27014</v>
      </c>
      <c r="R2972" s="33" t="s">
        <v>94</v>
      </c>
      <c r="S2972" s="33" t="s">
        <v>351</v>
      </c>
      <c r="T2972" s="36" t="s">
        <v>26867</v>
      </c>
      <c r="U2972" s="36" t="s">
        <v>26572</v>
      </c>
      <c r="V2972" s="36" t="s">
        <v>26573</v>
      </c>
      <c r="W2972" s="36" t="s">
        <v>94</v>
      </c>
      <c r="X2972" s="36">
        <v>2546</v>
      </c>
      <c r="Z2972" s="33" t="s">
        <v>42967</v>
      </c>
      <c r="AA2972" s="33">
        <v>4696</v>
      </c>
    </row>
    <row r="2973" spans="1:46" ht="12" customHeight="1" x14ac:dyDescent="0.15">
      <c r="A2973" s="33" t="s">
        <v>26850</v>
      </c>
      <c r="B2973" s="33">
        <v>15</v>
      </c>
      <c r="C2973" s="33" t="s">
        <v>14</v>
      </c>
      <c r="D2973" s="33" t="s">
        <v>79</v>
      </c>
      <c r="E2973" s="42" t="s">
        <v>26851</v>
      </c>
      <c r="F2973" s="67">
        <v>42854</v>
      </c>
      <c r="G2973" s="33" t="s">
        <v>26852</v>
      </c>
      <c r="H2973" s="33" t="s">
        <v>26853</v>
      </c>
      <c r="I2973" s="33" t="s">
        <v>67</v>
      </c>
      <c r="J2973" s="33">
        <v>75180</v>
      </c>
      <c r="K2973" s="33" t="s">
        <v>266</v>
      </c>
      <c r="L2973" s="33" t="s">
        <v>5315</v>
      </c>
      <c r="M2973" s="33" t="s">
        <v>21</v>
      </c>
      <c r="N2973" s="33" t="s">
        <v>26854</v>
      </c>
      <c r="O2973" s="33" t="s">
        <v>26737</v>
      </c>
      <c r="P2973" s="33" t="s">
        <v>26737</v>
      </c>
      <c r="Q2973" s="42" t="s">
        <v>26855</v>
      </c>
      <c r="R2973" s="33" t="s">
        <v>94</v>
      </c>
      <c r="S2973" s="33" t="s">
        <v>12</v>
      </c>
      <c r="T2973" s="36" t="s">
        <v>29705</v>
      </c>
      <c r="U2973" s="36" t="s">
        <v>26570</v>
      </c>
      <c r="V2973" s="36" t="s">
        <v>26573</v>
      </c>
      <c r="W2973" s="36" t="s">
        <v>512</v>
      </c>
      <c r="X2973" s="36">
        <v>2538</v>
      </c>
      <c r="Z2973" s="33" t="s">
        <v>42968</v>
      </c>
      <c r="AA2973" s="33">
        <v>4695</v>
      </c>
    </row>
    <row r="2974" spans="1:46" ht="12" customHeight="1" x14ac:dyDescent="0.15">
      <c r="A2974" s="33" t="s">
        <v>26815</v>
      </c>
      <c r="B2974" s="33">
        <v>32</v>
      </c>
      <c r="C2974" s="33" t="s">
        <v>14</v>
      </c>
      <c r="D2974" s="33" t="s">
        <v>79</v>
      </c>
      <c r="E2974" s="42" t="s">
        <v>26816</v>
      </c>
      <c r="F2974" s="67">
        <v>42853</v>
      </c>
      <c r="G2974" s="33" t="s">
        <v>26817</v>
      </c>
      <c r="H2974" s="33" t="s">
        <v>1786</v>
      </c>
      <c r="I2974" s="33" t="s">
        <v>160</v>
      </c>
      <c r="J2974" s="33">
        <v>30311</v>
      </c>
      <c r="K2974" s="33" t="s">
        <v>1454</v>
      </c>
      <c r="L2974" s="33" t="s">
        <v>377</v>
      </c>
      <c r="M2974" s="33" t="s">
        <v>21</v>
      </c>
      <c r="N2974" s="33" t="s">
        <v>26818</v>
      </c>
      <c r="O2974" s="33" t="s">
        <v>372</v>
      </c>
      <c r="P2974" s="33" t="s">
        <v>30089</v>
      </c>
      <c r="Q2974" s="42" t="s">
        <v>26819</v>
      </c>
      <c r="R2974" s="33" t="s">
        <v>94</v>
      </c>
      <c r="S2974" s="33" t="s">
        <v>22</v>
      </c>
      <c r="T2974" s="36" t="s">
        <v>26781</v>
      </c>
      <c r="U2974" s="36" t="s">
        <v>26572</v>
      </c>
      <c r="V2974" s="36" t="s">
        <v>26573</v>
      </c>
      <c r="W2974" s="36" t="s">
        <v>94</v>
      </c>
      <c r="X2974" s="36">
        <v>2542</v>
      </c>
      <c r="Z2974" s="33" t="s">
        <v>42968</v>
      </c>
      <c r="AA2974" s="33">
        <v>4690</v>
      </c>
    </row>
    <row r="2975" spans="1:46" ht="12" customHeight="1" x14ac:dyDescent="0.15">
      <c r="A2975" s="33" t="s">
        <v>26943</v>
      </c>
      <c r="B2975" s="33">
        <v>25</v>
      </c>
      <c r="C2975" s="33" t="s">
        <v>14</v>
      </c>
      <c r="D2975" s="33" t="s">
        <v>42</v>
      </c>
      <c r="F2975" s="67">
        <v>42853</v>
      </c>
      <c r="G2975" s="33" t="s">
        <v>26944</v>
      </c>
      <c r="H2975" s="33" t="s">
        <v>4269</v>
      </c>
      <c r="I2975" s="33" t="s">
        <v>39</v>
      </c>
      <c r="J2975" s="33">
        <v>94403</v>
      </c>
      <c r="K2975" s="33" t="s">
        <v>4269</v>
      </c>
      <c r="L2975" s="33" t="s">
        <v>897</v>
      </c>
      <c r="M2975" s="33" t="s">
        <v>21</v>
      </c>
      <c r="N2975" s="33" t="s">
        <v>26945</v>
      </c>
      <c r="O2975" s="33" t="s">
        <v>372</v>
      </c>
      <c r="P2975" s="33" t="s">
        <v>30089</v>
      </c>
      <c r="Q2975" s="42" t="s">
        <v>26946</v>
      </c>
      <c r="R2975" s="33" t="s">
        <v>94</v>
      </c>
      <c r="S2975" s="33" t="s">
        <v>22</v>
      </c>
      <c r="T2975" s="36" t="s">
        <v>26781</v>
      </c>
      <c r="U2975" s="36" t="s">
        <v>26572</v>
      </c>
      <c r="V2975" s="36" t="s">
        <v>26573</v>
      </c>
      <c r="W2975" s="36" t="s">
        <v>94</v>
      </c>
      <c r="X2975" s="36">
        <v>2547</v>
      </c>
      <c r="Z2975" s="33" t="s">
        <v>42966</v>
      </c>
      <c r="AA2975" s="33">
        <v>4691</v>
      </c>
    </row>
    <row r="2976" spans="1:46" ht="12" customHeight="1" x14ac:dyDescent="0.15">
      <c r="A2976" s="33" t="s">
        <v>26939</v>
      </c>
      <c r="B2976" s="33">
        <v>53</v>
      </c>
      <c r="C2976" s="33" t="s">
        <v>14</v>
      </c>
      <c r="D2976" s="33" t="s">
        <v>31</v>
      </c>
      <c r="E2976" s="42" t="s">
        <v>29653</v>
      </c>
      <c r="F2976" s="67">
        <v>42852</v>
      </c>
      <c r="G2976" s="33" t="s">
        <v>26940</v>
      </c>
      <c r="H2976" s="33" t="s">
        <v>131</v>
      </c>
      <c r="I2976" s="33" t="s">
        <v>132</v>
      </c>
      <c r="J2976" s="33">
        <v>57702</v>
      </c>
      <c r="K2976" s="33" t="s">
        <v>133</v>
      </c>
      <c r="L2976" s="33" t="s">
        <v>134</v>
      </c>
      <c r="M2976" s="33" t="s">
        <v>21</v>
      </c>
      <c r="N2976" s="33" t="s">
        <v>26941</v>
      </c>
      <c r="O2976" s="33" t="s">
        <v>372</v>
      </c>
      <c r="P2976" s="33" t="s">
        <v>30089</v>
      </c>
      <c r="Q2976" s="42" t="s">
        <v>26942</v>
      </c>
      <c r="R2976" s="33" t="s">
        <v>23</v>
      </c>
      <c r="S2976" s="33" t="s">
        <v>22</v>
      </c>
      <c r="T2976" s="36" t="s">
        <v>26781</v>
      </c>
      <c r="U2976" s="36" t="s">
        <v>26572</v>
      </c>
      <c r="V2976" s="36" t="s">
        <v>26573</v>
      </c>
      <c r="W2976" s="36" t="s">
        <v>94</v>
      </c>
      <c r="X2976" s="36">
        <v>2537</v>
      </c>
      <c r="Z2976" s="33" t="s">
        <v>42968</v>
      </c>
      <c r="AA2976" s="33">
        <v>4689</v>
      </c>
    </row>
    <row r="2977" spans="1:46" ht="12" customHeight="1" x14ac:dyDescent="0.15">
      <c r="A2977" s="33" t="s">
        <v>26808</v>
      </c>
      <c r="B2977" s="33">
        <v>26</v>
      </c>
      <c r="C2977" s="33" t="s">
        <v>14</v>
      </c>
      <c r="D2977" s="33" t="s">
        <v>79</v>
      </c>
      <c r="E2977" s="42" t="s">
        <v>26809</v>
      </c>
      <c r="F2977" s="67">
        <v>42852</v>
      </c>
      <c r="G2977" s="33" t="s">
        <v>26810</v>
      </c>
      <c r="H2977" s="33" t="s">
        <v>26811</v>
      </c>
      <c r="I2977" s="33" t="s">
        <v>206</v>
      </c>
      <c r="J2977" s="33">
        <v>19701</v>
      </c>
      <c r="K2977" s="33" t="s">
        <v>3496</v>
      </c>
      <c r="L2977" s="33" t="s">
        <v>26812</v>
      </c>
      <c r="M2977" s="33" t="s">
        <v>21</v>
      </c>
      <c r="N2977" s="33" t="s">
        <v>26813</v>
      </c>
      <c r="O2977" s="33" t="s">
        <v>372</v>
      </c>
      <c r="P2977" s="33" t="s">
        <v>30089</v>
      </c>
      <c r="Q2977" s="42" t="s">
        <v>26814</v>
      </c>
      <c r="R2977" s="33" t="s">
        <v>94</v>
      </c>
      <c r="S2977" s="33" t="s">
        <v>22</v>
      </c>
      <c r="T2977" s="36" t="s">
        <v>26781</v>
      </c>
      <c r="U2977" s="36" t="s">
        <v>26572</v>
      </c>
      <c r="V2977" s="36" t="s">
        <v>26573</v>
      </c>
      <c r="W2977" s="36" t="s">
        <v>94</v>
      </c>
      <c r="X2977" s="36">
        <v>2535</v>
      </c>
      <c r="Z2977" s="33" t="s">
        <v>42968</v>
      </c>
      <c r="AA2977" s="33">
        <v>4688</v>
      </c>
    </row>
    <row r="2978" spans="1:46" ht="12" customHeight="1" x14ac:dyDescent="0.15">
      <c r="A2978" s="33" t="s">
        <v>27155</v>
      </c>
      <c r="B2978" s="33">
        <v>57</v>
      </c>
      <c r="C2978" s="33" t="s">
        <v>14</v>
      </c>
      <c r="D2978" s="33" t="s">
        <v>79</v>
      </c>
      <c r="E2978" s="42" t="s">
        <v>27156</v>
      </c>
      <c r="F2978" s="67">
        <v>42851</v>
      </c>
      <c r="G2978" s="33" t="s">
        <v>27157</v>
      </c>
      <c r="H2978" s="33" t="s">
        <v>603</v>
      </c>
      <c r="I2978" s="33" t="s">
        <v>56</v>
      </c>
      <c r="J2978" s="33">
        <v>32206</v>
      </c>
      <c r="K2978" s="33" t="s">
        <v>604</v>
      </c>
      <c r="L2978" s="33" t="s">
        <v>605</v>
      </c>
      <c r="M2978" s="33" t="s">
        <v>4966</v>
      </c>
      <c r="N2978" s="33" t="s">
        <v>36595</v>
      </c>
      <c r="O2978" s="33" t="s">
        <v>372</v>
      </c>
      <c r="P2978" s="33" t="s">
        <v>30089</v>
      </c>
      <c r="Q2978" s="33" t="s">
        <v>27158</v>
      </c>
      <c r="R2978" s="33" t="s">
        <v>94</v>
      </c>
      <c r="S2978" s="33" t="s">
        <v>22</v>
      </c>
      <c r="T2978" s="36" t="s">
        <v>27803</v>
      </c>
      <c r="U2978" s="36" t="s">
        <v>26570</v>
      </c>
      <c r="V2978" s="36" t="s">
        <v>26573</v>
      </c>
      <c r="W2978" s="36" t="s">
        <v>94</v>
      </c>
      <c r="X2978" s="36">
        <v>2530</v>
      </c>
      <c r="Z2978" s="33" t="s">
        <v>42966</v>
      </c>
      <c r="AA2978" s="33">
        <v>4686</v>
      </c>
      <c r="AQ2978" s="42"/>
    </row>
    <row r="2979" spans="1:46" ht="12" customHeight="1" x14ac:dyDescent="0.15">
      <c r="A2979" s="33" t="s">
        <v>27136</v>
      </c>
      <c r="B2979" s="33">
        <v>32</v>
      </c>
      <c r="C2979" s="33" t="s">
        <v>14</v>
      </c>
      <c r="D2979" s="33" t="s">
        <v>31</v>
      </c>
      <c r="E2979" s="42" t="s">
        <v>27137</v>
      </c>
      <c r="F2979" s="67">
        <v>42851</v>
      </c>
      <c r="G2979" s="33" t="s">
        <v>27138</v>
      </c>
      <c r="H2979" s="33" t="s">
        <v>1202</v>
      </c>
      <c r="I2979" s="33" t="s">
        <v>63</v>
      </c>
      <c r="J2979" s="33">
        <v>43206</v>
      </c>
      <c r="K2979" s="33" t="s">
        <v>1203</v>
      </c>
      <c r="L2979" s="33" t="s">
        <v>11441</v>
      </c>
      <c r="M2979" s="33" t="s">
        <v>21</v>
      </c>
      <c r="N2979" s="33" t="s">
        <v>36596</v>
      </c>
      <c r="O2979" s="33" t="s">
        <v>372</v>
      </c>
      <c r="P2979" s="33" t="s">
        <v>30089</v>
      </c>
      <c r="Q2979" s="42" t="s">
        <v>27139</v>
      </c>
      <c r="R2979" s="33" t="s">
        <v>94</v>
      </c>
      <c r="S2979" s="33" t="s">
        <v>351</v>
      </c>
      <c r="T2979" s="36" t="s">
        <v>26867</v>
      </c>
      <c r="U2979" s="36" t="s">
        <v>26570</v>
      </c>
      <c r="V2979" s="36" t="s">
        <v>26571</v>
      </c>
      <c r="W2979" s="36" t="s">
        <v>94</v>
      </c>
      <c r="X2979" s="36">
        <v>2536</v>
      </c>
      <c r="Z2979" s="33" t="s">
        <v>42966</v>
      </c>
      <c r="AA2979" s="33">
        <v>4687</v>
      </c>
      <c r="AQ2979" s="42"/>
    </row>
    <row r="2980" spans="1:46" ht="12" customHeight="1" x14ac:dyDescent="0.15">
      <c r="A2980" s="33" t="s">
        <v>26994</v>
      </c>
      <c r="B2980" s="33">
        <v>53</v>
      </c>
      <c r="C2980" s="33" t="s">
        <v>14</v>
      </c>
      <c r="D2980" s="33" t="s">
        <v>31</v>
      </c>
      <c r="F2980" s="67">
        <v>42851</v>
      </c>
      <c r="G2980" s="33" t="s">
        <v>26995</v>
      </c>
      <c r="H2980" s="33" t="s">
        <v>26996</v>
      </c>
      <c r="I2980" s="33" t="s">
        <v>376</v>
      </c>
      <c r="J2980" s="33">
        <v>17044</v>
      </c>
      <c r="K2980" s="33" t="s">
        <v>26997</v>
      </c>
      <c r="L2980" s="33" t="s">
        <v>26998</v>
      </c>
      <c r="M2980" s="33" t="s">
        <v>21</v>
      </c>
      <c r="N2980" s="33" t="s">
        <v>29654</v>
      </c>
      <c r="O2980" s="33" t="s">
        <v>372</v>
      </c>
      <c r="P2980" s="33" t="s">
        <v>94</v>
      </c>
      <c r="Q2980" s="42" t="s">
        <v>26999</v>
      </c>
      <c r="R2980" s="33" t="s">
        <v>23</v>
      </c>
      <c r="S2980" s="33" t="s">
        <v>22</v>
      </c>
      <c r="T2980" s="36" t="s">
        <v>26781</v>
      </c>
      <c r="U2980" s="36" t="s">
        <v>26570</v>
      </c>
      <c r="V2980" s="36" t="s">
        <v>26573</v>
      </c>
      <c r="W2980" s="36" t="s">
        <v>94</v>
      </c>
      <c r="X2980" s="36">
        <v>2534</v>
      </c>
      <c r="Z2980" s="33" t="s">
        <v>42967</v>
      </c>
      <c r="AA2980" s="33">
        <v>4685</v>
      </c>
      <c r="AQ2980" s="42"/>
    </row>
    <row r="2981" spans="1:46" ht="12" customHeight="1" x14ac:dyDescent="0.15">
      <c r="A2981" s="33" t="s">
        <v>27007</v>
      </c>
      <c r="B2981" s="33">
        <v>20</v>
      </c>
      <c r="C2981" s="33" t="s">
        <v>14</v>
      </c>
      <c r="D2981" s="33" t="s">
        <v>42</v>
      </c>
      <c r="E2981" s="42" t="s">
        <v>29655</v>
      </c>
      <c r="F2981" s="67">
        <v>42850</v>
      </c>
      <c r="G2981" s="33" t="s">
        <v>27008</v>
      </c>
      <c r="H2981" s="33" t="s">
        <v>7111</v>
      </c>
      <c r="I2981" s="33" t="s">
        <v>39</v>
      </c>
      <c r="J2981" s="33">
        <v>90706</v>
      </c>
      <c r="K2981" s="33" t="s">
        <v>92</v>
      </c>
      <c r="L2981" s="33" t="s">
        <v>452</v>
      </c>
      <c r="M2981" s="33" t="s">
        <v>21</v>
      </c>
      <c r="N2981" s="33" t="s">
        <v>27009</v>
      </c>
      <c r="O2981" s="33" t="s">
        <v>372</v>
      </c>
      <c r="P2981" s="33" t="s">
        <v>30089</v>
      </c>
      <c r="Q2981" s="42" t="s">
        <v>27010</v>
      </c>
      <c r="R2981" s="33" t="s">
        <v>94</v>
      </c>
      <c r="S2981" s="33" t="s">
        <v>351</v>
      </c>
      <c r="T2981" s="36" t="s">
        <v>26867</v>
      </c>
      <c r="U2981" s="36" t="s">
        <v>26570</v>
      </c>
      <c r="V2981" s="36" t="s">
        <v>26571</v>
      </c>
      <c r="W2981" s="36" t="s">
        <v>94</v>
      </c>
      <c r="X2981" s="36">
        <v>2532</v>
      </c>
      <c r="Z2981" s="33" t="s">
        <v>42966</v>
      </c>
      <c r="AA2981" s="33">
        <v>4684</v>
      </c>
    </row>
    <row r="2982" spans="1:46" ht="12" customHeight="1" x14ac:dyDescent="0.15">
      <c r="A2982" s="33" t="s">
        <v>26803</v>
      </c>
      <c r="B2982" s="33">
        <v>23</v>
      </c>
      <c r="C2982" s="33" t="s">
        <v>14</v>
      </c>
      <c r="D2982" s="33" t="s">
        <v>79</v>
      </c>
      <c r="E2982" s="42" t="s">
        <v>26804</v>
      </c>
      <c r="F2982" s="67">
        <v>42850</v>
      </c>
      <c r="G2982" s="33" t="s">
        <v>26805</v>
      </c>
      <c r="H2982" s="33" t="s">
        <v>485</v>
      </c>
      <c r="I2982" s="33" t="s">
        <v>75</v>
      </c>
      <c r="J2982" s="33">
        <v>7103</v>
      </c>
      <c r="K2982" s="33" t="s">
        <v>486</v>
      </c>
      <c r="L2982" s="33" t="s">
        <v>487</v>
      </c>
      <c r="M2982" s="33" t="s">
        <v>21</v>
      </c>
      <c r="N2982" s="33" t="s">
        <v>26806</v>
      </c>
      <c r="O2982" s="33" t="s">
        <v>372</v>
      </c>
      <c r="P2982" s="33" t="s">
        <v>30089</v>
      </c>
      <c r="Q2982" s="42" t="s">
        <v>26807</v>
      </c>
      <c r="R2982" s="33" t="s">
        <v>94</v>
      </c>
      <c r="S2982" s="33" t="s">
        <v>22</v>
      </c>
      <c r="T2982" s="36" t="s">
        <v>26781</v>
      </c>
      <c r="U2982" s="36" t="s">
        <v>26570</v>
      </c>
      <c r="V2982" s="36" t="s">
        <v>26571</v>
      </c>
      <c r="W2982" s="36" t="s">
        <v>94</v>
      </c>
      <c r="X2982" s="36">
        <v>2528</v>
      </c>
      <c r="Z2982" s="33" t="s">
        <v>42966</v>
      </c>
      <c r="AA2982" s="33">
        <v>4679</v>
      </c>
    </row>
    <row r="2983" spans="1:46" ht="12" customHeight="1" x14ac:dyDescent="0.15">
      <c r="A2983" s="33" t="s">
        <v>27280</v>
      </c>
      <c r="B2983" s="33">
        <v>20</v>
      </c>
      <c r="C2983" s="33" t="s">
        <v>103</v>
      </c>
      <c r="D2983" s="33" t="s">
        <v>31</v>
      </c>
      <c r="E2983" s="42" t="s">
        <v>27281</v>
      </c>
      <c r="F2983" s="67">
        <v>42850</v>
      </c>
      <c r="G2983" s="33" t="s">
        <v>27282</v>
      </c>
      <c r="H2983" s="33" t="s">
        <v>20124</v>
      </c>
      <c r="I2983" s="33" t="s">
        <v>376</v>
      </c>
      <c r="J2983" s="33">
        <v>15904</v>
      </c>
      <c r="K2983" s="33" t="s">
        <v>20126</v>
      </c>
      <c r="L2983" s="33" t="s">
        <v>27283</v>
      </c>
      <c r="M2983" s="33" t="s">
        <v>21</v>
      </c>
      <c r="N2983" s="33" t="s">
        <v>36597</v>
      </c>
      <c r="O2983" s="33" t="s">
        <v>372</v>
      </c>
      <c r="P2983" s="33" t="s">
        <v>30089</v>
      </c>
      <c r="Q2983" s="42" t="s">
        <v>27284</v>
      </c>
      <c r="R2983" s="33" t="s">
        <v>94</v>
      </c>
      <c r="S2983" s="33" t="s">
        <v>12</v>
      </c>
      <c r="T2983" s="36" t="s">
        <v>29705</v>
      </c>
      <c r="U2983" s="36" t="s">
        <v>26570</v>
      </c>
      <c r="V2983" s="36" t="s">
        <v>26573</v>
      </c>
      <c r="Z2983" s="33" t="s">
        <v>42968</v>
      </c>
      <c r="AA2983" s="33">
        <v>4683</v>
      </c>
    </row>
    <row r="2984" spans="1:46" ht="12" customHeight="1" x14ac:dyDescent="0.15">
      <c r="A2984" s="33" t="s">
        <v>27145</v>
      </c>
      <c r="B2984" s="33">
        <v>27</v>
      </c>
      <c r="C2984" s="33" t="s">
        <v>14</v>
      </c>
      <c r="D2984" s="33" t="s">
        <v>79</v>
      </c>
      <c r="F2984" s="67">
        <v>42850</v>
      </c>
      <c r="G2984" s="33" t="s">
        <v>27146</v>
      </c>
      <c r="H2984" s="33" t="s">
        <v>27147</v>
      </c>
      <c r="I2984" s="33" t="s">
        <v>160</v>
      </c>
      <c r="J2984" s="33">
        <v>31052</v>
      </c>
      <c r="K2984" s="33" t="s">
        <v>23972</v>
      </c>
      <c r="L2984" s="33" t="s">
        <v>23973</v>
      </c>
      <c r="M2984" s="33" t="s">
        <v>4966</v>
      </c>
      <c r="N2984" s="33" t="s">
        <v>27148</v>
      </c>
      <c r="O2984" s="33" t="s">
        <v>372</v>
      </c>
      <c r="P2984" s="33" t="s">
        <v>30089</v>
      </c>
      <c r="Q2984" s="42" t="s">
        <v>27149</v>
      </c>
      <c r="R2984" s="33" t="s">
        <v>94</v>
      </c>
      <c r="S2984" s="33" t="s">
        <v>22</v>
      </c>
      <c r="T2984" s="36" t="s">
        <v>26774</v>
      </c>
      <c r="U2984" s="36" t="s">
        <v>26570</v>
      </c>
      <c r="V2984" s="36" t="s">
        <v>26573</v>
      </c>
      <c r="W2984" s="36" t="s">
        <v>94</v>
      </c>
      <c r="X2984" s="36">
        <v>2533</v>
      </c>
      <c r="Z2984" s="33" t="s">
        <v>42967</v>
      </c>
      <c r="AA2984" s="33">
        <v>4682</v>
      </c>
    </row>
    <row r="2985" spans="1:46" ht="12" customHeight="1" x14ac:dyDescent="0.15">
      <c r="A2985" s="33" t="s">
        <v>27291</v>
      </c>
      <c r="B2985" s="33">
        <v>46</v>
      </c>
      <c r="C2985" s="33" t="s">
        <v>14</v>
      </c>
      <c r="D2985" s="33" t="s">
        <v>31</v>
      </c>
      <c r="E2985" s="42" t="s">
        <v>27292</v>
      </c>
      <c r="F2985" s="67">
        <v>42850</v>
      </c>
      <c r="G2985" s="33" t="s">
        <v>27293</v>
      </c>
      <c r="H2985" s="33" t="s">
        <v>26176</v>
      </c>
      <c r="I2985" s="33" t="s">
        <v>67</v>
      </c>
      <c r="J2985" s="33">
        <v>75901</v>
      </c>
      <c r="K2985" s="33" t="s">
        <v>13529</v>
      </c>
      <c r="L2985" s="33" t="s">
        <v>27294</v>
      </c>
      <c r="M2985" s="33" t="s">
        <v>21</v>
      </c>
      <c r="N2985" s="33" t="s">
        <v>27295</v>
      </c>
      <c r="O2985" s="33" t="s">
        <v>372</v>
      </c>
      <c r="P2985" s="33" t="s">
        <v>30089</v>
      </c>
      <c r="Q2985" s="42" t="s">
        <v>27296</v>
      </c>
      <c r="R2985" s="33" t="s">
        <v>512</v>
      </c>
      <c r="S2985" s="33" t="s">
        <v>22</v>
      </c>
      <c r="T2985" s="36" t="s">
        <v>26781</v>
      </c>
      <c r="U2985" s="36" t="s">
        <v>26572</v>
      </c>
      <c r="V2985" s="36" t="s">
        <v>26573</v>
      </c>
      <c r="Z2985" s="33" t="s">
        <v>42968</v>
      </c>
      <c r="AA2985" s="33">
        <v>4681</v>
      </c>
      <c r="AQ2985" s="42"/>
    </row>
    <row r="2986" spans="1:46" ht="12" customHeight="1" x14ac:dyDescent="0.15">
      <c r="A2986" s="33" t="s">
        <v>27198</v>
      </c>
      <c r="B2986" s="33">
        <v>52</v>
      </c>
      <c r="C2986" s="33" t="s">
        <v>14</v>
      </c>
      <c r="D2986" s="33" t="s">
        <v>42</v>
      </c>
      <c r="F2986" s="67">
        <v>42850</v>
      </c>
      <c r="G2986" s="33" t="s">
        <v>27199</v>
      </c>
      <c r="H2986" s="33" t="s">
        <v>870</v>
      </c>
      <c r="I2986" s="33" t="s">
        <v>67</v>
      </c>
      <c r="J2986" s="33">
        <v>76103</v>
      </c>
      <c r="K2986" s="33" t="s">
        <v>68</v>
      </c>
      <c r="L2986" s="33" t="s">
        <v>871</v>
      </c>
      <c r="M2986" s="33" t="s">
        <v>21</v>
      </c>
      <c r="N2986" s="33" t="s">
        <v>36598</v>
      </c>
      <c r="O2986" s="33" t="s">
        <v>372</v>
      </c>
      <c r="P2986" s="33" t="s">
        <v>30089</v>
      </c>
      <c r="Q2986" s="42" t="s">
        <v>27200</v>
      </c>
      <c r="R2986" s="33" t="s">
        <v>904</v>
      </c>
      <c r="S2986" s="33" t="s">
        <v>22</v>
      </c>
      <c r="T2986" s="36" t="s">
        <v>26781</v>
      </c>
      <c r="U2986" s="36" t="s">
        <v>26572</v>
      </c>
      <c r="V2986" s="36" t="s">
        <v>26573</v>
      </c>
      <c r="W2986" s="36" t="s">
        <v>512</v>
      </c>
      <c r="X2986" s="36">
        <v>2529</v>
      </c>
      <c r="Z2986" s="33" t="s">
        <v>42966</v>
      </c>
      <c r="AA2986" s="33">
        <v>4680</v>
      </c>
    </row>
    <row r="2987" spans="1:46" ht="12" customHeight="1" x14ac:dyDescent="0.15">
      <c r="A2987" s="33" t="s">
        <v>27250</v>
      </c>
      <c r="B2987" s="33">
        <v>15</v>
      </c>
      <c r="C2987" s="33" t="s">
        <v>14</v>
      </c>
      <c r="D2987" s="33" t="s">
        <v>79</v>
      </c>
      <c r="F2987" s="67">
        <v>42849</v>
      </c>
      <c r="G2987" s="33" t="s">
        <v>27251</v>
      </c>
      <c r="H2987" s="33" t="s">
        <v>13898</v>
      </c>
      <c r="I2987" s="33" t="s">
        <v>67</v>
      </c>
      <c r="J2987" s="33">
        <v>76543</v>
      </c>
      <c r="K2987" s="33" t="s">
        <v>7728</v>
      </c>
      <c r="L2987" s="33" t="s">
        <v>13900</v>
      </c>
      <c r="M2987" s="33" t="s">
        <v>21</v>
      </c>
      <c r="N2987" s="33" t="s">
        <v>27252</v>
      </c>
      <c r="O2987" s="33" t="s">
        <v>372</v>
      </c>
      <c r="P2987" s="33" t="s">
        <v>30089</v>
      </c>
      <c r="Q2987" s="42" t="s">
        <v>27253</v>
      </c>
      <c r="R2987" s="33" t="s">
        <v>94</v>
      </c>
      <c r="S2987" s="33" t="s">
        <v>22</v>
      </c>
      <c r="T2987" s="36" t="s">
        <v>26781</v>
      </c>
      <c r="U2987" s="36" t="s">
        <v>26572</v>
      </c>
      <c r="V2987" s="36" t="s">
        <v>26573</v>
      </c>
      <c r="W2987" s="36" t="s">
        <v>94</v>
      </c>
      <c r="X2987" s="36">
        <v>2714</v>
      </c>
      <c r="Z2987" s="33" t="s">
        <v>42968</v>
      </c>
      <c r="AA2987" s="33">
        <v>4677</v>
      </c>
    </row>
    <row r="2988" spans="1:46" ht="12" customHeight="1" x14ac:dyDescent="0.15">
      <c r="A2988" s="33" t="s">
        <v>26934</v>
      </c>
      <c r="B2988" s="33">
        <v>16</v>
      </c>
      <c r="C2988" s="33" t="s">
        <v>14</v>
      </c>
      <c r="D2988" s="33" t="s">
        <v>79</v>
      </c>
      <c r="F2988" s="67">
        <v>42849</v>
      </c>
      <c r="G2988" s="33" t="s">
        <v>26935</v>
      </c>
      <c r="H2988" s="33" t="s">
        <v>674</v>
      </c>
      <c r="I2988" s="33" t="s">
        <v>67</v>
      </c>
      <c r="J2988" s="33">
        <v>77084</v>
      </c>
      <c r="K2988" s="33" t="s">
        <v>515</v>
      </c>
      <c r="L2988" s="33" t="s">
        <v>26936</v>
      </c>
      <c r="M2988" s="33" t="s">
        <v>21</v>
      </c>
      <c r="N2988" s="33" t="s">
        <v>26937</v>
      </c>
      <c r="O2988" s="33" t="s">
        <v>372</v>
      </c>
      <c r="P2988" s="33" t="s">
        <v>30089</v>
      </c>
      <c r="Q2988" s="42" t="s">
        <v>26938</v>
      </c>
      <c r="R2988" s="33" t="s">
        <v>94</v>
      </c>
      <c r="S2988" s="33" t="s">
        <v>22</v>
      </c>
      <c r="T2988" s="36" t="s">
        <v>26781</v>
      </c>
      <c r="U2988" s="36" t="s">
        <v>26570</v>
      </c>
      <c r="V2988" s="36" t="s">
        <v>26574</v>
      </c>
      <c r="W2988" s="36" t="s">
        <v>512</v>
      </c>
      <c r="X2988" s="36">
        <v>2527</v>
      </c>
      <c r="Z2988" s="33" t="s">
        <v>42968</v>
      </c>
      <c r="AA2988" s="33">
        <v>4676</v>
      </c>
    </row>
    <row r="2989" spans="1:46" ht="12" customHeight="1" x14ac:dyDescent="0.15">
      <c r="A2989" s="33" t="s">
        <v>27193</v>
      </c>
      <c r="B2989" s="33">
        <v>79</v>
      </c>
      <c r="C2989" s="33" t="s">
        <v>14</v>
      </c>
      <c r="D2989" s="33" t="s">
        <v>31</v>
      </c>
      <c r="F2989" s="67">
        <v>42849</v>
      </c>
      <c r="G2989" s="33" t="s">
        <v>27194</v>
      </c>
      <c r="H2989" s="33" t="s">
        <v>27195</v>
      </c>
      <c r="I2989" s="33" t="s">
        <v>376</v>
      </c>
      <c r="J2989" s="33">
        <v>17363</v>
      </c>
      <c r="K2989" s="33" t="s">
        <v>1499</v>
      </c>
      <c r="L2989" s="33" t="s">
        <v>473</v>
      </c>
      <c r="M2989" s="33" t="s">
        <v>21</v>
      </c>
      <c r="N2989" s="33" t="s">
        <v>27196</v>
      </c>
      <c r="O2989" s="33" t="s">
        <v>372</v>
      </c>
      <c r="P2989" s="33" t="s">
        <v>94</v>
      </c>
      <c r="Q2989" s="42" t="s">
        <v>27197</v>
      </c>
      <c r="R2989" s="33" t="s">
        <v>512</v>
      </c>
      <c r="S2989" s="33" t="s">
        <v>22</v>
      </c>
      <c r="T2989" s="36" t="s">
        <v>26781</v>
      </c>
      <c r="U2989" s="36" t="s">
        <v>26572</v>
      </c>
      <c r="V2989" s="36" t="s">
        <v>26573</v>
      </c>
      <c r="W2989" s="36" t="s">
        <v>94</v>
      </c>
      <c r="X2989" s="36">
        <v>2524</v>
      </c>
      <c r="Z2989" s="33" t="s">
        <v>42967</v>
      </c>
      <c r="AA2989" s="33">
        <v>4675</v>
      </c>
      <c r="AT2989" s="42"/>
    </row>
    <row r="2990" spans="1:46" ht="12" customHeight="1" x14ac:dyDescent="0.15">
      <c r="A2990" s="33" t="s">
        <v>27100</v>
      </c>
      <c r="B2990" s="33">
        <v>35</v>
      </c>
      <c r="C2990" s="33" t="s">
        <v>14</v>
      </c>
      <c r="D2990" s="33" t="s">
        <v>31</v>
      </c>
      <c r="E2990" s="42" t="s">
        <v>27101</v>
      </c>
      <c r="F2990" s="67">
        <v>42849</v>
      </c>
      <c r="G2990" s="33" t="s">
        <v>27102</v>
      </c>
      <c r="H2990" s="33" t="s">
        <v>1434</v>
      </c>
      <c r="I2990" s="33" t="s">
        <v>106</v>
      </c>
      <c r="J2990" s="33">
        <v>97497</v>
      </c>
      <c r="K2990" s="33" t="s">
        <v>1435</v>
      </c>
      <c r="L2990" s="33" t="s">
        <v>1910</v>
      </c>
      <c r="M2990" s="33" t="s">
        <v>4966</v>
      </c>
      <c r="N2990" s="33" t="s">
        <v>27103</v>
      </c>
      <c r="O2990" s="33" t="s">
        <v>372</v>
      </c>
      <c r="P2990" s="33" t="s">
        <v>94</v>
      </c>
      <c r="Q2990" s="42" t="s">
        <v>27104</v>
      </c>
      <c r="R2990" s="33" t="s">
        <v>94</v>
      </c>
      <c r="S2990" s="33" t="s">
        <v>12</v>
      </c>
      <c r="T2990" s="36" t="s">
        <v>29705</v>
      </c>
      <c r="U2990" s="36" t="s">
        <v>26572</v>
      </c>
      <c r="V2990" s="36" t="s">
        <v>26573</v>
      </c>
      <c r="W2990" s="36" t="s">
        <v>94</v>
      </c>
      <c r="X2990" s="36">
        <v>2531</v>
      </c>
      <c r="Z2990" s="33" t="s">
        <v>42967</v>
      </c>
      <c r="AA2990" s="33">
        <v>4678</v>
      </c>
      <c r="AQ2990" s="84"/>
    </row>
    <row r="2991" spans="1:46" ht="12" customHeight="1" x14ac:dyDescent="0.15">
      <c r="A2991" s="33" t="s">
        <v>26930</v>
      </c>
      <c r="B2991" s="33">
        <v>70</v>
      </c>
      <c r="C2991" s="33" t="s">
        <v>14</v>
      </c>
      <c r="D2991" s="33" t="s">
        <v>31</v>
      </c>
      <c r="E2991" s="42" t="s">
        <v>29656</v>
      </c>
      <c r="F2991" s="67">
        <v>42848</v>
      </c>
      <c r="G2991" s="33" t="s">
        <v>26931</v>
      </c>
      <c r="H2991" s="33" t="s">
        <v>484</v>
      </c>
      <c r="I2991" s="33" t="s">
        <v>112</v>
      </c>
      <c r="J2991" s="33">
        <v>86303</v>
      </c>
      <c r="K2991" s="33" t="s">
        <v>166</v>
      </c>
      <c r="L2991" s="33" t="s">
        <v>11796</v>
      </c>
      <c r="M2991" s="33" t="s">
        <v>21</v>
      </c>
      <c r="N2991" s="33" t="s">
        <v>26932</v>
      </c>
      <c r="O2991" s="33" t="s">
        <v>372</v>
      </c>
      <c r="P2991" s="33" t="s">
        <v>30089</v>
      </c>
      <c r="Q2991" s="42" t="s">
        <v>26933</v>
      </c>
      <c r="R2991" s="33" t="s">
        <v>23</v>
      </c>
      <c r="S2991" s="33" t="s">
        <v>22</v>
      </c>
      <c r="T2991" s="36" t="s">
        <v>26781</v>
      </c>
      <c r="U2991" s="36" t="s">
        <v>26572</v>
      </c>
      <c r="V2991" s="36" t="s">
        <v>26573</v>
      </c>
      <c r="W2991" s="36" t="s">
        <v>94</v>
      </c>
      <c r="X2991" s="36">
        <v>2526</v>
      </c>
      <c r="Z2991" s="33" t="s">
        <v>42968</v>
      </c>
      <c r="AA2991" s="33">
        <v>4674</v>
      </c>
    </row>
    <row r="2992" spans="1:46" ht="12" customHeight="1" x14ac:dyDescent="0.15">
      <c r="A2992" s="33" t="s">
        <v>26908</v>
      </c>
      <c r="B2992" s="33">
        <v>43</v>
      </c>
      <c r="C2992" s="33" t="s">
        <v>14</v>
      </c>
      <c r="D2992" s="33" t="s">
        <v>15</v>
      </c>
      <c r="E2992" s="42" t="s">
        <v>26909</v>
      </c>
      <c r="F2992" s="67">
        <v>42847</v>
      </c>
      <c r="G2992" s="33" t="s">
        <v>26910</v>
      </c>
      <c r="H2992" s="33" t="s">
        <v>10080</v>
      </c>
      <c r="I2992" s="33" t="s">
        <v>39</v>
      </c>
      <c r="J2992" s="33">
        <v>95991</v>
      </c>
      <c r="K2992" s="33" t="s">
        <v>6921</v>
      </c>
      <c r="L2992" s="33" t="s">
        <v>10082</v>
      </c>
      <c r="M2992" s="33" t="s">
        <v>21</v>
      </c>
      <c r="N2992" s="33" t="s">
        <v>26911</v>
      </c>
      <c r="O2992" s="33" t="s">
        <v>372</v>
      </c>
      <c r="P2992" s="33" t="s">
        <v>30089</v>
      </c>
      <c r="Q2992" s="42" t="s">
        <v>26912</v>
      </c>
      <c r="R2992" s="33" t="s">
        <v>94</v>
      </c>
      <c r="S2992" s="33" t="s">
        <v>22</v>
      </c>
      <c r="T2992" s="36" t="s">
        <v>29420</v>
      </c>
      <c r="U2992" s="36" t="s">
        <v>26572</v>
      </c>
      <c r="V2992" s="36" t="s">
        <v>26574</v>
      </c>
      <c r="W2992" s="36" t="s">
        <v>94</v>
      </c>
      <c r="X2992" s="36">
        <v>2521</v>
      </c>
      <c r="Z2992" s="33" t="s">
        <v>42968</v>
      </c>
      <c r="AA2992" s="33">
        <v>4671</v>
      </c>
    </row>
    <row r="2993" spans="1:43" ht="12" customHeight="1" x14ac:dyDescent="0.15">
      <c r="A2993" s="33" t="s">
        <v>27091</v>
      </c>
      <c r="B2993" s="33">
        <v>24</v>
      </c>
      <c r="C2993" s="33" t="s">
        <v>14</v>
      </c>
      <c r="D2993" s="33" t="s">
        <v>31</v>
      </c>
      <c r="F2993" s="67">
        <v>42847</v>
      </c>
      <c r="G2993" s="33" t="s">
        <v>27092</v>
      </c>
      <c r="H2993" s="33" t="s">
        <v>505</v>
      </c>
      <c r="I2993" s="33" t="s">
        <v>63</v>
      </c>
      <c r="J2993" s="33">
        <v>45011</v>
      </c>
      <c r="K2993" s="33" t="s">
        <v>5063</v>
      </c>
      <c r="L2993" s="33" t="s">
        <v>2676</v>
      </c>
      <c r="M2993" s="33" t="s">
        <v>21</v>
      </c>
      <c r="N2993" s="33" t="s">
        <v>27093</v>
      </c>
      <c r="O2993" s="33" t="s">
        <v>372</v>
      </c>
      <c r="P2993" s="33" t="s">
        <v>30089</v>
      </c>
      <c r="Q2993" s="42" t="s">
        <v>27094</v>
      </c>
      <c r="R2993" s="33" t="s">
        <v>94</v>
      </c>
      <c r="S2993" s="33" t="s">
        <v>22</v>
      </c>
      <c r="T2993" s="36" t="s">
        <v>26774</v>
      </c>
      <c r="U2993" s="36" t="s">
        <v>26570</v>
      </c>
      <c r="V2993" s="36" t="s">
        <v>26573</v>
      </c>
      <c r="W2993" s="36" t="s">
        <v>94</v>
      </c>
      <c r="X2993" s="36">
        <v>2523</v>
      </c>
      <c r="Z2993" s="33" t="s">
        <v>42968</v>
      </c>
      <c r="AA2993" s="33">
        <v>4672</v>
      </c>
    </row>
    <row r="2994" spans="1:43" ht="12" customHeight="1" x14ac:dyDescent="0.15">
      <c r="A2994" s="33" t="s">
        <v>26856</v>
      </c>
      <c r="B2994" s="33">
        <v>39</v>
      </c>
      <c r="C2994" s="33" t="s">
        <v>14</v>
      </c>
      <c r="D2994" s="33" t="s">
        <v>79</v>
      </c>
      <c r="E2994" s="42" t="s">
        <v>26857</v>
      </c>
      <c r="F2994" s="67">
        <v>42847</v>
      </c>
      <c r="G2994" s="33" t="s">
        <v>26858</v>
      </c>
      <c r="H2994" s="33" t="s">
        <v>2178</v>
      </c>
      <c r="I2994" s="33" t="s">
        <v>198</v>
      </c>
      <c r="J2994" s="33">
        <v>46368</v>
      </c>
      <c r="K2994" s="33" t="s">
        <v>19220</v>
      </c>
      <c r="L2994" s="33" t="s">
        <v>26859</v>
      </c>
      <c r="M2994" s="33" t="s">
        <v>21</v>
      </c>
      <c r="N2994" s="33" t="s">
        <v>26860</v>
      </c>
      <c r="O2994" s="33" t="s">
        <v>372</v>
      </c>
      <c r="P2994" s="33" t="s">
        <v>30089</v>
      </c>
      <c r="Q2994" s="42" t="s">
        <v>26861</v>
      </c>
      <c r="R2994" s="33" t="s">
        <v>94</v>
      </c>
      <c r="S2994" s="33" t="s">
        <v>351</v>
      </c>
      <c r="T2994" s="36" t="s">
        <v>26867</v>
      </c>
      <c r="U2994" s="36" t="s">
        <v>26570</v>
      </c>
      <c r="V2994" s="36" t="s">
        <v>26573</v>
      </c>
      <c r="W2994" s="36" t="s">
        <v>94</v>
      </c>
      <c r="X2994" s="36">
        <v>2522</v>
      </c>
      <c r="Z2994" s="33" t="s">
        <v>42968</v>
      </c>
      <c r="AA2994" s="33">
        <v>4673</v>
      </c>
    </row>
    <row r="2995" spans="1:43" ht="12" customHeight="1" x14ac:dyDescent="0.15">
      <c r="A2995" s="33" t="s">
        <v>30557</v>
      </c>
      <c r="B2995" s="33">
        <v>25</v>
      </c>
      <c r="C2995" s="33" t="s">
        <v>14</v>
      </c>
      <c r="D2995" s="33" t="s">
        <v>31</v>
      </c>
      <c r="F2995" s="67">
        <v>42846</v>
      </c>
      <c r="G2995" s="33" t="s">
        <v>30558</v>
      </c>
      <c r="H2995" s="33" t="s">
        <v>30559</v>
      </c>
      <c r="I2995" s="33" t="s">
        <v>106</v>
      </c>
      <c r="J2995" s="33">
        <v>97068</v>
      </c>
      <c r="K2995" s="33" t="s">
        <v>30560</v>
      </c>
      <c r="L2995" s="33" t="s">
        <v>30561</v>
      </c>
      <c r="M2995" s="33" t="s">
        <v>21</v>
      </c>
      <c r="N2995" s="33" t="s">
        <v>30562</v>
      </c>
      <c r="O2995" s="33" t="s">
        <v>372</v>
      </c>
      <c r="P2995" s="33" t="s">
        <v>30089</v>
      </c>
      <c r="Q2995" s="33" t="s">
        <v>30563</v>
      </c>
      <c r="R2995" s="33" t="s">
        <v>512</v>
      </c>
      <c r="S2995" s="33" t="s">
        <v>22</v>
      </c>
      <c r="T2995" s="33" t="s">
        <v>26781</v>
      </c>
      <c r="U2995" s="33" t="s">
        <v>26570</v>
      </c>
      <c r="V2995" s="33" t="s">
        <v>26573</v>
      </c>
      <c r="W2995" s="33" t="s">
        <v>94</v>
      </c>
      <c r="X2995" s="33">
        <v>2519</v>
      </c>
      <c r="Z2995" s="33" t="s">
        <v>42968</v>
      </c>
      <c r="AA2995" s="33">
        <v>4670</v>
      </c>
    </row>
    <row r="2996" spans="1:43" ht="12" customHeight="1" x14ac:dyDescent="0.15">
      <c r="A2996" s="33" t="s">
        <v>27051</v>
      </c>
      <c r="B2996" s="33">
        <v>64</v>
      </c>
      <c r="C2996" s="33" t="s">
        <v>14</v>
      </c>
      <c r="D2996" s="33" t="s">
        <v>31</v>
      </c>
      <c r="F2996" s="67">
        <v>42845</v>
      </c>
      <c r="G2996" s="33" t="s">
        <v>27052</v>
      </c>
      <c r="H2996" s="33" t="s">
        <v>1986</v>
      </c>
      <c r="I2996" s="33" t="s">
        <v>367</v>
      </c>
      <c r="J2996" s="33">
        <v>73034</v>
      </c>
      <c r="K2996" s="33" t="s">
        <v>1028</v>
      </c>
      <c r="L2996" s="33" t="s">
        <v>27528</v>
      </c>
      <c r="M2996" s="33" t="s">
        <v>21</v>
      </c>
      <c r="N2996" s="33" t="s">
        <v>36601</v>
      </c>
      <c r="O2996" s="33" t="s">
        <v>372</v>
      </c>
      <c r="P2996" s="33" t="s">
        <v>30089</v>
      </c>
      <c r="Q2996" s="42" t="s">
        <v>27053</v>
      </c>
      <c r="R2996" s="33" t="s">
        <v>23</v>
      </c>
      <c r="S2996" s="33" t="s">
        <v>22</v>
      </c>
      <c r="T2996" s="36" t="s">
        <v>26781</v>
      </c>
      <c r="U2996" s="36" t="s">
        <v>26572</v>
      </c>
      <c r="V2996" s="36" t="s">
        <v>26573</v>
      </c>
      <c r="W2996" s="36" t="s">
        <v>94</v>
      </c>
      <c r="X2996" s="36">
        <v>2513</v>
      </c>
      <c r="Z2996" s="33" t="s">
        <v>42968</v>
      </c>
      <c r="AA2996" s="33">
        <v>4663</v>
      </c>
    </row>
    <row r="2997" spans="1:43" ht="12" customHeight="1" x14ac:dyDescent="0.15">
      <c r="A2997" s="33" t="s">
        <v>27159</v>
      </c>
      <c r="B2997" s="33">
        <v>55</v>
      </c>
      <c r="C2997" s="33" t="s">
        <v>14</v>
      </c>
      <c r="D2997" s="33" t="s">
        <v>42</v>
      </c>
      <c r="E2997" s="42" t="s">
        <v>29639</v>
      </c>
      <c r="F2997" s="67">
        <v>42845</v>
      </c>
      <c r="G2997" s="33" t="s">
        <v>27160</v>
      </c>
      <c r="H2997" s="33" t="s">
        <v>532</v>
      </c>
      <c r="I2997" s="33" t="s">
        <v>67</v>
      </c>
      <c r="J2997" s="33">
        <v>78207</v>
      </c>
      <c r="K2997" s="33" t="s">
        <v>533</v>
      </c>
      <c r="L2997" s="33" t="s">
        <v>534</v>
      </c>
      <c r="M2997" s="33" t="s">
        <v>4966</v>
      </c>
      <c r="N2997" s="33" t="s">
        <v>27161</v>
      </c>
      <c r="O2997" s="33" t="s">
        <v>372</v>
      </c>
      <c r="P2997" s="33" t="s">
        <v>30089</v>
      </c>
      <c r="Q2997" s="42" t="s">
        <v>27162</v>
      </c>
      <c r="R2997" s="33" t="s">
        <v>94</v>
      </c>
      <c r="S2997" s="33" t="s">
        <v>22</v>
      </c>
      <c r="T2997" s="36" t="s">
        <v>26774</v>
      </c>
      <c r="U2997" s="36" t="s">
        <v>26570</v>
      </c>
      <c r="V2997" s="36" t="s">
        <v>26573</v>
      </c>
      <c r="W2997" s="36" t="s">
        <v>94</v>
      </c>
      <c r="X2997" s="36">
        <v>2516</v>
      </c>
      <c r="Z2997" s="33" t="s">
        <v>42966</v>
      </c>
      <c r="AA2997" s="33">
        <v>4666</v>
      </c>
    </row>
    <row r="2998" spans="1:43" ht="12" customHeight="1" x14ac:dyDescent="0.15">
      <c r="A2998" s="33" t="s">
        <v>27310</v>
      </c>
      <c r="B2998" s="33">
        <v>30</v>
      </c>
      <c r="C2998" s="33" t="s">
        <v>14</v>
      </c>
      <c r="D2998" s="33" t="s">
        <v>31</v>
      </c>
      <c r="E2998" s="42" t="s">
        <v>27311</v>
      </c>
      <c r="F2998" s="67">
        <v>42845</v>
      </c>
      <c r="G2998" s="33" t="s">
        <v>27312</v>
      </c>
      <c r="H2998" s="33" t="s">
        <v>765</v>
      </c>
      <c r="I2998" s="33" t="s">
        <v>26</v>
      </c>
      <c r="J2998" s="33">
        <v>29483</v>
      </c>
      <c r="K2998" s="33" t="s">
        <v>766</v>
      </c>
      <c r="L2998" s="33" t="s">
        <v>17498</v>
      </c>
      <c r="M2998" s="33" t="s">
        <v>351</v>
      </c>
      <c r="N2998" s="33" t="s">
        <v>27313</v>
      </c>
      <c r="O2998" s="33" t="s">
        <v>372</v>
      </c>
      <c r="P2998" s="33" t="s">
        <v>30089</v>
      </c>
      <c r="Q2998" s="42" t="s">
        <v>27314</v>
      </c>
      <c r="R2998" s="33" t="s">
        <v>94</v>
      </c>
      <c r="S2998" s="33" t="s">
        <v>351</v>
      </c>
      <c r="T2998" s="33" t="s">
        <v>26867</v>
      </c>
      <c r="U2998" s="33" t="s">
        <v>26570</v>
      </c>
      <c r="V2998" s="33" t="s">
        <v>26573</v>
      </c>
      <c r="Z2998" s="33" t="s">
        <v>42968</v>
      </c>
      <c r="AA2998" s="33">
        <v>4669</v>
      </c>
    </row>
    <row r="2999" spans="1:43" ht="12" customHeight="1" x14ac:dyDescent="0.15">
      <c r="A2999" s="33" t="s">
        <v>26799</v>
      </c>
      <c r="B2999" s="33">
        <v>19</v>
      </c>
      <c r="C2999" s="33" t="s">
        <v>14</v>
      </c>
      <c r="D2999" s="33" t="s">
        <v>79</v>
      </c>
      <c r="F2999" s="67">
        <v>42845</v>
      </c>
      <c r="G2999" s="33" t="s">
        <v>26800</v>
      </c>
      <c r="H2999" s="33" t="s">
        <v>1132</v>
      </c>
      <c r="I2999" s="33" t="s">
        <v>282</v>
      </c>
      <c r="J2999" s="33">
        <v>98104</v>
      </c>
      <c r="K2999" s="33" t="s">
        <v>1133</v>
      </c>
      <c r="L2999" s="33" t="s">
        <v>1134</v>
      </c>
      <c r="M2999" s="33" t="s">
        <v>21</v>
      </c>
      <c r="N2999" s="33" t="s">
        <v>26801</v>
      </c>
      <c r="O2999" s="33" t="s">
        <v>372</v>
      </c>
      <c r="P2999" s="33" t="s">
        <v>94</v>
      </c>
      <c r="Q2999" s="42" t="s">
        <v>26802</v>
      </c>
      <c r="R2999" s="33" t="s">
        <v>94</v>
      </c>
      <c r="S2999" s="33" t="s">
        <v>22</v>
      </c>
      <c r="T2999" s="36" t="s">
        <v>26781</v>
      </c>
      <c r="U2999" s="36" t="s">
        <v>26572</v>
      </c>
      <c r="V2999" s="36" t="s">
        <v>26573</v>
      </c>
      <c r="W2999" s="36" t="s">
        <v>94</v>
      </c>
      <c r="X2999" s="36">
        <v>2515</v>
      </c>
      <c r="Z2999" s="33" t="s">
        <v>42966</v>
      </c>
      <c r="AA2999" s="33">
        <v>4664</v>
      </c>
    </row>
    <row r="3000" spans="1:43" ht="12" customHeight="1" x14ac:dyDescent="0.15">
      <c r="A3000" s="33" t="s">
        <v>26925</v>
      </c>
      <c r="B3000" s="33">
        <v>26</v>
      </c>
      <c r="C3000" s="33" t="s">
        <v>14</v>
      </c>
      <c r="D3000" s="33" t="s">
        <v>42</v>
      </c>
      <c r="F3000" s="67">
        <v>42845</v>
      </c>
      <c r="G3000" s="33" t="s">
        <v>26926</v>
      </c>
      <c r="H3000" s="33" t="s">
        <v>22074</v>
      </c>
      <c r="I3000" s="33" t="s">
        <v>26</v>
      </c>
      <c r="J3000" s="33">
        <v>29927</v>
      </c>
      <c r="K3000" s="33" t="s">
        <v>4697</v>
      </c>
      <c r="L3000" s="33" t="s">
        <v>26927</v>
      </c>
      <c r="M3000" s="33" t="s">
        <v>21</v>
      </c>
      <c r="N3000" s="33" t="s">
        <v>26928</v>
      </c>
      <c r="O3000" s="33" t="s">
        <v>372</v>
      </c>
      <c r="P3000" s="33" t="s">
        <v>30089</v>
      </c>
      <c r="Q3000" s="42" t="s">
        <v>26929</v>
      </c>
      <c r="R3000" s="33" t="s">
        <v>94</v>
      </c>
      <c r="S3000" s="33" t="s">
        <v>22</v>
      </c>
      <c r="T3000" s="36" t="s">
        <v>26781</v>
      </c>
      <c r="U3000" s="36" t="s">
        <v>26572</v>
      </c>
      <c r="V3000" s="36" t="s">
        <v>26573</v>
      </c>
      <c r="W3000" s="36" t="s">
        <v>94</v>
      </c>
      <c r="X3000" s="36">
        <v>2517</v>
      </c>
      <c r="Z3000" s="33" t="s">
        <v>42967</v>
      </c>
      <c r="AA3000" s="33">
        <v>4665</v>
      </c>
    </row>
    <row r="3001" spans="1:43" ht="12" customHeight="1" x14ac:dyDescent="0.15">
      <c r="A3001" s="33" t="s">
        <v>26887</v>
      </c>
      <c r="B3001" s="33">
        <v>25</v>
      </c>
      <c r="C3001" s="33" t="s">
        <v>14</v>
      </c>
      <c r="D3001" s="33" t="s">
        <v>42</v>
      </c>
      <c r="E3001" s="42" t="s">
        <v>26888</v>
      </c>
      <c r="F3001" s="67">
        <v>42845</v>
      </c>
      <c r="G3001" s="33" t="s">
        <v>26889</v>
      </c>
      <c r="H3001" s="33" t="s">
        <v>3067</v>
      </c>
      <c r="I3001" s="33" t="s">
        <v>112</v>
      </c>
      <c r="J3001" s="33">
        <v>85301</v>
      </c>
      <c r="K3001" s="33" t="s">
        <v>585</v>
      </c>
      <c r="L3001" s="33" t="s">
        <v>26890</v>
      </c>
      <c r="M3001" s="33" t="s">
        <v>21</v>
      </c>
      <c r="N3001" s="33" t="s">
        <v>36599</v>
      </c>
      <c r="O3001" s="33" t="s">
        <v>372</v>
      </c>
      <c r="P3001" s="33" t="s">
        <v>94</v>
      </c>
      <c r="Q3001" s="42" t="s">
        <v>26891</v>
      </c>
      <c r="R3001" s="33" t="s">
        <v>94</v>
      </c>
      <c r="S3001" s="33" t="s">
        <v>351</v>
      </c>
      <c r="T3001" s="36" t="s">
        <v>26867</v>
      </c>
      <c r="U3001" s="36" t="s">
        <v>26570</v>
      </c>
      <c r="V3001" s="36" t="s">
        <v>26571</v>
      </c>
      <c r="W3001" s="36" t="s">
        <v>94</v>
      </c>
      <c r="X3001" s="36">
        <v>2518</v>
      </c>
      <c r="Z3001" s="33" t="s">
        <v>42968</v>
      </c>
      <c r="AA3001" s="33">
        <v>4668</v>
      </c>
      <c r="AQ3001" s="42"/>
    </row>
    <row r="3002" spans="1:43" ht="12" customHeight="1" x14ac:dyDescent="0.15">
      <c r="A3002" s="33" t="s">
        <v>26987</v>
      </c>
      <c r="B3002" s="33">
        <v>17</v>
      </c>
      <c r="C3002" s="33" t="s">
        <v>103</v>
      </c>
      <c r="D3002" s="33" t="s">
        <v>31</v>
      </c>
      <c r="E3002" s="33" t="s">
        <v>27805</v>
      </c>
      <c r="F3002" s="67">
        <v>42845</v>
      </c>
      <c r="G3002" s="33" t="s">
        <v>26889</v>
      </c>
      <c r="H3002" s="33" t="s">
        <v>3067</v>
      </c>
      <c r="I3002" s="33" t="s">
        <v>112</v>
      </c>
      <c r="J3002" s="33">
        <v>85301</v>
      </c>
      <c r="K3002" s="33" t="s">
        <v>585</v>
      </c>
      <c r="L3002" s="33" t="s">
        <v>1338</v>
      </c>
      <c r="M3002" s="33" t="s">
        <v>21</v>
      </c>
      <c r="N3002" s="33" t="s">
        <v>36600</v>
      </c>
      <c r="O3002" s="33" t="s">
        <v>372</v>
      </c>
      <c r="P3002" s="33" t="s">
        <v>30089</v>
      </c>
      <c r="Q3002" s="42" t="s">
        <v>26891</v>
      </c>
      <c r="R3002" s="33" t="s">
        <v>94</v>
      </c>
      <c r="S3002" s="33" t="s">
        <v>12</v>
      </c>
      <c r="T3002" s="36" t="s">
        <v>29705</v>
      </c>
      <c r="U3002" s="36" t="s">
        <v>26570</v>
      </c>
      <c r="V3002" s="36" t="s">
        <v>26573</v>
      </c>
      <c r="W3002" s="36" t="s">
        <v>94</v>
      </c>
      <c r="X3002" s="36">
        <v>2525</v>
      </c>
      <c r="Z3002" s="33" t="s">
        <v>42968</v>
      </c>
      <c r="AA3002" s="33">
        <v>4667</v>
      </c>
    </row>
    <row r="3003" spans="1:43" ht="12" customHeight="1" x14ac:dyDescent="0.15">
      <c r="A3003" s="33" t="s">
        <v>26794</v>
      </c>
      <c r="B3003" s="33">
        <v>21</v>
      </c>
      <c r="C3003" s="33" t="s">
        <v>14</v>
      </c>
      <c r="D3003" s="33" t="s">
        <v>79</v>
      </c>
      <c r="E3003" s="42" t="s">
        <v>26795</v>
      </c>
      <c r="F3003" s="67">
        <v>42844</v>
      </c>
      <c r="G3003" s="33" t="s">
        <v>26796</v>
      </c>
      <c r="H3003" s="33" t="s">
        <v>205</v>
      </c>
      <c r="I3003" s="33" t="s">
        <v>206</v>
      </c>
      <c r="J3003" s="33">
        <v>19809</v>
      </c>
      <c r="K3003" s="33" t="s">
        <v>3496</v>
      </c>
      <c r="L3003" s="33" t="s">
        <v>36951</v>
      </c>
      <c r="M3003" s="33" t="s">
        <v>21</v>
      </c>
      <c r="N3003" s="33" t="s">
        <v>26797</v>
      </c>
      <c r="O3003" s="33" t="s">
        <v>372</v>
      </c>
      <c r="P3003" s="33" t="s">
        <v>30089</v>
      </c>
      <c r="Q3003" s="42" t="s">
        <v>26798</v>
      </c>
      <c r="R3003" s="33" t="s">
        <v>94</v>
      </c>
      <c r="S3003" s="33" t="s">
        <v>22</v>
      </c>
      <c r="T3003" s="36" t="s">
        <v>26781</v>
      </c>
      <c r="U3003" s="36" t="s">
        <v>26572</v>
      </c>
      <c r="V3003" s="36" t="s">
        <v>26574</v>
      </c>
      <c r="W3003" s="36" t="s">
        <v>512</v>
      </c>
      <c r="X3003" s="36">
        <v>2514</v>
      </c>
      <c r="Z3003" s="33" t="s">
        <v>42968</v>
      </c>
      <c r="AA3003" s="33">
        <v>4662</v>
      </c>
    </row>
    <row r="3004" spans="1:43" ht="12" customHeight="1" x14ac:dyDescent="0.15">
      <c r="A3004" s="33" t="s">
        <v>27129</v>
      </c>
      <c r="B3004" s="33">
        <v>32</v>
      </c>
      <c r="C3004" s="33" t="s">
        <v>14</v>
      </c>
      <c r="D3004" s="33" t="s">
        <v>31</v>
      </c>
      <c r="E3004" s="42" t="s">
        <v>27130</v>
      </c>
      <c r="F3004" s="67">
        <v>42843</v>
      </c>
      <c r="G3004" s="33" t="s">
        <v>27131</v>
      </c>
      <c r="H3004" s="33" t="s">
        <v>27132</v>
      </c>
      <c r="I3004" s="33" t="s">
        <v>139</v>
      </c>
      <c r="J3004" s="33">
        <v>26802</v>
      </c>
      <c r="K3004" s="33" t="s">
        <v>6860</v>
      </c>
      <c r="L3004" s="33" t="s">
        <v>27133</v>
      </c>
      <c r="M3004" s="33" t="s">
        <v>21</v>
      </c>
      <c r="N3004" s="33" t="s">
        <v>27134</v>
      </c>
      <c r="O3004" s="33" t="s">
        <v>372</v>
      </c>
      <c r="P3004" s="33" t="s">
        <v>30089</v>
      </c>
      <c r="Q3004" s="42" t="s">
        <v>27135</v>
      </c>
      <c r="R3004" s="33" t="s">
        <v>94</v>
      </c>
      <c r="S3004" s="33" t="s">
        <v>351</v>
      </c>
      <c r="T3004" s="36" t="s">
        <v>26867</v>
      </c>
      <c r="U3004" s="36" t="s">
        <v>26572</v>
      </c>
      <c r="V3004" s="36" t="s">
        <v>26571</v>
      </c>
      <c r="W3004" s="36" t="s">
        <v>94</v>
      </c>
      <c r="X3004" s="36">
        <v>2511</v>
      </c>
      <c r="Z3004" s="33" t="s">
        <v>42967</v>
      </c>
      <c r="AA3004" s="33">
        <v>4661</v>
      </c>
    </row>
    <row r="3005" spans="1:43" ht="12" customHeight="1" x14ac:dyDescent="0.15">
      <c r="A3005" s="33" t="s">
        <v>27109</v>
      </c>
      <c r="B3005" s="33">
        <v>47</v>
      </c>
      <c r="C3005" s="33" t="s">
        <v>14</v>
      </c>
      <c r="D3005" s="33" t="s">
        <v>31</v>
      </c>
      <c r="F3005" s="67">
        <v>42841</v>
      </c>
      <c r="G3005" s="33" t="s">
        <v>27110</v>
      </c>
      <c r="H3005" s="33" t="s">
        <v>3289</v>
      </c>
      <c r="I3005" s="33" t="s">
        <v>122</v>
      </c>
      <c r="J3005" s="33">
        <v>55110</v>
      </c>
      <c r="K3005" s="33" t="s">
        <v>3291</v>
      </c>
      <c r="L3005" s="33" t="s">
        <v>27111</v>
      </c>
      <c r="M3005" s="33" t="s">
        <v>21</v>
      </c>
      <c r="N3005" s="33" t="s">
        <v>27112</v>
      </c>
      <c r="O3005" s="33" t="s">
        <v>372</v>
      </c>
      <c r="P3005" s="33" t="s">
        <v>30089</v>
      </c>
      <c r="Q3005" s="42" t="s">
        <v>27113</v>
      </c>
      <c r="R3005" s="33" t="s">
        <v>94</v>
      </c>
      <c r="S3005" s="33" t="s">
        <v>22</v>
      </c>
      <c r="T3005" s="36" t="s">
        <v>26781</v>
      </c>
      <c r="U3005" s="36" t="s">
        <v>26570</v>
      </c>
      <c r="V3005" s="36" t="s">
        <v>26573</v>
      </c>
      <c r="W3005" s="36" t="s">
        <v>94</v>
      </c>
      <c r="X3005" s="36">
        <v>2508</v>
      </c>
      <c r="Z3005" s="33" t="s">
        <v>42968</v>
      </c>
      <c r="AA3005" s="33">
        <v>4660</v>
      </c>
    </row>
    <row r="3006" spans="1:43" ht="12" customHeight="1" x14ac:dyDescent="0.15">
      <c r="A3006" s="33" t="s">
        <v>26790</v>
      </c>
      <c r="B3006" s="33">
        <v>33</v>
      </c>
      <c r="C3006" s="33" t="s">
        <v>14</v>
      </c>
      <c r="D3006" s="33" t="s">
        <v>79</v>
      </c>
      <c r="F3006" s="67">
        <v>42840</v>
      </c>
      <c r="G3006" s="33" t="s">
        <v>26791</v>
      </c>
      <c r="H3006" s="33" t="s">
        <v>22692</v>
      </c>
      <c r="I3006" s="33" t="s">
        <v>918</v>
      </c>
      <c r="J3006" s="33">
        <v>72301</v>
      </c>
      <c r="K3006" s="33" t="s">
        <v>5233</v>
      </c>
      <c r="L3006" s="33" t="s">
        <v>26792</v>
      </c>
      <c r="M3006" s="33" t="s">
        <v>21</v>
      </c>
      <c r="N3006" s="33" t="s">
        <v>36602</v>
      </c>
      <c r="O3006" s="33" t="s">
        <v>372</v>
      </c>
      <c r="P3006" s="33" t="s">
        <v>30089</v>
      </c>
      <c r="Q3006" s="42" t="s">
        <v>26793</v>
      </c>
      <c r="R3006" s="33" t="s">
        <v>94</v>
      </c>
      <c r="S3006" s="33" t="s">
        <v>22</v>
      </c>
      <c r="T3006" s="36" t="s">
        <v>26781</v>
      </c>
      <c r="U3006" s="36" t="s">
        <v>26572</v>
      </c>
      <c r="V3006" s="36" t="s">
        <v>26573</v>
      </c>
      <c r="W3006" s="36" t="s">
        <v>94</v>
      </c>
      <c r="X3006" s="36">
        <v>2506</v>
      </c>
      <c r="Z3006" s="33" t="s">
        <v>42968</v>
      </c>
      <c r="AA3006" s="33">
        <v>4655</v>
      </c>
    </row>
    <row r="3007" spans="1:43" ht="12" customHeight="1" x14ac:dyDescent="0.15">
      <c r="A3007" s="33" t="s">
        <v>27246</v>
      </c>
      <c r="B3007" s="33">
        <v>42</v>
      </c>
      <c r="C3007" s="33" t="s">
        <v>14</v>
      </c>
      <c r="D3007" s="33" t="s">
        <v>79</v>
      </c>
      <c r="F3007" s="67">
        <v>42840</v>
      </c>
      <c r="G3007" s="33" t="s">
        <v>27247</v>
      </c>
      <c r="H3007" s="33" t="s">
        <v>674</v>
      </c>
      <c r="I3007" s="33" t="s">
        <v>67</v>
      </c>
      <c r="J3007" s="33">
        <v>77045</v>
      </c>
      <c r="K3007" s="33" t="s">
        <v>515</v>
      </c>
      <c r="L3007" s="33" t="s">
        <v>675</v>
      </c>
      <c r="M3007" s="33" t="s">
        <v>363</v>
      </c>
      <c r="N3007" s="33" t="s">
        <v>27248</v>
      </c>
      <c r="O3007" s="33" t="s">
        <v>372</v>
      </c>
      <c r="P3007" s="33" t="s">
        <v>30089</v>
      </c>
      <c r="Q3007" s="42" t="s">
        <v>27249</v>
      </c>
      <c r="R3007" s="33" t="s">
        <v>512</v>
      </c>
      <c r="S3007" s="33" t="s">
        <v>12</v>
      </c>
      <c r="T3007" s="33" t="s">
        <v>29705</v>
      </c>
      <c r="U3007" s="33" t="s">
        <v>26572</v>
      </c>
      <c r="V3007" s="33" t="s">
        <v>26573</v>
      </c>
      <c r="Z3007" s="33" t="s">
        <v>42968</v>
      </c>
      <c r="AA3007" s="33">
        <v>4659</v>
      </c>
    </row>
    <row r="3008" spans="1:43" ht="12" customHeight="1" x14ac:dyDescent="0.15">
      <c r="A3008" s="33" t="s">
        <v>26979</v>
      </c>
      <c r="B3008" s="33">
        <v>56</v>
      </c>
      <c r="C3008" s="33" t="s">
        <v>14</v>
      </c>
      <c r="D3008" s="33" t="s">
        <v>31</v>
      </c>
      <c r="E3008" s="42" t="s">
        <v>29657</v>
      </c>
      <c r="F3008" s="67">
        <v>42840</v>
      </c>
      <c r="G3008" s="33" t="s">
        <v>26980</v>
      </c>
      <c r="H3008" s="33" t="s">
        <v>8676</v>
      </c>
      <c r="I3008" s="33" t="s">
        <v>39</v>
      </c>
      <c r="J3008" s="33">
        <v>92663</v>
      </c>
      <c r="K3008" s="33" t="s">
        <v>998</v>
      </c>
      <c r="L3008" s="33" t="s">
        <v>8678</v>
      </c>
      <c r="M3008" s="33" t="s">
        <v>21</v>
      </c>
      <c r="N3008" s="33" t="s">
        <v>26981</v>
      </c>
      <c r="O3008" s="33" t="s">
        <v>372</v>
      </c>
      <c r="P3008" s="33" t="s">
        <v>30089</v>
      </c>
      <c r="Q3008" s="42" t="s">
        <v>26982</v>
      </c>
      <c r="R3008" s="33" t="s">
        <v>94</v>
      </c>
      <c r="S3008" s="33" t="s">
        <v>22</v>
      </c>
      <c r="T3008" s="36" t="s">
        <v>26774</v>
      </c>
      <c r="U3008" s="36" t="s">
        <v>26570</v>
      </c>
      <c r="V3008" s="36" t="s">
        <v>26573</v>
      </c>
      <c r="W3008" s="36" t="s">
        <v>94</v>
      </c>
      <c r="X3008" s="36">
        <v>2509</v>
      </c>
      <c r="Z3008" s="33" t="s">
        <v>42966</v>
      </c>
      <c r="AA3008" s="33">
        <v>4657</v>
      </c>
      <c r="AQ3008" s="42"/>
    </row>
    <row r="3009" spans="1:46" ht="12" customHeight="1" x14ac:dyDescent="0.15">
      <c r="A3009" s="33" t="s">
        <v>36963</v>
      </c>
      <c r="B3009" s="33">
        <v>56</v>
      </c>
      <c r="C3009" s="33" t="s">
        <v>14</v>
      </c>
      <c r="D3009" s="33" t="s">
        <v>31</v>
      </c>
      <c r="F3009" s="67">
        <v>42840</v>
      </c>
      <c r="G3009" s="10" t="s">
        <v>37006</v>
      </c>
      <c r="H3009" s="10" t="s">
        <v>37019</v>
      </c>
      <c r="I3009" s="33" t="s">
        <v>63</v>
      </c>
      <c r="J3009" s="65">
        <v>44076</v>
      </c>
      <c r="K3009" s="10" t="s">
        <v>23057</v>
      </c>
      <c r="L3009" s="10" t="s">
        <v>23058</v>
      </c>
      <c r="M3009" s="33" t="s">
        <v>21</v>
      </c>
      <c r="N3009" s="10" t="s">
        <v>37023</v>
      </c>
      <c r="O3009" s="10" t="s">
        <v>372</v>
      </c>
      <c r="P3009" s="33" t="s">
        <v>30089</v>
      </c>
      <c r="Q3009" s="62" t="s">
        <v>37024</v>
      </c>
      <c r="R3009" s="33" t="s">
        <v>512</v>
      </c>
      <c r="S3009" s="33" t="s">
        <v>22</v>
      </c>
      <c r="T3009" s="36" t="s">
        <v>26781</v>
      </c>
      <c r="U3009" s="36" t="s">
        <v>26572</v>
      </c>
      <c r="V3009" s="36" t="s">
        <v>26573</v>
      </c>
      <c r="W3009" s="33" t="s">
        <v>94</v>
      </c>
      <c r="X3009" s="33">
        <v>2510</v>
      </c>
      <c r="Z3009" s="33" t="s">
        <v>42967</v>
      </c>
      <c r="AA3009" s="33">
        <v>4656</v>
      </c>
    </row>
    <row r="3010" spans="1:46" ht="12" customHeight="1" x14ac:dyDescent="0.15">
      <c r="A3010" s="33" t="s">
        <v>26878</v>
      </c>
      <c r="B3010" s="33">
        <v>16</v>
      </c>
      <c r="C3010" s="33" t="s">
        <v>14</v>
      </c>
      <c r="D3010" s="33" t="s">
        <v>42</v>
      </c>
      <c r="E3010" s="42" t="s">
        <v>26879</v>
      </c>
      <c r="F3010" s="67">
        <v>42840</v>
      </c>
      <c r="G3010" s="33" t="s">
        <v>26880</v>
      </c>
      <c r="H3010" s="33" t="s">
        <v>183</v>
      </c>
      <c r="I3010" s="33" t="s">
        <v>39</v>
      </c>
      <c r="J3010" s="33">
        <v>93726</v>
      </c>
      <c r="K3010" s="33" t="s">
        <v>183</v>
      </c>
      <c r="L3010" s="33" t="s">
        <v>184</v>
      </c>
      <c r="M3010" s="33" t="s">
        <v>21</v>
      </c>
      <c r="N3010" s="33" t="s">
        <v>30355</v>
      </c>
      <c r="O3010" s="33" t="s">
        <v>372</v>
      </c>
      <c r="P3010" s="33" t="s">
        <v>30089</v>
      </c>
      <c r="Q3010" s="42" t="s">
        <v>26881</v>
      </c>
      <c r="R3010" s="33" t="s">
        <v>94</v>
      </c>
      <c r="S3010" s="33" t="s">
        <v>12</v>
      </c>
      <c r="T3010" s="36" t="s">
        <v>29705</v>
      </c>
      <c r="U3010" s="36" t="s">
        <v>26570</v>
      </c>
      <c r="V3010" s="36" t="s">
        <v>26574</v>
      </c>
      <c r="W3010" s="36" t="s">
        <v>512</v>
      </c>
      <c r="X3010" s="36">
        <v>2520</v>
      </c>
      <c r="Z3010" s="33" t="s">
        <v>42966</v>
      </c>
      <c r="AA3010" s="33">
        <v>4658</v>
      </c>
    </row>
    <row r="3011" spans="1:46" ht="12" customHeight="1" x14ac:dyDescent="0.15">
      <c r="A3011" s="33" t="s">
        <v>26901</v>
      </c>
      <c r="B3011" s="33">
        <v>24</v>
      </c>
      <c r="C3011" s="33" t="s">
        <v>14</v>
      </c>
      <c r="D3011" s="33" t="s">
        <v>128</v>
      </c>
      <c r="E3011" s="42" t="s">
        <v>30398</v>
      </c>
      <c r="F3011" s="67">
        <v>42839</v>
      </c>
      <c r="G3011" s="33" t="s">
        <v>26902</v>
      </c>
      <c r="H3011" s="33" t="s">
        <v>26903</v>
      </c>
      <c r="I3011" s="33" t="s">
        <v>1605</v>
      </c>
      <c r="J3011" s="33">
        <v>58554</v>
      </c>
      <c r="K3011" s="33" t="s">
        <v>26904</v>
      </c>
      <c r="L3011" s="33" t="s">
        <v>26905</v>
      </c>
      <c r="M3011" s="33" t="s">
        <v>21</v>
      </c>
      <c r="N3011" s="33" t="s">
        <v>26906</v>
      </c>
      <c r="O3011" s="33" t="s">
        <v>372</v>
      </c>
      <c r="P3011" s="33" t="s">
        <v>94</v>
      </c>
      <c r="Q3011" s="42" t="s">
        <v>26907</v>
      </c>
      <c r="R3011" s="33" t="s">
        <v>23</v>
      </c>
      <c r="S3011" s="33" t="s">
        <v>22</v>
      </c>
      <c r="T3011" s="36" t="s">
        <v>26774</v>
      </c>
      <c r="U3011" s="36" t="s">
        <v>26570</v>
      </c>
      <c r="V3011" s="36" t="s">
        <v>26573</v>
      </c>
      <c r="W3011" s="36" t="s">
        <v>94</v>
      </c>
      <c r="X3011" s="36">
        <v>2503</v>
      </c>
      <c r="Z3011" s="33" t="s">
        <v>42968</v>
      </c>
      <c r="AA3011" s="33">
        <v>4654</v>
      </c>
      <c r="AQ3011" s="42"/>
    </row>
    <row r="3012" spans="1:46" ht="12" customHeight="1" x14ac:dyDescent="0.15">
      <c r="A3012" s="33" t="s">
        <v>3002</v>
      </c>
      <c r="B3012" s="33" t="s">
        <v>23</v>
      </c>
      <c r="C3012" s="33" t="s">
        <v>14</v>
      </c>
      <c r="D3012" s="33" t="s">
        <v>30751</v>
      </c>
      <c r="F3012" s="67">
        <v>42839</v>
      </c>
      <c r="G3012" s="33" t="s">
        <v>27190</v>
      </c>
      <c r="H3012" s="33" t="s">
        <v>11101</v>
      </c>
      <c r="I3012" s="33" t="s">
        <v>75</v>
      </c>
      <c r="J3012" s="33">
        <v>7514</v>
      </c>
      <c r="K3012" s="33" t="s">
        <v>8605</v>
      </c>
      <c r="L3012" s="33" t="s">
        <v>11103</v>
      </c>
      <c r="M3012" s="33" t="s">
        <v>21</v>
      </c>
      <c r="N3012" s="33" t="s">
        <v>27191</v>
      </c>
      <c r="O3012" s="33" t="s">
        <v>372</v>
      </c>
      <c r="P3012" s="33" t="s">
        <v>30089</v>
      </c>
      <c r="Q3012" s="42" t="s">
        <v>27192</v>
      </c>
      <c r="R3012" s="33" t="s">
        <v>512</v>
      </c>
      <c r="S3012" s="33" t="s">
        <v>22</v>
      </c>
      <c r="T3012" s="36" t="s">
        <v>26781</v>
      </c>
      <c r="U3012" s="36" t="s">
        <v>26572</v>
      </c>
      <c r="V3012" s="36" t="s">
        <v>26573</v>
      </c>
      <c r="W3012" s="36" t="s">
        <v>94</v>
      </c>
      <c r="X3012" s="36">
        <v>2505</v>
      </c>
      <c r="Z3012" s="33" t="s">
        <v>42966</v>
      </c>
      <c r="AA3012" s="33">
        <v>4653</v>
      </c>
      <c r="AT3012" s="83"/>
    </row>
    <row r="3013" spans="1:46" ht="12" customHeight="1" x14ac:dyDescent="0.15">
      <c r="A3013" s="33" t="s">
        <v>27048</v>
      </c>
      <c r="B3013" s="33">
        <v>33</v>
      </c>
      <c r="C3013" s="33" t="s">
        <v>14</v>
      </c>
      <c r="D3013" s="33" t="s">
        <v>31</v>
      </c>
      <c r="F3013" s="67">
        <v>42839</v>
      </c>
      <c r="G3013" s="33" t="s">
        <v>27049</v>
      </c>
      <c r="H3013" s="33" t="s">
        <v>826</v>
      </c>
      <c r="I3013" s="33" t="s">
        <v>282</v>
      </c>
      <c r="J3013" s="33">
        <v>98445</v>
      </c>
      <c r="K3013" s="33" t="s">
        <v>827</v>
      </c>
      <c r="L3013" s="33" t="s">
        <v>19834</v>
      </c>
      <c r="M3013" s="33" t="s">
        <v>21</v>
      </c>
      <c r="N3013" s="33" t="s">
        <v>36603</v>
      </c>
      <c r="O3013" s="33" t="s">
        <v>372</v>
      </c>
      <c r="P3013" s="33" t="s">
        <v>30089</v>
      </c>
      <c r="Q3013" s="42" t="s">
        <v>27050</v>
      </c>
      <c r="R3013" s="33" t="s">
        <v>94</v>
      </c>
      <c r="S3013" s="33" t="s">
        <v>22</v>
      </c>
      <c r="T3013" s="36" t="s">
        <v>26781</v>
      </c>
      <c r="U3013" s="36" t="s">
        <v>26570</v>
      </c>
      <c r="V3013" s="36" t="s">
        <v>26571</v>
      </c>
      <c r="W3013" s="36" t="s">
        <v>94</v>
      </c>
      <c r="X3013" s="36">
        <v>2502</v>
      </c>
      <c r="Z3013" s="33" t="s">
        <v>42968</v>
      </c>
      <c r="AA3013" s="33">
        <v>4652</v>
      </c>
    </row>
    <row r="3014" spans="1:46" ht="12" customHeight="1" x14ac:dyDescent="0.15">
      <c r="A3014" s="33" t="s">
        <v>27285</v>
      </c>
      <c r="B3014" s="33">
        <v>33</v>
      </c>
      <c r="C3014" s="33" t="s">
        <v>14</v>
      </c>
      <c r="D3014" s="33" t="s">
        <v>31</v>
      </c>
      <c r="E3014" s="42" t="s">
        <v>27286</v>
      </c>
      <c r="F3014" s="67">
        <v>42838</v>
      </c>
      <c r="G3014" s="33" t="s">
        <v>27287</v>
      </c>
      <c r="H3014" s="33" t="s">
        <v>11245</v>
      </c>
      <c r="I3014" s="33" t="s">
        <v>298</v>
      </c>
      <c r="J3014" s="33">
        <v>38583</v>
      </c>
      <c r="K3014" s="33" t="s">
        <v>31</v>
      </c>
      <c r="L3014" s="33" t="s">
        <v>27288</v>
      </c>
      <c r="M3014" s="33" t="s">
        <v>21</v>
      </c>
      <c r="N3014" s="33" t="s">
        <v>27289</v>
      </c>
      <c r="O3014" s="33" t="s">
        <v>372</v>
      </c>
      <c r="P3014" s="33" t="s">
        <v>30089</v>
      </c>
      <c r="Q3014" s="42" t="s">
        <v>27290</v>
      </c>
      <c r="R3014" s="33" t="s">
        <v>94</v>
      </c>
      <c r="S3014" s="33" t="s">
        <v>351</v>
      </c>
      <c r="T3014" s="36" t="s">
        <v>26867</v>
      </c>
      <c r="U3014" s="36" t="s">
        <v>26570</v>
      </c>
      <c r="V3014" s="36" t="s">
        <v>26571</v>
      </c>
      <c r="W3014" s="36" t="s">
        <v>94</v>
      </c>
      <c r="X3014" s="36">
        <v>2713</v>
      </c>
      <c r="Z3014" s="33" t="s">
        <v>42967</v>
      </c>
      <c r="AA3014" s="33">
        <v>4651</v>
      </c>
    </row>
    <row r="3015" spans="1:46" ht="12" customHeight="1" x14ac:dyDescent="0.15">
      <c r="A3015" s="33" t="s">
        <v>26988</v>
      </c>
      <c r="B3015" s="33">
        <v>57</v>
      </c>
      <c r="C3015" s="33" t="s">
        <v>14</v>
      </c>
      <c r="D3015" s="33" t="s">
        <v>31</v>
      </c>
      <c r="F3015" s="67">
        <v>42838</v>
      </c>
      <c r="G3015" s="33" t="s">
        <v>26989</v>
      </c>
      <c r="H3015" s="33" t="s">
        <v>26990</v>
      </c>
      <c r="I3015" s="33" t="s">
        <v>35</v>
      </c>
      <c r="J3015" s="33">
        <v>6078</v>
      </c>
      <c r="K3015" s="33" t="s">
        <v>793</v>
      </c>
      <c r="L3015" s="33" t="s">
        <v>26991</v>
      </c>
      <c r="M3015" s="33" t="s">
        <v>21</v>
      </c>
      <c r="N3015" s="33" t="s">
        <v>26992</v>
      </c>
      <c r="O3015" s="33" t="s">
        <v>372</v>
      </c>
      <c r="P3015" s="33" t="s">
        <v>94</v>
      </c>
      <c r="Q3015" s="42" t="s">
        <v>26993</v>
      </c>
      <c r="R3015" s="33" t="s">
        <v>904</v>
      </c>
      <c r="S3015" s="33" t="s">
        <v>22</v>
      </c>
      <c r="T3015" s="36" t="s">
        <v>26781</v>
      </c>
      <c r="U3015" s="36" t="s">
        <v>26570</v>
      </c>
      <c r="V3015" s="36" t="s">
        <v>26573</v>
      </c>
      <c r="W3015" s="36" t="s">
        <v>94</v>
      </c>
      <c r="X3015" s="36">
        <v>2501</v>
      </c>
      <c r="Z3015" s="33" t="s">
        <v>42968</v>
      </c>
      <c r="AA3015" s="33">
        <v>4650</v>
      </c>
      <c r="AQ3015" s="42"/>
      <c r="AT3015" s="42"/>
    </row>
    <row r="3016" spans="1:46" ht="12" customHeight="1" x14ac:dyDescent="0.15">
      <c r="A3016" s="33" t="s">
        <v>26785</v>
      </c>
      <c r="B3016" s="33">
        <v>28</v>
      </c>
      <c r="C3016" s="33" t="s">
        <v>14</v>
      </c>
      <c r="D3016" s="33" t="s">
        <v>79</v>
      </c>
      <c r="E3016" s="42" t="s">
        <v>26786</v>
      </c>
      <c r="F3016" s="67">
        <v>42837</v>
      </c>
      <c r="G3016" s="33" t="s">
        <v>26787</v>
      </c>
      <c r="H3016" s="33" t="s">
        <v>92</v>
      </c>
      <c r="I3016" s="33" t="s">
        <v>39</v>
      </c>
      <c r="J3016" s="33">
        <v>90002</v>
      </c>
      <c r="K3016" s="33" t="s">
        <v>92</v>
      </c>
      <c r="L3016" s="33" t="s">
        <v>386</v>
      </c>
      <c r="M3016" s="33" t="s">
        <v>21</v>
      </c>
      <c r="N3016" s="33" t="s">
        <v>26788</v>
      </c>
      <c r="O3016" s="33" t="s">
        <v>372</v>
      </c>
      <c r="P3016" s="33" t="s">
        <v>30089</v>
      </c>
      <c r="Q3016" s="42" t="s">
        <v>26789</v>
      </c>
      <c r="R3016" s="33" t="s">
        <v>94</v>
      </c>
      <c r="S3016" s="33" t="s">
        <v>22</v>
      </c>
      <c r="T3016" s="36" t="s">
        <v>26781</v>
      </c>
      <c r="U3016" s="36" t="s">
        <v>26570</v>
      </c>
      <c r="V3016" s="36" t="s">
        <v>26573</v>
      </c>
      <c r="W3016" s="36" t="s">
        <v>94</v>
      </c>
      <c r="X3016" s="36">
        <v>2496</v>
      </c>
      <c r="Z3016" s="33" t="s">
        <v>42966</v>
      </c>
      <c r="AA3016" s="33">
        <v>4646</v>
      </c>
    </row>
    <row r="3017" spans="1:46" ht="12" customHeight="1" x14ac:dyDescent="0.15">
      <c r="A3017" s="33" t="s">
        <v>27124</v>
      </c>
      <c r="B3017" s="33">
        <v>38</v>
      </c>
      <c r="C3017" s="33" t="s">
        <v>14</v>
      </c>
      <c r="D3017" s="33" t="s">
        <v>31</v>
      </c>
      <c r="E3017" s="42" t="s">
        <v>27125</v>
      </c>
      <c r="F3017" s="67">
        <v>42837</v>
      </c>
      <c r="G3017" s="33" t="s">
        <v>27126</v>
      </c>
      <c r="H3017" s="33" t="s">
        <v>6010</v>
      </c>
      <c r="I3017" s="33" t="s">
        <v>112</v>
      </c>
      <c r="J3017" s="33">
        <v>85392</v>
      </c>
      <c r="K3017" s="33" t="s">
        <v>585</v>
      </c>
      <c r="L3017" s="33" t="s">
        <v>586</v>
      </c>
      <c r="M3017" s="33" t="s">
        <v>21</v>
      </c>
      <c r="N3017" s="33" t="s">
        <v>27127</v>
      </c>
      <c r="O3017" s="33" t="s">
        <v>372</v>
      </c>
      <c r="P3017" s="33" t="s">
        <v>30089</v>
      </c>
      <c r="Q3017" s="42" t="s">
        <v>27128</v>
      </c>
      <c r="R3017" s="33" t="s">
        <v>94</v>
      </c>
      <c r="S3017" s="33" t="s">
        <v>351</v>
      </c>
      <c r="T3017" s="36" t="s">
        <v>26867</v>
      </c>
      <c r="U3017" s="36" t="s">
        <v>26570</v>
      </c>
      <c r="V3017" s="36" t="s">
        <v>26573</v>
      </c>
      <c r="W3017" s="36" t="s">
        <v>94</v>
      </c>
      <c r="X3017" s="36">
        <v>2499</v>
      </c>
      <c r="Z3017" s="33" t="s">
        <v>42968</v>
      </c>
      <c r="AA3017" s="33">
        <v>4649</v>
      </c>
    </row>
    <row r="3018" spans="1:46" ht="12" customHeight="1" x14ac:dyDescent="0.15">
      <c r="A3018" s="33" t="s">
        <v>27042</v>
      </c>
      <c r="B3018" s="33">
        <v>25</v>
      </c>
      <c r="C3018" s="33" t="s">
        <v>14</v>
      </c>
      <c r="D3018" s="33" t="s">
        <v>31</v>
      </c>
      <c r="E3018" s="42" t="s">
        <v>27043</v>
      </c>
      <c r="F3018" s="67">
        <v>42837</v>
      </c>
      <c r="G3018" s="33" t="s">
        <v>27044</v>
      </c>
      <c r="H3018" s="33" t="s">
        <v>27045</v>
      </c>
      <c r="I3018" s="33" t="s">
        <v>337</v>
      </c>
      <c r="J3018" s="33">
        <v>67146</v>
      </c>
      <c r="K3018" s="33" t="s">
        <v>5063</v>
      </c>
      <c r="L3018" s="33" t="s">
        <v>22820</v>
      </c>
      <c r="M3018" s="33" t="s">
        <v>21</v>
      </c>
      <c r="N3018" s="33" t="s">
        <v>27046</v>
      </c>
      <c r="O3018" s="33" t="s">
        <v>372</v>
      </c>
      <c r="P3018" s="33" t="s">
        <v>30089</v>
      </c>
      <c r="Q3018" s="42" t="s">
        <v>27047</v>
      </c>
      <c r="R3018" s="33" t="s">
        <v>94</v>
      </c>
      <c r="S3018" s="33" t="s">
        <v>22</v>
      </c>
      <c r="T3018" s="36" t="s">
        <v>26781</v>
      </c>
      <c r="U3018" s="36" t="s">
        <v>26572</v>
      </c>
      <c r="V3018" s="36" t="s">
        <v>26571</v>
      </c>
      <c r="W3018" s="36" t="s">
        <v>94</v>
      </c>
      <c r="X3018" s="36">
        <v>2500</v>
      </c>
      <c r="Z3018" s="33" t="s">
        <v>42967</v>
      </c>
      <c r="AA3018" s="33">
        <v>4647</v>
      </c>
      <c r="AQ3018" s="42"/>
    </row>
    <row r="3019" spans="1:46" ht="12" customHeight="1" x14ac:dyDescent="0.15">
      <c r="A3019" s="33" t="s">
        <v>7710</v>
      </c>
      <c r="B3019" s="33">
        <v>25</v>
      </c>
      <c r="C3019" s="33" t="s">
        <v>14</v>
      </c>
      <c r="D3019" s="33" t="s">
        <v>79</v>
      </c>
      <c r="E3019" s="42" t="s">
        <v>27242</v>
      </c>
      <c r="F3019" s="67">
        <v>42837</v>
      </c>
      <c r="G3019" s="33" t="s">
        <v>27243</v>
      </c>
      <c r="H3019" s="33" t="s">
        <v>3976</v>
      </c>
      <c r="I3019" s="33" t="s">
        <v>376</v>
      </c>
      <c r="J3019" s="33">
        <v>19601</v>
      </c>
      <c r="K3019" s="33" t="s">
        <v>3977</v>
      </c>
      <c r="L3019" s="33" t="s">
        <v>25567</v>
      </c>
      <c r="M3019" s="33" t="s">
        <v>363</v>
      </c>
      <c r="N3019" s="33" t="s">
        <v>27244</v>
      </c>
      <c r="O3019" s="33" t="s">
        <v>372</v>
      </c>
      <c r="P3019" s="33" t="s">
        <v>30089</v>
      </c>
      <c r="Q3019" s="42" t="s">
        <v>27245</v>
      </c>
      <c r="R3019" s="33" t="s">
        <v>94</v>
      </c>
      <c r="S3019" s="33" t="s">
        <v>12</v>
      </c>
      <c r="T3019" s="33" t="s">
        <v>29705</v>
      </c>
      <c r="U3019" s="33" t="s">
        <v>26572</v>
      </c>
      <c r="V3019" s="33" t="s">
        <v>26573</v>
      </c>
      <c r="Z3019" s="33" t="s">
        <v>42966</v>
      </c>
      <c r="AA3019" s="33">
        <v>4648</v>
      </c>
    </row>
    <row r="3020" spans="1:46" ht="12" customHeight="1" x14ac:dyDescent="0.15">
      <c r="A3020" s="33" t="s">
        <v>27037</v>
      </c>
      <c r="B3020" s="33">
        <v>30</v>
      </c>
      <c r="C3020" s="33" t="s">
        <v>14</v>
      </c>
      <c r="D3020" s="33" t="s">
        <v>31</v>
      </c>
      <c r="E3020" s="42" t="s">
        <v>27038</v>
      </c>
      <c r="F3020" s="67">
        <v>42835</v>
      </c>
      <c r="G3020" s="33" t="s">
        <v>27039</v>
      </c>
      <c r="H3020" s="33" t="s">
        <v>924</v>
      </c>
      <c r="I3020" s="33" t="s">
        <v>63</v>
      </c>
      <c r="J3020" s="33">
        <v>44109</v>
      </c>
      <c r="K3020" s="33" t="s">
        <v>95</v>
      </c>
      <c r="L3020" s="33" t="s">
        <v>29641</v>
      </c>
      <c r="M3020" s="33" t="s">
        <v>21</v>
      </c>
      <c r="N3020" s="33" t="s">
        <v>27040</v>
      </c>
      <c r="O3020" s="33" t="s">
        <v>372</v>
      </c>
      <c r="P3020" s="33" t="s">
        <v>30089</v>
      </c>
      <c r="Q3020" s="42" t="s">
        <v>27041</v>
      </c>
      <c r="R3020" s="33" t="s">
        <v>94</v>
      </c>
      <c r="S3020" s="33" t="s">
        <v>22</v>
      </c>
      <c r="T3020" s="36" t="s">
        <v>26781</v>
      </c>
      <c r="U3020" s="36" t="s">
        <v>26570</v>
      </c>
      <c r="V3020" s="36" t="s">
        <v>26573</v>
      </c>
      <c r="W3020" s="36" t="s">
        <v>94</v>
      </c>
      <c r="X3020" s="36">
        <v>2493</v>
      </c>
      <c r="Z3020" s="33" t="s">
        <v>42966</v>
      </c>
      <c r="AA3020" s="33">
        <v>4644</v>
      </c>
      <c r="AQ3020" s="42"/>
    </row>
    <row r="3021" spans="1:46" ht="12" customHeight="1" x14ac:dyDescent="0.15">
      <c r="A3021" s="33" t="s">
        <v>30816</v>
      </c>
      <c r="B3021" s="33">
        <v>39</v>
      </c>
      <c r="C3021" s="33" t="s">
        <v>14</v>
      </c>
      <c r="D3021" s="33" t="s">
        <v>79</v>
      </c>
      <c r="F3021" s="67">
        <v>42835</v>
      </c>
      <c r="G3021" s="33" t="s">
        <v>26782</v>
      </c>
      <c r="H3021" s="33" t="s">
        <v>674</v>
      </c>
      <c r="I3021" s="33" t="s">
        <v>67</v>
      </c>
      <c r="J3021" s="33">
        <v>77091</v>
      </c>
      <c r="K3021" s="33" t="s">
        <v>515</v>
      </c>
      <c r="L3021" s="33" t="s">
        <v>675</v>
      </c>
      <c r="M3021" s="33" t="s">
        <v>21</v>
      </c>
      <c r="N3021" s="33" t="s">
        <v>26783</v>
      </c>
      <c r="O3021" s="33" t="s">
        <v>372</v>
      </c>
      <c r="P3021" s="33" t="s">
        <v>30089</v>
      </c>
      <c r="Q3021" s="42" t="s">
        <v>26784</v>
      </c>
      <c r="R3021" s="33" t="s">
        <v>904</v>
      </c>
      <c r="S3021" s="33" t="s">
        <v>22</v>
      </c>
      <c r="T3021" s="36" t="s">
        <v>26781</v>
      </c>
      <c r="U3021" s="36" t="s">
        <v>26570</v>
      </c>
      <c r="V3021" s="36" t="s">
        <v>26574</v>
      </c>
      <c r="W3021" s="36" t="s">
        <v>512</v>
      </c>
      <c r="X3021" s="36">
        <v>2494</v>
      </c>
      <c r="Z3021" s="33" t="s">
        <v>42968</v>
      </c>
      <c r="AA3021" s="33">
        <v>4645</v>
      </c>
    </row>
    <row r="3022" spans="1:46" ht="12" customHeight="1" x14ac:dyDescent="0.15">
      <c r="A3022" s="33" t="s">
        <v>26973</v>
      </c>
      <c r="B3022" s="33">
        <v>36</v>
      </c>
      <c r="C3022" s="33" t="s">
        <v>14</v>
      </c>
      <c r="D3022" s="33" t="s">
        <v>42</v>
      </c>
      <c r="F3022" s="67">
        <v>42834</v>
      </c>
      <c r="G3022" s="33" t="s">
        <v>26974</v>
      </c>
      <c r="H3022" s="33" t="s">
        <v>26975</v>
      </c>
      <c r="I3022" s="33" t="s">
        <v>39</v>
      </c>
      <c r="J3022" s="33">
        <v>93060</v>
      </c>
      <c r="K3022" s="33" t="s">
        <v>2985</v>
      </c>
      <c r="L3022" s="33" t="s">
        <v>26976</v>
      </c>
      <c r="M3022" s="33" t="s">
        <v>21</v>
      </c>
      <c r="N3022" s="33" t="s">
        <v>26977</v>
      </c>
      <c r="O3022" s="33" t="s">
        <v>372</v>
      </c>
      <c r="P3022" s="33" t="s">
        <v>30089</v>
      </c>
      <c r="Q3022" s="42" t="s">
        <v>26978</v>
      </c>
      <c r="R3022" s="33" t="s">
        <v>23</v>
      </c>
      <c r="S3022" s="33" t="s">
        <v>22</v>
      </c>
      <c r="T3022" s="36" t="s">
        <v>26774</v>
      </c>
      <c r="U3022" s="36" t="s">
        <v>26572</v>
      </c>
      <c r="V3022" s="36" t="s">
        <v>26573</v>
      </c>
      <c r="W3022" s="36" t="s">
        <v>94</v>
      </c>
      <c r="X3022" s="36">
        <v>2490</v>
      </c>
      <c r="Z3022" s="33" t="s">
        <v>42968</v>
      </c>
      <c r="AA3022" s="33">
        <v>4643</v>
      </c>
    </row>
    <row r="3023" spans="1:46" ht="12" customHeight="1" x14ac:dyDescent="0.15">
      <c r="A3023" s="33" t="s">
        <v>26921</v>
      </c>
      <c r="B3023" s="33">
        <v>36</v>
      </c>
      <c r="C3023" s="33" t="s">
        <v>14</v>
      </c>
      <c r="D3023" s="33" t="s">
        <v>30751</v>
      </c>
      <c r="F3023" s="67">
        <v>42834</v>
      </c>
      <c r="G3023" s="33" t="s">
        <v>26922</v>
      </c>
      <c r="H3023" s="33" t="s">
        <v>447</v>
      </c>
      <c r="I3023" s="33" t="s">
        <v>39</v>
      </c>
      <c r="J3023" s="33">
        <v>91764</v>
      </c>
      <c r="K3023" s="33" t="s">
        <v>288</v>
      </c>
      <c r="L3023" s="33" t="s">
        <v>448</v>
      </c>
      <c r="M3023" s="33" t="s">
        <v>21</v>
      </c>
      <c r="N3023" s="33" t="s">
        <v>26923</v>
      </c>
      <c r="O3023" s="33" t="s">
        <v>372</v>
      </c>
      <c r="P3023" s="33" t="s">
        <v>30089</v>
      </c>
      <c r="Q3023" s="42" t="s">
        <v>26924</v>
      </c>
      <c r="R3023" s="33" t="s">
        <v>94</v>
      </c>
      <c r="S3023" s="33" t="s">
        <v>22</v>
      </c>
      <c r="T3023" s="36" t="s">
        <v>26781</v>
      </c>
      <c r="U3023" s="36" t="s">
        <v>26570</v>
      </c>
      <c r="V3023" s="36" t="s">
        <v>26573</v>
      </c>
      <c r="W3023" s="36" t="s">
        <v>94</v>
      </c>
      <c r="X3023" s="36">
        <v>2491</v>
      </c>
      <c r="Z3023" s="33" t="s">
        <v>42968</v>
      </c>
      <c r="AA3023" s="33">
        <v>4642</v>
      </c>
      <c r="AT3023" s="42"/>
    </row>
    <row r="3024" spans="1:46" ht="12" customHeight="1" x14ac:dyDescent="0.15">
      <c r="A3024" s="33" t="s">
        <v>27087</v>
      </c>
      <c r="B3024" s="33">
        <v>25</v>
      </c>
      <c r="C3024" s="33" t="s">
        <v>14</v>
      </c>
      <c r="D3024" s="33" t="s">
        <v>31</v>
      </c>
      <c r="F3024" s="67">
        <v>42833</v>
      </c>
      <c r="G3024" s="33" t="s">
        <v>27088</v>
      </c>
      <c r="H3024" s="33" t="s">
        <v>20889</v>
      </c>
      <c r="I3024" s="33" t="s">
        <v>409</v>
      </c>
      <c r="J3024" s="33">
        <v>54703</v>
      </c>
      <c r="K3024" s="33" t="s">
        <v>20889</v>
      </c>
      <c r="L3024" s="33" t="s">
        <v>25594</v>
      </c>
      <c r="M3024" s="33" t="s">
        <v>21</v>
      </c>
      <c r="N3024" s="33" t="s">
        <v>27089</v>
      </c>
      <c r="O3024" s="33" t="s">
        <v>372</v>
      </c>
      <c r="P3024" s="33" t="s">
        <v>30089</v>
      </c>
      <c r="Q3024" s="42" t="s">
        <v>27090</v>
      </c>
      <c r="R3024" s="33" t="s">
        <v>23</v>
      </c>
      <c r="S3024" s="33" t="s">
        <v>22</v>
      </c>
      <c r="T3024" s="36" t="s">
        <v>26774</v>
      </c>
      <c r="U3024" s="36" t="s">
        <v>26570</v>
      </c>
      <c r="V3024" s="36" t="s">
        <v>26573</v>
      </c>
      <c r="W3024" s="36" t="s">
        <v>94</v>
      </c>
      <c r="X3024" s="36">
        <v>2492</v>
      </c>
      <c r="Z3024" s="33" t="s">
        <v>42968</v>
      </c>
      <c r="AA3024" s="33">
        <v>4641</v>
      </c>
    </row>
    <row r="3025" spans="1:43" ht="12" customHeight="1" x14ac:dyDescent="0.15">
      <c r="A3025" s="33" t="s">
        <v>26897</v>
      </c>
      <c r="B3025" s="33">
        <v>33</v>
      </c>
      <c r="C3025" s="33" t="s">
        <v>14</v>
      </c>
      <c r="D3025" s="33" t="s">
        <v>128</v>
      </c>
      <c r="E3025" s="42" t="s">
        <v>26898</v>
      </c>
      <c r="F3025" s="67">
        <v>42832</v>
      </c>
      <c r="H3025" s="33" t="s">
        <v>11613</v>
      </c>
      <c r="I3025" s="33" t="s">
        <v>132</v>
      </c>
      <c r="J3025" s="33">
        <v>57752</v>
      </c>
      <c r="K3025" s="33" t="s">
        <v>21838</v>
      </c>
      <c r="L3025" s="33" t="s">
        <v>25116</v>
      </c>
      <c r="M3025" s="33" t="s">
        <v>21</v>
      </c>
      <c r="N3025" s="33" t="s">
        <v>26899</v>
      </c>
      <c r="O3025" s="33" t="s">
        <v>372</v>
      </c>
      <c r="P3025" s="33" t="s">
        <v>30089</v>
      </c>
      <c r="Q3025" s="42" t="s">
        <v>26900</v>
      </c>
      <c r="R3025" s="33" t="s">
        <v>94</v>
      </c>
      <c r="S3025" s="33" t="s">
        <v>22</v>
      </c>
      <c r="T3025" s="36" t="s">
        <v>26781</v>
      </c>
      <c r="U3025" s="36" t="s">
        <v>26572</v>
      </c>
      <c r="V3025" s="36" t="s">
        <v>26571</v>
      </c>
      <c r="W3025" s="36" t="s">
        <v>94</v>
      </c>
      <c r="X3025" s="36">
        <v>2495</v>
      </c>
      <c r="Z3025" s="33" t="s">
        <v>42967</v>
      </c>
      <c r="AA3025" s="33">
        <v>4640</v>
      </c>
    </row>
    <row r="3026" spans="1:43" ht="12" customHeight="1" x14ac:dyDescent="0.15">
      <c r="A3026" s="33" t="s">
        <v>27181</v>
      </c>
      <c r="B3026" s="33">
        <v>39</v>
      </c>
      <c r="C3026" s="33" t="s">
        <v>14</v>
      </c>
      <c r="D3026" s="33" t="s">
        <v>79</v>
      </c>
      <c r="F3026" s="67">
        <v>42831</v>
      </c>
      <c r="G3026" s="33" t="s">
        <v>27182</v>
      </c>
      <c r="H3026" s="33" t="s">
        <v>27183</v>
      </c>
      <c r="I3026" s="33" t="s">
        <v>63</v>
      </c>
      <c r="J3026" s="33">
        <v>43081</v>
      </c>
      <c r="K3026" s="33" t="s">
        <v>1203</v>
      </c>
      <c r="L3026" s="33" t="s">
        <v>11441</v>
      </c>
      <c r="M3026" s="33" t="s">
        <v>21</v>
      </c>
      <c r="N3026" s="33" t="s">
        <v>27184</v>
      </c>
      <c r="O3026" s="33" t="s">
        <v>372</v>
      </c>
      <c r="P3026" s="33" t="s">
        <v>30089</v>
      </c>
      <c r="Q3026" s="42" t="s">
        <v>27185</v>
      </c>
      <c r="R3026" s="33" t="s">
        <v>512</v>
      </c>
      <c r="S3026" s="33" t="s">
        <v>12</v>
      </c>
      <c r="T3026" s="36" t="s">
        <v>29425</v>
      </c>
      <c r="U3026" s="36" t="s">
        <v>26572</v>
      </c>
      <c r="V3026" s="36" t="s">
        <v>26573</v>
      </c>
      <c r="W3026" s="36" t="s">
        <v>94</v>
      </c>
      <c r="X3026" s="36">
        <v>2484</v>
      </c>
      <c r="Z3026" s="33" t="s">
        <v>42968</v>
      </c>
      <c r="AA3026" s="33">
        <v>4639</v>
      </c>
    </row>
    <row r="3027" spans="1:43" ht="12" customHeight="1" x14ac:dyDescent="0.15">
      <c r="A3027" s="33" t="s">
        <v>26917</v>
      </c>
      <c r="B3027" s="33">
        <v>37</v>
      </c>
      <c r="C3027" s="33" t="s">
        <v>14</v>
      </c>
      <c r="D3027" s="33" t="s">
        <v>79</v>
      </c>
      <c r="E3027" s="42" t="s">
        <v>29658</v>
      </c>
      <c r="F3027" s="67">
        <v>42831</v>
      </c>
      <c r="G3027" s="33" t="s">
        <v>26918</v>
      </c>
      <c r="H3027" s="33" t="s">
        <v>485</v>
      </c>
      <c r="I3027" s="33" t="s">
        <v>75</v>
      </c>
      <c r="J3027" s="33">
        <v>7112</v>
      </c>
      <c r="K3027" s="33" t="s">
        <v>486</v>
      </c>
      <c r="L3027" s="33" t="s">
        <v>487</v>
      </c>
      <c r="M3027" s="33" t="s">
        <v>21</v>
      </c>
      <c r="N3027" s="33" t="s">
        <v>26919</v>
      </c>
      <c r="O3027" s="33" t="s">
        <v>372</v>
      </c>
      <c r="P3027" s="33" t="s">
        <v>30089</v>
      </c>
      <c r="Q3027" s="42" t="s">
        <v>26920</v>
      </c>
      <c r="R3027" s="33" t="s">
        <v>94</v>
      </c>
      <c r="S3027" s="33" t="s">
        <v>22</v>
      </c>
      <c r="T3027" s="36" t="s">
        <v>26781</v>
      </c>
      <c r="U3027" s="36" t="s">
        <v>26572</v>
      </c>
      <c r="V3027" s="36" t="s">
        <v>26573</v>
      </c>
      <c r="W3027" s="36" t="s">
        <v>94</v>
      </c>
      <c r="X3027" s="36">
        <v>2488</v>
      </c>
      <c r="Z3027" s="33" t="s">
        <v>42966</v>
      </c>
      <c r="AA3027" s="33">
        <v>4638</v>
      </c>
    </row>
    <row r="3028" spans="1:43" ht="12" customHeight="1" x14ac:dyDescent="0.15">
      <c r="A3028" s="33" t="s">
        <v>26775</v>
      </c>
      <c r="B3028" s="33">
        <v>49</v>
      </c>
      <c r="C3028" s="33" t="s">
        <v>14</v>
      </c>
      <c r="D3028" s="33" t="s">
        <v>79</v>
      </c>
      <c r="E3028" s="42" t="s">
        <v>26776</v>
      </c>
      <c r="F3028" s="67">
        <v>42831</v>
      </c>
      <c r="G3028" s="33" t="s">
        <v>26777</v>
      </c>
      <c r="H3028" s="33" t="s">
        <v>26778</v>
      </c>
      <c r="I3028" s="33" t="s">
        <v>56</v>
      </c>
      <c r="J3028" s="33">
        <v>33771</v>
      </c>
      <c r="K3028" s="33" t="s">
        <v>2152</v>
      </c>
      <c r="L3028" s="33" t="s">
        <v>8931</v>
      </c>
      <c r="M3028" s="33" t="s">
        <v>21</v>
      </c>
      <c r="N3028" s="33" t="s">
        <v>26779</v>
      </c>
      <c r="O3028" s="33" t="s">
        <v>372</v>
      </c>
      <c r="P3028" s="33" t="s">
        <v>30089</v>
      </c>
      <c r="Q3028" s="42" t="s">
        <v>26780</v>
      </c>
      <c r="R3028" s="33" t="s">
        <v>94</v>
      </c>
      <c r="S3028" s="33" t="s">
        <v>22</v>
      </c>
      <c r="T3028" s="36" t="s">
        <v>26781</v>
      </c>
      <c r="U3028" s="36" t="s">
        <v>26572</v>
      </c>
      <c r="V3028" s="36" t="s">
        <v>26573</v>
      </c>
      <c r="W3028" s="36" t="s">
        <v>94</v>
      </c>
      <c r="X3028" s="36">
        <v>2487</v>
      </c>
      <c r="Z3028" s="33" t="s">
        <v>42966</v>
      </c>
      <c r="AA3028" s="33">
        <v>4637</v>
      </c>
    </row>
    <row r="3029" spans="1:43" ht="12" customHeight="1" x14ac:dyDescent="0.15">
      <c r="A3029" s="33" t="s">
        <v>27032</v>
      </c>
      <c r="B3029" s="33">
        <v>68</v>
      </c>
      <c r="C3029" s="33" t="s">
        <v>14</v>
      </c>
      <c r="D3029" s="33" t="s">
        <v>31</v>
      </c>
      <c r="E3029" s="42" t="s">
        <v>27033</v>
      </c>
      <c r="F3029" s="67">
        <v>42831</v>
      </c>
      <c r="G3029" s="33" t="s">
        <v>27034</v>
      </c>
      <c r="H3029" s="33" t="s">
        <v>3277</v>
      </c>
      <c r="I3029" s="33" t="s">
        <v>56</v>
      </c>
      <c r="J3029" s="33">
        <v>34207</v>
      </c>
      <c r="K3029" s="33" t="s">
        <v>3279</v>
      </c>
      <c r="L3029" s="33" t="s">
        <v>3280</v>
      </c>
      <c r="M3029" s="33" t="s">
        <v>21</v>
      </c>
      <c r="N3029" s="33" t="s">
        <v>27035</v>
      </c>
      <c r="O3029" s="33" t="s">
        <v>372</v>
      </c>
      <c r="P3029" s="33" t="s">
        <v>30089</v>
      </c>
      <c r="Q3029" s="42" t="s">
        <v>27036</v>
      </c>
      <c r="R3029" s="33" t="s">
        <v>512</v>
      </c>
      <c r="S3029" s="33" t="s">
        <v>22</v>
      </c>
      <c r="T3029" s="36" t="s">
        <v>26781</v>
      </c>
      <c r="U3029" s="36" t="s">
        <v>26572</v>
      </c>
      <c r="V3029" s="36" t="s">
        <v>26573</v>
      </c>
      <c r="W3029" s="36" t="s">
        <v>94</v>
      </c>
      <c r="X3029" s="36">
        <v>2486</v>
      </c>
      <c r="Z3029" s="33" t="s">
        <v>42968</v>
      </c>
      <c r="AA3029" s="33">
        <v>4636</v>
      </c>
    </row>
    <row r="3030" spans="1:43" ht="12" customHeight="1" x14ac:dyDescent="0.15">
      <c r="A3030" s="33" t="s">
        <v>27222</v>
      </c>
      <c r="B3030" s="33">
        <v>38</v>
      </c>
      <c r="C3030" s="33" t="s">
        <v>14</v>
      </c>
      <c r="D3030" s="33" t="s">
        <v>31</v>
      </c>
      <c r="E3030" s="42" t="s">
        <v>27223</v>
      </c>
      <c r="F3030" s="67">
        <v>42831</v>
      </c>
      <c r="G3030" s="33" t="s">
        <v>27224</v>
      </c>
      <c r="H3030" s="33" t="s">
        <v>2014</v>
      </c>
      <c r="I3030" s="33" t="s">
        <v>63</v>
      </c>
      <c r="J3030" s="33">
        <v>44057</v>
      </c>
      <c r="K3030" s="33" t="s">
        <v>1179</v>
      </c>
      <c r="L3030" s="33" t="s">
        <v>1180</v>
      </c>
      <c r="M3030" s="33" t="s">
        <v>21</v>
      </c>
      <c r="N3030" s="33" t="s">
        <v>27225</v>
      </c>
      <c r="O3030" s="33" t="s">
        <v>372</v>
      </c>
      <c r="P3030" s="33" t="s">
        <v>30089</v>
      </c>
      <c r="Q3030" s="42" t="s">
        <v>27226</v>
      </c>
      <c r="R3030" s="33" t="s">
        <v>512</v>
      </c>
      <c r="S3030" s="33" t="s">
        <v>22</v>
      </c>
      <c r="T3030" s="36" t="s">
        <v>26781</v>
      </c>
      <c r="U3030" s="36" t="s">
        <v>26572</v>
      </c>
      <c r="V3030" s="36" t="s">
        <v>26573</v>
      </c>
      <c r="W3030" s="36" t="s">
        <v>94</v>
      </c>
      <c r="X3030" s="36">
        <v>2485</v>
      </c>
      <c r="Z3030" s="33" t="s">
        <v>42968</v>
      </c>
      <c r="AA3030" s="33">
        <v>4635</v>
      </c>
    </row>
    <row r="3031" spans="1:43" ht="12" customHeight="1" x14ac:dyDescent="0.15">
      <c r="A3031" s="33" t="s">
        <v>27140</v>
      </c>
      <c r="B3031" s="33">
        <v>22</v>
      </c>
      <c r="C3031" s="33" t="s">
        <v>14</v>
      </c>
      <c r="D3031" s="33" t="s">
        <v>31</v>
      </c>
      <c r="E3031" s="42" t="s">
        <v>27141</v>
      </c>
      <c r="F3031" s="67">
        <v>42830</v>
      </c>
      <c r="G3031" s="33" t="s">
        <v>27142</v>
      </c>
      <c r="H3031" s="33" t="s">
        <v>8861</v>
      </c>
      <c r="I3031" s="33" t="s">
        <v>918</v>
      </c>
      <c r="J3031" s="33">
        <v>72211</v>
      </c>
      <c r="K3031" s="33" t="s">
        <v>2312</v>
      </c>
      <c r="L3031" s="33" t="s">
        <v>8863</v>
      </c>
      <c r="M3031" s="33" t="s">
        <v>21</v>
      </c>
      <c r="N3031" s="33" t="s">
        <v>27143</v>
      </c>
      <c r="O3031" s="33" t="s">
        <v>372</v>
      </c>
      <c r="P3031" s="33" t="s">
        <v>30089</v>
      </c>
      <c r="Q3031" s="42" t="s">
        <v>27144</v>
      </c>
      <c r="R3031" s="33" t="s">
        <v>94</v>
      </c>
      <c r="S3031" s="33" t="s">
        <v>351</v>
      </c>
      <c r="T3031" s="36" t="s">
        <v>26867</v>
      </c>
      <c r="U3031" s="36" t="s">
        <v>26570</v>
      </c>
      <c r="V3031" s="36" t="s">
        <v>26573</v>
      </c>
      <c r="W3031" s="36" t="s">
        <v>94</v>
      </c>
      <c r="X3031" s="36">
        <v>2483</v>
      </c>
      <c r="Z3031" s="33" t="s">
        <v>42968</v>
      </c>
      <c r="AA3031" s="33">
        <v>4634</v>
      </c>
    </row>
    <row r="3032" spans="1:43" ht="12" customHeight="1" x14ac:dyDescent="0.15">
      <c r="A3032" s="33" t="s">
        <v>26868</v>
      </c>
      <c r="B3032" s="33">
        <v>19</v>
      </c>
      <c r="C3032" s="33" t="s">
        <v>14</v>
      </c>
      <c r="D3032" s="33" t="s">
        <v>42</v>
      </c>
      <c r="E3032" s="42" t="s">
        <v>26869</v>
      </c>
      <c r="F3032" s="67">
        <v>42830</v>
      </c>
      <c r="G3032" s="33" t="s">
        <v>26870</v>
      </c>
      <c r="H3032" s="33" t="s">
        <v>26871</v>
      </c>
      <c r="I3032" s="33" t="s">
        <v>198</v>
      </c>
      <c r="J3032" s="33">
        <v>46526</v>
      </c>
      <c r="K3032" s="33" t="s">
        <v>6461</v>
      </c>
      <c r="L3032" s="33" t="s">
        <v>26872</v>
      </c>
      <c r="M3032" s="33" t="s">
        <v>21</v>
      </c>
      <c r="N3032" s="33" t="s">
        <v>36604</v>
      </c>
      <c r="O3032" s="33" t="s">
        <v>372</v>
      </c>
      <c r="P3032" s="33" t="s">
        <v>30089</v>
      </c>
      <c r="Q3032" s="42" t="s">
        <v>26873</v>
      </c>
      <c r="R3032" s="33" t="s">
        <v>94</v>
      </c>
      <c r="S3032" s="33" t="s">
        <v>22</v>
      </c>
      <c r="T3032" s="36" t="s">
        <v>26781</v>
      </c>
      <c r="U3032" s="36" t="s">
        <v>26572</v>
      </c>
      <c r="V3032" s="36" t="s">
        <v>26571</v>
      </c>
      <c r="W3032" s="36" t="s">
        <v>94</v>
      </c>
      <c r="X3032" s="36">
        <v>2482</v>
      </c>
      <c r="Z3032" s="33" t="s">
        <v>42966</v>
      </c>
      <c r="AA3032" s="33">
        <v>4633</v>
      </c>
    </row>
    <row r="3033" spans="1:43" ht="12" customHeight="1" x14ac:dyDescent="0.15">
      <c r="A3033" s="33" t="s">
        <v>26983</v>
      </c>
      <c r="B3033" s="33">
        <v>47</v>
      </c>
      <c r="C3033" s="33" t="s">
        <v>14</v>
      </c>
      <c r="D3033" s="33" t="s">
        <v>42</v>
      </c>
      <c r="F3033" s="67">
        <v>42829</v>
      </c>
      <c r="G3033" s="33" t="s">
        <v>26984</v>
      </c>
      <c r="H3033" s="33" t="s">
        <v>631</v>
      </c>
      <c r="I3033" s="33" t="s">
        <v>39</v>
      </c>
      <c r="J3033" s="33">
        <v>93307</v>
      </c>
      <c r="K3033" s="33" t="s">
        <v>632</v>
      </c>
      <c r="L3033" s="33" t="s">
        <v>633</v>
      </c>
      <c r="M3033" s="33" t="s">
        <v>21</v>
      </c>
      <c r="N3033" s="33" t="s">
        <v>26985</v>
      </c>
      <c r="O3033" s="33" t="s">
        <v>372</v>
      </c>
      <c r="P3033" s="33" t="s">
        <v>94</v>
      </c>
      <c r="Q3033" s="42" t="s">
        <v>26986</v>
      </c>
      <c r="R3033" s="33" t="s">
        <v>94</v>
      </c>
      <c r="S3033" s="33" t="s">
        <v>12</v>
      </c>
      <c r="T3033" s="36" t="s">
        <v>29705</v>
      </c>
      <c r="U3033" s="36" t="s">
        <v>26570</v>
      </c>
      <c r="V3033" s="36" t="s">
        <v>26574</v>
      </c>
      <c r="W3033" s="36" t="s">
        <v>94</v>
      </c>
      <c r="X3033" s="36">
        <v>2479</v>
      </c>
      <c r="Z3033" s="33" t="s">
        <v>42968</v>
      </c>
      <c r="AA3033" s="33">
        <v>4631</v>
      </c>
      <c r="AQ3033" s="42"/>
    </row>
    <row r="3034" spans="1:43" ht="12" customHeight="1" x14ac:dyDescent="0.15">
      <c r="A3034" s="33" t="s">
        <v>27026</v>
      </c>
      <c r="B3034" s="33">
        <v>65</v>
      </c>
      <c r="C3034" s="33" t="s">
        <v>14</v>
      </c>
      <c r="D3034" s="33" t="s">
        <v>31</v>
      </c>
      <c r="E3034" s="42" t="s">
        <v>27027</v>
      </c>
      <c r="F3034" s="67">
        <v>42829</v>
      </c>
      <c r="G3034" s="33" t="s">
        <v>27028</v>
      </c>
      <c r="H3034" s="33" t="s">
        <v>3332</v>
      </c>
      <c r="I3034" s="33" t="s">
        <v>39</v>
      </c>
      <c r="J3034" s="33">
        <v>94558</v>
      </c>
      <c r="K3034" s="33" t="s">
        <v>3332</v>
      </c>
      <c r="L3034" s="33" t="s">
        <v>27029</v>
      </c>
      <c r="M3034" s="33" t="s">
        <v>21</v>
      </c>
      <c r="N3034" s="33" t="s">
        <v>27030</v>
      </c>
      <c r="O3034" s="33" t="s">
        <v>372</v>
      </c>
      <c r="P3034" s="33" t="s">
        <v>30089</v>
      </c>
      <c r="Q3034" s="42" t="s">
        <v>27031</v>
      </c>
      <c r="R3034" s="33" t="s">
        <v>94</v>
      </c>
      <c r="S3034" s="33" t="s">
        <v>22</v>
      </c>
      <c r="T3034" s="36" t="s">
        <v>26781</v>
      </c>
      <c r="U3034" s="36" t="s">
        <v>26572</v>
      </c>
      <c r="V3034" s="36" t="s">
        <v>26571</v>
      </c>
      <c r="W3034" s="36" t="s">
        <v>94</v>
      </c>
      <c r="X3034" s="36">
        <v>2481</v>
      </c>
      <c r="Z3034" s="33" t="s">
        <v>42968</v>
      </c>
      <c r="AA3034" s="33">
        <v>4630</v>
      </c>
    </row>
    <row r="3035" spans="1:43" ht="12" customHeight="1" x14ac:dyDescent="0.15">
      <c r="A3035" s="33" t="s">
        <v>26882</v>
      </c>
      <c r="B3035" s="33">
        <v>32</v>
      </c>
      <c r="C3035" s="33" t="s">
        <v>14</v>
      </c>
      <c r="D3035" s="33" t="s">
        <v>42</v>
      </c>
      <c r="E3035" s="42" t="s">
        <v>26883</v>
      </c>
      <c r="F3035" s="67">
        <v>42829</v>
      </c>
      <c r="G3035" s="33" t="s">
        <v>26884</v>
      </c>
      <c r="H3035" s="33" t="s">
        <v>674</v>
      </c>
      <c r="I3035" s="33" t="s">
        <v>67</v>
      </c>
      <c r="J3035" s="33">
        <v>77037</v>
      </c>
      <c r="K3035" s="33" t="s">
        <v>515</v>
      </c>
      <c r="L3035" s="33" t="s">
        <v>516</v>
      </c>
      <c r="M3035" s="33" t="s">
        <v>21</v>
      </c>
      <c r="N3035" s="33" t="s">
        <v>26885</v>
      </c>
      <c r="O3035" s="33" t="s">
        <v>372</v>
      </c>
      <c r="P3035" s="33" t="s">
        <v>30089</v>
      </c>
      <c r="Q3035" s="42" t="s">
        <v>26886</v>
      </c>
      <c r="R3035" s="33" t="s">
        <v>94</v>
      </c>
      <c r="S3035" s="33" t="s">
        <v>351</v>
      </c>
      <c r="T3035" s="36" t="s">
        <v>26867</v>
      </c>
      <c r="U3035" s="36" t="s">
        <v>26572</v>
      </c>
      <c r="V3035" s="36" t="s">
        <v>26571</v>
      </c>
      <c r="W3035" s="36" t="s">
        <v>94</v>
      </c>
      <c r="X3035" s="36">
        <v>2480</v>
      </c>
      <c r="Z3035" s="33" t="s">
        <v>42968</v>
      </c>
      <c r="AA3035" s="33">
        <v>4632</v>
      </c>
    </row>
    <row r="3036" spans="1:43" ht="12" customHeight="1" x14ac:dyDescent="0.15">
      <c r="A3036" s="33" t="s">
        <v>27167</v>
      </c>
      <c r="B3036" s="33">
        <v>46</v>
      </c>
      <c r="C3036" s="33" t="s">
        <v>14</v>
      </c>
      <c r="D3036" s="33" t="s">
        <v>42</v>
      </c>
      <c r="F3036" s="67">
        <v>42828</v>
      </c>
      <c r="G3036" s="33" t="s">
        <v>27168</v>
      </c>
      <c r="H3036" s="33" t="s">
        <v>6860</v>
      </c>
      <c r="I3036" s="33" t="s">
        <v>26</v>
      </c>
      <c r="J3036" s="33">
        <v>29670</v>
      </c>
      <c r="K3036" s="33" t="s">
        <v>233</v>
      </c>
      <c r="L3036" s="33" t="s">
        <v>27169</v>
      </c>
      <c r="M3036" s="33" t="s">
        <v>4966</v>
      </c>
      <c r="N3036" s="33" t="s">
        <v>27170</v>
      </c>
      <c r="O3036" s="33" t="s">
        <v>372</v>
      </c>
      <c r="P3036" s="33" t="s">
        <v>94</v>
      </c>
      <c r="Q3036" s="42" t="s">
        <v>27171</v>
      </c>
      <c r="R3036" s="33" t="s">
        <v>23</v>
      </c>
      <c r="S3036" s="33" t="s">
        <v>351</v>
      </c>
      <c r="T3036" s="36" t="s">
        <v>26867</v>
      </c>
      <c r="U3036" s="36" t="s">
        <v>26570</v>
      </c>
      <c r="V3036" s="36" t="s">
        <v>26573</v>
      </c>
      <c r="W3036" s="36" t="s">
        <v>512</v>
      </c>
      <c r="X3036" s="36">
        <v>2478</v>
      </c>
      <c r="Z3036" s="33" t="s">
        <v>42967</v>
      </c>
      <c r="AA3036" s="33">
        <v>4629</v>
      </c>
      <c r="AQ3036" s="42"/>
    </row>
    <row r="3037" spans="1:43" ht="12" customHeight="1" x14ac:dyDescent="0.15">
      <c r="A3037" s="33" t="s">
        <v>26771</v>
      </c>
      <c r="B3037" s="33">
        <v>60</v>
      </c>
      <c r="C3037" s="33" t="s">
        <v>14</v>
      </c>
      <c r="D3037" s="33" t="s">
        <v>15</v>
      </c>
      <c r="F3037" s="67">
        <v>42826</v>
      </c>
      <c r="G3037" s="33" t="s">
        <v>26772</v>
      </c>
      <c r="H3037" s="33" t="s">
        <v>7836</v>
      </c>
      <c r="I3037" s="33" t="s">
        <v>19</v>
      </c>
      <c r="J3037" s="33">
        <v>70560</v>
      </c>
      <c r="K3037" s="33" t="s">
        <v>7838</v>
      </c>
      <c r="L3037" s="33" t="s">
        <v>7839</v>
      </c>
      <c r="M3037" s="33" t="s">
        <v>21</v>
      </c>
      <c r="N3037" s="33" t="s">
        <v>36605</v>
      </c>
      <c r="O3037" s="33" t="s">
        <v>372</v>
      </c>
      <c r="P3037" s="33" t="s">
        <v>30089</v>
      </c>
      <c r="Q3037" s="42" t="s">
        <v>26773</v>
      </c>
      <c r="R3037" s="33" t="s">
        <v>94</v>
      </c>
      <c r="S3037" s="33" t="s">
        <v>22</v>
      </c>
      <c r="T3037" s="36" t="s">
        <v>26774</v>
      </c>
      <c r="U3037" s="36" t="s">
        <v>26570</v>
      </c>
      <c r="V3037" s="36" t="s">
        <v>26573</v>
      </c>
      <c r="W3037" s="36" t="s">
        <v>94</v>
      </c>
      <c r="X3037" s="36">
        <v>2476</v>
      </c>
      <c r="Z3037" s="33" t="s">
        <v>42968</v>
      </c>
      <c r="AA3037" s="33">
        <v>4628</v>
      </c>
      <c r="AQ3037" s="42"/>
    </row>
    <row r="3038" spans="1:43" ht="12" customHeight="1" x14ac:dyDescent="0.15">
      <c r="A3038" s="33" t="s">
        <v>26913</v>
      </c>
      <c r="B3038" s="33" t="s">
        <v>23</v>
      </c>
      <c r="C3038" s="33" t="s">
        <v>14</v>
      </c>
      <c r="D3038" s="33" t="s">
        <v>79</v>
      </c>
      <c r="F3038" s="67">
        <v>42826</v>
      </c>
      <c r="G3038" s="33" t="s">
        <v>26914</v>
      </c>
      <c r="H3038" s="33" t="s">
        <v>26915</v>
      </c>
      <c r="I3038" s="33" t="s">
        <v>56</v>
      </c>
      <c r="J3038" s="33">
        <v>32533</v>
      </c>
      <c r="K3038" s="33" t="s">
        <v>4991</v>
      </c>
      <c r="L3038" s="33" t="s">
        <v>4992</v>
      </c>
      <c r="M3038" s="33" t="s">
        <v>21</v>
      </c>
      <c r="N3038" s="33" t="s">
        <v>36606</v>
      </c>
      <c r="O3038" s="33" t="s">
        <v>372</v>
      </c>
      <c r="P3038" s="33" t="s">
        <v>30089</v>
      </c>
      <c r="Q3038" s="42" t="s">
        <v>26916</v>
      </c>
      <c r="R3038" s="33" t="s">
        <v>94</v>
      </c>
      <c r="S3038" s="33" t="s">
        <v>22</v>
      </c>
      <c r="T3038" s="36" t="s">
        <v>26781</v>
      </c>
      <c r="U3038" s="36" t="s">
        <v>26572</v>
      </c>
      <c r="V3038" s="36" t="s">
        <v>26574</v>
      </c>
      <c r="W3038" s="36" t="s">
        <v>94</v>
      </c>
      <c r="X3038" s="36">
        <v>2475</v>
      </c>
      <c r="Z3038" s="33" t="s">
        <v>42968</v>
      </c>
      <c r="AA3038" s="33">
        <v>4627</v>
      </c>
      <c r="AQ3038" s="42"/>
    </row>
    <row r="3039" spans="1:43" ht="12" customHeight="1" x14ac:dyDescent="0.15">
      <c r="A3039" s="33" t="s">
        <v>26527</v>
      </c>
      <c r="B3039" s="33">
        <v>46</v>
      </c>
      <c r="C3039" s="33" t="s">
        <v>14</v>
      </c>
      <c r="D3039" s="33" t="s">
        <v>31</v>
      </c>
      <c r="E3039" s="42" t="s">
        <v>26528</v>
      </c>
      <c r="F3039" s="67">
        <v>42824</v>
      </c>
      <c r="G3039" s="33" t="s">
        <v>26529</v>
      </c>
      <c r="H3039" s="33" t="s">
        <v>26530</v>
      </c>
      <c r="I3039" s="33" t="s">
        <v>75</v>
      </c>
      <c r="J3039" s="33">
        <v>8512</v>
      </c>
      <c r="K3039" s="33" t="s">
        <v>36</v>
      </c>
      <c r="L3039" s="33" t="s">
        <v>2301</v>
      </c>
      <c r="M3039" s="33" t="s">
        <v>21</v>
      </c>
      <c r="N3039" s="33" t="s">
        <v>30827</v>
      </c>
      <c r="O3039" s="33" t="s">
        <v>372</v>
      </c>
      <c r="P3039" s="33" t="s">
        <v>30089</v>
      </c>
      <c r="Q3039" s="42" t="s">
        <v>26531</v>
      </c>
      <c r="R3039" s="33" t="s">
        <v>904</v>
      </c>
      <c r="S3039" s="33" t="s">
        <v>351</v>
      </c>
      <c r="T3039" s="36" t="s">
        <v>26867</v>
      </c>
      <c r="U3039" s="36" t="s">
        <v>26570</v>
      </c>
      <c r="V3039" s="36" t="s">
        <v>26571</v>
      </c>
      <c r="W3039" s="36" t="s">
        <v>94</v>
      </c>
      <c r="X3039" s="36">
        <v>2474</v>
      </c>
      <c r="Z3039" s="33" t="s">
        <v>42968</v>
      </c>
      <c r="AA3039" s="33">
        <v>4626</v>
      </c>
    </row>
    <row r="3040" spans="1:43" ht="12" customHeight="1" x14ac:dyDescent="0.15">
      <c r="A3040" s="33" t="s">
        <v>26532</v>
      </c>
      <c r="B3040" s="33">
        <v>28</v>
      </c>
      <c r="C3040" s="33" t="s">
        <v>14</v>
      </c>
      <c r="D3040" s="33" t="s">
        <v>79</v>
      </c>
      <c r="F3040" s="67">
        <v>42823</v>
      </c>
      <c r="G3040" s="33" t="s">
        <v>26632</v>
      </c>
      <c r="H3040" s="33" t="s">
        <v>3496</v>
      </c>
      <c r="I3040" s="33" t="s">
        <v>206</v>
      </c>
      <c r="J3040" s="33">
        <v>19720</v>
      </c>
      <c r="K3040" s="33" t="s">
        <v>3496</v>
      </c>
      <c r="L3040" s="33" t="s">
        <v>36950</v>
      </c>
      <c r="M3040" s="33" t="s">
        <v>21</v>
      </c>
      <c r="N3040" s="33" t="s">
        <v>26533</v>
      </c>
      <c r="O3040" s="33" t="s">
        <v>372</v>
      </c>
      <c r="P3040" s="33" t="s">
        <v>30089</v>
      </c>
      <c r="Q3040" s="42" t="s">
        <v>26534</v>
      </c>
      <c r="R3040" s="33" t="s">
        <v>512</v>
      </c>
      <c r="S3040" s="33" t="s">
        <v>351</v>
      </c>
      <c r="T3040" s="36" t="s">
        <v>26867</v>
      </c>
      <c r="U3040" s="36" t="s">
        <v>26570</v>
      </c>
      <c r="V3040" s="36" t="s">
        <v>26571</v>
      </c>
      <c r="W3040" s="36" t="s">
        <v>94</v>
      </c>
      <c r="X3040" s="36">
        <v>2470</v>
      </c>
      <c r="Z3040" s="33" t="s">
        <v>42968</v>
      </c>
      <c r="AA3040" s="33">
        <v>4624</v>
      </c>
    </row>
    <row r="3041" spans="1:43" ht="12" customHeight="1" x14ac:dyDescent="0.15">
      <c r="A3041" s="33" t="s">
        <v>26535</v>
      </c>
      <c r="B3041" s="33">
        <v>41</v>
      </c>
      <c r="C3041" s="33" t="s">
        <v>14</v>
      </c>
      <c r="D3041" s="33" t="s">
        <v>31</v>
      </c>
      <c r="E3041" s="42" t="s">
        <v>26536</v>
      </c>
      <c r="F3041" s="67">
        <v>42823</v>
      </c>
      <c r="G3041" s="33" t="s">
        <v>26537</v>
      </c>
      <c r="H3041" s="33" t="s">
        <v>1645</v>
      </c>
      <c r="I3041" s="33" t="s">
        <v>38</v>
      </c>
      <c r="J3041" s="33">
        <v>61085</v>
      </c>
      <c r="K3041" s="33" t="s">
        <v>26538</v>
      </c>
      <c r="L3041" s="33" t="s">
        <v>36355</v>
      </c>
      <c r="M3041" s="33" t="s">
        <v>21</v>
      </c>
      <c r="N3041" s="33" t="s">
        <v>26539</v>
      </c>
      <c r="O3041" s="33" t="s">
        <v>372</v>
      </c>
      <c r="P3041" s="33" t="s">
        <v>30089</v>
      </c>
      <c r="Q3041" s="42" t="s">
        <v>26540</v>
      </c>
      <c r="R3041" s="33" t="s">
        <v>94</v>
      </c>
      <c r="S3041" s="33" t="s">
        <v>22</v>
      </c>
      <c r="T3041" s="36" t="s">
        <v>26781</v>
      </c>
      <c r="U3041" s="36" t="s">
        <v>26572</v>
      </c>
      <c r="V3041" s="36" t="s">
        <v>26571</v>
      </c>
      <c r="W3041" s="36" t="s">
        <v>94</v>
      </c>
      <c r="X3041" s="36">
        <v>2468</v>
      </c>
      <c r="Z3041" s="33" t="s">
        <v>42967</v>
      </c>
      <c r="AA3041" s="33">
        <v>4621</v>
      </c>
    </row>
    <row r="3042" spans="1:43" ht="12" customHeight="1" x14ac:dyDescent="0.15">
      <c r="A3042" s="33" t="s">
        <v>26556</v>
      </c>
      <c r="B3042" s="33">
        <v>27</v>
      </c>
      <c r="C3042" s="33" t="s">
        <v>14</v>
      </c>
      <c r="D3042" s="33" t="s">
        <v>31</v>
      </c>
      <c r="F3042" s="67">
        <v>42823</v>
      </c>
      <c r="G3042" s="33" t="s">
        <v>26557</v>
      </c>
      <c r="H3042" s="33" t="s">
        <v>740</v>
      </c>
      <c r="I3042" s="33" t="s">
        <v>67</v>
      </c>
      <c r="J3042" s="33">
        <v>75439</v>
      </c>
      <c r="K3042" s="33" t="s">
        <v>14670</v>
      </c>
      <c r="L3042" s="33" t="s">
        <v>262</v>
      </c>
      <c r="M3042" s="33" t="s">
        <v>21</v>
      </c>
      <c r="N3042" s="33" t="s">
        <v>26558</v>
      </c>
      <c r="O3042" s="33" t="s">
        <v>372</v>
      </c>
      <c r="P3042" s="33" t="s">
        <v>30089</v>
      </c>
      <c r="Q3042" s="42" t="s">
        <v>26559</v>
      </c>
      <c r="R3042" s="33" t="s">
        <v>94</v>
      </c>
      <c r="S3042" s="33" t="s">
        <v>351</v>
      </c>
      <c r="T3042" s="36" t="s">
        <v>26867</v>
      </c>
      <c r="U3042" s="36" t="s">
        <v>26570</v>
      </c>
      <c r="V3042" s="36" t="s">
        <v>26571</v>
      </c>
      <c r="W3042" s="36" t="s">
        <v>94</v>
      </c>
      <c r="X3042" s="36">
        <v>2473</v>
      </c>
      <c r="Z3042" s="33" t="s">
        <v>42967</v>
      </c>
      <c r="AA3042" s="33">
        <v>4625</v>
      </c>
    </row>
    <row r="3043" spans="1:43" ht="12" customHeight="1" x14ac:dyDescent="0.15">
      <c r="A3043" s="33" t="s">
        <v>26546</v>
      </c>
      <c r="B3043" s="33">
        <v>59</v>
      </c>
      <c r="C3043" s="33" t="s">
        <v>14</v>
      </c>
      <c r="D3043" s="33" t="s">
        <v>31</v>
      </c>
      <c r="F3043" s="67">
        <v>42823</v>
      </c>
      <c r="G3043" s="33" t="s">
        <v>26547</v>
      </c>
      <c r="H3043" s="33" t="s">
        <v>26548</v>
      </c>
      <c r="I3043" s="33" t="s">
        <v>367</v>
      </c>
      <c r="J3043" s="33">
        <v>74831</v>
      </c>
      <c r="K3043" s="33" t="s">
        <v>26549</v>
      </c>
      <c r="L3043" s="33" t="s">
        <v>36607</v>
      </c>
      <c r="M3043" s="33" t="s">
        <v>21</v>
      </c>
      <c r="N3043" s="33" t="s">
        <v>26550</v>
      </c>
      <c r="O3043" s="33" t="s">
        <v>372</v>
      </c>
      <c r="P3043" s="33" t="s">
        <v>30089</v>
      </c>
      <c r="Q3043" s="42" t="s">
        <v>26551</v>
      </c>
      <c r="R3043" s="33" t="s">
        <v>94</v>
      </c>
      <c r="S3043" s="33" t="s">
        <v>22</v>
      </c>
      <c r="T3043" s="36" t="s">
        <v>26781</v>
      </c>
      <c r="U3043" s="36" t="s">
        <v>26572</v>
      </c>
      <c r="V3043" s="36" t="s">
        <v>26571</v>
      </c>
      <c r="W3043" s="36" t="s">
        <v>94</v>
      </c>
      <c r="X3043" s="36">
        <v>2469</v>
      </c>
      <c r="Z3043" s="33" t="s">
        <v>42967</v>
      </c>
      <c r="AA3043" s="33">
        <v>4622</v>
      </c>
    </row>
    <row r="3044" spans="1:43" ht="12" customHeight="1" x14ac:dyDescent="0.15">
      <c r="A3044" s="33" t="s">
        <v>26552</v>
      </c>
      <c r="B3044" s="33">
        <v>26</v>
      </c>
      <c r="C3044" s="33" t="s">
        <v>14</v>
      </c>
      <c r="D3044" s="33" t="s">
        <v>31</v>
      </c>
      <c r="E3044" s="42" t="s">
        <v>26553</v>
      </c>
      <c r="F3044" s="67">
        <v>42823</v>
      </c>
      <c r="G3044" s="33" t="s">
        <v>26631</v>
      </c>
      <c r="H3044" s="33" t="s">
        <v>1138</v>
      </c>
      <c r="I3044" s="33" t="s">
        <v>298</v>
      </c>
      <c r="J3044" s="33">
        <v>37411</v>
      </c>
      <c r="K3044" s="33" t="s">
        <v>505</v>
      </c>
      <c r="L3044" s="33" t="s">
        <v>1139</v>
      </c>
      <c r="M3044" s="33" t="s">
        <v>21</v>
      </c>
      <c r="N3044" s="33" t="s">
        <v>26554</v>
      </c>
      <c r="O3044" s="33" t="s">
        <v>372</v>
      </c>
      <c r="P3044" s="33" t="s">
        <v>30089</v>
      </c>
      <c r="Q3044" s="42" t="s">
        <v>26555</v>
      </c>
      <c r="R3044" s="33" t="s">
        <v>904</v>
      </c>
      <c r="S3044" s="33" t="s">
        <v>22</v>
      </c>
      <c r="T3044" s="36" t="s">
        <v>26781</v>
      </c>
      <c r="U3044" s="36" t="s">
        <v>26570</v>
      </c>
      <c r="V3044" s="36" t="s">
        <v>26573</v>
      </c>
      <c r="W3044" s="36" t="s">
        <v>94</v>
      </c>
      <c r="X3044" s="36">
        <v>2466</v>
      </c>
      <c r="Y3044" s="33" t="s">
        <v>42476</v>
      </c>
      <c r="Z3044" s="33" t="s">
        <v>42966</v>
      </c>
      <c r="AA3044" s="33">
        <v>4620</v>
      </c>
    </row>
    <row r="3045" spans="1:43" ht="12" customHeight="1" x14ac:dyDescent="0.15">
      <c r="A3045" s="33" t="s">
        <v>26541</v>
      </c>
      <c r="B3045" s="33">
        <v>45</v>
      </c>
      <c r="C3045" s="33" t="s">
        <v>14</v>
      </c>
      <c r="D3045" s="33" t="s">
        <v>31</v>
      </c>
      <c r="F3045" s="67">
        <v>42823</v>
      </c>
      <c r="G3045" s="33" t="s">
        <v>26542</v>
      </c>
      <c r="H3045" s="33" t="s">
        <v>26543</v>
      </c>
      <c r="I3045" s="33" t="s">
        <v>294</v>
      </c>
      <c r="J3045" s="33">
        <v>40342</v>
      </c>
      <c r="K3045" s="33" t="s">
        <v>233</v>
      </c>
      <c r="L3045" s="33" t="s">
        <v>5227</v>
      </c>
      <c r="M3045" s="33" t="s">
        <v>21</v>
      </c>
      <c r="N3045" s="33" t="s">
        <v>26544</v>
      </c>
      <c r="O3045" s="33" t="s">
        <v>372</v>
      </c>
      <c r="P3045" s="33" t="s">
        <v>30089</v>
      </c>
      <c r="Q3045" s="42" t="s">
        <v>26545</v>
      </c>
      <c r="R3045" s="33" t="s">
        <v>94</v>
      </c>
      <c r="S3045" s="33" t="s">
        <v>22</v>
      </c>
      <c r="T3045" s="36" t="s">
        <v>26781</v>
      </c>
      <c r="U3045" s="36" t="s">
        <v>26572</v>
      </c>
      <c r="V3045" s="36" t="s">
        <v>26573</v>
      </c>
      <c r="W3045" s="36" t="s">
        <v>94</v>
      </c>
      <c r="X3045" s="36">
        <v>2471</v>
      </c>
      <c r="Z3045" s="33" t="s">
        <v>42967</v>
      </c>
      <c r="AA3045" s="33">
        <v>4623</v>
      </c>
    </row>
    <row r="3046" spans="1:43" ht="12" customHeight="1" x14ac:dyDescent="0.15">
      <c r="A3046" s="33" t="s">
        <v>26560</v>
      </c>
      <c r="B3046" s="33">
        <v>36</v>
      </c>
      <c r="C3046" s="33" t="s">
        <v>14</v>
      </c>
      <c r="D3046" s="33" t="s">
        <v>31</v>
      </c>
      <c r="F3046" s="67">
        <v>42822</v>
      </c>
      <c r="G3046" s="33" t="s">
        <v>26515</v>
      </c>
      <c r="H3046" s="33" t="s">
        <v>26516</v>
      </c>
      <c r="I3046" s="33" t="s">
        <v>198</v>
      </c>
      <c r="J3046" s="33">
        <v>47946</v>
      </c>
      <c r="K3046" s="33" t="s">
        <v>2312</v>
      </c>
      <c r="L3046" s="33" t="s">
        <v>18119</v>
      </c>
      <c r="M3046" s="33" t="s">
        <v>21</v>
      </c>
      <c r="N3046" s="33" t="s">
        <v>26517</v>
      </c>
      <c r="O3046" s="33" t="s">
        <v>372</v>
      </c>
      <c r="P3046" s="33" t="s">
        <v>30089</v>
      </c>
      <c r="Q3046" s="42" t="s">
        <v>26518</v>
      </c>
      <c r="R3046" s="33" t="s">
        <v>94</v>
      </c>
      <c r="S3046" s="33" t="s">
        <v>22</v>
      </c>
      <c r="T3046" s="36" t="s">
        <v>26781</v>
      </c>
      <c r="U3046" s="33" t="s">
        <v>26572</v>
      </c>
      <c r="V3046" s="33" t="s">
        <v>26571</v>
      </c>
      <c r="W3046" s="33" t="s">
        <v>94</v>
      </c>
      <c r="X3046" s="33">
        <v>2463</v>
      </c>
      <c r="Z3046" s="33" t="s">
        <v>42967</v>
      </c>
      <c r="AA3046" s="33">
        <v>4618</v>
      </c>
      <c r="AQ3046" s="42"/>
    </row>
    <row r="3047" spans="1:43" ht="12" customHeight="1" x14ac:dyDescent="0.15">
      <c r="A3047" s="33" t="s">
        <v>26561</v>
      </c>
      <c r="B3047" s="33">
        <v>73</v>
      </c>
      <c r="C3047" s="33" t="s">
        <v>14</v>
      </c>
      <c r="D3047" s="33" t="s">
        <v>31</v>
      </c>
      <c r="F3047" s="67">
        <v>42822</v>
      </c>
      <c r="G3047" s="33" t="s">
        <v>26633</v>
      </c>
      <c r="H3047" s="33" t="s">
        <v>26562</v>
      </c>
      <c r="I3047" s="33" t="s">
        <v>51</v>
      </c>
      <c r="J3047" s="33">
        <v>49660</v>
      </c>
      <c r="K3047" s="33" t="s">
        <v>26562</v>
      </c>
      <c r="L3047" s="33" t="s">
        <v>26563</v>
      </c>
      <c r="M3047" s="33" t="s">
        <v>21</v>
      </c>
      <c r="N3047" s="33" t="s">
        <v>26564</v>
      </c>
      <c r="O3047" s="33" t="s">
        <v>372</v>
      </c>
      <c r="P3047" s="33" t="s">
        <v>30089</v>
      </c>
      <c r="Q3047" s="42" t="s">
        <v>26565</v>
      </c>
      <c r="R3047" s="33" t="s">
        <v>94</v>
      </c>
      <c r="S3047" s="33" t="s">
        <v>22</v>
      </c>
      <c r="T3047" s="36" t="s">
        <v>26781</v>
      </c>
      <c r="U3047" s="33" t="s">
        <v>26572</v>
      </c>
      <c r="V3047" s="33" t="s">
        <v>26573</v>
      </c>
      <c r="W3047" s="33" t="s">
        <v>94</v>
      </c>
      <c r="X3047" s="33">
        <v>2467</v>
      </c>
      <c r="Z3047" s="33" t="s">
        <v>42967</v>
      </c>
      <c r="AA3047" s="33">
        <v>4619</v>
      </c>
    </row>
    <row r="3048" spans="1:43" ht="12" customHeight="1" x14ac:dyDescent="0.15">
      <c r="A3048" s="33" t="s">
        <v>26503</v>
      </c>
      <c r="B3048" s="33">
        <v>45</v>
      </c>
      <c r="C3048" s="33" t="s">
        <v>14</v>
      </c>
      <c r="D3048" s="33" t="s">
        <v>31</v>
      </c>
      <c r="E3048" s="42" t="s">
        <v>26504</v>
      </c>
      <c r="F3048" s="67">
        <v>42821</v>
      </c>
      <c r="G3048" s="33" t="s">
        <v>26505</v>
      </c>
      <c r="H3048" s="33" t="s">
        <v>26506</v>
      </c>
      <c r="I3048" s="33" t="s">
        <v>621</v>
      </c>
      <c r="J3048" s="33">
        <v>39752</v>
      </c>
      <c r="K3048" s="33" t="s">
        <v>3011</v>
      </c>
      <c r="L3048" s="33" t="s">
        <v>2764</v>
      </c>
      <c r="M3048" s="33" t="s">
        <v>21</v>
      </c>
      <c r="N3048" s="33" t="s">
        <v>26507</v>
      </c>
      <c r="O3048" s="33" t="s">
        <v>372</v>
      </c>
      <c r="P3048" s="33" t="s">
        <v>30089</v>
      </c>
      <c r="Q3048" s="42" t="s">
        <v>26508</v>
      </c>
      <c r="R3048" s="33" t="s">
        <v>94</v>
      </c>
      <c r="S3048" s="33" t="s">
        <v>22</v>
      </c>
      <c r="T3048" s="36" t="s">
        <v>26781</v>
      </c>
      <c r="U3048" s="33" t="s">
        <v>26572</v>
      </c>
      <c r="V3048" s="33" t="s">
        <v>26571</v>
      </c>
      <c r="W3048" s="33" t="s">
        <v>94</v>
      </c>
      <c r="X3048" s="33">
        <v>2461</v>
      </c>
      <c r="Z3048" s="33" t="s">
        <v>42967</v>
      </c>
      <c r="AA3048" s="33">
        <v>4616</v>
      </c>
    </row>
    <row r="3049" spans="1:43" ht="12" customHeight="1" x14ac:dyDescent="0.15">
      <c r="A3049" s="33" t="s">
        <v>26509</v>
      </c>
      <c r="B3049" s="33">
        <v>51</v>
      </c>
      <c r="C3049" s="33" t="s">
        <v>14</v>
      </c>
      <c r="D3049" s="33" t="s">
        <v>31</v>
      </c>
      <c r="E3049" s="42" t="s">
        <v>26510</v>
      </c>
      <c r="F3049" s="67">
        <v>42821</v>
      </c>
      <c r="G3049" s="33" t="s">
        <v>26511</v>
      </c>
      <c r="H3049" s="33" t="s">
        <v>16806</v>
      </c>
      <c r="I3049" s="33" t="s">
        <v>298</v>
      </c>
      <c r="J3049" s="33">
        <v>37091</v>
      </c>
      <c r="K3049" s="33" t="s">
        <v>611</v>
      </c>
      <c r="L3049" s="33" t="s">
        <v>26512</v>
      </c>
      <c r="M3049" s="33" t="s">
        <v>21</v>
      </c>
      <c r="N3049" s="33" t="s">
        <v>26513</v>
      </c>
      <c r="O3049" s="33" t="s">
        <v>372</v>
      </c>
      <c r="P3049" s="33" t="s">
        <v>30089</v>
      </c>
      <c r="Q3049" s="42" t="s">
        <v>26514</v>
      </c>
      <c r="R3049" s="33" t="s">
        <v>94</v>
      </c>
      <c r="S3049" s="33" t="s">
        <v>22</v>
      </c>
      <c r="T3049" s="36" t="s">
        <v>26781</v>
      </c>
      <c r="U3049" s="33" t="s">
        <v>26572</v>
      </c>
      <c r="V3049" s="33" t="s">
        <v>26573</v>
      </c>
      <c r="W3049" s="33" t="s">
        <v>94</v>
      </c>
      <c r="X3049" s="33">
        <v>2460</v>
      </c>
      <c r="Z3049" s="33" t="s">
        <v>42967</v>
      </c>
      <c r="AA3049" s="33">
        <v>4615</v>
      </c>
    </row>
    <row r="3050" spans="1:43" ht="12" customHeight="1" x14ac:dyDescent="0.15">
      <c r="A3050" s="33" t="s">
        <v>26499</v>
      </c>
      <c r="B3050" s="33">
        <v>28</v>
      </c>
      <c r="C3050" s="33" t="s">
        <v>14</v>
      </c>
      <c r="D3050" s="33" t="s">
        <v>31</v>
      </c>
      <c r="F3050" s="67">
        <v>42821</v>
      </c>
      <c r="G3050" s="33" t="s">
        <v>26500</v>
      </c>
      <c r="H3050" s="33" t="s">
        <v>26501</v>
      </c>
      <c r="I3050" s="33" t="s">
        <v>46</v>
      </c>
      <c r="J3050" s="33">
        <v>20886</v>
      </c>
      <c r="K3050" s="33" t="s">
        <v>995</v>
      </c>
      <c r="L3050" s="33" t="s">
        <v>2191</v>
      </c>
      <c r="M3050" s="33" t="s">
        <v>21</v>
      </c>
      <c r="N3050" s="33" t="s">
        <v>36608</v>
      </c>
      <c r="O3050" s="33" t="s">
        <v>372</v>
      </c>
      <c r="P3050" s="33" t="s">
        <v>30089</v>
      </c>
      <c r="Q3050" s="42" t="s">
        <v>26502</v>
      </c>
      <c r="R3050" s="33" t="s">
        <v>94</v>
      </c>
      <c r="S3050" s="33" t="s">
        <v>22</v>
      </c>
      <c r="T3050" s="36" t="s">
        <v>26774</v>
      </c>
      <c r="U3050" s="33" t="s">
        <v>26570</v>
      </c>
      <c r="V3050" s="33" t="s">
        <v>26573</v>
      </c>
      <c r="W3050" s="33" t="s">
        <v>512</v>
      </c>
      <c r="X3050" s="33">
        <v>2462</v>
      </c>
      <c r="Z3050" s="33" t="s">
        <v>42966</v>
      </c>
      <c r="AA3050" s="33">
        <v>4617</v>
      </c>
    </row>
    <row r="3051" spans="1:43" ht="12" customHeight="1" x14ac:dyDescent="0.15">
      <c r="A3051" s="33" t="s">
        <v>26491</v>
      </c>
      <c r="B3051" s="33">
        <v>54</v>
      </c>
      <c r="C3051" s="33" t="s">
        <v>14</v>
      </c>
      <c r="D3051" s="33" t="s">
        <v>31</v>
      </c>
      <c r="E3051" s="42" t="s">
        <v>26492</v>
      </c>
      <c r="F3051" s="67">
        <v>42820</v>
      </c>
      <c r="G3051" s="33" t="s">
        <v>26493</v>
      </c>
      <c r="H3051" s="33" t="s">
        <v>8861</v>
      </c>
      <c r="I3051" s="33" t="s">
        <v>918</v>
      </c>
      <c r="J3051" s="33">
        <v>72201</v>
      </c>
      <c r="K3051" s="33" t="s">
        <v>2312</v>
      </c>
      <c r="L3051" s="33" t="s">
        <v>8863</v>
      </c>
      <c r="M3051" s="33" t="s">
        <v>21</v>
      </c>
      <c r="N3051" s="33" t="s">
        <v>26494</v>
      </c>
      <c r="O3051" s="33" t="s">
        <v>372</v>
      </c>
      <c r="P3051" s="33" t="s">
        <v>30089</v>
      </c>
      <c r="Q3051" s="42" t="s">
        <v>26495</v>
      </c>
      <c r="R3051" s="33" t="s">
        <v>94</v>
      </c>
      <c r="S3051" s="33" t="s">
        <v>22</v>
      </c>
      <c r="T3051" s="36" t="s">
        <v>26781</v>
      </c>
      <c r="U3051" s="33" t="s">
        <v>26572</v>
      </c>
      <c r="V3051" s="33" t="s">
        <v>26574</v>
      </c>
      <c r="W3051" s="33" t="s">
        <v>94</v>
      </c>
      <c r="X3051" s="33">
        <v>2457</v>
      </c>
      <c r="Z3051" s="33" t="s">
        <v>42966</v>
      </c>
      <c r="AA3051" s="33">
        <v>4611</v>
      </c>
    </row>
    <row r="3052" spans="1:43" ht="12" customHeight="1" x14ac:dyDescent="0.15">
      <c r="A3052" s="33" t="s">
        <v>30376</v>
      </c>
      <c r="B3052" s="33">
        <v>53</v>
      </c>
      <c r="C3052" s="33" t="s">
        <v>14</v>
      </c>
      <c r="D3052" s="33" t="s">
        <v>31</v>
      </c>
      <c r="F3052" s="67">
        <v>42820</v>
      </c>
      <c r="G3052" s="33" t="s">
        <v>26496</v>
      </c>
      <c r="H3052" s="33" t="s">
        <v>233</v>
      </c>
      <c r="I3052" s="33" t="s">
        <v>39</v>
      </c>
      <c r="J3052" s="33">
        <v>96007</v>
      </c>
      <c r="K3052" s="33" t="s">
        <v>6887</v>
      </c>
      <c r="L3052" s="33" t="s">
        <v>11356</v>
      </c>
      <c r="M3052" s="33" t="s">
        <v>21</v>
      </c>
      <c r="N3052" s="33" t="s">
        <v>30377</v>
      </c>
      <c r="O3052" s="33" t="s">
        <v>372</v>
      </c>
      <c r="P3052" s="33" t="s">
        <v>30089</v>
      </c>
      <c r="Q3052" s="42" t="s">
        <v>26498</v>
      </c>
      <c r="R3052" s="33" t="s">
        <v>94</v>
      </c>
      <c r="S3052" s="33" t="s">
        <v>22</v>
      </c>
      <c r="T3052" s="33" t="s">
        <v>26781</v>
      </c>
      <c r="U3052" s="33" t="s">
        <v>26572</v>
      </c>
      <c r="V3052" s="33" t="s">
        <v>26573</v>
      </c>
      <c r="Z3052" s="33" t="s">
        <v>42967</v>
      </c>
      <c r="AA3052" s="33">
        <v>4613</v>
      </c>
    </row>
    <row r="3053" spans="1:43" ht="12" customHeight="1" x14ac:dyDescent="0.15">
      <c r="A3053" s="33" t="s">
        <v>30828</v>
      </c>
      <c r="B3053" s="33">
        <v>53</v>
      </c>
      <c r="C3053" s="33" t="s">
        <v>14</v>
      </c>
      <c r="D3053" s="33" t="s">
        <v>31</v>
      </c>
      <c r="F3053" s="67">
        <v>42820</v>
      </c>
      <c r="G3053" s="33" t="s">
        <v>26496</v>
      </c>
      <c r="H3053" s="33" t="s">
        <v>233</v>
      </c>
      <c r="I3053" s="33" t="s">
        <v>39</v>
      </c>
      <c r="J3053" s="33">
        <v>96007</v>
      </c>
      <c r="K3053" s="33" t="s">
        <v>6887</v>
      </c>
      <c r="L3053" s="33" t="s">
        <v>11356</v>
      </c>
      <c r="M3053" s="33" t="s">
        <v>21</v>
      </c>
      <c r="N3053" s="33" t="s">
        <v>26497</v>
      </c>
      <c r="O3053" s="33" t="s">
        <v>372</v>
      </c>
      <c r="P3053" s="33" t="s">
        <v>30089</v>
      </c>
      <c r="Q3053" s="42" t="s">
        <v>26498</v>
      </c>
      <c r="R3053" s="33" t="s">
        <v>94</v>
      </c>
      <c r="S3053" s="33" t="s">
        <v>22</v>
      </c>
      <c r="T3053" s="36" t="s">
        <v>26781</v>
      </c>
      <c r="U3053" s="33" t="s">
        <v>26572</v>
      </c>
      <c r="V3053" s="33" t="s">
        <v>26573</v>
      </c>
      <c r="W3053" s="33" t="s">
        <v>94</v>
      </c>
      <c r="X3053" s="33">
        <v>2455</v>
      </c>
      <c r="Z3053" s="33" t="s">
        <v>42967</v>
      </c>
      <c r="AA3053" s="33">
        <v>4610</v>
      </c>
      <c r="AQ3053" s="42"/>
    </row>
    <row r="3054" spans="1:43" ht="12" customHeight="1" x14ac:dyDescent="0.15">
      <c r="A3054" s="33" t="s">
        <v>30371</v>
      </c>
      <c r="B3054" s="33">
        <v>56</v>
      </c>
      <c r="C3054" s="33" t="s">
        <v>14</v>
      </c>
      <c r="D3054" s="33" t="s">
        <v>31</v>
      </c>
      <c r="E3054" s="42" t="s">
        <v>30372</v>
      </c>
      <c r="F3054" s="67">
        <v>42820</v>
      </c>
      <c r="G3054" s="33" t="s">
        <v>30373</v>
      </c>
      <c r="H3054" s="33" t="s">
        <v>4877</v>
      </c>
      <c r="I3054" s="33" t="s">
        <v>56</v>
      </c>
      <c r="J3054" s="33">
        <v>33444</v>
      </c>
      <c r="K3054" s="33" t="s">
        <v>4878</v>
      </c>
      <c r="L3054" s="33" t="s">
        <v>965</v>
      </c>
      <c r="M3054" s="33" t="s">
        <v>21</v>
      </c>
      <c r="N3054" s="33" t="s">
        <v>30374</v>
      </c>
      <c r="O3054" s="33" t="s">
        <v>372</v>
      </c>
      <c r="P3054" s="33" t="s">
        <v>30089</v>
      </c>
      <c r="Q3054" s="42" t="s">
        <v>30375</v>
      </c>
      <c r="R3054" s="33" t="s">
        <v>94</v>
      </c>
      <c r="S3054" s="33" t="s">
        <v>12</v>
      </c>
      <c r="T3054" s="33" t="s">
        <v>29425</v>
      </c>
      <c r="U3054" s="33" t="s">
        <v>26572</v>
      </c>
      <c r="V3054" s="33" t="s">
        <v>26573</v>
      </c>
      <c r="W3054" s="33" t="s">
        <v>94</v>
      </c>
      <c r="X3054" s="33">
        <v>2712</v>
      </c>
      <c r="Z3054" s="33" t="s">
        <v>42966</v>
      </c>
      <c r="AA3054" s="33">
        <v>4614</v>
      </c>
    </row>
    <row r="3055" spans="1:43" ht="12" customHeight="1" x14ac:dyDescent="0.15">
      <c r="A3055" s="33" t="s">
        <v>26487</v>
      </c>
      <c r="B3055" s="33">
        <v>36</v>
      </c>
      <c r="C3055" s="33" t="s">
        <v>14</v>
      </c>
      <c r="D3055" s="33" t="s">
        <v>128</v>
      </c>
      <c r="F3055" s="67">
        <v>42820</v>
      </c>
      <c r="G3055" s="33" t="s">
        <v>26488</v>
      </c>
      <c r="H3055" s="33" t="s">
        <v>6588</v>
      </c>
      <c r="I3055" s="33" t="s">
        <v>309</v>
      </c>
      <c r="J3055" s="33">
        <v>99654</v>
      </c>
      <c r="K3055" s="33" t="s">
        <v>19800</v>
      </c>
      <c r="L3055" s="33" t="s">
        <v>10186</v>
      </c>
      <c r="M3055" s="33" t="s">
        <v>21</v>
      </c>
      <c r="N3055" s="33" t="s">
        <v>26489</v>
      </c>
      <c r="O3055" s="33" t="s">
        <v>372</v>
      </c>
      <c r="P3055" s="33" t="s">
        <v>30089</v>
      </c>
      <c r="Q3055" s="42" t="s">
        <v>26490</v>
      </c>
      <c r="R3055" s="33" t="s">
        <v>94</v>
      </c>
      <c r="S3055" s="33" t="s">
        <v>22</v>
      </c>
      <c r="T3055" s="36" t="s">
        <v>26781</v>
      </c>
      <c r="U3055" s="33" t="s">
        <v>26572</v>
      </c>
      <c r="V3055" s="33" t="s">
        <v>19228</v>
      </c>
      <c r="W3055" s="33" t="s">
        <v>94</v>
      </c>
      <c r="X3055" s="33">
        <v>2459</v>
      </c>
      <c r="Z3055" s="33" t="s">
        <v>42967</v>
      </c>
      <c r="AA3055" s="33">
        <v>4612</v>
      </c>
    </row>
    <row r="3056" spans="1:43" ht="12" customHeight="1" x14ac:dyDescent="0.15">
      <c r="A3056" s="33" t="s">
        <v>26466</v>
      </c>
      <c r="B3056" s="33">
        <v>35</v>
      </c>
      <c r="C3056" s="33" t="s">
        <v>14</v>
      </c>
      <c r="D3056" s="33" t="s">
        <v>42</v>
      </c>
      <c r="F3056" s="67">
        <v>42819</v>
      </c>
      <c r="G3056" s="33" t="s">
        <v>26467</v>
      </c>
      <c r="H3056" s="33" t="s">
        <v>26468</v>
      </c>
      <c r="I3056" s="33" t="s">
        <v>39</v>
      </c>
      <c r="J3056" s="33">
        <v>90033</v>
      </c>
      <c r="K3056" s="33" t="s">
        <v>92</v>
      </c>
      <c r="L3056" s="33" t="s">
        <v>93</v>
      </c>
      <c r="M3056" s="33" t="s">
        <v>21</v>
      </c>
      <c r="N3056" s="33" t="s">
        <v>26469</v>
      </c>
      <c r="O3056" s="33" t="s">
        <v>372</v>
      </c>
      <c r="P3056" s="33" t="s">
        <v>30089</v>
      </c>
      <c r="Q3056" s="42" t="s">
        <v>26470</v>
      </c>
      <c r="R3056" s="33" t="s">
        <v>94</v>
      </c>
      <c r="S3056" s="33" t="s">
        <v>22</v>
      </c>
      <c r="T3056" s="36" t="s">
        <v>26781</v>
      </c>
      <c r="U3056" s="33" t="s">
        <v>26570</v>
      </c>
      <c r="V3056" s="33" t="s">
        <v>26574</v>
      </c>
      <c r="W3056" s="33" t="s">
        <v>94</v>
      </c>
      <c r="X3056" s="33">
        <v>2454</v>
      </c>
      <c r="Z3056" s="33" t="s">
        <v>42966</v>
      </c>
      <c r="AA3056" s="33">
        <v>4609</v>
      </c>
    </row>
    <row r="3057" spans="1:43" ht="12" customHeight="1" x14ac:dyDescent="0.15">
      <c r="A3057" s="33" t="s">
        <v>26471</v>
      </c>
      <c r="B3057" s="33">
        <v>39</v>
      </c>
      <c r="C3057" s="33" t="s">
        <v>14</v>
      </c>
      <c r="D3057" s="33" t="s">
        <v>79</v>
      </c>
      <c r="E3057" s="42" t="s">
        <v>26472</v>
      </c>
      <c r="F3057" s="67">
        <v>42818</v>
      </c>
      <c r="G3057" s="33" t="s">
        <v>26634</v>
      </c>
      <c r="H3057" s="33" t="s">
        <v>1487</v>
      </c>
      <c r="I3057" s="33" t="s">
        <v>46</v>
      </c>
      <c r="J3057" s="33">
        <v>21217</v>
      </c>
      <c r="K3057" s="33" t="s">
        <v>4324</v>
      </c>
      <c r="L3057" s="33" t="s">
        <v>2556</v>
      </c>
      <c r="M3057" s="33" t="s">
        <v>21</v>
      </c>
      <c r="N3057" s="33" t="s">
        <v>26473</v>
      </c>
      <c r="O3057" s="33" t="s">
        <v>372</v>
      </c>
      <c r="P3057" s="33" t="s">
        <v>30089</v>
      </c>
      <c r="Q3057" s="42" t="s">
        <v>26474</v>
      </c>
      <c r="R3057" s="33" t="s">
        <v>23</v>
      </c>
      <c r="S3057" s="33" t="s">
        <v>22</v>
      </c>
      <c r="T3057" s="36" t="s">
        <v>26774</v>
      </c>
      <c r="U3057" s="33" t="s">
        <v>26570</v>
      </c>
      <c r="V3057" s="33" t="s">
        <v>26573</v>
      </c>
      <c r="W3057" s="33" t="s">
        <v>512</v>
      </c>
      <c r="X3057" s="33">
        <v>2452</v>
      </c>
      <c r="Z3057" s="33" t="s">
        <v>42966</v>
      </c>
      <c r="AA3057" s="33">
        <v>4608</v>
      </c>
    </row>
    <row r="3058" spans="1:43" ht="12" customHeight="1" x14ac:dyDescent="0.15">
      <c r="A3058" s="33" t="s">
        <v>26475</v>
      </c>
      <c r="B3058" s="33">
        <v>26</v>
      </c>
      <c r="C3058" s="33" t="s">
        <v>14</v>
      </c>
      <c r="D3058" s="33" t="s">
        <v>42</v>
      </c>
      <c r="E3058" s="42" t="s">
        <v>26476</v>
      </c>
      <c r="F3058" s="67">
        <v>42818</v>
      </c>
      <c r="G3058" s="33" t="s">
        <v>26477</v>
      </c>
      <c r="H3058" s="33" t="s">
        <v>26478</v>
      </c>
      <c r="I3058" s="33" t="s">
        <v>67</v>
      </c>
      <c r="J3058" s="33">
        <v>76437</v>
      </c>
      <c r="K3058" s="33" t="s">
        <v>26479</v>
      </c>
      <c r="L3058" s="33" t="s">
        <v>262</v>
      </c>
      <c r="M3058" s="33" t="s">
        <v>21</v>
      </c>
      <c r="N3058" s="33" t="s">
        <v>26480</v>
      </c>
      <c r="O3058" s="33" t="s">
        <v>372</v>
      </c>
      <c r="P3058" s="33" t="s">
        <v>30089</v>
      </c>
      <c r="Q3058" s="42" t="s">
        <v>26481</v>
      </c>
      <c r="R3058" s="33" t="s">
        <v>94</v>
      </c>
      <c r="S3058" s="33" t="s">
        <v>22</v>
      </c>
      <c r="T3058" s="36" t="s">
        <v>26781</v>
      </c>
      <c r="U3058" s="33" t="s">
        <v>26570</v>
      </c>
      <c r="V3058" s="33" t="s">
        <v>26574</v>
      </c>
      <c r="W3058" s="33" t="s">
        <v>94</v>
      </c>
      <c r="X3058" s="33">
        <v>2458</v>
      </c>
      <c r="Z3058" s="33" t="s">
        <v>42967</v>
      </c>
      <c r="AA3058" s="33">
        <v>4607</v>
      </c>
    </row>
    <row r="3059" spans="1:43" ht="12" customHeight="1" x14ac:dyDescent="0.15">
      <c r="A3059" s="33" t="s">
        <v>26482</v>
      </c>
      <c r="B3059" s="33">
        <v>18</v>
      </c>
      <c r="C3059" s="33" t="s">
        <v>14</v>
      </c>
      <c r="D3059" s="33" t="s">
        <v>31</v>
      </c>
      <c r="E3059" s="42" t="s">
        <v>26483</v>
      </c>
      <c r="F3059" s="67">
        <v>42818</v>
      </c>
      <c r="G3059" s="33" t="s">
        <v>26484</v>
      </c>
      <c r="H3059" s="33" t="s">
        <v>1894</v>
      </c>
      <c r="I3059" s="33" t="s">
        <v>39</v>
      </c>
      <c r="J3059" s="33">
        <v>96022</v>
      </c>
      <c r="K3059" s="33" t="s">
        <v>2722</v>
      </c>
      <c r="L3059" s="33" t="s">
        <v>897</v>
      </c>
      <c r="M3059" s="33" t="s">
        <v>21</v>
      </c>
      <c r="N3059" s="33" t="s">
        <v>26485</v>
      </c>
      <c r="O3059" s="33" t="s">
        <v>372</v>
      </c>
      <c r="P3059" s="33" t="s">
        <v>30089</v>
      </c>
      <c r="Q3059" s="42" t="s">
        <v>26486</v>
      </c>
      <c r="R3059" s="33" t="s">
        <v>94</v>
      </c>
      <c r="S3059" s="33" t="s">
        <v>22</v>
      </c>
      <c r="T3059" s="36" t="s">
        <v>26781</v>
      </c>
      <c r="U3059" s="33" t="s">
        <v>26572</v>
      </c>
      <c r="V3059" s="33" t="s">
        <v>26573</v>
      </c>
      <c r="W3059" s="33" t="s">
        <v>94</v>
      </c>
      <c r="X3059" s="33">
        <v>2456</v>
      </c>
      <c r="Z3059" s="33" t="s">
        <v>42967</v>
      </c>
      <c r="AA3059" s="33">
        <v>4606</v>
      </c>
    </row>
    <row r="3060" spans="1:43" ht="12" customHeight="1" x14ac:dyDescent="0.15">
      <c r="A3060" s="33" t="s">
        <v>26450</v>
      </c>
      <c r="B3060" s="33">
        <v>24</v>
      </c>
      <c r="C3060" s="33" t="s">
        <v>14</v>
      </c>
      <c r="D3060" s="33" t="s">
        <v>42</v>
      </c>
      <c r="F3060" s="67">
        <v>42817</v>
      </c>
      <c r="G3060" s="33" t="s">
        <v>26451</v>
      </c>
      <c r="H3060" s="33" t="s">
        <v>584</v>
      </c>
      <c r="I3060" s="33" t="s">
        <v>112</v>
      </c>
      <c r="J3060" s="33">
        <v>85043</v>
      </c>
      <c r="K3060" s="33" t="s">
        <v>585</v>
      </c>
      <c r="L3060" s="33" t="s">
        <v>586</v>
      </c>
      <c r="M3060" s="33" t="s">
        <v>21</v>
      </c>
      <c r="N3060" s="33" t="s">
        <v>26452</v>
      </c>
      <c r="O3060" s="33" t="s">
        <v>372</v>
      </c>
      <c r="P3060" s="33" t="s">
        <v>30089</v>
      </c>
      <c r="Q3060" s="42" t="s">
        <v>26453</v>
      </c>
      <c r="R3060" s="33" t="s">
        <v>23</v>
      </c>
      <c r="S3060" s="33" t="s">
        <v>22</v>
      </c>
      <c r="T3060" s="36" t="s">
        <v>26774</v>
      </c>
      <c r="U3060" s="33" t="s">
        <v>26572</v>
      </c>
      <c r="V3060" s="33" t="s">
        <v>26573</v>
      </c>
      <c r="W3060" s="33" t="s">
        <v>94</v>
      </c>
      <c r="X3060" s="33">
        <v>2453</v>
      </c>
      <c r="Z3060" s="33" t="s">
        <v>42966</v>
      </c>
      <c r="AA3060" s="33">
        <v>4603</v>
      </c>
    </row>
    <row r="3061" spans="1:43" ht="12" customHeight="1" x14ac:dyDescent="0.15">
      <c r="A3061" s="33" t="s">
        <v>26630</v>
      </c>
      <c r="B3061" s="33" t="s">
        <v>23</v>
      </c>
      <c r="C3061" s="33" t="s">
        <v>14</v>
      </c>
      <c r="D3061" s="33" t="s">
        <v>79</v>
      </c>
      <c r="F3061" s="67">
        <v>42817</v>
      </c>
      <c r="G3061" s="33" t="s">
        <v>26635</v>
      </c>
      <c r="H3061" s="33" t="s">
        <v>15505</v>
      </c>
      <c r="I3061" s="33" t="s">
        <v>282</v>
      </c>
      <c r="J3061" s="33">
        <v>98003</v>
      </c>
      <c r="K3061" s="33" t="s">
        <v>1133</v>
      </c>
      <c r="L3061" s="33" t="s">
        <v>3181</v>
      </c>
      <c r="M3061" s="33" t="s">
        <v>21</v>
      </c>
      <c r="N3061" s="33" t="s">
        <v>26464</v>
      </c>
      <c r="O3061" s="33" t="s">
        <v>372</v>
      </c>
      <c r="P3061" s="33" t="s">
        <v>30089</v>
      </c>
      <c r="Q3061" s="42" t="s">
        <v>26465</v>
      </c>
      <c r="R3061" s="33" t="s">
        <v>23</v>
      </c>
      <c r="S3061" s="33" t="s">
        <v>22</v>
      </c>
      <c r="T3061" s="33" t="s">
        <v>26593</v>
      </c>
      <c r="U3061" s="33" t="s">
        <v>26570</v>
      </c>
      <c r="V3061" s="33" t="s">
        <v>26573</v>
      </c>
      <c r="W3061" s="33" t="s">
        <v>94</v>
      </c>
      <c r="X3061" s="33">
        <v>2449</v>
      </c>
      <c r="Z3061" s="33" t="s">
        <v>42968</v>
      </c>
      <c r="AA3061" s="33">
        <v>4605</v>
      </c>
    </row>
    <row r="3062" spans="1:43" ht="12" customHeight="1" x14ac:dyDescent="0.15">
      <c r="A3062" s="33" t="s">
        <v>7253</v>
      </c>
      <c r="B3062" s="33">
        <v>42</v>
      </c>
      <c r="C3062" s="33" t="s">
        <v>14</v>
      </c>
      <c r="D3062" s="33" t="s">
        <v>79</v>
      </c>
      <c r="F3062" s="67">
        <v>42817</v>
      </c>
      <c r="G3062" s="33" t="s">
        <v>26446</v>
      </c>
      <c r="H3062" s="33" t="s">
        <v>23899</v>
      </c>
      <c r="I3062" s="33" t="s">
        <v>918</v>
      </c>
      <c r="J3062" s="33">
        <v>72150</v>
      </c>
      <c r="K3062" s="33" t="s">
        <v>369</v>
      </c>
      <c r="L3062" s="33" t="s">
        <v>26447</v>
      </c>
      <c r="M3062" s="33" t="s">
        <v>30350</v>
      </c>
      <c r="N3062" s="33" t="s">
        <v>26448</v>
      </c>
      <c r="O3062" s="33" t="s">
        <v>372</v>
      </c>
      <c r="P3062" s="33" t="s">
        <v>30089</v>
      </c>
      <c r="Q3062" s="42" t="s">
        <v>26449</v>
      </c>
      <c r="R3062" s="33" t="s">
        <v>94</v>
      </c>
      <c r="S3062" s="33" t="s">
        <v>22</v>
      </c>
      <c r="T3062" s="36" t="s">
        <v>26774</v>
      </c>
      <c r="U3062" s="33" t="s">
        <v>26572</v>
      </c>
      <c r="V3062" s="33" t="s">
        <v>26571</v>
      </c>
      <c r="W3062" s="33" t="s">
        <v>94</v>
      </c>
      <c r="X3062" s="33">
        <v>2451</v>
      </c>
      <c r="Z3062" s="33" t="s">
        <v>42967</v>
      </c>
      <c r="AA3062" s="33">
        <v>4604</v>
      </c>
    </row>
    <row r="3063" spans="1:43" ht="12" customHeight="1" x14ac:dyDescent="0.15">
      <c r="A3063" s="33" t="s">
        <v>26461</v>
      </c>
      <c r="B3063" s="33">
        <v>27</v>
      </c>
      <c r="C3063" s="33" t="s">
        <v>14</v>
      </c>
      <c r="D3063" s="33" t="s">
        <v>79</v>
      </c>
      <c r="E3063" s="42" t="s">
        <v>30393</v>
      </c>
      <c r="F3063" s="67">
        <v>42816</v>
      </c>
      <c r="G3063" s="33" t="s">
        <v>26636</v>
      </c>
      <c r="H3063" s="33" t="s">
        <v>7266</v>
      </c>
      <c r="I3063" s="33" t="s">
        <v>19</v>
      </c>
      <c r="J3063" s="33">
        <v>70526</v>
      </c>
      <c r="K3063" s="33" t="s">
        <v>30295</v>
      </c>
      <c r="L3063" s="33" t="s">
        <v>7269</v>
      </c>
      <c r="M3063" s="33" t="s">
        <v>21</v>
      </c>
      <c r="N3063" s="33" t="s">
        <v>26462</v>
      </c>
      <c r="O3063" s="33" t="s">
        <v>372</v>
      </c>
      <c r="P3063" s="33" t="s">
        <v>30089</v>
      </c>
      <c r="Q3063" s="42" t="s">
        <v>26463</v>
      </c>
      <c r="R3063" s="33" t="s">
        <v>94</v>
      </c>
      <c r="S3063" s="33" t="s">
        <v>22</v>
      </c>
      <c r="T3063" s="36" t="s">
        <v>26781</v>
      </c>
      <c r="U3063" s="33" t="s">
        <v>26572</v>
      </c>
      <c r="V3063" s="33" t="s">
        <v>26573</v>
      </c>
      <c r="W3063" s="33" t="s">
        <v>94</v>
      </c>
      <c r="X3063" s="33">
        <v>2450</v>
      </c>
      <c r="Z3063" s="33" t="s">
        <v>42967</v>
      </c>
      <c r="AA3063" s="33">
        <v>4600</v>
      </c>
    </row>
    <row r="3064" spans="1:43" ht="12" customHeight="1" x14ac:dyDescent="0.15">
      <c r="A3064" s="33" t="s">
        <v>26454</v>
      </c>
      <c r="B3064" s="33">
        <v>42</v>
      </c>
      <c r="C3064" s="33" t="s">
        <v>14</v>
      </c>
      <c r="D3064" s="33" t="s">
        <v>31</v>
      </c>
      <c r="F3064" s="67">
        <v>42816</v>
      </c>
      <c r="G3064" s="33" t="s">
        <v>26455</v>
      </c>
      <c r="H3064" s="33" t="s">
        <v>26456</v>
      </c>
      <c r="I3064" s="33" t="s">
        <v>294</v>
      </c>
      <c r="J3064" s="33">
        <v>41314</v>
      </c>
      <c r="K3064" s="33" t="s">
        <v>26457</v>
      </c>
      <c r="L3064" s="33" t="s">
        <v>26458</v>
      </c>
      <c r="M3064" s="33" t="s">
        <v>21</v>
      </c>
      <c r="N3064" s="33" t="s">
        <v>26459</v>
      </c>
      <c r="O3064" s="33" t="s">
        <v>372</v>
      </c>
      <c r="P3064" s="33" t="s">
        <v>30089</v>
      </c>
      <c r="Q3064" s="42" t="s">
        <v>26460</v>
      </c>
      <c r="R3064" s="33" t="s">
        <v>94</v>
      </c>
      <c r="S3064" s="33" t="s">
        <v>22</v>
      </c>
      <c r="T3064" s="36" t="s">
        <v>26774</v>
      </c>
      <c r="U3064" s="33" t="s">
        <v>26570</v>
      </c>
      <c r="V3064" s="33" t="s">
        <v>26573</v>
      </c>
      <c r="W3064" s="33" t="s">
        <v>94</v>
      </c>
      <c r="X3064" s="33">
        <v>2448</v>
      </c>
      <c r="Z3064" s="33" t="s">
        <v>42967</v>
      </c>
      <c r="AA3064" s="33">
        <v>4602</v>
      </c>
    </row>
    <row r="3065" spans="1:43" ht="12" customHeight="1" x14ac:dyDescent="0.15">
      <c r="A3065" s="33" t="s">
        <v>26522</v>
      </c>
      <c r="B3065" s="33">
        <v>45</v>
      </c>
      <c r="C3065" s="33" t="s">
        <v>14</v>
      </c>
      <c r="D3065" s="33" t="s">
        <v>15</v>
      </c>
      <c r="E3065" s="42" t="s">
        <v>26523</v>
      </c>
      <c r="F3065" s="67">
        <v>42816</v>
      </c>
      <c r="G3065" s="33" t="s">
        <v>26524</v>
      </c>
      <c r="H3065" s="33" t="s">
        <v>1440</v>
      </c>
      <c r="I3065" s="33" t="s">
        <v>409</v>
      </c>
      <c r="J3065" s="33">
        <v>54476</v>
      </c>
      <c r="K3065" s="33" t="s">
        <v>21328</v>
      </c>
      <c r="L3065" s="33" t="s">
        <v>26188</v>
      </c>
      <c r="M3065" s="33" t="s">
        <v>21</v>
      </c>
      <c r="N3065" s="33" t="s">
        <v>26525</v>
      </c>
      <c r="O3065" s="33" t="s">
        <v>372</v>
      </c>
      <c r="P3065" s="33" t="s">
        <v>30089</v>
      </c>
      <c r="Q3065" s="42" t="s">
        <v>26526</v>
      </c>
      <c r="R3065" s="33" t="s">
        <v>94</v>
      </c>
      <c r="S3065" s="33" t="s">
        <v>22</v>
      </c>
      <c r="T3065" s="36" t="s">
        <v>26781</v>
      </c>
      <c r="U3065" s="33" t="s">
        <v>26572</v>
      </c>
      <c r="V3065" s="33" t="s">
        <v>26573</v>
      </c>
      <c r="W3065" s="33" t="s">
        <v>94</v>
      </c>
      <c r="X3065" s="33">
        <v>2477</v>
      </c>
      <c r="Z3065" s="33" t="s">
        <v>42968</v>
      </c>
      <c r="AA3065" s="33">
        <v>4601</v>
      </c>
    </row>
    <row r="3066" spans="1:43" ht="12" customHeight="1" x14ac:dyDescent="0.15">
      <c r="A3066" s="33" t="s">
        <v>26442</v>
      </c>
      <c r="B3066" s="33">
        <v>29</v>
      </c>
      <c r="C3066" s="33" t="s">
        <v>14</v>
      </c>
      <c r="D3066" s="33" t="s">
        <v>31</v>
      </c>
      <c r="E3066" s="42" t="s">
        <v>26443</v>
      </c>
      <c r="F3066" s="67">
        <v>42815</v>
      </c>
      <c r="G3066" s="33" t="s">
        <v>26638</v>
      </c>
      <c r="H3066" s="33" t="s">
        <v>2004</v>
      </c>
      <c r="I3066" s="33" t="s">
        <v>282</v>
      </c>
      <c r="J3066" s="33">
        <v>98296</v>
      </c>
      <c r="K3066" s="33" t="s">
        <v>2004</v>
      </c>
      <c r="L3066" s="33" t="s">
        <v>26444</v>
      </c>
      <c r="M3066" s="33" t="s">
        <v>363</v>
      </c>
      <c r="N3066" s="33" t="s">
        <v>36609</v>
      </c>
      <c r="O3066" s="33" t="s">
        <v>372</v>
      </c>
      <c r="P3066" s="33" t="s">
        <v>30089</v>
      </c>
      <c r="Q3066" s="42" t="s">
        <v>26445</v>
      </c>
      <c r="R3066" s="33" t="s">
        <v>512</v>
      </c>
      <c r="S3066" s="33" t="s">
        <v>12</v>
      </c>
      <c r="T3066" s="33" t="s">
        <v>29705</v>
      </c>
      <c r="U3066" s="33" t="s">
        <v>26572</v>
      </c>
      <c r="V3066" s="33" t="s">
        <v>26573</v>
      </c>
      <c r="Z3066" s="33" t="s">
        <v>42968</v>
      </c>
      <c r="AA3066" s="33">
        <v>4599</v>
      </c>
    </row>
    <row r="3067" spans="1:43" ht="12" customHeight="1" x14ac:dyDescent="0.15">
      <c r="A3067" s="33" t="s">
        <v>26437</v>
      </c>
      <c r="B3067" s="33">
        <v>43</v>
      </c>
      <c r="C3067" s="33" t="s">
        <v>14</v>
      </c>
      <c r="D3067" s="33" t="s">
        <v>30751</v>
      </c>
      <c r="F3067" s="67">
        <v>42815</v>
      </c>
      <c r="G3067" s="33" t="s">
        <v>26637</v>
      </c>
      <c r="H3067" s="33" t="s">
        <v>26438</v>
      </c>
      <c r="I3067" s="33" t="s">
        <v>39</v>
      </c>
      <c r="J3067" s="33">
        <v>94063</v>
      </c>
      <c r="K3067" s="33" t="s">
        <v>4269</v>
      </c>
      <c r="L3067" s="33" t="s">
        <v>26439</v>
      </c>
      <c r="M3067" s="33" t="s">
        <v>21</v>
      </c>
      <c r="N3067" s="33" t="s">
        <v>26440</v>
      </c>
      <c r="O3067" s="33" t="s">
        <v>372</v>
      </c>
      <c r="P3067" s="33" t="s">
        <v>30089</v>
      </c>
      <c r="Q3067" s="42" t="s">
        <v>26441</v>
      </c>
      <c r="R3067" s="33" t="s">
        <v>94</v>
      </c>
      <c r="S3067" s="33" t="s">
        <v>22</v>
      </c>
      <c r="T3067" s="36" t="s">
        <v>26781</v>
      </c>
      <c r="U3067" s="33" t="s">
        <v>26572</v>
      </c>
      <c r="V3067" s="33" t="s">
        <v>26573</v>
      </c>
      <c r="Z3067" s="33" t="s">
        <v>42966</v>
      </c>
      <c r="AA3067" s="33">
        <v>4598</v>
      </c>
    </row>
    <row r="3068" spans="1:43" ht="12" customHeight="1" x14ac:dyDescent="0.15">
      <c r="A3068" s="33" t="s">
        <v>26428</v>
      </c>
      <c r="B3068" s="33">
        <v>47</v>
      </c>
      <c r="C3068" s="33" t="s">
        <v>14</v>
      </c>
      <c r="D3068" s="33" t="s">
        <v>31</v>
      </c>
      <c r="F3068" s="67">
        <v>42814</v>
      </c>
      <c r="G3068" s="33" t="s">
        <v>26429</v>
      </c>
      <c r="H3068" s="33" t="s">
        <v>26430</v>
      </c>
      <c r="I3068" s="33" t="s">
        <v>39</v>
      </c>
      <c r="J3068" s="33">
        <v>91780</v>
      </c>
      <c r="K3068" s="33" t="s">
        <v>92</v>
      </c>
      <c r="L3068" s="33" t="s">
        <v>386</v>
      </c>
      <c r="M3068" s="33" t="s">
        <v>21</v>
      </c>
      <c r="N3068" s="33" t="s">
        <v>26431</v>
      </c>
      <c r="O3068" s="33" t="s">
        <v>372</v>
      </c>
      <c r="P3068" s="33" t="s">
        <v>30089</v>
      </c>
      <c r="Q3068" s="42" t="s">
        <v>26432</v>
      </c>
      <c r="R3068" s="33" t="s">
        <v>904</v>
      </c>
      <c r="S3068" s="33" t="s">
        <v>22</v>
      </c>
      <c r="T3068" s="33" t="s">
        <v>26781</v>
      </c>
      <c r="U3068" s="33" t="s">
        <v>26572</v>
      </c>
      <c r="V3068" s="33" t="s">
        <v>26573</v>
      </c>
      <c r="Z3068" s="33" t="s">
        <v>42966</v>
      </c>
      <c r="AA3068" s="33">
        <v>4597</v>
      </c>
      <c r="AQ3068" s="42"/>
    </row>
    <row r="3069" spans="1:43" ht="12" customHeight="1" x14ac:dyDescent="0.15">
      <c r="A3069" s="33" t="s">
        <v>26433</v>
      </c>
      <c r="B3069" s="33">
        <v>73</v>
      </c>
      <c r="C3069" s="33" t="s">
        <v>14</v>
      </c>
      <c r="D3069" s="33" t="s">
        <v>79</v>
      </c>
      <c r="F3069" s="67">
        <v>42814</v>
      </c>
      <c r="G3069" s="33" t="s">
        <v>26434</v>
      </c>
      <c r="H3069" s="33" t="s">
        <v>5481</v>
      </c>
      <c r="I3069" s="33" t="s">
        <v>122</v>
      </c>
      <c r="J3069" s="33">
        <v>56762</v>
      </c>
      <c r="K3069" s="33" t="s">
        <v>611</v>
      </c>
      <c r="L3069" s="33" t="s">
        <v>238</v>
      </c>
      <c r="M3069" s="33" t="s">
        <v>21</v>
      </c>
      <c r="N3069" s="33" t="s">
        <v>26435</v>
      </c>
      <c r="O3069" s="33" t="s">
        <v>372</v>
      </c>
      <c r="P3069" s="33" t="s">
        <v>30089</v>
      </c>
      <c r="Q3069" s="42" t="s">
        <v>26436</v>
      </c>
      <c r="R3069" s="33" t="s">
        <v>512</v>
      </c>
      <c r="S3069" s="33" t="s">
        <v>22</v>
      </c>
      <c r="T3069" s="36" t="s">
        <v>26781</v>
      </c>
      <c r="U3069" s="33" t="s">
        <v>26572</v>
      </c>
      <c r="V3069" s="33" t="s">
        <v>26573</v>
      </c>
      <c r="Z3069" s="33" t="s">
        <v>42967</v>
      </c>
      <c r="AA3069" s="33">
        <v>4596</v>
      </c>
    </row>
    <row r="3070" spans="1:43" ht="12" customHeight="1" x14ac:dyDescent="0.15">
      <c r="A3070" s="33" t="s">
        <v>26411</v>
      </c>
      <c r="B3070" s="33">
        <v>19</v>
      </c>
      <c r="C3070" s="33" t="s">
        <v>14</v>
      </c>
      <c r="D3070" s="33" t="s">
        <v>79</v>
      </c>
      <c r="E3070" s="42" t="s">
        <v>26412</v>
      </c>
      <c r="F3070" s="67">
        <v>42813</v>
      </c>
      <c r="G3070" s="33" t="s">
        <v>26413</v>
      </c>
      <c r="H3070" s="33" t="s">
        <v>26414</v>
      </c>
      <c r="I3070" s="33" t="s">
        <v>56</v>
      </c>
      <c r="J3070" s="33">
        <v>32920</v>
      </c>
      <c r="K3070" s="33" t="s">
        <v>1654</v>
      </c>
      <c r="L3070" s="33" t="s">
        <v>3452</v>
      </c>
      <c r="M3070" s="33" t="s">
        <v>21</v>
      </c>
      <c r="N3070" s="33" t="s">
        <v>26415</v>
      </c>
      <c r="O3070" s="33" t="s">
        <v>372</v>
      </c>
      <c r="P3070" s="33" t="s">
        <v>30089</v>
      </c>
      <c r="Q3070" s="42" t="s">
        <v>26416</v>
      </c>
      <c r="R3070" s="33" t="s">
        <v>94</v>
      </c>
      <c r="S3070" s="33" t="s">
        <v>22</v>
      </c>
      <c r="T3070" s="36" t="s">
        <v>26781</v>
      </c>
      <c r="U3070" s="33" t="s">
        <v>26572</v>
      </c>
      <c r="V3070" s="33" t="s">
        <v>26574</v>
      </c>
      <c r="W3070" s="33" t="s">
        <v>94</v>
      </c>
      <c r="X3070" s="33">
        <v>2443</v>
      </c>
      <c r="Z3070" s="33" t="s">
        <v>42968</v>
      </c>
      <c r="AA3070" s="33">
        <v>4591</v>
      </c>
    </row>
    <row r="3071" spans="1:43" ht="12" customHeight="1" x14ac:dyDescent="0.15">
      <c r="A3071" s="33" t="s">
        <v>30407</v>
      </c>
      <c r="B3071" s="33">
        <v>52</v>
      </c>
      <c r="C3071" s="33" t="s">
        <v>14</v>
      </c>
      <c r="D3071" s="33" t="s">
        <v>30751</v>
      </c>
      <c r="F3071" s="67">
        <v>42813</v>
      </c>
      <c r="G3071" s="33" t="s">
        <v>26403</v>
      </c>
      <c r="H3071" s="33" t="s">
        <v>13211</v>
      </c>
      <c r="I3071" s="33" t="s">
        <v>39</v>
      </c>
      <c r="J3071" s="33">
        <v>92241</v>
      </c>
      <c r="K3071" s="33" t="s">
        <v>728</v>
      </c>
      <c r="L3071" s="33" t="s">
        <v>729</v>
      </c>
      <c r="M3071" s="33" t="s">
        <v>21</v>
      </c>
      <c r="N3071" s="33" t="s">
        <v>26404</v>
      </c>
      <c r="O3071" s="33" t="s">
        <v>372</v>
      </c>
      <c r="P3071" s="33" t="s">
        <v>30089</v>
      </c>
      <c r="Q3071" s="42" t="s">
        <v>26405</v>
      </c>
      <c r="R3071" s="33" t="s">
        <v>94</v>
      </c>
      <c r="S3071" s="33" t="s">
        <v>22</v>
      </c>
      <c r="T3071" s="36" t="s">
        <v>26774</v>
      </c>
      <c r="U3071" s="33" t="s">
        <v>26572</v>
      </c>
      <c r="V3071" s="33" t="s">
        <v>26573</v>
      </c>
      <c r="W3071" s="33" t="s">
        <v>94</v>
      </c>
      <c r="X3071" s="33">
        <v>2445</v>
      </c>
      <c r="Z3071" s="33" t="s">
        <v>42967</v>
      </c>
      <c r="AA3071" s="33">
        <v>4593</v>
      </c>
      <c r="AQ3071" s="42"/>
    </row>
    <row r="3072" spans="1:43" ht="12" customHeight="1" x14ac:dyDescent="0.15">
      <c r="A3072" s="33" t="s">
        <v>26400</v>
      </c>
      <c r="B3072" s="33">
        <v>23</v>
      </c>
      <c r="C3072" s="33" t="s">
        <v>14</v>
      </c>
      <c r="D3072" s="33" t="s">
        <v>31</v>
      </c>
      <c r="F3072" s="67">
        <v>42813</v>
      </c>
      <c r="G3072" s="33" t="s">
        <v>26640</v>
      </c>
      <c r="H3072" s="33" t="s">
        <v>6885</v>
      </c>
      <c r="I3072" s="33" t="s">
        <v>39</v>
      </c>
      <c r="J3072" s="33">
        <v>96003</v>
      </c>
      <c r="K3072" s="33" t="s">
        <v>6887</v>
      </c>
      <c r="L3072" s="33" t="s">
        <v>897</v>
      </c>
      <c r="M3072" s="33" t="s">
        <v>21</v>
      </c>
      <c r="N3072" s="33" t="s">
        <v>26401</v>
      </c>
      <c r="O3072" s="33" t="s">
        <v>372</v>
      </c>
      <c r="P3072" s="33" t="s">
        <v>30089</v>
      </c>
      <c r="Q3072" s="42" t="s">
        <v>26402</v>
      </c>
      <c r="R3072" s="33" t="s">
        <v>94</v>
      </c>
      <c r="S3072" s="33" t="s">
        <v>29</v>
      </c>
      <c r="T3072" s="33" t="s">
        <v>26575</v>
      </c>
      <c r="U3072" s="33" t="s">
        <v>26575</v>
      </c>
      <c r="V3072" s="33" t="s">
        <v>26573</v>
      </c>
      <c r="Y3072" s="33" t="s">
        <v>42476</v>
      </c>
      <c r="Z3072" s="33" t="s">
        <v>42968</v>
      </c>
      <c r="AA3072" s="33">
        <v>4595</v>
      </c>
    </row>
    <row r="3073" spans="1:43" ht="12" customHeight="1" x14ac:dyDescent="0.15">
      <c r="A3073" s="33" t="s">
        <v>26423</v>
      </c>
      <c r="B3073" s="33">
        <v>59</v>
      </c>
      <c r="C3073" s="33" t="s">
        <v>14</v>
      </c>
      <c r="D3073" s="33" t="s">
        <v>31</v>
      </c>
      <c r="E3073" s="42" t="s">
        <v>26424</v>
      </c>
      <c r="F3073" s="67">
        <v>42813</v>
      </c>
      <c r="G3073" s="33" t="s">
        <v>26639</v>
      </c>
      <c r="H3073" s="33" t="s">
        <v>26425</v>
      </c>
      <c r="I3073" s="33" t="s">
        <v>402</v>
      </c>
      <c r="J3073" s="33">
        <v>63123</v>
      </c>
      <c r="K3073" s="33" t="s">
        <v>661</v>
      </c>
      <c r="L3073" s="33" t="s">
        <v>6535</v>
      </c>
      <c r="M3073" s="33" t="s">
        <v>21</v>
      </c>
      <c r="N3073" s="33" t="s">
        <v>26426</v>
      </c>
      <c r="O3073" s="33" t="s">
        <v>372</v>
      </c>
      <c r="P3073" s="33" t="s">
        <v>30089</v>
      </c>
      <c r="Q3073" s="42" t="s">
        <v>26427</v>
      </c>
      <c r="R3073" s="33" t="s">
        <v>94</v>
      </c>
      <c r="S3073" s="33" t="s">
        <v>22</v>
      </c>
      <c r="T3073" s="36" t="s">
        <v>26781</v>
      </c>
      <c r="U3073" s="33" t="s">
        <v>26572</v>
      </c>
      <c r="V3073" s="33" t="s">
        <v>19228</v>
      </c>
      <c r="W3073" s="33" t="s">
        <v>94</v>
      </c>
      <c r="X3073" s="33">
        <v>2441</v>
      </c>
      <c r="Z3073" s="33" t="s">
        <v>42968</v>
      </c>
      <c r="AA3073" s="33">
        <v>4590</v>
      </c>
    </row>
    <row r="3074" spans="1:43" ht="12" customHeight="1" x14ac:dyDescent="0.15">
      <c r="A3074" s="33" t="s">
        <v>26417</v>
      </c>
      <c r="B3074" s="33">
        <v>45</v>
      </c>
      <c r="C3074" s="33" t="s">
        <v>14</v>
      </c>
      <c r="D3074" s="33" t="s">
        <v>42</v>
      </c>
      <c r="E3074" s="42" t="s">
        <v>26418</v>
      </c>
      <c r="F3074" s="67">
        <v>42813</v>
      </c>
      <c r="G3074" s="33" t="s">
        <v>26419</v>
      </c>
      <c r="H3074" s="33" t="s">
        <v>15193</v>
      </c>
      <c r="I3074" s="33" t="s">
        <v>56</v>
      </c>
      <c r="J3074" s="33">
        <v>32724</v>
      </c>
      <c r="K3074" s="33" t="s">
        <v>3571</v>
      </c>
      <c r="L3074" s="33" t="s">
        <v>26420</v>
      </c>
      <c r="M3074" s="33" t="s">
        <v>21</v>
      </c>
      <c r="N3074" s="33" t="s">
        <v>26421</v>
      </c>
      <c r="O3074" s="33" t="s">
        <v>372</v>
      </c>
      <c r="P3074" s="33" t="s">
        <v>30089</v>
      </c>
      <c r="Q3074" s="42" t="s">
        <v>26422</v>
      </c>
      <c r="R3074" s="33" t="s">
        <v>512</v>
      </c>
      <c r="S3074" s="33" t="s">
        <v>22</v>
      </c>
      <c r="T3074" s="36" t="s">
        <v>26781</v>
      </c>
      <c r="U3074" s="33" t="s">
        <v>26570</v>
      </c>
      <c r="V3074" s="33" t="s">
        <v>26571</v>
      </c>
      <c r="W3074" s="33" t="s">
        <v>94</v>
      </c>
      <c r="X3074" s="33">
        <v>2444</v>
      </c>
      <c r="Z3074" s="33" t="s">
        <v>42968</v>
      </c>
      <c r="AA3074" s="33">
        <v>4592</v>
      </c>
    </row>
    <row r="3075" spans="1:43" ht="12" customHeight="1" x14ac:dyDescent="0.15">
      <c r="A3075" s="33" t="s">
        <v>26406</v>
      </c>
      <c r="B3075" s="33">
        <v>21</v>
      </c>
      <c r="C3075" s="33" t="s">
        <v>103</v>
      </c>
      <c r="D3075" s="33" t="s">
        <v>79</v>
      </c>
      <c r="E3075" s="42" t="s">
        <v>26407</v>
      </c>
      <c r="F3075" s="67">
        <v>42813</v>
      </c>
      <c r="G3075" s="33" t="s">
        <v>26408</v>
      </c>
      <c r="H3075" s="33" t="s">
        <v>1620</v>
      </c>
      <c r="I3075" s="33" t="s">
        <v>56</v>
      </c>
      <c r="J3075" s="33">
        <v>32967</v>
      </c>
      <c r="K3075" s="33" t="s">
        <v>1621</v>
      </c>
      <c r="L3075" s="33" t="s">
        <v>1622</v>
      </c>
      <c r="M3075" s="33" t="s">
        <v>21</v>
      </c>
      <c r="N3075" s="33" t="s">
        <v>26409</v>
      </c>
      <c r="O3075" s="33" t="s">
        <v>372</v>
      </c>
      <c r="P3075" s="33" t="s">
        <v>30089</v>
      </c>
      <c r="Q3075" s="42" t="s">
        <v>26410</v>
      </c>
      <c r="R3075" s="33" t="s">
        <v>94</v>
      </c>
      <c r="S3075" s="33" t="s">
        <v>12</v>
      </c>
      <c r="T3075" s="33" t="s">
        <v>29705</v>
      </c>
      <c r="U3075" s="33" t="s">
        <v>26570</v>
      </c>
      <c r="V3075" s="33" t="s">
        <v>26573</v>
      </c>
      <c r="W3075" s="33" t="s">
        <v>94</v>
      </c>
      <c r="X3075" s="33">
        <v>2442</v>
      </c>
      <c r="Z3075" s="33" t="s">
        <v>42968</v>
      </c>
      <c r="AA3075" s="33">
        <v>4594</v>
      </c>
      <c r="AQ3075" s="42"/>
    </row>
    <row r="3076" spans="1:43" ht="12" customHeight="1" x14ac:dyDescent="0.15">
      <c r="A3076" s="33" t="s">
        <v>26376</v>
      </c>
      <c r="B3076" s="33">
        <v>36</v>
      </c>
      <c r="C3076" s="33" t="s">
        <v>14</v>
      </c>
      <c r="D3076" s="33" t="s">
        <v>31</v>
      </c>
      <c r="F3076" s="67">
        <v>42812</v>
      </c>
      <c r="G3076" s="33" t="s">
        <v>26377</v>
      </c>
      <c r="H3076" s="33" t="s">
        <v>6523</v>
      </c>
      <c r="I3076" s="33" t="s">
        <v>160</v>
      </c>
      <c r="J3076" s="33">
        <v>30125</v>
      </c>
      <c r="K3076" s="33" t="s">
        <v>1736</v>
      </c>
      <c r="L3076" s="33" t="s">
        <v>17985</v>
      </c>
      <c r="M3076" s="33" t="s">
        <v>21</v>
      </c>
      <c r="N3076" s="33" t="s">
        <v>26378</v>
      </c>
      <c r="O3076" s="33" t="s">
        <v>372</v>
      </c>
      <c r="P3076" s="33" t="s">
        <v>30089</v>
      </c>
      <c r="Q3076" s="42" t="s">
        <v>26379</v>
      </c>
      <c r="R3076" s="33" t="s">
        <v>94</v>
      </c>
      <c r="S3076" s="33" t="s">
        <v>351</v>
      </c>
      <c r="T3076" s="36" t="s">
        <v>26867</v>
      </c>
      <c r="U3076" s="33" t="s">
        <v>26570</v>
      </c>
      <c r="V3076" s="33" t="s">
        <v>26571</v>
      </c>
      <c r="W3076" s="33" t="s">
        <v>94</v>
      </c>
      <c r="X3076" s="33">
        <v>2446</v>
      </c>
      <c r="Z3076" s="33" t="s">
        <v>42967</v>
      </c>
      <c r="AA3076" s="33">
        <v>4588</v>
      </c>
    </row>
    <row r="3077" spans="1:43" ht="12" customHeight="1" x14ac:dyDescent="0.15">
      <c r="A3077" s="33" t="s">
        <v>29659</v>
      </c>
      <c r="B3077" s="33">
        <v>29</v>
      </c>
      <c r="C3077" s="33" t="s">
        <v>14</v>
      </c>
      <c r="D3077" s="33" t="s">
        <v>30751</v>
      </c>
      <c r="F3077" s="67">
        <v>42812</v>
      </c>
      <c r="G3077" s="33" t="s">
        <v>26380</v>
      </c>
      <c r="H3077" s="33" t="s">
        <v>1786</v>
      </c>
      <c r="I3077" s="33" t="s">
        <v>160</v>
      </c>
      <c r="J3077" s="33">
        <v>30349</v>
      </c>
      <c r="K3077" s="33" t="s">
        <v>1454</v>
      </c>
      <c r="L3077" s="33" t="s">
        <v>25229</v>
      </c>
      <c r="M3077" s="33" t="s">
        <v>21</v>
      </c>
      <c r="N3077" s="33" t="s">
        <v>26381</v>
      </c>
      <c r="O3077" s="33" t="s">
        <v>372</v>
      </c>
      <c r="P3077" s="33" t="s">
        <v>30089</v>
      </c>
      <c r="Q3077" s="42" t="s">
        <v>26382</v>
      </c>
      <c r="R3077" s="33" t="s">
        <v>94</v>
      </c>
      <c r="S3077" s="33" t="s">
        <v>351</v>
      </c>
      <c r="T3077" s="33" t="s">
        <v>26867</v>
      </c>
      <c r="U3077" s="33" t="s">
        <v>26572</v>
      </c>
      <c r="V3077" s="33" t="s">
        <v>26571</v>
      </c>
      <c r="Z3077" s="33" t="s">
        <v>42968</v>
      </c>
      <c r="AA3077" s="33">
        <v>4589</v>
      </c>
    </row>
    <row r="3078" spans="1:43" ht="12" customHeight="1" x14ac:dyDescent="0.15">
      <c r="A3078" s="33" t="s">
        <v>26383</v>
      </c>
      <c r="B3078" s="33">
        <v>42</v>
      </c>
      <c r="C3078" s="33" t="s">
        <v>14</v>
      </c>
      <c r="D3078" s="33" t="s">
        <v>31</v>
      </c>
      <c r="E3078" s="42" t="s">
        <v>26384</v>
      </c>
      <c r="F3078" s="67">
        <v>42812</v>
      </c>
      <c r="G3078" s="33" t="s">
        <v>26385</v>
      </c>
      <c r="H3078" s="33" t="s">
        <v>3901</v>
      </c>
      <c r="I3078" s="33" t="s">
        <v>735</v>
      </c>
      <c r="J3078" s="33">
        <v>83702</v>
      </c>
      <c r="K3078" s="33" t="s">
        <v>3903</v>
      </c>
      <c r="L3078" s="33" t="s">
        <v>3904</v>
      </c>
      <c r="M3078" s="33" t="s">
        <v>21</v>
      </c>
      <c r="N3078" s="33" t="s">
        <v>26386</v>
      </c>
      <c r="O3078" s="33" t="s">
        <v>372</v>
      </c>
      <c r="P3078" s="33" t="s">
        <v>30089</v>
      </c>
      <c r="Q3078" s="42" t="s">
        <v>26387</v>
      </c>
      <c r="R3078" s="33" t="s">
        <v>23</v>
      </c>
      <c r="S3078" s="33" t="s">
        <v>22</v>
      </c>
      <c r="T3078" s="36" t="s">
        <v>26781</v>
      </c>
      <c r="U3078" s="33" t="s">
        <v>26572</v>
      </c>
      <c r="V3078" s="33" t="s">
        <v>26573</v>
      </c>
      <c r="W3078" s="33" t="s">
        <v>94</v>
      </c>
      <c r="X3078" s="33">
        <v>2438</v>
      </c>
      <c r="Z3078" s="33" t="s">
        <v>42968</v>
      </c>
      <c r="AA3078" s="33">
        <v>4586</v>
      </c>
    </row>
    <row r="3079" spans="1:43" ht="12" customHeight="1" x14ac:dyDescent="0.15">
      <c r="A3079" s="33" t="s">
        <v>26388</v>
      </c>
      <c r="B3079" s="33">
        <v>25</v>
      </c>
      <c r="C3079" s="33" t="s">
        <v>14</v>
      </c>
      <c r="D3079" s="33" t="s">
        <v>31</v>
      </c>
      <c r="F3079" s="67">
        <v>42812</v>
      </c>
      <c r="G3079" s="33" t="s">
        <v>26389</v>
      </c>
      <c r="H3079" s="33" t="s">
        <v>635</v>
      </c>
      <c r="I3079" s="33" t="s">
        <v>337</v>
      </c>
      <c r="J3079" s="33">
        <v>67216</v>
      </c>
      <c r="K3079" s="33" t="s">
        <v>636</v>
      </c>
      <c r="L3079" s="33" t="s">
        <v>637</v>
      </c>
      <c r="M3079" s="33" t="s">
        <v>21</v>
      </c>
      <c r="N3079" s="33" t="s">
        <v>26390</v>
      </c>
      <c r="O3079" s="33" t="s">
        <v>372</v>
      </c>
      <c r="P3079" s="33" t="s">
        <v>30089</v>
      </c>
      <c r="Q3079" s="42" t="s">
        <v>26391</v>
      </c>
      <c r="R3079" s="33" t="s">
        <v>94</v>
      </c>
      <c r="S3079" s="33" t="s">
        <v>22</v>
      </c>
      <c r="T3079" s="36" t="s">
        <v>26781</v>
      </c>
      <c r="U3079" s="33" t="s">
        <v>26572</v>
      </c>
      <c r="V3079" s="33" t="s">
        <v>26573</v>
      </c>
      <c r="W3079" s="33" t="s">
        <v>94</v>
      </c>
      <c r="X3079" s="33">
        <v>2437</v>
      </c>
      <c r="Z3079" s="33" t="s">
        <v>42966</v>
      </c>
      <c r="AA3079" s="33">
        <v>4585</v>
      </c>
    </row>
    <row r="3080" spans="1:43" ht="12" customHeight="1" x14ac:dyDescent="0.15">
      <c r="A3080" s="33" t="s">
        <v>26392</v>
      </c>
      <c r="B3080" s="33">
        <v>21</v>
      </c>
      <c r="C3080" s="33" t="s">
        <v>103</v>
      </c>
      <c r="D3080" s="33" t="s">
        <v>31</v>
      </c>
      <c r="E3080" s="42" t="s">
        <v>26393</v>
      </c>
      <c r="F3080" s="67">
        <v>42812</v>
      </c>
      <c r="G3080" s="33" t="s">
        <v>26641</v>
      </c>
      <c r="H3080" s="33" t="s">
        <v>2307</v>
      </c>
      <c r="I3080" s="33" t="s">
        <v>367</v>
      </c>
      <c r="J3080" s="33">
        <v>74137</v>
      </c>
      <c r="K3080" s="33" t="s">
        <v>2307</v>
      </c>
      <c r="L3080" s="33" t="s">
        <v>3108</v>
      </c>
      <c r="M3080" s="33" t="s">
        <v>351</v>
      </c>
      <c r="N3080" s="33" t="s">
        <v>26394</v>
      </c>
      <c r="O3080" s="33" t="s">
        <v>372</v>
      </c>
      <c r="P3080" s="33" t="s">
        <v>30089</v>
      </c>
      <c r="Q3080" s="42" t="s">
        <v>26395</v>
      </c>
      <c r="R3080" s="33" t="s">
        <v>94</v>
      </c>
      <c r="S3080" s="33" t="s">
        <v>22</v>
      </c>
      <c r="T3080" s="36" t="s">
        <v>26781</v>
      </c>
      <c r="U3080" s="33" t="s">
        <v>26572</v>
      </c>
      <c r="V3080" s="33" t="s">
        <v>26573</v>
      </c>
      <c r="Z3080" s="33" t="s">
        <v>42968</v>
      </c>
      <c r="AA3080" s="33">
        <v>4587</v>
      </c>
    </row>
    <row r="3081" spans="1:43" ht="12" customHeight="1" x14ac:dyDescent="0.15">
      <c r="A3081" s="33" t="s">
        <v>29660</v>
      </c>
      <c r="B3081" s="33">
        <v>44</v>
      </c>
      <c r="C3081" s="33" t="s">
        <v>14</v>
      </c>
      <c r="D3081" s="33" t="s">
        <v>42</v>
      </c>
      <c r="F3081" s="67">
        <v>42811</v>
      </c>
      <c r="G3081" s="33" t="s">
        <v>26644</v>
      </c>
      <c r="H3081" s="33" t="s">
        <v>11136</v>
      </c>
      <c r="I3081" s="33" t="s">
        <v>192</v>
      </c>
      <c r="J3081" s="33">
        <v>80260</v>
      </c>
      <c r="K3081" s="33" t="s">
        <v>1790</v>
      </c>
      <c r="L3081" s="33" t="s">
        <v>10824</v>
      </c>
      <c r="M3081" s="33" t="s">
        <v>363</v>
      </c>
      <c r="N3081" s="33" t="s">
        <v>26371</v>
      </c>
      <c r="O3081" s="33" t="s">
        <v>372</v>
      </c>
      <c r="P3081" s="33" t="s">
        <v>30089</v>
      </c>
      <c r="Q3081" s="42" t="s">
        <v>26372</v>
      </c>
      <c r="R3081" s="33" t="s">
        <v>94</v>
      </c>
      <c r="S3081" s="33" t="s">
        <v>12</v>
      </c>
      <c r="T3081" s="33" t="s">
        <v>29705</v>
      </c>
      <c r="U3081" s="33" t="s">
        <v>26570</v>
      </c>
      <c r="V3081" s="33" t="s">
        <v>26574</v>
      </c>
      <c r="Z3081" s="33" t="s">
        <v>42966</v>
      </c>
      <c r="AA3081" s="33">
        <v>4584</v>
      </c>
    </row>
    <row r="3082" spans="1:43" ht="12" customHeight="1" x14ac:dyDescent="0.15">
      <c r="A3082" s="33" t="s">
        <v>26367</v>
      </c>
      <c r="B3082" s="33">
        <v>25</v>
      </c>
      <c r="C3082" s="33" t="s">
        <v>14</v>
      </c>
      <c r="D3082" s="33" t="s">
        <v>79</v>
      </c>
      <c r="E3082" s="42" t="s">
        <v>26368</v>
      </c>
      <c r="F3082" s="67">
        <v>42811</v>
      </c>
      <c r="G3082" s="33" t="s">
        <v>26642</v>
      </c>
      <c r="H3082" s="33" t="s">
        <v>12753</v>
      </c>
      <c r="I3082" s="33" t="s">
        <v>39</v>
      </c>
      <c r="J3082" s="33">
        <v>95926</v>
      </c>
      <c r="K3082" s="33" t="s">
        <v>4807</v>
      </c>
      <c r="L3082" s="33" t="s">
        <v>12754</v>
      </c>
      <c r="M3082" s="33" t="s">
        <v>4966</v>
      </c>
      <c r="N3082" s="33" t="s">
        <v>26369</v>
      </c>
      <c r="O3082" s="33" t="s">
        <v>372</v>
      </c>
      <c r="P3082" s="33" t="s">
        <v>30089</v>
      </c>
      <c r="Q3082" s="42" t="s">
        <v>26370</v>
      </c>
      <c r="R3082" s="33" t="s">
        <v>512</v>
      </c>
      <c r="S3082" s="33" t="s">
        <v>22</v>
      </c>
      <c r="T3082" s="36" t="s">
        <v>26774</v>
      </c>
      <c r="U3082" s="33" t="s">
        <v>26570</v>
      </c>
      <c r="V3082" s="33" t="s">
        <v>26573</v>
      </c>
      <c r="W3082" s="33" t="s">
        <v>94</v>
      </c>
      <c r="X3082" s="33">
        <v>2440</v>
      </c>
      <c r="Z3082" s="33" t="s">
        <v>42968</v>
      </c>
      <c r="AA3082" s="33">
        <v>4582</v>
      </c>
    </row>
    <row r="3083" spans="1:43" ht="12" customHeight="1" x14ac:dyDescent="0.15">
      <c r="A3083" s="33" t="s">
        <v>26346</v>
      </c>
      <c r="B3083" s="33">
        <v>25</v>
      </c>
      <c r="C3083" s="33" t="s">
        <v>14</v>
      </c>
      <c r="D3083" s="33" t="s">
        <v>31</v>
      </c>
      <c r="F3083" s="67">
        <v>42811</v>
      </c>
      <c r="G3083" s="33" t="s">
        <v>26347</v>
      </c>
      <c r="H3083" s="33" t="s">
        <v>21435</v>
      </c>
      <c r="I3083" s="33" t="s">
        <v>4034</v>
      </c>
      <c r="J3083" s="33">
        <v>4769</v>
      </c>
      <c r="K3083" s="33" t="s">
        <v>4036</v>
      </c>
      <c r="L3083" s="33" t="s">
        <v>21436</v>
      </c>
      <c r="M3083" s="33" t="s">
        <v>21</v>
      </c>
      <c r="N3083" s="33" t="s">
        <v>26348</v>
      </c>
      <c r="O3083" s="33" t="s">
        <v>372</v>
      </c>
      <c r="P3083" s="33" t="s">
        <v>30089</v>
      </c>
      <c r="Q3083" s="42" t="s">
        <v>26349</v>
      </c>
      <c r="R3083" s="33" t="s">
        <v>23</v>
      </c>
      <c r="S3083" s="33" t="s">
        <v>22</v>
      </c>
      <c r="T3083" s="36" t="s">
        <v>26774</v>
      </c>
      <c r="U3083" s="33" t="s">
        <v>26570</v>
      </c>
      <c r="V3083" s="33" t="s">
        <v>26573</v>
      </c>
      <c r="W3083" s="33" t="s">
        <v>94</v>
      </c>
      <c r="X3083" s="33">
        <v>2436</v>
      </c>
      <c r="Z3083" s="33" t="s">
        <v>42967</v>
      </c>
      <c r="AA3083" s="33">
        <v>4581</v>
      </c>
    </row>
    <row r="3084" spans="1:43" ht="12" customHeight="1" x14ac:dyDescent="0.15">
      <c r="A3084" s="33" t="s">
        <v>26373</v>
      </c>
      <c r="B3084" s="33">
        <v>59</v>
      </c>
      <c r="C3084" s="33" t="s">
        <v>103</v>
      </c>
      <c r="D3084" s="33" t="s">
        <v>31</v>
      </c>
      <c r="F3084" s="67">
        <v>42811</v>
      </c>
      <c r="G3084" s="33" t="s">
        <v>26643</v>
      </c>
      <c r="H3084" s="33" t="s">
        <v>3692</v>
      </c>
      <c r="I3084" s="33" t="s">
        <v>298</v>
      </c>
      <c r="J3084" s="33">
        <v>38002</v>
      </c>
      <c r="K3084" s="33" t="s">
        <v>1117</v>
      </c>
      <c r="L3084" s="33" t="s">
        <v>22474</v>
      </c>
      <c r="M3084" s="33" t="s">
        <v>21</v>
      </c>
      <c r="N3084" s="33" t="s">
        <v>26374</v>
      </c>
      <c r="O3084" s="33" t="s">
        <v>372</v>
      </c>
      <c r="P3084" s="33" t="s">
        <v>30089</v>
      </c>
      <c r="Q3084" s="42" t="s">
        <v>26375</v>
      </c>
      <c r="R3084" s="33" t="s">
        <v>512</v>
      </c>
      <c r="S3084" s="33" t="s">
        <v>12</v>
      </c>
      <c r="T3084" s="33" t="s">
        <v>29425</v>
      </c>
      <c r="U3084" s="33" t="s">
        <v>26572</v>
      </c>
      <c r="V3084" s="33" t="s">
        <v>26573</v>
      </c>
      <c r="W3084" s="33" t="s">
        <v>94</v>
      </c>
      <c r="X3084" s="33">
        <v>2439</v>
      </c>
      <c r="Z3084" s="33" t="s">
        <v>42968</v>
      </c>
      <c r="AA3084" s="33">
        <v>4583</v>
      </c>
    </row>
    <row r="3085" spans="1:43" ht="12" customHeight="1" x14ac:dyDescent="0.15">
      <c r="A3085" s="33" t="s">
        <v>26354</v>
      </c>
      <c r="B3085" s="33">
        <v>32</v>
      </c>
      <c r="C3085" s="33" t="s">
        <v>14</v>
      </c>
      <c r="D3085" s="33" t="s">
        <v>79</v>
      </c>
      <c r="E3085" s="42" t="s">
        <v>26355</v>
      </c>
      <c r="F3085" s="67">
        <v>42810</v>
      </c>
      <c r="G3085" s="33" t="s">
        <v>26645</v>
      </c>
      <c r="H3085" s="33" t="s">
        <v>5472</v>
      </c>
      <c r="I3085" s="33" t="s">
        <v>338</v>
      </c>
      <c r="J3085" s="33">
        <v>28301</v>
      </c>
      <c r="K3085" s="33" t="s">
        <v>2907</v>
      </c>
      <c r="L3085" s="33" t="s">
        <v>5474</v>
      </c>
      <c r="M3085" s="33" t="s">
        <v>4966</v>
      </c>
      <c r="N3085" s="33" t="s">
        <v>26356</v>
      </c>
      <c r="O3085" s="33" t="s">
        <v>372</v>
      </c>
      <c r="P3085" s="33" t="s">
        <v>30089</v>
      </c>
      <c r="Q3085" s="42" t="s">
        <v>26357</v>
      </c>
      <c r="R3085" s="33" t="s">
        <v>94</v>
      </c>
      <c r="S3085" s="33" t="s">
        <v>22</v>
      </c>
      <c r="T3085" s="36" t="s">
        <v>26781</v>
      </c>
      <c r="U3085" s="33" t="s">
        <v>26572</v>
      </c>
      <c r="V3085" s="33" t="s">
        <v>26573</v>
      </c>
      <c r="W3085" s="33" t="s">
        <v>94</v>
      </c>
      <c r="X3085" s="33">
        <v>2432</v>
      </c>
      <c r="Z3085" s="33" t="s">
        <v>42968</v>
      </c>
      <c r="AA3085" s="33">
        <v>4579</v>
      </c>
      <c r="AQ3085" s="42"/>
    </row>
    <row r="3086" spans="1:43" ht="12" customHeight="1" x14ac:dyDescent="0.15">
      <c r="A3086" s="33" t="s">
        <v>26350</v>
      </c>
      <c r="B3086" s="33">
        <v>34</v>
      </c>
      <c r="C3086" s="33" t="s">
        <v>14</v>
      </c>
      <c r="D3086" s="33" t="s">
        <v>79</v>
      </c>
      <c r="F3086" s="67">
        <v>42810</v>
      </c>
      <c r="G3086" s="33" t="s">
        <v>26351</v>
      </c>
      <c r="H3086" s="33" t="s">
        <v>5481</v>
      </c>
      <c r="I3086" s="33" t="s">
        <v>51</v>
      </c>
      <c r="J3086" s="33">
        <v>48093</v>
      </c>
      <c r="K3086" s="33" t="s">
        <v>1041</v>
      </c>
      <c r="L3086" s="33" t="s">
        <v>5161</v>
      </c>
      <c r="M3086" s="33" t="s">
        <v>21</v>
      </c>
      <c r="N3086" s="33" t="s">
        <v>26352</v>
      </c>
      <c r="O3086" s="33" t="s">
        <v>372</v>
      </c>
      <c r="P3086" s="33" t="s">
        <v>30089</v>
      </c>
      <c r="Q3086" s="42" t="s">
        <v>26353</v>
      </c>
      <c r="R3086" s="33" t="s">
        <v>94</v>
      </c>
      <c r="S3086" s="33" t="s">
        <v>22</v>
      </c>
      <c r="T3086" s="36" t="s">
        <v>26781</v>
      </c>
      <c r="U3086" s="33" t="s">
        <v>26572</v>
      </c>
      <c r="V3086" s="33" t="s">
        <v>26573</v>
      </c>
      <c r="W3086" s="33" t="s">
        <v>94</v>
      </c>
      <c r="X3086" s="33">
        <v>2429</v>
      </c>
      <c r="Z3086" s="33" t="s">
        <v>42966</v>
      </c>
      <c r="AA3086" s="33">
        <v>4576</v>
      </c>
    </row>
    <row r="3087" spans="1:43" ht="12" customHeight="1" x14ac:dyDescent="0.15">
      <c r="A3087" s="33" t="s">
        <v>26358</v>
      </c>
      <c r="B3087" s="33">
        <v>36</v>
      </c>
      <c r="C3087" s="33" t="s">
        <v>14</v>
      </c>
      <c r="D3087" s="33" t="s">
        <v>79</v>
      </c>
      <c r="E3087" s="42" t="s">
        <v>26359</v>
      </c>
      <c r="F3087" s="67">
        <v>42810</v>
      </c>
      <c r="G3087" s="33" t="s">
        <v>26360</v>
      </c>
      <c r="H3087" s="33" t="s">
        <v>21417</v>
      </c>
      <c r="I3087" s="33" t="s">
        <v>298</v>
      </c>
      <c r="J3087" s="33">
        <v>38001</v>
      </c>
      <c r="K3087" s="33" t="s">
        <v>21447</v>
      </c>
      <c r="L3087" s="33" t="s">
        <v>36611</v>
      </c>
      <c r="M3087" s="33" t="s">
        <v>21</v>
      </c>
      <c r="N3087" s="33" t="s">
        <v>26361</v>
      </c>
      <c r="O3087" s="33" t="s">
        <v>372</v>
      </c>
      <c r="P3087" s="33" t="s">
        <v>30089</v>
      </c>
      <c r="Q3087" s="42" t="s">
        <v>26362</v>
      </c>
      <c r="R3087" s="33" t="s">
        <v>512</v>
      </c>
      <c r="S3087" s="33" t="s">
        <v>351</v>
      </c>
      <c r="T3087" s="36" t="s">
        <v>26867</v>
      </c>
      <c r="U3087" s="33" t="s">
        <v>26572</v>
      </c>
      <c r="V3087" s="33" t="s">
        <v>26573</v>
      </c>
      <c r="W3087" s="33" t="s">
        <v>512</v>
      </c>
      <c r="X3087" s="33">
        <v>2434</v>
      </c>
      <c r="Z3087" s="33" t="s">
        <v>42967</v>
      </c>
      <c r="AA3087" s="33">
        <v>4580</v>
      </c>
    </row>
    <row r="3088" spans="1:43" ht="12" customHeight="1" x14ac:dyDescent="0.15">
      <c r="A3088" s="33" t="s">
        <v>26363</v>
      </c>
      <c r="B3088" s="33">
        <v>32</v>
      </c>
      <c r="C3088" s="33" t="s">
        <v>14</v>
      </c>
      <c r="D3088" s="33" t="s">
        <v>79</v>
      </c>
      <c r="E3088" s="42" t="s">
        <v>26364</v>
      </c>
      <c r="F3088" s="67">
        <v>42810</v>
      </c>
      <c r="G3088" s="33" t="s">
        <v>26646</v>
      </c>
      <c r="H3088" s="33" t="s">
        <v>831</v>
      </c>
      <c r="I3088" s="33" t="s">
        <v>409</v>
      </c>
      <c r="J3088" s="33">
        <v>53209</v>
      </c>
      <c r="K3088" s="33" t="s">
        <v>831</v>
      </c>
      <c r="L3088" s="33" t="s">
        <v>26519</v>
      </c>
      <c r="M3088" s="33" t="s">
        <v>21</v>
      </c>
      <c r="N3088" s="33" t="s">
        <v>26365</v>
      </c>
      <c r="O3088" s="33" t="s">
        <v>372</v>
      </c>
      <c r="P3088" s="33" t="s">
        <v>30089</v>
      </c>
      <c r="Q3088" s="42" t="s">
        <v>26366</v>
      </c>
      <c r="R3088" s="33" t="s">
        <v>94</v>
      </c>
      <c r="S3088" s="33" t="s">
        <v>22</v>
      </c>
      <c r="T3088" s="36" t="s">
        <v>26781</v>
      </c>
      <c r="U3088" s="33" t="s">
        <v>26570</v>
      </c>
      <c r="V3088" s="33" t="s">
        <v>26573</v>
      </c>
      <c r="W3088" s="33" t="s">
        <v>94</v>
      </c>
      <c r="X3088" s="33">
        <v>2431</v>
      </c>
      <c r="Z3088" s="33" t="s">
        <v>42966</v>
      </c>
      <c r="AA3088" s="33">
        <v>4577</v>
      </c>
      <c r="AQ3088" s="42"/>
    </row>
    <row r="3089" spans="1:46" ht="12" customHeight="1" x14ac:dyDescent="0.15">
      <c r="A3089" s="33" t="s">
        <v>26342</v>
      </c>
      <c r="B3089" s="33">
        <v>58</v>
      </c>
      <c r="C3089" s="33" t="s">
        <v>14</v>
      </c>
      <c r="D3089" s="33" t="s">
        <v>31</v>
      </c>
      <c r="E3089" s="42" t="s">
        <v>26343</v>
      </c>
      <c r="F3089" s="67">
        <v>42810</v>
      </c>
      <c r="G3089" s="33" t="s">
        <v>26344</v>
      </c>
      <c r="H3089" s="33" t="s">
        <v>3569</v>
      </c>
      <c r="I3089" s="33" t="s">
        <v>56</v>
      </c>
      <c r="J3089" s="33">
        <v>32738</v>
      </c>
      <c r="K3089" s="33" t="s">
        <v>3571</v>
      </c>
      <c r="L3089" s="33" t="s">
        <v>242</v>
      </c>
      <c r="M3089" s="33" t="s">
        <v>21</v>
      </c>
      <c r="N3089" s="33" t="s">
        <v>36610</v>
      </c>
      <c r="O3089" s="33" t="s">
        <v>372</v>
      </c>
      <c r="P3089" s="33" t="s">
        <v>30089</v>
      </c>
      <c r="Q3089" s="42" t="s">
        <v>26345</v>
      </c>
      <c r="R3089" s="33" t="s">
        <v>512</v>
      </c>
      <c r="S3089" s="33" t="s">
        <v>22</v>
      </c>
      <c r="T3089" s="36" t="s">
        <v>26781</v>
      </c>
      <c r="U3089" s="33" t="s">
        <v>26572</v>
      </c>
      <c r="V3089" s="33" t="s">
        <v>26573</v>
      </c>
      <c r="W3089" s="33" t="s">
        <v>94</v>
      </c>
      <c r="X3089" s="33">
        <v>2433</v>
      </c>
      <c r="Z3089" s="33" t="s">
        <v>42968</v>
      </c>
      <c r="AA3089" s="33">
        <v>4578</v>
      </c>
    </row>
    <row r="3090" spans="1:46" ht="12" customHeight="1" x14ac:dyDescent="0.15">
      <c r="A3090" s="33" t="s">
        <v>26331</v>
      </c>
      <c r="B3090" s="33">
        <v>25</v>
      </c>
      <c r="C3090" s="33" t="s">
        <v>14</v>
      </c>
      <c r="D3090" s="33" t="s">
        <v>31</v>
      </c>
      <c r="E3090" s="42" t="s">
        <v>26332</v>
      </c>
      <c r="F3090" s="67">
        <v>42809</v>
      </c>
      <c r="G3090" s="33" t="s">
        <v>26333</v>
      </c>
      <c r="H3090" s="33" t="s">
        <v>584</v>
      </c>
      <c r="I3090" s="33" t="s">
        <v>112</v>
      </c>
      <c r="J3090" s="33">
        <v>85085</v>
      </c>
      <c r="K3090" s="33" t="s">
        <v>585</v>
      </c>
      <c r="L3090" s="33" t="s">
        <v>586</v>
      </c>
      <c r="M3090" s="33" t="s">
        <v>21</v>
      </c>
      <c r="N3090" s="33" t="s">
        <v>26334</v>
      </c>
      <c r="O3090" s="33" t="s">
        <v>372</v>
      </c>
      <c r="P3090" s="33" t="s">
        <v>30089</v>
      </c>
      <c r="Q3090" s="42" t="s">
        <v>26335</v>
      </c>
      <c r="R3090" s="33" t="s">
        <v>94</v>
      </c>
      <c r="S3090" s="33" t="s">
        <v>351</v>
      </c>
      <c r="T3090" s="36" t="s">
        <v>26867</v>
      </c>
      <c r="U3090" s="33" t="s">
        <v>26570</v>
      </c>
      <c r="V3090" s="33" t="s">
        <v>26571</v>
      </c>
      <c r="W3090" s="33" t="s">
        <v>94</v>
      </c>
      <c r="X3090" s="33">
        <v>2428</v>
      </c>
      <c r="Z3090" s="33" t="s">
        <v>42968</v>
      </c>
      <c r="AA3090" s="33">
        <v>4575</v>
      </c>
    </row>
    <row r="3091" spans="1:46" ht="12" customHeight="1" x14ac:dyDescent="0.15">
      <c r="A3091" s="33" t="s">
        <v>26336</v>
      </c>
      <c r="B3091" s="33">
        <v>29</v>
      </c>
      <c r="C3091" s="33" t="s">
        <v>14</v>
      </c>
      <c r="D3091" s="33" t="s">
        <v>79</v>
      </c>
      <c r="E3091" s="42" t="s">
        <v>26337</v>
      </c>
      <c r="F3091" s="67">
        <v>42809</v>
      </c>
      <c r="G3091" s="33" t="s">
        <v>26338</v>
      </c>
      <c r="H3091" s="33" t="s">
        <v>26339</v>
      </c>
      <c r="I3091" s="33" t="s">
        <v>122</v>
      </c>
      <c r="J3091" s="33">
        <v>55106</v>
      </c>
      <c r="K3091" s="33" t="s">
        <v>3291</v>
      </c>
      <c r="L3091" s="33" t="s">
        <v>4522</v>
      </c>
      <c r="M3091" s="33" t="s">
        <v>21</v>
      </c>
      <c r="N3091" s="33" t="s">
        <v>26340</v>
      </c>
      <c r="O3091" s="33" t="s">
        <v>372</v>
      </c>
      <c r="P3091" s="33" t="s">
        <v>30089</v>
      </c>
      <c r="Q3091" s="42" t="s">
        <v>26341</v>
      </c>
      <c r="R3091" s="33" t="s">
        <v>94</v>
      </c>
      <c r="S3091" s="33" t="s">
        <v>22</v>
      </c>
      <c r="T3091" s="33" t="s">
        <v>26781</v>
      </c>
      <c r="U3091" s="33" t="s">
        <v>26570</v>
      </c>
      <c r="V3091" s="33" t="s">
        <v>26573</v>
      </c>
      <c r="W3091" s="33" t="s">
        <v>94</v>
      </c>
      <c r="X3091" s="33">
        <v>2418</v>
      </c>
      <c r="Z3091" s="33" t="s">
        <v>42968</v>
      </c>
      <c r="AA3091" s="33">
        <v>4574</v>
      </c>
    </row>
    <row r="3092" spans="1:46" ht="12" customHeight="1" x14ac:dyDescent="0.15">
      <c r="A3092" s="33" t="s">
        <v>26322</v>
      </c>
      <c r="B3092" s="33">
        <v>56</v>
      </c>
      <c r="C3092" s="33" t="s">
        <v>14</v>
      </c>
      <c r="D3092" s="33" t="s">
        <v>31</v>
      </c>
      <c r="F3092" s="67">
        <v>42808</v>
      </c>
      <c r="G3092" s="33" t="s">
        <v>26323</v>
      </c>
      <c r="H3092" s="33" t="s">
        <v>19850</v>
      </c>
      <c r="I3092" s="33" t="s">
        <v>75</v>
      </c>
      <c r="J3092" s="33">
        <v>8755</v>
      </c>
      <c r="K3092" s="33" t="s">
        <v>595</v>
      </c>
      <c r="L3092" s="33" t="s">
        <v>26324</v>
      </c>
      <c r="M3092" s="33" t="s">
        <v>21</v>
      </c>
      <c r="N3092" s="33" t="s">
        <v>26325</v>
      </c>
      <c r="O3092" s="33" t="s">
        <v>372</v>
      </c>
      <c r="P3092" s="33" t="s">
        <v>30089</v>
      </c>
      <c r="Q3092" s="42" t="s">
        <v>26326</v>
      </c>
      <c r="R3092" s="33" t="s">
        <v>512</v>
      </c>
      <c r="S3092" s="33" t="s">
        <v>12</v>
      </c>
      <c r="T3092" s="33" t="s">
        <v>29705</v>
      </c>
      <c r="U3092" s="33" t="s">
        <v>26572</v>
      </c>
      <c r="V3092" s="33" t="s">
        <v>26573</v>
      </c>
      <c r="W3092" s="33" t="s">
        <v>94</v>
      </c>
      <c r="X3092" s="33">
        <v>2419</v>
      </c>
      <c r="Z3092" s="33" t="s">
        <v>42968</v>
      </c>
      <c r="AA3092" s="33">
        <v>4571</v>
      </c>
    </row>
    <row r="3093" spans="1:46" ht="12" customHeight="1" x14ac:dyDescent="0.15">
      <c r="A3093" s="33" t="s">
        <v>26303</v>
      </c>
      <c r="B3093" s="33">
        <v>18</v>
      </c>
      <c r="C3093" s="33" t="s">
        <v>14</v>
      </c>
      <c r="D3093" s="33" t="s">
        <v>31</v>
      </c>
      <c r="E3093" s="42" t="s">
        <v>26304</v>
      </c>
      <c r="F3093" s="67">
        <v>42808</v>
      </c>
      <c r="G3093" s="33" t="s">
        <v>26305</v>
      </c>
      <c r="H3093" s="33" t="s">
        <v>21113</v>
      </c>
      <c r="I3093" s="33" t="s">
        <v>192</v>
      </c>
      <c r="J3093" s="33">
        <v>80031</v>
      </c>
      <c r="K3093" s="33" t="s">
        <v>1790</v>
      </c>
      <c r="L3093" s="33" t="s">
        <v>26306</v>
      </c>
      <c r="M3093" s="33" t="s">
        <v>21</v>
      </c>
      <c r="N3093" s="33" t="s">
        <v>26307</v>
      </c>
      <c r="O3093" s="33" t="s">
        <v>372</v>
      </c>
      <c r="P3093" s="33" t="s">
        <v>94</v>
      </c>
      <c r="Q3093" s="42" t="s">
        <v>26308</v>
      </c>
      <c r="R3093" s="33" t="s">
        <v>94</v>
      </c>
      <c r="S3093" s="33" t="s">
        <v>22</v>
      </c>
      <c r="T3093" s="33" t="s">
        <v>26781</v>
      </c>
      <c r="U3093" s="33" t="s">
        <v>26572</v>
      </c>
      <c r="V3093" s="33" t="s">
        <v>26573</v>
      </c>
      <c r="W3093" s="33" t="s">
        <v>94</v>
      </c>
      <c r="X3093" s="33">
        <v>2423</v>
      </c>
      <c r="Z3093" s="33" t="s">
        <v>42968</v>
      </c>
      <c r="AA3093" s="33">
        <v>4569</v>
      </c>
      <c r="AT3093" s="42"/>
    </row>
    <row r="3094" spans="1:46" ht="12" customHeight="1" x14ac:dyDescent="0.15">
      <c r="A3094" s="33" t="s">
        <v>26299</v>
      </c>
      <c r="B3094" s="33">
        <v>16</v>
      </c>
      <c r="C3094" s="33" t="s">
        <v>103</v>
      </c>
      <c r="D3094" s="33" t="s">
        <v>42</v>
      </c>
      <c r="E3094" s="42" t="s">
        <v>26300</v>
      </c>
      <c r="F3094" s="67">
        <v>42808</v>
      </c>
      <c r="G3094" s="33" t="s">
        <v>26301</v>
      </c>
      <c r="H3094" s="33" t="s">
        <v>7928</v>
      </c>
      <c r="I3094" s="33" t="s">
        <v>39</v>
      </c>
      <c r="J3094" s="33">
        <v>94542</v>
      </c>
      <c r="K3094" s="33" t="s">
        <v>558</v>
      </c>
      <c r="L3094" s="33" t="s">
        <v>1067</v>
      </c>
      <c r="M3094" s="33" t="s">
        <v>21</v>
      </c>
      <c r="N3094" s="33" t="s">
        <v>36612</v>
      </c>
      <c r="O3094" s="33" t="s">
        <v>372</v>
      </c>
      <c r="P3094" s="33" t="s">
        <v>30089</v>
      </c>
      <c r="Q3094" s="42" t="s">
        <v>26302</v>
      </c>
      <c r="R3094" s="33" t="s">
        <v>94</v>
      </c>
      <c r="S3094" s="33" t="s">
        <v>12</v>
      </c>
      <c r="T3094" s="33" t="s">
        <v>29705</v>
      </c>
      <c r="U3094" s="33" t="s">
        <v>26570</v>
      </c>
      <c r="V3094" s="33" t="s">
        <v>26573</v>
      </c>
      <c r="W3094" s="33" t="s">
        <v>94</v>
      </c>
      <c r="X3094" s="33">
        <v>2426</v>
      </c>
      <c r="Z3094" s="33" t="s">
        <v>42968</v>
      </c>
      <c r="AA3094" s="33">
        <v>4572</v>
      </c>
    </row>
    <row r="3095" spans="1:46" ht="12" customHeight="1" x14ac:dyDescent="0.15">
      <c r="A3095" s="33" t="s">
        <v>26327</v>
      </c>
      <c r="B3095" s="33">
        <v>36</v>
      </c>
      <c r="C3095" s="33" t="s">
        <v>14</v>
      </c>
      <c r="D3095" s="33" t="s">
        <v>31</v>
      </c>
      <c r="F3095" s="67">
        <v>42808</v>
      </c>
      <c r="G3095" s="33" t="s">
        <v>26328</v>
      </c>
      <c r="H3095" s="33" t="s">
        <v>26329</v>
      </c>
      <c r="I3095" s="33" t="s">
        <v>282</v>
      </c>
      <c r="J3095" s="33">
        <v>98424</v>
      </c>
      <c r="K3095" s="33" t="s">
        <v>827</v>
      </c>
      <c r="L3095" s="33" t="s">
        <v>19834</v>
      </c>
      <c r="M3095" s="33" t="s">
        <v>21</v>
      </c>
      <c r="N3095" s="33" t="s">
        <v>36613</v>
      </c>
      <c r="O3095" s="33" t="s">
        <v>372</v>
      </c>
      <c r="P3095" s="33" t="s">
        <v>30089</v>
      </c>
      <c r="Q3095" s="42" t="s">
        <v>26330</v>
      </c>
      <c r="R3095" s="33" t="s">
        <v>94</v>
      </c>
      <c r="S3095" s="33" t="s">
        <v>351</v>
      </c>
      <c r="T3095" s="36" t="s">
        <v>26867</v>
      </c>
      <c r="U3095" s="33" t="s">
        <v>26572</v>
      </c>
      <c r="V3095" s="33" t="s">
        <v>26573</v>
      </c>
      <c r="W3095" s="33" t="s">
        <v>94</v>
      </c>
      <c r="X3095" s="33">
        <v>2422</v>
      </c>
      <c r="Z3095" s="33" t="s">
        <v>42968</v>
      </c>
      <c r="AA3095" s="33">
        <v>4573</v>
      </c>
    </row>
    <row r="3096" spans="1:46" ht="12" customHeight="1" x14ac:dyDescent="0.15">
      <c r="A3096" s="33" t="s">
        <v>26309</v>
      </c>
      <c r="B3096" s="33">
        <v>43</v>
      </c>
      <c r="C3096" s="33" t="s">
        <v>14</v>
      </c>
      <c r="D3096" s="33" t="s">
        <v>31</v>
      </c>
      <c r="E3096" s="42" t="s">
        <v>26310</v>
      </c>
      <c r="F3096" s="67">
        <v>42808</v>
      </c>
      <c r="G3096" s="33" t="s">
        <v>26311</v>
      </c>
      <c r="H3096" s="33" t="s">
        <v>26312</v>
      </c>
      <c r="I3096" s="33" t="s">
        <v>56</v>
      </c>
      <c r="J3096" s="33">
        <v>32413</v>
      </c>
      <c r="K3096" s="33" t="s">
        <v>2597</v>
      </c>
      <c r="L3096" s="33" t="s">
        <v>26313</v>
      </c>
      <c r="M3096" s="33" t="s">
        <v>21</v>
      </c>
      <c r="N3096" s="33" t="s">
        <v>26314</v>
      </c>
      <c r="O3096" s="33" t="s">
        <v>372</v>
      </c>
      <c r="P3096" s="33" t="s">
        <v>30089</v>
      </c>
      <c r="Q3096" s="42" t="s">
        <v>26315</v>
      </c>
      <c r="R3096" s="33" t="s">
        <v>94</v>
      </c>
      <c r="S3096" s="33" t="s">
        <v>22</v>
      </c>
      <c r="T3096" s="36" t="s">
        <v>26781</v>
      </c>
      <c r="U3096" s="33" t="s">
        <v>26572</v>
      </c>
      <c r="V3096" s="33" t="s">
        <v>26573</v>
      </c>
      <c r="W3096" s="33" t="s">
        <v>94</v>
      </c>
      <c r="X3096" s="33">
        <v>2424</v>
      </c>
      <c r="Z3096" s="33" t="s">
        <v>42967</v>
      </c>
      <c r="AA3096" s="33">
        <v>4570</v>
      </c>
    </row>
    <row r="3097" spans="1:46" ht="12" customHeight="1" x14ac:dyDescent="0.15">
      <c r="A3097" s="33" t="s">
        <v>26316</v>
      </c>
      <c r="B3097" s="33">
        <v>20</v>
      </c>
      <c r="C3097" s="33" t="s">
        <v>14</v>
      </c>
      <c r="D3097" s="33" t="s">
        <v>79</v>
      </c>
      <c r="E3097" s="42" t="s">
        <v>26317</v>
      </c>
      <c r="F3097" s="67">
        <v>42807</v>
      </c>
      <c r="G3097" s="33" t="s">
        <v>26318</v>
      </c>
      <c r="H3097" s="33" t="s">
        <v>26319</v>
      </c>
      <c r="I3097" s="33" t="s">
        <v>46</v>
      </c>
      <c r="J3097" s="33">
        <v>21207</v>
      </c>
      <c r="K3097" s="33" t="s">
        <v>1487</v>
      </c>
      <c r="L3097" s="33" t="s">
        <v>212</v>
      </c>
      <c r="M3097" s="33" t="s">
        <v>21</v>
      </c>
      <c r="N3097" s="33" t="s">
        <v>26320</v>
      </c>
      <c r="O3097" s="33" t="s">
        <v>372</v>
      </c>
      <c r="P3097" s="33" t="s">
        <v>30089</v>
      </c>
      <c r="Q3097" s="42" t="s">
        <v>26321</v>
      </c>
      <c r="R3097" s="33" t="s">
        <v>94</v>
      </c>
      <c r="S3097" s="33" t="s">
        <v>351</v>
      </c>
      <c r="T3097" s="36" t="s">
        <v>26867</v>
      </c>
      <c r="U3097" s="33" t="s">
        <v>26570</v>
      </c>
      <c r="V3097" s="33" t="s">
        <v>19228</v>
      </c>
      <c r="W3097" s="33" t="s">
        <v>512</v>
      </c>
      <c r="X3097" s="33">
        <v>2421</v>
      </c>
      <c r="Z3097" s="33" t="s">
        <v>42968</v>
      </c>
      <c r="AA3097" s="33">
        <v>4568</v>
      </c>
    </row>
    <row r="3098" spans="1:46" ht="12" customHeight="1" x14ac:dyDescent="0.15">
      <c r="A3098" s="33" t="s">
        <v>26295</v>
      </c>
      <c r="B3098" s="33">
        <v>23</v>
      </c>
      <c r="C3098" s="33" t="s">
        <v>14</v>
      </c>
      <c r="D3098" s="33" t="s">
        <v>31</v>
      </c>
      <c r="F3098" s="67">
        <v>42807</v>
      </c>
      <c r="G3098" s="33" t="s">
        <v>26296</v>
      </c>
      <c r="H3098" s="33" t="s">
        <v>3332</v>
      </c>
      <c r="I3098" s="33" t="s">
        <v>39</v>
      </c>
      <c r="J3098" s="33">
        <v>94559</v>
      </c>
      <c r="K3098" s="33" t="s">
        <v>3332</v>
      </c>
      <c r="L3098" s="33" t="s">
        <v>3334</v>
      </c>
      <c r="M3098" s="33" t="s">
        <v>21</v>
      </c>
      <c r="N3098" s="33" t="s">
        <v>26297</v>
      </c>
      <c r="O3098" s="33" t="s">
        <v>372</v>
      </c>
      <c r="P3098" s="33" t="s">
        <v>30089</v>
      </c>
      <c r="Q3098" s="42" t="s">
        <v>26298</v>
      </c>
      <c r="R3098" s="33" t="s">
        <v>512</v>
      </c>
      <c r="S3098" s="33" t="s">
        <v>22</v>
      </c>
      <c r="T3098" s="36" t="s">
        <v>26774</v>
      </c>
      <c r="U3098" s="33" t="s">
        <v>26570</v>
      </c>
      <c r="V3098" s="33" t="s">
        <v>26573</v>
      </c>
      <c r="W3098" s="33" t="s">
        <v>94</v>
      </c>
      <c r="X3098" s="33">
        <v>2417</v>
      </c>
      <c r="Z3098" s="33" t="s">
        <v>42968</v>
      </c>
      <c r="AA3098" s="33">
        <v>4566</v>
      </c>
    </row>
    <row r="3099" spans="1:46" ht="12" customHeight="1" x14ac:dyDescent="0.15">
      <c r="A3099" s="33" t="s">
        <v>26289</v>
      </c>
      <c r="B3099" s="33">
        <v>23</v>
      </c>
      <c r="C3099" s="33" t="s">
        <v>14</v>
      </c>
      <c r="D3099" s="33" t="s">
        <v>79</v>
      </c>
      <c r="F3099" s="67">
        <v>42807</v>
      </c>
      <c r="G3099" s="33" t="s">
        <v>26290</v>
      </c>
      <c r="H3099" s="33" t="s">
        <v>26291</v>
      </c>
      <c r="I3099" s="33" t="s">
        <v>63</v>
      </c>
      <c r="J3099" s="33">
        <v>44123</v>
      </c>
      <c r="K3099" s="33" t="s">
        <v>95</v>
      </c>
      <c r="L3099" s="33" t="s">
        <v>26292</v>
      </c>
      <c r="M3099" s="33" t="s">
        <v>21</v>
      </c>
      <c r="N3099" s="33" t="s">
        <v>26293</v>
      </c>
      <c r="O3099" s="33" t="s">
        <v>372</v>
      </c>
      <c r="P3099" s="33" t="s">
        <v>30089</v>
      </c>
      <c r="Q3099" s="42" t="s">
        <v>26294</v>
      </c>
      <c r="R3099" s="33" t="s">
        <v>23</v>
      </c>
      <c r="S3099" s="33" t="s">
        <v>351</v>
      </c>
      <c r="T3099" s="36" t="s">
        <v>26867</v>
      </c>
      <c r="U3099" s="33" t="s">
        <v>26570</v>
      </c>
      <c r="V3099" s="33" t="s">
        <v>26573</v>
      </c>
      <c r="W3099" s="33" t="s">
        <v>512</v>
      </c>
      <c r="X3099" s="33">
        <v>2416</v>
      </c>
      <c r="Z3099" s="33" t="s">
        <v>42966</v>
      </c>
      <c r="AA3099" s="33">
        <v>4567</v>
      </c>
    </row>
    <row r="3100" spans="1:46" ht="12" customHeight="1" x14ac:dyDescent="0.15">
      <c r="A3100" s="33" t="s">
        <v>26283</v>
      </c>
      <c r="B3100" s="33">
        <v>28</v>
      </c>
      <c r="C3100" s="33" t="s">
        <v>14</v>
      </c>
      <c r="D3100" s="33" t="s">
        <v>42</v>
      </c>
      <c r="F3100" s="67">
        <v>42806</v>
      </c>
      <c r="G3100" s="33" t="s">
        <v>26284</v>
      </c>
      <c r="H3100" s="33" t="s">
        <v>26285</v>
      </c>
      <c r="I3100" s="33" t="s">
        <v>282</v>
      </c>
      <c r="J3100" s="33">
        <v>98225</v>
      </c>
      <c r="K3100" s="33" t="s">
        <v>3187</v>
      </c>
      <c r="L3100" s="33" t="s">
        <v>26286</v>
      </c>
      <c r="M3100" s="33" t="s">
        <v>21</v>
      </c>
      <c r="N3100" s="33" t="s">
        <v>26287</v>
      </c>
      <c r="O3100" s="33" t="s">
        <v>372</v>
      </c>
      <c r="P3100" s="33" t="s">
        <v>30089</v>
      </c>
      <c r="Q3100" s="42" t="s">
        <v>26288</v>
      </c>
      <c r="R3100" s="33" t="s">
        <v>94</v>
      </c>
      <c r="S3100" s="33" t="s">
        <v>22</v>
      </c>
      <c r="T3100" s="36" t="s">
        <v>26774</v>
      </c>
      <c r="U3100" s="33" t="s">
        <v>26572</v>
      </c>
      <c r="V3100" s="33" t="s">
        <v>26574</v>
      </c>
      <c r="W3100" s="33" t="s">
        <v>512</v>
      </c>
      <c r="X3100" s="33">
        <v>2414</v>
      </c>
      <c r="Z3100" s="33" t="s">
        <v>42968</v>
      </c>
      <c r="AA3100" s="33">
        <v>4564</v>
      </c>
    </row>
    <row r="3101" spans="1:46" ht="12" customHeight="1" x14ac:dyDescent="0.15">
      <c r="A3101" s="33" t="s">
        <v>26279</v>
      </c>
      <c r="B3101" s="33">
        <v>33</v>
      </c>
      <c r="C3101" s="33" t="s">
        <v>14</v>
      </c>
      <c r="D3101" s="33" t="s">
        <v>42</v>
      </c>
      <c r="E3101" s="42" t="s">
        <v>26280</v>
      </c>
      <c r="F3101" s="67">
        <v>42806</v>
      </c>
      <c r="G3101" s="33" t="s">
        <v>26647</v>
      </c>
      <c r="H3101" s="33" t="s">
        <v>998</v>
      </c>
      <c r="I3101" s="33" t="s">
        <v>39</v>
      </c>
      <c r="J3101" s="33">
        <v>92867</v>
      </c>
      <c r="K3101" s="33" t="s">
        <v>998</v>
      </c>
      <c r="L3101" s="33" t="s">
        <v>14504</v>
      </c>
      <c r="M3101" s="33" t="s">
        <v>4966</v>
      </c>
      <c r="N3101" s="33" t="s">
        <v>26281</v>
      </c>
      <c r="O3101" s="33" t="s">
        <v>372</v>
      </c>
      <c r="P3101" s="33" t="s">
        <v>30089</v>
      </c>
      <c r="Q3101" s="42" t="s">
        <v>26282</v>
      </c>
      <c r="R3101" s="33" t="s">
        <v>512</v>
      </c>
      <c r="S3101" s="33" t="s">
        <v>22</v>
      </c>
      <c r="T3101" s="36" t="s">
        <v>26774</v>
      </c>
      <c r="U3101" s="33" t="s">
        <v>26570</v>
      </c>
      <c r="V3101" s="33" t="s">
        <v>26573</v>
      </c>
      <c r="W3101" s="33" t="s">
        <v>94</v>
      </c>
      <c r="X3101" s="33">
        <v>2412</v>
      </c>
      <c r="Z3101" s="33" t="s">
        <v>42968</v>
      </c>
      <c r="AA3101" s="33">
        <v>4565</v>
      </c>
    </row>
    <row r="3102" spans="1:46" ht="12" customHeight="1" x14ac:dyDescent="0.15">
      <c r="A3102" s="33" t="s">
        <v>26271</v>
      </c>
      <c r="B3102" s="33">
        <v>51</v>
      </c>
      <c r="C3102" s="33" t="s">
        <v>14</v>
      </c>
      <c r="D3102" s="33" t="s">
        <v>31</v>
      </c>
      <c r="F3102" s="67">
        <v>42805</v>
      </c>
      <c r="G3102" s="33" t="s">
        <v>26648</v>
      </c>
      <c r="H3102" s="33" t="s">
        <v>16680</v>
      </c>
      <c r="I3102" s="33" t="s">
        <v>67</v>
      </c>
      <c r="J3102" s="33">
        <v>76065</v>
      </c>
      <c r="K3102" s="33" t="s">
        <v>1840</v>
      </c>
      <c r="L3102" s="33" t="s">
        <v>26272</v>
      </c>
      <c r="M3102" s="33" t="s">
        <v>21</v>
      </c>
      <c r="N3102" s="33" t="s">
        <v>26273</v>
      </c>
      <c r="O3102" s="33" t="s">
        <v>372</v>
      </c>
      <c r="P3102" s="33" t="s">
        <v>30089</v>
      </c>
      <c r="Q3102" s="42" t="s">
        <v>26274</v>
      </c>
      <c r="R3102" s="33" t="s">
        <v>94</v>
      </c>
      <c r="S3102" s="33" t="s">
        <v>22</v>
      </c>
      <c r="T3102" s="36" t="s">
        <v>26781</v>
      </c>
      <c r="U3102" s="33" t="s">
        <v>26572</v>
      </c>
      <c r="V3102" s="33" t="s">
        <v>26573</v>
      </c>
      <c r="W3102" s="33" t="s">
        <v>94</v>
      </c>
      <c r="X3102" s="33">
        <v>2413</v>
      </c>
      <c r="Z3102" s="33" t="s">
        <v>42968</v>
      </c>
      <c r="AA3102" s="33">
        <v>4561</v>
      </c>
    </row>
    <row r="3103" spans="1:46" ht="12" customHeight="1" x14ac:dyDescent="0.15">
      <c r="A3103" s="33" t="s">
        <v>26396</v>
      </c>
      <c r="B3103" s="33">
        <v>30</v>
      </c>
      <c r="C3103" s="33" t="s">
        <v>14</v>
      </c>
      <c r="D3103" s="33" t="s">
        <v>79</v>
      </c>
      <c r="E3103" s="42" t="s">
        <v>26397</v>
      </c>
      <c r="F3103" s="67">
        <v>42805</v>
      </c>
      <c r="G3103" s="33" t="s">
        <v>26398</v>
      </c>
      <c r="H3103" s="33" t="s">
        <v>172</v>
      </c>
      <c r="I3103" s="33" t="s">
        <v>19</v>
      </c>
      <c r="J3103" s="33">
        <v>70816</v>
      </c>
      <c r="K3103" s="33" t="s">
        <v>3435</v>
      </c>
      <c r="L3103" s="33" t="s">
        <v>173</v>
      </c>
      <c r="M3103" s="33" t="s">
        <v>21</v>
      </c>
      <c r="N3103" s="33" t="s">
        <v>36614</v>
      </c>
      <c r="O3103" s="33" t="s">
        <v>372</v>
      </c>
      <c r="P3103" s="33" t="s">
        <v>30089</v>
      </c>
      <c r="Q3103" s="42" t="s">
        <v>26399</v>
      </c>
      <c r="R3103" s="33" t="s">
        <v>94</v>
      </c>
      <c r="S3103" s="33" t="s">
        <v>22</v>
      </c>
      <c r="T3103" s="36" t="s">
        <v>26781</v>
      </c>
      <c r="U3103" s="33" t="s">
        <v>26572</v>
      </c>
      <c r="V3103" s="33" t="s">
        <v>26573</v>
      </c>
      <c r="W3103" s="33" t="s">
        <v>94</v>
      </c>
      <c r="X3103" s="33">
        <v>2447</v>
      </c>
      <c r="Z3103" s="33" t="s">
        <v>42966</v>
      </c>
      <c r="AA3103" s="33">
        <v>4562</v>
      </c>
    </row>
    <row r="3104" spans="1:46" ht="12" customHeight="1" x14ac:dyDescent="0.15">
      <c r="A3104" s="33" t="s">
        <v>26275</v>
      </c>
      <c r="B3104" s="33">
        <v>38</v>
      </c>
      <c r="C3104" s="33" t="s">
        <v>103</v>
      </c>
      <c r="D3104" s="33" t="s">
        <v>79</v>
      </c>
      <c r="E3104" s="33" t="s">
        <v>27806</v>
      </c>
      <c r="F3104" s="67">
        <v>42805</v>
      </c>
      <c r="G3104" s="33" t="s">
        <v>26276</v>
      </c>
      <c r="H3104" s="33" t="s">
        <v>831</v>
      </c>
      <c r="I3104" s="33" t="s">
        <v>409</v>
      </c>
      <c r="J3104" s="33">
        <v>53224</v>
      </c>
      <c r="K3104" s="33" t="s">
        <v>831</v>
      </c>
      <c r="L3104" s="33" t="s">
        <v>3545</v>
      </c>
      <c r="M3104" s="33" t="s">
        <v>21</v>
      </c>
      <c r="N3104" s="33" t="s">
        <v>26277</v>
      </c>
      <c r="O3104" s="33" t="s">
        <v>372</v>
      </c>
      <c r="P3104" s="33" t="s">
        <v>30089</v>
      </c>
      <c r="Q3104" s="42" t="s">
        <v>26278</v>
      </c>
      <c r="R3104" s="33" t="s">
        <v>94</v>
      </c>
      <c r="S3104" s="33" t="s">
        <v>12</v>
      </c>
      <c r="T3104" s="33" t="s">
        <v>29705</v>
      </c>
      <c r="U3104" s="33" t="s">
        <v>26570</v>
      </c>
      <c r="V3104" s="33" t="s">
        <v>26573</v>
      </c>
      <c r="Z3104" s="33" t="s">
        <v>42968</v>
      </c>
      <c r="AA3104" s="33">
        <v>4563</v>
      </c>
    </row>
    <row r="3105" spans="1:43" ht="12" customHeight="1" x14ac:dyDescent="0.15">
      <c r="A3105" s="33" t="s">
        <v>26267</v>
      </c>
      <c r="B3105" s="33">
        <v>40</v>
      </c>
      <c r="C3105" s="33" t="s">
        <v>14</v>
      </c>
      <c r="D3105" s="33" t="s">
        <v>31</v>
      </c>
      <c r="E3105" s="42" t="s">
        <v>26268</v>
      </c>
      <c r="F3105" s="67">
        <v>42804</v>
      </c>
      <c r="G3105" s="33" t="s">
        <v>26649</v>
      </c>
      <c r="H3105" s="33" t="s">
        <v>10830</v>
      </c>
      <c r="I3105" s="33" t="s">
        <v>39</v>
      </c>
      <c r="J3105" s="33">
        <v>92027</v>
      </c>
      <c r="K3105" s="33" t="s">
        <v>143</v>
      </c>
      <c r="L3105" s="33" t="s">
        <v>15261</v>
      </c>
      <c r="M3105" s="33" t="s">
        <v>21</v>
      </c>
      <c r="N3105" s="33" t="s">
        <v>26269</v>
      </c>
      <c r="O3105" s="33" t="s">
        <v>372</v>
      </c>
      <c r="P3105" s="33" t="s">
        <v>30089</v>
      </c>
      <c r="Q3105" s="42" t="s">
        <v>26270</v>
      </c>
      <c r="R3105" s="33" t="s">
        <v>94</v>
      </c>
      <c r="S3105" s="33" t="s">
        <v>22</v>
      </c>
      <c r="T3105" s="36" t="s">
        <v>26781</v>
      </c>
      <c r="U3105" s="33" t="s">
        <v>26572</v>
      </c>
      <c r="V3105" s="33" t="s">
        <v>26573</v>
      </c>
      <c r="W3105" s="33" t="s">
        <v>94</v>
      </c>
      <c r="X3105" s="33">
        <v>2415</v>
      </c>
      <c r="Z3105" s="33" t="s">
        <v>42968</v>
      </c>
      <c r="AA3105" s="33">
        <v>4560</v>
      </c>
    </row>
    <row r="3106" spans="1:43" ht="12" customHeight="1" x14ac:dyDescent="0.15">
      <c r="A3106" s="33" t="s">
        <v>26258</v>
      </c>
      <c r="B3106" s="33">
        <v>29</v>
      </c>
      <c r="C3106" s="33" t="s">
        <v>14</v>
      </c>
      <c r="D3106" s="33" t="s">
        <v>31</v>
      </c>
      <c r="F3106" s="67">
        <v>42803</v>
      </c>
      <c r="G3106" s="33" t="s">
        <v>26259</v>
      </c>
      <c r="H3106" s="33" t="s">
        <v>5942</v>
      </c>
      <c r="I3106" s="33" t="s">
        <v>39</v>
      </c>
      <c r="J3106" s="33">
        <v>92647</v>
      </c>
      <c r="K3106" s="33" t="s">
        <v>998</v>
      </c>
      <c r="L3106" s="33" t="s">
        <v>5944</v>
      </c>
      <c r="M3106" s="33" t="s">
        <v>21</v>
      </c>
      <c r="N3106" s="33" t="s">
        <v>26260</v>
      </c>
      <c r="O3106" s="33" t="s">
        <v>372</v>
      </c>
      <c r="P3106" s="33" t="s">
        <v>30089</v>
      </c>
      <c r="Q3106" s="42" t="s">
        <v>26261</v>
      </c>
      <c r="R3106" s="33" t="s">
        <v>512</v>
      </c>
      <c r="S3106" s="33" t="s">
        <v>22</v>
      </c>
      <c r="T3106" s="33" t="s">
        <v>26577</v>
      </c>
      <c r="U3106" s="33" t="s">
        <v>26570</v>
      </c>
      <c r="V3106" s="33" t="s">
        <v>26573</v>
      </c>
      <c r="W3106" s="33" t="s">
        <v>94</v>
      </c>
      <c r="X3106" s="33">
        <v>2411</v>
      </c>
      <c r="Z3106" s="33" t="s">
        <v>42966</v>
      </c>
      <c r="AA3106" s="33">
        <v>4557</v>
      </c>
    </row>
    <row r="3107" spans="1:43" ht="12" customHeight="1" x14ac:dyDescent="0.15">
      <c r="A3107" s="33" t="s">
        <v>26262</v>
      </c>
      <c r="B3107" s="33">
        <v>35</v>
      </c>
      <c r="C3107" s="33" t="s">
        <v>103</v>
      </c>
      <c r="D3107" s="33" t="s">
        <v>31</v>
      </c>
      <c r="E3107" s="42" t="s">
        <v>26263</v>
      </c>
      <c r="F3107" s="67">
        <v>42803</v>
      </c>
      <c r="G3107" s="33" t="s">
        <v>26264</v>
      </c>
      <c r="H3107" s="33" t="s">
        <v>4843</v>
      </c>
      <c r="I3107" s="33" t="s">
        <v>67</v>
      </c>
      <c r="J3107" s="33">
        <v>77550</v>
      </c>
      <c r="K3107" s="33" t="s">
        <v>4843</v>
      </c>
      <c r="L3107" s="33" t="s">
        <v>20720</v>
      </c>
      <c r="M3107" s="33" t="s">
        <v>21</v>
      </c>
      <c r="N3107" s="33" t="s">
        <v>26265</v>
      </c>
      <c r="O3107" s="33" t="s">
        <v>372</v>
      </c>
      <c r="P3107" s="33" t="s">
        <v>30089</v>
      </c>
      <c r="Q3107" s="42" t="s">
        <v>26266</v>
      </c>
      <c r="R3107" s="33" t="s">
        <v>94</v>
      </c>
      <c r="S3107" s="33" t="s">
        <v>22</v>
      </c>
      <c r="T3107" s="36" t="s">
        <v>26781</v>
      </c>
      <c r="U3107" s="33" t="s">
        <v>26572</v>
      </c>
      <c r="V3107" s="33" t="s">
        <v>26573</v>
      </c>
      <c r="Y3107" s="33" t="s">
        <v>42476</v>
      </c>
      <c r="Z3107" s="33" t="s">
        <v>42968</v>
      </c>
      <c r="AA3107" s="33">
        <v>4558</v>
      </c>
    </row>
    <row r="3108" spans="1:43" ht="12" customHeight="1" x14ac:dyDescent="0.15">
      <c r="A3108" s="33" t="s">
        <v>26253</v>
      </c>
      <c r="B3108" s="33">
        <v>24</v>
      </c>
      <c r="C3108" s="33" t="s">
        <v>14</v>
      </c>
      <c r="D3108" s="33" t="s">
        <v>42</v>
      </c>
      <c r="E3108" s="33" t="s">
        <v>26254</v>
      </c>
      <c r="F3108" s="67">
        <v>42803</v>
      </c>
      <c r="G3108" s="33" t="s">
        <v>26255</v>
      </c>
      <c r="H3108" s="33" t="s">
        <v>561</v>
      </c>
      <c r="I3108" s="33" t="s">
        <v>39</v>
      </c>
      <c r="J3108" s="33">
        <v>95050</v>
      </c>
      <c r="K3108" s="33" t="s">
        <v>561</v>
      </c>
      <c r="L3108" s="33" t="s">
        <v>3097</v>
      </c>
      <c r="M3108" s="33" t="s">
        <v>4966</v>
      </c>
      <c r="N3108" s="33" t="s">
        <v>26256</v>
      </c>
      <c r="O3108" s="33" t="s">
        <v>372</v>
      </c>
      <c r="P3108" s="33" t="s">
        <v>30089</v>
      </c>
      <c r="Q3108" s="42" t="s">
        <v>26257</v>
      </c>
      <c r="R3108" s="33" t="s">
        <v>512</v>
      </c>
      <c r="S3108" s="33" t="s">
        <v>22</v>
      </c>
      <c r="T3108" s="36" t="s">
        <v>26774</v>
      </c>
      <c r="U3108" s="33" t="s">
        <v>26570</v>
      </c>
      <c r="V3108" s="33" t="s">
        <v>26573</v>
      </c>
      <c r="W3108" s="33" t="s">
        <v>94</v>
      </c>
      <c r="X3108" s="33">
        <v>2410</v>
      </c>
      <c r="Z3108" s="33" t="s">
        <v>42966</v>
      </c>
      <c r="AA3108" s="33">
        <v>4559</v>
      </c>
    </row>
    <row r="3109" spans="1:43" ht="12" customHeight="1" x14ac:dyDescent="0.15">
      <c r="A3109" s="33" t="s">
        <v>3002</v>
      </c>
      <c r="B3109" s="33" t="s">
        <v>23</v>
      </c>
      <c r="C3109" s="33" t="s">
        <v>14</v>
      </c>
      <c r="D3109" s="33" t="s">
        <v>30751</v>
      </c>
      <c r="F3109" s="67">
        <v>42802</v>
      </c>
      <c r="G3109" s="33" t="s">
        <v>26651</v>
      </c>
      <c r="H3109" s="33" t="s">
        <v>5040</v>
      </c>
      <c r="I3109" s="33" t="s">
        <v>39</v>
      </c>
      <c r="J3109" s="33">
        <v>92570</v>
      </c>
      <c r="K3109" s="33" t="s">
        <v>728</v>
      </c>
      <c r="L3109" s="33" t="s">
        <v>729</v>
      </c>
      <c r="M3109" s="33" t="s">
        <v>21</v>
      </c>
      <c r="N3109" s="33" t="s">
        <v>26251</v>
      </c>
      <c r="O3109" s="33" t="s">
        <v>372</v>
      </c>
      <c r="P3109" s="33" t="s">
        <v>30089</v>
      </c>
      <c r="Q3109" s="42" t="s">
        <v>26252</v>
      </c>
      <c r="R3109" s="33" t="s">
        <v>94</v>
      </c>
      <c r="S3109" s="33" t="s">
        <v>22</v>
      </c>
      <c r="T3109" s="36" t="s">
        <v>26774</v>
      </c>
      <c r="U3109" s="33" t="s">
        <v>26570</v>
      </c>
      <c r="V3109" s="33" t="s">
        <v>26573</v>
      </c>
      <c r="W3109" s="33" t="s">
        <v>94</v>
      </c>
      <c r="X3109" s="33">
        <v>2408</v>
      </c>
      <c r="Z3109" s="33" t="s">
        <v>42968</v>
      </c>
      <c r="AA3109" s="33">
        <v>4556</v>
      </c>
      <c r="AQ3109" s="42"/>
    </row>
    <row r="3110" spans="1:43" ht="12" customHeight="1" x14ac:dyDescent="0.15">
      <c r="A3110" s="33" t="s">
        <v>26241</v>
      </c>
      <c r="B3110" s="33">
        <v>91</v>
      </c>
      <c r="C3110" s="33" t="s">
        <v>14</v>
      </c>
      <c r="D3110" s="33" t="s">
        <v>31</v>
      </c>
      <c r="E3110" s="42" t="s">
        <v>26242</v>
      </c>
      <c r="F3110" s="67">
        <v>42802</v>
      </c>
      <c r="G3110" s="33" t="s">
        <v>26243</v>
      </c>
      <c r="H3110" s="33" t="s">
        <v>3496</v>
      </c>
      <c r="I3110" s="33" t="s">
        <v>376</v>
      </c>
      <c r="J3110" s="33">
        <v>16101</v>
      </c>
      <c r="K3110" s="33" t="s">
        <v>1924</v>
      </c>
      <c r="L3110" s="33" t="s">
        <v>26244</v>
      </c>
      <c r="M3110" s="33" t="s">
        <v>21</v>
      </c>
      <c r="N3110" s="33" t="s">
        <v>26245</v>
      </c>
      <c r="O3110" s="33" t="s">
        <v>372</v>
      </c>
      <c r="P3110" s="33" t="s">
        <v>30089</v>
      </c>
      <c r="Q3110" s="42" t="s">
        <v>26246</v>
      </c>
      <c r="R3110" s="33" t="s">
        <v>94</v>
      </c>
      <c r="S3110" s="33" t="s">
        <v>22</v>
      </c>
      <c r="T3110" s="36" t="s">
        <v>26781</v>
      </c>
      <c r="U3110" s="33" t="s">
        <v>26572</v>
      </c>
      <c r="V3110" s="33" t="s">
        <v>26573</v>
      </c>
      <c r="W3110" s="33" t="s">
        <v>94</v>
      </c>
      <c r="X3110" s="33">
        <v>2407</v>
      </c>
      <c r="Z3110" s="33" t="s">
        <v>42968</v>
      </c>
      <c r="AA3110" s="33">
        <v>4554</v>
      </c>
    </row>
    <row r="3111" spans="1:43" ht="12" customHeight="1" x14ac:dyDescent="0.15">
      <c r="A3111" s="33" t="s">
        <v>26247</v>
      </c>
      <c r="B3111" s="33">
        <v>25</v>
      </c>
      <c r="C3111" s="33" t="s">
        <v>14</v>
      </c>
      <c r="D3111" s="33" t="s">
        <v>31</v>
      </c>
      <c r="E3111" s="42" t="s">
        <v>26248</v>
      </c>
      <c r="F3111" s="67">
        <v>42802</v>
      </c>
      <c r="G3111" s="33" t="s">
        <v>26650</v>
      </c>
      <c r="H3111" s="33" t="s">
        <v>3855</v>
      </c>
      <c r="I3111" s="33" t="s">
        <v>338</v>
      </c>
      <c r="J3111" s="33">
        <v>28206</v>
      </c>
      <c r="K3111" s="33" t="s">
        <v>3857</v>
      </c>
      <c r="L3111" s="33" t="s">
        <v>3858</v>
      </c>
      <c r="M3111" s="33" t="s">
        <v>21</v>
      </c>
      <c r="N3111" s="33" t="s">
        <v>26249</v>
      </c>
      <c r="O3111" s="33" t="s">
        <v>372</v>
      </c>
      <c r="P3111" s="33" t="s">
        <v>30089</v>
      </c>
      <c r="Q3111" s="42" t="s">
        <v>26250</v>
      </c>
      <c r="R3111" s="33" t="s">
        <v>512</v>
      </c>
      <c r="S3111" s="33" t="s">
        <v>22</v>
      </c>
      <c r="T3111" s="36" t="s">
        <v>26781</v>
      </c>
      <c r="U3111" s="33" t="s">
        <v>26570</v>
      </c>
      <c r="V3111" s="33" t="s">
        <v>26573</v>
      </c>
      <c r="W3111" s="33" t="s">
        <v>94</v>
      </c>
      <c r="X3111" s="33">
        <v>2409</v>
      </c>
      <c r="Z3111" s="33" t="s">
        <v>42968</v>
      </c>
      <c r="AA3111" s="33">
        <v>4555</v>
      </c>
    </row>
    <row r="3112" spans="1:43" ht="12" customHeight="1" x14ac:dyDescent="0.15">
      <c r="A3112" s="33" t="s">
        <v>26228</v>
      </c>
      <c r="B3112" s="33">
        <v>41</v>
      </c>
      <c r="C3112" s="33" t="s">
        <v>14</v>
      </c>
      <c r="D3112" s="33" t="s">
        <v>79</v>
      </c>
      <c r="E3112" s="42" t="s">
        <v>30696</v>
      </c>
      <c r="F3112" s="67">
        <v>42801</v>
      </c>
      <c r="G3112" s="33" t="s">
        <v>26229</v>
      </c>
      <c r="H3112" s="33" t="s">
        <v>26230</v>
      </c>
      <c r="I3112" s="33" t="s">
        <v>39</v>
      </c>
      <c r="J3112" s="33">
        <v>90056</v>
      </c>
      <c r="K3112" s="33" t="s">
        <v>92</v>
      </c>
      <c r="L3112" s="33" t="s">
        <v>386</v>
      </c>
      <c r="M3112" s="33" t="s">
        <v>4966</v>
      </c>
      <c r="N3112" s="33" t="s">
        <v>36615</v>
      </c>
      <c r="O3112" s="33" t="s">
        <v>372</v>
      </c>
      <c r="P3112" s="33" t="s">
        <v>30089</v>
      </c>
      <c r="Q3112" s="42" t="s">
        <v>26231</v>
      </c>
      <c r="R3112" s="33" t="s">
        <v>512</v>
      </c>
      <c r="S3112" s="33" t="s">
        <v>29</v>
      </c>
      <c r="T3112" s="33" t="s">
        <v>30697</v>
      </c>
      <c r="U3112" s="33" t="s">
        <v>26570</v>
      </c>
      <c r="V3112" s="33" t="s">
        <v>26573</v>
      </c>
      <c r="W3112" s="33" t="s">
        <v>94</v>
      </c>
      <c r="X3112" s="33">
        <v>2406</v>
      </c>
      <c r="Z3112" s="33" t="s">
        <v>42966</v>
      </c>
      <c r="AA3112" s="33">
        <v>4552</v>
      </c>
      <c r="AQ3112" s="42"/>
    </row>
    <row r="3113" spans="1:43" ht="12" customHeight="1" x14ac:dyDescent="0.15">
      <c r="A3113" s="33" t="s">
        <v>26232</v>
      </c>
      <c r="B3113" s="33">
        <v>38</v>
      </c>
      <c r="C3113" s="33" t="s">
        <v>14</v>
      </c>
      <c r="D3113" s="33" t="s">
        <v>31</v>
      </c>
      <c r="E3113" s="42" t="s">
        <v>26233</v>
      </c>
      <c r="F3113" s="67">
        <v>42801</v>
      </c>
      <c r="G3113" s="33" t="s">
        <v>26234</v>
      </c>
      <c r="H3113" s="33" t="s">
        <v>26235</v>
      </c>
      <c r="I3113" s="33" t="s">
        <v>63</v>
      </c>
      <c r="J3113" s="33">
        <v>44136</v>
      </c>
      <c r="K3113" s="33" t="s">
        <v>95</v>
      </c>
      <c r="L3113" s="33" t="s">
        <v>26236</v>
      </c>
      <c r="M3113" s="33" t="s">
        <v>21</v>
      </c>
      <c r="N3113" s="33" t="s">
        <v>26237</v>
      </c>
      <c r="O3113" s="33" t="s">
        <v>372</v>
      </c>
      <c r="P3113" s="33" t="s">
        <v>30089</v>
      </c>
      <c r="Q3113" s="42" t="s">
        <v>26238</v>
      </c>
      <c r="R3113" s="33" t="s">
        <v>94</v>
      </c>
      <c r="S3113" s="33" t="s">
        <v>351</v>
      </c>
      <c r="T3113" s="36" t="s">
        <v>26867</v>
      </c>
      <c r="U3113" s="33" t="s">
        <v>26570</v>
      </c>
      <c r="V3113" s="33" t="s">
        <v>26571</v>
      </c>
      <c r="W3113" s="33" t="s">
        <v>94</v>
      </c>
      <c r="X3113" s="33">
        <v>2405</v>
      </c>
      <c r="Z3113" s="33" t="s">
        <v>42968</v>
      </c>
      <c r="AA3113" s="33">
        <v>4553</v>
      </c>
    </row>
    <row r="3114" spans="1:43" ht="12" customHeight="1" x14ac:dyDescent="0.15">
      <c r="A3114" s="33" t="s">
        <v>26224</v>
      </c>
      <c r="B3114" s="33">
        <v>47</v>
      </c>
      <c r="C3114" s="33" t="s">
        <v>14</v>
      </c>
      <c r="D3114" s="33" t="s">
        <v>31</v>
      </c>
      <c r="E3114" s="42" t="s">
        <v>29661</v>
      </c>
      <c r="F3114" s="67">
        <v>42800</v>
      </c>
      <c r="G3114" s="33" t="s">
        <v>26225</v>
      </c>
      <c r="H3114" s="33" t="s">
        <v>782</v>
      </c>
      <c r="I3114" s="33" t="s">
        <v>282</v>
      </c>
      <c r="J3114" s="33">
        <v>99005</v>
      </c>
      <c r="K3114" s="33" t="s">
        <v>782</v>
      </c>
      <c r="L3114" s="33" t="s">
        <v>34360</v>
      </c>
      <c r="M3114" s="33" t="s">
        <v>21</v>
      </c>
      <c r="N3114" s="33" t="s">
        <v>26226</v>
      </c>
      <c r="O3114" s="33" t="s">
        <v>372</v>
      </c>
      <c r="P3114" s="33" t="s">
        <v>30089</v>
      </c>
      <c r="Q3114" s="42" t="s">
        <v>26227</v>
      </c>
      <c r="R3114" s="33" t="s">
        <v>94</v>
      </c>
      <c r="S3114" s="33" t="s">
        <v>22</v>
      </c>
      <c r="T3114" s="33" t="s">
        <v>26781</v>
      </c>
      <c r="U3114" s="33" t="s">
        <v>26572</v>
      </c>
      <c r="V3114" s="33" t="s">
        <v>26573</v>
      </c>
      <c r="Z3114" s="33" t="s">
        <v>42967</v>
      </c>
      <c r="AA3114" s="33">
        <v>4551</v>
      </c>
      <c r="AQ3114" s="42"/>
    </row>
    <row r="3115" spans="1:43" ht="12" customHeight="1" x14ac:dyDescent="0.15">
      <c r="A3115" s="33" t="s">
        <v>26217</v>
      </c>
      <c r="B3115" s="33">
        <v>70</v>
      </c>
      <c r="C3115" s="33" t="s">
        <v>14</v>
      </c>
      <c r="D3115" s="33" t="s">
        <v>42</v>
      </c>
      <c r="F3115" s="67">
        <v>42798</v>
      </c>
      <c r="G3115" s="33" t="s">
        <v>26218</v>
      </c>
      <c r="H3115" s="33" t="s">
        <v>92</v>
      </c>
      <c r="I3115" s="33" t="s">
        <v>39</v>
      </c>
      <c r="J3115" s="33">
        <v>90015</v>
      </c>
      <c r="K3115" s="33" t="s">
        <v>92</v>
      </c>
      <c r="L3115" s="33" t="s">
        <v>93</v>
      </c>
      <c r="M3115" s="33" t="s">
        <v>4966</v>
      </c>
      <c r="N3115" s="33" t="s">
        <v>26219</v>
      </c>
      <c r="O3115" s="33" t="s">
        <v>372</v>
      </c>
      <c r="P3115" s="33" t="s">
        <v>30089</v>
      </c>
      <c r="Q3115" s="42" t="s">
        <v>26220</v>
      </c>
      <c r="R3115" s="33" t="s">
        <v>23</v>
      </c>
      <c r="S3115" s="33" t="s">
        <v>22</v>
      </c>
      <c r="T3115" s="33" t="s">
        <v>26579</v>
      </c>
      <c r="U3115" s="33" t="s">
        <v>26570</v>
      </c>
      <c r="V3115" s="33" t="s">
        <v>26573</v>
      </c>
      <c r="W3115" s="33" t="s">
        <v>94</v>
      </c>
      <c r="X3115" s="33">
        <v>2402</v>
      </c>
      <c r="Z3115" s="33" t="s">
        <v>42966</v>
      </c>
      <c r="AA3115" s="33">
        <v>4549</v>
      </c>
    </row>
    <row r="3116" spans="1:43" ht="12" customHeight="1" x14ac:dyDescent="0.15">
      <c r="A3116" s="33" t="s">
        <v>26213</v>
      </c>
      <c r="B3116" s="33">
        <v>38</v>
      </c>
      <c r="C3116" s="33" t="s">
        <v>14</v>
      </c>
      <c r="D3116" s="33" t="s">
        <v>31</v>
      </c>
      <c r="F3116" s="67">
        <v>42798</v>
      </c>
      <c r="G3116" s="33" t="s">
        <v>26214</v>
      </c>
      <c r="H3116" s="33" t="s">
        <v>1027</v>
      </c>
      <c r="I3116" s="33" t="s">
        <v>367</v>
      </c>
      <c r="J3116" s="33">
        <v>73129</v>
      </c>
      <c r="K3116" s="33" t="s">
        <v>1028</v>
      </c>
      <c r="L3116" s="33" t="s">
        <v>1029</v>
      </c>
      <c r="M3116" s="33" t="s">
        <v>21</v>
      </c>
      <c r="N3116" s="33" t="s">
        <v>26215</v>
      </c>
      <c r="O3116" s="33" t="s">
        <v>372</v>
      </c>
      <c r="P3116" s="33" t="s">
        <v>30089</v>
      </c>
      <c r="Q3116" s="42" t="s">
        <v>26216</v>
      </c>
      <c r="R3116" s="33" t="s">
        <v>94</v>
      </c>
      <c r="S3116" s="33" t="s">
        <v>351</v>
      </c>
      <c r="T3116" s="36" t="s">
        <v>26867</v>
      </c>
      <c r="U3116" s="33" t="s">
        <v>26572</v>
      </c>
      <c r="V3116" s="33" t="s">
        <v>26571</v>
      </c>
      <c r="W3116" s="33" t="s">
        <v>512</v>
      </c>
      <c r="X3116" s="33">
        <v>2399</v>
      </c>
      <c r="Z3116" s="33" t="s">
        <v>42966</v>
      </c>
      <c r="AA3116" s="33">
        <v>4550</v>
      </c>
    </row>
    <row r="3117" spans="1:43" ht="12" customHeight="1" x14ac:dyDescent="0.15">
      <c r="A3117" s="33" t="s">
        <v>29640</v>
      </c>
      <c r="B3117" s="33">
        <v>23</v>
      </c>
      <c r="C3117" s="33" t="s">
        <v>14</v>
      </c>
      <c r="D3117" s="33" t="s">
        <v>31</v>
      </c>
      <c r="F3117" s="67">
        <v>42798</v>
      </c>
      <c r="G3117" s="33" t="s">
        <v>26221</v>
      </c>
      <c r="H3117" s="33" t="s">
        <v>13983</v>
      </c>
      <c r="I3117" s="33" t="s">
        <v>39</v>
      </c>
      <c r="J3117" s="33">
        <v>92230</v>
      </c>
      <c r="K3117" s="33" t="s">
        <v>728</v>
      </c>
      <c r="L3117" s="33" t="s">
        <v>729</v>
      </c>
      <c r="M3117" s="33" t="s">
        <v>21</v>
      </c>
      <c r="N3117" s="33" t="s">
        <v>26222</v>
      </c>
      <c r="O3117" s="33" t="s">
        <v>372</v>
      </c>
      <c r="P3117" s="33" t="s">
        <v>30089</v>
      </c>
      <c r="Q3117" s="42" t="s">
        <v>26223</v>
      </c>
      <c r="R3117" s="33" t="s">
        <v>23</v>
      </c>
      <c r="S3117" s="33" t="s">
        <v>29</v>
      </c>
      <c r="T3117" s="33" t="s">
        <v>26620</v>
      </c>
      <c r="U3117" s="33" t="s">
        <v>26570</v>
      </c>
      <c r="V3117" s="33" t="s">
        <v>26574</v>
      </c>
      <c r="W3117" s="33" t="s">
        <v>94</v>
      </c>
      <c r="X3117" s="33">
        <v>2404</v>
      </c>
      <c r="Z3117" s="33" t="s">
        <v>42967</v>
      </c>
      <c r="AA3117" s="33">
        <v>4548</v>
      </c>
    </row>
    <row r="3118" spans="1:43" ht="12" customHeight="1" x14ac:dyDescent="0.15">
      <c r="A3118" s="33" t="s">
        <v>26207</v>
      </c>
      <c r="B3118" s="33">
        <v>25</v>
      </c>
      <c r="C3118" s="33" t="s">
        <v>14</v>
      </c>
      <c r="D3118" s="33" t="s">
        <v>128</v>
      </c>
      <c r="F3118" s="67">
        <v>42797</v>
      </c>
      <c r="G3118" s="33" t="s">
        <v>26208</v>
      </c>
      <c r="H3118" s="33" t="s">
        <v>26209</v>
      </c>
      <c r="I3118" s="33" t="s">
        <v>39</v>
      </c>
      <c r="J3118" s="33">
        <v>93245</v>
      </c>
      <c r="K3118" s="33" t="s">
        <v>1601</v>
      </c>
      <c r="L3118" s="33" t="s">
        <v>26210</v>
      </c>
      <c r="M3118" s="33" t="s">
        <v>21</v>
      </c>
      <c r="N3118" s="33" t="s">
        <v>26211</v>
      </c>
      <c r="O3118" s="33" t="s">
        <v>372</v>
      </c>
      <c r="P3118" s="33" t="s">
        <v>30089</v>
      </c>
      <c r="Q3118" s="42" t="s">
        <v>26212</v>
      </c>
      <c r="R3118" s="33" t="s">
        <v>94</v>
      </c>
      <c r="S3118" s="33" t="s">
        <v>12</v>
      </c>
      <c r="T3118" s="33" t="s">
        <v>29425</v>
      </c>
      <c r="U3118" s="33" t="s">
        <v>26572</v>
      </c>
      <c r="V3118" s="33" t="s">
        <v>26573</v>
      </c>
      <c r="W3118" s="33" t="s">
        <v>94</v>
      </c>
      <c r="X3118" s="33">
        <v>2403</v>
      </c>
      <c r="Z3118" s="33" t="s">
        <v>42968</v>
      </c>
      <c r="AA3118" s="33">
        <v>4547</v>
      </c>
    </row>
    <row r="3119" spans="1:43" ht="12" customHeight="1" x14ac:dyDescent="0.15">
      <c r="A3119" s="33" t="s">
        <v>26203</v>
      </c>
      <c r="B3119" s="33">
        <v>32</v>
      </c>
      <c r="C3119" s="33" t="s">
        <v>14</v>
      </c>
      <c r="D3119" s="33" t="s">
        <v>31</v>
      </c>
      <c r="E3119" s="42" t="s">
        <v>26204</v>
      </c>
      <c r="F3119" s="67">
        <v>42797</v>
      </c>
      <c r="G3119" s="33" t="s">
        <v>26652</v>
      </c>
      <c r="H3119" s="33" t="s">
        <v>25367</v>
      </c>
      <c r="I3119" s="33" t="s">
        <v>192</v>
      </c>
      <c r="J3119" s="33">
        <v>80110</v>
      </c>
      <c r="K3119" s="33" t="s">
        <v>3510</v>
      </c>
      <c r="L3119" s="33" t="s">
        <v>25655</v>
      </c>
      <c r="M3119" s="33" t="s">
        <v>21</v>
      </c>
      <c r="N3119" s="33" t="s">
        <v>26205</v>
      </c>
      <c r="O3119" s="33" t="s">
        <v>372</v>
      </c>
      <c r="P3119" s="33" t="s">
        <v>30089</v>
      </c>
      <c r="Q3119" s="42" t="s">
        <v>26206</v>
      </c>
      <c r="R3119" s="33" t="s">
        <v>94</v>
      </c>
      <c r="S3119" s="33" t="s">
        <v>22</v>
      </c>
      <c r="T3119" s="36" t="s">
        <v>26781</v>
      </c>
      <c r="U3119" s="33" t="s">
        <v>26570</v>
      </c>
      <c r="V3119" s="33" t="s">
        <v>26573</v>
      </c>
      <c r="W3119" s="33" t="s">
        <v>94</v>
      </c>
      <c r="X3119" s="33">
        <v>2401</v>
      </c>
      <c r="Z3119" s="33" t="s">
        <v>42968</v>
      </c>
      <c r="AA3119" s="33">
        <v>4546</v>
      </c>
    </row>
    <row r="3120" spans="1:43" ht="12" customHeight="1" x14ac:dyDescent="0.15">
      <c r="A3120" s="33" t="s">
        <v>26191</v>
      </c>
      <c r="B3120" s="33">
        <v>27</v>
      </c>
      <c r="C3120" s="33" t="s">
        <v>14</v>
      </c>
      <c r="D3120" s="33" t="s">
        <v>42</v>
      </c>
      <c r="F3120" s="67">
        <v>42796</v>
      </c>
      <c r="G3120" s="33" t="s">
        <v>26192</v>
      </c>
      <c r="H3120" s="33" t="s">
        <v>584</v>
      </c>
      <c r="I3120" s="33" t="s">
        <v>112</v>
      </c>
      <c r="J3120" s="33">
        <v>85006</v>
      </c>
      <c r="K3120" s="33" t="s">
        <v>585</v>
      </c>
      <c r="L3120" s="33" t="s">
        <v>586</v>
      </c>
      <c r="M3120" s="33" t="s">
        <v>21</v>
      </c>
      <c r="N3120" s="33" t="s">
        <v>26193</v>
      </c>
      <c r="O3120" s="33" t="s">
        <v>372</v>
      </c>
      <c r="P3120" s="33" t="s">
        <v>30089</v>
      </c>
      <c r="Q3120" s="42" t="s">
        <v>26194</v>
      </c>
      <c r="R3120" s="33" t="s">
        <v>94</v>
      </c>
      <c r="S3120" s="33" t="s">
        <v>12</v>
      </c>
      <c r="T3120" s="33" t="s">
        <v>29425</v>
      </c>
      <c r="U3120" s="33" t="s">
        <v>26572</v>
      </c>
      <c r="V3120" s="33" t="s">
        <v>26573</v>
      </c>
      <c r="W3120" s="33" t="s">
        <v>94</v>
      </c>
      <c r="X3120" s="33">
        <v>2397</v>
      </c>
      <c r="Z3120" s="33" t="s">
        <v>42966</v>
      </c>
      <c r="AA3120" s="33">
        <v>4545</v>
      </c>
      <c r="AQ3120" s="42"/>
    </row>
    <row r="3121" spans="1:27" ht="12" customHeight="1" x14ac:dyDescent="0.15">
      <c r="A3121" s="33" t="s">
        <v>26180</v>
      </c>
      <c r="B3121" s="33">
        <v>34</v>
      </c>
      <c r="C3121" s="33" t="s">
        <v>14</v>
      </c>
      <c r="D3121" s="33" t="s">
        <v>42</v>
      </c>
      <c r="E3121" s="42" t="s">
        <v>26181</v>
      </c>
      <c r="F3121" s="67">
        <v>42796</v>
      </c>
      <c r="G3121" s="33" t="s">
        <v>26653</v>
      </c>
      <c r="H3121" s="33" t="s">
        <v>13165</v>
      </c>
      <c r="I3121" s="33" t="s">
        <v>39</v>
      </c>
      <c r="J3121" s="33">
        <v>92078</v>
      </c>
      <c r="K3121" s="33" t="s">
        <v>143</v>
      </c>
      <c r="L3121" s="33" t="s">
        <v>1970</v>
      </c>
      <c r="M3121" s="33" t="s">
        <v>21</v>
      </c>
      <c r="N3121" s="33" t="s">
        <v>26182</v>
      </c>
      <c r="O3121" s="33" t="s">
        <v>372</v>
      </c>
      <c r="P3121" s="33" t="s">
        <v>30089</v>
      </c>
      <c r="Q3121" s="42" t="s">
        <v>26183</v>
      </c>
      <c r="R3121" s="33" t="s">
        <v>94</v>
      </c>
      <c r="S3121" s="33" t="s">
        <v>29</v>
      </c>
      <c r="T3121" s="33" t="s">
        <v>26580</v>
      </c>
      <c r="U3121" s="33" t="s">
        <v>26570</v>
      </c>
      <c r="V3121" s="33" t="s">
        <v>26573</v>
      </c>
      <c r="W3121" s="33" t="s">
        <v>94</v>
      </c>
      <c r="X3121" s="33">
        <v>2396</v>
      </c>
      <c r="Z3121" s="33" t="s">
        <v>42968</v>
      </c>
      <c r="AA3121" s="33">
        <v>4541</v>
      </c>
    </row>
    <row r="3122" spans="1:27" ht="12" customHeight="1" x14ac:dyDescent="0.15">
      <c r="A3122" s="33" t="s">
        <v>26199</v>
      </c>
      <c r="B3122" s="33">
        <v>37</v>
      </c>
      <c r="C3122" s="33" t="s">
        <v>14</v>
      </c>
      <c r="D3122" s="33" t="s">
        <v>42</v>
      </c>
      <c r="F3122" s="67">
        <v>42796</v>
      </c>
      <c r="G3122" s="33" t="s">
        <v>26200</v>
      </c>
      <c r="H3122" s="33" t="s">
        <v>11101</v>
      </c>
      <c r="I3122" s="33" t="s">
        <v>75</v>
      </c>
      <c r="J3122" s="33">
        <v>7503</v>
      </c>
      <c r="K3122" s="33" t="s">
        <v>8605</v>
      </c>
      <c r="L3122" s="33" t="s">
        <v>11103</v>
      </c>
      <c r="M3122" s="33" t="s">
        <v>21</v>
      </c>
      <c r="N3122" s="33" t="s">
        <v>26201</v>
      </c>
      <c r="O3122" s="33" t="s">
        <v>372</v>
      </c>
      <c r="P3122" s="33" t="s">
        <v>30089</v>
      </c>
      <c r="Q3122" s="42" t="s">
        <v>26202</v>
      </c>
      <c r="R3122" s="33" t="s">
        <v>512</v>
      </c>
      <c r="S3122" s="33" t="s">
        <v>22</v>
      </c>
      <c r="T3122" s="36" t="s">
        <v>26774</v>
      </c>
      <c r="U3122" s="33" t="s">
        <v>26570</v>
      </c>
      <c r="V3122" s="33" t="s">
        <v>26573</v>
      </c>
      <c r="W3122" s="33" t="s">
        <v>94</v>
      </c>
      <c r="X3122" s="33">
        <v>2435</v>
      </c>
      <c r="Z3122" s="33" t="s">
        <v>42966</v>
      </c>
      <c r="AA3122" s="33">
        <v>4544</v>
      </c>
    </row>
    <row r="3123" spans="1:27" ht="12" customHeight="1" x14ac:dyDescent="0.15">
      <c r="A3123" s="33" t="s">
        <v>26195</v>
      </c>
      <c r="B3123" s="33">
        <v>25</v>
      </c>
      <c r="C3123" s="33" t="s">
        <v>14</v>
      </c>
      <c r="D3123" s="33" t="s">
        <v>42</v>
      </c>
      <c r="F3123" s="67">
        <v>42796</v>
      </c>
      <c r="G3123" s="33" t="s">
        <v>26196</v>
      </c>
      <c r="H3123" s="33" t="s">
        <v>1506</v>
      </c>
      <c r="I3123" s="33" t="s">
        <v>250</v>
      </c>
      <c r="J3123" s="33">
        <v>89502</v>
      </c>
      <c r="K3123" s="33" t="s">
        <v>5732</v>
      </c>
      <c r="L3123" s="33" t="s">
        <v>6817</v>
      </c>
      <c r="M3123" s="33" t="s">
        <v>21</v>
      </c>
      <c r="N3123" s="33" t="s">
        <v>26197</v>
      </c>
      <c r="O3123" s="33" t="s">
        <v>372</v>
      </c>
      <c r="P3123" s="33" t="s">
        <v>30089</v>
      </c>
      <c r="Q3123" s="42" t="s">
        <v>26198</v>
      </c>
      <c r="R3123" s="33" t="s">
        <v>94</v>
      </c>
      <c r="S3123" s="33" t="s">
        <v>22</v>
      </c>
      <c r="T3123" s="33" t="s">
        <v>26781</v>
      </c>
      <c r="U3123" s="33" t="s">
        <v>26572</v>
      </c>
      <c r="V3123" s="33" t="s">
        <v>26574</v>
      </c>
      <c r="W3123" s="33" t="s">
        <v>94</v>
      </c>
      <c r="X3123" s="33">
        <v>2398</v>
      </c>
      <c r="Z3123" s="33" t="s">
        <v>42968</v>
      </c>
      <c r="AA3123" s="33">
        <v>4543</v>
      </c>
    </row>
    <row r="3124" spans="1:27" ht="12" customHeight="1" x14ac:dyDescent="0.15">
      <c r="A3124" s="33" t="s">
        <v>26184</v>
      </c>
      <c r="B3124" s="33">
        <v>33</v>
      </c>
      <c r="C3124" s="33" t="s">
        <v>14</v>
      </c>
      <c r="D3124" s="33" t="s">
        <v>31</v>
      </c>
      <c r="E3124" s="42" t="s">
        <v>26185</v>
      </c>
      <c r="F3124" s="67">
        <v>42796</v>
      </c>
      <c r="G3124" s="33" t="s">
        <v>26186</v>
      </c>
      <c r="H3124" s="33" t="s">
        <v>26187</v>
      </c>
      <c r="I3124" s="33" t="s">
        <v>409</v>
      </c>
      <c r="J3124" s="33">
        <v>54401</v>
      </c>
      <c r="K3124" s="33" t="s">
        <v>21328</v>
      </c>
      <c r="L3124" s="33" t="s">
        <v>26188</v>
      </c>
      <c r="M3124" s="33" t="s">
        <v>21</v>
      </c>
      <c r="N3124" s="33" t="s">
        <v>26189</v>
      </c>
      <c r="O3124" s="33" t="s">
        <v>372</v>
      </c>
      <c r="P3124" s="33" t="s">
        <v>30089</v>
      </c>
      <c r="Q3124" s="42" t="s">
        <v>26190</v>
      </c>
      <c r="R3124" s="33" t="s">
        <v>512</v>
      </c>
      <c r="S3124" s="33" t="s">
        <v>22</v>
      </c>
      <c r="T3124" s="33" t="s">
        <v>26781</v>
      </c>
      <c r="U3124" s="33" t="s">
        <v>26572</v>
      </c>
      <c r="V3124" s="33" t="s">
        <v>26573</v>
      </c>
      <c r="W3124" s="33" t="s">
        <v>94</v>
      </c>
      <c r="X3124" s="33">
        <v>2395</v>
      </c>
      <c r="Z3124" s="33" t="s">
        <v>42968</v>
      </c>
      <c r="AA3124" s="33">
        <v>4542</v>
      </c>
    </row>
    <row r="3125" spans="1:27" ht="12" customHeight="1" x14ac:dyDescent="0.15">
      <c r="A3125" s="33" t="s">
        <v>26173</v>
      </c>
      <c r="B3125" s="33">
        <v>40</v>
      </c>
      <c r="C3125" s="33" t="s">
        <v>14</v>
      </c>
      <c r="D3125" s="33" t="s">
        <v>79</v>
      </c>
      <c r="E3125" s="42" t="s">
        <v>26174</v>
      </c>
      <c r="F3125" s="67">
        <v>42795</v>
      </c>
      <c r="G3125" s="33" t="s">
        <v>26175</v>
      </c>
      <c r="H3125" s="33" t="s">
        <v>26176</v>
      </c>
      <c r="I3125" s="33" t="s">
        <v>67</v>
      </c>
      <c r="J3125" s="33">
        <v>75904</v>
      </c>
      <c r="K3125" s="33" t="s">
        <v>13529</v>
      </c>
      <c r="L3125" s="33" t="s">
        <v>26177</v>
      </c>
      <c r="M3125" s="33" t="s">
        <v>21</v>
      </c>
      <c r="N3125" s="33" t="s">
        <v>26178</v>
      </c>
      <c r="O3125" s="33" t="s">
        <v>372</v>
      </c>
      <c r="P3125" s="33" t="s">
        <v>30089</v>
      </c>
      <c r="Q3125" s="42" t="s">
        <v>26179</v>
      </c>
      <c r="R3125" s="33" t="s">
        <v>94</v>
      </c>
      <c r="S3125" s="33" t="s">
        <v>22</v>
      </c>
      <c r="T3125" s="36" t="s">
        <v>26774</v>
      </c>
      <c r="U3125" s="33" t="s">
        <v>26572</v>
      </c>
      <c r="V3125" s="33" t="s">
        <v>26573</v>
      </c>
      <c r="W3125" s="33" t="s">
        <v>512</v>
      </c>
      <c r="X3125" s="33">
        <v>2392</v>
      </c>
      <c r="Z3125" s="33" t="s">
        <v>42968</v>
      </c>
      <c r="AA3125" s="33">
        <v>4540</v>
      </c>
    </row>
    <row r="3126" spans="1:27" ht="12" customHeight="1" x14ac:dyDescent="0.15">
      <c r="A3126" s="33" t="s">
        <v>26163</v>
      </c>
      <c r="B3126" s="33">
        <v>25</v>
      </c>
      <c r="C3126" s="33" t="s">
        <v>14</v>
      </c>
      <c r="D3126" s="33" t="s">
        <v>79</v>
      </c>
      <c r="E3126" s="42" t="s">
        <v>26164</v>
      </c>
      <c r="F3126" s="67">
        <v>42794</v>
      </c>
      <c r="G3126" s="33" t="s">
        <v>26165</v>
      </c>
      <c r="H3126" s="33" t="s">
        <v>674</v>
      </c>
      <c r="I3126" s="33" t="s">
        <v>67</v>
      </c>
      <c r="J3126" s="33">
        <v>77031</v>
      </c>
      <c r="K3126" s="33" t="s">
        <v>515</v>
      </c>
      <c r="L3126" s="33" t="s">
        <v>675</v>
      </c>
      <c r="M3126" s="33" t="s">
        <v>21</v>
      </c>
      <c r="N3126" s="33" t="s">
        <v>26166</v>
      </c>
      <c r="O3126" s="33" t="s">
        <v>372</v>
      </c>
      <c r="P3126" s="33" t="s">
        <v>30089</v>
      </c>
      <c r="Q3126" s="42" t="s">
        <v>26167</v>
      </c>
      <c r="R3126" s="33" t="s">
        <v>94</v>
      </c>
      <c r="S3126" s="33" t="s">
        <v>22</v>
      </c>
      <c r="T3126" s="36" t="s">
        <v>26781</v>
      </c>
      <c r="U3126" s="33" t="s">
        <v>26572</v>
      </c>
      <c r="V3126" s="33" t="s">
        <v>26573</v>
      </c>
      <c r="W3126" s="33" t="s">
        <v>94</v>
      </c>
      <c r="X3126" s="33">
        <v>2393</v>
      </c>
      <c r="Z3126" s="33" t="s">
        <v>42968</v>
      </c>
      <c r="AA3126" s="33">
        <v>4537</v>
      </c>
    </row>
    <row r="3127" spans="1:27" ht="12" customHeight="1" x14ac:dyDescent="0.15">
      <c r="A3127" s="33" t="s">
        <v>26168</v>
      </c>
      <c r="B3127" s="33">
        <v>43</v>
      </c>
      <c r="C3127" s="33" t="s">
        <v>14</v>
      </c>
      <c r="D3127" s="33" t="s">
        <v>42</v>
      </c>
      <c r="E3127" s="42" t="s">
        <v>26169</v>
      </c>
      <c r="F3127" s="67">
        <v>42794</v>
      </c>
      <c r="G3127" s="33" t="s">
        <v>26655</v>
      </c>
      <c r="H3127" s="33" t="s">
        <v>941</v>
      </c>
      <c r="I3127" s="33" t="s">
        <v>19</v>
      </c>
      <c r="J3127" s="33">
        <v>70363</v>
      </c>
      <c r="K3127" s="33" t="s">
        <v>942</v>
      </c>
      <c r="L3127" s="33" t="s">
        <v>26170</v>
      </c>
      <c r="M3127" s="33" t="s">
        <v>21</v>
      </c>
      <c r="N3127" s="33" t="s">
        <v>26171</v>
      </c>
      <c r="O3127" s="33" t="s">
        <v>372</v>
      </c>
      <c r="P3127" s="33" t="s">
        <v>30089</v>
      </c>
      <c r="Q3127" s="42" t="s">
        <v>26172</v>
      </c>
      <c r="R3127" s="33" t="s">
        <v>94</v>
      </c>
      <c r="S3127" s="33" t="s">
        <v>22</v>
      </c>
      <c r="T3127" s="33" t="s">
        <v>26781</v>
      </c>
      <c r="U3127" s="33" t="s">
        <v>26570</v>
      </c>
      <c r="V3127" s="33" t="s">
        <v>26573</v>
      </c>
      <c r="W3127" s="33" t="s">
        <v>94</v>
      </c>
      <c r="X3127" s="33">
        <v>2711</v>
      </c>
      <c r="Z3127" s="33" t="s">
        <v>42968</v>
      </c>
      <c r="AA3127" s="33">
        <v>4539</v>
      </c>
    </row>
    <row r="3128" spans="1:27" ht="12" customHeight="1" x14ac:dyDescent="0.15">
      <c r="A3128" s="33" t="s">
        <v>26160</v>
      </c>
      <c r="B3128" s="33">
        <v>20</v>
      </c>
      <c r="C3128" s="33" t="s">
        <v>14</v>
      </c>
      <c r="D3128" s="33" t="s">
        <v>79</v>
      </c>
      <c r="F3128" s="67">
        <v>42794</v>
      </c>
      <c r="G3128" s="33" t="s">
        <v>26654</v>
      </c>
      <c r="H3128" s="33" t="s">
        <v>997</v>
      </c>
      <c r="I3128" s="33" t="s">
        <v>56</v>
      </c>
      <c r="J3128" s="33">
        <v>32839</v>
      </c>
      <c r="K3128" s="33" t="s">
        <v>998</v>
      </c>
      <c r="L3128" s="33" t="s">
        <v>4077</v>
      </c>
      <c r="M3128" s="33" t="s">
        <v>21</v>
      </c>
      <c r="N3128" s="33" t="s">
        <v>26161</v>
      </c>
      <c r="O3128" s="33" t="s">
        <v>372</v>
      </c>
      <c r="P3128" s="33" t="s">
        <v>30089</v>
      </c>
      <c r="Q3128" s="42" t="s">
        <v>26162</v>
      </c>
      <c r="R3128" s="33" t="s">
        <v>94</v>
      </c>
      <c r="S3128" s="33" t="s">
        <v>22</v>
      </c>
      <c r="T3128" s="36" t="s">
        <v>26781</v>
      </c>
      <c r="U3128" s="33" t="s">
        <v>26572</v>
      </c>
      <c r="V3128" s="33" t="s">
        <v>26574</v>
      </c>
      <c r="W3128" s="33" t="s">
        <v>94</v>
      </c>
      <c r="X3128" s="33">
        <v>2394</v>
      </c>
      <c r="Z3128" s="33" t="s">
        <v>42968</v>
      </c>
      <c r="AA3128" s="33">
        <v>4538</v>
      </c>
    </row>
    <row r="3129" spans="1:27" ht="12" customHeight="1" x14ac:dyDescent="0.15">
      <c r="A3129" s="33" t="s">
        <v>25434</v>
      </c>
      <c r="B3129" s="33">
        <v>27</v>
      </c>
      <c r="C3129" s="33" t="s">
        <v>14</v>
      </c>
      <c r="D3129" s="33" t="s">
        <v>31</v>
      </c>
      <c r="F3129" s="67">
        <v>42793</v>
      </c>
      <c r="G3129" s="33" t="s">
        <v>25435</v>
      </c>
      <c r="H3129" s="33" t="s">
        <v>1117</v>
      </c>
      <c r="I3129" s="33" t="s">
        <v>338</v>
      </c>
      <c r="J3129" s="33">
        <v>28152</v>
      </c>
      <c r="K3129" s="33" t="s">
        <v>924</v>
      </c>
      <c r="L3129" s="33" t="s">
        <v>25436</v>
      </c>
      <c r="M3129" s="33" t="s">
        <v>21</v>
      </c>
      <c r="N3129" s="33" t="s">
        <v>25437</v>
      </c>
      <c r="O3129" s="33" t="s">
        <v>372</v>
      </c>
      <c r="P3129" s="33" t="s">
        <v>30089</v>
      </c>
      <c r="Q3129" s="42" t="s">
        <v>25438</v>
      </c>
      <c r="R3129" s="33" t="s">
        <v>512</v>
      </c>
      <c r="S3129" s="33" t="s">
        <v>22</v>
      </c>
      <c r="T3129" s="36" t="s">
        <v>26781</v>
      </c>
      <c r="U3129" s="33" t="s">
        <v>26572</v>
      </c>
      <c r="V3129" s="33" t="s">
        <v>26574</v>
      </c>
      <c r="W3129" s="33" t="s">
        <v>94</v>
      </c>
      <c r="X3129" s="33">
        <v>2378</v>
      </c>
      <c r="Z3129" s="33" t="s">
        <v>42968</v>
      </c>
      <c r="AA3129" s="33">
        <v>4535</v>
      </c>
    </row>
    <row r="3130" spans="1:27" ht="12" customHeight="1" x14ac:dyDescent="0.15">
      <c r="A3130" s="33" t="s">
        <v>25647</v>
      </c>
      <c r="B3130" s="33">
        <v>40</v>
      </c>
      <c r="C3130" s="33" t="s">
        <v>14</v>
      </c>
      <c r="D3130" s="33" t="s">
        <v>31</v>
      </c>
      <c r="E3130" s="42" t="s">
        <v>25648</v>
      </c>
      <c r="F3130" s="67">
        <v>42793</v>
      </c>
      <c r="G3130" s="33" t="s">
        <v>25649</v>
      </c>
      <c r="H3130" s="33" t="s">
        <v>25650</v>
      </c>
      <c r="I3130" s="33" t="s">
        <v>409</v>
      </c>
      <c r="J3130" s="33">
        <v>54452</v>
      </c>
      <c r="K3130" s="33" t="s">
        <v>2159</v>
      </c>
      <c r="L3130" s="33" t="s">
        <v>9808</v>
      </c>
      <c r="M3130" s="33" t="s">
        <v>21</v>
      </c>
      <c r="N3130" s="33" t="s">
        <v>25651</v>
      </c>
      <c r="O3130" s="33" t="s">
        <v>372</v>
      </c>
      <c r="P3130" s="33" t="s">
        <v>30089</v>
      </c>
      <c r="Q3130" s="42" t="s">
        <v>25652</v>
      </c>
      <c r="R3130" s="33" t="s">
        <v>94</v>
      </c>
      <c r="S3130" s="33" t="s">
        <v>22</v>
      </c>
      <c r="T3130" s="36" t="s">
        <v>26781</v>
      </c>
      <c r="U3130" s="33" t="s">
        <v>26572</v>
      </c>
      <c r="V3130" s="33" t="s">
        <v>26573</v>
      </c>
      <c r="W3130" s="33" t="s">
        <v>94</v>
      </c>
      <c r="X3130" s="33">
        <v>2391</v>
      </c>
      <c r="Z3130" s="33" t="s">
        <v>42967</v>
      </c>
      <c r="AA3130" s="33">
        <v>4536</v>
      </c>
    </row>
    <row r="3131" spans="1:27" ht="12" customHeight="1" x14ac:dyDescent="0.15">
      <c r="A3131" s="33" t="s">
        <v>25379</v>
      </c>
      <c r="B3131" s="33">
        <v>66</v>
      </c>
      <c r="C3131" s="33" t="s">
        <v>14</v>
      </c>
      <c r="D3131" s="33" t="s">
        <v>31</v>
      </c>
      <c r="E3131" s="33" t="s">
        <v>26149</v>
      </c>
      <c r="F3131" s="67">
        <v>42792</v>
      </c>
      <c r="G3131" s="33" t="s">
        <v>25380</v>
      </c>
      <c r="H3131" s="33" t="s">
        <v>25381</v>
      </c>
      <c r="I3131" s="33" t="s">
        <v>56</v>
      </c>
      <c r="J3131" s="33">
        <v>34436</v>
      </c>
      <c r="K3131" s="33" t="s">
        <v>5505</v>
      </c>
      <c r="L3131" s="33" t="s">
        <v>6836</v>
      </c>
      <c r="M3131" s="33" t="s">
        <v>21</v>
      </c>
      <c r="N3131" s="33" t="s">
        <v>25382</v>
      </c>
      <c r="O3131" s="33" t="s">
        <v>372</v>
      </c>
      <c r="P3131" s="33" t="s">
        <v>30089</v>
      </c>
      <c r="Q3131" s="42" t="s">
        <v>25383</v>
      </c>
      <c r="R3131" s="33" t="s">
        <v>94</v>
      </c>
      <c r="S3131" s="33" t="s">
        <v>22</v>
      </c>
      <c r="T3131" s="36" t="s">
        <v>26781</v>
      </c>
      <c r="U3131" s="33" t="s">
        <v>26570</v>
      </c>
      <c r="V3131" s="33" t="s">
        <v>26571</v>
      </c>
      <c r="W3131" s="33" t="s">
        <v>94</v>
      </c>
      <c r="X3131" s="33">
        <v>2382</v>
      </c>
      <c r="Z3131" s="33" t="s">
        <v>42967</v>
      </c>
      <c r="AA3131" s="33">
        <v>4532</v>
      </c>
    </row>
    <row r="3132" spans="1:27" ht="12" customHeight="1" x14ac:dyDescent="0.15">
      <c r="A3132" s="33" t="s">
        <v>25914</v>
      </c>
      <c r="B3132" s="33">
        <v>46</v>
      </c>
      <c r="C3132" s="33" t="s">
        <v>103</v>
      </c>
      <c r="D3132" s="33" t="s">
        <v>31</v>
      </c>
      <c r="E3132" s="33" t="s">
        <v>26157</v>
      </c>
      <c r="F3132" s="67">
        <v>42792</v>
      </c>
      <c r="G3132" s="33" t="s">
        <v>25915</v>
      </c>
      <c r="H3132" s="33" t="s">
        <v>20003</v>
      </c>
      <c r="I3132" s="33" t="s">
        <v>39</v>
      </c>
      <c r="J3132" s="33">
        <v>95366</v>
      </c>
      <c r="K3132" s="33" t="s">
        <v>1647</v>
      </c>
      <c r="L3132" s="33" t="s">
        <v>36616</v>
      </c>
      <c r="M3132" s="33" t="s">
        <v>21</v>
      </c>
      <c r="N3132" s="33" t="s">
        <v>25916</v>
      </c>
      <c r="O3132" s="33" t="s">
        <v>372</v>
      </c>
      <c r="P3132" s="33" t="s">
        <v>30089</v>
      </c>
      <c r="Q3132" s="42" t="s">
        <v>25917</v>
      </c>
      <c r="R3132" s="33" t="s">
        <v>94</v>
      </c>
      <c r="S3132" s="33" t="s">
        <v>351</v>
      </c>
      <c r="T3132" s="36" t="s">
        <v>26867</v>
      </c>
      <c r="U3132" s="33" t="s">
        <v>26570</v>
      </c>
      <c r="V3132" s="33" t="s">
        <v>26571</v>
      </c>
      <c r="W3132" s="33" t="s">
        <v>94</v>
      </c>
      <c r="X3132" s="33">
        <v>2380</v>
      </c>
      <c r="Z3132" s="33" t="s">
        <v>42968</v>
      </c>
      <c r="AA3132" s="33">
        <v>4534</v>
      </c>
    </row>
    <row r="3133" spans="1:27" ht="12" customHeight="1" x14ac:dyDescent="0.15">
      <c r="A3133" s="33" t="s">
        <v>30408</v>
      </c>
      <c r="B3133" s="33">
        <v>36</v>
      </c>
      <c r="C3133" s="33" t="s">
        <v>14</v>
      </c>
      <c r="D3133" s="33" t="s">
        <v>31</v>
      </c>
      <c r="F3133" s="67">
        <v>42792</v>
      </c>
      <c r="G3133" s="33" t="s">
        <v>25599</v>
      </c>
      <c r="H3133" s="33" t="s">
        <v>4828</v>
      </c>
      <c r="I3133" s="33" t="s">
        <v>221</v>
      </c>
      <c r="J3133" s="33">
        <v>84074</v>
      </c>
      <c r="K3133" s="33" t="s">
        <v>4828</v>
      </c>
      <c r="L3133" s="33" t="s">
        <v>36617</v>
      </c>
      <c r="M3133" s="33" t="s">
        <v>21</v>
      </c>
      <c r="N3133" s="33" t="s">
        <v>25600</v>
      </c>
      <c r="O3133" s="33" t="s">
        <v>372</v>
      </c>
      <c r="P3133" s="33" t="s">
        <v>30089</v>
      </c>
      <c r="Q3133" s="42" t="s">
        <v>25601</v>
      </c>
      <c r="R3133" s="33" t="s">
        <v>512</v>
      </c>
      <c r="S3133" s="33" t="s">
        <v>22</v>
      </c>
      <c r="T3133" s="36" t="s">
        <v>26781</v>
      </c>
      <c r="U3133" s="33" t="s">
        <v>26570</v>
      </c>
      <c r="V3133" s="33" t="s">
        <v>26573</v>
      </c>
      <c r="W3133" s="33" t="s">
        <v>94</v>
      </c>
      <c r="X3133" s="33">
        <v>2381</v>
      </c>
      <c r="Y3133" s="82"/>
      <c r="Z3133" s="33" t="s">
        <v>42968</v>
      </c>
      <c r="AA3133" s="33">
        <v>4531</v>
      </c>
    </row>
    <row r="3134" spans="1:27" ht="12" customHeight="1" x14ac:dyDescent="0.15">
      <c r="A3134" s="33" t="s">
        <v>25366</v>
      </c>
      <c r="B3134" s="33">
        <v>41</v>
      </c>
      <c r="C3134" s="33" t="s">
        <v>14</v>
      </c>
      <c r="D3134" s="33" t="s">
        <v>31</v>
      </c>
      <c r="F3134" s="67">
        <v>42792</v>
      </c>
      <c r="G3134" s="33" t="s">
        <v>26093</v>
      </c>
      <c r="H3134" s="33" t="s">
        <v>25367</v>
      </c>
      <c r="I3134" s="33" t="s">
        <v>56</v>
      </c>
      <c r="J3134" s="33">
        <v>34224</v>
      </c>
      <c r="K3134" s="33" t="s">
        <v>3855</v>
      </c>
      <c r="L3134" s="33" t="s">
        <v>36419</v>
      </c>
      <c r="M3134" s="33" t="s">
        <v>21</v>
      </c>
      <c r="N3134" s="33" t="s">
        <v>25368</v>
      </c>
      <c r="O3134" s="33" t="s">
        <v>372</v>
      </c>
      <c r="P3134" s="33" t="s">
        <v>30089</v>
      </c>
      <c r="Q3134" s="42" t="s">
        <v>25369</v>
      </c>
      <c r="R3134" s="33" t="s">
        <v>94</v>
      </c>
      <c r="S3134" s="33" t="s">
        <v>22</v>
      </c>
      <c r="T3134" s="36" t="s">
        <v>26774</v>
      </c>
      <c r="U3134" s="33" t="s">
        <v>26570</v>
      </c>
      <c r="V3134" s="33" t="s">
        <v>26573</v>
      </c>
      <c r="W3134" s="33" t="s">
        <v>94</v>
      </c>
      <c r="X3134" s="33">
        <v>2379</v>
      </c>
      <c r="Z3134" s="33" t="s">
        <v>42968</v>
      </c>
      <c r="AA3134" s="33">
        <v>4533</v>
      </c>
    </row>
    <row r="3135" spans="1:27" ht="12" customHeight="1" x14ac:dyDescent="0.15">
      <c r="A3135" s="33" t="s">
        <v>26724</v>
      </c>
      <c r="B3135" s="33">
        <v>39</v>
      </c>
      <c r="C3135" s="33" t="s">
        <v>14</v>
      </c>
      <c r="D3135" s="33" t="s">
        <v>31</v>
      </c>
      <c r="F3135" s="67">
        <v>42791</v>
      </c>
      <c r="G3135" s="33" t="s">
        <v>25784</v>
      </c>
      <c r="H3135" s="33" t="s">
        <v>25785</v>
      </c>
      <c r="I3135" s="33" t="s">
        <v>160</v>
      </c>
      <c r="J3135" s="33">
        <v>31815</v>
      </c>
      <c r="K3135" s="33" t="s">
        <v>25786</v>
      </c>
      <c r="L3135" s="33" t="s">
        <v>17985</v>
      </c>
      <c r="M3135" s="33" t="s">
        <v>21</v>
      </c>
      <c r="N3135" s="33" t="s">
        <v>30409</v>
      </c>
      <c r="O3135" s="33" t="s">
        <v>372</v>
      </c>
      <c r="P3135" s="33" t="s">
        <v>30089</v>
      </c>
      <c r="Q3135" s="33" t="s">
        <v>27804</v>
      </c>
      <c r="R3135" s="33" t="s">
        <v>94</v>
      </c>
      <c r="S3135" s="33" t="s">
        <v>22</v>
      </c>
      <c r="T3135" s="36" t="s">
        <v>26781</v>
      </c>
      <c r="U3135" s="33" t="s">
        <v>26572</v>
      </c>
      <c r="V3135" s="33" t="s">
        <v>26571</v>
      </c>
      <c r="W3135" s="33" t="s">
        <v>94</v>
      </c>
      <c r="X3135" s="33">
        <v>2384</v>
      </c>
      <c r="Z3135" s="33" t="s">
        <v>42967</v>
      </c>
      <c r="AA3135" s="33">
        <v>4529</v>
      </c>
    </row>
    <row r="3136" spans="1:27" ht="12" customHeight="1" x14ac:dyDescent="0.15">
      <c r="A3136" s="33" t="s">
        <v>30351</v>
      </c>
      <c r="B3136" s="33">
        <v>23</v>
      </c>
      <c r="C3136" s="33" t="s">
        <v>14</v>
      </c>
      <c r="D3136" s="33" t="s">
        <v>79</v>
      </c>
      <c r="F3136" s="67">
        <v>42791</v>
      </c>
      <c r="G3136" s="33" t="s">
        <v>26137</v>
      </c>
      <c r="H3136" s="33" t="s">
        <v>25999</v>
      </c>
      <c r="I3136" s="33" t="s">
        <v>39</v>
      </c>
      <c r="J3136" s="33">
        <v>95765</v>
      </c>
      <c r="K3136" s="33" t="s">
        <v>1003</v>
      </c>
      <c r="L3136" s="33" t="s">
        <v>26000</v>
      </c>
      <c r="M3136" s="33" t="s">
        <v>21</v>
      </c>
      <c r="N3136" s="33" t="s">
        <v>26001</v>
      </c>
      <c r="O3136" s="33" t="s">
        <v>372</v>
      </c>
      <c r="P3136" s="33" t="s">
        <v>30089</v>
      </c>
      <c r="Q3136" s="42" t="s">
        <v>26002</v>
      </c>
      <c r="R3136" s="33" t="s">
        <v>94</v>
      </c>
      <c r="S3136" s="33" t="s">
        <v>12</v>
      </c>
      <c r="T3136" s="33" t="s">
        <v>29425</v>
      </c>
      <c r="U3136" s="33" t="s">
        <v>26572</v>
      </c>
      <c r="V3136" s="33" t="s">
        <v>26574</v>
      </c>
      <c r="W3136" s="33" t="s">
        <v>94</v>
      </c>
      <c r="X3136" s="33">
        <v>2383</v>
      </c>
      <c r="Z3136" s="33" t="s">
        <v>42968</v>
      </c>
      <c r="AA3136" s="33">
        <v>4530</v>
      </c>
    </row>
    <row r="3137" spans="1:43" ht="12" customHeight="1" x14ac:dyDescent="0.15">
      <c r="A3137" s="33" t="s">
        <v>25355</v>
      </c>
      <c r="B3137" s="33">
        <v>44</v>
      </c>
      <c r="C3137" s="33" t="s">
        <v>14</v>
      </c>
      <c r="D3137" s="33" t="s">
        <v>79</v>
      </c>
      <c r="E3137" s="33" t="s">
        <v>26145</v>
      </c>
      <c r="F3137" s="67">
        <v>42790</v>
      </c>
      <c r="G3137" s="33" t="s">
        <v>25356</v>
      </c>
      <c r="H3137" s="33" t="s">
        <v>8861</v>
      </c>
      <c r="I3137" s="33" t="s">
        <v>918</v>
      </c>
      <c r="J3137" s="33">
        <v>72205</v>
      </c>
      <c r="K3137" s="33" t="s">
        <v>2312</v>
      </c>
      <c r="L3137" s="33" t="s">
        <v>8863</v>
      </c>
      <c r="M3137" s="33" t="s">
        <v>21</v>
      </c>
      <c r="N3137" s="33" t="s">
        <v>25357</v>
      </c>
      <c r="O3137" s="33" t="s">
        <v>372</v>
      </c>
      <c r="P3137" s="33" t="s">
        <v>30089</v>
      </c>
      <c r="Q3137" s="42" t="s">
        <v>25358</v>
      </c>
      <c r="R3137" s="33" t="s">
        <v>94</v>
      </c>
      <c r="S3137" s="33" t="s">
        <v>22</v>
      </c>
      <c r="T3137" s="33" t="s">
        <v>26781</v>
      </c>
      <c r="U3137" s="33" t="s">
        <v>26572</v>
      </c>
      <c r="V3137" s="33" t="s">
        <v>26573</v>
      </c>
      <c r="Y3137" s="33" t="s">
        <v>42476</v>
      </c>
      <c r="Z3137" s="33" t="s">
        <v>42966</v>
      </c>
      <c r="AA3137" s="33">
        <v>4527</v>
      </c>
    </row>
    <row r="3138" spans="1:43" ht="12" customHeight="1" x14ac:dyDescent="0.15">
      <c r="A3138" s="33" t="s">
        <v>25783</v>
      </c>
      <c r="B3138" s="33">
        <v>53</v>
      </c>
      <c r="C3138" s="33" t="s">
        <v>14</v>
      </c>
      <c r="D3138" s="33" t="s">
        <v>31</v>
      </c>
      <c r="F3138" s="67">
        <v>42790</v>
      </c>
      <c r="G3138" s="33" t="s">
        <v>30719</v>
      </c>
      <c r="H3138" s="33" t="s">
        <v>404</v>
      </c>
      <c r="I3138" s="33" t="s">
        <v>160</v>
      </c>
      <c r="J3138" s="33">
        <v>30233</v>
      </c>
      <c r="K3138" s="33" t="s">
        <v>21356</v>
      </c>
      <c r="L3138" s="33" t="s">
        <v>30720</v>
      </c>
      <c r="M3138" s="33" t="s">
        <v>363</v>
      </c>
      <c r="N3138" s="33" t="s">
        <v>25787</v>
      </c>
      <c r="O3138" s="33" t="s">
        <v>372</v>
      </c>
      <c r="P3138" s="33" t="s">
        <v>30089</v>
      </c>
      <c r="Q3138" s="42" t="s">
        <v>25788</v>
      </c>
      <c r="R3138" s="33" t="s">
        <v>23</v>
      </c>
      <c r="S3138" s="33" t="s">
        <v>12</v>
      </c>
      <c r="T3138" s="33" t="s">
        <v>29705</v>
      </c>
      <c r="U3138" s="33" t="s">
        <v>26572</v>
      </c>
      <c r="V3138" s="33" t="s">
        <v>26573</v>
      </c>
      <c r="Z3138" s="33" t="s">
        <v>42967</v>
      </c>
      <c r="AA3138" s="33">
        <v>4528</v>
      </c>
    </row>
    <row r="3139" spans="1:43" ht="12" customHeight="1" x14ac:dyDescent="0.15">
      <c r="A3139" s="33" t="s">
        <v>25370</v>
      </c>
      <c r="B3139" s="33">
        <v>33</v>
      </c>
      <c r="C3139" s="33" t="s">
        <v>103</v>
      </c>
      <c r="D3139" s="33" t="s">
        <v>31</v>
      </c>
      <c r="F3139" s="67">
        <v>42790</v>
      </c>
      <c r="G3139" s="33" t="s">
        <v>25371</v>
      </c>
      <c r="H3139" s="33" t="s">
        <v>4535</v>
      </c>
      <c r="I3139" s="33" t="s">
        <v>67</v>
      </c>
      <c r="J3139" s="33">
        <v>77566</v>
      </c>
      <c r="K3139" s="33" t="s">
        <v>4537</v>
      </c>
      <c r="L3139" s="33" t="s">
        <v>4538</v>
      </c>
      <c r="M3139" s="33" t="s">
        <v>21</v>
      </c>
      <c r="N3139" s="33" t="s">
        <v>25372</v>
      </c>
      <c r="O3139" s="33" t="s">
        <v>372</v>
      </c>
      <c r="P3139" s="33" t="s">
        <v>30089</v>
      </c>
      <c r="Q3139" s="42" t="s">
        <v>25373</v>
      </c>
      <c r="R3139" s="33" t="s">
        <v>94</v>
      </c>
      <c r="S3139" s="33" t="s">
        <v>22</v>
      </c>
      <c r="T3139" s="36" t="s">
        <v>26781</v>
      </c>
      <c r="U3139" s="33" t="s">
        <v>26572</v>
      </c>
      <c r="V3139" s="33" t="s">
        <v>26571</v>
      </c>
      <c r="W3139" s="33" t="s">
        <v>94</v>
      </c>
      <c r="X3139" s="33">
        <v>2390</v>
      </c>
      <c r="Z3139" s="33" t="s">
        <v>42968</v>
      </c>
      <c r="AA3139" s="33">
        <v>4526</v>
      </c>
    </row>
    <row r="3140" spans="1:43" ht="12" customHeight="1" x14ac:dyDescent="0.15">
      <c r="A3140" s="33" t="s">
        <v>25566</v>
      </c>
      <c r="B3140" s="33">
        <v>62</v>
      </c>
      <c r="C3140" s="33" t="s">
        <v>14</v>
      </c>
      <c r="D3140" s="33" t="s">
        <v>31</v>
      </c>
      <c r="F3140" s="67">
        <v>42790</v>
      </c>
      <c r="G3140" s="33" t="s">
        <v>26111</v>
      </c>
      <c r="H3140" s="33" t="s">
        <v>3976</v>
      </c>
      <c r="I3140" s="33" t="s">
        <v>376</v>
      </c>
      <c r="J3140" s="33">
        <v>19602</v>
      </c>
      <c r="K3140" s="33" t="s">
        <v>3977</v>
      </c>
      <c r="L3140" s="33" t="s">
        <v>25567</v>
      </c>
      <c r="M3140" s="33" t="s">
        <v>21</v>
      </c>
      <c r="N3140" s="33" t="s">
        <v>25568</v>
      </c>
      <c r="O3140" s="33" t="s">
        <v>372</v>
      </c>
      <c r="P3140" s="33" t="s">
        <v>30089</v>
      </c>
      <c r="Q3140" s="42" t="s">
        <v>25569</v>
      </c>
      <c r="R3140" s="33" t="s">
        <v>23</v>
      </c>
      <c r="S3140" s="33" t="s">
        <v>22</v>
      </c>
      <c r="T3140" s="36" t="s">
        <v>26781</v>
      </c>
      <c r="U3140" s="33" t="s">
        <v>26572</v>
      </c>
      <c r="V3140" s="33" t="s">
        <v>26573</v>
      </c>
      <c r="W3140" s="33" t="s">
        <v>94</v>
      </c>
      <c r="X3140" s="33">
        <v>2386</v>
      </c>
      <c r="Z3140" s="33" t="s">
        <v>42966</v>
      </c>
      <c r="AA3140" s="33">
        <v>4524</v>
      </c>
    </row>
    <row r="3141" spans="1:43" ht="12" customHeight="1" x14ac:dyDescent="0.15">
      <c r="A3141" s="33" t="s">
        <v>25429</v>
      </c>
      <c r="B3141" s="33">
        <v>30</v>
      </c>
      <c r="C3141" s="33" t="s">
        <v>14</v>
      </c>
      <c r="D3141" s="33" t="s">
        <v>31</v>
      </c>
      <c r="E3141" s="42" t="s">
        <v>25430</v>
      </c>
      <c r="F3141" s="67">
        <v>42790</v>
      </c>
      <c r="G3141" s="33" t="s">
        <v>26099</v>
      </c>
      <c r="H3141" s="33" t="s">
        <v>25431</v>
      </c>
      <c r="I3141" s="33" t="s">
        <v>294</v>
      </c>
      <c r="J3141" s="33">
        <v>40744</v>
      </c>
      <c r="K3141" s="33" t="s">
        <v>20650</v>
      </c>
      <c r="L3141" s="33" t="s">
        <v>20651</v>
      </c>
      <c r="M3141" s="33" t="s">
        <v>21</v>
      </c>
      <c r="N3141" s="33" t="s">
        <v>25432</v>
      </c>
      <c r="O3141" s="33" t="s">
        <v>372</v>
      </c>
      <c r="P3141" s="33" t="s">
        <v>30089</v>
      </c>
      <c r="Q3141" s="42" t="s">
        <v>25433</v>
      </c>
      <c r="R3141" s="33" t="s">
        <v>512</v>
      </c>
      <c r="S3141" s="33" t="s">
        <v>22</v>
      </c>
      <c r="T3141" s="36" t="s">
        <v>26781</v>
      </c>
      <c r="U3141" s="33" t="s">
        <v>26572</v>
      </c>
      <c r="V3141" s="33" t="s">
        <v>26573</v>
      </c>
      <c r="W3141" s="33" t="s">
        <v>94</v>
      </c>
      <c r="X3141" s="33">
        <v>2388</v>
      </c>
      <c r="Z3141" s="33" t="s">
        <v>42967</v>
      </c>
      <c r="AA3141" s="33">
        <v>4525</v>
      </c>
    </row>
    <row r="3142" spans="1:43" ht="12" customHeight="1" x14ac:dyDescent="0.15">
      <c r="A3142" s="33" t="s">
        <v>25673</v>
      </c>
      <c r="B3142" s="33">
        <v>24</v>
      </c>
      <c r="C3142" s="33" t="s">
        <v>14</v>
      </c>
      <c r="D3142" s="33" t="s">
        <v>79</v>
      </c>
      <c r="E3142" s="42" t="s">
        <v>25674</v>
      </c>
      <c r="F3142" s="67">
        <v>42789</v>
      </c>
      <c r="G3142" s="33" t="s">
        <v>25675</v>
      </c>
      <c r="H3142" s="33" t="s">
        <v>1506</v>
      </c>
      <c r="I3142" s="33" t="s">
        <v>250</v>
      </c>
      <c r="J3142" s="33">
        <v>89501</v>
      </c>
      <c r="K3142" s="33" t="s">
        <v>5732</v>
      </c>
      <c r="L3142" s="33" t="s">
        <v>6817</v>
      </c>
      <c r="M3142" s="33" t="s">
        <v>21</v>
      </c>
      <c r="N3142" s="33" t="s">
        <v>25676</v>
      </c>
      <c r="O3142" s="33" t="s">
        <v>372</v>
      </c>
      <c r="P3142" s="33" t="s">
        <v>30089</v>
      </c>
      <c r="Q3142" s="42" t="s">
        <v>25677</v>
      </c>
      <c r="R3142" s="33" t="s">
        <v>94</v>
      </c>
      <c r="S3142" s="33" t="s">
        <v>22</v>
      </c>
      <c r="T3142" s="36" t="s">
        <v>26781</v>
      </c>
      <c r="U3142" s="33" t="s">
        <v>26570</v>
      </c>
      <c r="V3142" s="33" t="s">
        <v>26574</v>
      </c>
      <c r="W3142" s="33" t="s">
        <v>94</v>
      </c>
      <c r="X3142" s="33">
        <v>2376</v>
      </c>
      <c r="Z3142" s="33" t="s">
        <v>42966</v>
      </c>
      <c r="AA3142" s="33">
        <v>4522</v>
      </c>
    </row>
    <row r="3143" spans="1:43" ht="12" customHeight="1" x14ac:dyDescent="0.15">
      <c r="A3143" s="33" t="s">
        <v>25420</v>
      </c>
      <c r="B3143" s="33">
        <v>38</v>
      </c>
      <c r="C3143" s="33" t="s">
        <v>14</v>
      </c>
      <c r="D3143" s="33" t="s">
        <v>31</v>
      </c>
      <c r="E3143" s="42" t="s">
        <v>25421</v>
      </c>
      <c r="F3143" s="67">
        <v>42789</v>
      </c>
      <c r="G3143" s="33" t="s">
        <v>26098</v>
      </c>
      <c r="H3143" s="33" t="s">
        <v>1202</v>
      </c>
      <c r="I3143" s="33" t="s">
        <v>63</v>
      </c>
      <c r="J3143" s="33">
        <v>43207</v>
      </c>
      <c r="K3143" s="33" t="s">
        <v>1203</v>
      </c>
      <c r="L3143" s="33" t="s">
        <v>11441</v>
      </c>
      <c r="M3143" s="33" t="s">
        <v>21</v>
      </c>
      <c r="N3143" s="33" t="s">
        <v>25422</v>
      </c>
      <c r="O3143" s="33" t="s">
        <v>372</v>
      </c>
      <c r="P3143" s="33" t="s">
        <v>30089</v>
      </c>
      <c r="Q3143" s="42" t="s">
        <v>25423</v>
      </c>
      <c r="R3143" s="33" t="s">
        <v>904</v>
      </c>
      <c r="S3143" s="33" t="s">
        <v>22</v>
      </c>
      <c r="T3143" s="36" t="s">
        <v>26781</v>
      </c>
      <c r="U3143" s="33" t="s">
        <v>26572</v>
      </c>
      <c r="V3143" s="33" t="s">
        <v>26573</v>
      </c>
      <c r="W3143" s="33" t="s">
        <v>94</v>
      </c>
      <c r="X3143" s="33">
        <v>2375</v>
      </c>
      <c r="Z3143" s="33" t="s">
        <v>42966</v>
      </c>
      <c r="AA3143" s="33">
        <v>4521</v>
      </c>
    </row>
    <row r="3144" spans="1:43" ht="12" customHeight="1" x14ac:dyDescent="0.15">
      <c r="A3144" s="33" t="s">
        <v>26042</v>
      </c>
      <c r="B3144" s="33">
        <v>47</v>
      </c>
      <c r="C3144" s="33" t="s">
        <v>14</v>
      </c>
      <c r="D3144" s="33" t="s">
        <v>79</v>
      </c>
      <c r="E3144" s="42" t="s">
        <v>30394</v>
      </c>
      <c r="F3144" s="67">
        <v>42789</v>
      </c>
      <c r="G3144" s="33" t="s">
        <v>26141</v>
      </c>
      <c r="H3144" s="33" t="s">
        <v>107</v>
      </c>
      <c r="I3144" s="33" t="s">
        <v>3357</v>
      </c>
      <c r="J3144" s="33">
        <v>20002</v>
      </c>
      <c r="K3144" s="33" t="s">
        <v>3359</v>
      </c>
      <c r="L3144" s="33" t="s">
        <v>17581</v>
      </c>
      <c r="M3144" s="33" t="s">
        <v>21</v>
      </c>
      <c r="N3144" s="33" t="s">
        <v>26043</v>
      </c>
      <c r="O3144" s="33" t="s">
        <v>372</v>
      </c>
      <c r="P3144" s="33" t="s">
        <v>30089</v>
      </c>
      <c r="Q3144" s="42" t="s">
        <v>26044</v>
      </c>
      <c r="R3144" s="33" t="s">
        <v>94</v>
      </c>
      <c r="S3144" s="33" t="s">
        <v>22</v>
      </c>
      <c r="T3144" s="36" t="s">
        <v>26781</v>
      </c>
      <c r="U3144" s="33" t="s">
        <v>26572</v>
      </c>
      <c r="V3144" s="33" t="s">
        <v>26574</v>
      </c>
      <c r="W3144" s="33" t="s">
        <v>512</v>
      </c>
      <c r="X3144" s="33">
        <v>2377</v>
      </c>
      <c r="Z3144" s="33" t="s">
        <v>42966</v>
      </c>
      <c r="AA3144" s="33">
        <v>4523</v>
      </c>
    </row>
    <row r="3145" spans="1:43" ht="12" customHeight="1" x14ac:dyDescent="0.15">
      <c r="A3145" s="33" t="s">
        <v>25492</v>
      </c>
      <c r="B3145" s="33">
        <v>54</v>
      </c>
      <c r="C3145" s="33" t="s">
        <v>14</v>
      </c>
      <c r="D3145" s="33" t="s">
        <v>31</v>
      </c>
      <c r="E3145" s="42" t="s">
        <v>29662</v>
      </c>
      <c r="F3145" s="67">
        <v>42789</v>
      </c>
      <c r="G3145" s="33" t="s">
        <v>25493</v>
      </c>
      <c r="H3145" s="33" t="s">
        <v>4065</v>
      </c>
      <c r="I3145" s="33" t="s">
        <v>367</v>
      </c>
      <c r="J3145" s="33">
        <v>74637</v>
      </c>
      <c r="K3145" s="33" t="s">
        <v>3818</v>
      </c>
      <c r="L3145" s="33" t="s">
        <v>3819</v>
      </c>
      <c r="M3145" s="33" t="s">
        <v>21</v>
      </c>
      <c r="N3145" s="33" t="s">
        <v>25494</v>
      </c>
      <c r="O3145" s="33" t="s">
        <v>372</v>
      </c>
      <c r="P3145" s="33" t="s">
        <v>30089</v>
      </c>
      <c r="Q3145" s="42" t="s">
        <v>25495</v>
      </c>
      <c r="R3145" s="33" t="s">
        <v>94</v>
      </c>
      <c r="S3145" s="33" t="s">
        <v>22</v>
      </c>
      <c r="T3145" s="36" t="s">
        <v>26781</v>
      </c>
      <c r="U3145" s="33" t="s">
        <v>26572</v>
      </c>
      <c r="V3145" s="33" t="s">
        <v>26573</v>
      </c>
      <c r="W3145" s="33" t="s">
        <v>94</v>
      </c>
      <c r="X3145" s="33">
        <v>2373</v>
      </c>
      <c r="Z3145" s="33" t="s">
        <v>42967</v>
      </c>
      <c r="AA3145" s="33">
        <v>4520</v>
      </c>
    </row>
    <row r="3146" spans="1:43" ht="12" customHeight="1" x14ac:dyDescent="0.15">
      <c r="A3146" s="33" t="s">
        <v>25279</v>
      </c>
      <c r="B3146" s="33">
        <v>33</v>
      </c>
      <c r="C3146" s="33" t="s">
        <v>14</v>
      </c>
      <c r="D3146" s="33" t="s">
        <v>42</v>
      </c>
      <c r="E3146" s="42" t="s">
        <v>25280</v>
      </c>
      <c r="F3146" s="67">
        <v>42789</v>
      </c>
      <c r="G3146" s="33" t="s">
        <v>25281</v>
      </c>
      <c r="H3146" s="33" t="s">
        <v>1249</v>
      </c>
      <c r="I3146" s="33" t="s">
        <v>337</v>
      </c>
      <c r="J3146" s="33">
        <v>67114</v>
      </c>
      <c r="K3146" s="33" t="s">
        <v>2138</v>
      </c>
      <c r="L3146" s="33" t="s">
        <v>7168</v>
      </c>
      <c r="M3146" s="33" t="s">
        <v>21</v>
      </c>
      <c r="N3146" s="33" t="s">
        <v>25282</v>
      </c>
      <c r="O3146" s="33" t="s">
        <v>372</v>
      </c>
      <c r="P3146" s="33" t="s">
        <v>30089</v>
      </c>
      <c r="Q3146" s="42" t="s">
        <v>25283</v>
      </c>
      <c r="R3146" s="33" t="s">
        <v>94</v>
      </c>
      <c r="S3146" s="33" t="s">
        <v>22</v>
      </c>
      <c r="T3146" s="36" t="s">
        <v>26781</v>
      </c>
      <c r="U3146" s="33" t="s">
        <v>26572</v>
      </c>
      <c r="V3146" s="33" t="s">
        <v>26573</v>
      </c>
      <c r="W3146" s="33" t="s">
        <v>94</v>
      </c>
      <c r="X3146" s="33">
        <v>2370</v>
      </c>
      <c r="Z3146" s="33" t="s">
        <v>42968</v>
      </c>
      <c r="AA3146" s="33">
        <v>4519</v>
      </c>
    </row>
    <row r="3147" spans="1:43" ht="12" customHeight="1" x14ac:dyDescent="0.15">
      <c r="A3147" s="33" t="s">
        <v>25508</v>
      </c>
      <c r="B3147" s="33">
        <v>28</v>
      </c>
      <c r="C3147" s="33" t="s">
        <v>14</v>
      </c>
      <c r="D3147" s="33" t="s">
        <v>31</v>
      </c>
      <c r="E3147" s="42" t="s">
        <v>25509</v>
      </c>
      <c r="F3147" s="67">
        <v>42788</v>
      </c>
      <c r="G3147" s="33" t="s">
        <v>25510</v>
      </c>
      <c r="H3147" s="33" t="s">
        <v>25511</v>
      </c>
      <c r="I3147" s="33" t="s">
        <v>56</v>
      </c>
      <c r="J3147" s="33">
        <v>33850</v>
      </c>
      <c r="K3147" s="33" t="s">
        <v>1736</v>
      </c>
      <c r="L3147" s="33" t="s">
        <v>238</v>
      </c>
      <c r="M3147" s="33" t="s">
        <v>21</v>
      </c>
      <c r="N3147" s="33" t="s">
        <v>25512</v>
      </c>
      <c r="O3147" s="33" t="s">
        <v>372</v>
      </c>
      <c r="P3147" s="33" t="s">
        <v>30089</v>
      </c>
      <c r="Q3147" s="42" t="s">
        <v>25513</v>
      </c>
      <c r="R3147" s="33" t="s">
        <v>94</v>
      </c>
      <c r="S3147" s="33" t="s">
        <v>22</v>
      </c>
      <c r="T3147" s="33" t="s">
        <v>26781</v>
      </c>
      <c r="U3147" s="33" t="s">
        <v>26572</v>
      </c>
      <c r="V3147" s="33" t="s">
        <v>26573</v>
      </c>
      <c r="Z3147" s="33" t="s">
        <v>42968</v>
      </c>
      <c r="AA3147" s="33">
        <v>4515</v>
      </c>
    </row>
    <row r="3148" spans="1:43" ht="12" customHeight="1" x14ac:dyDescent="0.15">
      <c r="A3148" s="33" t="s">
        <v>25514</v>
      </c>
      <c r="B3148" s="33">
        <v>26</v>
      </c>
      <c r="C3148" s="33" t="s">
        <v>14</v>
      </c>
      <c r="D3148" s="33" t="s">
        <v>31</v>
      </c>
      <c r="F3148" s="67">
        <v>42788</v>
      </c>
      <c r="G3148" s="33" t="s">
        <v>25515</v>
      </c>
      <c r="H3148" s="33" t="s">
        <v>7859</v>
      </c>
      <c r="I3148" s="33" t="s">
        <v>139</v>
      </c>
      <c r="J3148" s="33">
        <v>24740</v>
      </c>
      <c r="K3148" s="33" t="s">
        <v>2675</v>
      </c>
      <c r="L3148" s="33" t="s">
        <v>141</v>
      </c>
      <c r="M3148" s="33" t="s">
        <v>21</v>
      </c>
      <c r="N3148" s="33" t="s">
        <v>25516</v>
      </c>
      <c r="O3148" s="33" t="s">
        <v>372</v>
      </c>
      <c r="P3148" s="33" t="s">
        <v>30089</v>
      </c>
      <c r="Q3148" s="42" t="s">
        <v>25517</v>
      </c>
      <c r="R3148" s="33" t="s">
        <v>23</v>
      </c>
      <c r="S3148" s="33" t="s">
        <v>22</v>
      </c>
      <c r="T3148" s="36" t="s">
        <v>26774</v>
      </c>
      <c r="U3148" s="33" t="s">
        <v>26570</v>
      </c>
      <c r="V3148" s="33" t="s">
        <v>26573</v>
      </c>
      <c r="W3148" s="33" t="s">
        <v>94</v>
      </c>
      <c r="X3148" s="33">
        <v>2371</v>
      </c>
      <c r="Z3148" s="33" t="s">
        <v>42967</v>
      </c>
      <c r="AA3148" s="33">
        <v>4517</v>
      </c>
    </row>
    <row r="3149" spans="1:43" ht="12" customHeight="1" x14ac:dyDescent="0.15">
      <c r="A3149" s="33" t="s">
        <v>25990</v>
      </c>
      <c r="B3149" s="33">
        <v>41</v>
      </c>
      <c r="C3149" s="33" t="s">
        <v>14</v>
      </c>
      <c r="D3149" s="33" t="s">
        <v>79</v>
      </c>
      <c r="E3149" s="42" t="s">
        <v>25991</v>
      </c>
      <c r="F3149" s="67">
        <v>42788</v>
      </c>
      <c r="G3149" s="33" t="s">
        <v>25992</v>
      </c>
      <c r="H3149" s="33" t="s">
        <v>9688</v>
      </c>
      <c r="I3149" s="33" t="s">
        <v>67</v>
      </c>
      <c r="J3149" s="33">
        <v>77384</v>
      </c>
      <c r="K3149" s="33" t="s">
        <v>995</v>
      </c>
      <c r="L3149" s="33" t="s">
        <v>18546</v>
      </c>
      <c r="M3149" s="33" t="s">
        <v>21</v>
      </c>
      <c r="N3149" s="33" t="s">
        <v>25993</v>
      </c>
      <c r="O3149" s="33" t="s">
        <v>372</v>
      </c>
      <c r="P3149" s="33" t="s">
        <v>30089</v>
      </c>
      <c r="Q3149" s="42" t="s">
        <v>25994</v>
      </c>
      <c r="R3149" s="33" t="s">
        <v>94</v>
      </c>
      <c r="S3149" s="33" t="s">
        <v>22</v>
      </c>
      <c r="T3149" s="36" t="s">
        <v>26774</v>
      </c>
      <c r="U3149" s="33" t="s">
        <v>26572</v>
      </c>
      <c r="V3149" s="33" t="s">
        <v>26573</v>
      </c>
      <c r="W3149" s="33" t="s">
        <v>94</v>
      </c>
      <c r="X3149" s="33">
        <v>2369</v>
      </c>
      <c r="Z3149" s="33" t="s">
        <v>42968</v>
      </c>
      <c r="AA3149" s="33">
        <v>4516</v>
      </c>
    </row>
    <row r="3150" spans="1:43" ht="12" customHeight="1" x14ac:dyDescent="0.15">
      <c r="A3150" s="33" t="s">
        <v>25586</v>
      </c>
      <c r="B3150" s="33">
        <v>30</v>
      </c>
      <c r="C3150" s="33" t="s">
        <v>103</v>
      </c>
      <c r="D3150" s="33" t="s">
        <v>79</v>
      </c>
      <c r="F3150" s="67">
        <v>42788</v>
      </c>
      <c r="G3150" s="33" t="s">
        <v>25587</v>
      </c>
      <c r="H3150" s="33" t="s">
        <v>1227</v>
      </c>
      <c r="I3150" s="33" t="s">
        <v>67</v>
      </c>
      <c r="J3150" s="33">
        <v>78745</v>
      </c>
      <c r="K3150" s="33" t="s">
        <v>1228</v>
      </c>
      <c r="L3150" s="33" t="s">
        <v>1229</v>
      </c>
      <c r="M3150" s="33" t="s">
        <v>21</v>
      </c>
      <c r="N3150" s="33" t="s">
        <v>25588</v>
      </c>
      <c r="O3150" s="33" t="s">
        <v>372</v>
      </c>
      <c r="P3150" s="33" t="s">
        <v>30089</v>
      </c>
      <c r="Q3150" s="42" t="s">
        <v>25589</v>
      </c>
      <c r="R3150" s="33" t="s">
        <v>512</v>
      </c>
      <c r="S3150" s="33" t="s">
        <v>22</v>
      </c>
      <c r="T3150" s="36" t="s">
        <v>26774</v>
      </c>
      <c r="U3150" s="33" t="s">
        <v>26570</v>
      </c>
      <c r="V3150" s="33" t="s">
        <v>26571</v>
      </c>
      <c r="W3150" s="33" t="s">
        <v>94</v>
      </c>
      <c r="X3150" s="33">
        <v>2372</v>
      </c>
      <c r="Z3150" s="33" t="s">
        <v>42968</v>
      </c>
      <c r="AA3150" s="33">
        <v>4518</v>
      </c>
      <c r="AQ3150" s="42"/>
    </row>
    <row r="3151" spans="1:43" ht="12" customHeight="1" x14ac:dyDescent="0.15">
      <c r="A3151" s="33" t="s">
        <v>25995</v>
      </c>
      <c r="B3151" s="33">
        <v>39</v>
      </c>
      <c r="C3151" s="33" t="s">
        <v>14</v>
      </c>
      <c r="D3151" s="33" t="s">
        <v>42</v>
      </c>
      <c r="E3151" s="42" t="s">
        <v>25996</v>
      </c>
      <c r="F3151" s="67">
        <v>42787</v>
      </c>
      <c r="G3151" s="33" t="s">
        <v>26136</v>
      </c>
      <c r="H3151" s="33" t="s">
        <v>18214</v>
      </c>
      <c r="I3151" s="33" t="s">
        <v>192</v>
      </c>
      <c r="J3151" s="33">
        <v>80907</v>
      </c>
      <c r="K3151" s="33" t="s">
        <v>801</v>
      </c>
      <c r="L3151" s="33" t="s">
        <v>18216</v>
      </c>
      <c r="M3151" s="33" t="s">
        <v>21</v>
      </c>
      <c r="N3151" s="33" t="s">
        <v>25997</v>
      </c>
      <c r="O3151" s="33" t="s">
        <v>372</v>
      </c>
      <c r="P3151" s="33" t="s">
        <v>30089</v>
      </c>
      <c r="Q3151" s="42" t="s">
        <v>25998</v>
      </c>
      <c r="R3151" s="33" t="s">
        <v>94</v>
      </c>
      <c r="S3151" s="33" t="s">
        <v>22</v>
      </c>
      <c r="T3151" s="36" t="s">
        <v>26781</v>
      </c>
      <c r="U3151" s="33" t="s">
        <v>26570</v>
      </c>
      <c r="V3151" s="33" t="s">
        <v>19228</v>
      </c>
      <c r="W3151" s="33" t="s">
        <v>94</v>
      </c>
      <c r="X3151" s="33">
        <v>2368</v>
      </c>
      <c r="Z3151" s="33" t="s">
        <v>42968</v>
      </c>
      <c r="AA3151" s="33">
        <v>4514</v>
      </c>
    </row>
    <row r="3152" spans="1:43" ht="12" customHeight="1" x14ac:dyDescent="0.15">
      <c r="A3152" s="33" t="s">
        <v>25318</v>
      </c>
      <c r="B3152" s="33">
        <v>51</v>
      </c>
      <c r="C3152" s="33" t="s">
        <v>14</v>
      </c>
      <c r="D3152" s="33" t="s">
        <v>31</v>
      </c>
      <c r="E3152" s="42" t="s">
        <v>25319</v>
      </c>
      <c r="F3152" s="67">
        <v>42787</v>
      </c>
      <c r="G3152" s="33" t="s">
        <v>25320</v>
      </c>
      <c r="H3152" s="33" t="s">
        <v>304</v>
      </c>
      <c r="I3152" s="33" t="s">
        <v>106</v>
      </c>
      <c r="J3152" s="33">
        <v>97006</v>
      </c>
      <c r="K3152" s="33" t="s">
        <v>107</v>
      </c>
      <c r="L3152" s="33" t="s">
        <v>1291</v>
      </c>
      <c r="M3152" s="33" t="s">
        <v>21</v>
      </c>
      <c r="N3152" s="33" t="s">
        <v>25321</v>
      </c>
      <c r="O3152" s="33" t="s">
        <v>372</v>
      </c>
      <c r="P3152" s="33" t="s">
        <v>30089</v>
      </c>
      <c r="Q3152" s="42" t="s">
        <v>25322</v>
      </c>
      <c r="R3152" s="33" t="s">
        <v>23</v>
      </c>
      <c r="S3152" s="33" t="s">
        <v>22</v>
      </c>
      <c r="T3152" s="36" t="s">
        <v>26781</v>
      </c>
      <c r="U3152" s="33" t="s">
        <v>26570</v>
      </c>
      <c r="V3152" s="33" t="s">
        <v>26573</v>
      </c>
      <c r="W3152" s="33" t="s">
        <v>94</v>
      </c>
      <c r="X3152" s="33">
        <v>2357</v>
      </c>
      <c r="Z3152" s="33" t="s">
        <v>42968</v>
      </c>
      <c r="AA3152" s="33">
        <v>4510</v>
      </c>
    </row>
    <row r="3153" spans="1:43" ht="12" customHeight="1" x14ac:dyDescent="0.15">
      <c r="A3153" s="33" t="s">
        <v>25833</v>
      </c>
      <c r="B3153" s="33">
        <v>38</v>
      </c>
      <c r="C3153" s="33" t="s">
        <v>14</v>
      </c>
      <c r="D3153" s="33" t="s">
        <v>42</v>
      </c>
      <c r="E3153" s="42" t="s">
        <v>25834</v>
      </c>
      <c r="F3153" s="67">
        <v>42787</v>
      </c>
      <c r="G3153" s="33" t="s">
        <v>25835</v>
      </c>
      <c r="H3153" s="33" t="s">
        <v>6032</v>
      </c>
      <c r="I3153" s="33" t="s">
        <v>221</v>
      </c>
      <c r="J3153" s="33">
        <v>84067</v>
      </c>
      <c r="K3153" s="33" t="s">
        <v>1356</v>
      </c>
      <c r="L3153" s="33" t="s">
        <v>6034</v>
      </c>
      <c r="M3153" s="33" t="s">
        <v>21</v>
      </c>
      <c r="N3153" s="33" t="s">
        <v>25836</v>
      </c>
      <c r="O3153" s="33" t="s">
        <v>372</v>
      </c>
      <c r="P3153" s="33" t="s">
        <v>30089</v>
      </c>
      <c r="Q3153" s="42" t="s">
        <v>25837</v>
      </c>
      <c r="R3153" s="33" t="s">
        <v>23</v>
      </c>
      <c r="S3153" s="33" t="s">
        <v>22</v>
      </c>
      <c r="T3153" s="36" t="s">
        <v>26781</v>
      </c>
      <c r="U3153" s="33" t="s">
        <v>26572</v>
      </c>
      <c r="V3153" s="33" t="s">
        <v>26573</v>
      </c>
      <c r="W3153" s="33" t="s">
        <v>512</v>
      </c>
      <c r="X3153" s="33">
        <v>2366</v>
      </c>
      <c r="Z3153" s="33" t="s">
        <v>42968</v>
      </c>
      <c r="AA3153" s="33">
        <v>4512</v>
      </c>
    </row>
    <row r="3154" spans="1:43" ht="12" customHeight="1" x14ac:dyDescent="0.15">
      <c r="A3154" s="33" t="s">
        <v>25195</v>
      </c>
      <c r="B3154" s="33">
        <v>25</v>
      </c>
      <c r="C3154" s="33" t="s">
        <v>14</v>
      </c>
      <c r="D3154" s="33" t="s">
        <v>42</v>
      </c>
      <c r="E3154" s="42" t="s">
        <v>25196</v>
      </c>
      <c r="F3154" s="67">
        <v>42787</v>
      </c>
      <c r="G3154" s="33" t="s">
        <v>25197</v>
      </c>
      <c r="H3154" s="33" t="s">
        <v>1355</v>
      </c>
      <c r="I3154" s="33" t="s">
        <v>221</v>
      </c>
      <c r="J3154" s="33">
        <v>84401</v>
      </c>
      <c r="K3154" s="33" t="s">
        <v>1356</v>
      </c>
      <c r="L3154" s="33" t="s">
        <v>6688</v>
      </c>
      <c r="M3154" s="33" t="s">
        <v>21</v>
      </c>
      <c r="N3154" s="33" t="s">
        <v>25198</v>
      </c>
      <c r="O3154" s="33" t="s">
        <v>372</v>
      </c>
      <c r="P3154" s="33" t="s">
        <v>30089</v>
      </c>
      <c r="Q3154" s="42" t="s">
        <v>25199</v>
      </c>
      <c r="R3154" s="33" t="s">
        <v>94</v>
      </c>
      <c r="S3154" s="33" t="s">
        <v>22</v>
      </c>
      <c r="T3154" s="36" t="s">
        <v>26781</v>
      </c>
      <c r="U3154" s="33" t="s">
        <v>26572</v>
      </c>
      <c r="V3154" s="33" t="s">
        <v>26573</v>
      </c>
      <c r="W3154" s="33" t="s">
        <v>512</v>
      </c>
      <c r="X3154" s="33">
        <v>2367</v>
      </c>
      <c r="Z3154" s="33" t="s">
        <v>42968</v>
      </c>
      <c r="AA3154" s="33">
        <v>4513</v>
      </c>
    </row>
    <row r="3155" spans="1:43" ht="12" customHeight="1" x14ac:dyDescent="0.15">
      <c r="A3155" s="33" t="s">
        <v>25302</v>
      </c>
      <c r="B3155" s="33">
        <v>63</v>
      </c>
      <c r="C3155" s="33" t="s">
        <v>14</v>
      </c>
      <c r="D3155" s="33" t="s">
        <v>79</v>
      </c>
      <c r="E3155" s="42" t="s">
        <v>25303</v>
      </c>
      <c r="F3155" s="67">
        <v>42787</v>
      </c>
      <c r="G3155" s="33" t="s">
        <v>26086</v>
      </c>
      <c r="H3155" s="33" t="s">
        <v>661</v>
      </c>
      <c r="I3155" s="33" t="s">
        <v>402</v>
      </c>
      <c r="J3155" s="33">
        <v>63118</v>
      </c>
      <c r="K3155" s="33" t="s">
        <v>661</v>
      </c>
      <c r="L3155" s="33" t="s">
        <v>4162</v>
      </c>
      <c r="M3155" s="33" t="s">
        <v>21</v>
      </c>
      <c r="N3155" s="33" t="s">
        <v>25304</v>
      </c>
      <c r="O3155" s="33" t="s">
        <v>372</v>
      </c>
      <c r="P3155" s="33" t="s">
        <v>30089</v>
      </c>
      <c r="Q3155" s="42" t="s">
        <v>25305</v>
      </c>
      <c r="R3155" s="33" t="s">
        <v>94</v>
      </c>
      <c r="S3155" s="33" t="s">
        <v>22</v>
      </c>
      <c r="T3155" s="36" t="s">
        <v>26781</v>
      </c>
      <c r="U3155" s="33" t="s">
        <v>26572</v>
      </c>
      <c r="V3155" s="33" t="s">
        <v>26573</v>
      </c>
      <c r="W3155" s="33" t="s">
        <v>94</v>
      </c>
      <c r="X3155" s="33">
        <v>2365</v>
      </c>
      <c r="Z3155" s="33" t="s">
        <v>42966</v>
      </c>
      <c r="AA3155" s="33">
        <v>4511</v>
      </c>
    </row>
    <row r="3156" spans="1:43" ht="12" customHeight="1" x14ac:dyDescent="0.15">
      <c r="A3156" s="33" t="s">
        <v>25932</v>
      </c>
      <c r="B3156" s="33">
        <v>27</v>
      </c>
      <c r="C3156" s="33" t="s">
        <v>14</v>
      </c>
      <c r="D3156" s="33" t="s">
        <v>31</v>
      </c>
      <c r="E3156" s="42" t="s">
        <v>25933</v>
      </c>
      <c r="F3156" s="67">
        <v>42786</v>
      </c>
      <c r="G3156" s="33" t="s">
        <v>25934</v>
      </c>
      <c r="H3156" s="33" t="s">
        <v>10132</v>
      </c>
      <c r="I3156" s="33" t="s">
        <v>402</v>
      </c>
      <c r="J3156" s="33">
        <v>64501</v>
      </c>
      <c r="K3156" s="33" t="s">
        <v>10134</v>
      </c>
      <c r="L3156" s="33" t="s">
        <v>10135</v>
      </c>
      <c r="M3156" s="33" t="s">
        <v>21</v>
      </c>
      <c r="N3156" s="33" t="s">
        <v>25935</v>
      </c>
      <c r="O3156" s="33" t="s">
        <v>372</v>
      </c>
      <c r="P3156" s="33" t="s">
        <v>30089</v>
      </c>
      <c r="Q3156" s="42" t="s">
        <v>25936</v>
      </c>
      <c r="R3156" s="33" t="s">
        <v>94</v>
      </c>
      <c r="S3156" s="33" t="s">
        <v>351</v>
      </c>
      <c r="T3156" s="36" t="s">
        <v>26867</v>
      </c>
      <c r="U3156" s="33" t="s">
        <v>26572</v>
      </c>
      <c r="V3156" s="33" t="s">
        <v>26573</v>
      </c>
      <c r="W3156" s="33" t="s">
        <v>94</v>
      </c>
      <c r="X3156" s="33">
        <v>2353</v>
      </c>
      <c r="Z3156" s="33" t="s">
        <v>42966</v>
      </c>
      <c r="AA3156" s="33">
        <v>4509</v>
      </c>
    </row>
    <row r="3157" spans="1:43" ht="12" customHeight="1" x14ac:dyDescent="0.15">
      <c r="A3157" s="33" t="s">
        <v>25682</v>
      </c>
      <c r="B3157" s="33">
        <v>26</v>
      </c>
      <c r="C3157" s="33" t="s">
        <v>14</v>
      </c>
      <c r="D3157" s="33" t="s">
        <v>31</v>
      </c>
      <c r="F3157" s="67">
        <v>42786</v>
      </c>
      <c r="G3157" s="33" t="s">
        <v>25683</v>
      </c>
      <c r="H3157" s="33" t="s">
        <v>9090</v>
      </c>
      <c r="I3157" s="33" t="s">
        <v>56</v>
      </c>
      <c r="J3157" s="33">
        <v>34601</v>
      </c>
      <c r="K3157" s="33" t="s">
        <v>8841</v>
      </c>
      <c r="L3157" s="33" t="s">
        <v>8842</v>
      </c>
      <c r="M3157" s="33" t="s">
        <v>4966</v>
      </c>
      <c r="N3157" s="33" t="s">
        <v>25684</v>
      </c>
      <c r="O3157" s="33" t="s">
        <v>372</v>
      </c>
      <c r="P3157" s="33" t="s">
        <v>30089</v>
      </c>
      <c r="Q3157" s="42" t="s">
        <v>25685</v>
      </c>
      <c r="R3157" s="33" t="s">
        <v>23</v>
      </c>
      <c r="S3157" s="33" t="s">
        <v>22</v>
      </c>
      <c r="T3157" s="36" t="s">
        <v>26774</v>
      </c>
      <c r="U3157" s="33" t="s">
        <v>26572</v>
      </c>
      <c r="V3157" s="33" t="s">
        <v>26573</v>
      </c>
      <c r="W3157" s="33" t="s">
        <v>94</v>
      </c>
      <c r="X3157" s="33">
        <v>2355</v>
      </c>
      <c r="Z3157" s="33" t="s">
        <v>42967</v>
      </c>
      <c r="AA3157" s="33">
        <v>4508</v>
      </c>
    </row>
    <row r="3158" spans="1:43" ht="12" customHeight="1" x14ac:dyDescent="0.15">
      <c r="A3158" s="33" t="s">
        <v>25528</v>
      </c>
      <c r="B3158" s="33">
        <v>26</v>
      </c>
      <c r="C3158" s="33" t="s">
        <v>14</v>
      </c>
      <c r="D3158" s="33" t="s">
        <v>42</v>
      </c>
      <c r="E3158" s="42" t="s">
        <v>25529</v>
      </c>
      <c r="F3158" s="67">
        <v>42785</v>
      </c>
      <c r="G3158" s="33" t="s">
        <v>25530</v>
      </c>
      <c r="H3158" s="33" t="s">
        <v>518</v>
      </c>
      <c r="I3158" s="33" t="s">
        <v>112</v>
      </c>
      <c r="J3158" s="33">
        <v>85756</v>
      </c>
      <c r="K3158" s="33" t="s">
        <v>519</v>
      </c>
      <c r="L3158" s="33" t="s">
        <v>11583</v>
      </c>
      <c r="M3158" s="33" t="s">
        <v>21</v>
      </c>
      <c r="N3158" s="33" t="s">
        <v>25531</v>
      </c>
      <c r="O3158" s="33" t="s">
        <v>372</v>
      </c>
      <c r="P3158" s="33" t="s">
        <v>30089</v>
      </c>
      <c r="Q3158" s="42" t="s">
        <v>25532</v>
      </c>
      <c r="R3158" s="33" t="s">
        <v>94</v>
      </c>
      <c r="S3158" s="33" t="s">
        <v>22</v>
      </c>
      <c r="T3158" s="36" t="s">
        <v>26781</v>
      </c>
      <c r="U3158" s="33" t="s">
        <v>26572</v>
      </c>
      <c r="V3158" s="33" t="s">
        <v>26573</v>
      </c>
      <c r="W3158" s="33" t="s">
        <v>94</v>
      </c>
      <c r="X3158" s="33">
        <v>2362</v>
      </c>
      <c r="Z3158" s="33" t="s">
        <v>42968</v>
      </c>
      <c r="AA3158" s="33">
        <v>4505</v>
      </c>
    </row>
    <row r="3159" spans="1:43" ht="12" customHeight="1" x14ac:dyDescent="0.15">
      <c r="A3159" s="33" t="s">
        <v>25518</v>
      </c>
      <c r="B3159" s="33">
        <v>33</v>
      </c>
      <c r="C3159" s="33" t="s">
        <v>14</v>
      </c>
      <c r="D3159" s="33" t="s">
        <v>31</v>
      </c>
      <c r="E3159" s="42" t="s">
        <v>25519</v>
      </c>
      <c r="F3159" s="67">
        <v>42785</v>
      </c>
      <c r="H3159" s="33" t="s">
        <v>25520</v>
      </c>
      <c r="I3159" s="33" t="s">
        <v>918</v>
      </c>
      <c r="J3159" s="33">
        <v>72619</v>
      </c>
      <c r="K3159" s="33" t="s">
        <v>392</v>
      </c>
      <c r="L3159" s="33" t="s">
        <v>36618</v>
      </c>
      <c r="M3159" s="33" t="s">
        <v>21</v>
      </c>
      <c r="N3159" s="33" t="s">
        <v>36619</v>
      </c>
      <c r="O3159" s="33" t="s">
        <v>372</v>
      </c>
      <c r="P3159" s="33" t="s">
        <v>30089</v>
      </c>
      <c r="Q3159" s="42" t="s">
        <v>25521</v>
      </c>
      <c r="R3159" s="33" t="s">
        <v>94</v>
      </c>
      <c r="S3159" s="33" t="s">
        <v>22</v>
      </c>
      <c r="T3159" s="36" t="s">
        <v>26781</v>
      </c>
      <c r="U3159" s="33" t="s">
        <v>26572</v>
      </c>
      <c r="V3159" s="33" t="s">
        <v>26573</v>
      </c>
      <c r="W3159" s="33" t="s">
        <v>94</v>
      </c>
      <c r="X3159" s="33">
        <v>2360</v>
      </c>
      <c r="Z3159" s="33" t="s">
        <v>42968</v>
      </c>
      <c r="AA3159" s="33">
        <v>4504</v>
      </c>
    </row>
    <row r="3160" spans="1:43" ht="12" customHeight="1" x14ac:dyDescent="0.15">
      <c r="A3160" s="33" t="s">
        <v>25810</v>
      </c>
      <c r="B3160" s="33">
        <v>27</v>
      </c>
      <c r="C3160" s="33" t="s">
        <v>14</v>
      </c>
      <c r="D3160" s="33" t="s">
        <v>79</v>
      </c>
      <c r="F3160" s="67">
        <v>42785</v>
      </c>
      <c r="G3160" s="33" t="s">
        <v>25811</v>
      </c>
      <c r="H3160" s="33" t="s">
        <v>2350</v>
      </c>
      <c r="I3160" s="33" t="s">
        <v>63</v>
      </c>
      <c r="J3160" s="33">
        <v>44240</v>
      </c>
      <c r="K3160" s="33" t="s">
        <v>2178</v>
      </c>
      <c r="L3160" s="33" t="s">
        <v>3181</v>
      </c>
      <c r="M3160" s="33" t="s">
        <v>21</v>
      </c>
      <c r="N3160" s="33" t="s">
        <v>25812</v>
      </c>
      <c r="O3160" s="33" t="s">
        <v>372</v>
      </c>
      <c r="P3160" s="33" t="s">
        <v>30089</v>
      </c>
      <c r="Q3160" s="42" t="s">
        <v>25813</v>
      </c>
      <c r="R3160" s="33" t="s">
        <v>94</v>
      </c>
      <c r="S3160" s="33" t="s">
        <v>22</v>
      </c>
      <c r="T3160" s="36" t="s">
        <v>26774</v>
      </c>
      <c r="U3160" s="33" t="s">
        <v>26572</v>
      </c>
      <c r="V3160" s="33" t="s">
        <v>26573</v>
      </c>
      <c r="W3160" s="33" t="s">
        <v>94</v>
      </c>
      <c r="X3160" s="33">
        <v>2356</v>
      </c>
      <c r="Z3160" s="33" t="s">
        <v>42968</v>
      </c>
      <c r="AA3160" s="33">
        <v>4506</v>
      </c>
    </row>
    <row r="3161" spans="1:43" ht="12" customHeight="1" x14ac:dyDescent="0.15">
      <c r="A3161" s="33" t="s">
        <v>25771</v>
      </c>
      <c r="B3161" s="33">
        <v>18</v>
      </c>
      <c r="C3161" s="33" t="s">
        <v>14</v>
      </c>
      <c r="D3161" s="33" t="s">
        <v>42</v>
      </c>
      <c r="E3161" s="42" t="s">
        <v>25772</v>
      </c>
      <c r="F3161" s="67">
        <v>42785</v>
      </c>
      <c r="G3161" s="33" t="s">
        <v>25773</v>
      </c>
      <c r="H3161" s="33" t="s">
        <v>1599</v>
      </c>
      <c r="I3161" s="33" t="s">
        <v>395</v>
      </c>
      <c r="J3161" s="33">
        <v>11237</v>
      </c>
      <c r="K3161" s="33" t="s">
        <v>1601</v>
      </c>
      <c r="L3161" s="33" t="s">
        <v>539</v>
      </c>
      <c r="M3161" s="33" t="s">
        <v>21</v>
      </c>
      <c r="N3161" s="33" t="s">
        <v>25774</v>
      </c>
      <c r="O3161" s="33" t="s">
        <v>372</v>
      </c>
      <c r="P3161" s="33" t="s">
        <v>30089</v>
      </c>
      <c r="Q3161" s="42" t="s">
        <v>25775</v>
      </c>
      <c r="R3161" s="33" t="s">
        <v>94</v>
      </c>
      <c r="S3161" s="33" t="s">
        <v>12</v>
      </c>
      <c r="T3161" s="33" t="s">
        <v>29425</v>
      </c>
      <c r="U3161" s="33" t="s">
        <v>26572</v>
      </c>
      <c r="V3161" s="33" t="s">
        <v>26574</v>
      </c>
      <c r="W3161" s="33" t="s">
        <v>94</v>
      </c>
      <c r="X3161" s="33">
        <v>2358</v>
      </c>
      <c r="Z3161" s="33" t="s">
        <v>42966</v>
      </c>
      <c r="AA3161" s="33">
        <v>4507</v>
      </c>
    </row>
    <row r="3162" spans="1:43" ht="12" customHeight="1" x14ac:dyDescent="0.15">
      <c r="A3162" s="33" t="s">
        <v>25496</v>
      </c>
      <c r="B3162" s="33">
        <v>46</v>
      </c>
      <c r="C3162" s="33" t="s">
        <v>14</v>
      </c>
      <c r="D3162" s="33" t="s">
        <v>79</v>
      </c>
      <c r="F3162" s="67">
        <v>42784</v>
      </c>
      <c r="G3162" s="33" t="s">
        <v>25497</v>
      </c>
      <c r="H3162" s="33" t="s">
        <v>10493</v>
      </c>
      <c r="I3162" s="33" t="s">
        <v>338</v>
      </c>
      <c r="J3162" s="33">
        <v>27243</v>
      </c>
      <c r="K3162" s="33" t="s">
        <v>998</v>
      </c>
      <c r="L3162" s="33" t="s">
        <v>42475</v>
      </c>
      <c r="M3162" s="33" t="s">
        <v>21</v>
      </c>
      <c r="N3162" s="33" t="s">
        <v>25498</v>
      </c>
      <c r="O3162" s="33" t="s">
        <v>372</v>
      </c>
      <c r="P3162" s="33" t="s">
        <v>30089</v>
      </c>
      <c r="Q3162" s="42" t="s">
        <v>25499</v>
      </c>
      <c r="R3162" s="33" t="s">
        <v>94</v>
      </c>
      <c r="S3162" s="33" t="s">
        <v>22</v>
      </c>
      <c r="T3162" s="36" t="s">
        <v>26781</v>
      </c>
      <c r="U3162" s="33" t="s">
        <v>26572</v>
      </c>
      <c r="V3162" s="33" t="s">
        <v>26573</v>
      </c>
      <c r="W3162" s="33" t="s">
        <v>94</v>
      </c>
      <c r="X3162" s="33">
        <v>2352</v>
      </c>
      <c r="Z3162" s="33" t="s">
        <v>42967</v>
      </c>
      <c r="AA3162" s="33">
        <v>4501</v>
      </c>
    </row>
    <row r="3163" spans="1:43" ht="12" customHeight="1" x14ac:dyDescent="0.15">
      <c r="A3163" s="33" t="s">
        <v>25755</v>
      </c>
      <c r="B3163" s="33">
        <v>22</v>
      </c>
      <c r="C3163" s="33" t="s">
        <v>14</v>
      </c>
      <c r="D3163" s="33" t="s">
        <v>79</v>
      </c>
      <c r="E3163" s="42" t="s">
        <v>25756</v>
      </c>
      <c r="F3163" s="67">
        <v>42784</v>
      </c>
      <c r="G3163" s="33" t="s">
        <v>25757</v>
      </c>
      <c r="H3163" s="33" t="s">
        <v>1459</v>
      </c>
      <c r="I3163" s="33" t="s">
        <v>4034</v>
      </c>
      <c r="J3163" s="33">
        <v>4102</v>
      </c>
      <c r="K3163" s="33" t="s">
        <v>2907</v>
      </c>
      <c r="L3163" s="33" t="s">
        <v>25758</v>
      </c>
      <c r="M3163" s="33" t="s">
        <v>21</v>
      </c>
      <c r="N3163" s="33" t="s">
        <v>25759</v>
      </c>
      <c r="O3163" s="33" t="s">
        <v>372</v>
      </c>
      <c r="P3163" s="33" t="s">
        <v>30089</v>
      </c>
      <c r="Q3163" s="42" t="s">
        <v>25760</v>
      </c>
      <c r="R3163" s="33" t="s">
        <v>23</v>
      </c>
      <c r="S3163" s="33" t="s">
        <v>12</v>
      </c>
      <c r="T3163" s="33" t="s">
        <v>29425</v>
      </c>
      <c r="U3163" s="33" t="s">
        <v>26570</v>
      </c>
      <c r="V3163" s="33" t="s">
        <v>26573</v>
      </c>
      <c r="W3163" s="33" t="s">
        <v>94</v>
      </c>
      <c r="X3163" s="33">
        <v>2351</v>
      </c>
      <c r="Z3163" s="33" t="s">
        <v>42966</v>
      </c>
      <c r="AA3163" s="33">
        <v>4502</v>
      </c>
    </row>
    <row r="3164" spans="1:43" ht="12" customHeight="1" x14ac:dyDescent="0.15">
      <c r="A3164" s="33" t="s">
        <v>25732</v>
      </c>
      <c r="B3164" s="33">
        <v>48</v>
      </c>
      <c r="C3164" s="33" t="s">
        <v>14</v>
      </c>
      <c r="D3164" s="33" t="s">
        <v>885</v>
      </c>
      <c r="F3164" s="67">
        <v>42784</v>
      </c>
      <c r="G3164" s="33" t="s">
        <v>25733</v>
      </c>
      <c r="H3164" s="33" t="s">
        <v>2196</v>
      </c>
      <c r="I3164" s="33" t="s">
        <v>814</v>
      </c>
      <c r="J3164" s="33">
        <v>96819</v>
      </c>
      <c r="K3164" s="33" t="s">
        <v>2196</v>
      </c>
      <c r="L3164" s="33" t="s">
        <v>25734</v>
      </c>
      <c r="M3164" s="33" t="s">
        <v>2134</v>
      </c>
      <c r="N3164" s="33" t="s">
        <v>37058</v>
      </c>
      <c r="O3164" s="33" t="s">
        <v>372</v>
      </c>
      <c r="P3164" s="33" t="s">
        <v>30089</v>
      </c>
      <c r="Q3164" s="42" t="s">
        <v>37057</v>
      </c>
      <c r="R3164" s="33" t="s">
        <v>94</v>
      </c>
      <c r="S3164" s="33" t="s">
        <v>12</v>
      </c>
      <c r="T3164" s="33" t="s">
        <v>29705</v>
      </c>
      <c r="U3164" s="33" t="s">
        <v>26570</v>
      </c>
      <c r="V3164" s="33" t="s">
        <v>26573</v>
      </c>
      <c r="Z3164" s="33" t="s">
        <v>42968</v>
      </c>
      <c r="AA3164" s="33">
        <v>4503</v>
      </c>
      <c r="AQ3164" s="42"/>
    </row>
    <row r="3165" spans="1:43" ht="12" customHeight="1" x14ac:dyDescent="0.15">
      <c r="A3165" s="33" t="s">
        <v>25415</v>
      </c>
      <c r="B3165" s="33">
        <v>32</v>
      </c>
      <c r="C3165" s="33" t="s">
        <v>14</v>
      </c>
      <c r="D3165" s="33" t="s">
        <v>31</v>
      </c>
      <c r="E3165" s="42" t="s">
        <v>25416</v>
      </c>
      <c r="F3165" s="67">
        <v>42783</v>
      </c>
      <c r="G3165" s="33" t="s">
        <v>25417</v>
      </c>
      <c r="H3165" s="33" t="s">
        <v>557</v>
      </c>
      <c r="I3165" s="33" t="s">
        <v>39</v>
      </c>
      <c r="J3165" s="33">
        <v>94605</v>
      </c>
      <c r="K3165" s="33" t="s">
        <v>558</v>
      </c>
      <c r="L3165" s="33" t="s">
        <v>559</v>
      </c>
      <c r="M3165" s="33" t="s">
        <v>21</v>
      </c>
      <c r="N3165" s="33" t="s">
        <v>25418</v>
      </c>
      <c r="O3165" s="33" t="s">
        <v>372</v>
      </c>
      <c r="P3165" s="33" t="s">
        <v>30089</v>
      </c>
      <c r="Q3165" s="42" t="s">
        <v>25419</v>
      </c>
      <c r="R3165" s="33" t="s">
        <v>94</v>
      </c>
      <c r="S3165" s="33" t="s">
        <v>22</v>
      </c>
      <c r="T3165" s="36" t="s">
        <v>26781</v>
      </c>
      <c r="U3165" s="33" t="s">
        <v>26572</v>
      </c>
      <c r="V3165" s="33" t="s">
        <v>26573</v>
      </c>
      <c r="W3165" s="33" t="s">
        <v>94</v>
      </c>
      <c r="X3165" s="33">
        <v>2364</v>
      </c>
      <c r="Z3165" s="33" t="s">
        <v>42968</v>
      </c>
      <c r="AA3165" s="33">
        <v>4497</v>
      </c>
    </row>
    <row r="3166" spans="1:43" ht="12" customHeight="1" x14ac:dyDescent="0.15">
      <c r="A3166" s="33" t="s">
        <v>25942</v>
      </c>
      <c r="B3166" s="33">
        <v>35</v>
      </c>
      <c r="C3166" s="33" t="s">
        <v>14</v>
      </c>
      <c r="D3166" s="33" t="s">
        <v>79</v>
      </c>
      <c r="E3166" s="42" t="s">
        <v>25943</v>
      </c>
      <c r="F3166" s="67">
        <v>42783</v>
      </c>
      <c r="H3166" s="33" t="s">
        <v>25944</v>
      </c>
      <c r="I3166" s="33" t="s">
        <v>309</v>
      </c>
      <c r="J3166" s="33">
        <v>99654</v>
      </c>
      <c r="K3166" s="33" t="s">
        <v>19800</v>
      </c>
      <c r="L3166" s="33" t="s">
        <v>10186</v>
      </c>
      <c r="M3166" s="33" t="s">
        <v>21</v>
      </c>
      <c r="N3166" s="33" t="s">
        <v>25945</v>
      </c>
      <c r="O3166" s="33" t="s">
        <v>372</v>
      </c>
      <c r="P3166" s="33" t="s">
        <v>30089</v>
      </c>
      <c r="Q3166" s="42" t="s">
        <v>25946</v>
      </c>
      <c r="R3166" s="33" t="s">
        <v>94</v>
      </c>
      <c r="S3166" s="33" t="s">
        <v>22</v>
      </c>
      <c r="T3166" s="36" t="s">
        <v>26781</v>
      </c>
      <c r="U3166" s="33" t="s">
        <v>26572</v>
      </c>
      <c r="V3166" s="33" t="s">
        <v>26573</v>
      </c>
      <c r="W3166" s="33" t="s">
        <v>94</v>
      </c>
      <c r="X3166" s="33">
        <v>2363</v>
      </c>
      <c r="Z3166" s="33" t="s">
        <v>42967</v>
      </c>
      <c r="AA3166" s="33">
        <v>4496</v>
      </c>
    </row>
    <row r="3167" spans="1:43" ht="12" customHeight="1" x14ac:dyDescent="0.15">
      <c r="A3167" s="33" t="s">
        <v>25247</v>
      </c>
      <c r="B3167" s="33">
        <v>33</v>
      </c>
      <c r="C3167" s="33" t="s">
        <v>14</v>
      </c>
      <c r="D3167" s="33" t="s">
        <v>31</v>
      </c>
      <c r="E3167" s="42" t="s">
        <v>29663</v>
      </c>
      <c r="F3167" s="67">
        <v>42783</v>
      </c>
      <c r="G3167" s="33" t="s">
        <v>25248</v>
      </c>
      <c r="H3167" s="33" t="s">
        <v>2272</v>
      </c>
      <c r="I3167" s="33" t="s">
        <v>39</v>
      </c>
      <c r="J3167" s="33">
        <v>90703</v>
      </c>
      <c r="K3167" s="33" t="s">
        <v>92</v>
      </c>
      <c r="L3167" s="33" t="s">
        <v>452</v>
      </c>
      <c r="M3167" s="33" t="s">
        <v>21</v>
      </c>
      <c r="N3167" s="33" t="s">
        <v>25249</v>
      </c>
      <c r="O3167" s="33" t="s">
        <v>372</v>
      </c>
      <c r="P3167" s="33" t="s">
        <v>30089</v>
      </c>
      <c r="Q3167" s="42" t="s">
        <v>25250</v>
      </c>
      <c r="R3167" s="33" t="s">
        <v>94</v>
      </c>
      <c r="S3167" s="33" t="s">
        <v>22</v>
      </c>
      <c r="T3167" s="33" t="s">
        <v>26781</v>
      </c>
      <c r="U3167" s="33" t="s">
        <v>26572</v>
      </c>
      <c r="V3167" s="33" t="s">
        <v>26573</v>
      </c>
      <c r="Z3167" s="33" t="s">
        <v>42966</v>
      </c>
      <c r="AA3167" s="33">
        <v>4498</v>
      </c>
    </row>
    <row r="3168" spans="1:43" ht="12" customHeight="1" x14ac:dyDescent="0.15">
      <c r="A3168" s="33" t="s">
        <v>25968</v>
      </c>
      <c r="B3168" s="33">
        <v>30</v>
      </c>
      <c r="C3168" s="33" t="s">
        <v>14</v>
      </c>
      <c r="D3168" s="33" t="s">
        <v>31</v>
      </c>
      <c r="E3168" s="42" t="s">
        <v>25969</v>
      </c>
      <c r="F3168" s="67">
        <v>42783</v>
      </c>
      <c r="G3168" s="33" t="s">
        <v>26133</v>
      </c>
      <c r="H3168" s="33" t="s">
        <v>11306</v>
      </c>
      <c r="I3168" s="33" t="s">
        <v>67</v>
      </c>
      <c r="J3168" s="33">
        <v>75051</v>
      </c>
      <c r="K3168" s="33" t="s">
        <v>266</v>
      </c>
      <c r="L3168" s="33" t="s">
        <v>11308</v>
      </c>
      <c r="M3168" s="33" t="s">
        <v>21</v>
      </c>
      <c r="N3168" s="33" t="s">
        <v>25970</v>
      </c>
      <c r="O3168" s="33" t="s">
        <v>372</v>
      </c>
      <c r="P3168" s="33" t="s">
        <v>30089</v>
      </c>
      <c r="Q3168" s="42" t="s">
        <v>25971</v>
      </c>
      <c r="R3168" s="33" t="s">
        <v>512</v>
      </c>
      <c r="S3168" s="33" t="s">
        <v>12</v>
      </c>
      <c r="T3168" s="33" t="s">
        <v>29705</v>
      </c>
      <c r="U3168" s="33" t="s">
        <v>26572</v>
      </c>
      <c r="V3168" s="33" t="s">
        <v>26573</v>
      </c>
      <c r="W3168" s="33" t="s">
        <v>512</v>
      </c>
      <c r="X3168" s="33">
        <v>2359</v>
      </c>
      <c r="Z3168" s="33" t="s">
        <v>42968</v>
      </c>
      <c r="AA3168" s="33">
        <v>4500</v>
      </c>
    </row>
    <row r="3169" spans="1:27" ht="12" customHeight="1" x14ac:dyDescent="0.15">
      <c r="A3169" s="33" t="s">
        <v>25715</v>
      </c>
      <c r="B3169" s="33">
        <v>34</v>
      </c>
      <c r="C3169" s="33" t="s">
        <v>14</v>
      </c>
      <c r="D3169" s="33" t="s">
        <v>31</v>
      </c>
      <c r="F3169" s="67">
        <v>42783</v>
      </c>
      <c r="G3169" s="33" t="s">
        <v>26118</v>
      </c>
      <c r="H3169" s="33" t="s">
        <v>2307</v>
      </c>
      <c r="I3169" s="33" t="s">
        <v>367</v>
      </c>
      <c r="J3169" s="33">
        <v>74146</v>
      </c>
      <c r="K3169" s="33" t="s">
        <v>2307</v>
      </c>
      <c r="L3169" s="33" t="s">
        <v>3108</v>
      </c>
      <c r="M3169" s="33" t="s">
        <v>21</v>
      </c>
      <c r="N3169" s="33" t="s">
        <v>25716</v>
      </c>
      <c r="O3169" s="33" t="s">
        <v>372</v>
      </c>
      <c r="P3169" s="33" t="s">
        <v>30089</v>
      </c>
      <c r="Q3169" s="42" t="s">
        <v>25717</v>
      </c>
      <c r="R3169" s="33" t="s">
        <v>512</v>
      </c>
      <c r="S3169" s="33" t="s">
        <v>22</v>
      </c>
      <c r="T3169" s="36" t="s">
        <v>26774</v>
      </c>
      <c r="U3169" s="33" t="s">
        <v>26572</v>
      </c>
      <c r="V3169" s="33" t="s">
        <v>26573</v>
      </c>
      <c r="W3169" s="33" t="s">
        <v>94</v>
      </c>
      <c r="X3169" s="33">
        <v>2361</v>
      </c>
      <c r="Z3169" s="33" t="s">
        <v>42968</v>
      </c>
      <c r="AA3169" s="33">
        <v>4499</v>
      </c>
    </row>
    <row r="3170" spans="1:27" ht="12" customHeight="1" x14ac:dyDescent="0.15">
      <c r="A3170" s="33" t="s">
        <v>25718</v>
      </c>
      <c r="B3170" s="33">
        <v>17</v>
      </c>
      <c r="C3170" s="33" t="s">
        <v>14</v>
      </c>
      <c r="D3170" s="33" t="s">
        <v>79</v>
      </c>
      <c r="E3170" s="42" t="s">
        <v>25719</v>
      </c>
      <c r="F3170" s="67">
        <v>42782</v>
      </c>
      <c r="G3170" s="33" t="s">
        <v>25720</v>
      </c>
      <c r="H3170" s="33" t="s">
        <v>1599</v>
      </c>
      <c r="I3170" s="33" t="s">
        <v>395</v>
      </c>
      <c r="J3170" s="33">
        <v>11208</v>
      </c>
      <c r="K3170" s="33" t="s">
        <v>1601</v>
      </c>
      <c r="L3170" s="33" t="s">
        <v>539</v>
      </c>
      <c r="M3170" s="33" t="s">
        <v>21</v>
      </c>
      <c r="N3170" s="33" t="s">
        <v>25721</v>
      </c>
      <c r="O3170" s="33" t="s">
        <v>372</v>
      </c>
      <c r="P3170" s="33" t="s">
        <v>30089</v>
      </c>
      <c r="Q3170" s="42" t="s">
        <v>25722</v>
      </c>
      <c r="R3170" s="33" t="s">
        <v>94</v>
      </c>
      <c r="S3170" s="33" t="s">
        <v>22</v>
      </c>
      <c r="T3170" s="36" t="s">
        <v>26781</v>
      </c>
      <c r="U3170" s="33" t="s">
        <v>26572</v>
      </c>
      <c r="V3170" s="33" t="s">
        <v>26574</v>
      </c>
      <c r="W3170" s="33" t="s">
        <v>94</v>
      </c>
      <c r="X3170" s="33">
        <v>2346</v>
      </c>
      <c r="Z3170" s="33" t="s">
        <v>42966</v>
      </c>
      <c r="AA3170" s="33">
        <v>4492</v>
      </c>
    </row>
    <row r="3171" spans="1:27" ht="12" customHeight="1" x14ac:dyDescent="0.15">
      <c r="A3171" s="33" t="s">
        <v>26566</v>
      </c>
      <c r="B3171" s="33">
        <v>21</v>
      </c>
      <c r="C3171" s="33" t="s">
        <v>14</v>
      </c>
      <c r="D3171" s="33" t="s">
        <v>79</v>
      </c>
      <c r="F3171" s="67">
        <v>42782</v>
      </c>
      <c r="G3171" s="33" t="s">
        <v>26112</v>
      </c>
      <c r="H3171" s="33" t="s">
        <v>14770</v>
      </c>
      <c r="I3171" s="33" t="s">
        <v>39</v>
      </c>
      <c r="J3171" s="33">
        <v>90247</v>
      </c>
      <c r="K3171" s="33" t="s">
        <v>92</v>
      </c>
      <c r="L3171" s="33" t="s">
        <v>14772</v>
      </c>
      <c r="M3171" s="33" t="s">
        <v>21</v>
      </c>
      <c r="N3171" s="33" t="s">
        <v>25597</v>
      </c>
      <c r="O3171" s="33" t="s">
        <v>372</v>
      </c>
      <c r="P3171" s="33" t="s">
        <v>30089</v>
      </c>
      <c r="Q3171" s="42" t="s">
        <v>25598</v>
      </c>
      <c r="R3171" s="33" t="s">
        <v>94</v>
      </c>
      <c r="S3171" s="33" t="s">
        <v>22</v>
      </c>
      <c r="T3171" s="36" t="s">
        <v>26781</v>
      </c>
      <c r="U3171" s="33" t="s">
        <v>26572</v>
      </c>
      <c r="V3171" s="33" t="s">
        <v>26574</v>
      </c>
      <c r="W3171" s="33" t="s">
        <v>94</v>
      </c>
      <c r="X3171" s="33">
        <v>2350</v>
      </c>
      <c r="Z3171" s="33" t="s">
        <v>42966</v>
      </c>
      <c r="AA3171" s="33">
        <v>4494</v>
      </c>
    </row>
    <row r="3172" spans="1:27" ht="12" customHeight="1" x14ac:dyDescent="0.15">
      <c r="A3172" s="33" t="s">
        <v>30384</v>
      </c>
      <c r="B3172" s="33">
        <v>22</v>
      </c>
      <c r="C3172" s="33" t="s">
        <v>14</v>
      </c>
      <c r="D3172" s="33" t="s">
        <v>31</v>
      </c>
      <c r="F3172" s="67">
        <v>42782</v>
      </c>
      <c r="G3172" s="33" t="s">
        <v>30385</v>
      </c>
      <c r="H3172" s="33" t="s">
        <v>30386</v>
      </c>
      <c r="I3172" s="33" t="s">
        <v>39</v>
      </c>
      <c r="J3172" s="33">
        <v>96024</v>
      </c>
      <c r="K3172" s="33" t="s">
        <v>14717</v>
      </c>
      <c r="L3172" s="33" t="s">
        <v>14718</v>
      </c>
      <c r="M3172" s="33" t="s">
        <v>21</v>
      </c>
      <c r="N3172" s="33" t="s">
        <v>30387</v>
      </c>
      <c r="O3172" s="33" t="s">
        <v>372</v>
      </c>
      <c r="P3172" s="33" t="s">
        <v>30089</v>
      </c>
      <c r="Q3172" s="42" t="s">
        <v>30388</v>
      </c>
      <c r="R3172" s="33" t="s">
        <v>94</v>
      </c>
      <c r="S3172" s="33" t="s">
        <v>22</v>
      </c>
      <c r="T3172" s="33" t="s">
        <v>26781</v>
      </c>
      <c r="U3172" s="33" t="s">
        <v>26570</v>
      </c>
      <c r="V3172" s="33" t="s">
        <v>26573</v>
      </c>
      <c r="W3172" s="33" t="s">
        <v>94</v>
      </c>
      <c r="X3172" s="33">
        <v>2710</v>
      </c>
      <c r="Z3172" s="33" t="s">
        <v>42967</v>
      </c>
      <c r="AA3172" s="33">
        <v>4495</v>
      </c>
    </row>
    <row r="3173" spans="1:27" ht="12" customHeight="1" x14ac:dyDescent="0.15">
      <c r="A3173" s="33" t="s">
        <v>25461</v>
      </c>
      <c r="B3173" s="33">
        <v>48</v>
      </c>
      <c r="C3173" s="33" t="s">
        <v>14</v>
      </c>
      <c r="D3173" s="33" t="s">
        <v>42</v>
      </c>
      <c r="F3173" s="67">
        <v>42782</v>
      </c>
      <c r="G3173" s="33" t="s">
        <v>26102</v>
      </c>
      <c r="H3173" s="33" t="s">
        <v>532</v>
      </c>
      <c r="I3173" s="33" t="s">
        <v>67</v>
      </c>
      <c r="J3173" s="33">
        <v>78211</v>
      </c>
      <c r="K3173" s="33" t="s">
        <v>533</v>
      </c>
      <c r="L3173" s="33" t="s">
        <v>534</v>
      </c>
      <c r="M3173" s="33" t="s">
        <v>21</v>
      </c>
      <c r="N3173" s="33" t="s">
        <v>25462</v>
      </c>
      <c r="O3173" s="33" t="s">
        <v>372</v>
      </c>
      <c r="P3173" s="33" t="s">
        <v>30089</v>
      </c>
      <c r="Q3173" s="42" t="s">
        <v>25463</v>
      </c>
      <c r="R3173" s="33" t="s">
        <v>94</v>
      </c>
      <c r="S3173" s="33" t="s">
        <v>22</v>
      </c>
      <c r="T3173" s="36" t="s">
        <v>26781</v>
      </c>
      <c r="U3173" s="33" t="s">
        <v>26572</v>
      </c>
      <c r="V3173" s="33" t="s">
        <v>26573</v>
      </c>
      <c r="W3173" s="33" t="s">
        <v>94</v>
      </c>
      <c r="X3173" s="33">
        <v>2349</v>
      </c>
      <c r="Z3173" s="33" t="s">
        <v>42968</v>
      </c>
      <c r="AA3173" s="33">
        <v>4493</v>
      </c>
    </row>
    <row r="3174" spans="1:27" ht="12" customHeight="1" x14ac:dyDescent="0.15">
      <c r="A3174" s="33" t="s">
        <v>25986</v>
      </c>
      <c r="B3174" s="33">
        <v>55</v>
      </c>
      <c r="C3174" s="33" t="s">
        <v>14</v>
      </c>
      <c r="D3174" s="33" t="s">
        <v>42</v>
      </c>
      <c r="F3174" s="67">
        <v>42781</v>
      </c>
      <c r="G3174" s="33" t="s">
        <v>26135</v>
      </c>
      <c r="H3174" s="33" t="s">
        <v>25987</v>
      </c>
      <c r="I3174" s="33" t="s">
        <v>39</v>
      </c>
      <c r="J3174" s="33">
        <v>95360</v>
      </c>
      <c r="K3174" s="33" t="s">
        <v>2954</v>
      </c>
      <c r="L3174" s="33" t="s">
        <v>25988</v>
      </c>
      <c r="M3174" s="33" t="s">
        <v>21</v>
      </c>
      <c r="N3174" s="33" t="s">
        <v>25989</v>
      </c>
      <c r="O3174" s="33" t="s">
        <v>372</v>
      </c>
      <c r="P3174" s="33" t="s">
        <v>30089</v>
      </c>
      <c r="Q3174" s="33" t="s">
        <v>26159</v>
      </c>
      <c r="R3174" s="33" t="s">
        <v>94</v>
      </c>
      <c r="S3174" s="33" t="s">
        <v>29</v>
      </c>
      <c r="T3174" s="33" t="s">
        <v>26575</v>
      </c>
      <c r="U3174" s="33" t="s">
        <v>26572</v>
      </c>
      <c r="V3174" s="33" t="s">
        <v>26573</v>
      </c>
      <c r="W3174" s="33" t="s">
        <v>94</v>
      </c>
      <c r="X3174" s="33">
        <v>2345</v>
      </c>
      <c r="Z3174" s="33" t="s">
        <v>42967</v>
      </c>
      <c r="AA3174" s="33">
        <v>4491</v>
      </c>
    </row>
    <row r="3175" spans="1:27" ht="12" customHeight="1" x14ac:dyDescent="0.15">
      <c r="A3175" s="33" t="s">
        <v>25175</v>
      </c>
      <c r="B3175" s="33">
        <v>33</v>
      </c>
      <c r="C3175" s="33" t="s">
        <v>14</v>
      </c>
      <c r="D3175" s="33" t="s">
        <v>31</v>
      </c>
      <c r="E3175" s="42" t="s">
        <v>25176</v>
      </c>
      <c r="F3175" s="67">
        <v>42781</v>
      </c>
      <c r="G3175" s="33" t="s">
        <v>26076</v>
      </c>
      <c r="H3175" s="33" t="s">
        <v>21329</v>
      </c>
      <c r="I3175" s="33" t="s">
        <v>402</v>
      </c>
      <c r="J3175" s="33">
        <v>63701</v>
      </c>
      <c r="K3175" s="33" t="s">
        <v>21329</v>
      </c>
      <c r="L3175" s="33" t="s">
        <v>25177</v>
      </c>
      <c r="M3175" s="33" t="s">
        <v>21</v>
      </c>
      <c r="N3175" s="33" t="s">
        <v>25178</v>
      </c>
      <c r="O3175" s="33" t="s">
        <v>372</v>
      </c>
      <c r="P3175" s="33" t="s">
        <v>30089</v>
      </c>
      <c r="Q3175" s="42" t="s">
        <v>25179</v>
      </c>
      <c r="R3175" s="33" t="s">
        <v>94</v>
      </c>
      <c r="S3175" s="33" t="s">
        <v>22</v>
      </c>
      <c r="T3175" s="36" t="s">
        <v>26774</v>
      </c>
      <c r="U3175" s="33" t="s">
        <v>26570</v>
      </c>
      <c r="V3175" s="33" t="s">
        <v>26573</v>
      </c>
      <c r="W3175" s="33" t="s">
        <v>94</v>
      </c>
      <c r="X3175" s="33">
        <v>2344</v>
      </c>
      <c r="Z3175" s="33" t="s">
        <v>42968</v>
      </c>
      <c r="AA3175" s="33">
        <v>4490</v>
      </c>
    </row>
    <row r="3176" spans="1:27" ht="12" customHeight="1" x14ac:dyDescent="0.15">
      <c r="A3176" s="33" t="s">
        <v>25488</v>
      </c>
      <c r="B3176" s="33">
        <v>24</v>
      </c>
      <c r="C3176" s="33" t="s">
        <v>14</v>
      </c>
      <c r="D3176" s="33" t="s">
        <v>79</v>
      </c>
      <c r="E3176" s="42" t="s">
        <v>25489</v>
      </c>
      <c r="F3176" s="67">
        <v>42781</v>
      </c>
      <c r="G3176" s="33" t="s">
        <v>26105</v>
      </c>
      <c r="H3176" s="33" t="s">
        <v>455</v>
      </c>
      <c r="I3176" s="33" t="s">
        <v>338</v>
      </c>
      <c r="J3176" s="33">
        <v>27704</v>
      </c>
      <c r="K3176" s="33" t="s">
        <v>455</v>
      </c>
      <c r="L3176" s="33" t="s">
        <v>457</v>
      </c>
      <c r="M3176" s="33" t="s">
        <v>21</v>
      </c>
      <c r="N3176" s="33" t="s">
        <v>25490</v>
      </c>
      <c r="O3176" s="33" t="s">
        <v>372</v>
      </c>
      <c r="P3176" s="33" t="s">
        <v>30089</v>
      </c>
      <c r="Q3176" s="42" t="s">
        <v>25491</v>
      </c>
      <c r="R3176" s="33" t="s">
        <v>94</v>
      </c>
      <c r="S3176" s="33" t="s">
        <v>22</v>
      </c>
      <c r="T3176" s="36" t="s">
        <v>26781</v>
      </c>
      <c r="U3176" s="33" t="s">
        <v>26572</v>
      </c>
      <c r="V3176" s="33" t="s">
        <v>26574</v>
      </c>
      <c r="W3176" s="33" t="s">
        <v>94</v>
      </c>
      <c r="X3176" s="33">
        <v>2342</v>
      </c>
      <c r="Z3176" s="33" t="s">
        <v>42968</v>
      </c>
      <c r="AA3176" s="33">
        <v>4489</v>
      </c>
    </row>
    <row r="3177" spans="1:27" ht="12" customHeight="1" x14ac:dyDescent="0.15">
      <c r="A3177" s="33" t="s">
        <v>25669</v>
      </c>
      <c r="B3177" s="33">
        <v>64</v>
      </c>
      <c r="C3177" s="33" t="s">
        <v>14</v>
      </c>
      <c r="D3177" s="33" t="s">
        <v>31</v>
      </c>
      <c r="F3177" s="67">
        <v>42780</v>
      </c>
      <c r="G3177" s="33" t="s">
        <v>25670</v>
      </c>
      <c r="H3177" s="33" t="s">
        <v>270</v>
      </c>
      <c r="I3177" s="33" t="s">
        <v>198</v>
      </c>
      <c r="J3177" s="33">
        <v>46176</v>
      </c>
      <c r="K3177" s="33" t="s">
        <v>1117</v>
      </c>
      <c r="L3177" s="33" t="s">
        <v>22948</v>
      </c>
      <c r="M3177" s="33" t="s">
        <v>21</v>
      </c>
      <c r="N3177" s="33" t="s">
        <v>25671</v>
      </c>
      <c r="O3177" s="33" t="s">
        <v>372</v>
      </c>
      <c r="P3177" s="33" t="s">
        <v>30089</v>
      </c>
      <c r="Q3177" s="42" t="s">
        <v>25672</v>
      </c>
      <c r="R3177" s="33" t="s">
        <v>94</v>
      </c>
      <c r="S3177" s="33" t="s">
        <v>22</v>
      </c>
      <c r="T3177" s="33" t="s">
        <v>26781</v>
      </c>
      <c r="U3177" s="33" t="s">
        <v>26572</v>
      </c>
      <c r="V3177" s="33" t="s">
        <v>26573</v>
      </c>
      <c r="W3177" s="33" t="s">
        <v>94</v>
      </c>
      <c r="X3177" s="33">
        <v>2709</v>
      </c>
      <c r="Z3177" s="33" t="s">
        <v>42968</v>
      </c>
      <c r="AA3177" s="33">
        <v>4487</v>
      </c>
    </row>
    <row r="3178" spans="1:27" ht="12" customHeight="1" x14ac:dyDescent="0.15">
      <c r="A3178" s="33" t="s">
        <v>25554</v>
      </c>
      <c r="B3178" s="33">
        <v>53</v>
      </c>
      <c r="C3178" s="33" t="s">
        <v>14</v>
      </c>
      <c r="D3178" s="33" t="s">
        <v>31</v>
      </c>
      <c r="F3178" s="67">
        <v>42780</v>
      </c>
      <c r="G3178" s="33" t="s">
        <v>26109</v>
      </c>
      <c r="H3178" s="33" t="s">
        <v>1202</v>
      </c>
      <c r="I3178" s="33" t="s">
        <v>63</v>
      </c>
      <c r="J3178" s="33">
        <v>43204</v>
      </c>
      <c r="K3178" s="33" t="s">
        <v>1203</v>
      </c>
      <c r="L3178" s="33" t="s">
        <v>11441</v>
      </c>
      <c r="M3178" s="33" t="s">
        <v>21</v>
      </c>
      <c r="N3178" s="33" t="s">
        <v>25555</v>
      </c>
      <c r="O3178" s="33" t="s">
        <v>372</v>
      </c>
      <c r="P3178" s="33" t="s">
        <v>30089</v>
      </c>
      <c r="Q3178" s="42" t="s">
        <v>25556</v>
      </c>
      <c r="R3178" s="33" t="s">
        <v>512</v>
      </c>
      <c r="S3178" s="33" t="s">
        <v>22</v>
      </c>
      <c r="T3178" s="36" t="s">
        <v>26774</v>
      </c>
      <c r="U3178" s="33" t="s">
        <v>26570</v>
      </c>
      <c r="V3178" s="33" t="s">
        <v>26573</v>
      </c>
      <c r="W3178" s="33" t="s">
        <v>94</v>
      </c>
      <c r="X3178" s="33">
        <v>2338</v>
      </c>
      <c r="Z3178" s="33" t="s">
        <v>42968</v>
      </c>
      <c r="AA3178" s="33">
        <v>4488</v>
      </c>
    </row>
    <row r="3179" spans="1:27" ht="12" customHeight="1" x14ac:dyDescent="0.15">
      <c r="A3179" s="33" t="s">
        <v>25904</v>
      </c>
      <c r="B3179" s="33">
        <v>35</v>
      </c>
      <c r="C3179" s="33" t="s">
        <v>14</v>
      </c>
      <c r="D3179" s="33" t="s">
        <v>31</v>
      </c>
      <c r="F3179" s="67">
        <v>42780</v>
      </c>
      <c r="G3179" s="33" t="s">
        <v>25905</v>
      </c>
      <c r="H3179" s="33" t="s">
        <v>15360</v>
      </c>
      <c r="I3179" s="33" t="s">
        <v>198</v>
      </c>
      <c r="J3179" s="33">
        <v>47591</v>
      </c>
      <c r="K3179" s="33" t="s">
        <v>2476</v>
      </c>
      <c r="L3179" s="33" t="s">
        <v>18119</v>
      </c>
      <c r="M3179" s="33" t="s">
        <v>21</v>
      </c>
      <c r="N3179" s="33" t="s">
        <v>25906</v>
      </c>
      <c r="O3179" s="33" t="s">
        <v>372</v>
      </c>
      <c r="P3179" s="33" t="s">
        <v>30089</v>
      </c>
      <c r="Q3179" s="42" t="s">
        <v>25907</v>
      </c>
      <c r="R3179" s="33" t="s">
        <v>94</v>
      </c>
      <c r="S3179" s="33" t="s">
        <v>22</v>
      </c>
      <c r="T3179" s="36" t="s">
        <v>26781</v>
      </c>
      <c r="U3179" s="33" t="s">
        <v>26570</v>
      </c>
      <c r="V3179" s="33" t="s">
        <v>19228</v>
      </c>
      <c r="W3179" s="33" t="s">
        <v>94</v>
      </c>
      <c r="X3179" s="33">
        <v>2339</v>
      </c>
      <c r="Z3179" s="33" t="s">
        <v>42968</v>
      </c>
      <c r="AA3179" s="33">
        <v>4486</v>
      </c>
    </row>
    <row r="3180" spans="1:27" ht="12" customHeight="1" x14ac:dyDescent="0.15">
      <c r="A3180" s="33" t="s">
        <v>26018</v>
      </c>
      <c r="B3180" s="33">
        <v>19</v>
      </c>
      <c r="C3180" s="33" t="s">
        <v>14</v>
      </c>
      <c r="D3180" s="33" t="s">
        <v>79</v>
      </c>
      <c r="E3180" s="42" t="s">
        <v>26019</v>
      </c>
      <c r="F3180" s="67">
        <v>42779</v>
      </c>
      <c r="G3180" s="33" t="s">
        <v>26139</v>
      </c>
      <c r="H3180" s="33" t="s">
        <v>415</v>
      </c>
      <c r="I3180" s="33" t="s">
        <v>51</v>
      </c>
      <c r="J3180" s="33">
        <v>48204</v>
      </c>
      <c r="K3180" s="33" t="s">
        <v>1057</v>
      </c>
      <c r="L3180" s="33" t="s">
        <v>2030</v>
      </c>
      <c r="M3180" s="33" t="s">
        <v>21</v>
      </c>
      <c r="N3180" s="33" t="s">
        <v>29644</v>
      </c>
      <c r="O3180" s="33" t="s">
        <v>372</v>
      </c>
      <c r="P3180" s="33" t="s">
        <v>30089</v>
      </c>
      <c r="Q3180" s="42" t="s">
        <v>26020</v>
      </c>
      <c r="R3180" s="33" t="s">
        <v>94</v>
      </c>
      <c r="S3180" s="33" t="s">
        <v>12</v>
      </c>
      <c r="T3180" s="33" t="s">
        <v>29705</v>
      </c>
      <c r="U3180" s="33" t="s">
        <v>26572</v>
      </c>
      <c r="V3180" s="33" t="s">
        <v>19228</v>
      </c>
      <c r="W3180" s="33" t="s">
        <v>94</v>
      </c>
      <c r="X3180" s="33">
        <v>2337</v>
      </c>
      <c r="Z3180" s="33" t="s">
        <v>42966</v>
      </c>
      <c r="AA3180" s="33">
        <v>4484</v>
      </c>
    </row>
    <row r="3181" spans="1:27" ht="12" customHeight="1" x14ac:dyDescent="0.15">
      <c r="A3181" s="33" t="s">
        <v>25323</v>
      </c>
      <c r="B3181" s="33">
        <v>53</v>
      </c>
      <c r="C3181" s="33" t="s">
        <v>14</v>
      </c>
      <c r="D3181" s="33" t="s">
        <v>31</v>
      </c>
      <c r="F3181" s="67">
        <v>42779</v>
      </c>
      <c r="G3181" s="33" t="s">
        <v>26087</v>
      </c>
      <c r="H3181" s="33" t="s">
        <v>25324</v>
      </c>
      <c r="I3181" s="33" t="s">
        <v>112</v>
      </c>
      <c r="J3181" s="33">
        <v>86436</v>
      </c>
      <c r="K3181" s="33" t="s">
        <v>5363</v>
      </c>
      <c r="L3181" s="33" t="s">
        <v>13350</v>
      </c>
      <c r="M3181" s="33" t="s">
        <v>21</v>
      </c>
      <c r="N3181" s="33" t="s">
        <v>25325</v>
      </c>
      <c r="O3181" s="33" t="s">
        <v>372</v>
      </c>
      <c r="P3181" s="33" t="s">
        <v>30089</v>
      </c>
      <c r="Q3181" s="42" t="s">
        <v>25326</v>
      </c>
      <c r="R3181" s="33" t="s">
        <v>23</v>
      </c>
      <c r="S3181" s="33" t="s">
        <v>22</v>
      </c>
      <c r="T3181" s="36" t="s">
        <v>26781</v>
      </c>
      <c r="U3181" s="33" t="s">
        <v>26572</v>
      </c>
      <c r="V3181" s="33" t="s">
        <v>26573</v>
      </c>
      <c r="W3181" s="33" t="s">
        <v>94</v>
      </c>
      <c r="X3181" s="33">
        <v>2335</v>
      </c>
      <c r="Z3181" s="33" t="s">
        <v>42967</v>
      </c>
      <c r="AA3181" s="33">
        <v>4483</v>
      </c>
    </row>
    <row r="3182" spans="1:27" ht="12" customHeight="1" x14ac:dyDescent="0.15">
      <c r="A3182" s="33" t="s">
        <v>25845</v>
      </c>
      <c r="B3182" s="33">
        <v>32</v>
      </c>
      <c r="C3182" s="33" t="s">
        <v>14</v>
      </c>
      <c r="D3182" s="33" t="s">
        <v>31</v>
      </c>
      <c r="E3182" s="42" t="s">
        <v>25846</v>
      </c>
      <c r="F3182" s="67">
        <v>42779</v>
      </c>
      <c r="G3182" s="33" t="s">
        <v>25847</v>
      </c>
      <c r="H3182" s="33" t="s">
        <v>359</v>
      </c>
      <c r="I3182" s="33" t="s">
        <v>298</v>
      </c>
      <c r="J3182" s="33">
        <v>37934</v>
      </c>
      <c r="K3182" s="33" t="s">
        <v>2476</v>
      </c>
      <c r="L3182" s="33" t="s">
        <v>25848</v>
      </c>
      <c r="M3182" s="33" t="s">
        <v>21</v>
      </c>
      <c r="N3182" s="33" t="s">
        <v>25849</v>
      </c>
      <c r="O3182" s="33" t="s">
        <v>372</v>
      </c>
      <c r="P3182" s="33" t="s">
        <v>30089</v>
      </c>
      <c r="Q3182" s="42" t="s">
        <v>25850</v>
      </c>
      <c r="R3182" s="33" t="s">
        <v>904</v>
      </c>
      <c r="S3182" s="33" t="s">
        <v>351</v>
      </c>
      <c r="T3182" s="36" t="s">
        <v>26867</v>
      </c>
      <c r="U3182" s="33" t="s">
        <v>26572</v>
      </c>
      <c r="V3182" s="33" t="s">
        <v>26571</v>
      </c>
      <c r="W3182" s="33" t="s">
        <v>94</v>
      </c>
      <c r="X3182" s="33">
        <v>2334</v>
      </c>
      <c r="Z3182" s="33" t="s">
        <v>42968</v>
      </c>
      <c r="AA3182" s="33">
        <v>4485</v>
      </c>
    </row>
    <row r="3183" spans="1:27" ht="12" customHeight="1" x14ac:dyDescent="0.15">
      <c r="A3183" s="33" t="s">
        <v>3002</v>
      </c>
      <c r="B3183" s="33" t="s">
        <v>23</v>
      </c>
      <c r="C3183" s="33" t="s">
        <v>14</v>
      </c>
      <c r="D3183" s="33" t="s">
        <v>30751</v>
      </c>
      <c r="F3183" s="67">
        <v>42778</v>
      </c>
      <c r="G3183" s="33" t="s">
        <v>25894</v>
      </c>
      <c r="H3183" s="33" t="s">
        <v>25895</v>
      </c>
      <c r="I3183" s="33" t="s">
        <v>67</v>
      </c>
      <c r="J3183" s="33">
        <v>75160</v>
      </c>
      <c r="K3183" s="33" t="s">
        <v>15386</v>
      </c>
      <c r="L3183" s="33" t="s">
        <v>25896</v>
      </c>
      <c r="M3183" s="33" t="s">
        <v>21</v>
      </c>
      <c r="N3183" s="33" t="s">
        <v>36620</v>
      </c>
      <c r="O3183" s="33" t="s">
        <v>372</v>
      </c>
      <c r="P3183" s="33" t="s">
        <v>30089</v>
      </c>
      <c r="Q3183" s="42" t="s">
        <v>25897</v>
      </c>
      <c r="R3183" s="33" t="s">
        <v>94</v>
      </c>
      <c r="S3183" s="33" t="s">
        <v>351</v>
      </c>
      <c r="T3183" s="36" t="s">
        <v>26867</v>
      </c>
      <c r="U3183" s="33" t="s">
        <v>26570</v>
      </c>
      <c r="V3183" s="33" t="s">
        <v>19228</v>
      </c>
      <c r="W3183" s="33" t="s">
        <v>94</v>
      </c>
      <c r="X3183" s="33">
        <v>2328</v>
      </c>
      <c r="Z3183" s="33" t="s">
        <v>42967</v>
      </c>
      <c r="AA3183" s="33">
        <v>4482</v>
      </c>
    </row>
    <row r="3184" spans="1:27" ht="12" customHeight="1" x14ac:dyDescent="0.15">
      <c r="A3184" s="33" t="s">
        <v>25209</v>
      </c>
      <c r="B3184" s="33">
        <v>26</v>
      </c>
      <c r="C3184" s="33" t="s">
        <v>14</v>
      </c>
      <c r="D3184" s="33" t="s">
        <v>42</v>
      </c>
      <c r="E3184" s="42" t="s">
        <v>25210</v>
      </c>
      <c r="F3184" s="67">
        <v>42778</v>
      </c>
      <c r="G3184" s="33" t="s">
        <v>26081</v>
      </c>
      <c r="H3184" s="33" t="s">
        <v>25211</v>
      </c>
      <c r="I3184" s="33" t="s">
        <v>39</v>
      </c>
      <c r="J3184" s="33">
        <v>93110</v>
      </c>
      <c r="K3184" s="33" t="s">
        <v>1819</v>
      </c>
      <c r="L3184" s="33" t="s">
        <v>23242</v>
      </c>
      <c r="M3184" s="33" t="s">
        <v>21</v>
      </c>
      <c r="N3184" s="33" t="s">
        <v>25212</v>
      </c>
      <c r="O3184" s="33" t="s">
        <v>372</v>
      </c>
      <c r="P3184" s="33" t="s">
        <v>30089</v>
      </c>
      <c r="Q3184" s="42" t="s">
        <v>25213</v>
      </c>
      <c r="R3184" s="33" t="s">
        <v>512</v>
      </c>
      <c r="S3184" s="33" t="s">
        <v>22</v>
      </c>
      <c r="T3184" s="36" t="s">
        <v>26774</v>
      </c>
      <c r="U3184" s="33" t="s">
        <v>26570</v>
      </c>
      <c r="V3184" s="33" t="s">
        <v>26574</v>
      </c>
      <c r="W3184" s="33" t="s">
        <v>94</v>
      </c>
      <c r="X3184" s="33">
        <v>2333</v>
      </c>
      <c r="Z3184" s="33" t="s">
        <v>42968</v>
      </c>
      <c r="AA3184" s="33">
        <v>4481</v>
      </c>
    </row>
    <row r="3185" spans="1:47" ht="12" customHeight="1" x14ac:dyDescent="0.15">
      <c r="A3185" s="33" t="s">
        <v>26057</v>
      </c>
      <c r="B3185" s="33">
        <v>31</v>
      </c>
      <c r="C3185" s="33" t="s">
        <v>14</v>
      </c>
      <c r="D3185" s="33" t="s">
        <v>79</v>
      </c>
      <c r="E3185" s="42" t="s">
        <v>26058</v>
      </c>
      <c r="F3185" s="67">
        <v>42778</v>
      </c>
      <c r="G3185" s="33" t="s">
        <v>26059</v>
      </c>
      <c r="H3185" s="33" t="s">
        <v>455</v>
      </c>
      <c r="I3185" s="33" t="s">
        <v>338</v>
      </c>
      <c r="J3185" s="33">
        <v>27704</v>
      </c>
      <c r="K3185" s="33" t="s">
        <v>455</v>
      </c>
      <c r="L3185" s="33" t="s">
        <v>14794</v>
      </c>
      <c r="M3185" s="33" t="s">
        <v>21</v>
      </c>
      <c r="N3185" s="33" t="s">
        <v>26060</v>
      </c>
      <c r="O3185" s="33" t="s">
        <v>372</v>
      </c>
      <c r="P3185" s="33" t="s">
        <v>30089</v>
      </c>
      <c r="Q3185" s="42" t="s">
        <v>26061</v>
      </c>
      <c r="R3185" s="33" t="s">
        <v>904</v>
      </c>
      <c r="S3185" s="33" t="s">
        <v>22</v>
      </c>
      <c r="T3185" s="36" t="s">
        <v>26781</v>
      </c>
      <c r="U3185" s="33" t="s">
        <v>26570</v>
      </c>
      <c r="V3185" s="33" t="s">
        <v>19228</v>
      </c>
      <c r="W3185" s="33" t="s">
        <v>94</v>
      </c>
      <c r="X3185" s="33">
        <v>2329</v>
      </c>
      <c r="Z3185" s="33" t="s">
        <v>42968</v>
      </c>
      <c r="AA3185" s="33">
        <v>4480</v>
      </c>
    </row>
    <row r="3186" spans="1:47" ht="12" customHeight="1" x14ac:dyDescent="0.15">
      <c r="A3186" s="33" t="s">
        <v>25937</v>
      </c>
      <c r="B3186" s="33">
        <v>37</v>
      </c>
      <c r="C3186" s="33" t="s">
        <v>14</v>
      </c>
      <c r="D3186" s="33" t="s">
        <v>31</v>
      </c>
      <c r="E3186" s="42" t="s">
        <v>25938</v>
      </c>
      <c r="F3186" s="67">
        <v>42777</v>
      </c>
      <c r="G3186" s="33" t="s">
        <v>25939</v>
      </c>
      <c r="H3186" s="33" t="s">
        <v>27</v>
      </c>
      <c r="I3186" s="33" t="s">
        <v>26</v>
      </c>
      <c r="J3186" s="33">
        <v>29605</v>
      </c>
      <c r="K3186" s="33" t="s">
        <v>27</v>
      </c>
      <c r="L3186" s="33" t="s">
        <v>28</v>
      </c>
      <c r="M3186" s="33" t="s">
        <v>21</v>
      </c>
      <c r="N3186" s="33" t="s">
        <v>25940</v>
      </c>
      <c r="O3186" s="33" t="s">
        <v>372</v>
      </c>
      <c r="P3186" s="33" t="s">
        <v>30089</v>
      </c>
      <c r="Q3186" s="42" t="s">
        <v>25941</v>
      </c>
      <c r="R3186" s="33" t="s">
        <v>94</v>
      </c>
      <c r="S3186" s="33" t="s">
        <v>22</v>
      </c>
      <c r="T3186" s="36" t="s">
        <v>26781</v>
      </c>
      <c r="U3186" s="33" t="s">
        <v>26570</v>
      </c>
      <c r="V3186" s="33" t="s">
        <v>26573</v>
      </c>
      <c r="W3186" s="33" t="s">
        <v>94</v>
      </c>
      <c r="X3186" s="33">
        <v>2318</v>
      </c>
      <c r="Z3186" s="33" t="s">
        <v>42968</v>
      </c>
      <c r="AA3186" s="33">
        <v>4476</v>
      </c>
    </row>
    <row r="3187" spans="1:47" ht="12" customHeight="1" x14ac:dyDescent="0.15">
      <c r="A3187" s="33" t="s">
        <v>26007</v>
      </c>
      <c r="B3187" s="33">
        <v>33</v>
      </c>
      <c r="C3187" s="33" t="s">
        <v>14</v>
      </c>
      <c r="D3187" s="33" t="s">
        <v>885</v>
      </c>
      <c r="E3187" s="42" t="s">
        <v>26008</v>
      </c>
      <c r="F3187" s="67">
        <v>42777</v>
      </c>
      <c r="G3187" s="33" t="s">
        <v>26009</v>
      </c>
      <c r="H3187" s="33" t="s">
        <v>26010</v>
      </c>
      <c r="I3187" s="33" t="s">
        <v>814</v>
      </c>
      <c r="J3187" s="33">
        <v>96701</v>
      </c>
      <c r="K3187" s="33" t="s">
        <v>2196</v>
      </c>
      <c r="L3187" s="33" t="s">
        <v>3281</v>
      </c>
      <c r="M3187" s="33" t="s">
        <v>21</v>
      </c>
      <c r="N3187" s="33" t="s">
        <v>26011</v>
      </c>
      <c r="O3187" s="33" t="s">
        <v>372</v>
      </c>
      <c r="P3187" s="33" t="s">
        <v>30089</v>
      </c>
      <c r="Q3187" s="42" t="s">
        <v>26012</v>
      </c>
      <c r="R3187" s="33" t="s">
        <v>94</v>
      </c>
      <c r="S3187" s="33" t="s">
        <v>351</v>
      </c>
      <c r="T3187" s="36" t="s">
        <v>26867</v>
      </c>
      <c r="U3187" s="33" t="s">
        <v>26570</v>
      </c>
      <c r="V3187" s="33" t="s">
        <v>26571</v>
      </c>
      <c r="W3187" s="33" t="s">
        <v>94</v>
      </c>
      <c r="X3187" s="33">
        <v>2320</v>
      </c>
      <c r="Z3187" s="33" t="s">
        <v>42968</v>
      </c>
      <c r="AA3187" s="33">
        <v>4479</v>
      </c>
    </row>
    <row r="3188" spans="1:47" ht="12" customHeight="1" x14ac:dyDescent="0.15">
      <c r="A3188" s="33" t="s">
        <v>25171</v>
      </c>
      <c r="B3188" s="33">
        <v>27</v>
      </c>
      <c r="C3188" s="33" t="s">
        <v>14</v>
      </c>
      <c r="D3188" s="33" t="s">
        <v>79</v>
      </c>
      <c r="F3188" s="67">
        <v>42777</v>
      </c>
      <c r="G3188" s="33" t="s">
        <v>25172</v>
      </c>
      <c r="H3188" s="33" t="s">
        <v>401</v>
      </c>
      <c r="I3188" s="33" t="s">
        <v>402</v>
      </c>
      <c r="J3188" s="33">
        <v>64134</v>
      </c>
      <c r="K3188" s="33" t="s">
        <v>404</v>
      </c>
      <c r="L3188" s="33" t="s">
        <v>405</v>
      </c>
      <c r="M3188" s="33" t="s">
        <v>21</v>
      </c>
      <c r="N3188" s="33" t="s">
        <v>25173</v>
      </c>
      <c r="O3188" s="33" t="s">
        <v>372</v>
      </c>
      <c r="P3188" s="33" t="s">
        <v>30089</v>
      </c>
      <c r="Q3188" s="42" t="s">
        <v>25174</v>
      </c>
      <c r="R3188" s="33" t="s">
        <v>94</v>
      </c>
      <c r="S3188" s="33" t="s">
        <v>22</v>
      </c>
      <c r="T3188" s="36" t="s">
        <v>26781</v>
      </c>
      <c r="U3188" s="33" t="s">
        <v>26572</v>
      </c>
      <c r="V3188" s="33" t="s">
        <v>26573</v>
      </c>
      <c r="W3188" s="33" t="s">
        <v>94</v>
      </c>
      <c r="X3188" s="33">
        <v>2321</v>
      </c>
      <c r="Z3188" s="33" t="s">
        <v>42966</v>
      </c>
      <c r="AA3188" s="33">
        <v>4477</v>
      </c>
    </row>
    <row r="3189" spans="1:47" ht="12" customHeight="1" x14ac:dyDescent="0.15">
      <c r="A3189" s="33" t="s">
        <v>26071</v>
      </c>
      <c r="B3189" s="33">
        <v>32</v>
      </c>
      <c r="C3189" s="33" t="s">
        <v>14</v>
      </c>
      <c r="D3189" s="33" t="s">
        <v>31</v>
      </c>
      <c r="E3189" s="42" t="s">
        <v>26072</v>
      </c>
      <c r="F3189" s="67">
        <v>42777</v>
      </c>
      <c r="G3189" s="33" t="s">
        <v>26073</v>
      </c>
      <c r="H3189" s="33" t="s">
        <v>834</v>
      </c>
      <c r="I3189" s="33" t="s">
        <v>294</v>
      </c>
      <c r="J3189" s="33">
        <v>40215</v>
      </c>
      <c r="K3189" s="33" t="s">
        <v>1659</v>
      </c>
      <c r="L3189" s="33" t="s">
        <v>835</v>
      </c>
      <c r="M3189" s="33" t="s">
        <v>21</v>
      </c>
      <c r="N3189" s="33" t="s">
        <v>26074</v>
      </c>
      <c r="O3189" s="33" t="s">
        <v>372</v>
      </c>
      <c r="P3189" s="33" t="s">
        <v>30089</v>
      </c>
      <c r="Q3189" s="42" t="s">
        <v>26075</v>
      </c>
      <c r="R3189" s="33" t="s">
        <v>512</v>
      </c>
      <c r="S3189" s="33" t="s">
        <v>29</v>
      </c>
      <c r="T3189" s="33" t="s">
        <v>26581</v>
      </c>
      <c r="U3189" s="33" t="s">
        <v>26572</v>
      </c>
      <c r="V3189" s="33" t="s">
        <v>26573</v>
      </c>
      <c r="W3189" s="33" t="s">
        <v>512</v>
      </c>
      <c r="X3189" s="33">
        <v>2323</v>
      </c>
      <c r="Z3189" s="33" t="s">
        <v>42966</v>
      </c>
      <c r="AA3189" s="33">
        <v>4478</v>
      </c>
    </row>
    <row r="3190" spans="1:47" ht="12" customHeight="1" x14ac:dyDescent="0.15">
      <c r="A3190" s="33" t="s">
        <v>25570</v>
      </c>
      <c r="B3190" s="33">
        <v>55</v>
      </c>
      <c r="C3190" s="33" t="s">
        <v>103</v>
      </c>
      <c r="D3190" s="33" t="s">
        <v>31</v>
      </c>
      <c r="E3190" s="42" t="s">
        <v>25571</v>
      </c>
      <c r="F3190" s="67">
        <v>42776</v>
      </c>
      <c r="G3190" s="33" t="s">
        <v>25572</v>
      </c>
      <c r="H3190" s="33" t="s">
        <v>81</v>
      </c>
      <c r="I3190" s="33" t="s">
        <v>38</v>
      </c>
      <c r="J3190" s="33">
        <v>60618</v>
      </c>
      <c r="K3190" s="33" t="s">
        <v>82</v>
      </c>
      <c r="L3190" s="33" t="s">
        <v>83</v>
      </c>
      <c r="M3190" s="33" t="s">
        <v>4966</v>
      </c>
      <c r="N3190" s="33" t="s">
        <v>25573</v>
      </c>
      <c r="O3190" s="33" t="s">
        <v>372</v>
      </c>
      <c r="P3190" s="33" t="s">
        <v>30089</v>
      </c>
      <c r="Q3190" s="42" t="s">
        <v>25574</v>
      </c>
      <c r="R3190" s="33" t="s">
        <v>512</v>
      </c>
      <c r="S3190" s="33" t="s">
        <v>22</v>
      </c>
      <c r="T3190" s="36" t="s">
        <v>26774</v>
      </c>
      <c r="U3190" s="33" t="s">
        <v>26572</v>
      </c>
      <c r="V3190" s="33" t="s">
        <v>26573</v>
      </c>
      <c r="W3190" s="33" t="s">
        <v>94</v>
      </c>
      <c r="X3190" s="33">
        <v>2326</v>
      </c>
      <c r="Z3190" s="33" t="s">
        <v>42966</v>
      </c>
      <c r="AA3190" s="33">
        <v>4473</v>
      </c>
    </row>
    <row r="3191" spans="1:47" ht="12" customHeight="1" x14ac:dyDescent="0.15">
      <c r="A3191" s="33" t="s">
        <v>25424</v>
      </c>
      <c r="B3191" s="33">
        <v>31</v>
      </c>
      <c r="C3191" s="33" t="s">
        <v>14</v>
      </c>
      <c r="D3191" s="33" t="s">
        <v>79</v>
      </c>
      <c r="E3191" s="42" t="s">
        <v>25425</v>
      </c>
      <c r="F3191" s="67">
        <v>42776</v>
      </c>
      <c r="G3191" s="33" t="s">
        <v>25426</v>
      </c>
      <c r="H3191" s="33" t="s">
        <v>1888</v>
      </c>
      <c r="I3191" s="33" t="s">
        <v>298</v>
      </c>
      <c r="J3191" s="33">
        <v>37206</v>
      </c>
      <c r="K3191" s="33" t="s">
        <v>823</v>
      </c>
      <c r="L3191" s="33" t="s">
        <v>824</v>
      </c>
      <c r="M3191" s="33" t="s">
        <v>21</v>
      </c>
      <c r="N3191" s="33" t="s">
        <v>25427</v>
      </c>
      <c r="O3191" s="33" t="s">
        <v>372</v>
      </c>
      <c r="P3191" s="33" t="s">
        <v>30089</v>
      </c>
      <c r="Q3191" s="42" t="s">
        <v>25428</v>
      </c>
      <c r="R3191" s="33" t="s">
        <v>94</v>
      </c>
      <c r="S3191" s="33" t="s">
        <v>22</v>
      </c>
      <c r="T3191" s="36" t="s">
        <v>26781</v>
      </c>
      <c r="U3191" s="33" t="s">
        <v>26570</v>
      </c>
      <c r="V3191" s="33" t="s">
        <v>26574</v>
      </c>
      <c r="W3191" s="33" t="s">
        <v>94</v>
      </c>
      <c r="X3191" s="33">
        <v>2322</v>
      </c>
      <c r="Z3191" s="33" t="s">
        <v>42966</v>
      </c>
      <c r="AA3191" s="33">
        <v>4468</v>
      </c>
      <c r="AU3191" s="42"/>
    </row>
    <row r="3192" spans="1:47" ht="12" customHeight="1" x14ac:dyDescent="0.15">
      <c r="A3192" s="33" t="s">
        <v>25976</v>
      </c>
      <c r="B3192" s="33">
        <v>25</v>
      </c>
      <c r="C3192" s="33" t="s">
        <v>14</v>
      </c>
      <c r="D3192" s="33" t="s">
        <v>31</v>
      </c>
      <c r="F3192" s="67">
        <v>42776</v>
      </c>
      <c r="G3192" s="33" t="s">
        <v>25977</v>
      </c>
      <c r="H3192" s="33" t="s">
        <v>3086</v>
      </c>
      <c r="I3192" s="33" t="s">
        <v>282</v>
      </c>
      <c r="J3192" s="33">
        <v>98661</v>
      </c>
      <c r="K3192" s="33" t="s">
        <v>527</v>
      </c>
      <c r="L3192" s="33" t="s">
        <v>5331</v>
      </c>
      <c r="M3192" s="33" t="s">
        <v>21</v>
      </c>
      <c r="N3192" s="33" t="s">
        <v>25978</v>
      </c>
      <c r="O3192" s="33" t="s">
        <v>372</v>
      </c>
      <c r="P3192" s="33" t="s">
        <v>30089</v>
      </c>
      <c r="Q3192" s="42" t="s">
        <v>25979</v>
      </c>
      <c r="R3192" s="33" t="s">
        <v>94</v>
      </c>
      <c r="S3192" s="33" t="s">
        <v>22</v>
      </c>
      <c r="T3192" s="36" t="s">
        <v>26774</v>
      </c>
      <c r="U3192" s="33" t="s">
        <v>26570</v>
      </c>
      <c r="V3192" s="33" t="s">
        <v>26574</v>
      </c>
      <c r="W3192" s="33" t="s">
        <v>94</v>
      </c>
      <c r="X3192" s="33">
        <v>2317</v>
      </c>
      <c r="Z3192" s="33" t="s">
        <v>42968</v>
      </c>
      <c r="AA3192" s="33">
        <v>4472</v>
      </c>
      <c r="AQ3192" s="42"/>
    </row>
    <row r="3193" spans="1:47" ht="12" customHeight="1" x14ac:dyDescent="0.15">
      <c r="A3193" s="33" t="s">
        <v>25218</v>
      </c>
      <c r="B3193" s="33">
        <v>25</v>
      </c>
      <c r="C3193" s="33" t="s">
        <v>14</v>
      </c>
      <c r="D3193" s="33" t="s">
        <v>79</v>
      </c>
      <c r="F3193" s="67">
        <v>42776</v>
      </c>
      <c r="G3193" s="33" t="s">
        <v>25219</v>
      </c>
      <c r="H3193" s="33" t="s">
        <v>5923</v>
      </c>
      <c r="I3193" s="33" t="s">
        <v>338</v>
      </c>
      <c r="J3193" s="33">
        <v>27407</v>
      </c>
      <c r="K3193" s="33" t="s">
        <v>599</v>
      </c>
      <c r="L3193" s="33" t="s">
        <v>9857</v>
      </c>
      <c r="M3193" s="33" t="s">
        <v>21</v>
      </c>
      <c r="N3193" s="33" t="s">
        <v>25220</v>
      </c>
      <c r="O3193" s="33" t="s">
        <v>372</v>
      </c>
      <c r="P3193" s="33" t="s">
        <v>30089</v>
      </c>
      <c r="Q3193" s="42" t="s">
        <v>25221</v>
      </c>
      <c r="R3193" s="33" t="s">
        <v>94</v>
      </c>
      <c r="S3193" s="33" t="s">
        <v>22</v>
      </c>
      <c r="T3193" s="36" t="s">
        <v>26781</v>
      </c>
      <c r="U3193" s="33" t="s">
        <v>26572</v>
      </c>
      <c r="V3193" s="33" t="s">
        <v>19228</v>
      </c>
      <c r="W3193" s="33" t="s">
        <v>512</v>
      </c>
      <c r="X3193" s="33">
        <v>2331</v>
      </c>
      <c r="Z3193" s="33" t="s">
        <v>42966</v>
      </c>
      <c r="AA3193" s="33">
        <v>4470</v>
      </c>
    </row>
    <row r="3194" spans="1:47" ht="12" customHeight="1" x14ac:dyDescent="0.15">
      <c r="A3194" s="33" t="s">
        <v>25387</v>
      </c>
      <c r="B3194" s="33">
        <v>45</v>
      </c>
      <c r="C3194" s="33" t="s">
        <v>14</v>
      </c>
      <c r="D3194" s="33" t="s">
        <v>31</v>
      </c>
      <c r="F3194" s="67">
        <v>42776</v>
      </c>
      <c r="G3194" s="33" t="s">
        <v>26094</v>
      </c>
      <c r="H3194" s="33" t="s">
        <v>25388</v>
      </c>
      <c r="I3194" s="33" t="s">
        <v>367</v>
      </c>
      <c r="J3194" s="33">
        <v>73008</v>
      </c>
      <c r="K3194" s="33" t="s">
        <v>1028</v>
      </c>
      <c r="L3194" s="33" t="s">
        <v>25389</v>
      </c>
      <c r="M3194" s="33" t="s">
        <v>21</v>
      </c>
      <c r="N3194" s="33" t="s">
        <v>25390</v>
      </c>
      <c r="O3194" s="33" t="s">
        <v>372</v>
      </c>
      <c r="P3194" s="33" t="s">
        <v>30089</v>
      </c>
      <c r="Q3194" s="42" t="s">
        <v>25391</v>
      </c>
      <c r="R3194" s="33" t="s">
        <v>23</v>
      </c>
      <c r="S3194" s="33" t="s">
        <v>22</v>
      </c>
      <c r="T3194" s="36" t="s">
        <v>26781</v>
      </c>
      <c r="U3194" s="33" t="s">
        <v>26572</v>
      </c>
      <c r="V3194" s="33" t="s">
        <v>26573</v>
      </c>
      <c r="W3194" s="33" t="s">
        <v>94</v>
      </c>
      <c r="X3194" s="33">
        <v>2330</v>
      </c>
      <c r="Z3194" s="33" t="s">
        <v>42968</v>
      </c>
      <c r="AA3194" s="33">
        <v>4469</v>
      </c>
    </row>
    <row r="3195" spans="1:47" ht="12" customHeight="1" x14ac:dyDescent="0.15">
      <c r="A3195" s="33" t="s">
        <v>25275</v>
      </c>
      <c r="B3195" s="33">
        <v>23</v>
      </c>
      <c r="C3195" s="33" t="s">
        <v>14</v>
      </c>
      <c r="D3195" s="33" t="s">
        <v>79</v>
      </c>
      <c r="E3195" s="42" t="s">
        <v>25276</v>
      </c>
      <c r="F3195" s="67">
        <v>42776</v>
      </c>
      <c r="G3195" s="33" t="s">
        <v>26084</v>
      </c>
      <c r="H3195" s="33" t="s">
        <v>4782</v>
      </c>
      <c r="I3195" s="33" t="s">
        <v>75</v>
      </c>
      <c r="J3195" s="33">
        <v>8302</v>
      </c>
      <c r="K3195" s="33" t="s">
        <v>2907</v>
      </c>
      <c r="L3195" s="33" t="s">
        <v>4784</v>
      </c>
      <c r="M3195" s="33" t="s">
        <v>21</v>
      </c>
      <c r="N3195" s="33" t="s">
        <v>25277</v>
      </c>
      <c r="O3195" s="33" t="s">
        <v>372</v>
      </c>
      <c r="P3195" s="33" t="s">
        <v>30089</v>
      </c>
      <c r="Q3195" s="42" t="s">
        <v>25278</v>
      </c>
      <c r="R3195" s="33" t="s">
        <v>94</v>
      </c>
      <c r="S3195" s="33" t="s">
        <v>22</v>
      </c>
      <c r="T3195" s="36" t="s">
        <v>26781</v>
      </c>
      <c r="U3195" s="33" t="s">
        <v>26570</v>
      </c>
      <c r="V3195" s="33" t="s">
        <v>26574</v>
      </c>
      <c r="W3195" s="33" t="s">
        <v>94</v>
      </c>
      <c r="X3195" s="33">
        <v>2332</v>
      </c>
      <c r="Z3195" s="33" t="s">
        <v>42968</v>
      </c>
      <c r="AA3195" s="33">
        <v>4471</v>
      </c>
    </row>
    <row r="3196" spans="1:47" ht="12" customHeight="1" x14ac:dyDescent="0.15">
      <c r="A3196" s="33" t="s">
        <v>25868</v>
      </c>
      <c r="B3196" s="33">
        <v>25</v>
      </c>
      <c r="C3196" s="33" t="s">
        <v>14</v>
      </c>
      <c r="D3196" s="33" t="s">
        <v>31</v>
      </c>
      <c r="E3196" s="42" t="s">
        <v>25869</v>
      </c>
      <c r="F3196" s="67">
        <v>42776</v>
      </c>
      <c r="G3196" s="33" t="s">
        <v>25744</v>
      </c>
      <c r="H3196" s="33" t="s">
        <v>25745</v>
      </c>
      <c r="I3196" s="33" t="s">
        <v>4034</v>
      </c>
      <c r="J3196" s="33">
        <v>4989</v>
      </c>
      <c r="K3196" s="33" t="s">
        <v>25746</v>
      </c>
      <c r="L3196" s="33" t="s">
        <v>1240</v>
      </c>
      <c r="M3196" s="33" t="s">
        <v>21</v>
      </c>
      <c r="N3196" s="33" t="s">
        <v>25747</v>
      </c>
      <c r="O3196" s="33" t="s">
        <v>372</v>
      </c>
      <c r="P3196" s="33" t="s">
        <v>30089</v>
      </c>
      <c r="Q3196" s="42" t="s">
        <v>25870</v>
      </c>
      <c r="R3196" s="33" t="s">
        <v>94</v>
      </c>
      <c r="S3196" s="33" t="s">
        <v>351</v>
      </c>
      <c r="T3196" s="36" t="s">
        <v>26867</v>
      </c>
      <c r="U3196" s="33" t="s">
        <v>26570</v>
      </c>
      <c r="V3196" s="33" t="s">
        <v>26573</v>
      </c>
      <c r="W3196" s="33" t="s">
        <v>94</v>
      </c>
      <c r="X3196" s="33">
        <v>2324</v>
      </c>
      <c r="Z3196" s="33" t="s">
        <v>42967</v>
      </c>
      <c r="AA3196" s="33">
        <v>4475</v>
      </c>
    </row>
    <row r="3197" spans="1:47" ht="12" customHeight="1" x14ac:dyDescent="0.15">
      <c r="A3197" s="33" t="s">
        <v>25742</v>
      </c>
      <c r="B3197" s="33">
        <v>18</v>
      </c>
      <c r="C3197" s="33" t="s">
        <v>103</v>
      </c>
      <c r="D3197" s="33" t="s">
        <v>31</v>
      </c>
      <c r="E3197" s="42" t="s">
        <v>25743</v>
      </c>
      <c r="F3197" s="67">
        <v>42776</v>
      </c>
      <c r="G3197" s="33" t="s">
        <v>25744</v>
      </c>
      <c r="H3197" s="33" t="s">
        <v>25745</v>
      </c>
      <c r="I3197" s="33" t="s">
        <v>4034</v>
      </c>
      <c r="J3197" s="33">
        <v>4989</v>
      </c>
      <c r="K3197" s="33" t="s">
        <v>25746</v>
      </c>
      <c r="L3197" s="33" t="s">
        <v>1240</v>
      </c>
      <c r="M3197" s="33" t="s">
        <v>21</v>
      </c>
      <c r="N3197" s="33" t="s">
        <v>25747</v>
      </c>
      <c r="O3197" s="33" t="s">
        <v>372</v>
      </c>
      <c r="P3197" s="33" t="s">
        <v>30089</v>
      </c>
      <c r="Q3197" s="42" t="s">
        <v>25748</v>
      </c>
      <c r="R3197" s="33" t="s">
        <v>94</v>
      </c>
      <c r="S3197" s="33" t="s">
        <v>12</v>
      </c>
      <c r="T3197" s="33" t="s">
        <v>29705</v>
      </c>
      <c r="U3197" s="33" t="s">
        <v>26570</v>
      </c>
      <c r="V3197" s="33" t="s">
        <v>26573</v>
      </c>
      <c r="W3197" s="33" t="s">
        <v>94</v>
      </c>
      <c r="X3197" s="33">
        <v>2325</v>
      </c>
      <c r="Z3197" s="33" t="s">
        <v>42967</v>
      </c>
      <c r="AA3197" s="33">
        <v>4474</v>
      </c>
    </row>
    <row r="3198" spans="1:47" ht="12" customHeight="1" x14ac:dyDescent="0.15">
      <c r="A3198" s="33" t="s">
        <v>25767</v>
      </c>
      <c r="B3198" s="33">
        <v>17</v>
      </c>
      <c r="C3198" s="33" t="s">
        <v>14</v>
      </c>
      <c r="D3198" s="33" t="s">
        <v>79</v>
      </c>
      <c r="E3198" s="42" t="s">
        <v>25768</v>
      </c>
      <c r="F3198" s="67">
        <v>42775</v>
      </c>
      <c r="G3198" s="33" t="s">
        <v>26121</v>
      </c>
      <c r="H3198" s="33" t="s">
        <v>1459</v>
      </c>
      <c r="I3198" s="33" t="s">
        <v>106</v>
      </c>
      <c r="J3198" s="33">
        <v>97220</v>
      </c>
      <c r="K3198" s="33" t="s">
        <v>1461</v>
      </c>
      <c r="L3198" s="33" t="s">
        <v>16039</v>
      </c>
      <c r="M3198" s="33" t="s">
        <v>21</v>
      </c>
      <c r="N3198" s="33" t="s">
        <v>25769</v>
      </c>
      <c r="O3198" s="33" t="s">
        <v>372</v>
      </c>
      <c r="P3198" s="33" t="s">
        <v>30089</v>
      </c>
      <c r="Q3198" s="42" t="s">
        <v>25770</v>
      </c>
      <c r="R3198" s="33" t="s">
        <v>94</v>
      </c>
      <c r="S3198" s="33" t="s">
        <v>12</v>
      </c>
      <c r="T3198" s="33" t="s">
        <v>29425</v>
      </c>
      <c r="U3198" s="33" t="s">
        <v>26570</v>
      </c>
      <c r="V3198" s="33" t="s">
        <v>26574</v>
      </c>
      <c r="W3198" s="33" t="s">
        <v>94</v>
      </c>
      <c r="X3198" s="33">
        <v>2316</v>
      </c>
      <c r="Z3198" s="33" t="s">
        <v>42966</v>
      </c>
      <c r="AA3198" s="33">
        <v>4465</v>
      </c>
    </row>
    <row r="3199" spans="1:47" ht="12" customHeight="1" x14ac:dyDescent="0.15">
      <c r="A3199" s="33" t="s">
        <v>3002</v>
      </c>
      <c r="B3199" s="33" t="s">
        <v>23</v>
      </c>
      <c r="C3199" s="33" t="s">
        <v>14</v>
      </c>
      <c r="D3199" s="33" t="s">
        <v>128</v>
      </c>
      <c r="F3199" s="67">
        <v>42775</v>
      </c>
      <c r="G3199" s="33" t="s">
        <v>25829</v>
      </c>
      <c r="H3199" s="33" t="s">
        <v>6912</v>
      </c>
      <c r="I3199" s="33" t="s">
        <v>178</v>
      </c>
      <c r="J3199" s="33">
        <v>87413</v>
      </c>
      <c r="K3199" s="33" t="s">
        <v>5263</v>
      </c>
      <c r="L3199" s="33" t="s">
        <v>25830</v>
      </c>
      <c r="M3199" s="33" t="s">
        <v>21</v>
      </c>
      <c r="N3199" s="33" t="s">
        <v>25831</v>
      </c>
      <c r="O3199" s="33" t="s">
        <v>372</v>
      </c>
      <c r="P3199" s="33" t="s">
        <v>30089</v>
      </c>
      <c r="Q3199" s="42" t="s">
        <v>25832</v>
      </c>
      <c r="R3199" s="33" t="s">
        <v>94</v>
      </c>
      <c r="S3199" s="33" t="s">
        <v>29</v>
      </c>
      <c r="T3199" s="33" t="s">
        <v>26575</v>
      </c>
      <c r="U3199" s="33" t="s">
        <v>26575</v>
      </c>
      <c r="V3199" s="33" t="s">
        <v>19228</v>
      </c>
      <c r="W3199" s="33" t="s">
        <v>94</v>
      </c>
      <c r="X3199" s="33">
        <v>2319</v>
      </c>
      <c r="Z3199" s="33" t="s">
        <v>42967</v>
      </c>
      <c r="AA3199" s="33">
        <v>4467</v>
      </c>
    </row>
    <row r="3200" spans="1:47" ht="12" customHeight="1" x14ac:dyDescent="0.15">
      <c r="A3200" s="33" t="s">
        <v>25484</v>
      </c>
      <c r="B3200" s="33">
        <v>33</v>
      </c>
      <c r="C3200" s="33" t="s">
        <v>14</v>
      </c>
      <c r="D3200" s="33" t="s">
        <v>42</v>
      </c>
      <c r="F3200" s="67">
        <v>42775</v>
      </c>
      <c r="G3200" s="33" t="s">
        <v>25485</v>
      </c>
      <c r="H3200" s="33" t="s">
        <v>15636</v>
      </c>
      <c r="I3200" s="33" t="s">
        <v>282</v>
      </c>
      <c r="J3200" s="33">
        <v>98258</v>
      </c>
      <c r="K3200" s="33" t="s">
        <v>2004</v>
      </c>
      <c r="L3200" s="33" t="s">
        <v>15637</v>
      </c>
      <c r="M3200" s="33" t="s">
        <v>4966</v>
      </c>
      <c r="N3200" s="33" t="s">
        <v>25486</v>
      </c>
      <c r="O3200" s="33" t="s">
        <v>372</v>
      </c>
      <c r="P3200" s="33" t="s">
        <v>30089</v>
      </c>
      <c r="Q3200" s="42" t="s">
        <v>25487</v>
      </c>
      <c r="R3200" s="33" t="s">
        <v>512</v>
      </c>
      <c r="S3200" s="33" t="s">
        <v>22</v>
      </c>
      <c r="T3200" s="36" t="s">
        <v>26774</v>
      </c>
      <c r="U3200" s="33" t="s">
        <v>26570</v>
      </c>
      <c r="V3200" s="33" t="s">
        <v>26573</v>
      </c>
      <c r="W3200" s="33" t="s">
        <v>94</v>
      </c>
      <c r="X3200" s="33">
        <v>2315</v>
      </c>
      <c r="Z3200" s="33" t="s">
        <v>42968</v>
      </c>
      <c r="AA3200" s="33">
        <v>4464</v>
      </c>
    </row>
    <row r="3201" spans="1:27" ht="12" customHeight="1" x14ac:dyDescent="0.15">
      <c r="A3201" s="33" t="s">
        <v>26049</v>
      </c>
      <c r="B3201" s="33">
        <v>26</v>
      </c>
      <c r="C3201" s="33" t="s">
        <v>14</v>
      </c>
      <c r="D3201" s="33" t="s">
        <v>31</v>
      </c>
      <c r="E3201" s="42" t="s">
        <v>26050</v>
      </c>
      <c r="F3201" s="67">
        <v>42775</v>
      </c>
      <c r="G3201" s="33" t="s">
        <v>26142</v>
      </c>
      <c r="H3201" s="33" t="s">
        <v>25827</v>
      </c>
      <c r="I3201" s="33" t="s">
        <v>63</v>
      </c>
      <c r="J3201" s="33">
        <v>44041</v>
      </c>
      <c r="K3201" s="33" t="s">
        <v>23057</v>
      </c>
      <c r="L3201" s="33" t="s">
        <v>23058</v>
      </c>
      <c r="M3201" s="33" t="s">
        <v>4966</v>
      </c>
      <c r="N3201" s="33" t="s">
        <v>26051</v>
      </c>
      <c r="O3201" s="33" t="s">
        <v>372</v>
      </c>
      <c r="P3201" s="33" t="s">
        <v>30089</v>
      </c>
      <c r="Q3201" s="42" t="s">
        <v>26052</v>
      </c>
      <c r="R3201" s="33" t="s">
        <v>94</v>
      </c>
      <c r="S3201" s="33" t="s">
        <v>12</v>
      </c>
      <c r="T3201" s="33" t="s">
        <v>29705</v>
      </c>
      <c r="U3201" s="33" t="s">
        <v>26570</v>
      </c>
      <c r="V3201" s="33" t="s">
        <v>26573</v>
      </c>
      <c r="W3201" s="33" t="s">
        <v>94</v>
      </c>
      <c r="X3201" s="33">
        <v>2313</v>
      </c>
      <c r="Z3201" s="33" t="s">
        <v>42967</v>
      </c>
      <c r="AA3201" s="33">
        <v>4466</v>
      </c>
    </row>
    <row r="3202" spans="1:27" ht="12" customHeight="1" x14ac:dyDescent="0.15">
      <c r="A3202" s="33" t="s">
        <v>25922</v>
      </c>
      <c r="B3202" s="33">
        <v>34</v>
      </c>
      <c r="C3202" s="33" t="s">
        <v>14</v>
      </c>
      <c r="D3202" s="33" t="s">
        <v>128</v>
      </c>
      <c r="E3202" s="42" t="s">
        <v>25923</v>
      </c>
      <c r="F3202" s="67">
        <v>42774</v>
      </c>
      <c r="G3202" s="33" t="s">
        <v>25924</v>
      </c>
      <c r="H3202" s="33" t="s">
        <v>21072</v>
      </c>
      <c r="I3202" s="33" t="s">
        <v>367</v>
      </c>
      <c r="J3202" s="33">
        <v>73005</v>
      </c>
      <c r="K3202" s="33" t="s">
        <v>5432</v>
      </c>
      <c r="L3202" s="33" t="s">
        <v>25925</v>
      </c>
      <c r="M3202" s="33" t="s">
        <v>21</v>
      </c>
      <c r="N3202" s="33" t="s">
        <v>25926</v>
      </c>
      <c r="O3202" s="33" t="s">
        <v>372</v>
      </c>
      <c r="P3202" s="33" t="s">
        <v>30089</v>
      </c>
      <c r="Q3202" s="42" t="s">
        <v>25927</v>
      </c>
      <c r="R3202" s="33" t="s">
        <v>94</v>
      </c>
      <c r="S3202" s="33" t="s">
        <v>22</v>
      </c>
      <c r="T3202" s="36" t="s">
        <v>26774</v>
      </c>
      <c r="U3202" s="33" t="s">
        <v>26570</v>
      </c>
      <c r="V3202" s="33" t="s">
        <v>19228</v>
      </c>
      <c r="W3202" s="33" t="s">
        <v>94</v>
      </c>
      <c r="X3202" s="33">
        <v>2314</v>
      </c>
      <c r="Z3202" s="33" t="s">
        <v>42967</v>
      </c>
      <c r="AA3202" s="33">
        <v>4462</v>
      </c>
    </row>
    <row r="3203" spans="1:27" ht="12" customHeight="1" x14ac:dyDescent="0.15">
      <c r="A3203" s="33" t="s">
        <v>25729</v>
      </c>
      <c r="B3203" s="33">
        <v>30</v>
      </c>
      <c r="C3203" s="33" t="s">
        <v>14</v>
      </c>
      <c r="D3203" s="33" t="s">
        <v>42</v>
      </c>
      <c r="E3203" s="42" t="s">
        <v>25730</v>
      </c>
      <c r="F3203" s="67">
        <v>42774</v>
      </c>
      <c r="G3203" s="33" t="s">
        <v>26120</v>
      </c>
      <c r="H3203" s="33" t="s">
        <v>1779</v>
      </c>
      <c r="I3203" s="33" t="s">
        <v>39</v>
      </c>
      <c r="J3203" s="33">
        <v>95776</v>
      </c>
      <c r="K3203" s="33" t="s">
        <v>7123</v>
      </c>
      <c r="L3203" s="33" t="s">
        <v>1781</v>
      </c>
      <c r="M3203" s="33" t="s">
        <v>363</v>
      </c>
      <c r="N3203" s="33" t="s">
        <v>36622</v>
      </c>
      <c r="O3203" s="33" t="s">
        <v>372</v>
      </c>
      <c r="P3203" s="33" t="s">
        <v>30089</v>
      </c>
      <c r="Q3203" s="42" t="s">
        <v>25731</v>
      </c>
      <c r="R3203" s="33" t="s">
        <v>23</v>
      </c>
      <c r="S3203" s="33" t="s">
        <v>29</v>
      </c>
      <c r="T3203" s="33" t="s">
        <v>29426</v>
      </c>
      <c r="U3203" s="33" t="s">
        <v>26572</v>
      </c>
      <c r="V3203" s="33" t="s">
        <v>26573</v>
      </c>
      <c r="Z3203" s="33" t="s">
        <v>42968</v>
      </c>
      <c r="AA3203" s="33">
        <v>4460</v>
      </c>
    </row>
    <row r="3204" spans="1:27" ht="12" customHeight="1" x14ac:dyDescent="0.15">
      <c r="A3204" s="33" t="s">
        <v>25749</v>
      </c>
      <c r="B3204" s="33">
        <v>25</v>
      </c>
      <c r="C3204" s="33" t="s">
        <v>14</v>
      </c>
      <c r="D3204" s="33" t="s">
        <v>79</v>
      </c>
      <c r="E3204" s="42" t="s">
        <v>25750</v>
      </c>
      <c r="F3204" s="67">
        <v>42774</v>
      </c>
      <c r="G3204" s="33" t="s">
        <v>25751</v>
      </c>
      <c r="H3204" s="33" t="s">
        <v>81</v>
      </c>
      <c r="I3204" s="33" t="s">
        <v>38</v>
      </c>
      <c r="J3204" s="33">
        <v>60606</v>
      </c>
      <c r="K3204" s="33" t="s">
        <v>82</v>
      </c>
      <c r="L3204" s="33" t="s">
        <v>25752</v>
      </c>
      <c r="M3204" s="33" t="s">
        <v>21</v>
      </c>
      <c r="N3204" s="33" t="s">
        <v>36621</v>
      </c>
      <c r="O3204" s="33" t="s">
        <v>1083</v>
      </c>
      <c r="P3204" s="33" t="s">
        <v>1084</v>
      </c>
      <c r="Q3204" s="42" t="s">
        <v>25754</v>
      </c>
      <c r="R3204" s="33" t="s">
        <v>94</v>
      </c>
      <c r="S3204" s="33" t="s">
        <v>12</v>
      </c>
      <c r="T3204" s="33" t="s">
        <v>29705</v>
      </c>
      <c r="U3204" s="33" t="s">
        <v>26570</v>
      </c>
      <c r="V3204" s="33" t="s">
        <v>26574</v>
      </c>
      <c r="W3204" s="33" t="s">
        <v>94</v>
      </c>
      <c r="X3204" s="33">
        <v>2343</v>
      </c>
      <c r="Z3204" s="33" t="s">
        <v>42966</v>
      </c>
      <c r="AA3204" s="33">
        <v>4463</v>
      </c>
    </row>
    <row r="3205" spans="1:27" ht="12" customHeight="1" x14ac:dyDescent="0.15">
      <c r="A3205" s="33" t="s">
        <v>25306</v>
      </c>
      <c r="B3205" s="33">
        <v>29</v>
      </c>
      <c r="C3205" s="33" t="s">
        <v>14</v>
      </c>
      <c r="D3205" s="33" t="s">
        <v>31</v>
      </c>
      <c r="E3205" s="42" t="s">
        <v>25307</v>
      </c>
      <c r="F3205" s="67">
        <v>42774</v>
      </c>
      <c r="G3205" s="33" t="s">
        <v>25308</v>
      </c>
      <c r="H3205" s="33" t="s">
        <v>25309</v>
      </c>
      <c r="I3205" s="33" t="s">
        <v>198</v>
      </c>
      <c r="J3205" s="33">
        <v>47012</v>
      </c>
      <c r="K3205" s="33" t="s">
        <v>1203</v>
      </c>
      <c r="L3205" s="33" t="s">
        <v>25310</v>
      </c>
      <c r="M3205" s="33" t="s">
        <v>21</v>
      </c>
      <c r="N3205" s="33" t="s">
        <v>25311</v>
      </c>
      <c r="O3205" s="33" t="s">
        <v>372</v>
      </c>
      <c r="P3205" s="33" t="s">
        <v>30089</v>
      </c>
      <c r="Q3205" s="42" t="s">
        <v>25312</v>
      </c>
      <c r="R3205" s="33" t="s">
        <v>94</v>
      </c>
      <c r="S3205" s="33" t="s">
        <v>22</v>
      </c>
      <c r="T3205" s="36" t="s">
        <v>26781</v>
      </c>
      <c r="U3205" s="33" t="s">
        <v>26570</v>
      </c>
      <c r="V3205" s="33" t="s">
        <v>26573</v>
      </c>
      <c r="W3205" s="33" t="s">
        <v>94</v>
      </c>
      <c r="X3205" s="33">
        <v>2307</v>
      </c>
      <c r="Z3205" s="33" t="s">
        <v>42967</v>
      </c>
      <c r="AA3205" s="33">
        <v>4461</v>
      </c>
    </row>
    <row r="3206" spans="1:27" ht="12" customHeight="1" x14ac:dyDescent="0.15">
      <c r="A3206" s="33" t="s">
        <v>25805</v>
      </c>
      <c r="B3206" s="33">
        <v>18</v>
      </c>
      <c r="C3206" s="33" t="s">
        <v>14</v>
      </c>
      <c r="D3206" s="33" t="s">
        <v>31</v>
      </c>
      <c r="E3206" s="42" t="s">
        <v>25806</v>
      </c>
      <c r="F3206" s="67">
        <v>42773</v>
      </c>
      <c r="G3206" s="33" t="s">
        <v>26125</v>
      </c>
      <c r="H3206" s="33" t="s">
        <v>25807</v>
      </c>
      <c r="I3206" s="33" t="s">
        <v>88</v>
      </c>
      <c r="J3206" s="33">
        <v>35765</v>
      </c>
      <c r="K3206" s="33" t="s">
        <v>404</v>
      </c>
      <c r="L3206" s="33" t="s">
        <v>8407</v>
      </c>
      <c r="M3206" s="33" t="s">
        <v>4966</v>
      </c>
      <c r="N3206" s="33" t="s">
        <v>25808</v>
      </c>
      <c r="O3206" s="33" t="s">
        <v>372</v>
      </c>
      <c r="P3206" s="33" t="s">
        <v>30089</v>
      </c>
      <c r="Q3206" s="42" t="s">
        <v>25809</v>
      </c>
      <c r="R3206" s="33" t="s">
        <v>23</v>
      </c>
      <c r="S3206" s="33" t="s">
        <v>29</v>
      </c>
      <c r="T3206" s="33" t="s">
        <v>26582</v>
      </c>
      <c r="U3206" s="33" t="s">
        <v>26570</v>
      </c>
      <c r="V3206" s="33" t="s">
        <v>26573</v>
      </c>
      <c r="W3206" s="33" t="s">
        <v>94</v>
      </c>
      <c r="X3206" s="33">
        <v>2308</v>
      </c>
      <c r="Z3206" s="33" t="s">
        <v>42967</v>
      </c>
      <c r="AA3206" s="33">
        <v>4458</v>
      </c>
    </row>
    <row r="3207" spans="1:27" ht="12" customHeight="1" x14ac:dyDescent="0.15">
      <c r="A3207" s="33" t="s">
        <v>25616</v>
      </c>
      <c r="B3207" s="33">
        <v>34</v>
      </c>
      <c r="C3207" s="33" t="s">
        <v>14</v>
      </c>
      <c r="D3207" s="33" t="s">
        <v>31</v>
      </c>
      <c r="E3207" s="42" t="s">
        <v>25617</v>
      </c>
      <c r="F3207" s="67">
        <v>42773</v>
      </c>
      <c r="G3207" s="33" t="s">
        <v>25618</v>
      </c>
      <c r="H3207" s="33" t="s">
        <v>5481</v>
      </c>
      <c r="I3207" s="33" t="s">
        <v>63</v>
      </c>
      <c r="J3207" s="33">
        <v>44484</v>
      </c>
      <c r="K3207" s="33" t="s">
        <v>1185</v>
      </c>
      <c r="L3207" s="33" t="s">
        <v>25619</v>
      </c>
      <c r="M3207" s="33" t="s">
        <v>21</v>
      </c>
      <c r="N3207" s="33" t="s">
        <v>25620</v>
      </c>
      <c r="O3207" s="33" t="s">
        <v>372</v>
      </c>
      <c r="P3207" s="33" t="s">
        <v>30089</v>
      </c>
      <c r="Q3207" s="42" t="s">
        <v>25621</v>
      </c>
      <c r="R3207" s="33" t="s">
        <v>94</v>
      </c>
      <c r="S3207" s="33" t="s">
        <v>22</v>
      </c>
      <c r="T3207" s="36" t="s">
        <v>26781</v>
      </c>
      <c r="U3207" s="33" t="s">
        <v>26572</v>
      </c>
      <c r="V3207" s="33" t="s">
        <v>26573</v>
      </c>
      <c r="W3207" s="33" t="s">
        <v>94</v>
      </c>
      <c r="X3207" s="33">
        <v>2312</v>
      </c>
      <c r="Z3207" s="33" t="s">
        <v>42968</v>
      </c>
      <c r="AA3207" s="33">
        <v>4457</v>
      </c>
    </row>
    <row r="3208" spans="1:27" ht="12" customHeight="1" x14ac:dyDescent="0.15">
      <c r="A3208" s="33" t="s">
        <v>25256</v>
      </c>
      <c r="B3208" s="33">
        <v>18</v>
      </c>
      <c r="C3208" s="33" t="s">
        <v>14</v>
      </c>
      <c r="D3208" s="33" t="s">
        <v>79</v>
      </c>
      <c r="F3208" s="67">
        <v>42773</v>
      </c>
      <c r="G3208" s="33" t="s">
        <v>25257</v>
      </c>
      <c r="H3208" s="33" t="s">
        <v>1487</v>
      </c>
      <c r="I3208" s="33" t="s">
        <v>46</v>
      </c>
      <c r="J3208" s="33">
        <v>21223</v>
      </c>
      <c r="K3208" s="33" t="s">
        <v>4324</v>
      </c>
      <c r="L3208" s="33" t="s">
        <v>2556</v>
      </c>
      <c r="M3208" s="33" t="s">
        <v>21</v>
      </c>
      <c r="N3208" s="33" t="s">
        <v>25258</v>
      </c>
      <c r="O3208" s="33" t="s">
        <v>372</v>
      </c>
      <c r="P3208" s="33" t="s">
        <v>30089</v>
      </c>
      <c r="Q3208" s="42" t="s">
        <v>25259</v>
      </c>
      <c r="R3208" s="33" t="s">
        <v>94</v>
      </c>
      <c r="S3208" s="33" t="s">
        <v>22</v>
      </c>
      <c r="T3208" s="36" t="s">
        <v>26781</v>
      </c>
      <c r="U3208" s="33" t="s">
        <v>26570</v>
      </c>
      <c r="V3208" s="33" t="s">
        <v>19228</v>
      </c>
      <c r="W3208" s="33" t="s">
        <v>512</v>
      </c>
      <c r="X3208" s="33">
        <v>2310</v>
      </c>
      <c r="Z3208" s="33" t="s">
        <v>42966</v>
      </c>
      <c r="AA3208" s="33">
        <v>4456</v>
      </c>
    </row>
    <row r="3209" spans="1:27" ht="12" customHeight="1" x14ac:dyDescent="0.15">
      <c r="A3209" s="33" t="s">
        <v>25871</v>
      </c>
      <c r="B3209" s="33">
        <v>51</v>
      </c>
      <c r="C3209" s="33" t="s">
        <v>14</v>
      </c>
      <c r="D3209" s="33" t="s">
        <v>31</v>
      </c>
      <c r="E3209" s="33" t="s">
        <v>26156</v>
      </c>
      <c r="F3209" s="67">
        <v>42773</v>
      </c>
      <c r="G3209" s="33" t="s">
        <v>25872</v>
      </c>
      <c r="H3209" s="33" t="s">
        <v>818</v>
      </c>
      <c r="I3209" s="33" t="s">
        <v>294</v>
      </c>
      <c r="J3209" s="33">
        <v>40475</v>
      </c>
      <c r="K3209" s="33" t="s">
        <v>2014</v>
      </c>
      <c r="L3209" s="33" t="s">
        <v>18258</v>
      </c>
      <c r="M3209" s="33" t="s">
        <v>21</v>
      </c>
      <c r="N3209" s="33" t="s">
        <v>25873</v>
      </c>
      <c r="O3209" s="33" t="s">
        <v>372</v>
      </c>
      <c r="P3209" s="33" t="s">
        <v>30089</v>
      </c>
      <c r="Q3209" s="42" t="s">
        <v>25874</v>
      </c>
      <c r="R3209" s="33" t="s">
        <v>94</v>
      </c>
      <c r="S3209" s="33" t="s">
        <v>351</v>
      </c>
      <c r="T3209" s="36" t="s">
        <v>26867</v>
      </c>
      <c r="U3209" s="33" t="s">
        <v>26570</v>
      </c>
      <c r="V3209" s="33" t="s">
        <v>26571</v>
      </c>
      <c r="W3209" s="33" t="s">
        <v>94</v>
      </c>
      <c r="X3209" s="33">
        <v>2347</v>
      </c>
      <c r="Z3209" s="33" t="s">
        <v>42968</v>
      </c>
      <c r="AA3209" s="33">
        <v>4459</v>
      </c>
    </row>
    <row r="3210" spans="1:27" ht="12" customHeight="1" x14ac:dyDescent="0.15">
      <c r="A3210" s="33" t="s">
        <v>25200</v>
      </c>
      <c r="B3210" s="33">
        <v>35</v>
      </c>
      <c r="C3210" s="33" t="s">
        <v>14</v>
      </c>
      <c r="D3210" s="33" t="s">
        <v>31</v>
      </c>
      <c r="E3210" s="33" t="s">
        <v>26148</v>
      </c>
      <c r="F3210" s="67">
        <v>42773</v>
      </c>
      <c r="G3210" s="33" t="s">
        <v>25201</v>
      </c>
      <c r="H3210" s="33" t="s">
        <v>25202</v>
      </c>
      <c r="I3210" s="33" t="s">
        <v>298</v>
      </c>
      <c r="J3210" s="33">
        <v>38474</v>
      </c>
      <c r="K3210" s="33" t="s">
        <v>1711</v>
      </c>
      <c r="L3210" s="33" t="s">
        <v>25203</v>
      </c>
      <c r="M3210" s="33" t="s">
        <v>21</v>
      </c>
      <c r="N3210" s="33" t="s">
        <v>25204</v>
      </c>
      <c r="O3210" s="33" t="s">
        <v>372</v>
      </c>
      <c r="P3210" s="33" t="s">
        <v>30089</v>
      </c>
      <c r="Q3210" s="42" t="s">
        <v>25205</v>
      </c>
      <c r="R3210" s="33" t="s">
        <v>904</v>
      </c>
      <c r="S3210" s="33" t="s">
        <v>22</v>
      </c>
      <c r="T3210" s="33" t="s">
        <v>26781</v>
      </c>
      <c r="U3210" s="33" t="s">
        <v>26572</v>
      </c>
      <c r="V3210" s="33" t="s">
        <v>26571</v>
      </c>
      <c r="W3210" s="33" t="s">
        <v>94</v>
      </c>
      <c r="X3210" s="33">
        <v>2309</v>
      </c>
      <c r="Z3210" s="33" t="s">
        <v>42967</v>
      </c>
      <c r="AA3210" s="33">
        <v>4455</v>
      </c>
    </row>
    <row r="3211" spans="1:27" ht="12" customHeight="1" x14ac:dyDescent="0.15">
      <c r="A3211" s="33" t="s">
        <v>25348</v>
      </c>
      <c r="B3211" s="33">
        <v>52</v>
      </c>
      <c r="C3211" s="33" t="s">
        <v>14</v>
      </c>
      <c r="D3211" s="33" t="s">
        <v>42</v>
      </c>
      <c r="F3211" s="67">
        <v>42772</v>
      </c>
      <c r="G3211" s="33" t="s">
        <v>26091</v>
      </c>
      <c r="H3211" s="33" t="s">
        <v>14626</v>
      </c>
      <c r="I3211" s="33" t="s">
        <v>39</v>
      </c>
      <c r="J3211" s="33">
        <v>90064</v>
      </c>
      <c r="K3211" s="33" t="s">
        <v>92</v>
      </c>
      <c r="L3211" s="33" t="s">
        <v>897</v>
      </c>
      <c r="M3211" s="33" t="s">
        <v>4966</v>
      </c>
      <c r="N3211" s="33" t="s">
        <v>25349</v>
      </c>
      <c r="O3211" s="33" t="s">
        <v>372</v>
      </c>
      <c r="P3211" s="33" t="s">
        <v>30089</v>
      </c>
      <c r="Q3211" s="42" t="s">
        <v>25350</v>
      </c>
      <c r="R3211" s="33" t="s">
        <v>94</v>
      </c>
      <c r="S3211" s="33" t="s">
        <v>22</v>
      </c>
      <c r="T3211" s="36" t="s">
        <v>26774</v>
      </c>
      <c r="U3211" s="33" t="s">
        <v>26572</v>
      </c>
      <c r="V3211" s="33" t="s">
        <v>26574</v>
      </c>
      <c r="W3211" s="33" t="s">
        <v>94</v>
      </c>
      <c r="X3211" s="33">
        <v>2287</v>
      </c>
      <c r="Z3211" s="33" t="s">
        <v>42966</v>
      </c>
      <c r="AA3211" s="33">
        <v>4453</v>
      </c>
    </row>
    <row r="3212" spans="1:27" ht="12" customHeight="1" x14ac:dyDescent="0.15">
      <c r="A3212" s="33" t="s">
        <v>25411</v>
      </c>
      <c r="B3212" s="33">
        <v>22</v>
      </c>
      <c r="C3212" s="33" t="s">
        <v>14</v>
      </c>
      <c r="D3212" s="33" t="s">
        <v>79</v>
      </c>
      <c r="E3212" s="42" t="s">
        <v>25412</v>
      </c>
      <c r="F3212" s="67">
        <v>42772</v>
      </c>
      <c r="G3212" s="33" t="s">
        <v>26097</v>
      </c>
      <c r="H3212" s="33" t="s">
        <v>603</v>
      </c>
      <c r="I3212" s="33" t="s">
        <v>56</v>
      </c>
      <c r="J3212" s="33">
        <v>32209</v>
      </c>
      <c r="K3212" s="33" t="s">
        <v>604</v>
      </c>
      <c r="L3212" s="33" t="s">
        <v>605</v>
      </c>
      <c r="M3212" s="33" t="s">
        <v>21</v>
      </c>
      <c r="N3212" s="33" t="s">
        <v>25413</v>
      </c>
      <c r="O3212" s="33" t="s">
        <v>372</v>
      </c>
      <c r="P3212" s="33" t="s">
        <v>30089</v>
      </c>
      <c r="Q3212" s="42" t="s">
        <v>25414</v>
      </c>
      <c r="R3212" s="33" t="s">
        <v>94</v>
      </c>
      <c r="S3212" s="33" t="s">
        <v>12</v>
      </c>
      <c r="T3212" s="33" t="s">
        <v>29425</v>
      </c>
      <c r="U3212" s="33" t="s">
        <v>26572</v>
      </c>
      <c r="V3212" s="33" t="s">
        <v>26573</v>
      </c>
      <c r="W3212" s="33" t="s">
        <v>94</v>
      </c>
      <c r="X3212" s="33">
        <v>2305</v>
      </c>
      <c r="Z3212" s="33" t="s">
        <v>42966</v>
      </c>
      <c r="AA3212" s="33">
        <v>4454</v>
      </c>
    </row>
    <row r="3213" spans="1:27" ht="12" customHeight="1" x14ac:dyDescent="0.15">
      <c r="A3213" s="33" t="s">
        <v>25251</v>
      </c>
      <c r="B3213" s="33">
        <v>50</v>
      </c>
      <c r="C3213" s="33" t="s">
        <v>14</v>
      </c>
      <c r="D3213" s="33" t="s">
        <v>79</v>
      </c>
      <c r="F3213" s="67">
        <v>42772</v>
      </c>
      <c r="G3213" s="33" t="s">
        <v>26082</v>
      </c>
      <c r="H3213" s="33" t="s">
        <v>25252</v>
      </c>
      <c r="I3213" s="33" t="s">
        <v>192</v>
      </c>
      <c r="J3213" s="33">
        <v>80022</v>
      </c>
      <c r="K3213" s="33" t="s">
        <v>1790</v>
      </c>
      <c r="L3213" s="33" t="s">
        <v>25253</v>
      </c>
      <c r="M3213" s="33" t="s">
        <v>21</v>
      </c>
      <c r="N3213" s="33" t="s">
        <v>25254</v>
      </c>
      <c r="O3213" s="33" t="s">
        <v>372</v>
      </c>
      <c r="P3213" s="33" t="s">
        <v>30089</v>
      </c>
      <c r="Q3213" s="42" t="s">
        <v>25255</v>
      </c>
      <c r="R3213" s="33" t="s">
        <v>94</v>
      </c>
      <c r="S3213" s="33" t="s">
        <v>22</v>
      </c>
      <c r="T3213" s="36" t="s">
        <v>26781</v>
      </c>
      <c r="U3213" s="33" t="s">
        <v>26570</v>
      </c>
      <c r="V3213" s="33" t="s">
        <v>26573</v>
      </c>
      <c r="W3213" s="33" t="s">
        <v>94</v>
      </c>
      <c r="X3213" s="33">
        <v>2306</v>
      </c>
      <c r="Z3213" s="33" t="s">
        <v>42968</v>
      </c>
      <c r="AA3213" s="33">
        <v>4452</v>
      </c>
    </row>
    <row r="3214" spans="1:27" ht="12" customHeight="1" x14ac:dyDescent="0.15">
      <c r="A3214" s="33" t="s">
        <v>25840</v>
      </c>
      <c r="B3214" s="33">
        <v>33</v>
      </c>
      <c r="C3214" s="33" t="s">
        <v>14</v>
      </c>
      <c r="D3214" s="33" t="s">
        <v>42</v>
      </c>
      <c r="E3214" s="42" t="s">
        <v>25841</v>
      </c>
      <c r="F3214" s="67">
        <v>42771</v>
      </c>
      <c r="G3214" s="33" t="s">
        <v>25842</v>
      </c>
      <c r="H3214" s="33" t="s">
        <v>4307</v>
      </c>
      <c r="I3214" s="33" t="s">
        <v>192</v>
      </c>
      <c r="J3214" s="33">
        <v>81004</v>
      </c>
      <c r="K3214" s="33" t="s">
        <v>4307</v>
      </c>
      <c r="L3214" s="33" t="s">
        <v>4309</v>
      </c>
      <c r="M3214" s="33" t="s">
        <v>21</v>
      </c>
      <c r="N3214" s="33" t="s">
        <v>25843</v>
      </c>
      <c r="O3214" s="33" t="s">
        <v>372</v>
      </c>
      <c r="P3214" s="33" t="s">
        <v>30089</v>
      </c>
      <c r="Q3214" s="42" t="s">
        <v>25844</v>
      </c>
      <c r="R3214" s="33" t="s">
        <v>94</v>
      </c>
      <c r="S3214" s="33" t="s">
        <v>351</v>
      </c>
      <c r="T3214" s="36" t="s">
        <v>26867</v>
      </c>
      <c r="U3214" s="33" t="s">
        <v>26570</v>
      </c>
      <c r="V3214" s="33" t="s">
        <v>26573</v>
      </c>
      <c r="W3214" s="33" t="s">
        <v>512</v>
      </c>
      <c r="X3214" s="33">
        <v>2300</v>
      </c>
      <c r="Z3214" s="33" t="s">
        <v>42968</v>
      </c>
      <c r="AA3214" s="33">
        <v>4451</v>
      </c>
    </row>
    <row r="3215" spans="1:27" ht="12" customHeight="1" x14ac:dyDescent="0.15">
      <c r="A3215" s="33" t="s">
        <v>26003</v>
      </c>
      <c r="B3215" s="33">
        <v>45</v>
      </c>
      <c r="C3215" s="33" t="s">
        <v>14</v>
      </c>
      <c r="D3215" s="33" t="s">
        <v>79</v>
      </c>
      <c r="F3215" s="67">
        <v>42771</v>
      </c>
      <c r="G3215" s="33" t="s">
        <v>26004</v>
      </c>
      <c r="H3215" s="33" t="s">
        <v>1066</v>
      </c>
      <c r="I3215" s="33" t="s">
        <v>39</v>
      </c>
      <c r="J3215" s="33">
        <v>94538</v>
      </c>
      <c r="K3215" s="33" t="s">
        <v>558</v>
      </c>
      <c r="L3215" s="33" t="s">
        <v>1067</v>
      </c>
      <c r="M3215" s="33" t="s">
        <v>21</v>
      </c>
      <c r="N3215" s="33" t="s">
        <v>26005</v>
      </c>
      <c r="O3215" s="33" t="s">
        <v>372</v>
      </c>
      <c r="P3215" s="33" t="s">
        <v>30089</v>
      </c>
      <c r="Q3215" s="42" t="s">
        <v>26006</v>
      </c>
      <c r="R3215" s="33" t="s">
        <v>512</v>
      </c>
      <c r="S3215" s="33" t="s">
        <v>12</v>
      </c>
      <c r="T3215" s="33" t="s">
        <v>29705</v>
      </c>
      <c r="U3215" s="33" t="s">
        <v>26572</v>
      </c>
      <c r="V3215" s="33" t="s">
        <v>26573</v>
      </c>
      <c r="W3215" s="33" t="s">
        <v>94</v>
      </c>
      <c r="X3215" s="33">
        <v>2283</v>
      </c>
      <c r="Z3215" s="33" t="s">
        <v>42968</v>
      </c>
      <c r="AA3215" s="33">
        <v>4450</v>
      </c>
    </row>
    <row r="3216" spans="1:27" ht="12" customHeight="1" x14ac:dyDescent="0.15">
      <c r="A3216" s="33" t="s">
        <v>25653</v>
      </c>
      <c r="B3216" s="33">
        <v>41</v>
      </c>
      <c r="C3216" s="33" t="s">
        <v>14</v>
      </c>
      <c r="D3216" s="33" t="s">
        <v>79</v>
      </c>
      <c r="F3216" s="67">
        <v>42771</v>
      </c>
      <c r="G3216" s="33" t="s">
        <v>25654</v>
      </c>
      <c r="H3216" s="33" t="s">
        <v>25367</v>
      </c>
      <c r="I3216" s="33" t="s">
        <v>63</v>
      </c>
      <c r="J3216" s="33">
        <v>45322</v>
      </c>
      <c r="K3216" s="33" t="s">
        <v>995</v>
      </c>
      <c r="L3216" s="33" t="s">
        <v>25655</v>
      </c>
      <c r="M3216" s="33" t="s">
        <v>21</v>
      </c>
      <c r="N3216" s="33" t="s">
        <v>25656</v>
      </c>
      <c r="O3216" s="33" t="s">
        <v>372</v>
      </c>
      <c r="P3216" s="33" t="s">
        <v>30089</v>
      </c>
      <c r="Q3216" s="42" t="s">
        <v>25657</v>
      </c>
      <c r="R3216" s="33" t="s">
        <v>94</v>
      </c>
      <c r="S3216" s="33" t="s">
        <v>22</v>
      </c>
      <c r="T3216" s="33" t="s">
        <v>26781</v>
      </c>
      <c r="U3216" s="33" t="s">
        <v>26572</v>
      </c>
      <c r="V3216" s="33" t="s">
        <v>26573</v>
      </c>
      <c r="W3216" s="33" t="s">
        <v>512</v>
      </c>
      <c r="X3216" s="33">
        <v>2286</v>
      </c>
      <c r="Z3216" s="33" t="s">
        <v>42968</v>
      </c>
      <c r="AA3216" s="33">
        <v>4449</v>
      </c>
    </row>
    <row r="3217" spans="1:43" ht="12" customHeight="1" x14ac:dyDescent="0.15">
      <c r="A3217" s="33" t="s">
        <v>25950</v>
      </c>
      <c r="B3217" s="33">
        <v>68</v>
      </c>
      <c r="C3217" s="33" t="s">
        <v>14</v>
      </c>
      <c r="D3217" s="33" t="s">
        <v>79</v>
      </c>
      <c r="E3217" s="33" t="s">
        <v>26158</v>
      </c>
      <c r="F3217" s="67">
        <v>42770</v>
      </c>
      <c r="G3217" s="33" t="s">
        <v>25951</v>
      </c>
      <c r="H3217" s="33" t="s">
        <v>401</v>
      </c>
      <c r="I3217" s="33" t="s">
        <v>402</v>
      </c>
      <c r="J3217" s="33">
        <v>64131</v>
      </c>
      <c r="K3217" s="33" t="s">
        <v>404</v>
      </c>
      <c r="L3217" s="33" t="s">
        <v>405</v>
      </c>
      <c r="M3217" s="33" t="s">
        <v>21</v>
      </c>
      <c r="N3217" s="33" t="s">
        <v>25952</v>
      </c>
      <c r="O3217" s="33" t="s">
        <v>372</v>
      </c>
      <c r="P3217" s="33" t="s">
        <v>30089</v>
      </c>
      <c r="Q3217" s="42" t="s">
        <v>25953</v>
      </c>
      <c r="R3217" s="33" t="s">
        <v>512</v>
      </c>
      <c r="S3217" s="33" t="s">
        <v>22</v>
      </c>
      <c r="T3217" s="36" t="s">
        <v>26781</v>
      </c>
      <c r="U3217" s="33" t="s">
        <v>26572</v>
      </c>
      <c r="V3217" s="33" t="s">
        <v>26573</v>
      </c>
      <c r="W3217" s="33" t="s">
        <v>94</v>
      </c>
      <c r="X3217" s="33">
        <v>2288</v>
      </c>
      <c r="Z3217" s="33" t="s">
        <v>42968</v>
      </c>
      <c r="AA3217" s="33">
        <v>4446</v>
      </c>
      <c r="AQ3217" s="42"/>
    </row>
    <row r="3218" spans="1:43" ht="12" customHeight="1" x14ac:dyDescent="0.15">
      <c r="A3218" s="33" t="s">
        <v>25686</v>
      </c>
      <c r="B3218" s="33">
        <v>56</v>
      </c>
      <c r="C3218" s="33" t="s">
        <v>14</v>
      </c>
      <c r="D3218" s="33" t="s">
        <v>31</v>
      </c>
      <c r="F3218" s="67">
        <v>42770</v>
      </c>
      <c r="G3218" s="33" t="s">
        <v>26116</v>
      </c>
      <c r="H3218" s="33" t="s">
        <v>15193</v>
      </c>
      <c r="I3218" s="33" t="s">
        <v>56</v>
      </c>
      <c r="J3218" s="33">
        <v>32720</v>
      </c>
      <c r="K3218" s="33" t="s">
        <v>3571</v>
      </c>
      <c r="L3218" s="33" t="s">
        <v>1180</v>
      </c>
      <c r="M3218" s="33" t="s">
        <v>21</v>
      </c>
      <c r="N3218" s="33" t="s">
        <v>36623</v>
      </c>
      <c r="O3218" s="33" t="s">
        <v>372</v>
      </c>
      <c r="P3218" s="33" t="s">
        <v>30089</v>
      </c>
      <c r="Q3218" s="42" t="s">
        <v>25687</v>
      </c>
      <c r="R3218" s="33" t="s">
        <v>512</v>
      </c>
      <c r="S3218" s="33" t="s">
        <v>22</v>
      </c>
      <c r="T3218" s="36" t="s">
        <v>26781</v>
      </c>
      <c r="U3218" s="33" t="s">
        <v>26572</v>
      </c>
      <c r="V3218" s="33" t="s">
        <v>26573</v>
      </c>
      <c r="W3218" s="33" t="s">
        <v>94</v>
      </c>
      <c r="X3218" s="33">
        <v>2293</v>
      </c>
      <c r="Z3218" s="33" t="s">
        <v>42968</v>
      </c>
      <c r="AA3218" s="33">
        <v>4447</v>
      </c>
    </row>
    <row r="3219" spans="1:43" ht="12" customHeight="1" x14ac:dyDescent="0.15">
      <c r="A3219" s="33" t="s">
        <v>25776</v>
      </c>
      <c r="B3219" s="33">
        <v>23</v>
      </c>
      <c r="C3219" s="33" t="s">
        <v>14</v>
      </c>
      <c r="D3219" s="33" t="s">
        <v>42</v>
      </c>
      <c r="E3219" s="42" t="s">
        <v>25777</v>
      </c>
      <c r="F3219" s="67">
        <v>42770</v>
      </c>
      <c r="G3219" s="33" t="s">
        <v>26122</v>
      </c>
      <c r="H3219" s="33" t="s">
        <v>25778</v>
      </c>
      <c r="I3219" s="33" t="s">
        <v>160</v>
      </c>
      <c r="J3219" s="33">
        <v>31788</v>
      </c>
      <c r="K3219" s="33" t="s">
        <v>25779</v>
      </c>
      <c r="L3219" s="33" t="s">
        <v>25780</v>
      </c>
      <c r="M3219" s="33" t="s">
        <v>21</v>
      </c>
      <c r="N3219" s="33" t="s">
        <v>25781</v>
      </c>
      <c r="O3219" s="33" t="s">
        <v>372</v>
      </c>
      <c r="P3219" s="33" t="s">
        <v>30089</v>
      </c>
      <c r="Q3219" s="42" t="s">
        <v>25782</v>
      </c>
      <c r="R3219" s="33" t="s">
        <v>94</v>
      </c>
      <c r="S3219" s="33" t="s">
        <v>12</v>
      </c>
      <c r="T3219" s="33" t="s">
        <v>29705</v>
      </c>
      <c r="U3219" s="33" t="s">
        <v>26570</v>
      </c>
      <c r="V3219" s="33" t="s">
        <v>26573</v>
      </c>
      <c r="W3219" s="33" t="s">
        <v>94</v>
      </c>
      <c r="X3219" s="33">
        <v>2348</v>
      </c>
      <c r="Z3219" s="33" t="s">
        <v>42967</v>
      </c>
      <c r="AA3219" s="33">
        <v>4448</v>
      </c>
    </row>
    <row r="3220" spans="1:43" ht="12" customHeight="1" x14ac:dyDescent="0.15">
      <c r="A3220" s="33" t="s">
        <v>25928</v>
      </c>
      <c r="B3220" s="33">
        <v>22</v>
      </c>
      <c r="C3220" s="33" t="s">
        <v>14</v>
      </c>
      <c r="D3220" s="33" t="s">
        <v>79</v>
      </c>
      <c r="F3220" s="67">
        <v>42769</v>
      </c>
      <c r="G3220" s="33" t="s">
        <v>25929</v>
      </c>
      <c r="H3220" s="33" t="s">
        <v>5476</v>
      </c>
      <c r="I3220" s="33" t="s">
        <v>338</v>
      </c>
      <c r="J3220" s="33">
        <v>28340</v>
      </c>
      <c r="K3220" s="33" t="s">
        <v>5212</v>
      </c>
      <c r="L3220" s="33" t="s">
        <v>5879</v>
      </c>
      <c r="M3220" s="33" t="s">
        <v>21</v>
      </c>
      <c r="N3220" s="33" t="s">
        <v>25930</v>
      </c>
      <c r="O3220" s="33" t="s">
        <v>372</v>
      </c>
      <c r="P3220" s="33" t="s">
        <v>30089</v>
      </c>
      <c r="Q3220" s="42" t="s">
        <v>25931</v>
      </c>
      <c r="R3220" s="33" t="s">
        <v>94</v>
      </c>
      <c r="S3220" s="33" t="s">
        <v>22</v>
      </c>
      <c r="T3220" s="36" t="s">
        <v>26781</v>
      </c>
      <c r="U3220" s="33" t="s">
        <v>26572</v>
      </c>
      <c r="V3220" s="33" t="s">
        <v>26571</v>
      </c>
      <c r="W3220" s="33" t="s">
        <v>94</v>
      </c>
      <c r="X3220" s="33">
        <v>2294</v>
      </c>
      <c r="Z3220" s="33" t="s">
        <v>42967</v>
      </c>
      <c r="AA3220" s="33">
        <v>4442</v>
      </c>
    </row>
    <row r="3221" spans="1:43" ht="12" customHeight="1" x14ac:dyDescent="0.15">
      <c r="A3221" s="33" t="s">
        <v>25456</v>
      </c>
      <c r="B3221" s="33">
        <v>27</v>
      </c>
      <c r="C3221" s="33" t="s">
        <v>14</v>
      </c>
      <c r="D3221" s="33" t="s">
        <v>42</v>
      </c>
      <c r="F3221" s="67">
        <v>42769</v>
      </c>
      <c r="G3221" s="33" t="s">
        <v>25457</v>
      </c>
      <c r="H3221" s="33" t="s">
        <v>25458</v>
      </c>
      <c r="I3221" s="33" t="s">
        <v>39</v>
      </c>
      <c r="J3221" s="33">
        <v>96146</v>
      </c>
      <c r="K3221" s="33" t="s">
        <v>1003</v>
      </c>
      <c r="L3221" s="33" t="s">
        <v>1004</v>
      </c>
      <c r="M3221" s="33" t="s">
        <v>21</v>
      </c>
      <c r="N3221" s="33" t="s">
        <v>25459</v>
      </c>
      <c r="O3221" s="33" t="s">
        <v>372</v>
      </c>
      <c r="P3221" s="33" t="s">
        <v>30089</v>
      </c>
      <c r="Q3221" s="42" t="s">
        <v>25460</v>
      </c>
      <c r="R3221" s="33" t="s">
        <v>904</v>
      </c>
      <c r="S3221" s="33" t="s">
        <v>22</v>
      </c>
      <c r="T3221" s="36" t="s">
        <v>26781</v>
      </c>
      <c r="U3221" s="33" t="s">
        <v>26572</v>
      </c>
      <c r="V3221" s="33" t="s">
        <v>26571</v>
      </c>
      <c r="W3221" s="33" t="s">
        <v>94</v>
      </c>
      <c r="X3221" s="33">
        <v>2281</v>
      </c>
      <c r="Z3221" s="33" t="s">
        <v>42967</v>
      </c>
      <c r="AA3221" s="33">
        <v>4439</v>
      </c>
    </row>
    <row r="3222" spans="1:43" ht="12" customHeight="1" x14ac:dyDescent="0.15">
      <c r="A3222" s="33" t="s">
        <v>25704</v>
      </c>
      <c r="B3222" s="33">
        <v>33</v>
      </c>
      <c r="C3222" s="33" t="s">
        <v>14</v>
      </c>
      <c r="D3222" s="33" t="s">
        <v>31</v>
      </c>
      <c r="E3222" s="42" t="s">
        <v>25705</v>
      </c>
      <c r="F3222" s="67">
        <v>42769</v>
      </c>
      <c r="G3222" s="33" t="s">
        <v>25706</v>
      </c>
      <c r="H3222" s="33" t="s">
        <v>8568</v>
      </c>
      <c r="I3222" s="33" t="s">
        <v>338</v>
      </c>
      <c r="J3222" s="33">
        <v>28601</v>
      </c>
      <c r="K3222" s="33" t="s">
        <v>8570</v>
      </c>
      <c r="L3222" s="33" t="s">
        <v>8571</v>
      </c>
      <c r="M3222" s="33" t="s">
        <v>21</v>
      </c>
      <c r="N3222" s="33" t="s">
        <v>25707</v>
      </c>
      <c r="O3222" s="33" t="s">
        <v>372</v>
      </c>
      <c r="P3222" s="33" t="s">
        <v>30089</v>
      </c>
      <c r="Q3222" s="42" t="s">
        <v>25708</v>
      </c>
      <c r="R3222" s="33" t="s">
        <v>94</v>
      </c>
      <c r="S3222" s="33" t="s">
        <v>22</v>
      </c>
      <c r="T3222" s="36" t="s">
        <v>26781</v>
      </c>
      <c r="U3222" s="33" t="s">
        <v>26572</v>
      </c>
      <c r="V3222" s="33" t="s">
        <v>26573</v>
      </c>
      <c r="W3222" s="33" t="s">
        <v>94</v>
      </c>
      <c r="X3222" s="33">
        <v>2289</v>
      </c>
      <c r="Z3222" s="33" t="s">
        <v>42966</v>
      </c>
      <c r="AA3222" s="33">
        <v>4441</v>
      </c>
    </row>
    <row r="3223" spans="1:43" ht="12" customHeight="1" x14ac:dyDescent="0.15">
      <c r="A3223" s="33" t="s">
        <v>25875</v>
      </c>
      <c r="B3223" s="33">
        <v>26</v>
      </c>
      <c r="C3223" s="33" t="s">
        <v>14</v>
      </c>
      <c r="D3223" s="33" t="s">
        <v>42</v>
      </c>
      <c r="F3223" s="67">
        <v>42769</v>
      </c>
      <c r="G3223" s="33" t="s">
        <v>25876</v>
      </c>
      <c r="H3223" s="33" t="s">
        <v>25877</v>
      </c>
      <c r="I3223" s="33" t="s">
        <v>38</v>
      </c>
      <c r="J3223" s="33">
        <v>60304</v>
      </c>
      <c r="K3223" s="33" t="s">
        <v>82</v>
      </c>
      <c r="L3223" s="33" t="s">
        <v>25878</v>
      </c>
      <c r="M3223" s="33" t="s">
        <v>21</v>
      </c>
      <c r="N3223" s="33" t="s">
        <v>25879</v>
      </c>
      <c r="O3223" s="33" t="s">
        <v>372</v>
      </c>
      <c r="P3223" s="33" t="s">
        <v>30089</v>
      </c>
      <c r="Q3223" s="42" t="s">
        <v>25880</v>
      </c>
      <c r="R3223" s="33" t="s">
        <v>23</v>
      </c>
      <c r="S3223" s="33" t="s">
        <v>351</v>
      </c>
      <c r="T3223" s="36" t="s">
        <v>26867</v>
      </c>
      <c r="U3223" s="33" t="s">
        <v>26570</v>
      </c>
      <c r="V3223" s="33" t="s">
        <v>26571</v>
      </c>
      <c r="W3223" s="33" t="s">
        <v>94</v>
      </c>
      <c r="X3223" s="33">
        <v>2298</v>
      </c>
      <c r="Z3223" s="33" t="s">
        <v>42966</v>
      </c>
      <c r="AA3223" s="33">
        <v>4445</v>
      </c>
    </row>
    <row r="3224" spans="1:43" ht="12" customHeight="1" x14ac:dyDescent="0.15">
      <c r="A3224" s="33" t="s">
        <v>25265</v>
      </c>
      <c r="B3224" s="33">
        <v>45</v>
      </c>
      <c r="C3224" s="33" t="s">
        <v>14</v>
      </c>
      <c r="D3224" s="33" t="s">
        <v>31</v>
      </c>
      <c r="F3224" s="67">
        <v>42769</v>
      </c>
      <c r="G3224" s="33" t="s">
        <v>25266</v>
      </c>
      <c r="H3224" s="33" t="s">
        <v>5639</v>
      </c>
      <c r="I3224" s="33" t="s">
        <v>67</v>
      </c>
      <c r="J3224" s="33">
        <v>75039</v>
      </c>
      <c r="K3224" s="33" t="s">
        <v>266</v>
      </c>
      <c r="L3224" s="33" t="s">
        <v>5641</v>
      </c>
      <c r="M3224" s="33" t="s">
        <v>21</v>
      </c>
      <c r="N3224" s="33" t="s">
        <v>25267</v>
      </c>
      <c r="O3224" s="33" t="s">
        <v>372</v>
      </c>
      <c r="P3224" s="33" t="s">
        <v>30089</v>
      </c>
      <c r="Q3224" s="42" t="s">
        <v>25268</v>
      </c>
      <c r="R3224" s="33" t="s">
        <v>94</v>
      </c>
      <c r="S3224" s="33" t="s">
        <v>22</v>
      </c>
      <c r="T3224" s="36" t="s">
        <v>26781</v>
      </c>
      <c r="U3224" s="33" t="s">
        <v>26570</v>
      </c>
      <c r="V3224" s="33" t="s">
        <v>26573</v>
      </c>
      <c r="W3224" s="33" t="s">
        <v>94</v>
      </c>
      <c r="X3224" s="33">
        <v>2299</v>
      </c>
      <c r="Z3224" s="33" t="s">
        <v>42968</v>
      </c>
      <c r="AA3224" s="33">
        <v>4444</v>
      </c>
    </row>
    <row r="3225" spans="1:43" ht="12" customHeight="1" x14ac:dyDescent="0.15">
      <c r="A3225" s="33" t="s">
        <v>25709</v>
      </c>
      <c r="B3225" s="33">
        <v>41</v>
      </c>
      <c r="C3225" s="33" t="s">
        <v>14</v>
      </c>
      <c r="D3225" s="33" t="s">
        <v>15</v>
      </c>
      <c r="F3225" s="67">
        <v>42769</v>
      </c>
      <c r="G3225" s="33" t="s">
        <v>25710</v>
      </c>
      <c r="H3225" s="33" t="s">
        <v>25711</v>
      </c>
      <c r="I3225" s="33" t="s">
        <v>67</v>
      </c>
      <c r="J3225" s="33">
        <v>79068</v>
      </c>
      <c r="K3225" s="33" t="s">
        <v>5239</v>
      </c>
      <c r="L3225" s="33" t="s">
        <v>25712</v>
      </c>
      <c r="M3225" s="33" t="s">
        <v>21</v>
      </c>
      <c r="N3225" s="33" t="s">
        <v>25713</v>
      </c>
      <c r="O3225" s="33" t="s">
        <v>372</v>
      </c>
      <c r="P3225" s="33" t="s">
        <v>30089</v>
      </c>
      <c r="Q3225" s="42" t="s">
        <v>25714</v>
      </c>
      <c r="R3225" s="33" t="s">
        <v>94</v>
      </c>
      <c r="S3225" s="33" t="s">
        <v>22</v>
      </c>
      <c r="T3225" s="36" t="s">
        <v>26781</v>
      </c>
      <c r="U3225" s="33" t="s">
        <v>26572</v>
      </c>
      <c r="V3225" s="33" t="s">
        <v>26573</v>
      </c>
      <c r="W3225" s="33" t="s">
        <v>94</v>
      </c>
      <c r="X3225" s="33">
        <v>2285</v>
      </c>
      <c r="Z3225" s="33" t="s">
        <v>42967</v>
      </c>
      <c r="AA3225" s="33">
        <v>4440</v>
      </c>
      <c r="AQ3225" s="42"/>
    </row>
    <row r="3226" spans="1:43" ht="12" customHeight="1" x14ac:dyDescent="0.15">
      <c r="A3226" s="33" t="s">
        <v>25814</v>
      </c>
      <c r="B3226" s="33">
        <v>38</v>
      </c>
      <c r="C3226" s="33" t="s">
        <v>14</v>
      </c>
      <c r="D3226" s="33" t="s">
        <v>31</v>
      </c>
      <c r="F3226" s="67">
        <v>42769</v>
      </c>
      <c r="G3226" s="33" t="s">
        <v>25815</v>
      </c>
      <c r="H3226" s="33" t="s">
        <v>1347</v>
      </c>
      <c r="I3226" s="33" t="s">
        <v>139</v>
      </c>
      <c r="J3226" s="33">
        <v>26354</v>
      </c>
      <c r="K3226" s="33" t="s">
        <v>6654</v>
      </c>
      <c r="L3226" s="33" t="s">
        <v>25816</v>
      </c>
      <c r="M3226" s="33" t="s">
        <v>21</v>
      </c>
      <c r="N3226" s="33" t="s">
        <v>25817</v>
      </c>
      <c r="O3226" s="33" t="s">
        <v>372</v>
      </c>
      <c r="P3226" s="33" t="s">
        <v>30089</v>
      </c>
      <c r="Q3226" s="42" t="s">
        <v>25818</v>
      </c>
      <c r="R3226" s="33" t="s">
        <v>94</v>
      </c>
      <c r="S3226" s="33" t="s">
        <v>22</v>
      </c>
      <c r="T3226" s="36" t="s">
        <v>26781</v>
      </c>
      <c r="U3226" s="33" t="s">
        <v>26572</v>
      </c>
      <c r="V3226" s="33" t="s">
        <v>26573</v>
      </c>
      <c r="W3226" s="33" t="s">
        <v>94</v>
      </c>
      <c r="X3226" s="33">
        <v>2297</v>
      </c>
      <c r="Z3226" s="33" t="s">
        <v>42967</v>
      </c>
      <c r="AA3226" s="33">
        <v>4443</v>
      </c>
    </row>
    <row r="3227" spans="1:43" ht="12" customHeight="1" x14ac:dyDescent="0.15">
      <c r="A3227" s="33" t="s">
        <v>25824</v>
      </c>
      <c r="B3227" s="33">
        <v>26</v>
      </c>
      <c r="C3227" s="33" t="s">
        <v>14</v>
      </c>
      <c r="D3227" s="33" t="s">
        <v>31</v>
      </c>
      <c r="E3227" s="42" t="s">
        <v>25825</v>
      </c>
      <c r="F3227" s="67">
        <v>42768</v>
      </c>
      <c r="G3227" s="33" t="s">
        <v>25826</v>
      </c>
      <c r="H3227" s="33" t="s">
        <v>25827</v>
      </c>
      <c r="I3227" s="33" t="s">
        <v>409</v>
      </c>
      <c r="J3227" s="33">
        <v>53121</v>
      </c>
      <c r="K3227" s="33" t="s">
        <v>14498</v>
      </c>
      <c r="L3227" s="33" t="s">
        <v>14499</v>
      </c>
      <c r="M3227" s="33" t="s">
        <v>21</v>
      </c>
      <c r="N3227" s="33" t="s">
        <v>36624</v>
      </c>
      <c r="O3227" s="33" t="s">
        <v>372</v>
      </c>
      <c r="P3227" s="33" t="s">
        <v>30089</v>
      </c>
      <c r="Q3227" s="42" t="s">
        <v>25828</v>
      </c>
      <c r="R3227" s="33" t="s">
        <v>94</v>
      </c>
      <c r="S3227" s="33" t="s">
        <v>12</v>
      </c>
      <c r="T3227" s="33" t="s">
        <v>29425</v>
      </c>
      <c r="U3227" s="33" t="s">
        <v>26570</v>
      </c>
      <c r="V3227" s="33" t="s">
        <v>26573</v>
      </c>
      <c r="W3227" s="33" t="s">
        <v>94</v>
      </c>
      <c r="X3227" s="33">
        <v>2282</v>
      </c>
      <c r="Z3227" s="33" t="s">
        <v>42967</v>
      </c>
      <c r="AA3227" s="33">
        <v>4438</v>
      </c>
    </row>
    <row r="3228" spans="1:43" ht="12" customHeight="1" x14ac:dyDescent="0.15">
      <c r="A3228" s="33" t="s">
        <v>25561</v>
      </c>
      <c r="B3228" s="33">
        <v>57</v>
      </c>
      <c r="C3228" s="33" t="s">
        <v>14</v>
      </c>
      <c r="D3228" s="33" t="s">
        <v>31</v>
      </c>
      <c r="E3228" s="42" t="s">
        <v>25562</v>
      </c>
      <c r="F3228" s="67">
        <v>42768</v>
      </c>
      <c r="G3228" s="33" t="s">
        <v>26110</v>
      </c>
      <c r="H3228" s="33" t="s">
        <v>25563</v>
      </c>
      <c r="I3228" s="33" t="s">
        <v>56</v>
      </c>
      <c r="J3228" s="33">
        <v>32065</v>
      </c>
      <c r="K3228" s="33" t="s">
        <v>3117</v>
      </c>
      <c r="L3228" s="33" t="s">
        <v>3118</v>
      </c>
      <c r="M3228" s="33" t="s">
        <v>21</v>
      </c>
      <c r="N3228" s="33" t="s">
        <v>25564</v>
      </c>
      <c r="O3228" s="33" t="s">
        <v>372</v>
      </c>
      <c r="P3228" s="33" t="s">
        <v>30089</v>
      </c>
      <c r="Q3228" s="42" t="s">
        <v>25565</v>
      </c>
      <c r="R3228" s="33" t="s">
        <v>94</v>
      </c>
      <c r="S3228" s="33" t="s">
        <v>22</v>
      </c>
      <c r="T3228" s="36" t="s">
        <v>26781</v>
      </c>
      <c r="U3228" s="33" t="s">
        <v>26570</v>
      </c>
      <c r="V3228" s="33" t="s">
        <v>26573</v>
      </c>
      <c r="W3228" s="33" t="s">
        <v>94</v>
      </c>
      <c r="X3228" s="33">
        <v>2302</v>
      </c>
      <c r="Z3228" s="33" t="s">
        <v>42968</v>
      </c>
      <c r="AA3228" s="33">
        <v>4437</v>
      </c>
    </row>
    <row r="3229" spans="1:43" ht="12" customHeight="1" x14ac:dyDescent="0.15">
      <c r="A3229" s="33" t="s">
        <v>25575</v>
      </c>
      <c r="B3229" s="33">
        <v>18</v>
      </c>
      <c r="C3229" s="33" t="s">
        <v>14</v>
      </c>
      <c r="D3229" s="33" t="s">
        <v>42</v>
      </c>
      <c r="E3229" s="42" t="s">
        <v>25576</v>
      </c>
      <c r="F3229" s="67">
        <v>42767</v>
      </c>
      <c r="G3229" s="33" t="s">
        <v>25577</v>
      </c>
      <c r="H3229" s="33" t="s">
        <v>7781</v>
      </c>
      <c r="I3229" s="33" t="s">
        <v>67</v>
      </c>
      <c r="J3229" s="33">
        <v>76308</v>
      </c>
      <c r="K3229" s="33" t="s">
        <v>635</v>
      </c>
      <c r="L3229" s="33" t="s">
        <v>7783</v>
      </c>
      <c r="M3229" s="33" t="s">
        <v>21</v>
      </c>
      <c r="N3229" s="33" t="s">
        <v>25578</v>
      </c>
      <c r="O3229" s="33" t="s">
        <v>372</v>
      </c>
      <c r="P3229" s="33" t="s">
        <v>30089</v>
      </c>
      <c r="Q3229" s="42" t="s">
        <v>25579</v>
      </c>
      <c r="R3229" s="33" t="s">
        <v>94</v>
      </c>
      <c r="S3229" s="33" t="s">
        <v>22</v>
      </c>
      <c r="T3229" s="33" t="s">
        <v>26781</v>
      </c>
      <c r="U3229" s="33" t="s">
        <v>26572</v>
      </c>
      <c r="V3229" s="33" t="s">
        <v>26573</v>
      </c>
      <c r="W3229" s="33" t="s">
        <v>94</v>
      </c>
      <c r="X3229" s="33">
        <v>2708</v>
      </c>
      <c r="Z3229" s="33" t="s">
        <v>42968</v>
      </c>
      <c r="AA3229" s="33">
        <v>4433</v>
      </c>
    </row>
    <row r="3230" spans="1:43" ht="12" customHeight="1" x14ac:dyDescent="0.15">
      <c r="A3230" s="33" t="s">
        <v>25890</v>
      </c>
      <c r="B3230" s="33">
        <v>31</v>
      </c>
      <c r="C3230" s="33" t="s">
        <v>14</v>
      </c>
      <c r="D3230" s="33" t="s">
        <v>79</v>
      </c>
      <c r="E3230" s="42" t="s">
        <v>25891</v>
      </c>
      <c r="F3230" s="67">
        <v>42767</v>
      </c>
      <c r="G3230" s="33" t="s">
        <v>25892</v>
      </c>
      <c r="H3230" s="33" t="s">
        <v>2663</v>
      </c>
      <c r="I3230" s="33" t="s">
        <v>39</v>
      </c>
      <c r="J3230" s="33">
        <v>92346</v>
      </c>
      <c r="K3230" s="33" t="s">
        <v>288</v>
      </c>
      <c r="L3230" s="33" t="s">
        <v>32215</v>
      </c>
      <c r="M3230" s="33" t="s">
        <v>21</v>
      </c>
      <c r="N3230" s="33" t="s">
        <v>36627</v>
      </c>
      <c r="O3230" s="33" t="s">
        <v>372</v>
      </c>
      <c r="P3230" s="33" t="s">
        <v>30089</v>
      </c>
      <c r="Q3230" s="42" t="s">
        <v>25893</v>
      </c>
      <c r="R3230" s="33" t="s">
        <v>94</v>
      </c>
      <c r="S3230" s="33" t="s">
        <v>351</v>
      </c>
      <c r="T3230" s="36" t="s">
        <v>26867</v>
      </c>
      <c r="U3230" s="33" t="s">
        <v>26572</v>
      </c>
      <c r="V3230" s="33" t="s">
        <v>26571</v>
      </c>
      <c r="W3230" s="33" t="s">
        <v>94</v>
      </c>
      <c r="X3230" s="33">
        <v>2301</v>
      </c>
      <c r="Z3230" s="33" t="s">
        <v>42968</v>
      </c>
      <c r="AA3230" s="33">
        <v>4436</v>
      </c>
    </row>
    <row r="3231" spans="1:43" ht="12" customHeight="1" x14ac:dyDescent="0.15">
      <c r="A3231" s="33" t="s">
        <v>26038</v>
      </c>
      <c r="B3231" s="33">
        <v>23</v>
      </c>
      <c r="C3231" s="33" t="s">
        <v>14</v>
      </c>
      <c r="D3231" s="33" t="s">
        <v>79</v>
      </c>
      <c r="E3231" s="42" t="s">
        <v>26039</v>
      </c>
      <c r="F3231" s="67">
        <v>42767</v>
      </c>
      <c r="G3231" s="33" t="s">
        <v>26140</v>
      </c>
      <c r="H3231" s="33" t="s">
        <v>787</v>
      </c>
      <c r="I3231" s="33" t="s">
        <v>67</v>
      </c>
      <c r="J3231" s="33">
        <v>76012</v>
      </c>
      <c r="K3231" s="33" t="s">
        <v>68</v>
      </c>
      <c r="L3231" s="33" t="s">
        <v>788</v>
      </c>
      <c r="M3231" s="33" t="s">
        <v>21</v>
      </c>
      <c r="N3231" s="33" t="s">
        <v>26040</v>
      </c>
      <c r="O3231" s="33" t="s">
        <v>372</v>
      </c>
      <c r="P3231" s="33" t="s">
        <v>30089</v>
      </c>
      <c r="Q3231" s="42" t="s">
        <v>26041</v>
      </c>
      <c r="R3231" s="33" t="s">
        <v>94</v>
      </c>
      <c r="S3231" s="33" t="s">
        <v>351</v>
      </c>
      <c r="T3231" s="36" t="s">
        <v>26867</v>
      </c>
      <c r="U3231" s="33" t="s">
        <v>26572</v>
      </c>
      <c r="V3231" s="33" t="s">
        <v>26571</v>
      </c>
      <c r="W3231" s="33" t="s">
        <v>94</v>
      </c>
      <c r="X3231" s="33">
        <v>2280</v>
      </c>
      <c r="Z3231" s="33" t="s">
        <v>42968</v>
      </c>
      <c r="AA3231" s="33">
        <v>4435</v>
      </c>
    </row>
    <row r="3232" spans="1:43" ht="12" customHeight="1" x14ac:dyDescent="0.15">
      <c r="A3232" s="33" t="s">
        <v>25985</v>
      </c>
      <c r="B3232" s="33">
        <v>19</v>
      </c>
      <c r="C3232" s="33" t="s">
        <v>14</v>
      </c>
      <c r="D3232" s="33" t="s">
        <v>79</v>
      </c>
      <c r="F3232" s="67">
        <v>42767</v>
      </c>
      <c r="G3232" s="33" t="s">
        <v>26134</v>
      </c>
      <c r="H3232" s="33" t="s">
        <v>558</v>
      </c>
      <c r="I3232" s="33" t="s">
        <v>39</v>
      </c>
      <c r="J3232" s="33">
        <v>94501</v>
      </c>
      <c r="K3232" s="33" t="s">
        <v>558</v>
      </c>
      <c r="L3232" s="33" t="s">
        <v>36625</v>
      </c>
      <c r="M3232" s="33" t="s">
        <v>21</v>
      </c>
      <c r="N3232" s="33" t="s">
        <v>36626</v>
      </c>
      <c r="O3232" s="33" t="s">
        <v>372</v>
      </c>
      <c r="P3232" s="33" t="s">
        <v>30089</v>
      </c>
      <c r="Q3232" s="42" t="s">
        <v>30352</v>
      </c>
      <c r="R3232" s="33" t="s">
        <v>94</v>
      </c>
      <c r="S3232" s="33" t="s">
        <v>12</v>
      </c>
      <c r="T3232" s="33" t="s">
        <v>29705</v>
      </c>
      <c r="U3232" s="33" t="s">
        <v>26572</v>
      </c>
      <c r="V3232" s="33" t="s">
        <v>26573</v>
      </c>
      <c r="Y3232" s="33" t="s">
        <v>42476</v>
      </c>
      <c r="Z3232" s="33" t="s">
        <v>42966</v>
      </c>
      <c r="AA3232" s="33">
        <v>4434</v>
      </c>
    </row>
    <row r="3233" spans="1:43" ht="12" customHeight="1" x14ac:dyDescent="0.15">
      <c r="A3233" s="33" t="s">
        <v>25662</v>
      </c>
      <c r="B3233" s="33">
        <v>37</v>
      </c>
      <c r="C3233" s="33" t="s">
        <v>14</v>
      </c>
      <c r="D3233" s="33" t="s">
        <v>79</v>
      </c>
      <c r="F3233" s="67">
        <v>42766</v>
      </c>
      <c r="G3233" s="33" t="s">
        <v>25663</v>
      </c>
      <c r="H3233" s="33" t="s">
        <v>92</v>
      </c>
      <c r="I3233" s="33" t="s">
        <v>39</v>
      </c>
      <c r="J3233" s="33">
        <v>90028</v>
      </c>
      <c r="K3233" s="33" t="s">
        <v>92</v>
      </c>
      <c r="L3233" s="33" t="s">
        <v>93</v>
      </c>
      <c r="M3233" s="33" t="s">
        <v>4966</v>
      </c>
      <c r="N3233" s="33" t="s">
        <v>25664</v>
      </c>
      <c r="O3233" s="33" t="s">
        <v>372</v>
      </c>
      <c r="P3233" s="33" t="s">
        <v>30089</v>
      </c>
      <c r="Q3233" s="42" t="s">
        <v>25665</v>
      </c>
      <c r="R3233" s="33" t="s">
        <v>512</v>
      </c>
      <c r="S3233" s="33" t="s">
        <v>22</v>
      </c>
      <c r="T3233" s="36" t="s">
        <v>26774</v>
      </c>
      <c r="U3233" s="33" t="s">
        <v>26572</v>
      </c>
      <c r="V3233" s="33" t="s">
        <v>26573</v>
      </c>
      <c r="W3233" s="33" t="s">
        <v>94</v>
      </c>
      <c r="X3233" s="33">
        <v>2278</v>
      </c>
      <c r="Z3233" s="33" t="s">
        <v>42966</v>
      </c>
      <c r="AA3233" s="33">
        <v>4431</v>
      </c>
    </row>
    <row r="3234" spans="1:43" ht="12" customHeight="1" x14ac:dyDescent="0.15">
      <c r="A3234" s="33" t="s">
        <v>25723</v>
      </c>
      <c r="B3234" s="33">
        <v>44</v>
      </c>
      <c r="C3234" s="33" t="s">
        <v>14</v>
      </c>
      <c r="D3234" s="33" t="s">
        <v>31</v>
      </c>
      <c r="E3234" s="42" t="s">
        <v>25724</v>
      </c>
      <c r="F3234" s="67">
        <v>42766</v>
      </c>
      <c r="G3234" s="33" t="s">
        <v>26119</v>
      </c>
      <c r="H3234" s="33" t="s">
        <v>25725</v>
      </c>
      <c r="I3234" s="33" t="s">
        <v>160</v>
      </c>
      <c r="J3234" s="33">
        <v>30241</v>
      </c>
      <c r="K3234" s="33" t="s">
        <v>25726</v>
      </c>
      <c r="L3234" s="33" t="s">
        <v>36628</v>
      </c>
      <c r="M3234" s="33" t="s">
        <v>363</v>
      </c>
      <c r="N3234" s="33" t="s">
        <v>25727</v>
      </c>
      <c r="O3234" s="33" t="s">
        <v>372</v>
      </c>
      <c r="P3234" s="33" t="s">
        <v>30089</v>
      </c>
      <c r="Q3234" s="42" t="s">
        <v>25728</v>
      </c>
      <c r="R3234" s="33" t="s">
        <v>23</v>
      </c>
      <c r="S3234" s="33" t="s">
        <v>22</v>
      </c>
      <c r="T3234" s="33" t="s">
        <v>26774</v>
      </c>
      <c r="U3234" s="33" t="s">
        <v>26572</v>
      </c>
      <c r="V3234" s="33" t="s">
        <v>26573</v>
      </c>
      <c r="Z3234" s="33" t="s">
        <v>42968</v>
      </c>
      <c r="AA3234" s="33">
        <v>4432</v>
      </c>
    </row>
    <row r="3235" spans="1:43" ht="12" customHeight="1" x14ac:dyDescent="0.15">
      <c r="A3235" s="33" t="s">
        <v>25408</v>
      </c>
      <c r="B3235" s="33">
        <v>36</v>
      </c>
      <c r="C3235" s="33" t="s">
        <v>14</v>
      </c>
      <c r="D3235" s="33" t="s">
        <v>31</v>
      </c>
      <c r="E3235" s="33" t="s">
        <v>26151</v>
      </c>
      <c r="F3235" s="67">
        <v>42765</v>
      </c>
      <c r="G3235" s="33" t="s">
        <v>26096</v>
      </c>
      <c r="H3235" s="33" t="s">
        <v>14356</v>
      </c>
      <c r="I3235" s="33" t="s">
        <v>282</v>
      </c>
      <c r="J3235" s="33">
        <v>98036</v>
      </c>
      <c r="K3235" s="33" t="s">
        <v>2004</v>
      </c>
      <c r="L3235" s="33" t="s">
        <v>14921</v>
      </c>
      <c r="M3235" s="33" t="s">
        <v>21</v>
      </c>
      <c r="N3235" s="33" t="s">
        <v>25409</v>
      </c>
      <c r="O3235" s="33" t="s">
        <v>372</v>
      </c>
      <c r="P3235" s="33" t="s">
        <v>30089</v>
      </c>
      <c r="Q3235" s="42" t="s">
        <v>25410</v>
      </c>
      <c r="R3235" s="33" t="s">
        <v>512</v>
      </c>
      <c r="S3235" s="33" t="s">
        <v>22</v>
      </c>
      <c r="T3235" s="36" t="s">
        <v>26774</v>
      </c>
      <c r="U3235" s="33" t="s">
        <v>26570</v>
      </c>
      <c r="V3235" s="33" t="s">
        <v>26573</v>
      </c>
      <c r="W3235" s="33" t="s">
        <v>94</v>
      </c>
      <c r="X3235" s="33">
        <v>2270</v>
      </c>
      <c r="Z3235" s="33" t="s">
        <v>42968</v>
      </c>
      <c r="AA3235" s="33">
        <v>4430</v>
      </c>
    </row>
    <row r="3236" spans="1:43" ht="12" customHeight="1" x14ac:dyDescent="0.15">
      <c r="A3236" s="33" t="s">
        <v>25540</v>
      </c>
      <c r="B3236" s="33">
        <v>50</v>
      </c>
      <c r="C3236" s="33" t="s">
        <v>14</v>
      </c>
      <c r="D3236" s="33" t="s">
        <v>79</v>
      </c>
      <c r="F3236" s="67">
        <v>42765</v>
      </c>
      <c r="G3236" s="33" t="s">
        <v>25541</v>
      </c>
      <c r="H3236" s="33" t="s">
        <v>25542</v>
      </c>
      <c r="I3236" s="33" t="s">
        <v>367</v>
      </c>
      <c r="J3236" s="33">
        <v>74553</v>
      </c>
      <c r="K3236" s="33" t="s">
        <v>12903</v>
      </c>
      <c r="L3236" s="33" t="s">
        <v>25543</v>
      </c>
      <c r="M3236" s="33" t="s">
        <v>21</v>
      </c>
      <c r="N3236" s="33" t="s">
        <v>36629</v>
      </c>
      <c r="O3236" s="33" t="s">
        <v>372</v>
      </c>
      <c r="P3236" s="33" t="s">
        <v>30089</v>
      </c>
      <c r="Q3236" s="42" t="s">
        <v>25544</v>
      </c>
      <c r="R3236" s="33" t="s">
        <v>94</v>
      </c>
      <c r="S3236" s="33" t="s">
        <v>22</v>
      </c>
      <c r="T3236" s="36" t="s">
        <v>26781</v>
      </c>
      <c r="U3236" s="33" t="s">
        <v>26570</v>
      </c>
      <c r="V3236" s="33" t="s">
        <v>26573</v>
      </c>
      <c r="W3236" s="33" t="s">
        <v>94</v>
      </c>
      <c r="X3236" s="33">
        <v>2269</v>
      </c>
      <c r="Z3236" s="33" t="s">
        <v>42967</v>
      </c>
      <c r="AA3236" s="33">
        <v>4428</v>
      </c>
    </row>
    <row r="3237" spans="1:43" ht="12" customHeight="1" x14ac:dyDescent="0.15">
      <c r="A3237" s="33" t="s">
        <v>25666</v>
      </c>
      <c r="B3237" s="33">
        <v>42</v>
      </c>
      <c r="C3237" s="33" t="s">
        <v>14</v>
      </c>
      <c r="D3237" s="33" t="s">
        <v>31</v>
      </c>
      <c r="F3237" s="67">
        <v>42765</v>
      </c>
      <c r="G3237" s="33" t="s">
        <v>26114</v>
      </c>
      <c r="H3237" s="33" t="s">
        <v>9302</v>
      </c>
      <c r="I3237" s="33" t="s">
        <v>39</v>
      </c>
      <c r="J3237" s="33">
        <v>95356</v>
      </c>
      <c r="K3237" s="33" t="s">
        <v>2954</v>
      </c>
      <c r="L3237" s="33" t="s">
        <v>9304</v>
      </c>
      <c r="M3237" s="33" t="s">
        <v>4966</v>
      </c>
      <c r="N3237" s="33" t="s">
        <v>25667</v>
      </c>
      <c r="O3237" s="33" t="s">
        <v>372</v>
      </c>
      <c r="P3237" s="33" t="s">
        <v>30089</v>
      </c>
      <c r="Q3237" s="42" t="s">
        <v>25668</v>
      </c>
      <c r="R3237" s="33" t="s">
        <v>904</v>
      </c>
      <c r="S3237" s="33" t="s">
        <v>29</v>
      </c>
      <c r="T3237" s="33" t="s">
        <v>26583</v>
      </c>
      <c r="U3237" s="33" t="s">
        <v>26570</v>
      </c>
      <c r="V3237" s="33" t="s">
        <v>26573</v>
      </c>
      <c r="W3237" s="33" t="s">
        <v>94</v>
      </c>
      <c r="X3237" s="33">
        <v>2277</v>
      </c>
      <c r="Z3237" s="33" t="s">
        <v>42966</v>
      </c>
      <c r="AA3237" s="33">
        <v>4427</v>
      </c>
    </row>
    <row r="3238" spans="1:43" ht="12" customHeight="1" x14ac:dyDescent="0.15">
      <c r="A3238" s="33" t="s">
        <v>25612</v>
      </c>
      <c r="B3238" s="33">
        <v>45</v>
      </c>
      <c r="C3238" s="33" t="s">
        <v>14</v>
      </c>
      <c r="D3238" s="33" t="s">
        <v>42</v>
      </c>
      <c r="F3238" s="67">
        <v>42765</v>
      </c>
      <c r="G3238" s="33" t="s">
        <v>25613</v>
      </c>
      <c r="H3238" s="33" t="s">
        <v>183</v>
      </c>
      <c r="I3238" s="33" t="s">
        <v>39</v>
      </c>
      <c r="J3238" s="33">
        <v>93703</v>
      </c>
      <c r="K3238" s="33" t="s">
        <v>183</v>
      </c>
      <c r="L3238" s="33" t="s">
        <v>1493</v>
      </c>
      <c r="M3238" s="33" t="s">
        <v>4966</v>
      </c>
      <c r="N3238" s="33" t="s">
        <v>25614</v>
      </c>
      <c r="O3238" s="33" t="s">
        <v>372</v>
      </c>
      <c r="P3238" s="33" t="s">
        <v>30089</v>
      </c>
      <c r="Q3238" s="42" t="s">
        <v>25615</v>
      </c>
      <c r="R3238" s="33" t="s">
        <v>512</v>
      </c>
      <c r="S3238" s="33" t="s">
        <v>22</v>
      </c>
      <c r="T3238" s="33" t="s">
        <v>29419</v>
      </c>
      <c r="U3238" s="33" t="s">
        <v>26572</v>
      </c>
      <c r="V3238" s="33" t="s">
        <v>26573</v>
      </c>
      <c r="W3238" s="33" t="s">
        <v>94</v>
      </c>
      <c r="X3238" s="33">
        <v>2276</v>
      </c>
      <c r="Z3238" s="33" t="s">
        <v>42966</v>
      </c>
      <c r="AA3238" s="33">
        <v>4429</v>
      </c>
    </row>
    <row r="3239" spans="1:43" ht="12" customHeight="1" x14ac:dyDescent="0.15">
      <c r="A3239" s="33" t="s">
        <v>25694</v>
      </c>
      <c r="B3239" s="33">
        <v>53</v>
      </c>
      <c r="C3239" s="33" t="s">
        <v>14</v>
      </c>
      <c r="D3239" s="33" t="s">
        <v>30751</v>
      </c>
      <c r="F3239" s="67">
        <v>42764</v>
      </c>
      <c r="G3239" s="33" t="s">
        <v>25695</v>
      </c>
      <c r="H3239" s="33" t="s">
        <v>25696</v>
      </c>
      <c r="I3239" s="33" t="s">
        <v>35</v>
      </c>
      <c r="J3239" s="33">
        <v>6370</v>
      </c>
      <c r="K3239" s="33" t="s">
        <v>6257</v>
      </c>
      <c r="L3239" s="33" t="s">
        <v>25697</v>
      </c>
      <c r="M3239" s="33" t="s">
        <v>21</v>
      </c>
      <c r="N3239" s="33" t="s">
        <v>25698</v>
      </c>
      <c r="O3239" s="33" t="s">
        <v>372</v>
      </c>
      <c r="P3239" s="33" t="s">
        <v>30089</v>
      </c>
      <c r="Q3239" s="42" t="s">
        <v>25699</v>
      </c>
      <c r="R3239" s="33" t="s">
        <v>512</v>
      </c>
      <c r="S3239" s="33" t="s">
        <v>22</v>
      </c>
      <c r="T3239" s="36" t="s">
        <v>27803</v>
      </c>
      <c r="U3239" s="33" t="s">
        <v>26572</v>
      </c>
      <c r="V3239" s="33" t="s">
        <v>26573</v>
      </c>
      <c r="W3239" s="33" t="s">
        <v>94</v>
      </c>
      <c r="X3239" s="33">
        <v>2271</v>
      </c>
      <c r="Z3239" s="33" t="s">
        <v>42968</v>
      </c>
      <c r="AA3239" s="33">
        <v>4425</v>
      </c>
    </row>
    <row r="3240" spans="1:43" ht="12" customHeight="1" x14ac:dyDescent="0.15">
      <c r="A3240" s="33" t="s">
        <v>25838</v>
      </c>
      <c r="B3240" s="33">
        <v>18</v>
      </c>
      <c r="C3240" s="33" t="s">
        <v>14</v>
      </c>
      <c r="D3240" s="33" t="s">
        <v>42</v>
      </c>
      <c r="F3240" s="67">
        <v>42764</v>
      </c>
      <c r="G3240" s="33" t="s">
        <v>26126</v>
      </c>
      <c r="H3240" s="33" t="s">
        <v>3383</v>
      </c>
      <c r="I3240" s="33" t="s">
        <v>39</v>
      </c>
      <c r="J3240" s="33">
        <v>92701</v>
      </c>
      <c r="K3240" s="33" t="s">
        <v>998</v>
      </c>
      <c r="L3240" s="33" t="s">
        <v>3385</v>
      </c>
      <c r="M3240" s="33" t="s">
        <v>21</v>
      </c>
      <c r="N3240" s="33" t="s">
        <v>36630</v>
      </c>
      <c r="O3240" s="33" t="s">
        <v>372</v>
      </c>
      <c r="P3240" s="33" t="s">
        <v>30089</v>
      </c>
      <c r="Q3240" s="42" t="s">
        <v>25839</v>
      </c>
      <c r="R3240" s="33" t="s">
        <v>94</v>
      </c>
      <c r="S3240" s="33" t="s">
        <v>12</v>
      </c>
      <c r="T3240" s="33" t="s">
        <v>29705</v>
      </c>
      <c r="U3240" s="33" t="s">
        <v>26570</v>
      </c>
      <c r="V3240" s="33" t="s">
        <v>26574</v>
      </c>
      <c r="W3240" s="33" t="s">
        <v>94</v>
      </c>
      <c r="X3240" s="33">
        <v>2275</v>
      </c>
      <c r="Z3240" s="33" t="s">
        <v>42966</v>
      </c>
      <c r="AA3240" s="33">
        <v>4426</v>
      </c>
    </row>
    <row r="3241" spans="1:43" ht="12" customHeight="1" x14ac:dyDescent="0.15">
      <c r="A3241" s="33" t="s">
        <v>25550</v>
      </c>
      <c r="B3241" s="33">
        <v>17</v>
      </c>
      <c r="C3241" s="33" t="s">
        <v>14</v>
      </c>
      <c r="D3241" s="33" t="s">
        <v>79</v>
      </c>
      <c r="E3241" s="42" t="s">
        <v>30395</v>
      </c>
      <c r="F3241" s="67">
        <v>42763</v>
      </c>
      <c r="G3241" s="33" t="s">
        <v>25551</v>
      </c>
      <c r="H3241" s="33" t="s">
        <v>1734</v>
      </c>
      <c r="I3241" s="33" t="s">
        <v>282</v>
      </c>
      <c r="J3241" s="33">
        <v>98198</v>
      </c>
      <c r="K3241" s="33" t="s">
        <v>1133</v>
      </c>
      <c r="L3241" s="33" t="s">
        <v>7282</v>
      </c>
      <c r="M3241" s="33" t="s">
        <v>21</v>
      </c>
      <c r="N3241" s="33" t="s">
        <v>25552</v>
      </c>
      <c r="O3241" s="33" t="s">
        <v>372</v>
      </c>
      <c r="P3241" s="33" t="s">
        <v>30089</v>
      </c>
      <c r="Q3241" s="42" t="s">
        <v>25553</v>
      </c>
      <c r="R3241" s="33" t="s">
        <v>94</v>
      </c>
      <c r="S3241" s="33" t="s">
        <v>22</v>
      </c>
      <c r="T3241" s="36" t="s">
        <v>26781</v>
      </c>
      <c r="U3241" s="33" t="s">
        <v>26572</v>
      </c>
      <c r="V3241" s="33" t="s">
        <v>26573</v>
      </c>
      <c r="W3241" s="33" t="s">
        <v>94</v>
      </c>
      <c r="X3241" s="33">
        <v>2274</v>
      </c>
      <c r="Z3241" s="33" t="s">
        <v>42968</v>
      </c>
      <c r="AA3241" s="33">
        <v>4422</v>
      </c>
      <c r="AQ3241" s="42"/>
    </row>
    <row r="3242" spans="1:43" ht="12" customHeight="1" x14ac:dyDescent="0.15">
      <c r="A3242" s="33" t="s">
        <v>30378</v>
      </c>
      <c r="B3242" s="33">
        <v>45</v>
      </c>
      <c r="C3242" s="33" t="s">
        <v>14</v>
      </c>
      <c r="D3242" s="33" t="s">
        <v>31</v>
      </c>
      <c r="E3242" s="42" t="s">
        <v>30379</v>
      </c>
      <c r="F3242" s="67">
        <v>42763</v>
      </c>
      <c r="G3242" s="33" t="s">
        <v>30380</v>
      </c>
      <c r="H3242" s="33" t="s">
        <v>15526</v>
      </c>
      <c r="I3242" s="33" t="s">
        <v>112</v>
      </c>
      <c r="J3242" s="33">
        <v>85120</v>
      </c>
      <c r="K3242" s="33" t="s">
        <v>2223</v>
      </c>
      <c r="L3242" s="33" t="s">
        <v>30381</v>
      </c>
      <c r="M3242" s="33" t="s">
        <v>21</v>
      </c>
      <c r="N3242" s="33" t="s">
        <v>30382</v>
      </c>
      <c r="O3242" s="33" t="s">
        <v>372</v>
      </c>
      <c r="P3242" s="33" t="s">
        <v>30089</v>
      </c>
      <c r="Q3242" s="42" t="s">
        <v>30383</v>
      </c>
      <c r="R3242" s="33" t="s">
        <v>94</v>
      </c>
      <c r="S3242" s="33" t="s">
        <v>22</v>
      </c>
      <c r="T3242" s="33" t="s">
        <v>26781</v>
      </c>
      <c r="U3242" s="33" t="s">
        <v>26572</v>
      </c>
      <c r="V3242" s="33" t="s">
        <v>26573</v>
      </c>
      <c r="W3242" s="33" t="s">
        <v>94</v>
      </c>
      <c r="X3242" s="33">
        <v>2707</v>
      </c>
      <c r="Z3242" s="33" t="s">
        <v>42968</v>
      </c>
      <c r="AA3242" s="33">
        <v>4423</v>
      </c>
    </row>
    <row r="3243" spans="1:43" ht="12" customHeight="1" x14ac:dyDescent="0.15">
      <c r="A3243" s="33" t="s">
        <v>25341</v>
      </c>
      <c r="B3243" s="33">
        <v>25</v>
      </c>
      <c r="C3243" s="33" t="s">
        <v>14</v>
      </c>
      <c r="D3243" s="33" t="s">
        <v>42</v>
      </c>
      <c r="F3243" s="67">
        <v>42763</v>
      </c>
      <c r="G3243" s="33" t="s">
        <v>25342</v>
      </c>
      <c r="H3243" s="33" t="s">
        <v>25343</v>
      </c>
      <c r="I3243" s="33" t="s">
        <v>67</v>
      </c>
      <c r="J3243" s="33">
        <v>79735</v>
      </c>
      <c r="K3243" s="33" t="s">
        <v>25344</v>
      </c>
      <c r="L3243" s="33" t="s">
        <v>25345</v>
      </c>
      <c r="M3243" s="33" t="s">
        <v>21</v>
      </c>
      <c r="N3243" s="33" t="s">
        <v>25346</v>
      </c>
      <c r="O3243" s="33" t="s">
        <v>372</v>
      </c>
      <c r="P3243" s="33" t="s">
        <v>30089</v>
      </c>
      <c r="Q3243" s="42" t="s">
        <v>25347</v>
      </c>
      <c r="R3243" s="33" t="s">
        <v>94</v>
      </c>
      <c r="S3243" s="33" t="s">
        <v>22</v>
      </c>
      <c r="T3243" s="36" t="s">
        <v>26781</v>
      </c>
      <c r="U3243" s="33" t="s">
        <v>26572</v>
      </c>
      <c r="V3243" s="33" t="s">
        <v>26571</v>
      </c>
      <c r="W3243" s="33" t="s">
        <v>94</v>
      </c>
      <c r="X3243" s="33">
        <v>2273</v>
      </c>
      <c r="Z3243" s="33" t="s">
        <v>42967</v>
      </c>
      <c r="AA3243" s="33">
        <v>4421</v>
      </c>
    </row>
    <row r="3244" spans="1:43" ht="12" customHeight="1" x14ac:dyDescent="0.15">
      <c r="A3244" s="33" t="s">
        <v>30358</v>
      </c>
      <c r="B3244" s="33">
        <v>49</v>
      </c>
      <c r="C3244" s="33" t="s">
        <v>14</v>
      </c>
      <c r="D3244" s="33" t="s">
        <v>31</v>
      </c>
      <c r="E3244" s="42" t="s">
        <v>29664</v>
      </c>
      <c r="F3244" s="67">
        <v>42763</v>
      </c>
      <c r="G3244" s="33" t="s">
        <v>25593</v>
      </c>
      <c r="H3244" s="33" t="s">
        <v>20889</v>
      </c>
      <c r="I3244" s="33" t="s">
        <v>409</v>
      </c>
      <c r="J3244" s="33">
        <v>54701</v>
      </c>
      <c r="K3244" s="33" t="s">
        <v>20889</v>
      </c>
      <c r="L3244" s="33" t="s">
        <v>25594</v>
      </c>
      <c r="M3244" s="33" t="s">
        <v>21</v>
      </c>
      <c r="N3244" s="33" t="s">
        <v>25595</v>
      </c>
      <c r="O3244" s="33" t="s">
        <v>372</v>
      </c>
      <c r="P3244" s="33" t="s">
        <v>30089</v>
      </c>
      <c r="Q3244" s="42" t="s">
        <v>25596</v>
      </c>
      <c r="R3244" s="33" t="s">
        <v>23</v>
      </c>
      <c r="S3244" s="33" t="s">
        <v>12</v>
      </c>
      <c r="T3244" s="33" t="s">
        <v>29425</v>
      </c>
      <c r="U3244" s="33" t="s">
        <v>26572</v>
      </c>
      <c r="V3244" s="33" t="s">
        <v>26573</v>
      </c>
      <c r="X3244" s="33">
        <v>2706</v>
      </c>
      <c r="Z3244" s="33" t="s">
        <v>42968</v>
      </c>
      <c r="AA3244" s="33">
        <v>4424</v>
      </c>
      <c r="AQ3244" s="42"/>
    </row>
    <row r="3245" spans="1:43" ht="12" customHeight="1" x14ac:dyDescent="0.15">
      <c r="A3245" s="33" t="s">
        <v>25327</v>
      </c>
      <c r="B3245" s="33">
        <v>25</v>
      </c>
      <c r="C3245" s="33" t="s">
        <v>14</v>
      </c>
      <c r="D3245" s="33" t="s">
        <v>42</v>
      </c>
      <c r="F3245" s="67">
        <v>42762</v>
      </c>
      <c r="G3245" s="33" t="s">
        <v>26088</v>
      </c>
      <c r="H3245" s="33" t="s">
        <v>15025</v>
      </c>
      <c r="I3245" s="33" t="s">
        <v>39</v>
      </c>
      <c r="J3245" s="33">
        <v>91801</v>
      </c>
      <c r="K3245" s="33" t="s">
        <v>92</v>
      </c>
      <c r="L3245" s="33" t="s">
        <v>15027</v>
      </c>
      <c r="M3245" s="33" t="s">
        <v>21</v>
      </c>
      <c r="N3245" s="33" t="s">
        <v>36631</v>
      </c>
      <c r="O3245" s="33" t="s">
        <v>372</v>
      </c>
      <c r="P3245" s="33" t="s">
        <v>30089</v>
      </c>
      <c r="Q3245" s="42" t="s">
        <v>25328</v>
      </c>
      <c r="R3245" s="33" t="s">
        <v>94</v>
      </c>
      <c r="S3245" s="33" t="s">
        <v>22</v>
      </c>
      <c r="T3245" s="36" t="s">
        <v>26781</v>
      </c>
      <c r="U3245" s="33" t="s">
        <v>26572</v>
      </c>
      <c r="V3245" s="33" t="s">
        <v>26573</v>
      </c>
      <c r="W3245" s="33" t="s">
        <v>512</v>
      </c>
      <c r="X3245" s="33">
        <v>2272</v>
      </c>
      <c r="Z3245" s="33" t="s">
        <v>42966</v>
      </c>
      <c r="AA3245" s="33">
        <v>4420</v>
      </c>
    </row>
    <row r="3246" spans="1:43" ht="12" customHeight="1" x14ac:dyDescent="0.15">
      <c r="A3246" s="33" t="s">
        <v>26062</v>
      </c>
      <c r="B3246" s="33">
        <v>34</v>
      </c>
      <c r="C3246" s="33" t="s">
        <v>14</v>
      </c>
      <c r="D3246" s="33" t="s">
        <v>31</v>
      </c>
      <c r="F3246" s="67">
        <v>42761</v>
      </c>
      <c r="G3246" s="33" t="s">
        <v>26143</v>
      </c>
      <c r="H3246" s="33" t="s">
        <v>26063</v>
      </c>
      <c r="I3246" s="33" t="s">
        <v>63</v>
      </c>
      <c r="J3246" s="33">
        <v>43125</v>
      </c>
      <c r="K3246" s="33" t="s">
        <v>1203</v>
      </c>
      <c r="L3246" s="33" t="s">
        <v>26064</v>
      </c>
      <c r="M3246" s="33" t="s">
        <v>21</v>
      </c>
      <c r="N3246" s="33" t="s">
        <v>26065</v>
      </c>
      <c r="O3246" s="33" t="s">
        <v>372</v>
      </c>
      <c r="P3246" s="33" t="s">
        <v>30089</v>
      </c>
      <c r="Q3246" s="42" t="s">
        <v>26066</v>
      </c>
      <c r="R3246" s="33" t="s">
        <v>94</v>
      </c>
      <c r="S3246" s="33" t="s">
        <v>22</v>
      </c>
      <c r="T3246" s="33" t="s">
        <v>26584</v>
      </c>
      <c r="U3246" s="33" t="s">
        <v>26570</v>
      </c>
      <c r="V3246" s="33" t="s">
        <v>26573</v>
      </c>
      <c r="W3246" s="33" t="s">
        <v>94</v>
      </c>
      <c r="X3246" s="33">
        <v>2268</v>
      </c>
      <c r="Z3246" s="33" t="s">
        <v>42968</v>
      </c>
      <c r="AA3246" s="33">
        <v>4418</v>
      </c>
    </row>
    <row r="3247" spans="1:43" ht="12" customHeight="1" x14ac:dyDescent="0.15">
      <c r="A3247" s="33" t="s">
        <v>25908</v>
      </c>
      <c r="B3247" s="33">
        <v>24</v>
      </c>
      <c r="C3247" s="33" t="s">
        <v>14</v>
      </c>
      <c r="D3247" s="33" t="s">
        <v>79</v>
      </c>
      <c r="E3247" s="42" t="s">
        <v>25909</v>
      </c>
      <c r="F3247" s="67">
        <v>42761</v>
      </c>
      <c r="G3247" s="33" t="s">
        <v>25910</v>
      </c>
      <c r="H3247" s="33" t="s">
        <v>1786</v>
      </c>
      <c r="I3247" s="33" t="s">
        <v>160</v>
      </c>
      <c r="J3247" s="33">
        <v>30331</v>
      </c>
      <c r="K3247" s="33" t="s">
        <v>1454</v>
      </c>
      <c r="L3247" s="33" t="s">
        <v>2356</v>
      </c>
      <c r="M3247" s="33" t="s">
        <v>21</v>
      </c>
      <c r="N3247" s="33" t="s">
        <v>25911</v>
      </c>
      <c r="O3247" s="33" t="s">
        <v>372</v>
      </c>
      <c r="P3247" s="33" t="s">
        <v>30089</v>
      </c>
      <c r="Q3247" s="42" t="s">
        <v>25912</v>
      </c>
      <c r="R3247" s="33" t="s">
        <v>904</v>
      </c>
      <c r="S3247" s="33" t="s">
        <v>12</v>
      </c>
      <c r="T3247" s="33" t="s">
        <v>29705</v>
      </c>
      <c r="U3247" s="33" t="s">
        <v>26570</v>
      </c>
      <c r="V3247" s="33" t="s">
        <v>26571</v>
      </c>
      <c r="W3247" s="33" t="s">
        <v>512</v>
      </c>
      <c r="X3247" s="33">
        <v>2267</v>
      </c>
      <c r="Z3247" s="33" t="s">
        <v>42968</v>
      </c>
      <c r="AA3247" s="33">
        <v>4419</v>
      </c>
    </row>
    <row r="3248" spans="1:43" ht="12" customHeight="1" x14ac:dyDescent="0.15">
      <c r="A3248" s="33" t="s">
        <v>25477</v>
      </c>
      <c r="B3248" s="33">
        <v>28</v>
      </c>
      <c r="C3248" s="33" t="s">
        <v>14</v>
      </c>
      <c r="D3248" s="33" t="s">
        <v>42</v>
      </c>
      <c r="E3248" s="42" t="s">
        <v>25478</v>
      </c>
      <c r="F3248" s="67">
        <v>42761</v>
      </c>
      <c r="G3248" s="33" t="s">
        <v>26103</v>
      </c>
      <c r="H3248" s="33" t="s">
        <v>3855</v>
      </c>
      <c r="I3248" s="33" t="s">
        <v>338</v>
      </c>
      <c r="J3248" s="33">
        <v>28212</v>
      </c>
      <c r="K3248" s="33" t="s">
        <v>3857</v>
      </c>
      <c r="L3248" s="33" t="s">
        <v>3858</v>
      </c>
      <c r="M3248" s="33" t="s">
        <v>21</v>
      </c>
      <c r="N3248" s="33" t="s">
        <v>25479</v>
      </c>
      <c r="O3248" s="33" t="s">
        <v>372</v>
      </c>
      <c r="P3248" s="33" t="s">
        <v>30089</v>
      </c>
      <c r="Q3248" s="42" t="s">
        <v>25480</v>
      </c>
      <c r="R3248" s="33" t="s">
        <v>94</v>
      </c>
      <c r="S3248" s="33" t="s">
        <v>22</v>
      </c>
      <c r="T3248" s="36" t="s">
        <v>26781</v>
      </c>
      <c r="U3248" s="33" t="s">
        <v>26570</v>
      </c>
      <c r="V3248" s="33" t="s">
        <v>26571</v>
      </c>
      <c r="W3248" s="33" t="s">
        <v>94</v>
      </c>
      <c r="X3248" s="33">
        <v>2265</v>
      </c>
      <c r="Z3248" s="33" t="s">
        <v>42968</v>
      </c>
      <c r="AA3248" s="33">
        <v>4416</v>
      </c>
    </row>
    <row r="3249" spans="1:43" ht="12" customHeight="1" x14ac:dyDescent="0.15">
      <c r="A3249" s="33" t="s">
        <v>25500</v>
      </c>
      <c r="B3249" s="33">
        <v>59</v>
      </c>
      <c r="C3249" s="33" t="s">
        <v>14</v>
      </c>
      <c r="D3249" s="33" t="s">
        <v>31</v>
      </c>
      <c r="E3249" s="33" t="s">
        <v>26153</v>
      </c>
      <c r="F3249" s="67">
        <v>42761</v>
      </c>
      <c r="G3249" s="33" t="s">
        <v>26106</v>
      </c>
      <c r="H3249" s="33" t="s">
        <v>1487</v>
      </c>
      <c r="I3249" s="33" t="s">
        <v>46</v>
      </c>
      <c r="J3249" s="33">
        <v>21206</v>
      </c>
      <c r="K3249" s="33" t="s">
        <v>4324</v>
      </c>
      <c r="L3249" s="33" t="s">
        <v>212</v>
      </c>
      <c r="M3249" s="33" t="s">
        <v>21</v>
      </c>
      <c r="N3249" s="33" t="s">
        <v>25501</v>
      </c>
      <c r="O3249" s="33" t="s">
        <v>372</v>
      </c>
      <c r="P3249" s="33" t="s">
        <v>30089</v>
      </c>
      <c r="Q3249" s="42" t="s">
        <v>25502</v>
      </c>
      <c r="R3249" s="33" t="s">
        <v>512</v>
      </c>
      <c r="S3249" s="33" t="s">
        <v>22</v>
      </c>
      <c r="T3249" s="36" t="s">
        <v>26781</v>
      </c>
      <c r="U3249" s="33" t="s">
        <v>26572</v>
      </c>
      <c r="V3249" s="33" t="s">
        <v>26573</v>
      </c>
      <c r="W3249" s="33" t="s">
        <v>512</v>
      </c>
      <c r="X3249" s="33">
        <v>2266</v>
      </c>
      <c r="Z3249" s="33" t="s">
        <v>42966</v>
      </c>
      <c r="AA3249" s="33">
        <v>4417</v>
      </c>
    </row>
    <row r="3250" spans="1:43" ht="12" customHeight="1" x14ac:dyDescent="0.15">
      <c r="A3250" s="33" t="s">
        <v>25885</v>
      </c>
      <c r="B3250" s="33">
        <v>37</v>
      </c>
      <c r="C3250" s="33" t="s">
        <v>14</v>
      </c>
      <c r="D3250" s="33" t="s">
        <v>31</v>
      </c>
      <c r="F3250" s="67">
        <v>42760</v>
      </c>
      <c r="G3250" s="33" t="s">
        <v>25886</v>
      </c>
      <c r="H3250" s="33" t="s">
        <v>7135</v>
      </c>
      <c r="I3250" s="33" t="s">
        <v>88</v>
      </c>
      <c r="J3250" s="33">
        <v>36203</v>
      </c>
      <c r="K3250" s="33" t="s">
        <v>5619</v>
      </c>
      <c r="L3250" s="33" t="s">
        <v>25887</v>
      </c>
      <c r="M3250" s="33" t="s">
        <v>21</v>
      </c>
      <c r="N3250" s="33" t="s">
        <v>25888</v>
      </c>
      <c r="O3250" s="33" t="s">
        <v>372</v>
      </c>
      <c r="P3250" s="33" t="s">
        <v>30089</v>
      </c>
      <c r="Q3250" s="42" t="s">
        <v>25889</v>
      </c>
      <c r="R3250" s="33" t="s">
        <v>512</v>
      </c>
      <c r="S3250" s="33" t="s">
        <v>351</v>
      </c>
      <c r="T3250" s="36" t="s">
        <v>26867</v>
      </c>
      <c r="U3250" s="33" t="s">
        <v>26572</v>
      </c>
      <c r="V3250" s="33" t="s">
        <v>26571</v>
      </c>
      <c r="W3250" s="33" t="s">
        <v>94</v>
      </c>
      <c r="X3250" s="33">
        <v>2260</v>
      </c>
      <c r="Z3250" s="33" t="s">
        <v>42966</v>
      </c>
      <c r="AA3250" s="33">
        <v>4415</v>
      </c>
    </row>
    <row r="3251" spans="1:43" ht="12" customHeight="1" x14ac:dyDescent="0.15">
      <c r="A3251" s="33" t="s">
        <v>25313</v>
      </c>
      <c r="B3251" s="33">
        <v>50</v>
      </c>
      <c r="C3251" s="33" t="s">
        <v>14</v>
      </c>
      <c r="D3251" s="33" t="s">
        <v>31</v>
      </c>
      <c r="F3251" s="67">
        <v>42760</v>
      </c>
      <c r="G3251" s="33" t="s">
        <v>25314</v>
      </c>
      <c r="H3251" s="33" t="s">
        <v>25315</v>
      </c>
      <c r="I3251" s="33" t="s">
        <v>409</v>
      </c>
      <c r="J3251" s="33">
        <v>54615</v>
      </c>
      <c r="K3251" s="33" t="s">
        <v>404</v>
      </c>
      <c r="L3251" s="33" t="s">
        <v>8407</v>
      </c>
      <c r="M3251" s="33" t="s">
        <v>21</v>
      </c>
      <c r="N3251" s="33" t="s">
        <v>25316</v>
      </c>
      <c r="O3251" s="33" t="s">
        <v>372</v>
      </c>
      <c r="P3251" s="33" t="s">
        <v>30089</v>
      </c>
      <c r="Q3251" s="42" t="s">
        <v>25317</v>
      </c>
      <c r="R3251" s="33" t="s">
        <v>512</v>
      </c>
      <c r="S3251" s="33" t="s">
        <v>22</v>
      </c>
      <c r="T3251" s="36" t="s">
        <v>26781</v>
      </c>
      <c r="U3251" s="33" t="s">
        <v>26572</v>
      </c>
      <c r="V3251" s="33" t="s">
        <v>26573</v>
      </c>
      <c r="W3251" s="33" t="s">
        <v>94</v>
      </c>
      <c r="X3251" s="33">
        <v>2262</v>
      </c>
      <c r="Z3251" s="33" t="s">
        <v>42967</v>
      </c>
      <c r="AA3251" s="33">
        <v>4414</v>
      </c>
    </row>
    <row r="3252" spans="1:43" ht="12" customHeight="1" x14ac:dyDescent="0.15">
      <c r="A3252" s="33" t="s">
        <v>25503</v>
      </c>
      <c r="B3252" s="33">
        <v>54</v>
      </c>
      <c r="C3252" s="33" t="s">
        <v>14</v>
      </c>
      <c r="D3252" s="33" t="s">
        <v>79</v>
      </c>
      <c r="E3252" s="42" t="s">
        <v>25504</v>
      </c>
      <c r="F3252" s="67">
        <v>42760</v>
      </c>
      <c r="G3252" s="33" t="s">
        <v>25505</v>
      </c>
      <c r="H3252" s="33" t="s">
        <v>6081</v>
      </c>
      <c r="I3252" s="33" t="s">
        <v>621</v>
      </c>
      <c r="J3252" s="33">
        <v>38671</v>
      </c>
      <c r="K3252" s="33" t="s">
        <v>1107</v>
      </c>
      <c r="L3252" s="33" t="s">
        <v>22483</v>
      </c>
      <c r="M3252" s="33" t="s">
        <v>21</v>
      </c>
      <c r="N3252" s="33" t="s">
        <v>25506</v>
      </c>
      <c r="O3252" s="33" t="s">
        <v>372</v>
      </c>
      <c r="P3252" s="33" t="s">
        <v>30089</v>
      </c>
      <c r="Q3252" s="42" t="s">
        <v>25507</v>
      </c>
      <c r="R3252" s="33" t="s">
        <v>94</v>
      </c>
      <c r="S3252" s="33" t="s">
        <v>22</v>
      </c>
      <c r="T3252" s="36" t="s">
        <v>26781</v>
      </c>
      <c r="U3252" s="33" t="s">
        <v>26572</v>
      </c>
      <c r="V3252" s="33" t="s">
        <v>26573</v>
      </c>
      <c r="W3252" s="33" t="s">
        <v>94</v>
      </c>
      <c r="X3252" s="33">
        <v>2261</v>
      </c>
      <c r="Z3252" s="33" t="s">
        <v>42968</v>
      </c>
      <c r="AA3252" s="33">
        <v>4413</v>
      </c>
    </row>
    <row r="3253" spans="1:43" ht="12" customHeight="1" x14ac:dyDescent="0.15">
      <c r="A3253" s="33" t="s">
        <v>25184</v>
      </c>
      <c r="B3253" s="33">
        <v>27</v>
      </c>
      <c r="C3253" s="33" t="s">
        <v>14</v>
      </c>
      <c r="D3253" s="33" t="s">
        <v>42</v>
      </c>
      <c r="F3253" s="67">
        <v>42759</v>
      </c>
      <c r="G3253" s="33" t="s">
        <v>25185</v>
      </c>
      <c r="H3253" s="33" t="s">
        <v>631</v>
      </c>
      <c r="I3253" s="33" t="s">
        <v>39</v>
      </c>
      <c r="J3253" s="33">
        <v>93305</v>
      </c>
      <c r="K3253" s="33" t="s">
        <v>632</v>
      </c>
      <c r="L3253" s="33" t="s">
        <v>633</v>
      </c>
      <c r="M3253" s="33" t="s">
        <v>21</v>
      </c>
      <c r="N3253" s="33" t="s">
        <v>25186</v>
      </c>
      <c r="O3253" s="33" t="s">
        <v>372</v>
      </c>
      <c r="P3253" s="33" t="s">
        <v>30089</v>
      </c>
      <c r="Q3253" s="42" t="s">
        <v>25187</v>
      </c>
      <c r="R3253" s="33" t="s">
        <v>94</v>
      </c>
      <c r="S3253" s="33" t="s">
        <v>22</v>
      </c>
      <c r="T3253" s="36" t="s">
        <v>26781</v>
      </c>
      <c r="U3253" s="33" t="s">
        <v>26572</v>
      </c>
      <c r="V3253" s="33" t="s">
        <v>19228</v>
      </c>
      <c r="W3253" s="33" t="s">
        <v>94</v>
      </c>
      <c r="X3253" s="33">
        <v>2255</v>
      </c>
      <c r="Z3253" s="33" t="s">
        <v>42966</v>
      </c>
      <c r="AA3253" s="33">
        <v>4406</v>
      </c>
    </row>
    <row r="3254" spans="1:43" ht="12" customHeight="1" x14ac:dyDescent="0.15">
      <c r="A3254" s="33" t="s">
        <v>25452</v>
      </c>
      <c r="B3254" s="33">
        <v>18</v>
      </c>
      <c r="C3254" s="33" t="s">
        <v>14</v>
      </c>
      <c r="D3254" s="33" t="s">
        <v>42</v>
      </c>
      <c r="F3254" s="67">
        <v>42759</v>
      </c>
      <c r="G3254" s="33" t="s">
        <v>25453</v>
      </c>
      <c r="H3254" s="33" t="s">
        <v>1397</v>
      </c>
      <c r="I3254" s="33" t="s">
        <v>376</v>
      </c>
      <c r="J3254" s="33">
        <v>17602</v>
      </c>
      <c r="K3254" s="33" t="s">
        <v>1397</v>
      </c>
      <c r="L3254" s="33" t="s">
        <v>2121</v>
      </c>
      <c r="M3254" s="33" t="s">
        <v>4966</v>
      </c>
      <c r="N3254" s="33" t="s">
        <v>25454</v>
      </c>
      <c r="O3254" s="33" t="s">
        <v>372</v>
      </c>
      <c r="P3254" s="33" t="s">
        <v>94</v>
      </c>
      <c r="Q3254" s="42" t="s">
        <v>25455</v>
      </c>
      <c r="R3254" s="33" t="s">
        <v>23</v>
      </c>
      <c r="S3254" s="33" t="s">
        <v>22</v>
      </c>
      <c r="T3254" s="36" t="s">
        <v>26781</v>
      </c>
      <c r="U3254" s="33" t="s">
        <v>26572</v>
      </c>
      <c r="V3254" s="33" t="s">
        <v>26573</v>
      </c>
      <c r="W3254" s="33" t="s">
        <v>94</v>
      </c>
      <c r="X3254" s="33">
        <v>2258</v>
      </c>
      <c r="Z3254" s="33" t="s">
        <v>42968</v>
      </c>
      <c r="AA3254" s="33">
        <v>4408</v>
      </c>
      <c r="AQ3254" s="42"/>
    </row>
    <row r="3255" spans="1:43" ht="12" customHeight="1" x14ac:dyDescent="0.15">
      <c r="A3255" s="33" t="s">
        <v>25954</v>
      </c>
      <c r="B3255" s="33">
        <v>30</v>
      </c>
      <c r="C3255" s="33" t="s">
        <v>14</v>
      </c>
      <c r="D3255" s="33" t="s">
        <v>31</v>
      </c>
      <c r="E3255" s="42" t="s">
        <v>25955</v>
      </c>
      <c r="F3255" s="67">
        <v>42759</v>
      </c>
      <c r="G3255" s="33" t="s">
        <v>25956</v>
      </c>
      <c r="H3255" s="33" t="s">
        <v>2171</v>
      </c>
      <c r="I3255" s="33" t="s">
        <v>51</v>
      </c>
      <c r="J3255" s="33">
        <v>49341</v>
      </c>
      <c r="K3255" s="33" t="s">
        <v>2350</v>
      </c>
      <c r="L3255" s="33" t="s">
        <v>36633</v>
      </c>
      <c r="M3255" s="33" t="s">
        <v>21</v>
      </c>
      <c r="N3255" s="33" t="s">
        <v>25957</v>
      </c>
      <c r="O3255" s="33" t="s">
        <v>372</v>
      </c>
      <c r="P3255" s="33" t="s">
        <v>30089</v>
      </c>
      <c r="Q3255" s="42" t="s">
        <v>25958</v>
      </c>
      <c r="R3255" s="33" t="s">
        <v>512</v>
      </c>
      <c r="S3255" s="33" t="s">
        <v>12</v>
      </c>
      <c r="T3255" s="33" t="s">
        <v>29705</v>
      </c>
      <c r="U3255" s="33" t="s">
        <v>26572</v>
      </c>
      <c r="V3255" s="33" t="s">
        <v>26573</v>
      </c>
      <c r="W3255" s="33" t="s">
        <v>94</v>
      </c>
      <c r="X3255" s="33">
        <v>2257</v>
      </c>
      <c r="Z3255" s="33" t="s">
        <v>42968</v>
      </c>
      <c r="AA3255" s="33">
        <v>4411</v>
      </c>
    </row>
    <row r="3256" spans="1:43" ht="12" customHeight="1" x14ac:dyDescent="0.15">
      <c r="A3256" s="33" t="s">
        <v>26013</v>
      </c>
      <c r="B3256" s="33">
        <v>32</v>
      </c>
      <c r="C3256" s="33" t="s">
        <v>14</v>
      </c>
      <c r="D3256" s="33" t="s">
        <v>42</v>
      </c>
      <c r="E3256" s="42" t="s">
        <v>26014</v>
      </c>
      <c r="F3256" s="67">
        <v>42759</v>
      </c>
      <c r="G3256" s="33" t="s">
        <v>26138</v>
      </c>
      <c r="H3256" s="33" t="s">
        <v>26015</v>
      </c>
      <c r="I3256" s="33" t="s">
        <v>735</v>
      </c>
      <c r="J3256" s="33">
        <v>83634</v>
      </c>
      <c r="K3256" s="33" t="s">
        <v>3903</v>
      </c>
      <c r="L3256" s="33" t="s">
        <v>36632</v>
      </c>
      <c r="M3256" s="33" t="s">
        <v>21</v>
      </c>
      <c r="N3256" s="33" t="s">
        <v>26016</v>
      </c>
      <c r="O3256" s="33" t="s">
        <v>372</v>
      </c>
      <c r="P3256" s="33" t="s">
        <v>30089</v>
      </c>
      <c r="Q3256" s="42" t="s">
        <v>26017</v>
      </c>
      <c r="R3256" s="33" t="s">
        <v>94</v>
      </c>
      <c r="S3256" s="33" t="s">
        <v>22</v>
      </c>
      <c r="T3256" s="36" t="s">
        <v>26781</v>
      </c>
      <c r="U3256" s="33" t="s">
        <v>26572</v>
      </c>
      <c r="V3256" s="33" t="s">
        <v>26571</v>
      </c>
      <c r="W3256" s="33" t="s">
        <v>94</v>
      </c>
      <c r="X3256" s="33">
        <v>2259</v>
      </c>
      <c r="Z3256" s="33" t="s">
        <v>42967</v>
      </c>
      <c r="AA3256" s="33">
        <v>4407</v>
      </c>
    </row>
    <row r="3257" spans="1:43" ht="12" customHeight="1" x14ac:dyDescent="0.15">
      <c r="A3257" s="33" t="s">
        <v>25469</v>
      </c>
      <c r="B3257" s="33">
        <v>34</v>
      </c>
      <c r="C3257" s="33" t="s">
        <v>14</v>
      </c>
      <c r="D3257" s="33" t="s">
        <v>42</v>
      </c>
      <c r="E3257" s="42" t="s">
        <v>25470</v>
      </c>
      <c r="F3257" s="67">
        <v>42759</v>
      </c>
      <c r="G3257" s="33" t="s">
        <v>25471</v>
      </c>
      <c r="H3257" s="33" t="s">
        <v>25472</v>
      </c>
      <c r="I3257" s="33" t="s">
        <v>39</v>
      </c>
      <c r="J3257" s="33">
        <v>93422</v>
      </c>
      <c r="K3257" s="33" t="s">
        <v>25473</v>
      </c>
      <c r="L3257" s="33" t="s">
        <v>25474</v>
      </c>
      <c r="M3257" s="33" t="s">
        <v>21</v>
      </c>
      <c r="N3257" s="33" t="s">
        <v>25475</v>
      </c>
      <c r="O3257" s="33" t="s">
        <v>372</v>
      </c>
      <c r="P3257" s="33" t="s">
        <v>30089</v>
      </c>
      <c r="Q3257" s="42" t="s">
        <v>25476</v>
      </c>
      <c r="R3257" s="33" t="s">
        <v>94</v>
      </c>
      <c r="S3257" s="33" t="s">
        <v>22</v>
      </c>
      <c r="T3257" s="36" t="s">
        <v>26781</v>
      </c>
      <c r="U3257" s="33" t="s">
        <v>26570</v>
      </c>
      <c r="V3257" s="33" t="s">
        <v>26573</v>
      </c>
      <c r="W3257" s="33" t="s">
        <v>94</v>
      </c>
      <c r="X3257" s="33">
        <v>2246</v>
      </c>
      <c r="Z3257" s="33" t="s">
        <v>42968</v>
      </c>
      <c r="AA3257" s="33">
        <v>4404</v>
      </c>
      <c r="AQ3257" s="42"/>
    </row>
    <row r="3258" spans="1:43" ht="12" customHeight="1" x14ac:dyDescent="0.15">
      <c r="A3258" s="33" t="s">
        <v>25855</v>
      </c>
      <c r="B3258" s="33">
        <v>22</v>
      </c>
      <c r="C3258" s="33" t="s">
        <v>14</v>
      </c>
      <c r="D3258" s="33" t="s">
        <v>31</v>
      </c>
      <c r="E3258" s="42" t="s">
        <v>25856</v>
      </c>
      <c r="F3258" s="67">
        <v>42759</v>
      </c>
      <c r="G3258" s="33" t="s">
        <v>25857</v>
      </c>
      <c r="H3258" s="33" t="s">
        <v>401</v>
      </c>
      <c r="I3258" s="33" t="s">
        <v>402</v>
      </c>
      <c r="J3258" s="33">
        <v>64050</v>
      </c>
      <c r="K3258" s="33" t="s">
        <v>404</v>
      </c>
      <c r="L3258" s="33" t="s">
        <v>1321</v>
      </c>
      <c r="M3258" s="33" t="s">
        <v>21</v>
      </c>
      <c r="N3258" s="33" t="s">
        <v>25858</v>
      </c>
      <c r="O3258" s="33" t="s">
        <v>372</v>
      </c>
      <c r="P3258" s="33" t="s">
        <v>30089</v>
      </c>
      <c r="Q3258" s="42" t="s">
        <v>25859</v>
      </c>
      <c r="R3258" s="33" t="s">
        <v>94</v>
      </c>
      <c r="S3258" s="33" t="s">
        <v>12</v>
      </c>
      <c r="T3258" s="33" t="s">
        <v>29705</v>
      </c>
      <c r="U3258" s="33" t="s">
        <v>26570</v>
      </c>
      <c r="V3258" s="33" t="s">
        <v>26571</v>
      </c>
      <c r="W3258" s="33" t="s">
        <v>94</v>
      </c>
      <c r="X3258" s="33">
        <v>2247</v>
      </c>
      <c r="Z3258" s="33" t="s">
        <v>42968</v>
      </c>
      <c r="AA3258" s="33">
        <v>4410</v>
      </c>
      <c r="AQ3258" s="42"/>
    </row>
    <row r="3259" spans="1:43" ht="12" customHeight="1" x14ac:dyDescent="0.15">
      <c r="A3259" s="33" t="s">
        <v>25403</v>
      </c>
      <c r="B3259" s="33">
        <v>29</v>
      </c>
      <c r="C3259" s="33" t="s">
        <v>14</v>
      </c>
      <c r="D3259" s="33" t="s">
        <v>42</v>
      </c>
      <c r="E3259" s="42" t="s">
        <v>25404</v>
      </c>
      <c r="F3259" s="67">
        <v>42759</v>
      </c>
      <c r="G3259" s="33" t="s">
        <v>25405</v>
      </c>
      <c r="H3259" s="33" t="s">
        <v>911</v>
      </c>
      <c r="I3259" s="33" t="s">
        <v>178</v>
      </c>
      <c r="J3259" s="33">
        <v>88001</v>
      </c>
      <c r="K3259" s="33" t="s">
        <v>912</v>
      </c>
      <c r="L3259" s="33" t="s">
        <v>6512</v>
      </c>
      <c r="M3259" s="33" t="s">
        <v>21</v>
      </c>
      <c r="N3259" s="33" t="s">
        <v>25406</v>
      </c>
      <c r="O3259" s="33" t="s">
        <v>372</v>
      </c>
      <c r="P3259" s="33" t="s">
        <v>30089</v>
      </c>
      <c r="Q3259" s="42" t="s">
        <v>25407</v>
      </c>
      <c r="R3259" s="33" t="s">
        <v>94</v>
      </c>
      <c r="S3259" s="33" t="s">
        <v>22</v>
      </c>
      <c r="T3259" s="36" t="s">
        <v>26774</v>
      </c>
      <c r="U3259" s="33" t="s">
        <v>26572</v>
      </c>
      <c r="V3259" s="33" t="s">
        <v>26574</v>
      </c>
      <c r="W3259" s="33" t="s">
        <v>94</v>
      </c>
      <c r="X3259" s="33">
        <v>2256</v>
      </c>
      <c r="Z3259" s="33" t="s">
        <v>42968</v>
      </c>
      <c r="AA3259" s="33">
        <v>4409</v>
      </c>
    </row>
    <row r="3260" spans="1:43" ht="12" customHeight="1" x14ac:dyDescent="0.15">
      <c r="A3260" s="33" t="s">
        <v>25795</v>
      </c>
      <c r="B3260" s="33">
        <v>45</v>
      </c>
      <c r="C3260" s="33" t="s">
        <v>14</v>
      </c>
      <c r="D3260" s="33" t="s">
        <v>79</v>
      </c>
      <c r="E3260" s="42" t="s">
        <v>25796</v>
      </c>
      <c r="F3260" s="67">
        <v>42759</v>
      </c>
      <c r="G3260" s="33" t="s">
        <v>25797</v>
      </c>
      <c r="H3260" s="33" t="s">
        <v>25798</v>
      </c>
      <c r="I3260" s="33" t="s">
        <v>225</v>
      </c>
      <c r="J3260" s="33">
        <v>23970</v>
      </c>
      <c r="K3260" s="33" t="s">
        <v>3857</v>
      </c>
      <c r="L3260" s="33" t="s">
        <v>32210</v>
      </c>
      <c r="M3260" s="33" t="s">
        <v>363</v>
      </c>
      <c r="N3260" s="33" t="s">
        <v>25799</v>
      </c>
      <c r="O3260" s="33" t="s">
        <v>372</v>
      </c>
      <c r="P3260" s="33" t="s">
        <v>30089</v>
      </c>
      <c r="Q3260" s="42" t="s">
        <v>25800</v>
      </c>
      <c r="R3260" s="33" t="s">
        <v>512</v>
      </c>
      <c r="S3260" s="33" t="s">
        <v>12</v>
      </c>
      <c r="T3260" s="33" t="s">
        <v>29705</v>
      </c>
      <c r="U3260" s="33" t="s">
        <v>26570</v>
      </c>
      <c r="V3260" s="33" t="s">
        <v>26573</v>
      </c>
      <c r="Z3260" s="33" t="s">
        <v>42967</v>
      </c>
      <c r="AA3260" s="33">
        <v>4412</v>
      </c>
    </row>
    <row r="3261" spans="1:43" ht="12" customHeight="1" x14ac:dyDescent="0.15">
      <c r="A3261" s="33" t="s">
        <v>25191</v>
      </c>
      <c r="B3261" s="33">
        <v>26</v>
      </c>
      <c r="C3261" s="33" t="s">
        <v>14</v>
      </c>
      <c r="D3261" s="33" t="s">
        <v>79</v>
      </c>
      <c r="E3261" s="42" t="s">
        <v>25192</v>
      </c>
      <c r="F3261" s="67">
        <v>42759</v>
      </c>
      <c r="G3261" s="33" t="s">
        <v>26079</v>
      </c>
      <c r="H3261" s="33" t="s">
        <v>979</v>
      </c>
      <c r="I3261" s="33" t="s">
        <v>19</v>
      </c>
      <c r="J3261" s="33">
        <v>70127</v>
      </c>
      <c r="K3261" s="33" t="s">
        <v>2393</v>
      </c>
      <c r="L3261" s="33" t="s">
        <v>980</v>
      </c>
      <c r="M3261" s="33" t="s">
        <v>21</v>
      </c>
      <c r="N3261" s="33" t="s">
        <v>25193</v>
      </c>
      <c r="O3261" s="33" t="s">
        <v>372</v>
      </c>
      <c r="P3261" s="33" t="s">
        <v>30089</v>
      </c>
      <c r="Q3261" s="42" t="s">
        <v>25194</v>
      </c>
      <c r="R3261" s="33" t="s">
        <v>94</v>
      </c>
      <c r="S3261" s="33" t="s">
        <v>22</v>
      </c>
      <c r="T3261" s="36" t="s">
        <v>26781</v>
      </c>
      <c r="U3261" s="33" t="s">
        <v>26572</v>
      </c>
      <c r="V3261" s="33" t="s">
        <v>26571</v>
      </c>
      <c r="W3261" s="33" t="s">
        <v>94</v>
      </c>
      <c r="X3261" s="33">
        <v>2254</v>
      </c>
      <c r="Z3261" s="33" t="s">
        <v>42968</v>
      </c>
      <c r="AA3261" s="33">
        <v>4405</v>
      </c>
    </row>
    <row r="3262" spans="1:43" ht="12" customHeight="1" x14ac:dyDescent="0.15">
      <c r="A3262" s="33" t="s">
        <v>25180</v>
      </c>
      <c r="B3262" s="33">
        <v>21</v>
      </c>
      <c r="C3262" s="33" t="s">
        <v>14</v>
      </c>
      <c r="D3262" s="33" t="s">
        <v>42</v>
      </c>
      <c r="E3262" s="42" t="s">
        <v>25181</v>
      </c>
      <c r="F3262" s="67">
        <v>42758</v>
      </c>
      <c r="G3262" s="33" t="s">
        <v>26077</v>
      </c>
      <c r="H3262" s="33" t="s">
        <v>3143</v>
      </c>
      <c r="I3262" s="33" t="s">
        <v>39</v>
      </c>
      <c r="J3262" s="33">
        <v>94590</v>
      </c>
      <c r="K3262" s="33" t="s">
        <v>3145</v>
      </c>
      <c r="L3262" s="33" t="s">
        <v>3146</v>
      </c>
      <c r="M3262" s="33" t="s">
        <v>21</v>
      </c>
      <c r="N3262" s="33" t="s">
        <v>25182</v>
      </c>
      <c r="O3262" s="33" t="s">
        <v>372</v>
      </c>
      <c r="P3262" s="33" t="s">
        <v>30089</v>
      </c>
      <c r="Q3262" s="42" t="s">
        <v>25183</v>
      </c>
      <c r="R3262" s="33" t="s">
        <v>94</v>
      </c>
      <c r="S3262" s="33" t="s">
        <v>22</v>
      </c>
      <c r="T3262" s="36" t="s">
        <v>26774</v>
      </c>
      <c r="U3262" s="33" t="s">
        <v>26572</v>
      </c>
      <c r="V3262" s="33" t="s">
        <v>26573</v>
      </c>
      <c r="W3262" s="33" t="s">
        <v>512</v>
      </c>
      <c r="X3262" s="33">
        <v>2235</v>
      </c>
      <c r="Z3262" s="33" t="s">
        <v>42966</v>
      </c>
      <c r="AA3262" s="33">
        <v>4400</v>
      </c>
    </row>
    <row r="3263" spans="1:43" ht="12" customHeight="1" x14ac:dyDescent="0.15">
      <c r="A3263" s="33" t="s">
        <v>25206</v>
      </c>
      <c r="B3263" s="33">
        <v>60</v>
      </c>
      <c r="C3263" s="33" t="s">
        <v>14</v>
      </c>
      <c r="D3263" s="33" t="s">
        <v>31</v>
      </c>
      <c r="E3263" s="33" t="s">
        <v>26147</v>
      </c>
      <c r="F3263" s="67">
        <v>42758</v>
      </c>
      <c r="G3263" s="33" t="s">
        <v>26080</v>
      </c>
      <c r="H3263" s="33" t="s">
        <v>205</v>
      </c>
      <c r="I3263" s="33" t="s">
        <v>206</v>
      </c>
      <c r="J3263" s="33">
        <v>19806</v>
      </c>
      <c r="K3263" s="33" t="s">
        <v>3496</v>
      </c>
      <c r="L3263" s="33" t="s">
        <v>207</v>
      </c>
      <c r="M3263" s="33" t="s">
        <v>21</v>
      </c>
      <c r="N3263" s="33" t="s">
        <v>25207</v>
      </c>
      <c r="O3263" s="33" t="s">
        <v>372</v>
      </c>
      <c r="P3263" s="33" t="s">
        <v>30089</v>
      </c>
      <c r="Q3263" s="42" t="s">
        <v>25208</v>
      </c>
      <c r="R3263" s="33" t="s">
        <v>23</v>
      </c>
      <c r="S3263" s="33" t="s">
        <v>22</v>
      </c>
      <c r="T3263" s="36" t="s">
        <v>26781</v>
      </c>
      <c r="U3263" s="33" t="s">
        <v>26570</v>
      </c>
      <c r="V3263" s="33" t="s">
        <v>26573</v>
      </c>
      <c r="W3263" s="33" t="s">
        <v>94</v>
      </c>
      <c r="X3263" s="33">
        <v>2251</v>
      </c>
      <c r="Z3263" s="33" t="s">
        <v>42966</v>
      </c>
      <c r="AA3263" s="33">
        <v>4399</v>
      </c>
    </row>
    <row r="3264" spans="1:43" ht="12" customHeight="1" x14ac:dyDescent="0.15">
      <c r="A3264" s="33" t="s">
        <v>25761</v>
      </c>
      <c r="B3264" s="33">
        <v>27</v>
      </c>
      <c r="C3264" s="33" t="s">
        <v>14</v>
      </c>
      <c r="D3264" s="33" t="s">
        <v>31</v>
      </c>
      <c r="E3264" s="42" t="s">
        <v>25762</v>
      </c>
      <c r="F3264" s="67">
        <v>42758</v>
      </c>
      <c r="G3264" s="33" t="s">
        <v>25763</v>
      </c>
      <c r="H3264" s="33" t="s">
        <v>3846</v>
      </c>
      <c r="I3264" s="33" t="s">
        <v>38</v>
      </c>
      <c r="J3264" s="33">
        <v>62702</v>
      </c>
      <c r="K3264" s="33" t="s">
        <v>25764</v>
      </c>
      <c r="L3264" s="33" t="s">
        <v>3849</v>
      </c>
      <c r="M3264" s="33" t="s">
        <v>21</v>
      </c>
      <c r="N3264" s="33" t="s">
        <v>25765</v>
      </c>
      <c r="O3264" s="33" t="s">
        <v>372</v>
      </c>
      <c r="P3264" s="33" t="s">
        <v>30089</v>
      </c>
      <c r="Q3264" s="42" t="s">
        <v>25766</v>
      </c>
      <c r="R3264" s="33" t="s">
        <v>512</v>
      </c>
      <c r="S3264" s="33" t="s">
        <v>12</v>
      </c>
      <c r="T3264" s="33" t="s">
        <v>29705</v>
      </c>
      <c r="U3264" s="33" t="s">
        <v>26572</v>
      </c>
      <c r="V3264" s="33" t="s">
        <v>26573</v>
      </c>
      <c r="W3264" s="33" t="s">
        <v>512</v>
      </c>
      <c r="X3264" s="33">
        <v>2249</v>
      </c>
      <c r="Z3264" s="33" t="s">
        <v>42968</v>
      </c>
      <c r="AA3264" s="33">
        <v>4402</v>
      </c>
    </row>
    <row r="3265" spans="1:46" ht="12" customHeight="1" x14ac:dyDescent="0.15">
      <c r="A3265" s="33" t="s">
        <v>25801</v>
      </c>
      <c r="B3265" s="33">
        <v>57</v>
      </c>
      <c r="C3265" s="33" t="s">
        <v>14</v>
      </c>
      <c r="D3265" s="33" t="s">
        <v>31</v>
      </c>
      <c r="E3265" s="42" t="s">
        <v>25802</v>
      </c>
      <c r="F3265" s="67">
        <v>42758</v>
      </c>
      <c r="G3265" s="33" t="s">
        <v>26124</v>
      </c>
      <c r="H3265" s="33" t="s">
        <v>661</v>
      </c>
      <c r="I3265" s="33" t="s">
        <v>402</v>
      </c>
      <c r="J3265" s="33">
        <v>63129</v>
      </c>
      <c r="K3265" s="33" t="s">
        <v>661</v>
      </c>
      <c r="L3265" s="33" t="s">
        <v>6535</v>
      </c>
      <c r="M3265" s="33" t="s">
        <v>363</v>
      </c>
      <c r="N3265" s="33" t="s">
        <v>25803</v>
      </c>
      <c r="O3265" s="33" t="s">
        <v>372</v>
      </c>
      <c r="P3265" s="33" t="s">
        <v>30089</v>
      </c>
      <c r="Q3265" s="42" t="s">
        <v>25804</v>
      </c>
      <c r="R3265" s="33" t="s">
        <v>904</v>
      </c>
      <c r="S3265" s="33" t="s">
        <v>12</v>
      </c>
      <c r="T3265" s="33" t="s">
        <v>29705</v>
      </c>
      <c r="U3265" s="33" t="s">
        <v>26572</v>
      </c>
      <c r="V3265" s="33" t="s">
        <v>26573</v>
      </c>
      <c r="Z3265" s="33" t="s">
        <v>42968</v>
      </c>
      <c r="AA3265" s="33">
        <v>4403</v>
      </c>
    </row>
    <row r="3266" spans="1:46" ht="12" customHeight="1" x14ac:dyDescent="0.15">
      <c r="A3266" s="33" t="s">
        <v>25335</v>
      </c>
      <c r="B3266" s="33">
        <v>52</v>
      </c>
      <c r="C3266" s="33" t="s">
        <v>14</v>
      </c>
      <c r="D3266" s="33" t="s">
        <v>31</v>
      </c>
      <c r="F3266" s="67">
        <v>42758</v>
      </c>
      <c r="G3266" s="33" t="s">
        <v>25336</v>
      </c>
      <c r="H3266" s="33" t="s">
        <v>25337</v>
      </c>
      <c r="I3266" s="33" t="s">
        <v>160</v>
      </c>
      <c r="J3266" s="33">
        <v>30415</v>
      </c>
      <c r="K3266" s="33" t="s">
        <v>12113</v>
      </c>
      <c r="L3266" s="33" t="s">
        <v>25338</v>
      </c>
      <c r="M3266" s="33" t="s">
        <v>21</v>
      </c>
      <c r="N3266" s="33" t="s">
        <v>25339</v>
      </c>
      <c r="O3266" s="33" t="s">
        <v>372</v>
      </c>
      <c r="P3266" s="33" t="s">
        <v>30089</v>
      </c>
      <c r="Q3266" s="42" t="s">
        <v>25340</v>
      </c>
      <c r="R3266" s="33" t="s">
        <v>94</v>
      </c>
      <c r="S3266" s="33" t="s">
        <v>22</v>
      </c>
      <c r="T3266" s="36" t="s">
        <v>26781</v>
      </c>
      <c r="U3266" s="33" t="s">
        <v>26572</v>
      </c>
      <c r="V3266" s="33" t="s">
        <v>26574</v>
      </c>
      <c r="W3266" s="33" t="s">
        <v>94</v>
      </c>
      <c r="X3266" s="33">
        <v>2248</v>
      </c>
      <c r="Z3266" s="33" t="s">
        <v>42967</v>
      </c>
      <c r="AA3266" s="33">
        <v>4398</v>
      </c>
      <c r="AQ3266" s="42"/>
    </row>
    <row r="3267" spans="1:46" ht="12" customHeight="1" x14ac:dyDescent="0.15">
      <c r="A3267" s="33" t="s">
        <v>25188</v>
      </c>
      <c r="B3267" s="33">
        <v>25</v>
      </c>
      <c r="C3267" s="33" t="s">
        <v>14</v>
      </c>
      <c r="D3267" s="33" t="s">
        <v>79</v>
      </c>
      <c r="F3267" s="67">
        <v>42758</v>
      </c>
      <c r="G3267" s="33" t="s">
        <v>26078</v>
      </c>
      <c r="H3267" s="33" t="s">
        <v>3152</v>
      </c>
      <c r="I3267" s="33" t="s">
        <v>19</v>
      </c>
      <c r="J3267" s="33">
        <v>70062</v>
      </c>
      <c r="K3267" s="33" t="s">
        <v>1659</v>
      </c>
      <c r="L3267" s="33" t="s">
        <v>10874</v>
      </c>
      <c r="M3267" s="33" t="s">
        <v>4966</v>
      </c>
      <c r="N3267" s="33" t="s">
        <v>25189</v>
      </c>
      <c r="O3267" s="33" t="s">
        <v>372</v>
      </c>
      <c r="P3267" s="33" t="s">
        <v>30089</v>
      </c>
      <c r="Q3267" s="42" t="s">
        <v>25190</v>
      </c>
      <c r="R3267" s="33" t="s">
        <v>512</v>
      </c>
      <c r="S3267" s="33" t="s">
        <v>22</v>
      </c>
      <c r="T3267" s="36" t="s">
        <v>26774</v>
      </c>
      <c r="U3267" s="33" t="s">
        <v>26570</v>
      </c>
      <c r="V3267" s="33" t="s">
        <v>26573</v>
      </c>
      <c r="W3267" s="33" t="s">
        <v>94</v>
      </c>
      <c r="X3267" s="33">
        <v>2253</v>
      </c>
      <c r="Z3267" s="33" t="s">
        <v>42968</v>
      </c>
      <c r="AA3267" s="33">
        <v>4401</v>
      </c>
    </row>
    <row r="3268" spans="1:46" ht="12" customHeight="1" x14ac:dyDescent="0.15">
      <c r="A3268" s="33" t="s">
        <v>25244</v>
      </c>
      <c r="B3268" s="33">
        <v>57</v>
      </c>
      <c r="C3268" s="33" t="s">
        <v>14</v>
      </c>
      <c r="D3268" s="33" t="s">
        <v>79</v>
      </c>
      <c r="F3268" s="67">
        <v>42757</v>
      </c>
      <c r="G3268" s="33" t="s">
        <v>25245</v>
      </c>
      <c r="H3268" s="33" t="s">
        <v>510</v>
      </c>
      <c r="I3268" s="33" t="s">
        <v>376</v>
      </c>
      <c r="J3268" s="33">
        <v>15206</v>
      </c>
      <c r="K3268" s="33" t="s">
        <v>1530</v>
      </c>
      <c r="L3268" s="33" t="s">
        <v>32183</v>
      </c>
      <c r="M3268" s="33" t="s">
        <v>21</v>
      </c>
      <c r="N3268" s="33" t="s">
        <v>36634</v>
      </c>
      <c r="O3268" s="33" t="s">
        <v>372</v>
      </c>
      <c r="P3268" s="33" t="s">
        <v>30089</v>
      </c>
      <c r="Q3268" s="42" t="s">
        <v>25246</v>
      </c>
      <c r="R3268" s="33" t="s">
        <v>94</v>
      </c>
      <c r="S3268" s="33" t="s">
        <v>22</v>
      </c>
      <c r="T3268" s="36" t="s">
        <v>26781</v>
      </c>
      <c r="U3268" s="33" t="s">
        <v>26572</v>
      </c>
      <c r="V3268" s="33" t="s">
        <v>26573</v>
      </c>
      <c r="W3268" s="33" t="s">
        <v>94</v>
      </c>
      <c r="X3268" s="33">
        <v>2234</v>
      </c>
      <c r="Z3268" s="33" t="s">
        <v>42966</v>
      </c>
      <c r="AA3268" s="33">
        <v>4396</v>
      </c>
    </row>
    <row r="3269" spans="1:46" ht="12" customHeight="1" x14ac:dyDescent="0.15">
      <c r="A3269" s="33" t="s">
        <v>25445</v>
      </c>
      <c r="B3269" s="33">
        <v>33</v>
      </c>
      <c r="C3269" s="33" t="s">
        <v>14</v>
      </c>
      <c r="D3269" s="33" t="s">
        <v>42</v>
      </c>
      <c r="F3269" s="67">
        <v>42757</v>
      </c>
      <c r="G3269" s="33" t="s">
        <v>26100</v>
      </c>
      <c r="H3269" s="33" t="s">
        <v>5239</v>
      </c>
      <c r="I3269" s="33" t="s">
        <v>39</v>
      </c>
      <c r="J3269" s="33">
        <v>90810</v>
      </c>
      <c r="K3269" s="33" t="s">
        <v>92</v>
      </c>
      <c r="L3269" s="33" t="s">
        <v>452</v>
      </c>
      <c r="M3269" s="33" t="s">
        <v>21</v>
      </c>
      <c r="N3269" s="33" t="s">
        <v>25446</v>
      </c>
      <c r="O3269" s="33" t="s">
        <v>372</v>
      </c>
      <c r="P3269" s="33" t="s">
        <v>30089</v>
      </c>
      <c r="Q3269" s="42" t="s">
        <v>25447</v>
      </c>
      <c r="R3269" s="33" t="s">
        <v>94</v>
      </c>
      <c r="S3269" s="33" t="s">
        <v>22</v>
      </c>
      <c r="T3269" s="36" t="s">
        <v>26781</v>
      </c>
      <c r="U3269" s="33" t="s">
        <v>26570</v>
      </c>
      <c r="V3269" s="33" t="s">
        <v>26573</v>
      </c>
      <c r="W3269" s="33" t="s">
        <v>94</v>
      </c>
      <c r="X3269" s="33">
        <v>2238</v>
      </c>
      <c r="Z3269" s="33" t="s">
        <v>42968</v>
      </c>
      <c r="AA3269" s="33">
        <v>4397</v>
      </c>
    </row>
    <row r="3270" spans="1:46" ht="12" customHeight="1" x14ac:dyDescent="0.15">
      <c r="A3270" s="33" t="s">
        <v>25439</v>
      </c>
      <c r="B3270" s="33">
        <v>57</v>
      </c>
      <c r="C3270" s="33" t="s">
        <v>14</v>
      </c>
      <c r="D3270" s="33" t="s">
        <v>31</v>
      </c>
      <c r="E3270" s="33" t="s">
        <v>26152</v>
      </c>
      <c r="F3270" s="67">
        <v>42757</v>
      </c>
      <c r="G3270" s="33" t="s">
        <v>25440</v>
      </c>
      <c r="H3270" s="33" t="s">
        <v>25441</v>
      </c>
      <c r="I3270" s="33" t="s">
        <v>4034</v>
      </c>
      <c r="J3270" s="33">
        <v>4572</v>
      </c>
      <c r="K3270" s="33" t="s">
        <v>2159</v>
      </c>
      <c r="L3270" s="33" t="s">
        <v>25442</v>
      </c>
      <c r="M3270" s="33" t="s">
        <v>21</v>
      </c>
      <c r="N3270" s="33" t="s">
        <v>25443</v>
      </c>
      <c r="O3270" s="33" t="s">
        <v>372</v>
      </c>
      <c r="P3270" s="33" t="s">
        <v>30089</v>
      </c>
      <c r="Q3270" s="42" t="s">
        <v>25444</v>
      </c>
      <c r="R3270" s="33" t="s">
        <v>94</v>
      </c>
      <c r="S3270" s="33" t="s">
        <v>22</v>
      </c>
      <c r="T3270" s="36" t="s">
        <v>26781</v>
      </c>
      <c r="U3270" s="33" t="s">
        <v>26572</v>
      </c>
      <c r="V3270" s="33" t="s">
        <v>26573</v>
      </c>
      <c r="W3270" s="33" t="s">
        <v>94</v>
      </c>
      <c r="X3270" s="33">
        <v>2233</v>
      </c>
      <c r="Z3270" s="33" t="s">
        <v>42967</v>
      </c>
      <c r="AA3270" s="33">
        <v>4395</v>
      </c>
    </row>
    <row r="3271" spans="1:46" ht="12" customHeight="1" x14ac:dyDescent="0.15">
      <c r="A3271" s="33" t="s">
        <v>25602</v>
      </c>
      <c r="B3271" s="33">
        <v>57</v>
      </c>
      <c r="C3271" s="33" t="s">
        <v>14</v>
      </c>
      <c r="D3271" s="33" t="s">
        <v>31</v>
      </c>
      <c r="E3271" s="33" t="s">
        <v>26154</v>
      </c>
      <c r="F3271" s="67">
        <v>42756</v>
      </c>
      <c r="G3271" s="33" t="s">
        <v>25603</v>
      </c>
      <c r="H3271" s="33" t="s">
        <v>5991</v>
      </c>
      <c r="I3271" s="33" t="s">
        <v>250</v>
      </c>
      <c r="J3271" s="33">
        <v>89019</v>
      </c>
      <c r="K3271" s="33" t="s">
        <v>527</v>
      </c>
      <c r="L3271" s="33" t="s">
        <v>528</v>
      </c>
      <c r="M3271" s="33" t="s">
        <v>4966</v>
      </c>
      <c r="N3271" s="33" t="s">
        <v>25604</v>
      </c>
      <c r="O3271" s="33" t="s">
        <v>372</v>
      </c>
      <c r="P3271" s="33" t="s">
        <v>30089</v>
      </c>
      <c r="Q3271" s="42" t="s">
        <v>25605</v>
      </c>
      <c r="R3271" s="33" t="s">
        <v>512</v>
      </c>
      <c r="S3271" s="33" t="s">
        <v>22</v>
      </c>
      <c r="T3271" s="36" t="s">
        <v>26774</v>
      </c>
      <c r="U3271" s="33" t="s">
        <v>26572</v>
      </c>
      <c r="V3271" s="33" t="s">
        <v>26573</v>
      </c>
      <c r="W3271" s="33" t="s">
        <v>94</v>
      </c>
      <c r="X3271" s="33">
        <v>2239</v>
      </c>
      <c r="Z3271" s="33" t="s">
        <v>42967</v>
      </c>
      <c r="AA3271" s="33">
        <v>4394</v>
      </c>
    </row>
    <row r="3272" spans="1:46" ht="12" customHeight="1" x14ac:dyDescent="0.15">
      <c r="A3272" s="33" t="s">
        <v>25628</v>
      </c>
      <c r="B3272" s="33">
        <v>44</v>
      </c>
      <c r="C3272" s="33" t="s">
        <v>14</v>
      </c>
      <c r="D3272" s="33" t="s">
        <v>79</v>
      </c>
      <c r="E3272" s="42" t="s">
        <v>25629</v>
      </c>
      <c r="F3272" s="67">
        <v>42756</v>
      </c>
      <c r="G3272" s="33" t="s">
        <v>25630</v>
      </c>
      <c r="H3272" s="33" t="s">
        <v>27</v>
      </c>
      <c r="I3272" s="33" t="s">
        <v>621</v>
      </c>
      <c r="J3272" s="33">
        <v>38701</v>
      </c>
      <c r="K3272" s="33" t="s">
        <v>107</v>
      </c>
      <c r="L3272" s="33" t="s">
        <v>771</v>
      </c>
      <c r="M3272" s="33" t="s">
        <v>21</v>
      </c>
      <c r="N3272" s="33" t="s">
        <v>25631</v>
      </c>
      <c r="O3272" s="33" t="s">
        <v>372</v>
      </c>
      <c r="P3272" s="33" t="s">
        <v>30089</v>
      </c>
      <c r="Q3272" s="42" t="s">
        <v>25632</v>
      </c>
      <c r="R3272" s="33" t="s">
        <v>94</v>
      </c>
      <c r="S3272" s="33" t="s">
        <v>22</v>
      </c>
      <c r="T3272" s="36" t="s">
        <v>26781</v>
      </c>
      <c r="U3272" s="33" t="s">
        <v>26572</v>
      </c>
      <c r="V3272" s="33" t="s">
        <v>26573</v>
      </c>
      <c r="W3272" s="33" t="s">
        <v>94</v>
      </c>
      <c r="X3272" s="33">
        <v>2237</v>
      </c>
      <c r="Z3272" s="33" t="s">
        <v>42968</v>
      </c>
      <c r="AA3272" s="33">
        <v>4393</v>
      </c>
    </row>
    <row r="3273" spans="1:46" ht="12" customHeight="1" x14ac:dyDescent="0.15">
      <c r="A3273" s="33" t="s">
        <v>25963</v>
      </c>
      <c r="B3273" s="33">
        <v>20</v>
      </c>
      <c r="C3273" s="33" t="s">
        <v>14</v>
      </c>
      <c r="D3273" s="33" t="s">
        <v>79</v>
      </c>
      <c r="E3273" s="42" t="s">
        <v>25964</v>
      </c>
      <c r="F3273" s="67">
        <v>42755</v>
      </c>
      <c r="G3273" s="33" t="s">
        <v>26132</v>
      </c>
      <c r="H3273" s="33" t="s">
        <v>81</v>
      </c>
      <c r="I3273" s="33" t="s">
        <v>38</v>
      </c>
      <c r="J3273" s="33">
        <v>60628</v>
      </c>
      <c r="K3273" s="33" t="s">
        <v>82</v>
      </c>
      <c r="L3273" s="33" t="s">
        <v>25965</v>
      </c>
      <c r="M3273" s="33" t="s">
        <v>21</v>
      </c>
      <c r="N3273" s="33" t="s">
        <v>25966</v>
      </c>
      <c r="O3273" s="33" t="s">
        <v>372</v>
      </c>
      <c r="P3273" s="33" t="s">
        <v>30089</v>
      </c>
      <c r="Q3273" s="42" t="s">
        <v>25967</v>
      </c>
      <c r="R3273" s="33" t="s">
        <v>94</v>
      </c>
      <c r="S3273" s="33" t="s">
        <v>22</v>
      </c>
      <c r="T3273" s="33" t="s">
        <v>26781</v>
      </c>
      <c r="U3273" s="33" t="s">
        <v>26572</v>
      </c>
      <c r="V3273" s="33" t="s">
        <v>26573</v>
      </c>
      <c r="Y3273" s="33" t="s">
        <v>42476</v>
      </c>
      <c r="Z3273" s="33" t="s">
        <v>42966</v>
      </c>
      <c r="AA3273" s="33">
        <v>4392</v>
      </c>
    </row>
    <row r="3274" spans="1:46" ht="12" customHeight="1" x14ac:dyDescent="0.15">
      <c r="A3274" s="33" t="s">
        <v>25351</v>
      </c>
      <c r="B3274" s="33">
        <v>39</v>
      </c>
      <c r="C3274" s="33" t="s">
        <v>14</v>
      </c>
      <c r="D3274" s="33" t="s">
        <v>31</v>
      </c>
      <c r="F3274" s="67">
        <v>42755</v>
      </c>
      <c r="G3274" s="33" t="s">
        <v>25352</v>
      </c>
      <c r="H3274" s="33" t="s">
        <v>10316</v>
      </c>
      <c r="I3274" s="33" t="s">
        <v>56</v>
      </c>
      <c r="J3274" s="33">
        <v>32608</v>
      </c>
      <c r="K3274" s="33" t="s">
        <v>964</v>
      </c>
      <c r="L3274" s="33" t="s">
        <v>14451</v>
      </c>
      <c r="M3274" s="33" t="s">
        <v>21</v>
      </c>
      <c r="N3274" s="33" t="s">
        <v>25353</v>
      </c>
      <c r="O3274" s="33" t="s">
        <v>372</v>
      </c>
      <c r="P3274" s="33" t="s">
        <v>30089</v>
      </c>
      <c r="Q3274" s="42" t="s">
        <v>25354</v>
      </c>
      <c r="R3274" s="33" t="s">
        <v>512</v>
      </c>
      <c r="S3274" s="33" t="s">
        <v>22</v>
      </c>
      <c r="T3274" s="36" t="s">
        <v>26781</v>
      </c>
      <c r="U3274" s="33" t="s">
        <v>26572</v>
      </c>
      <c r="V3274" s="33" t="s">
        <v>26573</v>
      </c>
      <c r="W3274" s="33" t="s">
        <v>94</v>
      </c>
      <c r="X3274" s="33">
        <v>2240</v>
      </c>
      <c r="Z3274" s="33" t="s">
        <v>42968</v>
      </c>
      <c r="AA3274" s="33">
        <v>4391</v>
      </c>
    </row>
    <row r="3275" spans="1:46" ht="12" customHeight="1" x14ac:dyDescent="0.15">
      <c r="A3275" s="33" t="s">
        <v>3002</v>
      </c>
      <c r="B3275" s="33">
        <v>55</v>
      </c>
      <c r="C3275" s="33" t="s">
        <v>14</v>
      </c>
      <c r="D3275" s="33" t="s">
        <v>30751</v>
      </c>
      <c r="F3275" s="67">
        <v>42754</v>
      </c>
      <c r="G3275" s="33" t="s">
        <v>26123</v>
      </c>
      <c r="H3275" s="33" t="s">
        <v>1033</v>
      </c>
      <c r="I3275" s="33" t="s">
        <v>376</v>
      </c>
      <c r="J3275" s="33">
        <v>19123</v>
      </c>
      <c r="K3275" s="33" t="s">
        <v>1033</v>
      </c>
      <c r="L3275" s="33" t="s">
        <v>1034</v>
      </c>
      <c r="M3275" s="33" t="s">
        <v>29665</v>
      </c>
      <c r="N3275" s="33" t="s">
        <v>25793</v>
      </c>
      <c r="O3275" s="33" t="s">
        <v>372</v>
      </c>
      <c r="P3275" s="33" t="s">
        <v>30089</v>
      </c>
      <c r="Q3275" s="42" t="s">
        <v>25794</v>
      </c>
      <c r="R3275" s="33" t="s">
        <v>512</v>
      </c>
      <c r="S3275" s="33" t="s">
        <v>12</v>
      </c>
      <c r="T3275" s="33" t="s">
        <v>29705</v>
      </c>
      <c r="U3275" s="33" t="s">
        <v>26572</v>
      </c>
      <c r="V3275" s="33" t="s">
        <v>26573</v>
      </c>
      <c r="Z3275" s="33" t="s">
        <v>42966</v>
      </c>
      <c r="AA3275" s="33">
        <v>4390</v>
      </c>
      <c r="AT3275" s="42"/>
    </row>
    <row r="3276" spans="1:46" ht="12" customHeight="1" x14ac:dyDescent="0.15">
      <c r="A3276" s="33" t="s">
        <v>25700</v>
      </c>
      <c r="B3276" s="33">
        <v>49</v>
      </c>
      <c r="C3276" s="33" t="s">
        <v>14</v>
      </c>
      <c r="D3276" s="33" t="s">
        <v>31</v>
      </c>
      <c r="F3276" s="67">
        <v>42754</v>
      </c>
      <c r="G3276" s="33" t="s">
        <v>26117</v>
      </c>
      <c r="H3276" s="33" t="s">
        <v>23188</v>
      </c>
      <c r="I3276" s="33" t="s">
        <v>225</v>
      </c>
      <c r="J3276" s="33">
        <v>22580</v>
      </c>
      <c r="K3276" s="33" t="s">
        <v>25701</v>
      </c>
      <c r="L3276" s="33" t="s">
        <v>25702</v>
      </c>
      <c r="M3276" s="33" t="s">
        <v>21</v>
      </c>
      <c r="N3276" s="33" t="s">
        <v>36635</v>
      </c>
      <c r="O3276" s="33" t="s">
        <v>372</v>
      </c>
      <c r="P3276" s="33" t="s">
        <v>30089</v>
      </c>
      <c r="Q3276" s="42" t="s">
        <v>25703</v>
      </c>
      <c r="R3276" s="33" t="s">
        <v>512</v>
      </c>
      <c r="S3276" s="33" t="s">
        <v>22</v>
      </c>
      <c r="T3276" s="36" t="s">
        <v>26781</v>
      </c>
      <c r="U3276" s="33" t="s">
        <v>26570</v>
      </c>
      <c r="V3276" s="33" t="s">
        <v>26573</v>
      </c>
      <c r="W3276" s="33" t="s">
        <v>94</v>
      </c>
      <c r="X3276" s="33">
        <v>2242</v>
      </c>
      <c r="Z3276" s="33" t="s">
        <v>42967</v>
      </c>
      <c r="AA3276" s="33">
        <v>4387</v>
      </c>
    </row>
    <row r="3277" spans="1:46" ht="12" customHeight="1" x14ac:dyDescent="0.15">
      <c r="A3277" s="33" t="s">
        <v>25237</v>
      </c>
      <c r="B3277" s="33">
        <v>44</v>
      </c>
      <c r="C3277" s="33" t="s">
        <v>14</v>
      </c>
      <c r="D3277" s="33" t="s">
        <v>42</v>
      </c>
      <c r="E3277" s="42" t="s">
        <v>25238</v>
      </c>
      <c r="F3277" s="67">
        <v>42754</v>
      </c>
      <c r="G3277" s="33" t="s">
        <v>25239</v>
      </c>
      <c r="H3277" s="33" t="s">
        <v>25240</v>
      </c>
      <c r="I3277" s="33" t="s">
        <v>67</v>
      </c>
      <c r="J3277" s="33">
        <v>79036</v>
      </c>
      <c r="K3277" s="33" t="s">
        <v>1504</v>
      </c>
      <c r="L3277" s="33" t="s">
        <v>25241</v>
      </c>
      <c r="M3277" s="33" t="s">
        <v>21</v>
      </c>
      <c r="N3277" s="33" t="s">
        <v>25242</v>
      </c>
      <c r="O3277" s="33" t="s">
        <v>372</v>
      </c>
      <c r="P3277" s="33" t="s">
        <v>30089</v>
      </c>
      <c r="Q3277" s="42" t="s">
        <v>25243</v>
      </c>
      <c r="R3277" s="33" t="s">
        <v>94</v>
      </c>
      <c r="S3277" s="33" t="s">
        <v>22</v>
      </c>
      <c r="T3277" s="36" t="s">
        <v>26781</v>
      </c>
      <c r="U3277" s="33" t="s">
        <v>26572</v>
      </c>
      <c r="V3277" s="33" t="s">
        <v>26574</v>
      </c>
      <c r="W3277" s="33" t="s">
        <v>94</v>
      </c>
      <c r="X3277" s="33">
        <v>2244</v>
      </c>
      <c r="Z3277" s="33" t="s">
        <v>42967</v>
      </c>
      <c r="AA3277" s="33">
        <v>4388</v>
      </c>
    </row>
    <row r="3278" spans="1:46" ht="12" customHeight="1" x14ac:dyDescent="0.15">
      <c r="A3278" s="33" t="s">
        <v>25329</v>
      </c>
      <c r="B3278" s="33">
        <v>25</v>
      </c>
      <c r="C3278" s="33" t="s">
        <v>14</v>
      </c>
      <c r="D3278" s="33" t="s">
        <v>31</v>
      </c>
      <c r="F3278" s="67">
        <v>42754</v>
      </c>
      <c r="G3278" s="33" t="s">
        <v>26089</v>
      </c>
      <c r="H3278" s="33" t="s">
        <v>18455</v>
      </c>
      <c r="I3278" s="33" t="s">
        <v>402</v>
      </c>
      <c r="J3278" s="33">
        <v>63033</v>
      </c>
      <c r="K3278" s="33" t="s">
        <v>661</v>
      </c>
      <c r="L3278" s="33" t="s">
        <v>12345</v>
      </c>
      <c r="M3278" s="33" t="s">
        <v>4966</v>
      </c>
      <c r="N3278" s="33" t="s">
        <v>25330</v>
      </c>
      <c r="O3278" s="33" t="s">
        <v>372</v>
      </c>
      <c r="P3278" s="33" t="s">
        <v>30089</v>
      </c>
      <c r="Q3278" s="42" t="s">
        <v>25331</v>
      </c>
      <c r="R3278" s="33" t="s">
        <v>512</v>
      </c>
      <c r="S3278" s="33" t="s">
        <v>22</v>
      </c>
      <c r="T3278" s="36" t="s">
        <v>26774</v>
      </c>
      <c r="U3278" s="33" t="s">
        <v>26572</v>
      </c>
      <c r="V3278" s="33" t="s">
        <v>26573</v>
      </c>
      <c r="W3278" s="33" t="s">
        <v>94</v>
      </c>
      <c r="X3278" s="33">
        <v>2241</v>
      </c>
      <c r="Z3278" s="33" t="s">
        <v>42968</v>
      </c>
      <c r="AA3278" s="33">
        <v>4389</v>
      </c>
    </row>
    <row r="3279" spans="1:46" ht="12" customHeight="1" x14ac:dyDescent="0.15">
      <c r="A3279" s="33" t="s">
        <v>30829</v>
      </c>
      <c r="B3279" s="33">
        <v>50</v>
      </c>
      <c r="C3279" s="33" t="s">
        <v>14</v>
      </c>
      <c r="D3279" s="33" t="s">
        <v>79</v>
      </c>
      <c r="F3279" s="67">
        <v>42753</v>
      </c>
      <c r="G3279" s="33" t="s">
        <v>25590</v>
      </c>
      <c r="H3279" s="33" t="s">
        <v>92</v>
      </c>
      <c r="I3279" s="33" t="s">
        <v>39</v>
      </c>
      <c r="J3279" s="33">
        <v>90045</v>
      </c>
      <c r="K3279" s="33" t="s">
        <v>92</v>
      </c>
      <c r="L3279" s="33" t="s">
        <v>386</v>
      </c>
      <c r="M3279" s="33" t="s">
        <v>21</v>
      </c>
      <c r="N3279" s="33" t="s">
        <v>25591</v>
      </c>
      <c r="O3279" s="33" t="s">
        <v>372</v>
      </c>
      <c r="P3279" s="33" t="s">
        <v>30089</v>
      </c>
      <c r="Q3279" s="42" t="s">
        <v>25592</v>
      </c>
      <c r="R3279" s="33" t="s">
        <v>23</v>
      </c>
      <c r="S3279" s="33" t="s">
        <v>22</v>
      </c>
      <c r="T3279" s="33" t="s">
        <v>26585</v>
      </c>
      <c r="U3279" s="33" t="s">
        <v>26570</v>
      </c>
      <c r="V3279" s="33" t="s">
        <v>26571</v>
      </c>
      <c r="W3279" s="33" t="s">
        <v>94</v>
      </c>
      <c r="X3279" s="33">
        <v>2232</v>
      </c>
      <c r="Z3279" s="33" t="s">
        <v>42966</v>
      </c>
      <c r="AA3279" s="33">
        <v>4383</v>
      </c>
    </row>
    <row r="3280" spans="1:46" ht="12" customHeight="1" x14ac:dyDescent="0.15">
      <c r="A3280" s="33" t="s">
        <v>25860</v>
      </c>
      <c r="B3280" s="33">
        <v>21</v>
      </c>
      <c r="C3280" s="33" t="s">
        <v>103</v>
      </c>
      <c r="D3280" s="33" t="s">
        <v>42</v>
      </c>
      <c r="E3280" s="42" t="s">
        <v>25861</v>
      </c>
      <c r="F3280" s="67">
        <v>42753</v>
      </c>
      <c r="G3280" s="33" t="s">
        <v>26128</v>
      </c>
      <c r="H3280" s="33" t="s">
        <v>266</v>
      </c>
      <c r="I3280" s="33" t="s">
        <v>67</v>
      </c>
      <c r="J3280" s="33">
        <v>75226</v>
      </c>
      <c r="K3280" s="33" t="s">
        <v>266</v>
      </c>
      <c r="L3280" s="33" t="s">
        <v>267</v>
      </c>
      <c r="M3280" s="33" t="s">
        <v>21</v>
      </c>
      <c r="N3280" s="33" t="s">
        <v>25862</v>
      </c>
      <c r="O3280" s="33" t="s">
        <v>1083</v>
      </c>
      <c r="P3280" s="33" t="s">
        <v>1084</v>
      </c>
      <c r="Q3280" s="42" t="s">
        <v>25863</v>
      </c>
      <c r="R3280" s="33" t="s">
        <v>94</v>
      </c>
      <c r="S3280" s="33" t="s">
        <v>351</v>
      </c>
      <c r="T3280" s="36" t="s">
        <v>26867</v>
      </c>
      <c r="U3280" s="33" t="s">
        <v>26570</v>
      </c>
      <c r="V3280" s="33" t="s">
        <v>26571</v>
      </c>
      <c r="W3280" s="33" t="s">
        <v>512</v>
      </c>
      <c r="X3280" s="33">
        <v>2231</v>
      </c>
      <c r="Z3280" s="33" t="s">
        <v>42968</v>
      </c>
      <c r="AA3280" s="33">
        <v>4386</v>
      </c>
    </row>
    <row r="3281" spans="1:47" ht="12" customHeight="1" x14ac:dyDescent="0.15">
      <c r="A3281" s="33" t="s">
        <v>25533</v>
      </c>
      <c r="B3281" s="33">
        <v>16</v>
      </c>
      <c r="C3281" s="33" t="s">
        <v>14</v>
      </c>
      <c r="D3281" s="33" t="s">
        <v>42</v>
      </c>
      <c r="F3281" s="67">
        <v>42753</v>
      </c>
      <c r="G3281" s="33" t="s">
        <v>26107</v>
      </c>
      <c r="H3281" s="33" t="s">
        <v>5818</v>
      </c>
      <c r="I3281" s="33" t="s">
        <v>39</v>
      </c>
      <c r="J3281" s="33">
        <v>93905</v>
      </c>
      <c r="K3281" s="33" t="s">
        <v>59</v>
      </c>
      <c r="L3281" s="33" t="s">
        <v>5820</v>
      </c>
      <c r="M3281" s="33" t="s">
        <v>4966</v>
      </c>
      <c r="N3281" s="33" t="s">
        <v>25534</v>
      </c>
      <c r="O3281" s="33" t="s">
        <v>372</v>
      </c>
      <c r="P3281" s="33" t="s">
        <v>30089</v>
      </c>
      <c r="Q3281" s="42" t="s">
        <v>25535</v>
      </c>
      <c r="R3281" s="33" t="s">
        <v>512</v>
      </c>
      <c r="S3281" s="33" t="s">
        <v>22</v>
      </c>
      <c r="T3281" s="36" t="s">
        <v>26774</v>
      </c>
      <c r="U3281" s="33" t="s">
        <v>26570</v>
      </c>
      <c r="V3281" s="33" t="s">
        <v>26573</v>
      </c>
      <c r="W3281" s="33" t="s">
        <v>512</v>
      </c>
      <c r="X3281" s="33">
        <v>2225</v>
      </c>
      <c r="Z3281" s="33" t="s">
        <v>42968</v>
      </c>
      <c r="AA3281" s="33">
        <v>4384</v>
      </c>
    </row>
    <row r="3282" spans="1:47" ht="12" customHeight="1" x14ac:dyDescent="0.15">
      <c r="A3282" s="33" t="s">
        <v>25536</v>
      </c>
      <c r="B3282" s="33">
        <v>19</v>
      </c>
      <c r="C3282" s="33" t="s">
        <v>14</v>
      </c>
      <c r="D3282" s="33" t="s">
        <v>79</v>
      </c>
      <c r="F3282" s="67">
        <v>42753</v>
      </c>
      <c r="G3282" s="33" t="s">
        <v>26108</v>
      </c>
      <c r="H3282" s="33" t="s">
        <v>25537</v>
      </c>
      <c r="I3282" s="33" t="s">
        <v>198</v>
      </c>
      <c r="J3282" s="33">
        <v>46409</v>
      </c>
      <c r="K3282" s="33" t="s">
        <v>1179</v>
      </c>
      <c r="L3282" s="33" t="s">
        <v>1180</v>
      </c>
      <c r="M3282" s="33" t="s">
        <v>21</v>
      </c>
      <c r="N3282" s="33" t="s">
        <v>25538</v>
      </c>
      <c r="O3282" s="33" t="s">
        <v>372</v>
      </c>
      <c r="P3282" s="33" t="s">
        <v>30089</v>
      </c>
      <c r="Q3282" s="42" t="s">
        <v>25539</v>
      </c>
      <c r="R3282" s="33" t="s">
        <v>94</v>
      </c>
      <c r="S3282" s="33" t="s">
        <v>22</v>
      </c>
      <c r="T3282" s="36" t="s">
        <v>26781</v>
      </c>
      <c r="U3282" s="33" t="s">
        <v>26572</v>
      </c>
      <c r="V3282" s="33" t="s">
        <v>26571</v>
      </c>
      <c r="W3282" s="33" t="s">
        <v>94</v>
      </c>
      <c r="X3282" s="33">
        <v>2243</v>
      </c>
      <c r="Z3282" s="33" t="s">
        <v>42966</v>
      </c>
      <c r="AA3282" s="33">
        <v>4381</v>
      </c>
    </row>
    <row r="3283" spans="1:47" ht="12" customHeight="1" x14ac:dyDescent="0.15">
      <c r="A3283" s="33" t="s">
        <v>25678</v>
      </c>
      <c r="B3283" s="33">
        <v>40</v>
      </c>
      <c r="C3283" s="33" t="s">
        <v>14</v>
      </c>
      <c r="D3283" s="33" t="s">
        <v>31</v>
      </c>
      <c r="E3283" s="42" t="s">
        <v>25679</v>
      </c>
      <c r="F3283" s="67">
        <v>42753</v>
      </c>
      <c r="G3283" s="33" t="s">
        <v>26115</v>
      </c>
      <c r="H3283" s="33" t="s">
        <v>25680</v>
      </c>
      <c r="I3283" s="33" t="s">
        <v>367</v>
      </c>
      <c r="J3283" s="33">
        <v>74964</v>
      </c>
      <c r="K3283" s="33" t="s">
        <v>2423</v>
      </c>
      <c r="L3283" s="33" t="s">
        <v>36638</v>
      </c>
      <c r="M3283" s="33" t="s">
        <v>21</v>
      </c>
      <c r="N3283" s="33" t="s">
        <v>36639</v>
      </c>
      <c r="O3283" s="33" t="s">
        <v>372</v>
      </c>
      <c r="P3283" s="33" t="s">
        <v>30089</v>
      </c>
      <c r="Q3283" s="42" t="s">
        <v>25681</v>
      </c>
      <c r="R3283" s="33" t="s">
        <v>94</v>
      </c>
      <c r="S3283" s="33" t="s">
        <v>29</v>
      </c>
      <c r="T3283" s="33" t="s">
        <v>26584</v>
      </c>
      <c r="U3283" s="33" t="s">
        <v>26572</v>
      </c>
      <c r="V3283" s="33" t="s">
        <v>26573</v>
      </c>
      <c r="W3283" s="33" t="s">
        <v>94</v>
      </c>
      <c r="X3283" s="33">
        <v>2228</v>
      </c>
      <c r="Z3283" s="33" t="s">
        <v>42967</v>
      </c>
      <c r="AA3283" s="33">
        <v>4385</v>
      </c>
    </row>
    <row r="3284" spans="1:47" ht="12" customHeight="1" x14ac:dyDescent="0.15">
      <c r="A3284" s="33" t="s">
        <v>25545</v>
      </c>
      <c r="B3284" s="33">
        <v>28</v>
      </c>
      <c r="C3284" s="33" t="s">
        <v>14</v>
      </c>
      <c r="D3284" s="33" t="s">
        <v>128</v>
      </c>
      <c r="E3284" s="42" t="s">
        <v>25546</v>
      </c>
      <c r="F3284" s="67">
        <v>42753</v>
      </c>
      <c r="H3284" s="33" t="s">
        <v>25547</v>
      </c>
      <c r="I3284" s="33" t="s">
        <v>1605</v>
      </c>
      <c r="J3284" s="33">
        <v>58316</v>
      </c>
      <c r="K3284" s="33" t="s">
        <v>25548</v>
      </c>
      <c r="L3284" s="33" t="s">
        <v>36636</v>
      </c>
      <c r="M3284" s="33" t="s">
        <v>21</v>
      </c>
      <c r="N3284" s="33" t="s">
        <v>36637</v>
      </c>
      <c r="O3284" s="33" t="s">
        <v>372</v>
      </c>
      <c r="P3284" s="33" t="s">
        <v>30089</v>
      </c>
      <c r="Q3284" s="42" t="s">
        <v>25549</v>
      </c>
      <c r="R3284" s="33" t="s">
        <v>94</v>
      </c>
      <c r="S3284" s="33" t="s">
        <v>22</v>
      </c>
      <c r="T3284" s="36" t="s">
        <v>26781</v>
      </c>
      <c r="U3284" s="33" t="s">
        <v>26572</v>
      </c>
      <c r="V3284" s="33" t="s">
        <v>26573</v>
      </c>
      <c r="W3284" s="33" t="s">
        <v>94</v>
      </c>
      <c r="X3284" s="33">
        <v>2245</v>
      </c>
      <c r="Z3284" s="33" t="s">
        <v>42967</v>
      </c>
      <c r="AA3284" s="33">
        <v>4382</v>
      </c>
    </row>
    <row r="3285" spans="1:47" ht="12" customHeight="1" x14ac:dyDescent="0.15">
      <c r="A3285" s="33" t="s">
        <v>25297</v>
      </c>
      <c r="B3285" s="33">
        <v>39</v>
      </c>
      <c r="C3285" s="33" t="s">
        <v>14</v>
      </c>
      <c r="D3285" s="33" t="s">
        <v>42</v>
      </c>
      <c r="F3285" s="67">
        <v>42752</v>
      </c>
      <c r="G3285" s="33" t="s">
        <v>25298</v>
      </c>
      <c r="H3285" s="33" t="s">
        <v>25299</v>
      </c>
      <c r="I3285" s="33" t="s">
        <v>39</v>
      </c>
      <c r="J3285" s="33">
        <v>92277</v>
      </c>
      <c r="K3285" s="33" t="s">
        <v>288</v>
      </c>
      <c r="L3285" s="33" t="s">
        <v>289</v>
      </c>
      <c r="M3285" s="33" t="s">
        <v>21</v>
      </c>
      <c r="N3285" s="33" t="s">
        <v>25300</v>
      </c>
      <c r="O3285" s="33" t="s">
        <v>372</v>
      </c>
      <c r="P3285" s="33" t="s">
        <v>30089</v>
      </c>
      <c r="Q3285" s="42" t="s">
        <v>25301</v>
      </c>
      <c r="R3285" s="33" t="s">
        <v>904</v>
      </c>
      <c r="S3285" s="33" t="s">
        <v>22</v>
      </c>
      <c r="T3285" s="36" t="s">
        <v>26781</v>
      </c>
      <c r="U3285" s="33" t="s">
        <v>26572</v>
      </c>
      <c r="V3285" s="33" t="s">
        <v>26573</v>
      </c>
      <c r="W3285" s="33" t="s">
        <v>94</v>
      </c>
      <c r="X3285" s="33">
        <v>2229</v>
      </c>
      <c r="Z3285" s="33" t="s">
        <v>42968</v>
      </c>
      <c r="AA3285" s="33">
        <v>4379</v>
      </c>
      <c r="AQ3285" s="42"/>
    </row>
    <row r="3286" spans="1:47" ht="12" customHeight="1" x14ac:dyDescent="0.15">
      <c r="A3286" s="33" t="s">
        <v>25232</v>
      </c>
      <c r="B3286" s="33">
        <v>29</v>
      </c>
      <c r="C3286" s="33" t="s">
        <v>14</v>
      </c>
      <c r="D3286" s="33" t="s">
        <v>31</v>
      </c>
      <c r="E3286" s="33" t="s">
        <v>26146</v>
      </c>
      <c r="F3286" s="67">
        <v>42752</v>
      </c>
      <c r="G3286" s="33" t="s">
        <v>25233</v>
      </c>
      <c r="H3286" s="33" t="s">
        <v>25234</v>
      </c>
      <c r="I3286" s="33" t="s">
        <v>298</v>
      </c>
      <c r="J3286" s="33">
        <v>37379</v>
      </c>
      <c r="K3286" s="33" t="s">
        <v>505</v>
      </c>
      <c r="L3286" s="33" t="s">
        <v>568</v>
      </c>
      <c r="M3286" s="33" t="s">
        <v>21</v>
      </c>
      <c r="N3286" s="33" t="s">
        <v>25235</v>
      </c>
      <c r="O3286" s="33" t="s">
        <v>372</v>
      </c>
      <c r="P3286" s="33" t="s">
        <v>30089</v>
      </c>
      <c r="Q3286" s="42" t="s">
        <v>25236</v>
      </c>
      <c r="R3286" s="33" t="s">
        <v>512</v>
      </c>
      <c r="S3286" s="33" t="s">
        <v>22</v>
      </c>
      <c r="T3286" s="36" t="s">
        <v>26781</v>
      </c>
      <c r="U3286" s="33" t="s">
        <v>26572</v>
      </c>
      <c r="V3286" s="33" t="s">
        <v>26571</v>
      </c>
      <c r="W3286" s="33" t="s">
        <v>94</v>
      </c>
      <c r="X3286" s="33">
        <v>2226</v>
      </c>
      <c r="Z3286" s="33" t="s">
        <v>42967</v>
      </c>
      <c r="AA3286" s="33">
        <v>4378</v>
      </c>
    </row>
    <row r="3287" spans="1:47" ht="12" customHeight="1" x14ac:dyDescent="0.15">
      <c r="A3287" s="33" t="s">
        <v>25637</v>
      </c>
      <c r="B3287" s="33">
        <v>46</v>
      </c>
      <c r="C3287" s="33" t="s">
        <v>14</v>
      </c>
      <c r="D3287" s="33" t="s">
        <v>42</v>
      </c>
      <c r="F3287" s="67">
        <v>42752</v>
      </c>
      <c r="G3287" s="33" t="s">
        <v>25638</v>
      </c>
      <c r="H3287" s="33" t="s">
        <v>25639</v>
      </c>
      <c r="I3287" s="33" t="s">
        <v>67</v>
      </c>
      <c r="J3287" s="33">
        <v>75068</v>
      </c>
      <c r="K3287" s="33" t="s">
        <v>153</v>
      </c>
      <c r="L3287" s="33" t="s">
        <v>25640</v>
      </c>
      <c r="M3287" s="33" t="s">
        <v>21</v>
      </c>
      <c r="N3287" s="33" t="s">
        <v>25641</v>
      </c>
      <c r="O3287" s="33" t="s">
        <v>372</v>
      </c>
      <c r="P3287" s="33" t="s">
        <v>30089</v>
      </c>
      <c r="Q3287" s="42" t="s">
        <v>25642</v>
      </c>
      <c r="R3287" s="33" t="s">
        <v>94</v>
      </c>
      <c r="S3287" s="33" t="s">
        <v>22</v>
      </c>
      <c r="T3287" s="36" t="s">
        <v>26781</v>
      </c>
      <c r="U3287" s="33" t="s">
        <v>26572</v>
      </c>
      <c r="V3287" s="33" t="s">
        <v>26573</v>
      </c>
      <c r="Z3287" s="33" t="s">
        <v>42968</v>
      </c>
      <c r="AA3287" s="33">
        <v>4380</v>
      </c>
    </row>
    <row r="3288" spans="1:47" ht="12" customHeight="1" x14ac:dyDescent="0.15">
      <c r="A3288" s="33" t="s">
        <v>25580</v>
      </c>
      <c r="B3288" s="33">
        <v>32</v>
      </c>
      <c r="C3288" s="33" t="s">
        <v>14</v>
      </c>
      <c r="D3288" s="33" t="s">
        <v>79</v>
      </c>
      <c r="F3288" s="67">
        <v>42751</v>
      </c>
      <c r="G3288" s="33" t="s">
        <v>25581</v>
      </c>
      <c r="H3288" s="33" t="s">
        <v>25582</v>
      </c>
      <c r="I3288" s="33" t="s">
        <v>225</v>
      </c>
      <c r="J3288" s="33">
        <v>20171</v>
      </c>
      <c r="K3288" s="33" t="s">
        <v>4065</v>
      </c>
      <c r="L3288" s="33" t="s">
        <v>25583</v>
      </c>
      <c r="M3288" s="33" t="s">
        <v>21</v>
      </c>
      <c r="N3288" s="33" t="s">
        <v>25584</v>
      </c>
      <c r="O3288" s="33" t="s">
        <v>372</v>
      </c>
      <c r="P3288" s="33" t="s">
        <v>30089</v>
      </c>
      <c r="Q3288" s="42" t="s">
        <v>25585</v>
      </c>
      <c r="R3288" s="33" t="s">
        <v>23</v>
      </c>
      <c r="S3288" s="33" t="s">
        <v>22</v>
      </c>
      <c r="T3288" s="33" t="s">
        <v>29419</v>
      </c>
      <c r="U3288" s="33" t="s">
        <v>26572</v>
      </c>
      <c r="V3288" s="33" t="s">
        <v>26573</v>
      </c>
      <c r="W3288" s="33" t="s">
        <v>94</v>
      </c>
      <c r="X3288" s="33">
        <v>2214</v>
      </c>
      <c r="Z3288" s="33" t="s">
        <v>42968</v>
      </c>
      <c r="AA3288" s="33">
        <v>4376</v>
      </c>
      <c r="AQ3288" s="42"/>
    </row>
    <row r="3289" spans="1:47" ht="12" customHeight="1" x14ac:dyDescent="0.15">
      <c r="A3289" s="33" t="s">
        <v>25284</v>
      </c>
      <c r="B3289" s="33">
        <v>36</v>
      </c>
      <c r="C3289" s="33" t="s">
        <v>14</v>
      </c>
      <c r="D3289" s="33" t="s">
        <v>31</v>
      </c>
      <c r="F3289" s="67">
        <v>42751</v>
      </c>
      <c r="G3289" s="33" t="s">
        <v>25285</v>
      </c>
      <c r="H3289" s="33" t="s">
        <v>25286</v>
      </c>
      <c r="I3289" s="33" t="s">
        <v>160</v>
      </c>
      <c r="J3289" s="33">
        <v>30277</v>
      </c>
      <c r="K3289" s="33" t="s">
        <v>20786</v>
      </c>
      <c r="L3289" s="33" t="s">
        <v>25287</v>
      </c>
      <c r="M3289" s="33" t="s">
        <v>21</v>
      </c>
      <c r="N3289" s="33" t="s">
        <v>25288</v>
      </c>
      <c r="O3289" s="33" t="s">
        <v>372</v>
      </c>
      <c r="P3289" s="33" t="s">
        <v>30089</v>
      </c>
      <c r="Q3289" s="42" t="s">
        <v>25289</v>
      </c>
      <c r="R3289" s="33" t="s">
        <v>23</v>
      </c>
      <c r="S3289" s="33" t="s">
        <v>22</v>
      </c>
      <c r="T3289" s="36" t="s">
        <v>26781</v>
      </c>
      <c r="U3289" s="33" t="s">
        <v>26572</v>
      </c>
      <c r="V3289" s="33" t="s">
        <v>26571</v>
      </c>
      <c r="W3289" s="33" t="s">
        <v>94</v>
      </c>
      <c r="X3289" s="33">
        <v>2212</v>
      </c>
      <c r="Z3289" s="33" t="s">
        <v>42968</v>
      </c>
      <c r="AA3289" s="33">
        <v>4375</v>
      </c>
    </row>
    <row r="3290" spans="1:47" ht="12" customHeight="1" x14ac:dyDescent="0.15">
      <c r="A3290" s="33" t="s">
        <v>25227</v>
      </c>
      <c r="B3290" s="33">
        <v>43</v>
      </c>
      <c r="C3290" s="33" t="s">
        <v>14</v>
      </c>
      <c r="D3290" s="33" t="s">
        <v>31</v>
      </c>
      <c r="F3290" s="67">
        <v>42751</v>
      </c>
      <c r="G3290" s="33" t="s">
        <v>25228</v>
      </c>
      <c r="H3290" s="33" t="s">
        <v>1454</v>
      </c>
      <c r="I3290" s="33" t="s">
        <v>294</v>
      </c>
      <c r="J3290" s="33">
        <v>42041</v>
      </c>
      <c r="K3290" s="33" t="s">
        <v>1454</v>
      </c>
      <c r="L3290" s="33" t="s">
        <v>25229</v>
      </c>
      <c r="M3290" s="33" t="s">
        <v>21</v>
      </c>
      <c r="N3290" s="33" t="s">
        <v>25230</v>
      </c>
      <c r="O3290" s="33" t="s">
        <v>372</v>
      </c>
      <c r="P3290" s="33" t="s">
        <v>30089</v>
      </c>
      <c r="Q3290" s="42" t="s">
        <v>25231</v>
      </c>
      <c r="R3290" s="33" t="s">
        <v>23</v>
      </c>
      <c r="S3290" s="33" t="s">
        <v>22</v>
      </c>
      <c r="T3290" s="33" t="s">
        <v>26622</v>
      </c>
      <c r="U3290" s="33" t="s">
        <v>26570</v>
      </c>
      <c r="V3290" s="33" t="s">
        <v>26573</v>
      </c>
      <c r="W3290" s="33" t="s">
        <v>94</v>
      </c>
      <c r="X3290" s="33">
        <v>2213</v>
      </c>
      <c r="Z3290" s="33" t="s">
        <v>42967</v>
      </c>
      <c r="AA3290" s="33">
        <v>4377</v>
      </c>
    </row>
    <row r="3291" spans="1:47" ht="12" customHeight="1" x14ac:dyDescent="0.15">
      <c r="A3291" s="33" t="s">
        <v>25332</v>
      </c>
      <c r="B3291" s="33">
        <v>48</v>
      </c>
      <c r="C3291" s="33" t="s">
        <v>14</v>
      </c>
      <c r="D3291" s="33" t="s">
        <v>31</v>
      </c>
      <c r="F3291" s="67">
        <v>42750</v>
      </c>
      <c r="G3291" s="33" t="s">
        <v>26090</v>
      </c>
      <c r="H3291" s="33" t="s">
        <v>1558</v>
      </c>
      <c r="I3291" s="33" t="s">
        <v>39</v>
      </c>
      <c r="J3291" s="33">
        <v>91702</v>
      </c>
      <c r="K3291" s="33" t="s">
        <v>92</v>
      </c>
      <c r="L3291" s="33" t="s">
        <v>1560</v>
      </c>
      <c r="M3291" s="33" t="s">
        <v>21</v>
      </c>
      <c r="N3291" s="33" t="s">
        <v>25333</v>
      </c>
      <c r="O3291" s="33" t="s">
        <v>372</v>
      </c>
      <c r="P3291" s="33" t="s">
        <v>30089</v>
      </c>
      <c r="Q3291" s="42" t="s">
        <v>25334</v>
      </c>
      <c r="R3291" s="33" t="s">
        <v>94</v>
      </c>
      <c r="S3291" s="33" t="s">
        <v>22</v>
      </c>
      <c r="T3291" s="36" t="s">
        <v>26781</v>
      </c>
      <c r="U3291" s="33" t="s">
        <v>26572</v>
      </c>
      <c r="V3291" s="33" t="s">
        <v>26573</v>
      </c>
      <c r="W3291" s="33" t="s">
        <v>94</v>
      </c>
      <c r="X3291" s="33">
        <v>2216</v>
      </c>
      <c r="Z3291" s="33" t="s">
        <v>42968</v>
      </c>
      <c r="AA3291" s="33">
        <v>4371</v>
      </c>
    </row>
    <row r="3292" spans="1:47" ht="12" customHeight="1" x14ac:dyDescent="0.15">
      <c r="A3292" s="33" t="s">
        <v>25658</v>
      </c>
      <c r="B3292" s="33">
        <v>37</v>
      </c>
      <c r="C3292" s="33" t="s">
        <v>103</v>
      </c>
      <c r="D3292" s="33" t="s">
        <v>15</v>
      </c>
      <c r="F3292" s="67">
        <v>42750</v>
      </c>
      <c r="G3292" s="33" t="s">
        <v>25659</v>
      </c>
      <c r="H3292" s="33" t="s">
        <v>451</v>
      </c>
      <c r="I3292" s="33" t="s">
        <v>39</v>
      </c>
      <c r="J3292" s="33">
        <v>90804</v>
      </c>
      <c r="K3292" s="33" t="s">
        <v>92</v>
      </c>
      <c r="L3292" s="33" t="s">
        <v>452</v>
      </c>
      <c r="M3292" s="33" t="s">
        <v>4966</v>
      </c>
      <c r="N3292" s="33" t="s">
        <v>25660</v>
      </c>
      <c r="O3292" s="33" t="s">
        <v>372</v>
      </c>
      <c r="P3292" s="33" t="s">
        <v>30089</v>
      </c>
      <c r="Q3292" s="42" t="s">
        <v>25661</v>
      </c>
      <c r="R3292" s="33" t="s">
        <v>512</v>
      </c>
      <c r="S3292" s="33" t="s">
        <v>22</v>
      </c>
      <c r="T3292" s="36" t="s">
        <v>26774</v>
      </c>
      <c r="U3292" s="33" t="s">
        <v>26570</v>
      </c>
      <c r="V3292" s="33" t="s">
        <v>26573</v>
      </c>
      <c r="W3292" s="33" t="s">
        <v>94</v>
      </c>
      <c r="X3292" s="33">
        <v>2217</v>
      </c>
      <c r="Z3292" s="33" t="s">
        <v>42966</v>
      </c>
      <c r="AA3292" s="33">
        <v>4373</v>
      </c>
      <c r="AQ3292" s="42"/>
      <c r="AU3292" s="42"/>
    </row>
    <row r="3293" spans="1:47" ht="12" customHeight="1" x14ac:dyDescent="0.15">
      <c r="A3293" s="33" t="s">
        <v>25363</v>
      </c>
      <c r="B3293" s="33">
        <v>34</v>
      </c>
      <c r="C3293" s="33" t="s">
        <v>14</v>
      </c>
      <c r="D3293" s="33" t="s">
        <v>79</v>
      </c>
      <c r="F3293" s="67">
        <v>42750</v>
      </c>
      <c r="G3293" s="33" t="s">
        <v>26092</v>
      </c>
      <c r="H3293" s="33" t="s">
        <v>81</v>
      </c>
      <c r="I3293" s="33" t="s">
        <v>38</v>
      </c>
      <c r="J3293" s="33">
        <v>60612</v>
      </c>
      <c r="K3293" s="33" t="s">
        <v>82</v>
      </c>
      <c r="L3293" s="33" t="s">
        <v>83</v>
      </c>
      <c r="M3293" s="33" t="s">
        <v>21</v>
      </c>
      <c r="N3293" s="33" t="s">
        <v>25364</v>
      </c>
      <c r="O3293" s="33" t="s">
        <v>372</v>
      </c>
      <c r="P3293" s="33" t="s">
        <v>30089</v>
      </c>
      <c r="Q3293" s="42" t="s">
        <v>25365</v>
      </c>
      <c r="R3293" s="33" t="s">
        <v>94</v>
      </c>
      <c r="S3293" s="33" t="s">
        <v>22</v>
      </c>
      <c r="T3293" s="36" t="s">
        <v>26781</v>
      </c>
      <c r="U3293" s="33" t="s">
        <v>26572</v>
      </c>
      <c r="V3293" s="33" t="s">
        <v>26574</v>
      </c>
      <c r="W3293" s="33" t="s">
        <v>94</v>
      </c>
      <c r="X3293" s="33">
        <v>2219</v>
      </c>
      <c r="Z3293" s="33" t="s">
        <v>42966</v>
      </c>
      <c r="AA3293" s="33">
        <v>4372</v>
      </c>
    </row>
    <row r="3294" spans="1:47" ht="12" customHeight="1" x14ac:dyDescent="0.15">
      <c r="A3294" s="33" t="s">
        <v>25293</v>
      </c>
      <c r="B3294" s="33">
        <v>33</v>
      </c>
      <c r="C3294" s="33" t="s">
        <v>14</v>
      </c>
      <c r="D3294" s="33" t="s">
        <v>128</v>
      </c>
      <c r="F3294" s="67">
        <v>42750</v>
      </c>
      <c r="G3294" s="33" t="s">
        <v>25294</v>
      </c>
      <c r="H3294" s="33" t="s">
        <v>782</v>
      </c>
      <c r="I3294" s="33" t="s">
        <v>282</v>
      </c>
      <c r="J3294" s="33">
        <v>99204</v>
      </c>
      <c r="K3294" s="33" t="s">
        <v>782</v>
      </c>
      <c r="L3294" s="33" t="s">
        <v>783</v>
      </c>
      <c r="M3294" s="33" t="s">
        <v>4966</v>
      </c>
      <c r="N3294" s="33" t="s">
        <v>25295</v>
      </c>
      <c r="O3294" s="33" t="s">
        <v>372</v>
      </c>
      <c r="P3294" s="33" t="s">
        <v>94</v>
      </c>
      <c r="Q3294" s="42" t="s">
        <v>25296</v>
      </c>
      <c r="R3294" s="33" t="s">
        <v>23</v>
      </c>
      <c r="S3294" s="33" t="s">
        <v>22</v>
      </c>
      <c r="T3294" s="36" t="s">
        <v>26774</v>
      </c>
      <c r="U3294" s="33" t="s">
        <v>26570</v>
      </c>
      <c r="V3294" s="33" t="s">
        <v>26574</v>
      </c>
      <c r="W3294" s="33" t="s">
        <v>512</v>
      </c>
      <c r="X3294" s="33">
        <v>2220</v>
      </c>
      <c r="Z3294" s="33" t="s">
        <v>42966</v>
      </c>
      <c r="AA3294" s="33">
        <v>4374</v>
      </c>
    </row>
    <row r="3295" spans="1:47" ht="12" customHeight="1" x14ac:dyDescent="0.15">
      <c r="A3295" s="33" t="s">
        <v>25819</v>
      </c>
      <c r="B3295" s="33">
        <v>28</v>
      </c>
      <c r="C3295" s="33" t="s">
        <v>14</v>
      </c>
      <c r="D3295" s="33" t="s">
        <v>79</v>
      </c>
      <c r="F3295" s="67">
        <v>42749</v>
      </c>
      <c r="G3295" s="33" t="s">
        <v>25820</v>
      </c>
      <c r="H3295" s="33" t="s">
        <v>25821</v>
      </c>
      <c r="I3295" s="33" t="s">
        <v>395</v>
      </c>
      <c r="J3295" s="33">
        <v>11413</v>
      </c>
      <c r="K3295" s="33" t="s">
        <v>2474</v>
      </c>
      <c r="L3295" s="33" t="s">
        <v>539</v>
      </c>
      <c r="M3295" s="33" t="s">
        <v>4966</v>
      </c>
      <c r="N3295" s="33" t="s">
        <v>25822</v>
      </c>
      <c r="O3295" s="33" t="s">
        <v>372</v>
      </c>
      <c r="P3295" s="33" t="s">
        <v>30089</v>
      </c>
      <c r="Q3295" s="42" t="s">
        <v>25823</v>
      </c>
      <c r="R3295" s="33" t="s">
        <v>23</v>
      </c>
      <c r="S3295" s="33" t="s">
        <v>29</v>
      </c>
      <c r="T3295" s="33" t="s">
        <v>26586</v>
      </c>
      <c r="U3295" s="33" t="s">
        <v>26572</v>
      </c>
      <c r="V3295" s="33" t="s">
        <v>26573</v>
      </c>
      <c r="W3295" s="33" t="s">
        <v>94</v>
      </c>
      <c r="X3295" s="33">
        <v>2222</v>
      </c>
      <c r="Z3295" s="33" t="s">
        <v>42966</v>
      </c>
      <c r="AA3295" s="33">
        <v>4370</v>
      </c>
    </row>
    <row r="3296" spans="1:47" ht="12" customHeight="1" x14ac:dyDescent="0.15">
      <c r="A3296" s="33" t="s">
        <v>25643</v>
      </c>
      <c r="B3296" s="33">
        <v>47</v>
      </c>
      <c r="C3296" s="33" t="s">
        <v>14</v>
      </c>
      <c r="D3296" s="33" t="s">
        <v>31</v>
      </c>
      <c r="F3296" s="67">
        <v>42749</v>
      </c>
      <c r="G3296" s="33" t="s">
        <v>25644</v>
      </c>
      <c r="H3296" s="33" t="s">
        <v>1227</v>
      </c>
      <c r="I3296" s="33" t="s">
        <v>67</v>
      </c>
      <c r="J3296" s="33">
        <v>78750</v>
      </c>
      <c r="K3296" s="33" t="s">
        <v>1228</v>
      </c>
      <c r="L3296" s="33" t="s">
        <v>1229</v>
      </c>
      <c r="M3296" s="33" t="s">
        <v>21</v>
      </c>
      <c r="N3296" s="33" t="s">
        <v>25645</v>
      </c>
      <c r="O3296" s="33" t="s">
        <v>372</v>
      </c>
      <c r="P3296" s="33" t="s">
        <v>94</v>
      </c>
      <c r="Q3296" s="42" t="s">
        <v>25646</v>
      </c>
      <c r="R3296" s="33" t="s">
        <v>23</v>
      </c>
      <c r="S3296" s="33" t="s">
        <v>22</v>
      </c>
      <c r="T3296" s="36" t="s">
        <v>26781</v>
      </c>
      <c r="U3296" s="33" t="s">
        <v>26572</v>
      </c>
      <c r="V3296" s="33" t="s">
        <v>26574</v>
      </c>
      <c r="W3296" s="33" t="s">
        <v>94</v>
      </c>
      <c r="X3296" s="33">
        <v>2221</v>
      </c>
      <c r="Z3296" s="33" t="s">
        <v>42968</v>
      </c>
      <c r="AA3296" s="33">
        <v>4369</v>
      </c>
    </row>
    <row r="3297" spans="1:43" ht="12" customHeight="1" x14ac:dyDescent="0.15">
      <c r="A3297" s="33" t="s">
        <v>25851</v>
      </c>
      <c r="B3297" s="33">
        <v>29</v>
      </c>
      <c r="C3297" s="33" t="s">
        <v>14</v>
      </c>
      <c r="D3297" s="33" t="s">
        <v>885</v>
      </c>
      <c r="F3297" s="67">
        <v>42748</v>
      </c>
      <c r="G3297" s="33" t="s">
        <v>26127</v>
      </c>
      <c r="H3297" s="33" t="s">
        <v>25852</v>
      </c>
      <c r="I3297" s="33" t="s">
        <v>814</v>
      </c>
      <c r="J3297" s="33">
        <v>96762</v>
      </c>
      <c r="K3297" s="33" t="s">
        <v>2196</v>
      </c>
      <c r="L3297" s="33" t="s">
        <v>3281</v>
      </c>
      <c r="M3297" s="33" t="s">
        <v>21</v>
      </c>
      <c r="N3297" s="33" t="s">
        <v>25853</v>
      </c>
      <c r="O3297" s="33" t="s">
        <v>372</v>
      </c>
      <c r="P3297" s="33" t="s">
        <v>30089</v>
      </c>
      <c r="Q3297" s="42" t="s">
        <v>25854</v>
      </c>
      <c r="R3297" s="33" t="s">
        <v>94</v>
      </c>
      <c r="S3297" s="33" t="s">
        <v>351</v>
      </c>
      <c r="T3297" s="36" t="s">
        <v>26867</v>
      </c>
      <c r="U3297" s="33" t="s">
        <v>26570</v>
      </c>
      <c r="V3297" s="33" t="s">
        <v>26571</v>
      </c>
      <c r="W3297" s="33" t="s">
        <v>94</v>
      </c>
      <c r="X3297" s="33">
        <v>2218</v>
      </c>
      <c r="Z3297" s="33" t="s">
        <v>42967</v>
      </c>
      <c r="AA3297" s="33">
        <v>4368</v>
      </c>
    </row>
    <row r="3298" spans="1:43" ht="12" customHeight="1" x14ac:dyDescent="0.15">
      <c r="A3298" s="33" t="s">
        <v>25622</v>
      </c>
      <c r="B3298" s="33">
        <v>26</v>
      </c>
      <c r="C3298" s="33" t="s">
        <v>14</v>
      </c>
      <c r="D3298" s="33" t="s">
        <v>31</v>
      </c>
      <c r="E3298" s="42" t="s">
        <v>25623</v>
      </c>
      <c r="F3298" s="67">
        <v>42747</v>
      </c>
      <c r="G3298" s="33" t="s">
        <v>25624</v>
      </c>
      <c r="H3298" s="33" t="s">
        <v>8885</v>
      </c>
      <c r="I3298" s="33" t="s">
        <v>225</v>
      </c>
      <c r="J3298" s="33">
        <v>24134</v>
      </c>
      <c r="K3298" s="33" t="s">
        <v>8887</v>
      </c>
      <c r="L3298" s="33" t="s">
        <v>25625</v>
      </c>
      <c r="M3298" s="33" t="s">
        <v>21</v>
      </c>
      <c r="N3298" s="33" t="s">
        <v>25626</v>
      </c>
      <c r="O3298" s="33" t="s">
        <v>372</v>
      </c>
      <c r="P3298" s="33" t="s">
        <v>30089</v>
      </c>
      <c r="Q3298" s="42" t="s">
        <v>25627</v>
      </c>
      <c r="R3298" s="33" t="s">
        <v>23</v>
      </c>
      <c r="S3298" s="33" t="s">
        <v>22</v>
      </c>
      <c r="T3298" s="36" t="s">
        <v>26774</v>
      </c>
      <c r="U3298" s="33" t="s">
        <v>26572</v>
      </c>
      <c r="V3298" s="33" t="s">
        <v>26573</v>
      </c>
      <c r="W3298" s="33" t="s">
        <v>94</v>
      </c>
      <c r="X3298" s="33">
        <v>2227</v>
      </c>
      <c r="Z3298" s="33" t="s">
        <v>42967</v>
      </c>
      <c r="AA3298" s="33">
        <v>4367</v>
      </c>
    </row>
    <row r="3299" spans="1:43" ht="12" customHeight="1" x14ac:dyDescent="0.15">
      <c r="A3299" s="33" t="s">
        <v>25392</v>
      </c>
      <c r="B3299" s="33">
        <v>20</v>
      </c>
      <c r="C3299" s="33" t="s">
        <v>14</v>
      </c>
      <c r="D3299" s="33" t="s">
        <v>128</v>
      </c>
      <c r="E3299" s="42" t="s">
        <v>25393</v>
      </c>
      <c r="F3299" s="67">
        <v>42747</v>
      </c>
      <c r="G3299" s="33" t="s">
        <v>26095</v>
      </c>
      <c r="H3299" s="33" t="s">
        <v>25394</v>
      </c>
      <c r="I3299" s="33" t="s">
        <v>122</v>
      </c>
      <c r="J3299" s="33">
        <v>56359</v>
      </c>
      <c r="K3299" s="33" t="s">
        <v>25395</v>
      </c>
      <c r="L3299" s="33" t="s">
        <v>25396</v>
      </c>
      <c r="M3299" s="33" t="s">
        <v>21</v>
      </c>
      <c r="N3299" s="33" t="s">
        <v>25397</v>
      </c>
      <c r="O3299" s="33" t="s">
        <v>372</v>
      </c>
      <c r="P3299" s="33" t="s">
        <v>30089</v>
      </c>
      <c r="Q3299" s="42" t="s">
        <v>25398</v>
      </c>
      <c r="R3299" s="33" t="s">
        <v>94</v>
      </c>
      <c r="S3299" s="33" t="s">
        <v>22</v>
      </c>
      <c r="T3299" s="36" t="s">
        <v>26781</v>
      </c>
      <c r="U3299" s="33" t="s">
        <v>26572</v>
      </c>
      <c r="V3299" s="33" t="s">
        <v>26573</v>
      </c>
      <c r="W3299" s="33" t="s">
        <v>94</v>
      </c>
      <c r="X3299" s="33">
        <v>2224</v>
      </c>
      <c r="Z3299" s="33" t="s">
        <v>42967</v>
      </c>
      <c r="AA3299" s="33">
        <v>4366</v>
      </c>
    </row>
    <row r="3300" spans="1:43" ht="12" customHeight="1" x14ac:dyDescent="0.15">
      <c r="A3300" s="33" t="s">
        <v>25980</v>
      </c>
      <c r="B3300" s="33">
        <v>54</v>
      </c>
      <c r="C3300" s="33" t="s">
        <v>14</v>
      </c>
      <c r="D3300" s="33" t="s">
        <v>31</v>
      </c>
      <c r="E3300" s="42" t="s">
        <v>25981</v>
      </c>
      <c r="F3300" s="67">
        <v>42747</v>
      </c>
      <c r="G3300" s="33" t="s">
        <v>25982</v>
      </c>
      <c r="H3300" s="33" t="s">
        <v>2814</v>
      </c>
      <c r="I3300" s="33" t="s">
        <v>56</v>
      </c>
      <c r="J3300" s="33">
        <v>34471</v>
      </c>
      <c r="K3300" s="33" t="s">
        <v>392</v>
      </c>
      <c r="L3300" s="33" t="s">
        <v>2816</v>
      </c>
      <c r="M3300" s="33" t="s">
        <v>21</v>
      </c>
      <c r="N3300" s="33" t="s">
        <v>25983</v>
      </c>
      <c r="O3300" s="33" t="s">
        <v>372</v>
      </c>
      <c r="P3300" s="33" t="s">
        <v>30089</v>
      </c>
      <c r="Q3300" s="42" t="s">
        <v>25984</v>
      </c>
      <c r="R3300" s="33" t="s">
        <v>512</v>
      </c>
      <c r="S3300" s="33" t="s">
        <v>22</v>
      </c>
      <c r="T3300" s="36" t="s">
        <v>26781</v>
      </c>
      <c r="U3300" s="33" t="s">
        <v>26570</v>
      </c>
      <c r="V3300" s="33" t="s">
        <v>26573</v>
      </c>
      <c r="W3300" s="33" t="s">
        <v>94</v>
      </c>
      <c r="X3300" s="33">
        <v>2211</v>
      </c>
      <c r="Z3300" s="33" t="s">
        <v>42966</v>
      </c>
      <c r="AA3300" s="33">
        <v>4365</v>
      </c>
    </row>
    <row r="3301" spans="1:43" ht="12" customHeight="1" x14ac:dyDescent="0.15">
      <c r="A3301" s="33" t="s">
        <v>25359</v>
      </c>
      <c r="B3301" s="33">
        <v>41</v>
      </c>
      <c r="C3301" s="33" t="s">
        <v>14</v>
      </c>
      <c r="D3301" s="33" t="s">
        <v>15</v>
      </c>
      <c r="F3301" s="67">
        <v>42746</v>
      </c>
      <c r="G3301" s="33" t="s">
        <v>25360</v>
      </c>
      <c r="H3301" s="33" t="s">
        <v>10945</v>
      </c>
      <c r="I3301" s="33" t="s">
        <v>39</v>
      </c>
      <c r="J3301" s="33">
        <v>92532</v>
      </c>
      <c r="K3301" s="33" t="s">
        <v>728</v>
      </c>
      <c r="L3301" s="33" t="s">
        <v>36927</v>
      </c>
      <c r="M3301" s="33" t="s">
        <v>21</v>
      </c>
      <c r="N3301" s="33" t="s">
        <v>25361</v>
      </c>
      <c r="O3301" s="33" t="s">
        <v>372</v>
      </c>
      <c r="P3301" s="33" t="s">
        <v>30089</v>
      </c>
      <c r="Q3301" s="42" t="s">
        <v>25362</v>
      </c>
      <c r="R3301" s="33" t="s">
        <v>904</v>
      </c>
      <c r="S3301" s="33" t="s">
        <v>22</v>
      </c>
      <c r="T3301" s="36" t="s">
        <v>26781</v>
      </c>
      <c r="U3301" s="33" t="s">
        <v>26572</v>
      </c>
      <c r="V3301" s="33" t="s">
        <v>19228</v>
      </c>
      <c r="W3301" s="33" t="s">
        <v>94</v>
      </c>
      <c r="X3301" s="33">
        <v>2210</v>
      </c>
      <c r="Z3301" s="33" t="s">
        <v>42968</v>
      </c>
      <c r="AA3301" s="33">
        <v>4363</v>
      </c>
      <c r="AQ3301" s="42"/>
    </row>
    <row r="3302" spans="1:43" ht="12" customHeight="1" x14ac:dyDescent="0.15">
      <c r="A3302" s="33" t="s">
        <v>25448</v>
      </c>
      <c r="B3302" s="33">
        <v>38</v>
      </c>
      <c r="C3302" s="33" t="s">
        <v>14</v>
      </c>
      <c r="D3302" s="33" t="s">
        <v>42</v>
      </c>
      <c r="E3302" s="42" t="s">
        <v>25449</v>
      </c>
      <c r="F3302" s="67">
        <v>42746</v>
      </c>
      <c r="G3302" s="33" t="s">
        <v>26101</v>
      </c>
      <c r="H3302" s="33" t="s">
        <v>1406</v>
      </c>
      <c r="I3302" s="33" t="s">
        <v>75</v>
      </c>
      <c r="J3302" s="33">
        <v>8105</v>
      </c>
      <c r="K3302" s="33" t="s">
        <v>1406</v>
      </c>
      <c r="L3302" s="33" t="s">
        <v>1407</v>
      </c>
      <c r="M3302" s="33" t="s">
        <v>21</v>
      </c>
      <c r="N3302" s="33" t="s">
        <v>25450</v>
      </c>
      <c r="O3302" s="33" t="s">
        <v>372</v>
      </c>
      <c r="P3302" s="33" t="s">
        <v>30089</v>
      </c>
      <c r="Q3302" s="42" t="s">
        <v>25451</v>
      </c>
      <c r="R3302" s="33" t="s">
        <v>94</v>
      </c>
      <c r="S3302" s="33" t="s">
        <v>22</v>
      </c>
      <c r="T3302" s="36" t="s">
        <v>26781</v>
      </c>
      <c r="U3302" s="33" t="s">
        <v>26572</v>
      </c>
      <c r="V3302" s="33" t="s">
        <v>26573</v>
      </c>
      <c r="W3302" s="33" t="s">
        <v>94</v>
      </c>
      <c r="X3302" s="33">
        <v>2215</v>
      </c>
      <c r="Z3302" s="33" t="s">
        <v>42966</v>
      </c>
      <c r="AA3302" s="33">
        <v>4364</v>
      </c>
      <c r="AQ3302" s="42"/>
    </row>
    <row r="3303" spans="1:43" ht="12" customHeight="1" x14ac:dyDescent="0.15">
      <c r="A3303" s="33" t="s">
        <v>26026</v>
      </c>
      <c r="B3303" s="33">
        <v>41</v>
      </c>
      <c r="C3303" s="33" t="s">
        <v>14</v>
      </c>
      <c r="D3303" s="33" t="s">
        <v>31</v>
      </c>
      <c r="F3303" s="67">
        <v>42746</v>
      </c>
      <c r="G3303" s="33" t="s">
        <v>26027</v>
      </c>
      <c r="H3303" s="33" t="s">
        <v>1227</v>
      </c>
      <c r="I3303" s="33" t="s">
        <v>122</v>
      </c>
      <c r="J3303" s="33">
        <v>55912</v>
      </c>
      <c r="K3303" s="33" t="s">
        <v>26028</v>
      </c>
      <c r="L3303" s="33" t="s">
        <v>1229</v>
      </c>
      <c r="M3303" s="33" t="s">
        <v>21</v>
      </c>
      <c r="N3303" s="33" t="s">
        <v>26029</v>
      </c>
      <c r="O3303" s="33" t="s">
        <v>372</v>
      </c>
      <c r="P3303" s="33" t="s">
        <v>30089</v>
      </c>
      <c r="Q3303" s="42" t="s">
        <v>26030</v>
      </c>
      <c r="R3303" s="33" t="s">
        <v>94</v>
      </c>
      <c r="S3303" s="33" t="s">
        <v>29</v>
      </c>
      <c r="T3303" s="33" t="s">
        <v>29666</v>
      </c>
      <c r="U3303" s="33" t="s">
        <v>26572</v>
      </c>
      <c r="V3303" s="33" t="s">
        <v>26573</v>
      </c>
      <c r="W3303" s="33" t="s">
        <v>94</v>
      </c>
      <c r="X3303" s="33">
        <v>2209</v>
      </c>
      <c r="Z3303" s="33" t="s">
        <v>42968</v>
      </c>
      <c r="AA3303" s="33">
        <v>4362</v>
      </c>
    </row>
    <row r="3304" spans="1:43" ht="12" customHeight="1" x14ac:dyDescent="0.15">
      <c r="A3304" s="33" t="s">
        <v>25557</v>
      </c>
      <c r="B3304" s="33">
        <v>32</v>
      </c>
      <c r="C3304" s="33" t="s">
        <v>14</v>
      </c>
      <c r="D3304" s="33" t="s">
        <v>31</v>
      </c>
      <c r="F3304" s="67">
        <v>42745</v>
      </c>
      <c r="G3304" s="33" t="s">
        <v>25558</v>
      </c>
      <c r="H3304" s="33" t="s">
        <v>92</v>
      </c>
      <c r="I3304" s="33" t="s">
        <v>39</v>
      </c>
      <c r="J3304" s="33">
        <v>90015</v>
      </c>
      <c r="K3304" s="33" t="s">
        <v>92</v>
      </c>
      <c r="L3304" s="33" t="s">
        <v>93</v>
      </c>
      <c r="M3304" s="33" t="s">
        <v>21</v>
      </c>
      <c r="N3304" s="33" t="s">
        <v>25559</v>
      </c>
      <c r="O3304" s="33" t="s">
        <v>372</v>
      </c>
      <c r="P3304" s="33" t="s">
        <v>30089</v>
      </c>
      <c r="Q3304" s="42" t="s">
        <v>25560</v>
      </c>
      <c r="R3304" s="33" t="s">
        <v>94</v>
      </c>
      <c r="S3304" s="33" t="s">
        <v>22</v>
      </c>
      <c r="T3304" s="36" t="s">
        <v>26774</v>
      </c>
      <c r="U3304" s="33" t="s">
        <v>26570</v>
      </c>
      <c r="V3304" s="33" t="s">
        <v>26573</v>
      </c>
      <c r="W3304" s="33" t="s">
        <v>94</v>
      </c>
      <c r="X3304" s="33">
        <v>2207</v>
      </c>
      <c r="Z3304" s="33" t="s">
        <v>42966</v>
      </c>
      <c r="AA3304" s="33">
        <v>4359</v>
      </c>
    </row>
    <row r="3305" spans="1:43" ht="12" customHeight="1" x14ac:dyDescent="0.15">
      <c r="A3305" s="33" t="s">
        <v>25898</v>
      </c>
      <c r="B3305" s="33">
        <v>23</v>
      </c>
      <c r="C3305" s="33" t="s">
        <v>14</v>
      </c>
      <c r="D3305" s="33" t="s">
        <v>79</v>
      </c>
      <c r="E3305" s="42" t="s">
        <v>25899</v>
      </c>
      <c r="F3305" s="67">
        <v>42745</v>
      </c>
      <c r="G3305" s="33" t="s">
        <v>25900</v>
      </c>
      <c r="H3305" s="33" t="s">
        <v>25901</v>
      </c>
      <c r="I3305" s="33" t="s">
        <v>298</v>
      </c>
      <c r="J3305" s="33">
        <v>38368</v>
      </c>
      <c r="K3305" s="33" t="s">
        <v>1194</v>
      </c>
      <c r="L3305" s="33" t="s">
        <v>1195</v>
      </c>
      <c r="M3305" s="33" t="s">
        <v>4966</v>
      </c>
      <c r="N3305" s="33" t="s">
        <v>25902</v>
      </c>
      <c r="O3305" s="33" t="s">
        <v>372</v>
      </c>
      <c r="P3305" s="33" t="s">
        <v>30089</v>
      </c>
      <c r="Q3305" s="42" t="s">
        <v>25903</v>
      </c>
      <c r="R3305" s="33" t="s">
        <v>94</v>
      </c>
      <c r="S3305" s="33" t="s">
        <v>12</v>
      </c>
      <c r="T3305" s="33" t="s">
        <v>29705</v>
      </c>
      <c r="U3305" s="33" t="s">
        <v>26572</v>
      </c>
      <c r="V3305" s="33" t="s">
        <v>26573</v>
      </c>
      <c r="W3305" s="33" t="s">
        <v>94</v>
      </c>
      <c r="X3305" s="33">
        <v>2223</v>
      </c>
      <c r="Z3305" s="33" t="s">
        <v>42967</v>
      </c>
      <c r="AA3305" s="33">
        <v>4361</v>
      </c>
      <c r="AQ3305" s="42"/>
    </row>
    <row r="3306" spans="1:43" ht="12" customHeight="1" x14ac:dyDescent="0.15">
      <c r="A3306" s="33" t="s">
        <v>25735</v>
      </c>
      <c r="B3306" s="33">
        <v>30</v>
      </c>
      <c r="C3306" s="33" t="s">
        <v>14</v>
      </c>
      <c r="D3306" s="33" t="s">
        <v>42</v>
      </c>
      <c r="E3306" s="42" t="s">
        <v>25736</v>
      </c>
      <c r="F3306" s="67">
        <v>42745</v>
      </c>
      <c r="G3306" s="33" t="s">
        <v>25737</v>
      </c>
      <c r="H3306" s="33" t="s">
        <v>1202</v>
      </c>
      <c r="I3306" s="33" t="s">
        <v>160</v>
      </c>
      <c r="J3306" s="33">
        <v>31904</v>
      </c>
      <c r="K3306" s="33" t="s">
        <v>9779</v>
      </c>
      <c r="L3306" s="33" t="s">
        <v>3124</v>
      </c>
      <c r="M3306" s="33" t="s">
        <v>11646</v>
      </c>
      <c r="N3306" s="33" t="s">
        <v>36640</v>
      </c>
      <c r="O3306" s="33" t="s">
        <v>372</v>
      </c>
      <c r="P3306" s="33" t="s">
        <v>30089</v>
      </c>
      <c r="Q3306" s="42" t="s">
        <v>37056</v>
      </c>
      <c r="R3306" s="33" t="s">
        <v>94</v>
      </c>
      <c r="S3306" s="33" t="s">
        <v>12</v>
      </c>
      <c r="T3306" s="33" t="s">
        <v>29705</v>
      </c>
      <c r="U3306" s="33" t="s">
        <v>26570</v>
      </c>
      <c r="V3306" s="33" t="s">
        <v>26573</v>
      </c>
      <c r="Z3306" s="33" t="s">
        <v>42968</v>
      </c>
      <c r="AA3306" s="33">
        <v>4360</v>
      </c>
    </row>
    <row r="3307" spans="1:43" ht="12" customHeight="1" x14ac:dyDescent="0.15">
      <c r="A3307" s="33" t="s">
        <v>25972</v>
      </c>
      <c r="B3307" s="33">
        <v>38</v>
      </c>
      <c r="C3307" s="33" t="s">
        <v>14</v>
      </c>
      <c r="D3307" s="33" t="s">
        <v>79</v>
      </c>
      <c r="F3307" s="67">
        <v>42744</v>
      </c>
      <c r="G3307" s="33" t="s">
        <v>25973</v>
      </c>
      <c r="H3307" s="33" t="s">
        <v>584</v>
      </c>
      <c r="I3307" s="33" t="s">
        <v>112</v>
      </c>
      <c r="J3307" s="33">
        <v>85051</v>
      </c>
      <c r="K3307" s="33" t="s">
        <v>585</v>
      </c>
      <c r="L3307" s="33" t="s">
        <v>586</v>
      </c>
      <c r="M3307" s="33" t="s">
        <v>21</v>
      </c>
      <c r="N3307" s="33" t="s">
        <v>25974</v>
      </c>
      <c r="O3307" s="33" t="s">
        <v>372</v>
      </c>
      <c r="P3307" s="33" t="s">
        <v>30089</v>
      </c>
      <c r="Q3307" s="42" t="s">
        <v>25975</v>
      </c>
      <c r="R3307" s="33" t="s">
        <v>94</v>
      </c>
      <c r="S3307" s="33" t="s">
        <v>12</v>
      </c>
      <c r="T3307" s="33" t="s">
        <v>29705</v>
      </c>
      <c r="U3307" s="33" t="s">
        <v>26570</v>
      </c>
      <c r="V3307" s="33" t="s">
        <v>26574</v>
      </c>
      <c r="W3307" s="33" t="s">
        <v>512</v>
      </c>
      <c r="X3307" s="33">
        <v>2205</v>
      </c>
      <c r="Z3307" s="33" t="s">
        <v>42966</v>
      </c>
      <c r="AA3307" s="33">
        <v>4358</v>
      </c>
    </row>
    <row r="3308" spans="1:43" ht="12" customHeight="1" x14ac:dyDescent="0.15">
      <c r="A3308" s="33" t="s">
        <v>25290</v>
      </c>
      <c r="B3308" s="33">
        <v>21</v>
      </c>
      <c r="C3308" s="33" t="s">
        <v>14</v>
      </c>
      <c r="D3308" s="33" t="s">
        <v>79</v>
      </c>
      <c r="F3308" s="67">
        <v>42744</v>
      </c>
      <c r="G3308" s="33" t="s">
        <v>26085</v>
      </c>
      <c r="H3308" s="33" t="s">
        <v>661</v>
      </c>
      <c r="I3308" s="33" t="s">
        <v>402</v>
      </c>
      <c r="J3308" s="33">
        <v>63113</v>
      </c>
      <c r="K3308" s="33" t="s">
        <v>661</v>
      </c>
      <c r="L3308" s="33" t="s">
        <v>4162</v>
      </c>
      <c r="M3308" s="33" t="s">
        <v>21</v>
      </c>
      <c r="N3308" s="33" t="s">
        <v>25291</v>
      </c>
      <c r="O3308" s="33" t="s">
        <v>372</v>
      </c>
      <c r="P3308" s="33" t="s">
        <v>30089</v>
      </c>
      <c r="Q3308" s="42" t="s">
        <v>25292</v>
      </c>
      <c r="R3308" s="33" t="s">
        <v>94</v>
      </c>
      <c r="S3308" s="33" t="s">
        <v>22</v>
      </c>
      <c r="T3308" s="36" t="s">
        <v>26781</v>
      </c>
      <c r="U3308" s="33" t="s">
        <v>26572</v>
      </c>
      <c r="V3308" s="33" t="s">
        <v>26571</v>
      </c>
      <c r="W3308" s="33" t="s">
        <v>94</v>
      </c>
      <c r="X3308" s="33">
        <v>2206</v>
      </c>
      <c r="Z3308" s="33" t="s">
        <v>42966</v>
      </c>
      <c r="AA3308" s="33">
        <v>4357</v>
      </c>
      <c r="AG3308" s="42"/>
      <c r="AQ3308" s="42"/>
    </row>
    <row r="3309" spans="1:43" ht="12" customHeight="1" x14ac:dyDescent="0.15">
      <c r="A3309" s="33" t="s">
        <v>25399</v>
      </c>
      <c r="B3309" s="33">
        <v>44</v>
      </c>
      <c r="C3309" s="33" t="s">
        <v>14</v>
      </c>
      <c r="D3309" s="33" t="s">
        <v>31</v>
      </c>
      <c r="E3309" s="33" t="s">
        <v>26150</v>
      </c>
      <c r="F3309" s="67">
        <v>42743</v>
      </c>
      <c r="G3309" s="33" t="s">
        <v>25400</v>
      </c>
      <c r="H3309" s="33" t="s">
        <v>8495</v>
      </c>
      <c r="I3309" s="33" t="s">
        <v>160</v>
      </c>
      <c r="J3309" s="33">
        <v>30041</v>
      </c>
      <c r="K3309" s="33" t="s">
        <v>8497</v>
      </c>
      <c r="L3309" s="33" t="s">
        <v>10025</v>
      </c>
      <c r="M3309" s="33" t="s">
        <v>21</v>
      </c>
      <c r="N3309" s="33" t="s">
        <v>25401</v>
      </c>
      <c r="O3309" s="33" t="s">
        <v>372</v>
      </c>
      <c r="P3309" s="33" t="s">
        <v>30089</v>
      </c>
      <c r="Q3309" s="42" t="s">
        <v>25402</v>
      </c>
      <c r="R3309" s="33" t="s">
        <v>512</v>
      </c>
      <c r="S3309" s="33" t="s">
        <v>22</v>
      </c>
      <c r="T3309" s="36" t="s">
        <v>26774</v>
      </c>
      <c r="U3309" s="33" t="s">
        <v>26570</v>
      </c>
      <c r="V3309" s="33" t="s">
        <v>26573</v>
      </c>
      <c r="W3309" s="33" t="s">
        <v>94</v>
      </c>
      <c r="X3309" s="33">
        <v>2204</v>
      </c>
      <c r="Z3309" s="33" t="s">
        <v>42968</v>
      </c>
      <c r="AA3309" s="33">
        <v>4356</v>
      </c>
    </row>
    <row r="3310" spans="1:43" ht="12" customHeight="1" x14ac:dyDescent="0.15">
      <c r="A3310" s="33" t="s">
        <v>25269</v>
      </c>
      <c r="B3310" s="33">
        <v>25</v>
      </c>
      <c r="C3310" s="33" t="s">
        <v>14</v>
      </c>
      <c r="D3310" s="33" t="s">
        <v>31</v>
      </c>
      <c r="E3310" s="42" t="s">
        <v>25270</v>
      </c>
      <c r="F3310" s="67">
        <v>42742</v>
      </c>
      <c r="G3310" s="33" t="s">
        <v>25271</v>
      </c>
      <c r="H3310" s="33" t="s">
        <v>7859</v>
      </c>
      <c r="I3310" s="33" t="s">
        <v>139</v>
      </c>
      <c r="J3310" s="33">
        <v>24740</v>
      </c>
      <c r="K3310" s="33" t="s">
        <v>2675</v>
      </c>
      <c r="L3310" s="33" t="s">
        <v>25272</v>
      </c>
      <c r="M3310" s="33" t="s">
        <v>30360</v>
      </c>
      <c r="N3310" s="33" t="s">
        <v>25273</v>
      </c>
      <c r="O3310" s="33" t="s">
        <v>372</v>
      </c>
      <c r="P3310" s="33" t="s">
        <v>30089</v>
      </c>
      <c r="Q3310" s="42" t="s">
        <v>25274</v>
      </c>
      <c r="R3310" s="33" t="s">
        <v>94</v>
      </c>
      <c r="S3310" s="33" t="s">
        <v>22</v>
      </c>
      <c r="T3310" s="36" t="s">
        <v>26774</v>
      </c>
      <c r="U3310" s="33" t="s">
        <v>26570</v>
      </c>
      <c r="V3310" s="33" t="s">
        <v>26571</v>
      </c>
      <c r="W3310" s="33" t="s">
        <v>94</v>
      </c>
      <c r="X3310" s="33">
        <v>2196</v>
      </c>
      <c r="Z3310" s="33" t="s">
        <v>42967</v>
      </c>
      <c r="AA3310" s="33">
        <v>4352</v>
      </c>
    </row>
    <row r="3311" spans="1:43" ht="12" customHeight="1" x14ac:dyDescent="0.15">
      <c r="A3311" s="33" t="s">
        <v>25864</v>
      </c>
      <c r="B3311" s="33">
        <v>31</v>
      </c>
      <c r="C3311" s="33" t="s">
        <v>14</v>
      </c>
      <c r="D3311" s="33" t="s">
        <v>42</v>
      </c>
      <c r="E3311" s="42" t="s">
        <v>25865</v>
      </c>
      <c r="F3311" s="67">
        <v>42742</v>
      </c>
      <c r="G3311" s="33" t="s">
        <v>25866</v>
      </c>
      <c r="H3311" s="33" t="s">
        <v>1943</v>
      </c>
      <c r="I3311" s="33" t="s">
        <v>192</v>
      </c>
      <c r="J3311" s="33">
        <v>80234</v>
      </c>
      <c r="K3311" s="33" t="s">
        <v>1790</v>
      </c>
      <c r="L3311" s="33" t="s">
        <v>1944</v>
      </c>
      <c r="M3311" s="33" t="s">
        <v>21</v>
      </c>
      <c r="N3311" s="33" t="s">
        <v>36641</v>
      </c>
      <c r="O3311" s="33" t="s">
        <v>372</v>
      </c>
      <c r="P3311" s="33" t="s">
        <v>94</v>
      </c>
      <c r="Q3311" s="42" t="s">
        <v>25867</v>
      </c>
      <c r="R3311" s="33" t="s">
        <v>512</v>
      </c>
      <c r="S3311" s="33" t="s">
        <v>351</v>
      </c>
      <c r="T3311" s="36" t="s">
        <v>26867</v>
      </c>
      <c r="U3311" s="33" t="s">
        <v>26570</v>
      </c>
      <c r="V3311" s="33" t="s">
        <v>26573</v>
      </c>
      <c r="W3311" s="33" t="s">
        <v>94</v>
      </c>
      <c r="X3311" s="33">
        <v>2201</v>
      </c>
      <c r="Z3311" s="33" t="s">
        <v>42968</v>
      </c>
      <c r="AA3311" s="33">
        <v>4355</v>
      </c>
      <c r="AQ3311" s="42"/>
    </row>
    <row r="3312" spans="1:43" ht="12" customHeight="1" x14ac:dyDescent="0.15">
      <c r="A3312" s="33" t="s">
        <v>25214</v>
      </c>
      <c r="B3312" s="33">
        <v>50</v>
      </c>
      <c r="C3312" s="33" t="s">
        <v>14</v>
      </c>
      <c r="D3312" s="33" t="s">
        <v>42</v>
      </c>
      <c r="F3312" s="67">
        <v>42742</v>
      </c>
      <c r="G3312" s="33" t="s">
        <v>25215</v>
      </c>
      <c r="H3312" s="33" t="s">
        <v>4913</v>
      </c>
      <c r="I3312" s="33" t="s">
        <v>402</v>
      </c>
      <c r="J3312" s="33">
        <v>64057</v>
      </c>
      <c r="K3312" s="33" t="s">
        <v>404</v>
      </c>
      <c r="L3312" s="33" t="s">
        <v>1321</v>
      </c>
      <c r="M3312" s="33" t="s">
        <v>21</v>
      </c>
      <c r="N3312" s="33" t="s">
        <v>25216</v>
      </c>
      <c r="O3312" s="33" t="s">
        <v>372</v>
      </c>
      <c r="P3312" s="33" t="s">
        <v>94</v>
      </c>
      <c r="Q3312" s="42" t="s">
        <v>25217</v>
      </c>
      <c r="R3312" s="33" t="s">
        <v>512</v>
      </c>
      <c r="S3312" s="33" t="s">
        <v>22</v>
      </c>
      <c r="T3312" s="36" t="s">
        <v>26781</v>
      </c>
      <c r="U3312" s="33" t="s">
        <v>26572</v>
      </c>
      <c r="V3312" s="33" t="s">
        <v>26573</v>
      </c>
      <c r="W3312" s="33" t="s">
        <v>94</v>
      </c>
      <c r="X3312" s="33">
        <v>2202</v>
      </c>
      <c r="Z3312" s="33" t="s">
        <v>42968</v>
      </c>
      <c r="AA3312" s="33">
        <v>4351</v>
      </c>
      <c r="AQ3312" s="42"/>
    </row>
    <row r="3313" spans="1:43" ht="12" customHeight="1" x14ac:dyDescent="0.15">
      <c r="A3313" s="33" t="s">
        <v>25688</v>
      </c>
      <c r="B3313" s="33">
        <v>42</v>
      </c>
      <c r="C3313" s="33" t="s">
        <v>14</v>
      </c>
      <c r="D3313" s="33" t="s">
        <v>31</v>
      </c>
      <c r="E3313" s="42" t="s">
        <v>25689</v>
      </c>
      <c r="F3313" s="67">
        <v>42742</v>
      </c>
      <c r="G3313" s="33" t="s">
        <v>25690</v>
      </c>
      <c r="H3313" s="33" t="s">
        <v>25691</v>
      </c>
      <c r="I3313" s="33" t="s">
        <v>367</v>
      </c>
      <c r="J3313" s="33">
        <v>74343</v>
      </c>
      <c r="K3313" s="33" t="s">
        <v>7026</v>
      </c>
      <c r="L3313" s="33" t="s">
        <v>25028</v>
      </c>
      <c r="M3313" s="33" t="s">
        <v>21</v>
      </c>
      <c r="N3313" s="33" t="s">
        <v>25692</v>
      </c>
      <c r="O3313" s="33" t="s">
        <v>372</v>
      </c>
      <c r="P3313" s="33" t="s">
        <v>30089</v>
      </c>
      <c r="Q3313" s="42" t="s">
        <v>25693</v>
      </c>
      <c r="R3313" s="33" t="s">
        <v>94</v>
      </c>
      <c r="S3313" s="33" t="s">
        <v>22</v>
      </c>
      <c r="T3313" s="36" t="s">
        <v>26781</v>
      </c>
      <c r="U3313" s="33" t="s">
        <v>26572</v>
      </c>
      <c r="V3313" s="33" t="s">
        <v>19228</v>
      </c>
      <c r="W3313" s="33" t="s">
        <v>94</v>
      </c>
      <c r="X3313" s="33">
        <v>2198</v>
      </c>
      <c r="Z3313" s="33" t="s">
        <v>42967</v>
      </c>
      <c r="AA3313" s="33">
        <v>4350</v>
      </c>
    </row>
    <row r="3314" spans="1:43" ht="12" customHeight="1" x14ac:dyDescent="0.15">
      <c r="A3314" s="33" t="s">
        <v>26067</v>
      </c>
      <c r="B3314" s="33">
        <v>41</v>
      </c>
      <c r="C3314" s="33" t="s">
        <v>14</v>
      </c>
      <c r="D3314" s="33" t="s">
        <v>31</v>
      </c>
      <c r="F3314" s="67">
        <v>42742</v>
      </c>
      <c r="G3314" s="33" t="s">
        <v>26144</v>
      </c>
      <c r="H3314" s="33" t="s">
        <v>26068</v>
      </c>
      <c r="I3314" s="33" t="s">
        <v>46</v>
      </c>
      <c r="J3314" s="33">
        <v>21075</v>
      </c>
      <c r="K3314" s="33" t="s">
        <v>47</v>
      </c>
      <c r="L3314" s="33" t="s">
        <v>48</v>
      </c>
      <c r="M3314" s="33" t="s">
        <v>21</v>
      </c>
      <c r="N3314" s="33" t="s">
        <v>26069</v>
      </c>
      <c r="O3314" s="33" t="s">
        <v>372</v>
      </c>
      <c r="P3314" s="33" t="s">
        <v>30089</v>
      </c>
      <c r="Q3314" s="42" t="s">
        <v>26070</v>
      </c>
      <c r="R3314" s="33" t="s">
        <v>94</v>
      </c>
      <c r="S3314" s="33" t="s">
        <v>12</v>
      </c>
      <c r="T3314" s="33" t="s">
        <v>29705</v>
      </c>
      <c r="U3314" s="33" t="s">
        <v>26572</v>
      </c>
      <c r="V3314" s="33" t="s">
        <v>26573</v>
      </c>
      <c r="W3314" s="33" t="s">
        <v>94</v>
      </c>
      <c r="X3314" s="33">
        <v>2199</v>
      </c>
      <c r="Z3314" s="33" t="s">
        <v>42968</v>
      </c>
      <c r="AA3314" s="33">
        <v>4353</v>
      </c>
    </row>
    <row r="3315" spans="1:43" ht="12" customHeight="1" x14ac:dyDescent="0.15">
      <c r="A3315" s="33" t="s">
        <v>25918</v>
      </c>
      <c r="B3315" s="33">
        <v>38</v>
      </c>
      <c r="C3315" s="33" t="s">
        <v>14</v>
      </c>
      <c r="D3315" s="33" t="s">
        <v>42</v>
      </c>
      <c r="E3315" s="42" t="s">
        <v>25919</v>
      </c>
      <c r="F3315" s="67">
        <v>42742</v>
      </c>
      <c r="G3315" s="33" t="s">
        <v>25920</v>
      </c>
      <c r="H3315" s="33" t="s">
        <v>866</v>
      </c>
      <c r="I3315" s="33" t="s">
        <v>178</v>
      </c>
      <c r="J3315" s="33">
        <v>87107</v>
      </c>
      <c r="K3315" s="33" t="s">
        <v>433</v>
      </c>
      <c r="L3315" s="33" t="s">
        <v>4562</v>
      </c>
      <c r="M3315" s="33" t="s">
        <v>21</v>
      </c>
      <c r="N3315" s="33" t="s">
        <v>36642</v>
      </c>
      <c r="O3315" s="33" t="s">
        <v>372</v>
      </c>
      <c r="P3315" s="33" t="s">
        <v>30089</v>
      </c>
      <c r="Q3315" s="42" t="s">
        <v>25921</v>
      </c>
      <c r="R3315" s="33" t="s">
        <v>94</v>
      </c>
      <c r="S3315" s="33" t="s">
        <v>12</v>
      </c>
      <c r="T3315" s="33" t="s">
        <v>29705</v>
      </c>
      <c r="U3315" s="33" t="s">
        <v>26570</v>
      </c>
      <c r="V3315" s="33" t="s">
        <v>26573</v>
      </c>
      <c r="W3315" s="33" t="s">
        <v>94</v>
      </c>
      <c r="X3315" s="33">
        <v>2203</v>
      </c>
      <c r="Z3315" s="33" t="s">
        <v>42968</v>
      </c>
      <c r="AA3315" s="33">
        <v>4354</v>
      </c>
      <c r="AQ3315" s="42"/>
    </row>
    <row r="3316" spans="1:43" ht="12" customHeight="1" x14ac:dyDescent="0.15">
      <c r="A3316" s="33" t="s">
        <v>26031</v>
      </c>
      <c r="B3316" s="33">
        <v>23</v>
      </c>
      <c r="C3316" s="33" t="s">
        <v>20419</v>
      </c>
      <c r="D3316" s="33" t="s">
        <v>31</v>
      </c>
      <c r="E3316" s="42" t="s">
        <v>26032</v>
      </c>
      <c r="F3316" s="67">
        <v>42741</v>
      </c>
      <c r="G3316" s="33" t="s">
        <v>26033</v>
      </c>
      <c r="H3316" s="33" t="s">
        <v>26034</v>
      </c>
      <c r="I3316" s="33" t="s">
        <v>376</v>
      </c>
      <c r="J3316" s="33">
        <v>16146</v>
      </c>
      <c r="K3316" s="33" t="s">
        <v>2675</v>
      </c>
      <c r="L3316" s="33" t="s">
        <v>26035</v>
      </c>
      <c r="M3316" s="33" t="s">
        <v>21</v>
      </c>
      <c r="N3316" s="33" t="s">
        <v>26036</v>
      </c>
      <c r="O3316" s="33" t="s">
        <v>372</v>
      </c>
      <c r="P3316" s="33" t="s">
        <v>30089</v>
      </c>
      <c r="Q3316" s="42" t="s">
        <v>26037</v>
      </c>
      <c r="R3316" s="33" t="s">
        <v>512</v>
      </c>
      <c r="S3316" s="33" t="s">
        <v>22</v>
      </c>
      <c r="T3316" s="36" t="s">
        <v>26774</v>
      </c>
      <c r="U3316" s="33" t="s">
        <v>26570</v>
      </c>
      <c r="V3316" s="33" t="s">
        <v>26573</v>
      </c>
      <c r="W3316" s="33" t="s">
        <v>94</v>
      </c>
      <c r="X3316" s="33">
        <v>2197</v>
      </c>
      <c r="Z3316" s="33" t="s">
        <v>42968</v>
      </c>
      <c r="AA3316" s="33">
        <v>4349</v>
      </c>
    </row>
    <row r="3317" spans="1:43" ht="12" customHeight="1" x14ac:dyDescent="0.15">
      <c r="A3317" s="33" t="s">
        <v>26723</v>
      </c>
      <c r="B3317" s="33">
        <v>32</v>
      </c>
      <c r="C3317" s="33" t="s">
        <v>14</v>
      </c>
      <c r="D3317" s="33" t="s">
        <v>79</v>
      </c>
      <c r="F3317" s="67">
        <v>42741</v>
      </c>
      <c r="G3317" s="33" t="s">
        <v>29626</v>
      </c>
      <c r="H3317" s="33" t="s">
        <v>26722</v>
      </c>
      <c r="I3317" s="33" t="s">
        <v>38</v>
      </c>
      <c r="L3317" s="33" t="s">
        <v>29627</v>
      </c>
      <c r="M3317" s="33" t="s">
        <v>21</v>
      </c>
      <c r="N3317" s="33" t="s">
        <v>29628</v>
      </c>
      <c r="O3317" s="33" t="s">
        <v>372</v>
      </c>
      <c r="P3317" s="33" t="s">
        <v>30089</v>
      </c>
      <c r="Q3317" s="33" t="s">
        <v>29629</v>
      </c>
      <c r="R3317" s="33" t="s">
        <v>94</v>
      </c>
      <c r="S3317" s="33" t="s">
        <v>22</v>
      </c>
      <c r="T3317" s="36" t="s">
        <v>26781</v>
      </c>
      <c r="U3317" s="33" t="s">
        <v>26572</v>
      </c>
      <c r="V3317" s="33" t="s">
        <v>19228</v>
      </c>
      <c r="W3317" s="33" t="s">
        <v>94</v>
      </c>
      <c r="X3317" s="33">
        <v>2200</v>
      </c>
      <c r="Z3317" s="33" t="e">
        <v>#N/A</v>
      </c>
      <c r="AA3317" s="33">
        <v>4348</v>
      </c>
    </row>
    <row r="3318" spans="1:43" ht="12" customHeight="1" x14ac:dyDescent="0.15">
      <c r="A3318" s="33" t="s">
        <v>25522</v>
      </c>
      <c r="B3318" s="33">
        <v>20</v>
      </c>
      <c r="C3318" s="33" t="s">
        <v>14</v>
      </c>
      <c r="D3318" s="33" t="s">
        <v>42</v>
      </c>
      <c r="F3318" s="67">
        <v>42740</v>
      </c>
      <c r="G3318" s="33" t="s">
        <v>25523</v>
      </c>
      <c r="H3318" s="33" t="s">
        <v>25524</v>
      </c>
      <c r="I3318" s="33" t="s">
        <v>39</v>
      </c>
      <c r="J3318" s="33">
        <v>93618</v>
      </c>
      <c r="K3318" s="33" t="s">
        <v>1088</v>
      </c>
      <c r="L3318" s="33" t="s">
        <v>25525</v>
      </c>
      <c r="M3318" s="33" t="s">
        <v>21</v>
      </c>
      <c r="N3318" s="33" t="s">
        <v>25526</v>
      </c>
      <c r="O3318" s="33" t="s">
        <v>372</v>
      </c>
      <c r="P3318" s="33" t="s">
        <v>30089</v>
      </c>
      <c r="Q3318" s="33" t="s">
        <v>25527</v>
      </c>
      <c r="R3318" s="33" t="s">
        <v>94</v>
      </c>
      <c r="S3318" s="33" t="s">
        <v>22</v>
      </c>
      <c r="T3318" s="36" t="s">
        <v>26781</v>
      </c>
      <c r="U3318" s="33" t="s">
        <v>26572</v>
      </c>
      <c r="V3318" s="33" t="s">
        <v>26573</v>
      </c>
      <c r="W3318" s="33" t="s">
        <v>94</v>
      </c>
      <c r="X3318" s="33">
        <v>2194</v>
      </c>
      <c r="Z3318" s="33" t="s">
        <v>42968</v>
      </c>
      <c r="AA3318" s="33">
        <v>4346</v>
      </c>
    </row>
    <row r="3319" spans="1:43" ht="12" customHeight="1" x14ac:dyDescent="0.15">
      <c r="A3319" s="33" t="s">
        <v>25606</v>
      </c>
      <c r="B3319" s="33">
        <v>41</v>
      </c>
      <c r="C3319" s="33" t="s">
        <v>14</v>
      </c>
      <c r="D3319" s="33" t="s">
        <v>31</v>
      </c>
      <c r="E3319" s="33" t="s">
        <v>26155</v>
      </c>
      <c r="F3319" s="67">
        <v>42740</v>
      </c>
      <c r="G3319" s="33" t="s">
        <v>25607</v>
      </c>
      <c r="H3319" s="33" t="s">
        <v>25608</v>
      </c>
      <c r="I3319" s="33" t="s">
        <v>298</v>
      </c>
      <c r="J3319" s="33">
        <v>37375</v>
      </c>
      <c r="K3319" s="33" t="s">
        <v>1203</v>
      </c>
      <c r="L3319" s="33" t="s">
        <v>25609</v>
      </c>
      <c r="M3319" s="33" t="s">
        <v>21</v>
      </c>
      <c r="N3319" s="33" t="s">
        <v>25610</v>
      </c>
      <c r="O3319" s="33" t="s">
        <v>372</v>
      </c>
      <c r="P3319" s="33" t="s">
        <v>30089</v>
      </c>
      <c r="Q3319" s="42" t="s">
        <v>25611</v>
      </c>
      <c r="R3319" s="33" t="s">
        <v>512</v>
      </c>
      <c r="S3319" s="33" t="s">
        <v>22</v>
      </c>
      <c r="T3319" s="36" t="s">
        <v>26781</v>
      </c>
      <c r="U3319" s="33" t="s">
        <v>26572</v>
      </c>
      <c r="V3319" s="33" t="s">
        <v>26573</v>
      </c>
      <c r="W3319" s="33" t="s">
        <v>94</v>
      </c>
      <c r="X3319" s="33">
        <v>2195</v>
      </c>
      <c r="Z3319" s="33" t="s">
        <v>42967</v>
      </c>
      <c r="AA3319" s="33">
        <v>4347</v>
      </c>
    </row>
    <row r="3320" spans="1:43" ht="12" customHeight="1" x14ac:dyDescent="0.15">
      <c r="A3320" s="33" t="s">
        <v>25633</v>
      </c>
      <c r="B3320" s="33">
        <v>51</v>
      </c>
      <c r="C3320" s="33" t="s">
        <v>14</v>
      </c>
      <c r="D3320" s="33" t="s">
        <v>79</v>
      </c>
      <c r="F3320" s="67">
        <v>42739</v>
      </c>
      <c r="G3320" s="33" t="s">
        <v>26113</v>
      </c>
      <c r="H3320" s="33" t="s">
        <v>2654</v>
      </c>
      <c r="I3320" s="33" t="s">
        <v>39</v>
      </c>
      <c r="J3320" s="33">
        <v>91767</v>
      </c>
      <c r="K3320" s="33" t="s">
        <v>92</v>
      </c>
      <c r="L3320" s="33" t="s">
        <v>25634</v>
      </c>
      <c r="M3320" s="33" t="s">
        <v>21</v>
      </c>
      <c r="N3320" s="33" t="s">
        <v>25635</v>
      </c>
      <c r="O3320" s="33" t="s">
        <v>372</v>
      </c>
      <c r="P3320" s="33" t="s">
        <v>30089</v>
      </c>
      <c r="Q3320" s="42" t="s">
        <v>25636</v>
      </c>
      <c r="R3320" s="33" t="s">
        <v>94</v>
      </c>
      <c r="S3320" s="33" t="s">
        <v>22</v>
      </c>
      <c r="T3320" s="36" t="s">
        <v>26781</v>
      </c>
      <c r="U3320" s="33" t="s">
        <v>26572</v>
      </c>
      <c r="V3320" s="33" t="s">
        <v>26574</v>
      </c>
      <c r="W3320" s="33" t="s">
        <v>94</v>
      </c>
      <c r="X3320" s="33">
        <v>2191</v>
      </c>
      <c r="Z3320" s="33" t="s">
        <v>42966</v>
      </c>
      <c r="AA3320" s="33">
        <v>4341</v>
      </c>
    </row>
    <row r="3321" spans="1:43" ht="12" customHeight="1" x14ac:dyDescent="0.15">
      <c r="A3321" s="33" t="s">
        <v>36643</v>
      </c>
      <c r="B3321" s="33">
        <v>64</v>
      </c>
      <c r="C3321" s="33" t="s">
        <v>14</v>
      </c>
      <c r="D3321" s="33" t="s">
        <v>31</v>
      </c>
      <c r="F3321" s="67">
        <v>42739</v>
      </c>
      <c r="G3321" s="33" t="s">
        <v>26053</v>
      </c>
      <c r="H3321" s="33" t="s">
        <v>1397</v>
      </c>
      <c r="I3321" s="33" t="s">
        <v>294</v>
      </c>
      <c r="J3321" s="33">
        <v>40444</v>
      </c>
      <c r="K3321" s="33" t="s">
        <v>26054</v>
      </c>
      <c r="L3321" s="33" t="s">
        <v>26055</v>
      </c>
      <c r="M3321" s="33" t="s">
        <v>21</v>
      </c>
      <c r="N3321" s="33" t="s">
        <v>36644</v>
      </c>
      <c r="O3321" s="33" t="s">
        <v>372</v>
      </c>
      <c r="P3321" s="33" t="s">
        <v>30089</v>
      </c>
      <c r="Q3321" s="42" t="s">
        <v>26056</v>
      </c>
      <c r="R3321" s="33" t="s">
        <v>94</v>
      </c>
      <c r="S3321" s="33" t="s">
        <v>22</v>
      </c>
      <c r="T3321" s="36" t="s">
        <v>26781</v>
      </c>
      <c r="U3321" s="33" t="s">
        <v>26572</v>
      </c>
      <c r="V3321" s="33" t="s">
        <v>26573</v>
      </c>
      <c r="W3321" s="33" t="s">
        <v>94</v>
      </c>
      <c r="X3321" s="33">
        <v>2192</v>
      </c>
      <c r="Z3321" s="33" t="s">
        <v>42967</v>
      </c>
      <c r="AA3321" s="33">
        <v>4342</v>
      </c>
    </row>
    <row r="3322" spans="1:43" ht="12" customHeight="1" x14ac:dyDescent="0.15">
      <c r="A3322" s="33" t="s">
        <v>25464</v>
      </c>
      <c r="B3322" s="33">
        <v>18</v>
      </c>
      <c r="C3322" s="33" t="s">
        <v>14</v>
      </c>
      <c r="D3322" s="33" t="s">
        <v>42</v>
      </c>
      <c r="E3322" s="42" t="s">
        <v>25465</v>
      </c>
      <c r="F3322" s="67">
        <v>42739</v>
      </c>
      <c r="G3322" s="33" t="s">
        <v>25466</v>
      </c>
      <c r="H3322" s="33" t="s">
        <v>1599</v>
      </c>
      <c r="I3322" s="33" t="s">
        <v>395</v>
      </c>
      <c r="J3322" s="33">
        <v>11238</v>
      </c>
      <c r="K3322" s="33" t="s">
        <v>1601</v>
      </c>
      <c r="L3322" s="33" t="s">
        <v>539</v>
      </c>
      <c r="M3322" s="33" t="s">
        <v>21</v>
      </c>
      <c r="N3322" s="33" t="s">
        <v>25467</v>
      </c>
      <c r="O3322" s="33" t="s">
        <v>372</v>
      </c>
      <c r="P3322" s="33" t="s">
        <v>30089</v>
      </c>
      <c r="Q3322" s="42" t="s">
        <v>25468</v>
      </c>
      <c r="R3322" s="33" t="s">
        <v>30397</v>
      </c>
      <c r="S3322" s="33" t="s">
        <v>22</v>
      </c>
      <c r="T3322" s="36" t="s">
        <v>26781</v>
      </c>
      <c r="U3322" s="33" t="s">
        <v>26572</v>
      </c>
      <c r="V3322" s="33" t="s">
        <v>26574</v>
      </c>
      <c r="W3322" s="33" t="s">
        <v>94</v>
      </c>
      <c r="X3322" s="33">
        <v>2190</v>
      </c>
      <c r="Z3322" s="33" t="s">
        <v>42966</v>
      </c>
      <c r="AA3322" s="33">
        <v>4340</v>
      </c>
    </row>
    <row r="3323" spans="1:43" ht="12" customHeight="1" x14ac:dyDescent="0.15">
      <c r="A3323" s="33" t="s">
        <v>25789</v>
      </c>
      <c r="B3323" s="33">
        <v>35</v>
      </c>
      <c r="C3323" s="33" t="s">
        <v>14</v>
      </c>
      <c r="D3323" s="33" t="s">
        <v>31</v>
      </c>
      <c r="F3323" s="67">
        <v>42739</v>
      </c>
      <c r="G3323" s="33" t="s">
        <v>25790</v>
      </c>
      <c r="H3323" s="33" t="s">
        <v>12230</v>
      </c>
      <c r="I3323" s="33" t="s">
        <v>56</v>
      </c>
      <c r="J3323" s="33">
        <v>33705</v>
      </c>
      <c r="K3323" s="33" t="s">
        <v>2152</v>
      </c>
      <c r="L3323" s="33" t="s">
        <v>12747</v>
      </c>
      <c r="M3323" s="33" t="s">
        <v>363</v>
      </c>
      <c r="N3323" s="33" t="s">
        <v>25791</v>
      </c>
      <c r="O3323" s="33" t="s">
        <v>372</v>
      </c>
      <c r="P3323" s="33" t="s">
        <v>30089</v>
      </c>
      <c r="Q3323" s="42" t="s">
        <v>25792</v>
      </c>
      <c r="R3323" s="33" t="s">
        <v>904</v>
      </c>
      <c r="S3323" s="33" t="s">
        <v>12</v>
      </c>
      <c r="T3323" s="33" t="s">
        <v>29705</v>
      </c>
      <c r="U3323" s="33" t="s">
        <v>26572</v>
      </c>
      <c r="V3323" s="33" t="s">
        <v>26573</v>
      </c>
      <c r="Z3323" s="33" t="s">
        <v>42966</v>
      </c>
      <c r="AA3323" s="33">
        <v>4344</v>
      </c>
    </row>
    <row r="3324" spans="1:43" ht="12" customHeight="1" x14ac:dyDescent="0.15">
      <c r="A3324" s="33" t="s">
        <v>26021</v>
      </c>
      <c r="B3324" s="33">
        <v>45</v>
      </c>
      <c r="C3324" s="33" t="s">
        <v>14</v>
      </c>
      <c r="D3324" s="33" t="s">
        <v>31</v>
      </c>
      <c r="F3324" s="67">
        <v>42739</v>
      </c>
      <c r="G3324" s="33" t="s">
        <v>26022</v>
      </c>
      <c r="H3324" s="33" t="s">
        <v>26023</v>
      </c>
      <c r="I3324" s="33" t="s">
        <v>198</v>
      </c>
      <c r="J3324" s="33">
        <v>47118</v>
      </c>
      <c r="K3324" s="33" t="s">
        <v>10271</v>
      </c>
      <c r="L3324" s="33" t="s">
        <v>11075</v>
      </c>
      <c r="M3324" s="33" t="s">
        <v>21</v>
      </c>
      <c r="N3324" s="33" t="s">
        <v>26024</v>
      </c>
      <c r="O3324" s="33" t="s">
        <v>372</v>
      </c>
      <c r="P3324" s="33" t="s">
        <v>30089</v>
      </c>
      <c r="Q3324" s="42" t="s">
        <v>26025</v>
      </c>
      <c r="R3324" s="33" t="s">
        <v>94</v>
      </c>
      <c r="S3324" s="33" t="s">
        <v>351</v>
      </c>
      <c r="T3324" s="36" t="s">
        <v>26867</v>
      </c>
      <c r="U3324" s="33" t="s">
        <v>26572</v>
      </c>
      <c r="V3324" s="33" t="s">
        <v>26571</v>
      </c>
      <c r="W3324" s="33" t="s">
        <v>94</v>
      </c>
      <c r="X3324" s="33">
        <v>2193</v>
      </c>
      <c r="Z3324" s="33" t="s">
        <v>42967</v>
      </c>
      <c r="AA3324" s="33">
        <v>4345</v>
      </c>
    </row>
    <row r="3325" spans="1:43" ht="12" customHeight="1" x14ac:dyDescent="0.15">
      <c r="A3325" s="33" t="s">
        <v>25738</v>
      </c>
      <c r="B3325" s="33">
        <v>43</v>
      </c>
      <c r="C3325" s="33" t="s">
        <v>14</v>
      </c>
      <c r="D3325" s="33" t="s">
        <v>79</v>
      </c>
      <c r="E3325" s="42" t="s">
        <v>25739</v>
      </c>
      <c r="F3325" s="67">
        <v>42739</v>
      </c>
      <c r="G3325" s="33" t="s">
        <v>25740</v>
      </c>
      <c r="H3325" s="33" t="s">
        <v>584</v>
      </c>
      <c r="I3325" s="33" t="s">
        <v>112</v>
      </c>
      <c r="J3325" s="33">
        <v>85031</v>
      </c>
      <c r="K3325" s="33" t="s">
        <v>585</v>
      </c>
      <c r="L3325" s="33" t="s">
        <v>586</v>
      </c>
      <c r="M3325" s="33" t="s">
        <v>2134</v>
      </c>
      <c r="N3325" s="33" t="s">
        <v>25741</v>
      </c>
      <c r="O3325" s="33" t="s">
        <v>372</v>
      </c>
      <c r="P3325" s="33" t="s">
        <v>30089</v>
      </c>
      <c r="Q3325" s="42" t="s">
        <v>37055</v>
      </c>
      <c r="R3325" s="33" t="s">
        <v>23</v>
      </c>
      <c r="S3325" s="33" t="s">
        <v>12</v>
      </c>
      <c r="T3325" s="33" t="s">
        <v>29705</v>
      </c>
      <c r="U3325" s="33" t="s">
        <v>26570</v>
      </c>
      <c r="V3325" s="33" t="s">
        <v>26573</v>
      </c>
      <c r="W3325" s="33" t="s">
        <v>512</v>
      </c>
      <c r="Z3325" s="33" t="s">
        <v>42966</v>
      </c>
      <c r="AA3325" s="33">
        <v>4343</v>
      </c>
    </row>
    <row r="3326" spans="1:43" ht="12" customHeight="1" x14ac:dyDescent="0.15">
      <c r="A3326" s="33" t="s">
        <v>25384</v>
      </c>
      <c r="B3326" s="33">
        <v>63</v>
      </c>
      <c r="C3326" s="33" t="s">
        <v>14</v>
      </c>
      <c r="D3326" s="33" t="s">
        <v>79</v>
      </c>
      <c r="F3326" s="67">
        <v>42738</v>
      </c>
      <c r="G3326" s="33" t="s">
        <v>25385</v>
      </c>
      <c r="H3326" s="33" t="s">
        <v>1599</v>
      </c>
      <c r="I3326" s="33" t="s">
        <v>395</v>
      </c>
      <c r="J3326" s="33">
        <v>11236</v>
      </c>
      <c r="K3326" s="33" t="s">
        <v>1601</v>
      </c>
      <c r="L3326" s="33" t="s">
        <v>539</v>
      </c>
      <c r="M3326" s="33" t="s">
        <v>4966</v>
      </c>
      <c r="N3326" s="33" t="s">
        <v>36645</v>
      </c>
      <c r="O3326" s="33" t="s">
        <v>372</v>
      </c>
      <c r="P3326" s="33" t="s">
        <v>30089</v>
      </c>
      <c r="Q3326" s="42" t="s">
        <v>25386</v>
      </c>
      <c r="R3326" s="33" t="s">
        <v>512</v>
      </c>
      <c r="S3326" s="33" t="s">
        <v>22</v>
      </c>
      <c r="T3326" s="36" t="s">
        <v>26774</v>
      </c>
      <c r="U3326" s="33" t="s">
        <v>26570</v>
      </c>
      <c r="V3326" s="33" t="s">
        <v>26573</v>
      </c>
      <c r="W3326" s="33" t="s">
        <v>94</v>
      </c>
      <c r="X3326" s="33">
        <v>2189</v>
      </c>
      <c r="Z3326" s="33" t="s">
        <v>42966</v>
      </c>
      <c r="AA3326" s="33">
        <v>4339</v>
      </c>
    </row>
    <row r="3327" spans="1:43" ht="12" customHeight="1" x14ac:dyDescent="0.15">
      <c r="A3327" s="33" t="s">
        <v>25260</v>
      </c>
      <c r="B3327" s="33">
        <v>53</v>
      </c>
      <c r="C3327" s="33" t="s">
        <v>14</v>
      </c>
      <c r="D3327" s="33" t="s">
        <v>31</v>
      </c>
      <c r="F3327" s="67">
        <v>42738</v>
      </c>
      <c r="G3327" s="33" t="s">
        <v>26083</v>
      </c>
      <c r="H3327" s="33" t="s">
        <v>25261</v>
      </c>
      <c r="I3327" s="33" t="s">
        <v>67</v>
      </c>
      <c r="J3327" s="33">
        <v>75645</v>
      </c>
      <c r="K3327" s="33" t="s">
        <v>23457</v>
      </c>
      <c r="L3327" s="33" t="s">
        <v>25262</v>
      </c>
      <c r="M3327" s="33" t="s">
        <v>21</v>
      </c>
      <c r="N3327" s="33" t="s">
        <v>25263</v>
      </c>
      <c r="O3327" s="33" t="s">
        <v>372</v>
      </c>
      <c r="P3327" s="33" t="s">
        <v>30089</v>
      </c>
      <c r="Q3327" s="42" t="s">
        <v>25264</v>
      </c>
      <c r="R3327" s="33" t="s">
        <v>512</v>
      </c>
      <c r="S3327" s="33" t="s">
        <v>22</v>
      </c>
      <c r="T3327" s="36" t="s">
        <v>26781</v>
      </c>
      <c r="U3327" s="33" t="s">
        <v>26572</v>
      </c>
      <c r="V3327" s="33" t="s">
        <v>26573</v>
      </c>
      <c r="W3327" s="33" t="s">
        <v>512</v>
      </c>
      <c r="X3327" s="33">
        <v>2188</v>
      </c>
      <c r="Z3327" s="33" t="s">
        <v>42967</v>
      </c>
      <c r="AA3327" s="33">
        <v>4338</v>
      </c>
      <c r="AQ3327" s="42"/>
    </row>
    <row r="3328" spans="1:43" ht="12" customHeight="1" x14ac:dyDescent="0.15">
      <c r="A3328" s="33" t="s">
        <v>25959</v>
      </c>
      <c r="B3328" s="33">
        <v>38</v>
      </c>
      <c r="C3328" s="33" t="s">
        <v>14</v>
      </c>
      <c r="D3328" s="33" t="s">
        <v>42</v>
      </c>
      <c r="E3328" s="42" t="s">
        <v>25960</v>
      </c>
      <c r="F3328" s="67">
        <v>42737</v>
      </c>
      <c r="G3328" s="33" t="s">
        <v>26131</v>
      </c>
      <c r="H3328" s="33" t="s">
        <v>81</v>
      </c>
      <c r="I3328" s="33" t="s">
        <v>38</v>
      </c>
      <c r="J3328" s="33">
        <v>60639</v>
      </c>
      <c r="K3328" s="33" t="s">
        <v>82</v>
      </c>
      <c r="L3328" s="33" t="s">
        <v>83</v>
      </c>
      <c r="M3328" s="33" t="s">
        <v>21</v>
      </c>
      <c r="N3328" s="33" t="s">
        <v>25961</v>
      </c>
      <c r="O3328" s="33" t="s">
        <v>1083</v>
      </c>
      <c r="P3328" s="33" t="s">
        <v>1084</v>
      </c>
      <c r="Q3328" s="42" t="s">
        <v>25962</v>
      </c>
      <c r="R3328" s="33" t="s">
        <v>94</v>
      </c>
      <c r="S3328" s="33" t="s">
        <v>12</v>
      </c>
      <c r="T3328" s="33" t="s">
        <v>29705</v>
      </c>
      <c r="U3328" s="33" t="s">
        <v>26570</v>
      </c>
      <c r="V3328" s="33" t="s">
        <v>26573</v>
      </c>
      <c r="Y3328" s="33" t="s">
        <v>42476</v>
      </c>
      <c r="Z3328" s="33" t="s">
        <v>42966</v>
      </c>
      <c r="AA3328" s="33">
        <v>4337</v>
      </c>
    </row>
    <row r="3329" spans="1:27" ht="12" customHeight="1" x14ac:dyDescent="0.15">
      <c r="A3329" s="33" t="s">
        <v>25881</v>
      </c>
      <c r="B3329" s="33">
        <v>21</v>
      </c>
      <c r="C3329" s="33" t="s">
        <v>14</v>
      </c>
      <c r="D3329" s="33" t="s">
        <v>79</v>
      </c>
      <c r="E3329" s="42" t="s">
        <v>25882</v>
      </c>
      <c r="F3329" s="67">
        <v>42736</v>
      </c>
      <c r="G3329" s="33" t="s">
        <v>26129</v>
      </c>
      <c r="H3329" s="33" t="s">
        <v>1680</v>
      </c>
      <c r="I3329" s="33" t="s">
        <v>67</v>
      </c>
      <c r="J3329" s="33">
        <v>75002</v>
      </c>
      <c r="K3329" s="33" t="s">
        <v>18009</v>
      </c>
      <c r="L3329" s="33" t="s">
        <v>24817</v>
      </c>
      <c r="M3329" s="33" t="s">
        <v>21</v>
      </c>
      <c r="N3329" s="33" t="s">
        <v>25883</v>
      </c>
      <c r="O3329" s="33" t="s">
        <v>372</v>
      </c>
      <c r="P3329" s="33" t="s">
        <v>30089</v>
      </c>
      <c r="Q3329" s="42" t="s">
        <v>25884</v>
      </c>
      <c r="R3329" s="33" t="s">
        <v>94</v>
      </c>
      <c r="S3329" s="33" t="s">
        <v>351</v>
      </c>
      <c r="T3329" s="36" t="s">
        <v>26867</v>
      </c>
      <c r="U3329" s="33" t="s">
        <v>26572</v>
      </c>
      <c r="V3329" s="33" t="s">
        <v>26571</v>
      </c>
      <c r="W3329" s="33" t="s">
        <v>94</v>
      </c>
      <c r="X3329" s="33">
        <v>2187</v>
      </c>
      <c r="Z3329" s="33" t="s">
        <v>42968</v>
      </c>
      <c r="AA3329" s="33">
        <v>4336</v>
      </c>
    </row>
    <row r="3330" spans="1:27" ht="12" customHeight="1" x14ac:dyDescent="0.15">
      <c r="A3330" s="33" t="s">
        <v>25222</v>
      </c>
      <c r="B3330" s="33">
        <v>35</v>
      </c>
      <c r="C3330" s="33" t="s">
        <v>14</v>
      </c>
      <c r="D3330" s="33" t="s">
        <v>31</v>
      </c>
      <c r="F3330" s="67">
        <v>42736</v>
      </c>
      <c r="G3330" s="33" t="s">
        <v>25223</v>
      </c>
      <c r="H3330" s="33" t="s">
        <v>25224</v>
      </c>
      <c r="I3330" s="33" t="s">
        <v>160</v>
      </c>
      <c r="J3330" s="33">
        <v>30144</v>
      </c>
      <c r="K3330" s="33" t="s">
        <v>3052</v>
      </c>
      <c r="L3330" s="33" t="s">
        <v>9608</v>
      </c>
      <c r="M3330" s="33" t="s">
        <v>21</v>
      </c>
      <c r="N3330" s="33" t="s">
        <v>25225</v>
      </c>
      <c r="O3330" s="33" t="s">
        <v>372</v>
      </c>
      <c r="P3330" s="33" t="s">
        <v>30089</v>
      </c>
      <c r="Q3330" s="42" t="s">
        <v>25226</v>
      </c>
      <c r="R3330" s="33" t="s">
        <v>94</v>
      </c>
      <c r="S3330" s="33" t="s">
        <v>22</v>
      </c>
      <c r="T3330" s="36" t="s">
        <v>26781</v>
      </c>
      <c r="U3330" s="33" t="s">
        <v>26572</v>
      </c>
      <c r="V3330" s="33" t="s">
        <v>26571</v>
      </c>
      <c r="W3330" s="33" t="s">
        <v>94</v>
      </c>
      <c r="X3330" s="33">
        <v>2184</v>
      </c>
      <c r="Z3330" s="33" t="s">
        <v>42968</v>
      </c>
      <c r="AA3330" s="33">
        <v>4332</v>
      </c>
    </row>
    <row r="3331" spans="1:27" ht="12" customHeight="1" x14ac:dyDescent="0.15">
      <c r="A3331" s="33" t="s">
        <v>26045</v>
      </c>
      <c r="B3331" s="33">
        <v>17</v>
      </c>
      <c r="C3331" s="33" t="s">
        <v>14</v>
      </c>
      <c r="D3331" s="33" t="s">
        <v>79</v>
      </c>
      <c r="F3331" s="67">
        <v>42736</v>
      </c>
      <c r="G3331" s="33" t="s">
        <v>26046</v>
      </c>
      <c r="H3331" s="33" t="s">
        <v>26047</v>
      </c>
      <c r="I3331" s="33" t="s">
        <v>38</v>
      </c>
      <c r="J3331" s="33">
        <v>60181</v>
      </c>
      <c r="K3331" s="33" t="s">
        <v>82</v>
      </c>
      <c r="L3331" s="33" t="s">
        <v>36646</v>
      </c>
      <c r="M3331" s="33" t="s">
        <v>21</v>
      </c>
      <c r="N3331" s="33" t="s">
        <v>36647</v>
      </c>
      <c r="O3331" s="33" t="s">
        <v>372</v>
      </c>
      <c r="P3331" s="33" t="s">
        <v>30089</v>
      </c>
      <c r="Q3331" s="42" t="s">
        <v>26048</v>
      </c>
      <c r="R3331" s="33" t="s">
        <v>512</v>
      </c>
      <c r="S3331" s="33" t="s">
        <v>22</v>
      </c>
      <c r="T3331" s="36" t="s">
        <v>26774</v>
      </c>
      <c r="U3331" s="33" t="s">
        <v>26570</v>
      </c>
      <c r="V3331" s="33" t="s">
        <v>26573</v>
      </c>
      <c r="W3331" s="33" t="s">
        <v>94</v>
      </c>
      <c r="X3331" s="33">
        <v>2178</v>
      </c>
      <c r="Z3331" s="33" t="s">
        <v>42968</v>
      </c>
      <c r="AA3331" s="33">
        <v>4335</v>
      </c>
    </row>
    <row r="3332" spans="1:27" ht="12" customHeight="1" x14ac:dyDescent="0.15">
      <c r="A3332" s="33" t="s">
        <v>25481</v>
      </c>
      <c r="B3332" s="33">
        <v>23</v>
      </c>
      <c r="C3332" s="33" t="s">
        <v>14</v>
      </c>
      <c r="D3332" s="33" t="s">
        <v>42</v>
      </c>
      <c r="F3332" s="67">
        <v>42736</v>
      </c>
      <c r="G3332" s="33" t="s">
        <v>26104</v>
      </c>
      <c r="H3332" s="33" t="s">
        <v>674</v>
      </c>
      <c r="I3332" s="33" t="s">
        <v>67</v>
      </c>
      <c r="J3332" s="33">
        <v>77053</v>
      </c>
      <c r="K3332" s="33" t="s">
        <v>1296</v>
      </c>
      <c r="L3332" s="33" t="s">
        <v>516</v>
      </c>
      <c r="M3332" s="33" t="s">
        <v>21</v>
      </c>
      <c r="N3332" s="33" t="s">
        <v>25482</v>
      </c>
      <c r="O3332" s="33" t="s">
        <v>372</v>
      </c>
      <c r="P3332" s="33" t="s">
        <v>30089</v>
      </c>
      <c r="Q3332" s="42" t="s">
        <v>25483</v>
      </c>
      <c r="R3332" s="33" t="s">
        <v>94</v>
      </c>
      <c r="S3332" s="33" t="s">
        <v>22</v>
      </c>
      <c r="T3332" s="36" t="s">
        <v>26781</v>
      </c>
      <c r="U3332" s="33" t="s">
        <v>26572</v>
      </c>
      <c r="V3332" s="33" t="s">
        <v>26574</v>
      </c>
      <c r="W3332" s="33" t="s">
        <v>94</v>
      </c>
      <c r="X3332" s="33">
        <v>2185</v>
      </c>
      <c r="Z3332" s="33" t="s">
        <v>42968</v>
      </c>
      <c r="AA3332" s="33">
        <v>4333</v>
      </c>
    </row>
    <row r="3333" spans="1:27" ht="12" customHeight="1" x14ac:dyDescent="0.15">
      <c r="A3333" s="33" t="s">
        <v>25374</v>
      </c>
      <c r="B3333" s="33">
        <v>44</v>
      </c>
      <c r="C3333" s="33" t="s">
        <v>14</v>
      </c>
      <c r="D3333" s="33" t="s">
        <v>79</v>
      </c>
      <c r="E3333" s="42" t="s">
        <v>25375</v>
      </c>
      <c r="F3333" s="67">
        <v>42736</v>
      </c>
      <c r="G3333" s="33" t="s">
        <v>25376</v>
      </c>
      <c r="H3333" s="33" t="s">
        <v>3846</v>
      </c>
      <c r="I3333" s="33" t="s">
        <v>402</v>
      </c>
      <c r="J3333" s="33">
        <v>65802</v>
      </c>
      <c r="K3333" s="33" t="s">
        <v>4549</v>
      </c>
      <c r="L3333" s="33" t="s">
        <v>3849</v>
      </c>
      <c r="M3333" s="33" t="s">
        <v>4966</v>
      </c>
      <c r="N3333" s="33" t="s">
        <v>25377</v>
      </c>
      <c r="O3333" s="33" t="s">
        <v>372</v>
      </c>
      <c r="P3333" s="33" t="s">
        <v>30089</v>
      </c>
      <c r="Q3333" s="42" t="s">
        <v>25378</v>
      </c>
      <c r="R3333" s="33" t="s">
        <v>512</v>
      </c>
      <c r="S3333" s="33" t="s">
        <v>22</v>
      </c>
      <c r="T3333" s="36" t="s">
        <v>26781</v>
      </c>
      <c r="U3333" s="33" t="s">
        <v>26572</v>
      </c>
      <c r="V3333" s="33" t="s">
        <v>26573</v>
      </c>
      <c r="W3333" s="33" t="s">
        <v>94</v>
      </c>
      <c r="X3333" s="33">
        <v>2180</v>
      </c>
      <c r="Z3333" s="33" t="s">
        <v>42968</v>
      </c>
      <c r="AA3333" s="33">
        <v>4334</v>
      </c>
    </row>
    <row r="3334" spans="1:27" ht="12" customHeight="1" x14ac:dyDescent="0.15">
      <c r="A3334" s="33" t="s">
        <v>25947</v>
      </c>
      <c r="B3334" s="33">
        <v>42</v>
      </c>
      <c r="C3334" s="33" t="s">
        <v>14</v>
      </c>
      <c r="D3334" s="33" t="s">
        <v>31</v>
      </c>
      <c r="F3334" s="67">
        <v>42736</v>
      </c>
      <c r="G3334" s="33" t="s">
        <v>26130</v>
      </c>
      <c r="H3334" s="33" t="s">
        <v>504</v>
      </c>
      <c r="I3334" s="33" t="s">
        <v>63</v>
      </c>
      <c r="J3334" s="33">
        <v>45231</v>
      </c>
      <c r="K3334" s="33" t="s">
        <v>505</v>
      </c>
      <c r="L3334" s="33" t="s">
        <v>362</v>
      </c>
      <c r="M3334" s="33" t="s">
        <v>21</v>
      </c>
      <c r="N3334" s="33" t="s">
        <v>25948</v>
      </c>
      <c r="O3334" s="33" t="s">
        <v>372</v>
      </c>
      <c r="P3334" s="33" t="s">
        <v>30089</v>
      </c>
      <c r="Q3334" s="42" t="s">
        <v>25949</v>
      </c>
      <c r="R3334" s="33" t="s">
        <v>94</v>
      </c>
      <c r="S3334" s="33" t="s">
        <v>22</v>
      </c>
      <c r="T3334" s="36" t="s">
        <v>26781</v>
      </c>
      <c r="U3334" s="33" t="s">
        <v>26570</v>
      </c>
      <c r="V3334" s="33" t="s">
        <v>26573</v>
      </c>
      <c r="W3334" s="33" t="s">
        <v>94</v>
      </c>
      <c r="X3334" s="33">
        <v>2177</v>
      </c>
      <c r="Z3334" s="33" t="s">
        <v>42968</v>
      </c>
      <c r="AA3334" s="33">
        <v>4331</v>
      </c>
    </row>
    <row r="3335" spans="1:27" ht="12" customHeight="1" x14ac:dyDescent="0.15">
      <c r="A3335" s="33" t="s">
        <v>25144</v>
      </c>
      <c r="B3335" s="33">
        <v>32</v>
      </c>
      <c r="C3335" s="33" t="s">
        <v>14</v>
      </c>
      <c r="D3335" s="33" t="s">
        <v>31</v>
      </c>
      <c r="F3335" s="67">
        <v>42735</v>
      </c>
      <c r="H3335" s="33" t="s">
        <v>25148</v>
      </c>
      <c r="I3335" s="33" t="s">
        <v>376</v>
      </c>
      <c r="J3335" s="33">
        <v>17082</v>
      </c>
      <c r="K3335" s="33" t="s">
        <v>25147</v>
      </c>
      <c r="L3335" s="33" t="s">
        <v>473</v>
      </c>
      <c r="M3335" s="33" t="s">
        <v>21</v>
      </c>
      <c r="N3335" s="33" t="s">
        <v>25146</v>
      </c>
      <c r="O3335" s="33" t="s">
        <v>372</v>
      </c>
      <c r="P3335" s="33" t="s">
        <v>30089</v>
      </c>
      <c r="Q3335" s="40" t="s">
        <v>25145</v>
      </c>
      <c r="R3335" s="33" t="s">
        <v>23</v>
      </c>
      <c r="S3335" s="33" t="s">
        <v>22</v>
      </c>
      <c r="T3335" s="33" t="s">
        <v>26781</v>
      </c>
      <c r="U3335" s="33" t="s">
        <v>26572</v>
      </c>
      <c r="V3335" s="33" t="s">
        <v>19228</v>
      </c>
      <c r="W3335" s="33" t="s">
        <v>94</v>
      </c>
      <c r="X3335" s="33">
        <v>2183</v>
      </c>
      <c r="Z3335" s="33" t="s">
        <v>42967</v>
      </c>
      <c r="AA3335" s="33">
        <v>4328</v>
      </c>
    </row>
    <row r="3336" spans="1:27" ht="12" customHeight="1" x14ac:dyDescent="0.15">
      <c r="A3336" s="33" t="s">
        <v>25156</v>
      </c>
      <c r="B3336" s="33">
        <v>33</v>
      </c>
      <c r="C3336" s="33" t="s">
        <v>14</v>
      </c>
      <c r="D3336" s="33" t="s">
        <v>31</v>
      </c>
      <c r="F3336" s="67">
        <v>42735</v>
      </c>
      <c r="G3336" s="33" t="s">
        <v>25153</v>
      </c>
      <c r="H3336" s="33" t="s">
        <v>16602</v>
      </c>
      <c r="I3336" s="33" t="s">
        <v>122</v>
      </c>
      <c r="J3336" s="33">
        <v>56001</v>
      </c>
      <c r="K3336" s="33" t="s">
        <v>25155</v>
      </c>
      <c r="L3336" s="33" t="s">
        <v>25150</v>
      </c>
      <c r="M3336" s="33" t="s">
        <v>4966</v>
      </c>
      <c r="N3336" s="33" t="s">
        <v>25154</v>
      </c>
      <c r="O3336" s="33" t="s">
        <v>372</v>
      </c>
      <c r="P3336" s="33" t="s">
        <v>30089</v>
      </c>
      <c r="Q3336" s="40" t="s">
        <v>25149</v>
      </c>
      <c r="R3336" s="33" t="s">
        <v>23</v>
      </c>
      <c r="S3336" s="33" t="s">
        <v>12</v>
      </c>
      <c r="T3336" s="33" t="s">
        <v>29705</v>
      </c>
      <c r="U3336" s="33" t="s">
        <v>26572</v>
      </c>
      <c r="V3336" s="33" t="s">
        <v>26573</v>
      </c>
      <c r="W3336" s="33" t="s">
        <v>94</v>
      </c>
      <c r="X3336" s="33">
        <v>2179</v>
      </c>
      <c r="Z3336" s="33" t="s">
        <v>42968</v>
      </c>
      <c r="AA3336" s="33">
        <v>4330</v>
      </c>
    </row>
    <row r="3337" spans="1:27" ht="12" customHeight="1" x14ac:dyDescent="0.15">
      <c r="A3337" s="33" t="s">
        <v>25139</v>
      </c>
      <c r="B3337" s="33">
        <v>46</v>
      </c>
      <c r="C3337" s="33" t="s">
        <v>14</v>
      </c>
      <c r="D3337" s="33" t="s">
        <v>31</v>
      </c>
      <c r="F3337" s="67">
        <v>42735</v>
      </c>
      <c r="G3337" s="33" t="s">
        <v>25142</v>
      </c>
      <c r="H3337" s="33" t="s">
        <v>25141</v>
      </c>
      <c r="I3337" s="33" t="s">
        <v>56</v>
      </c>
      <c r="J3337" s="33">
        <v>33470</v>
      </c>
      <c r="K3337" s="33" t="s">
        <v>4878</v>
      </c>
      <c r="L3337" s="33" t="s">
        <v>57</v>
      </c>
      <c r="M3337" s="33" t="s">
        <v>21</v>
      </c>
      <c r="N3337" s="33" t="s">
        <v>25143</v>
      </c>
      <c r="O3337" s="33" t="s">
        <v>372</v>
      </c>
      <c r="P3337" s="33" t="s">
        <v>30089</v>
      </c>
      <c r="Q3337" s="40" t="s">
        <v>25140</v>
      </c>
      <c r="R3337" s="33" t="s">
        <v>512</v>
      </c>
      <c r="S3337" s="33" t="s">
        <v>22</v>
      </c>
      <c r="T3337" s="33" t="s">
        <v>26774</v>
      </c>
      <c r="U3337" s="33" t="s">
        <v>26572</v>
      </c>
      <c r="V3337" s="33" t="s">
        <v>26573</v>
      </c>
      <c r="W3337" s="33" t="s">
        <v>94</v>
      </c>
      <c r="X3337" s="33">
        <v>2181</v>
      </c>
      <c r="Z3337" s="33" t="s">
        <v>42968</v>
      </c>
      <c r="AA3337" s="33">
        <v>4329</v>
      </c>
    </row>
    <row r="3338" spans="1:27" ht="12" customHeight="1" x14ac:dyDescent="0.15">
      <c r="A3338" s="33" t="s">
        <v>25157</v>
      </c>
      <c r="B3338" s="33">
        <v>34</v>
      </c>
      <c r="C3338" s="33" t="s">
        <v>14</v>
      </c>
      <c r="D3338" s="33" t="s">
        <v>31</v>
      </c>
      <c r="F3338" s="67">
        <v>42734</v>
      </c>
      <c r="G3338" s="33" t="s">
        <v>25152</v>
      </c>
      <c r="H3338" s="33" t="s">
        <v>4990</v>
      </c>
      <c r="I3338" s="33" t="s">
        <v>56</v>
      </c>
      <c r="J3338" s="33">
        <v>32506</v>
      </c>
      <c r="K3338" s="33" t="s">
        <v>4991</v>
      </c>
      <c r="L3338" s="33" t="s">
        <v>4992</v>
      </c>
      <c r="M3338" s="33" t="s">
        <v>21</v>
      </c>
      <c r="N3338" s="33" t="s">
        <v>36648</v>
      </c>
      <c r="O3338" s="33" t="s">
        <v>372</v>
      </c>
      <c r="P3338" s="33" t="s">
        <v>30089</v>
      </c>
      <c r="Q3338" s="40" t="s">
        <v>25151</v>
      </c>
      <c r="R3338" s="33" t="s">
        <v>23</v>
      </c>
      <c r="S3338" s="33" t="s">
        <v>22</v>
      </c>
      <c r="T3338" s="33" t="s">
        <v>26781</v>
      </c>
      <c r="U3338" s="33" t="s">
        <v>26572</v>
      </c>
      <c r="V3338" s="33" t="s">
        <v>26573</v>
      </c>
      <c r="W3338" s="33" t="s">
        <v>94</v>
      </c>
      <c r="X3338" s="33">
        <v>2182</v>
      </c>
      <c r="Z3338" s="33" t="s">
        <v>42968</v>
      </c>
      <c r="AA3338" s="33">
        <v>4325</v>
      </c>
    </row>
    <row r="3339" spans="1:27" ht="12" customHeight="1" x14ac:dyDescent="0.15">
      <c r="A3339" s="33" t="s">
        <v>25158</v>
      </c>
      <c r="B3339" s="33">
        <v>31</v>
      </c>
      <c r="C3339" s="33" t="s">
        <v>14</v>
      </c>
      <c r="D3339" s="33" t="s">
        <v>31</v>
      </c>
      <c r="F3339" s="67">
        <v>42734</v>
      </c>
      <c r="G3339" s="33" t="s">
        <v>25134</v>
      </c>
      <c r="H3339" s="33" t="s">
        <v>584</v>
      </c>
      <c r="I3339" s="33" t="s">
        <v>112</v>
      </c>
      <c r="J3339" s="33">
        <v>85020</v>
      </c>
      <c r="K3339" s="33" t="s">
        <v>585</v>
      </c>
      <c r="L3339" s="33" t="s">
        <v>586</v>
      </c>
      <c r="M3339" s="33" t="s">
        <v>4966</v>
      </c>
      <c r="N3339" s="33" t="s">
        <v>25132</v>
      </c>
      <c r="O3339" s="33" t="s">
        <v>372</v>
      </c>
      <c r="P3339" s="33" t="s">
        <v>30089</v>
      </c>
      <c r="Q3339" s="40" t="s">
        <v>25133</v>
      </c>
      <c r="R3339" s="33" t="s">
        <v>23</v>
      </c>
      <c r="S3339" s="33" t="s">
        <v>22</v>
      </c>
      <c r="T3339" s="33" t="s">
        <v>26774</v>
      </c>
      <c r="U3339" s="33" t="s">
        <v>26570</v>
      </c>
      <c r="V3339" s="33" t="s">
        <v>26574</v>
      </c>
      <c r="W3339" s="33" t="s">
        <v>94</v>
      </c>
      <c r="X3339" s="33">
        <v>2186</v>
      </c>
      <c r="Z3339" s="33" t="s">
        <v>42968</v>
      </c>
      <c r="AA3339" s="33">
        <v>4327</v>
      </c>
    </row>
    <row r="3340" spans="1:27" ht="12" customHeight="1" x14ac:dyDescent="0.15">
      <c r="A3340" s="33" t="s">
        <v>25135</v>
      </c>
      <c r="B3340" s="33">
        <v>21</v>
      </c>
      <c r="C3340" s="33" t="s">
        <v>14</v>
      </c>
      <c r="D3340" s="33" t="s">
        <v>79</v>
      </c>
      <c r="F3340" s="67">
        <v>42734</v>
      </c>
      <c r="G3340" s="33" t="s">
        <v>25138</v>
      </c>
      <c r="H3340" s="33" t="s">
        <v>196</v>
      </c>
      <c r="I3340" s="33" t="s">
        <v>56</v>
      </c>
      <c r="J3340" s="33">
        <v>33157</v>
      </c>
      <c r="K3340" s="33" t="s">
        <v>148</v>
      </c>
      <c r="L3340" s="33" t="s">
        <v>149</v>
      </c>
      <c r="M3340" s="33" t="s">
        <v>21</v>
      </c>
      <c r="N3340" s="33" t="s">
        <v>25137</v>
      </c>
      <c r="O3340" s="33" t="s">
        <v>372</v>
      </c>
      <c r="P3340" s="33" t="s">
        <v>30089</v>
      </c>
      <c r="Q3340" s="40" t="s">
        <v>25136</v>
      </c>
      <c r="R3340" s="33" t="s">
        <v>23</v>
      </c>
      <c r="S3340" s="33" t="s">
        <v>29</v>
      </c>
      <c r="T3340" s="33" t="s">
        <v>26781</v>
      </c>
      <c r="U3340" s="33" t="s">
        <v>26570</v>
      </c>
      <c r="V3340" s="33" t="s">
        <v>26571</v>
      </c>
      <c r="W3340" s="33" t="s">
        <v>94</v>
      </c>
      <c r="X3340" s="33">
        <v>2176</v>
      </c>
      <c r="Z3340" s="33" t="s">
        <v>42968</v>
      </c>
      <c r="AA3340" s="33">
        <v>4326</v>
      </c>
    </row>
    <row r="3341" spans="1:27" ht="12" customHeight="1" x14ac:dyDescent="0.15">
      <c r="A3341" s="33" t="s">
        <v>25129</v>
      </c>
      <c r="B3341" s="33">
        <v>34</v>
      </c>
      <c r="C3341" s="33" t="s">
        <v>14</v>
      </c>
      <c r="D3341" s="33" t="s">
        <v>31</v>
      </c>
      <c r="F3341" s="67">
        <v>42733</v>
      </c>
      <c r="G3341" s="33" t="s">
        <v>36649</v>
      </c>
      <c r="I3341" s="33" t="s">
        <v>56</v>
      </c>
      <c r="J3341" s="33">
        <v>34639</v>
      </c>
      <c r="K3341" s="33" t="s">
        <v>4016</v>
      </c>
      <c r="L3341" s="33" t="s">
        <v>4955</v>
      </c>
      <c r="M3341" s="33" t="s">
        <v>363</v>
      </c>
      <c r="N3341" s="33" t="s">
        <v>25131</v>
      </c>
      <c r="O3341" s="33" t="s">
        <v>372</v>
      </c>
      <c r="P3341" s="33" t="s">
        <v>30089</v>
      </c>
      <c r="Q3341" s="40" t="s">
        <v>25130</v>
      </c>
      <c r="R3341" s="33" t="s">
        <v>23</v>
      </c>
      <c r="S3341" s="33" t="s">
        <v>12</v>
      </c>
      <c r="T3341" s="33" t="s">
        <v>29705</v>
      </c>
      <c r="U3341" s="33" t="s">
        <v>26570</v>
      </c>
      <c r="V3341" s="33" t="s">
        <v>26573</v>
      </c>
      <c r="Z3341" s="33" t="s">
        <v>42968</v>
      </c>
      <c r="AA3341" s="33">
        <v>4324</v>
      </c>
    </row>
    <row r="3342" spans="1:27" ht="12" customHeight="1" x14ac:dyDescent="0.15">
      <c r="A3342" s="33" t="s">
        <v>25122</v>
      </c>
      <c r="B3342" s="33">
        <v>52</v>
      </c>
      <c r="C3342" s="33" t="s">
        <v>14</v>
      </c>
      <c r="D3342" s="33" t="s">
        <v>79</v>
      </c>
      <c r="F3342" s="67">
        <v>42733</v>
      </c>
      <c r="G3342" s="33" t="s">
        <v>25123</v>
      </c>
      <c r="H3342" s="33" t="s">
        <v>25124</v>
      </c>
      <c r="I3342" s="33" t="s">
        <v>46</v>
      </c>
      <c r="J3342" s="33">
        <v>21620</v>
      </c>
      <c r="K3342" s="33" t="s">
        <v>25128</v>
      </c>
      <c r="L3342" s="33" t="s">
        <v>25125</v>
      </c>
      <c r="M3342" s="33" t="s">
        <v>21</v>
      </c>
      <c r="N3342" s="33" t="s">
        <v>25126</v>
      </c>
      <c r="O3342" s="33" t="s">
        <v>372</v>
      </c>
      <c r="P3342" s="33" t="s">
        <v>30089</v>
      </c>
      <c r="Q3342" s="40" t="s">
        <v>25127</v>
      </c>
      <c r="R3342" s="33" t="s">
        <v>23</v>
      </c>
      <c r="S3342" s="33" t="s">
        <v>22</v>
      </c>
      <c r="T3342" s="33" t="s">
        <v>26781</v>
      </c>
      <c r="U3342" s="33" t="s">
        <v>26575</v>
      </c>
      <c r="V3342" s="33" t="s">
        <v>26573</v>
      </c>
      <c r="W3342" s="33" t="s">
        <v>512</v>
      </c>
      <c r="X3342" s="33">
        <v>2173</v>
      </c>
      <c r="Z3342" s="33" t="s">
        <v>42967</v>
      </c>
      <c r="AA3342" s="33">
        <v>4323</v>
      </c>
    </row>
    <row r="3343" spans="1:27" ht="12" customHeight="1" x14ac:dyDescent="0.15">
      <c r="A3343" s="33" t="s">
        <v>25117</v>
      </c>
      <c r="B3343" s="33">
        <v>28</v>
      </c>
      <c r="C3343" s="33" t="s">
        <v>14</v>
      </c>
      <c r="D3343" s="33" t="s">
        <v>31</v>
      </c>
      <c r="F3343" s="67">
        <v>42732</v>
      </c>
      <c r="G3343" s="33" t="s">
        <v>25118</v>
      </c>
      <c r="H3343" s="33" t="s">
        <v>23221</v>
      </c>
      <c r="I3343" s="33" t="s">
        <v>298</v>
      </c>
      <c r="J3343" s="33">
        <v>37174</v>
      </c>
      <c r="K3343" s="33" t="s">
        <v>2397</v>
      </c>
      <c r="L3343" s="33" t="s">
        <v>25119</v>
      </c>
      <c r="M3343" s="33" t="s">
        <v>21</v>
      </c>
      <c r="N3343" s="33" t="s">
        <v>25120</v>
      </c>
      <c r="O3343" s="33" t="s">
        <v>372</v>
      </c>
      <c r="P3343" s="33" t="s">
        <v>30089</v>
      </c>
      <c r="Q3343" s="40" t="s">
        <v>25121</v>
      </c>
      <c r="R3343" s="33" t="s">
        <v>23</v>
      </c>
      <c r="S3343" s="33" t="s">
        <v>29</v>
      </c>
      <c r="T3343" s="33" t="s">
        <v>26575</v>
      </c>
      <c r="U3343" s="33" t="s">
        <v>26575</v>
      </c>
      <c r="V3343" s="33" t="s">
        <v>26573</v>
      </c>
      <c r="W3343" s="33" t="s">
        <v>94</v>
      </c>
      <c r="X3343" s="33">
        <v>2175</v>
      </c>
      <c r="Z3343" s="33" t="s">
        <v>42968</v>
      </c>
      <c r="AA3343" s="33">
        <v>4322</v>
      </c>
    </row>
    <row r="3344" spans="1:27" ht="12" customHeight="1" x14ac:dyDescent="0.15">
      <c r="A3344" s="33" t="s">
        <v>25099</v>
      </c>
      <c r="B3344" s="33">
        <v>41</v>
      </c>
      <c r="C3344" s="33" t="s">
        <v>14</v>
      </c>
      <c r="D3344" s="33" t="s">
        <v>42</v>
      </c>
      <c r="F3344" s="67">
        <v>42731</v>
      </c>
      <c r="G3344" s="33" t="s">
        <v>25102</v>
      </c>
      <c r="H3344" s="33" t="s">
        <v>25103</v>
      </c>
      <c r="I3344" s="33" t="s">
        <v>38</v>
      </c>
      <c r="J3344" s="33">
        <v>77584</v>
      </c>
      <c r="K3344" s="33" t="s">
        <v>82</v>
      </c>
      <c r="L3344" s="33" t="s">
        <v>25104</v>
      </c>
      <c r="M3344" s="33" t="s">
        <v>21</v>
      </c>
      <c r="N3344" s="33" t="s">
        <v>25101</v>
      </c>
      <c r="O3344" s="33" t="s">
        <v>372</v>
      </c>
      <c r="P3344" s="33" t="s">
        <v>30089</v>
      </c>
      <c r="Q3344" s="40" t="s">
        <v>25100</v>
      </c>
      <c r="R3344" s="33" t="s">
        <v>23</v>
      </c>
      <c r="S3344" s="33" t="s">
        <v>22</v>
      </c>
      <c r="T3344" s="33" t="s">
        <v>26774</v>
      </c>
      <c r="U3344" s="33" t="s">
        <v>26572</v>
      </c>
      <c r="V3344" s="33" t="s">
        <v>26573</v>
      </c>
      <c r="W3344" s="33" t="s">
        <v>94</v>
      </c>
      <c r="X3344" s="33">
        <v>2171</v>
      </c>
      <c r="Z3344" s="33" t="s">
        <v>42968</v>
      </c>
      <c r="AA3344" s="33">
        <v>4321</v>
      </c>
    </row>
    <row r="3345" spans="1:27" ht="12" customHeight="1" x14ac:dyDescent="0.15">
      <c r="A3345" s="33" t="s">
        <v>24577</v>
      </c>
      <c r="B3345" s="33">
        <v>35</v>
      </c>
      <c r="C3345" s="33" t="s">
        <v>14</v>
      </c>
      <c r="D3345" s="33" t="s">
        <v>31</v>
      </c>
      <c r="F3345" s="67">
        <v>42731</v>
      </c>
      <c r="G3345" s="33" t="s">
        <v>25067</v>
      </c>
      <c r="H3345" s="33" t="s">
        <v>24578</v>
      </c>
      <c r="I3345" s="33" t="s">
        <v>39</v>
      </c>
      <c r="J3345" s="33">
        <v>95945</v>
      </c>
      <c r="K3345" s="33" t="s">
        <v>18672</v>
      </c>
      <c r="L3345" s="33" t="s">
        <v>24579</v>
      </c>
      <c r="M3345" s="33" t="s">
        <v>21</v>
      </c>
      <c r="N3345" s="33" t="s">
        <v>24580</v>
      </c>
      <c r="O3345" s="33" t="s">
        <v>372</v>
      </c>
      <c r="P3345" s="33" t="s">
        <v>30089</v>
      </c>
      <c r="Q3345" s="40" t="s">
        <v>24581</v>
      </c>
      <c r="R3345" s="33" t="s">
        <v>904</v>
      </c>
      <c r="S3345" s="33" t="s">
        <v>22</v>
      </c>
      <c r="T3345" s="33" t="s">
        <v>26781</v>
      </c>
      <c r="U3345" s="33" t="s">
        <v>26572</v>
      </c>
      <c r="V3345" s="33" t="s">
        <v>26573</v>
      </c>
      <c r="W3345" s="33" t="s">
        <v>94</v>
      </c>
      <c r="X3345" s="33">
        <v>2169</v>
      </c>
      <c r="Z3345" s="33" t="s">
        <v>42968</v>
      </c>
      <c r="AA3345" s="33">
        <v>4316</v>
      </c>
    </row>
    <row r="3346" spans="1:27" ht="12" customHeight="1" x14ac:dyDescent="0.15">
      <c r="A3346" s="33" t="s">
        <v>25105</v>
      </c>
      <c r="B3346" s="33">
        <v>36</v>
      </c>
      <c r="C3346" s="33" t="s">
        <v>14</v>
      </c>
      <c r="D3346" s="33" t="s">
        <v>31</v>
      </c>
      <c r="F3346" s="67">
        <v>42731</v>
      </c>
      <c r="I3346" s="33" t="s">
        <v>67</v>
      </c>
      <c r="K3346" s="33" t="s">
        <v>4569</v>
      </c>
      <c r="L3346" s="33" t="s">
        <v>262</v>
      </c>
      <c r="M3346" s="33" t="s">
        <v>21</v>
      </c>
      <c r="N3346" s="33" t="s">
        <v>25107</v>
      </c>
      <c r="O3346" s="33" t="s">
        <v>372</v>
      </c>
      <c r="P3346" s="33" t="s">
        <v>30089</v>
      </c>
      <c r="Q3346" s="40" t="s">
        <v>25106</v>
      </c>
      <c r="R3346" s="33" t="s">
        <v>23</v>
      </c>
      <c r="S3346" s="33" t="s">
        <v>22</v>
      </c>
      <c r="T3346" s="33" t="s">
        <v>26781</v>
      </c>
      <c r="U3346" s="33" t="s">
        <v>26572</v>
      </c>
      <c r="V3346" s="33" t="s">
        <v>19228</v>
      </c>
      <c r="W3346" s="33" t="s">
        <v>94</v>
      </c>
      <c r="X3346" s="33">
        <v>2172</v>
      </c>
      <c r="Z3346" s="33" t="e">
        <v>#N/A</v>
      </c>
      <c r="AA3346" s="33">
        <v>4318</v>
      </c>
    </row>
    <row r="3347" spans="1:27" ht="12" customHeight="1" x14ac:dyDescent="0.15">
      <c r="A3347" s="33" t="s">
        <v>25063</v>
      </c>
      <c r="B3347" s="33">
        <v>71</v>
      </c>
      <c r="C3347" s="33" t="s">
        <v>103</v>
      </c>
      <c r="D3347" s="33" t="s">
        <v>31</v>
      </c>
      <c r="F3347" s="67">
        <v>42731</v>
      </c>
      <c r="G3347" s="33" t="s">
        <v>25066</v>
      </c>
      <c r="H3347" s="33" t="s">
        <v>25098</v>
      </c>
      <c r="I3347" s="33" t="s">
        <v>67</v>
      </c>
      <c r="J3347" s="33">
        <v>77584</v>
      </c>
      <c r="K3347" s="33" t="s">
        <v>4537</v>
      </c>
      <c r="L3347" s="33" t="s">
        <v>25065</v>
      </c>
      <c r="M3347" s="33" t="s">
        <v>21</v>
      </c>
      <c r="N3347" s="33" t="s">
        <v>25097</v>
      </c>
      <c r="O3347" s="33" t="s">
        <v>372</v>
      </c>
      <c r="P3347" s="33" t="s">
        <v>30089</v>
      </c>
      <c r="Q3347" s="40" t="s">
        <v>25064</v>
      </c>
      <c r="R3347" s="33" t="s">
        <v>23</v>
      </c>
      <c r="S3347" s="33" t="s">
        <v>22</v>
      </c>
      <c r="T3347" s="33" t="s">
        <v>26781</v>
      </c>
      <c r="U3347" s="33" t="s">
        <v>26572</v>
      </c>
      <c r="V3347" s="33" t="s">
        <v>26573</v>
      </c>
      <c r="W3347" s="33" t="s">
        <v>94</v>
      </c>
      <c r="X3347" s="33">
        <v>2170</v>
      </c>
      <c r="Z3347" s="33" t="s">
        <v>42968</v>
      </c>
      <c r="AA3347" s="33">
        <v>4317</v>
      </c>
    </row>
    <row r="3348" spans="1:27" ht="12" customHeight="1" x14ac:dyDescent="0.15">
      <c r="A3348" s="33" t="s">
        <v>25159</v>
      </c>
      <c r="B3348" s="33">
        <v>19</v>
      </c>
      <c r="C3348" s="33" t="s">
        <v>14</v>
      </c>
      <c r="D3348" s="33" t="s">
        <v>128</v>
      </c>
      <c r="F3348" s="67">
        <v>42731</v>
      </c>
      <c r="H3348" s="33" t="s">
        <v>11613</v>
      </c>
      <c r="I3348" s="33" t="s">
        <v>132</v>
      </c>
      <c r="K3348" s="33" t="s">
        <v>21838</v>
      </c>
      <c r="L3348" s="33" t="s">
        <v>25116</v>
      </c>
      <c r="M3348" s="33" t="s">
        <v>21</v>
      </c>
      <c r="N3348" s="33" t="s">
        <v>25115</v>
      </c>
      <c r="O3348" s="33" t="s">
        <v>372</v>
      </c>
      <c r="P3348" s="33" t="s">
        <v>30089</v>
      </c>
      <c r="Q3348" s="40" t="s">
        <v>25114</v>
      </c>
      <c r="R3348" s="33" t="s">
        <v>23</v>
      </c>
      <c r="S3348" s="33" t="s">
        <v>22</v>
      </c>
      <c r="T3348" s="33" t="s">
        <v>26781</v>
      </c>
      <c r="U3348" s="33" t="s">
        <v>26572</v>
      </c>
      <c r="V3348" s="33" t="s">
        <v>26573</v>
      </c>
      <c r="Z3348" s="33" t="e">
        <v>#N/A</v>
      </c>
      <c r="AA3348" s="33">
        <v>4319</v>
      </c>
    </row>
    <row r="3349" spans="1:27" ht="12" customHeight="1" x14ac:dyDescent="0.15">
      <c r="A3349" s="33" t="s">
        <v>25108</v>
      </c>
      <c r="B3349" s="33">
        <v>34</v>
      </c>
      <c r="C3349" s="33" t="s">
        <v>14</v>
      </c>
      <c r="D3349" s="33" t="s">
        <v>31</v>
      </c>
      <c r="F3349" s="67">
        <v>42731</v>
      </c>
      <c r="G3349" s="33" t="s">
        <v>25112</v>
      </c>
      <c r="H3349" s="33" t="s">
        <v>25113</v>
      </c>
      <c r="I3349" s="33" t="s">
        <v>294</v>
      </c>
      <c r="J3349" s="33">
        <v>40032</v>
      </c>
      <c r="K3349" s="33" t="s">
        <v>25111</v>
      </c>
      <c r="L3349" s="33" t="s">
        <v>18258</v>
      </c>
      <c r="M3349" s="33" t="s">
        <v>21</v>
      </c>
      <c r="N3349" s="33" t="s">
        <v>25110</v>
      </c>
      <c r="O3349" s="33" t="s">
        <v>372</v>
      </c>
      <c r="P3349" s="33" t="s">
        <v>30089</v>
      </c>
      <c r="Q3349" s="40" t="s">
        <v>25109</v>
      </c>
      <c r="R3349" s="33" t="s">
        <v>23</v>
      </c>
      <c r="S3349" s="33" t="s">
        <v>22</v>
      </c>
      <c r="T3349" s="33" t="s">
        <v>26781</v>
      </c>
      <c r="U3349" s="33" t="s">
        <v>26572</v>
      </c>
      <c r="V3349" s="33" t="s">
        <v>26573</v>
      </c>
      <c r="Z3349" s="33" t="e">
        <v>#N/A</v>
      </c>
      <c r="AA3349" s="33">
        <v>4320</v>
      </c>
    </row>
    <row r="3350" spans="1:27" ht="12" customHeight="1" x14ac:dyDescent="0.15">
      <c r="A3350" s="33" t="s">
        <v>24591</v>
      </c>
      <c r="B3350" s="33">
        <v>33</v>
      </c>
      <c r="C3350" s="33" t="s">
        <v>14</v>
      </c>
      <c r="D3350" s="33" t="s">
        <v>42</v>
      </c>
      <c r="F3350" s="67">
        <v>42729</v>
      </c>
      <c r="G3350" s="33" t="s">
        <v>24592</v>
      </c>
      <c r="H3350" s="33" t="s">
        <v>24593</v>
      </c>
      <c r="I3350" s="33" t="s">
        <v>918</v>
      </c>
      <c r="J3350" s="33">
        <v>72527</v>
      </c>
      <c r="K3350" s="33" t="s">
        <v>4913</v>
      </c>
      <c r="L3350" s="33" t="s">
        <v>36650</v>
      </c>
      <c r="M3350" s="33" t="s">
        <v>21</v>
      </c>
      <c r="N3350" s="33" t="s">
        <v>36651</v>
      </c>
      <c r="O3350" s="33" t="s">
        <v>372</v>
      </c>
      <c r="P3350" s="33" t="s">
        <v>30089</v>
      </c>
      <c r="Q3350" s="40" t="s">
        <v>24594</v>
      </c>
      <c r="R3350" s="33" t="s">
        <v>94</v>
      </c>
      <c r="S3350" s="33" t="s">
        <v>22</v>
      </c>
      <c r="T3350" s="33" t="s">
        <v>26781</v>
      </c>
      <c r="U3350" s="33" t="s">
        <v>26572</v>
      </c>
      <c r="V3350" s="33" t="s">
        <v>26573</v>
      </c>
      <c r="W3350" s="33" t="s">
        <v>94</v>
      </c>
      <c r="X3350" s="33">
        <v>2161</v>
      </c>
      <c r="Z3350" s="33" t="s">
        <v>42967</v>
      </c>
      <c r="AA3350" s="33">
        <v>4313</v>
      </c>
    </row>
    <row r="3351" spans="1:27" ht="12" customHeight="1" x14ac:dyDescent="0.15">
      <c r="A3351" s="33" t="s">
        <v>24586</v>
      </c>
      <c r="B3351" s="33">
        <v>30</v>
      </c>
      <c r="C3351" s="33" t="s">
        <v>14</v>
      </c>
      <c r="D3351" s="33" t="s">
        <v>31</v>
      </c>
      <c r="E3351" s="33" t="s">
        <v>24587</v>
      </c>
      <c r="F3351" s="67">
        <v>42729</v>
      </c>
      <c r="G3351" s="33" t="s">
        <v>24588</v>
      </c>
      <c r="H3351" s="33" t="s">
        <v>24589</v>
      </c>
      <c r="I3351" s="33" t="s">
        <v>106</v>
      </c>
      <c r="J3351" s="33">
        <v>97140</v>
      </c>
      <c r="K3351" s="33" t="s">
        <v>107</v>
      </c>
      <c r="L3351" s="33" t="s">
        <v>1910</v>
      </c>
      <c r="M3351" s="33" t="s">
        <v>21</v>
      </c>
      <c r="N3351" s="33" t="s">
        <v>36652</v>
      </c>
      <c r="O3351" s="33" t="s">
        <v>372</v>
      </c>
      <c r="P3351" s="33" t="s">
        <v>30089</v>
      </c>
      <c r="Q3351" s="40" t="s">
        <v>24590</v>
      </c>
      <c r="R3351" s="33" t="s">
        <v>512</v>
      </c>
      <c r="S3351" s="33" t="s">
        <v>22</v>
      </c>
      <c r="T3351" s="33" t="s">
        <v>26781</v>
      </c>
      <c r="U3351" s="33" t="s">
        <v>26572</v>
      </c>
      <c r="V3351" s="33" t="s">
        <v>26571</v>
      </c>
      <c r="W3351" s="33" t="s">
        <v>94</v>
      </c>
      <c r="X3351" s="33">
        <v>2160</v>
      </c>
      <c r="Z3351" s="33" t="s">
        <v>42968</v>
      </c>
      <c r="AA3351" s="33">
        <v>4312</v>
      </c>
    </row>
    <row r="3352" spans="1:27" ht="12" customHeight="1" x14ac:dyDescent="0.15">
      <c r="A3352" s="33" t="s">
        <v>24595</v>
      </c>
      <c r="B3352" s="33">
        <v>61</v>
      </c>
      <c r="C3352" s="33" t="s">
        <v>14</v>
      </c>
      <c r="D3352" s="33" t="s">
        <v>31</v>
      </c>
      <c r="F3352" s="67">
        <v>42729</v>
      </c>
      <c r="G3352" s="33" t="s">
        <v>24596</v>
      </c>
      <c r="H3352" s="33" t="s">
        <v>9887</v>
      </c>
      <c r="I3352" s="33" t="s">
        <v>56</v>
      </c>
      <c r="J3352" s="33">
        <v>32068</v>
      </c>
      <c r="K3352" s="33" t="s">
        <v>3117</v>
      </c>
      <c r="L3352" s="33" t="s">
        <v>3118</v>
      </c>
      <c r="M3352" s="33" t="s">
        <v>21</v>
      </c>
      <c r="N3352" s="33" t="s">
        <v>24597</v>
      </c>
      <c r="O3352" s="33" t="s">
        <v>372</v>
      </c>
      <c r="P3352" s="33" t="s">
        <v>30089</v>
      </c>
      <c r="Q3352" s="40" t="s">
        <v>24598</v>
      </c>
      <c r="R3352" s="33" t="s">
        <v>512</v>
      </c>
      <c r="S3352" s="33" t="s">
        <v>22</v>
      </c>
      <c r="T3352" s="33" t="s">
        <v>26781</v>
      </c>
      <c r="U3352" s="33" t="s">
        <v>26572</v>
      </c>
      <c r="V3352" s="33" t="s">
        <v>26573</v>
      </c>
      <c r="W3352" s="33" t="s">
        <v>94</v>
      </c>
      <c r="X3352" s="33">
        <v>2162</v>
      </c>
      <c r="Z3352" s="33" t="s">
        <v>42968</v>
      </c>
      <c r="AA3352" s="33">
        <v>4314</v>
      </c>
    </row>
    <row r="3353" spans="1:27" ht="12" customHeight="1" x14ac:dyDescent="0.15">
      <c r="A3353" s="33" t="s">
        <v>24582</v>
      </c>
      <c r="B3353" s="33">
        <v>29</v>
      </c>
      <c r="C3353" s="33" t="s">
        <v>14</v>
      </c>
      <c r="D3353" s="33" t="s">
        <v>79</v>
      </c>
      <c r="E3353" s="33" t="s">
        <v>24583</v>
      </c>
      <c r="F3353" s="67">
        <v>42729</v>
      </c>
      <c r="G3353" s="33" t="s">
        <v>25068</v>
      </c>
      <c r="H3353" s="33" t="s">
        <v>107</v>
      </c>
      <c r="I3353" s="33" t="s">
        <v>3357</v>
      </c>
      <c r="J3353" s="33">
        <v>20018</v>
      </c>
      <c r="K3353" s="33" t="s">
        <v>3359</v>
      </c>
      <c r="L3353" s="33" t="s">
        <v>17581</v>
      </c>
      <c r="M3353" s="33" t="s">
        <v>21</v>
      </c>
      <c r="N3353" s="33" t="s">
        <v>24584</v>
      </c>
      <c r="O3353" s="33" t="s">
        <v>372</v>
      </c>
      <c r="P3353" s="33" t="s">
        <v>30089</v>
      </c>
      <c r="Q3353" s="40" t="s">
        <v>24585</v>
      </c>
      <c r="R3353" s="33" t="s">
        <v>94</v>
      </c>
      <c r="S3353" s="33" t="s">
        <v>22</v>
      </c>
      <c r="T3353" s="33" t="s">
        <v>26774</v>
      </c>
      <c r="U3353" s="33" t="s">
        <v>26570</v>
      </c>
      <c r="V3353" s="33" t="s">
        <v>26573</v>
      </c>
      <c r="W3353" s="33" t="s">
        <v>512</v>
      </c>
      <c r="X3353" s="33">
        <v>2159</v>
      </c>
      <c r="Z3353" s="33" t="s">
        <v>42966</v>
      </c>
      <c r="AA3353" s="33">
        <v>4315</v>
      </c>
    </row>
    <row r="3354" spans="1:27" ht="12" customHeight="1" x14ac:dyDescent="0.15">
      <c r="A3354" s="33" t="s">
        <v>3002</v>
      </c>
      <c r="B3354" s="33" t="s">
        <v>23</v>
      </c>
      <c r="C3354" s="33" t="s">
        <v>14</v>
      </c>
      <c r="D3354" s="33" t="s">
        <v>79</v>
      </c>
      <c r="F3354" s="67">
        <v>42728</v>
      </c>
      <c r="G3354" s="33" t="s">
        <v>24608</v>
      </c>
      <c r="H3354" s="33" t="s">
        <v>5842</v>
      </c>
      <c r="I3354" s="33" t="s">
        <v>88</v>
      </c>
      <c r="J3354" s="33">
        <v>35901</v>
      </c>
      <c r="K3354" s="33" t="s">
        <v>11588</v>
      </c>
      <c r="L3354" s="33" t="s">
        <v>24609</v>
      </c>
      <c r="M3354" s="33" t="s">
        <v>21</v>
      </c>
      <c r="N3354" s="33" t="s">
        <v>24610</v>
      </c>
      <c r="O3354" s="33" t="s">
        <v>372</v>
      </c>
      <c r="P3354" s="33" t="s">
        <v>30089</v>
      </c>
      <c r="Q3354" s="40" t="s">
        <v>24611</v>
      </c>
      <c r="R3354" s="33" t="s">
        <v>94</v>
      </c>
      <c r="S3354" s="33" t="s">
        <v>22</v>
      </c>
      <c r="T3354" s="33" t="s">
        <v>26781</v>
      </c>
      <c r="U3354" s="33" t="s">
        <v>26572</v>
      </c>
      <c r="V3354" s="33" t="s">
        <v>26574</v>
      </c>
      <c r="W3354" s="33" t="s">
        <v>94</v>
      </c>
      <c r="X3354" s="33">
        <v>2164</v>
      </c>
      <c r="Z3354" s="33" t="s">
        <v>42966</v>
      </c>
      <c r="AA3354" s="33">
        <v>4309</v>
      </c>
    </row>
    <row r="3355" spans="1:27" ht="12" customHeight="1" x14ac:dyDescent="0.15">
      <c r="A3355" s="33" t="s">
        <v>24599</v>
      </c>
      <c r="B3355" s="33">
        <v>48</v>
      </c>
      <c r="C3355" s="33" t="s">
        <v>14</v>
      </c>
      <c r="D3355" s="33" t="s">
        <v>15</v>
      </c>
      <c r="F3355" s="67">
        <v>42728</v>
      </c>
      <c r="G3355" s="33" t="s">
        <v>25069</v>
      </c>
      <c r="H3355" s="33" t="s">
        <v>7458</v>
      </c>
      <c r="I3355" s="33" t="s">
        <v>39</v>
      </c>
      <c r="J3355" s="33">
        <v>90660</v>
      </c>
      <c r="K3355" s="33" t="s">
        <v>92</v>
      </c>
      <c r="L3355" s="33" t="s">
        <v>386</v>
      </c>
      <c r="M3355" s="33" t="s">
        <v>21</v>
      </c>
      <c r="N3355" s="33" t="s">
        <v>24600</v>
      </c>
      <c r="O3355" s="33" t="s">
        <v>372</v>
      </c>
      <c r="P3355" s="33" t="s">
        <v>30089</v>
      </c>
      <c r="Q3355" s="40" t="s">
        <v>24601</v>
      </c>
      <c r="R3355" s="33" t="s">
        <v>512</v>
      </c>
      <c r="S3355" s="33" t="s">
        <v>29</v>
      </c>
      <c r="T3355" s="33" t="s">
        <v>26623</v>
      </c>
      <c r="U3355" s="33" t="s">
        <v>26572</v>
      </c>
      <c r="V3355" s="33" t="s">
        <v>26573</v>
      </c>
      <c r="W3355" s="33" t="s">
        <v>94</v>
      </c>
      <c r="X3355" s="33">
        <v>2166</v>
      </c>
      <c r="Z3355" s="33" t="s">
        <v>42968</v>
      </c>
      <c r="AA3355" s="33">
        <v>4311</v>
      </c>
    </row>
    <row r="3356" spans="1:27" ht="12" customHeight="1" x14ac:dyDescent="0.15">
      <c r="A3356" s="33" t="s">
        <v>24602</v>
      </c>
      <c r="B3356" s="33">
        <v>53</v>
      </c>
      <c r="C3356" s="33" t="s">
        <v>103</v>
      </c>
      <c r="D3356" s="33" t="s">
        <v>31</v>
      </c>
      <c r="E3356" s="33" t="s">
        <v>24603</v>
      </c>
      <c r="F3356" s="67">
        <v>42728</v>
      </c>
      <c r="G3356" s="33" t="s">
        <v>24604</v>
      </c>
      <c r="H3356" s="33" t="s">
        <v>24605</v>
      </c>
      <c r="I3356" s="33" t="s">
        <v>56</v>
      </c>
      <c r="J3356" s="33">
        <v>33898</v>
      </c>
      <c r="K3356" s="33" t="s">
        <v>1736</v>
      </c>
      <c r="L3356" s="33" t="s">
        <v>238</v>
      </c>
      <c r="M3356" s="33" t="s">
        <v>21</v>
      </c>
      <c r="N3356" s="33" t="s">
        <v>24606</v>
      </c>
      <c r="O3356" s="33" t="s">
        <v>372</v>
      </c>
      <c r="P3356" s="33" t="s">
        <v>30089</v>
      </c>
      <c r="Q3356" s="40" t="s">
        <v>24607</v>
      </c>
      <c r="R3356" s="33" t="s">
        <v>23</v>
      </c>
      <c r="S3356" s="33" t="s">
        <v>22</v>
      </c>
      <c r="T3356" s="33" t="s">
        <v>26774</v>
      </c>
      <c r="U3356" s="33" t="s">
        <v>26570</v>
      </c>
      <c r="V3356" s="33" t="s">
        <v>26573</v>
      </c>
      <c r="W3356" s="33" t="s">
        <v>94</v>
      </c>
      <c r="X3356" s="33">
        <v>2163</v>
      </c>
      <c r="Z3356" s="33" t="s">
        <v>42967</v>
      </c>
      <c r="AA3356" s="33">
        <v>4310</v>
      </c>
    </row>
    <row r="3357" spans="1:27" ht="12" customHeight="1" x14ac:dyDescent="0.15">
      <c r="A3357" s="33" t="s">
        <v>24626</v>
      </c>
      <c r="B3357" s="33">
        <v>55</v>
      </c>
      <c r="C3357" s="33" t="s">
        <v>14</v>
      </c>
      <c r="D3357" s="33" t="s">
        <v>30751</v>
      </c>
      <c r="F3357" s="67">
        <v>42727</v>
      </c>
      <c r="G3357" s="33" t="s">
        <v>24627</v>
      </c>
      <c r="H3357" s="33" t="s">
        <v>24628</v>
      </c>
      <c r="I3357" s="33" t="s">
        <v>56</v>
      </c>
      <c r="J3357" s="33">
        <v>34683</v>
      </c>
      <c r="K3357" s="33" t="s">
        <v>2152</v>
      </c>
      <c r="L3357" s="33" t="s">
        <v>8931</v>
      </c>
      <c r="M3357" s="33" t="s">
        <v>21</v>
      </c>
      <c r="N3357" s="33" t="s">
        <v>24629</v>
      </c>
      <c r="O3357" s="33" t="s">
        <v>372</v>
      </c>
      <c r="P3357" s="33" t="s">
        <v>30089</v>
      </c>
      <c r="Q3357" s="40" t="s">
        <v>24630</v>
      </c>
      <c r="R3357" s="33" t="s">
        <v>94</v>
      </c>
      <c r="S3357" s="33" t="s">
        <v>22</v>
      </c>
      <c r="T3357" s="33" t="s">
        <v>26587</v>
      </c>
      <c r="U3357" s="33" t="s">
        <v>26572</v>
      </c>
      <c r="V3357" s="33" t="s">
        <v>26573</v>
      </c>
      <c r="W3357" s="33" t="s">
        <v>94</v>
      </c>
      <c r="X3357" s="33">
        <v>2167</v>
      </c>
      <c r="Z3357" s="33" t="s">
        <v>42968</v>
      </c>
      <c r="AA3357" s="33">
        <v>4305</v>
      </c>
    </row>
    <row r="3358" spans="1:27" ht="12" customHeight="1" x14ac:dyDescent="0.15">
      <c r="A3358" s="33" t="s">
        <v>24612</v>
      </c>
      <c r="B3358" s="33">
        <v>31</v>
      </c>
      <c r="C3358" s="33" t="s">
        <v>14</v>
      </c>
      <c r="D3358" s="33" t="s">
        <v>31</v>
      </c>
      <c r="F3358" s="67">
        <v>42727</v>
      </c>
      <c r="G3358" s="33" t="s">
        <v>24613</v>
      </c>
      <c r="H3358" s="33" t="s">
        <v>11724</v>
      </c>
      <c r="I3358" s="33" t="s">
        <v>106</v>
      </c>
      <c r="J3358" s="33">
        <v>97701</v>
      </c>
      <c r="K3358" s="33" t="s">
        <v>11726</v>
      </c>
      <c r="L3358" s="33" t="s">
        <v>11727</v>
      </c>
      <c r="M3358" s="33" t="s">
        <v>4966</v>
      </c>
      <c r="N3358" s="33" t="s">
        <v>24614</v>
      </c>
      <c r="O3358" s="33" t="s">
        <v>372</v>
      </c>
      <c r="P3358" s="33" t="s">
        <v>30089</v>
      </c>
      <c r="Q3358" s="40" t="s">
        <v>24615</v>
      </c>
      <c r="R3358" s="33" t="s">
        <v>904</v>
      </c>
      <c r="S3358" s="33" t="s">
        <v>29</v>
      </c>
      <c r="T3358" s="33" t="s">
        <v>26575</v>
      </c>
      <c r="U3358" s="33" t="s">
        <v>26575</v>
      </c>
      <c r="V3358" s="33" t="s">
        <v>26573</v>
      </c>
      <c r="W3358" s="33" t="s">
        <v>94</v>
      </c>
      <c r="X3358" s="33">
        <v>2165</v>
      </c>
      <c r="Z3358" s="33" t="s">
        <v>42968</v>
      </c>
      <c r="AA3358" s="33">
        <v>4307</v>
      </c>
    </row>
    <row r="3359" spans="1:27" ht="12" customHeight="1" x14ac:dyDescent="0.15">
      <c r="A3359" s="33" t="s">
        <v>25160</v>
      </c>
      <c r="B3359" s="33">
        <v>34</v>
      </c>
      <c r="C3359" s="33" t="s">
        <v>14</v>
      </c>
      <c r="D3359" s="33" t="s">
        <v>42</v>
      </c>
      <c r="F3359" s="67">
        <v>42727</v>
      </c>
      <c r="G3359" s="33" t="s">
        <v>24616</v>
      </c>
      <c r="H3359" s="33" t="s">
        <v>335</v>
      </c>
      <c r="I3359" s="33" t="s">
        <v>39</v>
      </c>
      <c r="J3359" s="33">
        <v>91731</v>
      </c>
      <c r="K3359" s="33" t="s">
        <v>92</v>
      </c>
      <c r="L3359" s="33" t="s">
        <v>336</v>
      </c>
      <c r="M3359" s="33" t="s">
        <v>21</v>
      </c>
      <c r="N3359" s="33" t="s">
        <v>24617</v>
      </c>
      <c r="O3359" s="33" t="s">
        <v>372</v>
      </c>
      <c r="P3359" s="33" t="s">
        <v>30089</v>
      </c>
      <c r="Q3359" s="40" t="s">
        <v>24618</v>
      </c>
      <c r="R3359" s="33" t="s">
        <v>904</v>
      </c>
      <c r="S3359" s="33" t="s">
        <v>351</v>
      </c>
      <c r="T3359" s="33" t="s">
        <v>26867</v>
      </c>
      <c r="U3359" s="33" t="s">
        <v>26570</v>
      </c>
      <c r="V3359" s="33" t="s">
        <v>26571</v>
      </c>
      <c r="W3359" s="33" t="s">
        <v>94</v>
      </c>
      <c r="X3359" s="33">
        <v>2168</v>
      </c>
      <c r="Z3359" s="33" t="s">
        <v>42968</v>
      </c>
      <c r="AA3359" s="33">
        <v>4308</v>
      </c>
    </row>
    <row r="3360" spans="1:27" ht="12" customHeight="1" x14ac:dyDescent="0.15">
      <c r="A3360" s="33" t="s">
        <v>24619</v>
      </c>
      <c r="B3360" s="33">
        <v>35</v>
      </c>
      <c r="C3360" s="33" t="s">
        <v>14</v>
      </c>
      <c r="D3360" s="33" t="s">
        <v>42</v>
      </c>
      <c r="F3360" s="67">
        <v>42727</v>
      </c>
      <c r="G3360" s="33" t="s">
        <v>25070</v>
      </c>
      <c r="H3360" s="33" t="s">
        <v>24620</v>
      </c>
      <c r="I3360" s="33" t="s">
        <v>39</v>
      </c>
      <c r="J3360" s="33">
        <v>93562</v>
      </c>
      <c r="K3360" s="33" t="s">
        <v>288</v>
      </c>
      <c r="L3360" s="33" t="s">
        <v>289</v>
      </c>
      <c r="M3360" s="33" t="s">
        <v>11646</v>
      </c>
      <c r="N3360" s="33" t="s">
        <v>37054</v>
      </c>
      <c r="O3360" s="33" t="s">
        <v>372</v>
      </c>
      <c r="P3360" s="33" t="s">
        <v>30089</v>
      </c>
      <c r="Q3360" s="40" t="s">
        <v>24621</v>
      </c>
      <c r="R3360" s="33" t="s">
        <v>904</v>
      </c>
      <c r="S3360" s="33" t="s">
        <v>12</v>
      </c>
      <c r="T3360" s="33" t="s">
        <v>29705</v>
      </c>
      <c r="U3360" s="33" t="s">
        <v>26570</v>
      </c>
      <c r="V3360" s="33" t="s">
        <v>26573</v>
      </c>
      <c r="Z3360" s="33" t="s">
        <v>42967</v>
      </c>
      <c r="AA3360" s="33">
        <v>4306</v>
      </c>
    </row>
    <row r="3361" spans="1:27" ht="12" customHeight="1" x14ac:dyDescent="0.15">
      <c r="A3361" s="33" t="s">
        <v>24631</v>
      </c>
      <c r="B3361" s="33">
        <v>19</v>
      </c>
      <c r="C3361" s="33" t="s">
        <v>14</v>
      </c>
      <c r="D3361" s="33" t="s">
        <v>79</v>
      </c>
      <c r="F3361" s="67">
        <v>42726</v>
      </c>
      <c r="G3361" s="33" t="s">
        <v>24632</v>
      </c>
      <c r="H3361" s="33" t="s">
        <v>24633</v>
      </c>
      <c r="I3361" s="33" t="s">
        <v>46</v>
      </c>
      <c r="J3361" s="33">
        <v>20743</v>
      </c>
      <c r="K3361" s="33" t="s">
        <v>24634</v>
      </c>
      <c r="L3361" s="33" t="s">
        <v>705</v>
      </c>
      <c r="M3361" s="33" t="s">
        <v>21</v>
      </c>
      <c r="N3361" s="33" t="s">
        <v>36653</v>
      </c>
      <c r="O3361" s="33" t="s">
        <v>372</v>
      </c>
      <c r="P3361" s="33" t="s">
        <v>30089</v>
      </c>
      <c r="Q3361" s="40" t="s">
        <v>24635</v>
      </c>
      <c r="R3361" s="33" t="s">
        <v>23</v>
      </c>
      <c r="S3361" s="33" t="s">
        <v>22</v>
      </c>
      <c r="T3361" s="33" t="s">
        <v>26781</v>
      </c>
      <c r="U3361" s="33" t="s">
        <v>26572</v>
      </c>
      <c r="V3361" s="33" t="s">
        <v>26573</v>
      </c>
      <c r="W3361" s="33" t="s">
        <v>94</v>
      </c>
      <c r="X3361" s="33">
        <v>2150</v>
      </c>
      <c r="Z3361" s="33" t="s">
        <v>42968</v>
      </c>
      <c r="AA3361" s="33">
        <v>4304</v>
      </c>
    </row>
    <row r="3362" spans="1:27" ht="12" customHeight="1" x14ac:dyDescent="0.15">
      <c r="A3362" s="33" t="s">
        <v>24660</v>
      </c>
      <c r="B3362" s="33">
        <v>31</v>
      </c>
      <c r="C3362" s="33" t="s">
        <v>14</v>
      </c>
      <c r="D3362" s="33" t="s">
        <v>128</v>
      </c>
      <c r="E3362" s="33" t="s">
        <v>24661</v>
      </c>
      <c r="F3362" s="67">
        <v>42725</v>
      </c>
      <c r="G3362" s="33" t="s">
        <v>24662</v>
      </c>
      <c r="H3362" s="33" t="s">
        <v>24663</v>
      </c>
      <c r="I3362" s="33" t="s">
        <v>367</v>
      </c>
      <c r="J3362" s="33">
        <v>74601</v>
      </c>
      <c r="K3362" s="33" t="s">
        <v>24664</v>
      </c>
      <c r="L3362" s="33" t="s">
        <v>24665</v>
      </c>
      <c r="M3362" s="33" t="s">
        <v>21</v>
      </c>
      <c r="N3362" s="33" t="s">
        <v>24666</v>
      </c>
      <c r="O3362" s="33" t="s">
        <v>372</v>
      </c>
      <c r="P3362" s="33" t="s">
        <v>30089</v>
      </c>
      <c r="Q3362" s="40" t="s">
        <v>24667</v>
      </c>
      <c r="R3362" s="33" t="s">
        <v>94</v>
      </c>
      <c r="S3362" s="33" t="s">
        <v>22</v>
      </c>
      <c r="T3362" s="33" t="s">
        <v>29424</v>
      </c>
      <c r="U3362" s="33" t="s">
        <v>26570</v>
      </c>
      <c r="V3362" s="33" t="s">
        <v>26573</v>
      </c>
      <c r="W3362" s="33" t="s">
        <v>94</v>
      </c>
      <c r="X3362" s="33">
        <v>2146</v>
      </c>
      <c r="Z3362" s="33" t="s">
        <v>42968</v>
      </c>
      <c r="AA3362" s="33">
        <v>4301</v>
      </c>
    </row>
    <row r="3363" spans="1:27" ht="12" customHeight="1" x14ac:dyDescent="0.15">
      <c r="A3363" s="33" t="s">
        <v>24622</v>
      </c>
      <c r="B3363" s="33">
        <v>38</v>
      </c>
      <c r="C3363" s="33" t="s">
        <v>14</v>
      </c>
      <c r="D3363" s="33" t="s">
        <v>42</v>
      </c>
      <c r="E3363" s="33" t="s">
        <v>24623</v>
      </c>
      <c r="F3363" s="67">
        <v>42725</v>
      </c>
      <c r="G3363" s="33" t="s">
        <v>25071</v>
      </c>
      <c r="H3363" s="33" t="s">
        <v>1506</v>
      </c>
      <c r="I3363" s="33" t="s">
        <v>250</v>
      </c>
      <c r="J3363" s="33">
        <v>89503</v>
      </c>
      <c r="K3363" s="33" t="s">
        <v>5732</v>
      </c>
      <c r="L3363" s="33" t="s">
        <v>6817</v>
      </c>
      <c r="M3363" s="33" t="s">
        <v>21</v>
      </c>
      <c r="N3363" s="33" t="s">
        <v>24624</v>
      </c>
      <c r="O3363" s="33" t="s">
        <v>372</v>
      </c>
      <c r="P3363" s="33" t="s">
        <v>30089</v>
      </c>
      <c r="Q3363" s="40" t="s">
        <v>24625</v>
      </c>
      <c r="R3363" s="33" t="s">
        <v>94</v>
      </c>
      <c r="S3363" s="33" t="s">
        <v>351</v>
      </c>
      <c r="T3363" s="33" t="s">
        <v>26867</v>
      </c>
      <c r="U3363" s="33" t="s">
        <v>26572</v>
      </c>
      <c r="V3363" s="33" t="s">
        <v>26571</v>
      </c>
      <c r="W3363" s="33" t="s">
        <v>94</v>
      </c>
      <c r="X3363" s="33">
        <v>2152</v>
      </c>
      <c r="Z3363" s="33" t="s">
        <v>42968</v>
      </c>
      <c r="AA3363" s="33">
        <v>4303</v>
      </c>
    </row>
    <row r="3364" spans="1:27" ht="12" customHeight="1" x14ac:dyDescent="0.15">
      <c r="A3364" s="33" t="s">
        <v>24653</v>
      </c>
      <c r="B3364" s="33">
        <v>27</v>
      </c>
      <c r="C3364" s="33" t="s">
        <v>14</v>
      </c>
      <c r="D3364" s="33" t="s">
        <v>31</v>
      </c>
      <c r="E3364" s="33" t="s">
        <v>24654</v>
      </c>
      <c r="F3364" s="67">
        <v>42725</v>
      </c>
      <c r="G3364" s="33" t="s">
        <v>24655</v>
      </c>
      <c r="H3364" s="33" t="s">
        <v>24656</v>
      </c>
      <c r="I3364" s="33" t="s">
        <v>88</v>
      </c>
      <c r="J3364" s="33">
        <v>36571</v>
      </c>
      <c r="K3364" s="33" t="s">
        <v>12671</v>
      </c>
      <c r="L3364" s="33" t="s">
        <v>24657</v>
      </c>
      <c r="M3364" s="33" t="s">
        <v>21</v>
      </c>
      <c r="N3364" s="33" t="s">
        <v>24658</v>
      </c>
      <c r="O3364" s="33" t="s">
        <v>372</v>
      </c>
      <c r="P3364" s="33" t="s">
        <v>30089</v>
      </c>
      <c r="Q3364" s="40" t="s">
        <v>24659</v>
      </c>
      <c r="R3364" s="33" t="s">
        <v>94</v>
      </c>
      <c r="S3364" s="33" t="s">
        <v>22</v>
      </c>
      <c r="T3364" s="33" t="s">
        <v>26781</v>
      </c>
      <c r="U3364" s="33" t="s">
        <v>26572</v>
      </c>
      <c r="V3364" s="33" t="s">
        <v>26573</v>
      </c>
      <c r="W3364" s="33" t="s">
        <v>94</v>
      </c>
      <c r="X3364" s="33">
        <v>2156</v>
      </c>
      <c r="Z3364" s="33" t="s">
        <v>42968</v>
      </c>
      <c r="AA3364" s="33">
        <v>4297</v>
      </c>
    </row>
    <row r="3365" spans="1:27" ht="12" customHeight="1" x14ac:dyDescent="0.15">
      <c r="A3365" s="33" t="s">
        <v>24668</v>
      </c>
      <c r="B3365" s="33">
        <v>46</v>
      </c>
      <c r="C3365" s="33" t="s">
        <v>14</v>
      </c>
      <c r="D3365" s="33" t="s">
        <v>31</v>
      </c>
      <c r="F3365" s="67">
        <v>42725</v>
      </c>
      <c r="G3365" s="33" t="s">
        <v>25072</v>
      </c>
      <c r="H3365" s="33" t="s">
        <v>2476</v>
      </c>
      <c r="I3365" s="33" t="s">
        <v>198</v>
      </c>
      <c r="J3365" s="33">
        <v>46534</v>
      </c>
      <c r="K3365" s="33" t="s">
        <v>24669</v>
      </c>
      <c r="L3365" s="33" t="s">
        <v>24670</v>
      </c>
      <c r="M3365" s="33" t="s">
        <v>21</v>
      </c>
      <c r="N3365" s="33" t="s">
        <v>24671</v>
      </c>
      <c r="O3365" s="33" t="s">
        <v>372</v>
      </c>
      <c r="P3365" s="33" t="s">
        <v>30089</v>
      </c>
      <c r="Q3365" s="40" t="s">
        <v>24672</v>
      </c>
      <c r="R3365" s="33" t="s">
        <v>94</v>
      </c>
      <c r="S3365" s="33" t="s">
        <v>351</v>
      </c>
      <c r="T3365" s="33" t="s">
        <v>26867</v>
      </c>
      <c r="U3365" s="33" t="s">
        <v>26570</v>
      </c>
      <c r="V3365" s="33" t="s">
        <v>26571</v>
      </c>
      <c r="W3365" s="33" t="s">
        <v>94</v>
      </c>
      <c r="X3365" s="33">
        <v>2151</v>
      </c>
      <c r="Z3365" s="33" t="s">
        <v>42967</v>
      </c>
      <c r="AA3365" s="33">
        <v>4302</v>
      </c>
    </row>
    <row r="3366" spans="1:27" ht="12" customHeight="1" x14ac:dyDescent="0.15">
      <c r="A3366" s="33" t="s">
        <v>24636</v>
      </c>
      <c r="B3366" s="33">
        <v>24</v>
      </c>
      <c r="C3366" s="33" t="s">
        <v>14</v>
      </c>
      <c r="D3366" s="33" t="s">
        <v>79</v>
      </c>
      <c r="E3366" s="33" t="s">
        <v>24637</v>
      </c>
      <c r="F3366" s="67">
        <v>42725</v>
      </c>
      <c r="G3366" s="33" t="s">
        <v>24638</v>
      </c>
      <c r="H3366" s="33" t="s">
        <v>24639</v>
      </c>
      <c r="I3366" s="33" t="s">
        <v>39</v>
      </c>
      <c r="J3366" s="33">
        <v>93210</v>
      </c>
      <c r="K3366" s="33" t="s">
        <v>183</v>
      </c>
      <c r="L3366" s="33" t="s">
        <v>1493</v>
      </c>
      <c r="M3366" s="33" t="s">
        <v>21</v>
      </c>
      <c r="N3366" s="33" t="s">
        <v>36654</v>
      </c>
      <c r="O3366" s="33" t="s">
        <v>372</v>
      </c>
      <c r="P3366" s="33" t="s">
        <v>30089</v>
      </c>
      <c r="Q3366" s="40" t="s">
        <v>24640</v>
      </c>
      <c r="R3366" s="33" t="s">
        <v>94</v>
      </c>
      <c r="S3366" s="33" t="s">
        <v>22</v>
      </c>
      <c r="T3366" s="33" t="s">
        <v>26781</v>
      </c>
      <c r="U3366" s="33" t="s">
        <v>26572</v>
      </c>
      <c r="V3366" s="33" t="s">
        <v>26573</v>
      </c>
      <c r="W3366" s="33" t="s">
        <v>94</v>
      </c>
      <c r="X3366" s="33">
        <v>2157</v>
      </c>
      <c r="Z3366" s="33" t="s">
        <v>42967</v>
      </c>
      <c r="AA3366" s="33">
        <v>4298</v>
      </c>
    </row>
    <row r="3367" spans="1:27" ht="12" customHeight="1" x14ac:dyDescent="0.15">
      <c r="A3367" s="33" t="s">
        <v>25161</v>
      </c>
      <c r="B3367" s="33">
        <v>21</v>
      </c>
      <c r="C3367" s="33" t="s">
        <v>14</v>
      </c>
      <c r="D3367" s="33" t="s">
        <v>42</v>
      </c>
      <c r="F3367" s="67">
        <v>42725</v>
      </c>
      <c r="G3367" s="33" t="s">
        <v>25073</v>
      </c>
      <c r="H3367" s="33" t="s">
        <v>1645</v>
      </c>
      <c r="I3367" s="33" t="s">
        <v>39</v>
      </c>
      <c r="J3367" s="33">
        <v>95205</v>
      </c>
      <c r="K3367" s="33" t="s">
        <v>1647</v>
      </c>
      <c r="L3367" s="33" t="s">
        <v>24673</v>
      </c>
      <c r="M3367" s="33" t="s">
        <v>21</v>
      </c>
      <c r="N3367" s="33" t="s">
        <v>24674</v>
      </c>
      <c r="O3367" s="33" t="s">
        <v>372</v>
      </c>
      <c r="P3367" s="33" t="s">
        <v>30089</v>
      </c>
      <c r="Q3367" s="40" t="s">
        <v>24675</v>
      </c>
      <c r="R3367" s="33" t="s">
        <v>23</v>
      </c>
      <c r="S3367" s="33" t="s">
        <v>22</v>
      </c>
      <c r="T3367" s="33" t="s">
        <v>26774</v>
      </c>
      <c r="U3367" s="33" t="s">
        <v>26575</v>
      </c>
      <c r="V3367" s="33" t="s">
        <v>26573</v>
      </c>
      <c r="W3367" s="33" t="s">
        <v>94</v>
      </c>
      <c r="X3367" s="33">
        <v>2154</v>
      </c>
      <c r="Z3367" s="33" t="s">
        <v>42966</v>
      </c>
      <c r="AA3367" s="33">
        <v>4300</v>
      </c>
    </row>
    <row r="3368" spans="1:27" ht="12" customHeight="1" x14ac:dyDescent="0.15">
      <c r="A3368" s="33" t="s">
        <v>24641</v>
      </c>
      <c r="B3368" s="33">
        <v>25</v>
      </c>
      <c r="C3368" s="33" t="s">
        <v>14</v>
      </c>
      <c r="D3368" s="33" t="s">
        <v>31</v>
      </c>
      <c r="E3368" s="33" t="s">
        <v>24642</v>
      </c>
      <c r="F3368" s="67">
        <v>42725</v>
      </c>
      <c r="G3368" s="33" t="s">
        <v>24643</v>
      </c>
      <c r="H3368" s="33" t="s">
        <v>24644</v>
      </c>
      <c r="I3368" s="33" t="s">
        <v>367</v>
      </c>
      <c r="J3368" s="33">
        <v>73647</v>
      </c>
      <c r="K3368" s="33" t="s">
        <v>24645</v>
      </c>
      <c r="L3368" s="33" t="s">
        <v>24646</v>
      </c>
      <c r="M3368" s="33" t="s">
        <v>21</v>
      </c>
      <c r="N3368" s="33" t="s">
        <v>24647</v>
      </c>
      <c r="O3368" s="33" t="s">
        <v>372</v>
      </c>
      <c r="P3368" s="33" t="s">
        <v>30089</v>
      </c>
      <c r="Q3368" s="40" t="s">
        <v>24648</v>
      </c>
      <c r="R3368" s="33" t="s">
        <v>94</v>
      </c>
      <c r="S3368" s="33" t="s">
        <v>22</v>
      </c>
      <c r="T3368" s="33" t="s">
        <v>26781</v>
      </c>
      <c r="U3368" s="33" t="s">
        <v>26572</v>
      </c>
      <c r="V3368" s="33" t="s">
        <v>19228</v>
      </c>
      <c r="W3368" s="33" t="s">
        <v>94</v>
      </c>
      <c r="X3368" s="33">
        <v>2147</v>
      </c>
      <c r="Z3368" s="33" t="s">
        <v>42967</v>
      </c>
      <c r="AA3368" s="33">
        <v>4296</v>
      </c>
    </row>
    <row r="3369" spans="1:27" ht="12" customHeight="1" x14ac:dyDescent="0.15">
      <c r="A3369" s="33" t="s">
        <v>24649</v>
      </c>
      <c r="B3369" s="33">
        <v>25</v>
      </c>
      <c r="C3369" s="33" t="s">
        <v>14</v>
      </c>
      <c r="D3369" s="33" t="s">
        <v>31</v>
      </c>
      <c r="F3369" s="67">
        <v>42725</v>
      </c>
      <c r="G3369" s="33" t="s">
        <v>24650</v>
      </c>
      <c r="H3369" s="33" t="s">
        <v>5472</v>
      </c>
      <c r="I3369" s="33" t="s">
        <v>918</v>
      </c>
      <c r="J3369" s="33">
        <v>72701</v>
      </c>
      <c r="K3369" s="33" t="s">
        <v>107</v>
      </c>
      <c r="L3369" s="33" t="s">
        <v>108</v>
      </c>
      <c r="M3369" s="33" t="s">
        <v>21</v>
      </c>
      <c r="N3369" s="33" t="s">
        <v>24651</v>
      </c>
      <c r="O3369" s="33" t="s">
        <v>372</v>
      </c>
      <c r="P3369" s="33" t="s">
        <v>30089</v>
      </c>
      <c r="Q3369" s="40" t="s">
        <v>24652</v>
      </c>
      <c r="R3369" s="33" t="s">
        <v>512</v>
      </c>
      <c r="S3369" s="33" t="s">
        <v>22</v>
      </c>
      <c r="T3369" s="33" t="s">
        <v>26774</v>
      </c>
      <c r="U3369" s="33" t="s">
        <v>26570</v>
      </c>
      <c r="V3369" s="33" t="s">
        <v>26573</v>
      </c>
      <c r="W3369" s="33" t="s">
        <v>94</v>
      </c>
      <c r="X3369" s="33">
        <v>2153</v>
      </c>
      <c r="Z3369" s="33" t="s">
        <v>42966</v>
      </c>
      <c r="AA3369" s="33">
        <v>4299</v>
      </c>
    </row>
    <row r="3370" spans="1:27" ht="12" customHeight="1" x14ac:dyDescent="0.15">
      <c r="A3370" s="33" t="s">
        <v>24676</v>
      </c>
      <c r="B3370" s="33">
        <v>46</v>
      </c>
      <c r="C3370" s="33" t="s">
        <v>14</v>
      </c>
      <c r="D3370" s="33" t="s">
        <v>42</v>
      </c>
      <c r="F3370" s="67">
        <v>42724</v>
      </c>
      <c r="G3370" s="33" t="s">
        <v>25074</v>
      </c>
      <c r="H3370" s="33" t="s">
        <v>24677</v>
      </c>
      <c r="I3370" s="33" t="s">
        <v>67</v>
      </c>
      <c r="J3370" s="33">
        <v>78577</v>
      </c>
      <c r="K3370" s="33" t="s">
        <v>1304</v>
      </c>
      <c r="L3370" s="33" t="s">
        <v>24678</v>
      </c>
      <c r="M3370" s="33" t="s">
        <v>21</v>
      </c>
      <c r="N3370" s="33" t="s">
        <v>24679</v>
      </c>
      <c r="O3370" s="33" t="s">
        <v>372</v>
      </c>
      <c r="P3370" s="33" t="s">
        <v>30089</v>
      </c>
      <c r="Q3370" s="40" t="s">
        <v>24680</v>
      </c>
      <c r="R3370" s="33" t="s">
        <v>94</v>
      </c>
      <c r="S3370" s="33" t="s">
        <v>22</v>
      </c>
      <c r="T3370" s="33" t="s">
        <v>26774</v>
      </c>
      <c r="U3370" s="33" t="s">
        <v>26570</v>
      </c>
      <c r="V3370" s="33" t="s">
        <v>26573</v>
      </c>
      <c r="W3370" s="33" t="s">
        <v>94</v>
      </c>
      <c r="X3370" s="33">
        <v>2140</v>
      </c>
      <c r="Z3370" s="33" t="s">
        <v>42968</v>
      </c>
      <c r="AA3370" s="33">
        <v>4294</v>
      </c>
    </row>
    <row r="3371" spans="1:27" ht="12" customHeight="1" x14ac:dyDescent="0.15">
      <c r="A3371" s="33" t="s">
        <v>3002</v>
      </c>
      <c r="B3371" s="33" t="s">
        <v>23</v>
      </c>
      <c r="C3371" s="33" t="s">
        <v>14</v>
      </c>
      <c r="D3371" s="33" t="s">
        <v>30751</v>
      </c>
      <c r="F3371" s="67">
        <v>42724</v>
      </c>
      <c r="G3371" s="33" t="s">
        <v>25075</v>
      </c>
      <c r="H3371" s="33" t="s">
        <v>24686</v>
      </c>
      <c r="I3371" s="33" t="s">
        <v>39</v>
      </c>
      <c r="J3371" s="33">
        <v>92227</v>
      </c>
      <c r="K3371" s="33" t="s">
        <v>8996</v>
      </c>
      <c r="L3371" s="33" t="s">
        <v>24687</v>
      </c>
      <c r="M3371" s="33" t="s">
        <v>21</v>
      </c>
      <c r="N3371" s="33" t="s">
        <v>24688</v>
      </c>
      <c r="O3371" s="33" t="s">
        <v>372</v>
      </c>
      <c r="P3371" s="33" t="s">
        <v>30089</v>
      </c>
      <c r="Q3371" s="40" t="s">
        <v>24689</v>
      </c>
      <c r="R3371" s="33" t="s">
        <v>512</v>
      </c>
      <c r="S3371" s="33" t="s">
        <v>22</v>
      </c>
      <c r="T3371" s="33" t="s">
        <v>26774</v>
      </c>
      <c r="U3371" s="33" t="s">
        <v>26570</v>
      </c>
      <c r="V3371" s="33" t="s">
        <v>26573</v>
      </c>
      <c r="W3371" s="33" t="s">
        <v>94</v>
      </c>
      <c r="X3371" s="33">
        <v>2141</v>
      </c>
      <c r="Z3371" s="33" t="s">
        <v>42968</v>
      </c>
      <c r="AA3371" s="33">
        <v>4295</v>
      </c>
    </row>
    <row r="3372" spans="1:27" ht="12" customHeight="1" x14ac:dyDescent="0.15">
      <c r="A3372" s="33" t="s">
        <v>24681</v>
      </c>
      <c r="B3372" s="33">
        <v>31</v>
      </c>
      <c r="C3372" s="33" t="s">
        <v>14</v>
      </c>
      <c r="D3372" s="33" t="s">
        <v>128</v>
      </c>
      <c r="E3372" s="33" t="s">
        <v>24682</v>
      </c>
      <c r="F3372" s="67">
        <v>42724</v>
      </c>
      <c r="G3372" s="33" t="s">
        <v>24683</v>
      </c>
      <c r="H3372" s="33" t="s">
        <v>727</v>
      </c>
      <c r="I3372" s="33" t="s">
        <v>39</v>
      </c>
      <c r="J3372" s="33">
        <v>92544</v>
      </c>
      <c r="K3372" s="33" t="s">
        <v>728</v>
      </c>
      <c r="L3372" s="33" t="s">
        <v>18596</v>
      </c>
      <c r="M3372" s="33" t="s">
        <v>21</v>
      </c>
      <c r="N3372" s="33" t="s">
        <v>24684</v>
      </c>
      <c r="O3372" s="33" t="s">
        <v>372</v>
      </c>
      <c r="P3372" s="33" t="s">
        <v>30089</v>
      </c>
      <c r="Q3372" s="40" t="s">
        <v>24685</v>
      </c>
      <c r="R3372" s="33" t="s">
        <v>23</v>
      </c>
      <c r="S3372" s="33" t="s">
        <v>22</v>
      </c>
      <c r="T3372" s="33" t="s">
        <v>26781</v>
      </c>
      <c r="U3372" s="33" t="s">
        <v>26570</v>
      </c>
      <c r="V3372" s="33" t="s">
        <v>19228</v>
      </c>
      <c r="W3372" s="33" t="s">
        <v>94</v>
      </c>
      <c r="X3372" s="33">
        <v>2139</v>
      </c>
      <c r="Z3372" s="33" t="s">
        <v>42968</v>
      </c>
      <c r="AA3372" s="33">
        <v>4293</v>
      </c>
    </row>
    <row r="3373" spans="1:27" ht="12" customHeight="1" x14ac:dyDescent="0.15">
      <c r="A3373" s="33" t="s">
        <v>24690</v>
      </c>
      <c r="B3373" s="33">
        <v>52</v>
      </c>
      <c r="C3373" s="33" t="s">
        <v>14</v>
      </c>
      <c r="D3373" s="33" t="s">
        <v>31</v>
      </c>
      <c r="E3373" s="33" t="s">
        <v>24691</v>
      </c>
      <c r="F3373" s="67">
        <v>42723</v>
      </c>
      <c r="G3373" s="33" t="s">
        <v>24692</v>
      </c>
      <c r="H3373" s="33" t="s">
        <v>24693</v>
      </c>
      <c r="I3373" s="33" t="s">
        <v>338</v>
      </c>
      <c r="J3373" s="33">
        <v>28630</v>
      </c>
      <c r="K3373" s="33" t="s">
        <v>7861</v>
      </c>
      <c r="L3373" s="33" t="s">
        <v>24694</v>
      </c>
      <c r="M3373" s="33" t="s">
        <v>21</v>
      </c>
      <c r="N3373" s="33" t="s">
        <v>24695</v>
      </c>
      <c r="O3373" s="33" t="s">
        <v>372</v>
      </c>
      <c r="P3373" s="33" t="s">
        <v>30089</v>
      </c>
      <c r="Q3373" s="40" t="s">
        <v>24696</v>
      </c>
      <c r="R3373" s="33" t="s">
        <v>94</v>
      </c>
      <c r="S3373" s="33" t="s">
        <v>29</v>
      </c>
      <c r="T3373" s="33" t="s">
        <v>26575</v>
      </c>
      <c r="U3373" s="33" t="s">
        <v>26575</v>
      </c>
      <c r="V3373" s="33" t="s">
        <v>26573</v>
      </c>
      <c r="W3373" s="33" t="s">
        <v>94</v>
      </c>
      <c r="X3373" s="33">
        <v>2131</v>
      </c>
      <c r="Z3373" s="33" t="s">
        <v>42968</v>
      </c>
      <c r="AA3373" s="33">
        <v>4292</v>
      </c>
    </row>
    <row r="3374" spans="1:27" ht="12" customHeight="1" x14ac:dyDescent="0.15">
      <c r="A3374" s="33" t="s">
        <v>24697</v>
      </c>
      <c r="B3374" s="33">
        <v>20</v>
      </c>
      <c r="C3374" s="33" t="s">
        <v>14</v>
      </c>
      <c r="D3374" s="33" t="s">
        <v>79</v>
      </c>
      <c r="E3374" s="33" t="s">
        <v>24698</v>
      </c>
      <c r="F3374" s="67">
        <v>42722</v>
      </c>
      <c r="G3374" s="33" t="s">
        <v>24699</v>
      </c>
      <c r="H3374" s="33" t="s">
        <v>92</v>
      </c>
      <c r="I3374" s="33" t="s">
        <v>39</v>
      </c>
      <c r="J3374" s="33">
        <v>90047</v>
      </c>
      <c r="K3374" s="33" t="s">
        <v>92</v>
      </c>
      <c r="L3374" s="33" t="s">
        <v>93</v>
      </c>
      <c r="M3374" s="33" t="s">
        <v>21</v>
      </c>
      <c r="N3374" s="33" t="s">
        <v>24700</v>
      </c>
      <c r="O3374" s="33" t="s">
        <v>372</v>
      </c>
      <c r="P3374" s="33" t="s">
        <v>30089</v>
      </c>
      <c r="Q3374" s="40" t="s">
        <v>24701</v>
      </c>
      <c r="R3374" s="33" t="s">
        <v>94</v>
      </c>
      <c r="S3374" s="33" t="s">
        <v>29</v>
      </c>
      <c r="T3374" s="33" t="s">
        <v>26575</v>
      </c>
      <c r="U3374" s="33" t="s">
        <v>26575</v>
      </c>
      <c r="V3374" s="33" t="s">
        <v>26574</v>
      </c>
      <c r="W3374" s="33" t="s">
        <v>94</v>
      </c>
      <c r="X3374" s="33">
        <v>2133</v>
      </c>
      <c r="Z3374" s="33" t="s">
        <v>42966</v>
      </c>
      <c r="AA3374" s="33">
        <v>4291</v>
      </c>
    </row>
    <row r="3375" spans="1:27" ht="12" customHeight="1" x14ac:dyDescent="0.15">
      <c r="A3375" s="33" t="s">
        <v>24702</v>
      </c>
      <c r="B3375" s="33">
        <v>37</v>
      </c>
      <c r="C3375" s="33" t="s">
        <v>14</v>
      </c>
      <c r="D3375" s="33" t="s">
        <v>31</v>
      </c>
      <c r="F3375" s="67">
        <v>42722</v>
      </c>
      <c r="G3375" s="33" t="s">
        <v>24703</v>
      </c>
      <c r="H3375" s="33" t="s">
        <v>10064</v>
      </c>
      <c r="I3375" s="33" t="s">
        <v>282</v>
      </c>
      <c r="J3375" s="33">
        <v>98642</v>
      </c>
      <c r="K3375" s="33" t="s">
        <v>527</v>
      </c>
      <c r="L3375" s="33" t="s">
        <v>3087</v>
      </c>
      <c r="M3375" s="33" t="s">
        <v>21</v>
      </c>
      <c r="N3375" s="33" t="s">
        <v>36655</v>
      </c>
      <c r="O3375" s="33" t="s">
        <v>372</v>
      </c>
      <c r="P3375" s="33" t="s">
        <v>30089</v>
      </c>
      <c r="Q3375" s="40" t="s">
        <v>24704</v>
      </c>
      <c r="R3375" s="33" t="s">
        <v>94</v>
      </c>
      <c r="S3375" s="33" t="s">
        <v>22</v>
      </c>
      <c r="T3375" s="33" t="s">
        <v>26781</v>
      </c>
      <c r="U3375" s="33" t="s">
        <v>26570</v>
      </c>
      <c r="V3375" s="33" t="s">
        <v>26573</v>
      </c>
      <c r="W3375" s="33" t="s">
        <v>94</v>
      </c>
      <c r="X3375" s="33">
        <v>2135</v>
      </c>
      <c r="Z3375" s="33" t="s">
        <v>42967</v>
      </c>
      <c r="AA3375" s="33">
        <v>4289</v>
      </c>
    </row>
    <row r="3376" spans="1:27" ht="12" customHeight="1" x14ac:dyDescent="0.15">
      <c r="A3376" s="33" t="s">
        <v>24705</v>
      </c>
      <c r="B3376" s="33">
        <v>72</v>
      </c>
      <c r="C3376" s="33" t="s">
        <v>14</v>
      </c>
      <c r="D3376" s="33" t="s">
        <v>31</v>
      </c>
      <c r="F3376" s="67">
        <v>42722</v>
      </c>
      <c r="G3376" s="33" t="s">
        <v>24706</v>
      </c>
      <c r="H3376" s="33" t="s">
        <v>2307</v>
      </c>
      <c r="I3376" s="33" t="s">
        <v>367</v>
      </c>
      <c r="J3376" s="33">
        <v>74127</v>
      </c>
      <c r="K3376" s="33" t="s">
        <v>2307</v>
      </c>
      <c r="L3376" s="33" t="s">
        <v>3108</v>
      </c>
      <c r="M3376" s="33" t="s">
        <v>21</v>
      </c>
      <c r="N3376" s="33" t="s">
        <v>24707</v>
      </c>
      <c r="O3376" s="33" t="s">
        <v>372</v>
      </c>
      <c r="P3376" s="33" t="s">
        <v>30089</v>
      </c>
      <c r="Q3376" s="40" t="s">
        <v>24708</v>
      </c>
      <c r="R3376" s="33" t="s">
        <v>512</v>
      </c>
      <c r="S3376" s="33" t="s">
        <v>22</v>
      </c>
      <c r="T3376" s="33" t="s">
        <v>26781</v>
      </c>
      <c r="U3376" s="33" t="s">
        <v>26572</v>
      </c>
      <c r="V3376" s="33" t="s">
        <v>26573</v>
      </c>
      <c r="W3376" s="33" t="s">
        <v>94</v>
      </c>
      <c r="X3376" s="33">
        <v>2136</v>
      </c>
      <c r="Z3376" s="33" t="s">
        <v>42966</v>
      </c>
      <c r="AA3376" s="33">
        <v>4290</v>
      </c>
    </row>
    <row r="3377" spans="1:27" ht="12" customHeight="1" x14ac:dyDescent="0.15">
      <c r="A3377" s="33" t="s">
        <v>25163</v>
      </c>
      <c r="B3377" s="33">
        <v>33</v>
      </c>
      <c r="C3377" s="33" t="s">
        <v>14</v>
      </c>
      <c r="D3377" s="33" t="s">
        <v>42</v>
      </c>
      <c r="F3377" s="67">
        <v>42721</v>
      </c>
      <c r="G3377" s="33" t="s">
        <v>25076</v>
      </c>
      <c r="H3377" s="33" t="s">
        <v>5494</v>
      </c>
      <c r="I3377" s="33" t="s">
        <v>39</v>
      </c>
      <c r="J3377" s="33">
        <v>90022</v>
      </c>
      <c r="K3377" s="33" t="s">
        <v>92</v>
      </c>
      <c r="L3377" s="33" t="s">
        <v>386</v>
      </c>
      <c r="M3377" s="33" t="s">
        <v>21</v>
      </c>
      <c r="N3377" s="33" t="s">
        <v>36656</v>
      </c>
      <c r="O3377" s="33" t="s">
        <v>372</v>
      </c>
      <c r="P3377" s="33" t="s">
        <v>30089</v>
      </c>
      <c r="Q3377" s="40" t="s">
        <v>24714</v>
      </c>
      <c r="R3377" s="33" t="s">
        <v>94</v>
      </c>
      <c r="S3377" s="33" t="s">
        <v>22</v>
      </c>
      <c r="T3377" s="33" t="s">
        <v>26781</v>
      </c>
      <c r="U3377" s="33" t="s">
        <v>26570</v>
      </c>
      <c r="V3377" s="33" t="s">
        <v>26573</v>
      </c>
      <c r="W3377" s="33" t="s">
        <v>94</v>
      </c>
      <c r="X3377" s="33">
        <v>2134</v>
      </c>
      <c r="Z3377" s="33" t="s">
        <v>42966</v>
      </c>
      <c r="AA3377" s="33">
        <v>4286</v>
      </c>
    </row>
    <row r="3378" spans="1:27" ht="12" customHeight="1" x14ac:dyDescent="0.15">
      <c r="A3378" s="33" t="s">
        <v>24709</v>
      </c>
      <c r="B3378" s="33">
        <v>48</v>
      </c>
      <c r="C3378" s="33" t="s">
        <v>14</v>
      </c>
      <c r="D3378" s="33" t="s">
        <v>31</v>
      </c>
      <c r="E3378" s="33" t="s">
        <v>24710</v>
      </c>
      <c r="F3378" s="67">
        <v>42721</v>
      </c>
      <c r="G3378" s="33" t="s">
        <v>24711</v>
      </c>
      <c r="H3378" s="33" t="s">
        <v>787</v>
      </c>
      <c r="I3378" s="33" t="s">
        <v>298</v>
      </c>
      <c r="J3378" s="33">
        <v>38002</v>
      </c>
      <c r="K3378" s="33" t="s">
        <v>1117</v>
      </c>
      <c r="L3378" s="33" t="s">
        <v>22474</v>
      </c>
      <c r="M3378" s="33" t="s">
        <v>21</v>
      </c>
      <c r="N3378" s="33" t="s">
        <v>24712</v>
      </c>
      <c r="O3378" s="33" t="s">
        <v>372</v>
      </c>
      <c r="P3378" s="33" t="s">
        <v>30089</v>
      </c>
      <c r="Q3378" s="40" t="s">
        <v>24713</v>
      </c>
      <c r="R3378" s="33" t="s">
        <v>94</v>
      </c>
      <c r="S3378" s="33" t="s">
        <v>22</v>
      </c>
      <c r="T3378" s="33" t="s">
        <v>26774</v>
      </c>
      <c r="U3378" s="33" t="s">
        <v>26575</v>
      </c>
      <c r="V3378" s="33" t="s">
        <v>26573</v>
      </c>
      <c r="W3378" s="33" t="s">
        <v>94</v>
      </c>
      <c r="X3378" s="33">
        <v>2132</v>
      </c>
      <c r="Z3378" s="33" t="s">
        <v>42968</v>
      </c>
      <c r="AA3378" s="33">
        <v>4287</v>
      </c>
    </row>
    <row r="3379" spans="1:27" ht="12" customHeight="1" x14ac:dyDescent="0.15">
      <c r="A3379" s="33" t="s">
        <v>25162</v>
      </c>
      <c r="B3379" s="33">
        <v>44</v>
      </c>
      <c r="C3379" s="33" t="s">
        <v>14</v>
      </c>
      <c r="D3379" s="33" t="s">
        <v>128</v>
      </c>
      <c r="F3379" s="67">
        <v>42721</v>
      </c>
      <c r="G3379" s="33" t="s">
        <v>25077</v>
      </c>
      <c r="H3379" s="33" t="s">
        <v>15131</v>
      </c>
      <c r="I3379" s="33" t="s">
        <v>282</v>
      </c>
      <c r="J3379" s="33">
        <v>98201</v>
      </c>
      <c r="K3379" s="33" t="s">
        <v>2004</v>
      </c>
      <c r="L3379" s="33" t="s">
        <v>14921</v>
      </c>
      <c r="M3379" s="33" t="s">
        <v>21</v>
      </c>
      <c r="N3379" s="33" t="s">
        <v>36657</v>
      </c>
      <c r="O3379" s="33" t="s">
        <v>372</v>
      </c>
      <c r="P3379" s="33" t="s">
        <v>30089</v>
      </c>
      <c r="Q3379" s="40" t="s">
        <v>24715</v>
      </c>
      <c r="R3379" s="33" t="s">
        <v>94</v>
      </c>
      <c r="S3379" s="33" t="s">
        <v>12</v>
      </c>
      <c r="T3379" s="33" t="s">
        <v>29705</v>
      </c>
      <c r="U3379" s="33" t="s">
        <v>26570</v>
      </c>
      <c r="V3379" s="33" t="s">
        <v>26573</v>
      </c>
      <c r="W3379" s="33" t="s">
        <v>94</v>
      </c>
      <c r="X3379" s="33">
        <v>2137</v>
      </c>
      <c r="Z3379" s="33" t="s">
        <v>42966</v>
      </c>
      <c r="AA3379" s="33">
        <v>4288</v>
      </c>
    </row>
    <row r="3380" spans="1:27" ht="12" customHeight="1" x14ac:dyDescent="0.15">
      <c r="A3380" s="33" t="s">
        <v>24716</v>
      </c>
      <c r="B3380" s="33">
        <v>36</v>
      </c>
      <c r="C3380" s="33" t="s">
        <v>14</v>
      </c>
      <c r="D3380" s="33" t="s">
        <v>31</v>
      </c>
      <c r="E3380" s="33" t="s">
        <v>24717</v>
      </c>
      <c r="F3380" s="67">
        <v>42720</v>
      </c>
      <c r="G3380" s="33" t="s">
        <v>24718</v>
      </c>
      <c r="H3380" s="33" t="s">
        <v>266</v>
      </c>
      <c r="I3380" s="33" t="s">
        <v>106</v>
      </c>
      <c r="J3380" s="33">
        <v>97338</v>
      </c>
      <c r="K3380" s="33" t="s">
        <v>1736</v>
      </c>
      <c r="L3380" s="33" t="s">
        <v>28125</v>
      </c>
      <c r="M3380" s="33" t="s">
        <v>21</v>
      </c>
      <c r="N3380" s="33" t="s">
        <v>24719</v>
      </c>
      <c r="O3380" s="33" t="s">
        <v>372</v>
      </c>
      <c r="P3380" s="33" t="s">
        <v>30089</v>
      </c>
      <c r="Q3380" s="40" t="s">
        <v>24720</v>
      </c>
      <c r="R3380" s="33" t="s">
        <v>904</v>
      </c>
      <c r="S3380" s="33" t="s">
        <v>22</v>
      </c>
      <c r="T3380" s="33" t="s">
        <v>26781</v>
      </c>
      <c r="U3380" s="33" t="s">
        <v>26572</v>
      </c>
      <c r="V3380" s="33" t="s">
        <v>26573</v>
      </c>
      <c r="W3380" s="33" t="s">
        <v>94</v>
      </c>
      <c r="X3380" s="33">
        <v>2138</v>
      </c>
      <c r="Z3380" s="33" t="s">
        <v>42967</v>
      </c>
      <c r="AA3380" s="33">
        <v>4285</v>
      </c>
    </row>
    <row r="3381" spans="1:27" ht="12" customHeight="1" x14ac:dyDescent="0.15">
      <c r="A3381" s="33" t="s">
        <v>24729</v>
      </c>
      <c r="B3381" s="33">
        <v>60</v>
      </c>
      <c r="C3381" s="33" t="s">
        <v>14</v>
      </c>
      <c r="D3381" s="33" t="s">
        <v>31</v>
      </c>
      <c r="F3381" s="67">
        <v>42719</v>
      </c>
      <c r="G3381" s="33" t="s">
        <v>25078</v>
      </c>
      <c r="H3381" s="33" t="s">
        <v>24730</v>
      </c>
      <c r="I3381" s="33" t="s">
        <v>39</v>
      </c>
      <c r="J3381" s="33">
        <v>91745</v>
      </c>
      <c r="K3381" s="33" t="s">
        <v>92</v>
      </c>
      <c r="L3381" s="33" t="s">
        <v>386</v>
      </c>
      <c r="M3381" s="33" t="s">
        <v>4966</v>
      </c>
      <c r="N3381" s="33" t="s">
        <v>24731</v>
      </c>
      <c r="O3381" s="33" t="s">
        <v>372</v>
      </c>
      <c r="P3381" s="33" t="s">
        <v>30089</v>
      </c>
      <c r="Q3381" s="40" t="s">
        <v>24732</v>
      </c>
      <c r="R3381" s="33" t="s">
        <v>94</v>
      </c>
      <c r="S3381" s="33" t="s">
        <v>22</v>
      </c>
      <c r="T3381" s="33" t="s">
        <v>26781</v>
      </c>
      <c r="U3381" s="33" t="s">
        <v>26572</v>
      </c>
      <c r="V3381" s="33" t="s">
        <v>26573</v>
      </c>
      <c r="W3381" s="33" t="s">
        <v>94</v>
      </c>
      <c r="X3381" s="33">
        <v>2130</v>
      </c>
      <c r="Z3381" s="33" t="s">
        <v>42968</v>
      </c>
      <c r="AA3381" s="33">
        <v>4283</v>
      </c>
    </row>
    <row r="3382" spans="1:27" ht="12" customHeight="1" x14ac:dyDescent="0.15">
      <c r="A3382" s="33" t="s">
        <v>24721</v>
      </c>
      <c r="B3382" s="33">
        <v>37</v>
      </c>
      <c r="C3382" s="33" t="s">
        <v>14</v>
      </c>
      <c r="D3382" s="33" t="s">
        <v>79</v>
      </c>
      <c r="E3382" s="33" t="s">
        <v>24722</v>
      </c>
      <c r="F3382" s="67">
        <v>42719</v>
      </c>
      <c r="G3382" s="33" t="s">
        <v>24723</v>
      </c>
      <c r="H3382" s="33" t="s">
        <v>24724</v>
      </c>
      <c r="I3382" s="33" t="s">
        <v>338</v>
      </c>
      <c r="J3382" s="33">
        <v>28001</v>
      </c>
      <c r="K3382" s="33" t="s">
        <v>24725</v>
      </c>
      <c r="L3382" s="33" t="s">
        <v>24726</v>
      </c>
      <c r="M3382" s="33" t="s">
        <v>363</v>
      </c>
      <c r="N3382" s="33" t="s">
        <v>24727</v>
      </c>
      <c r="O3382" s="33" t="s">
        <v>372</v>
      </c>
      <c r="P3382" s="33" t="s">
        <v>30089</v>
      </c>
      <c r="Q3382" s="40" t="s">
        <v>24728</v>
      </c>
      <c r="R3382" s="33" t="s">
        <v>23</v>
      </c>
      <c r="S3382" s="33" t="s">
        <v>12</v>
      </c>
      <c r="T3382" s="33" t="s">
        <v>29705</v>
      </c>
      <c r="U3382" s="33" t="s">
        <v>26572</v>
      </c>
      <c r="V3382" s="33" t="s">
        <v>26573</v>
      </c>
      <c r="Z3382" s="33" t="s">
        <v>42967</v>
      </c>
      <c r="AA3382" s="33">
        <v>4284</v>
      </c>
    </row>
    <row r="3383" spans="1:27" ht="12" customHeight="1" x14ac:dyDescent="0.15">
      <c r="A3383" s="33" t="s">
        <v>24733</v>
      </c>
      <c r="B3383" s="33">
        <v>18</v>
      </c>
      <c r="C3383" s="33" t="s">
        <v>14</v>
      </c>
      <c r="D3383" s="33" t="s">
        <v>79</v>
      </c>
      <c r="E3383" s="33" t="s">
        <v>24734</v>
      </c>
      <c r="F3383" s="67">
        <v>42717</v>
      </c>
      <c r="G3383" s="33" t="s">
        <v>24735</v>
      </c>
      <c r="H3383" s="33" t="s">
        <v>1487</v>
      </c>
      <c r="I3383" s="33" t="s">
        <v>46</v>
      </c>
      <c r="J3383" s="33">
        <v>21216</v>
      </c>
      <c r="K3383" s="33" t="s">
        <v>4324</v>
      </c>
      <c r="L3383" s="33" t="s">
        <v>24736</v>
      </c>
      <c r="M3383" s="33" t="s">
        <v>21</v>
      </c>
      <c r="N3383" s="33" t="s">
        <v>24737</v>
      </c>
      <c r="O3383" s="33" t="s">
        <v>372</v>
      </c>
      <c r="P3383" s="33" t="s">
        <v>30089</v>
      </c>
      <c r="Q3383" s="40" t="s">
        <v>24738</v>
      </c>
      <c r="R3383" s="33" t="s">
        <v>94</v>
      </c>
      <c r="S3383" s="33" t="s">
        <v>22</v>
      </c>
      <c r="T3383" s="33" t="s">
        <v>26781</v>
      </c>
      <c r="U3383" s="33" t="s">
        <v>26572</v>
      </c>
      <c r="V3383" s="33" t="s">
        <v>26573</v>
      </c>
      <c r="W3383" s="33" t="s">
        <v>94</v>
      </c>
      <c r="X3383" s="33">
        <v>2126</v>
      </c>
      <c r="Z3383" s="33" t="s">
        <v>42966</v>
      </c>
      <c r="AA3383" s="33">
        <v>4281</v>
      </c>
    </row>
    <row r="3384" spans="1:27" ht="12" customHeight="1" x14ac:dyDescent="0.15">
      <c r="A3384" s="33" t="s">
        <v>24739</v>
      </c>
      <c r="B3384" s="33">
        <v>32</v>
      </c>
      <c r="C3384" s="33" t="s">
        <v>14</v>
      </c>
      <c r="D3384" s="33" t="s">
        <v>79</v>
      </c>
      <c r="E3384" s="33" t="s">
        <v>24740</v>
      </c>
      <c r="F3384" s="67">
        <v>42717</v>
      </c>
      <c r="G3384" s="33" t="s">
        <v>24741</v>
      </c>
      <c r="H3384" s="33" t="s">
        <v>7622</v>
      </c>
      <c r="I3384" s="33" t="s">
        <v>160</v>
      </c>
      <c r="J3384" s="33">
        <v>30228</v>
      </c>
      <c r="K3384" s="33" t="s">
        <v>7624</v>
      </c>
      <c r="L3384" s="33" t="s">
        <v>7625</v>
      </c>
      <c r="M3384" s="33" t="s">
        <v>4966</v>
      </c>
      <c r="N3384" s="33" t="s">
        <v>24742</v>
      </c>
      <c r="O3384" s="33" t="s">
        <v>372</v>
      </c>
      <c r="P3384" s="33" t="s">
        <v>30089</v>
      </c>
      <c r="Q3384" s="40" t="s">
        <v>24743</v>
      </c>
      <c r="R3384" s="33" t="s">
        <v>512</v>
      </c>
      <c r="S3384" s="33" t="s">
        <v>22</v>
      </c>
      <c r="T3384" s="33" t="s">
        <v>26781</v>
      </c>
      <c r="U3384" s="33" t="s">
        <v>26570</v>
      </c>
      <c r="V3384" s="33" t="s">
        <v>26573</v>
      </c>
      <c r="W3384" s="33" t="s">
        <v>94</v>
      </c>
      <c r="X3384" s="33">
        <v>2128</v>
      </c>
      <c r="Z3384" s="33" t="s">
        <v>42968</v>
      </c>
      <c r="AA3384" s="33">
        <v>4282</v>
      </c>
    </row>
    <row r="3385" spans="1:27" ht="12" customHeight="1" x14ac:dyDescent="0.15">
      <c r="A3385" s="33" t="s">
        <v>24749</v>
      </c>
      <c r="B3385" s="33">
        <v>31</v>
      </c>
      <c r="C3385" s="33" t="s">
        <v>14</v>
      </c>
      <c r="D3385" s="33" t="s">
        <v>31</v>
      </c>
      <c r="F3385" s="67">
        <v>42716</v>
      </c>
      <c r="G3385" s="33" t="s">
        <v>24750</v>
      </c>
      <c r="H3385" s="33" t="s">
        <v>24751</v>
      </c>
      <c r="I3385" s="33" t="s">
        <v>160</v>
      </c>
      <c r="J3385" s="33">
        <v>31016</v>
      </c>
      <c r="K3385" s="33" t="s">
        <v>1037</v>
      </c>
      <c r="L3385" s="33" t="s">
        <v>24752</v>
      </c>
      <c r="M3385" s="33" t="s">
        <v>21</v>
      </c>
      <c r="N3385" s="33" t="s">
        <v>24753</v>
      </c>
      <c r="O3385" s="33" t="s">
        <v>372</v>
      </c>
      <c r="P3385" s="33" t="s">
        <v>30089</v>
      </c>
      <c r="Q3385" s="40" t="s">
        <v>24754</v>
      </c>
      <c r="R3385" s="33" t="s">
        <v>94</v>
      </c>
      <c r="S3385" s="33" t="s">
        <v>22</v>
      </c>
      <c r="T3385" s="33" t="s">
        <v>26781</v>
      </c>
      <c r="U3385" s="33" t="s">
        <v>26572</v>
      </c>
      <c r="V3385" s="33" t="s">
        <v>26573</v>
      </c>
      <c r="W3385" s="33" t="s">
        <v>94</v>
      </c>
      <c r="X3385" s="33">
        <v>2120</v>
      </c>
      <c r="Z3385" s="33" t="s">
        <v>42967</v>
      </c>
      <c r="AA3385" s="33">
        <v>4278</v>
      </c>
    </row>
    <row r="3386" spans="1:27" ht="12" customHeight="1" x14ac:dyDescent="0.15">
      <c r="A3386" s="33" t="s">
        <v>24744</v>
      </c>
      <c r="B3386" s="33">
        <v>28</v>
      </c>
      <c r="C3386" s="33" t="s">
        <v>14</v>
      </c>
      <c r="D3386" s="33" t="s">
        <v>79</v>
      </c>
      <c r="E3386" s="33" t="s">
        <v>24745</v>
      </c>
      <c r="F3386" s="67">
        <v>42716</v>
      </c>
      <c r="G3386" s="33" t="s">
        <v>24746</v>
      </c>
      <c r="H3386" s="33" t="s">
        <v>1033</v>
      </c>
      <c r="I3386" s="33" t="s">
        <v>376</v>
      </c>
      <c r="J3386" s="33">
        <v>19111</v>
      </c>
      <c r="K3386" s="33" t="s">
        <v>1033</v>
      </c>
      <c r="L3386" s="33" t="s">
        <v>5161</v>
      </c>
      <c r="M3386" s="33" t="s">
        <v>21</v>
      </c>
      <c r="N3386" s="33" t="s">
        <v>24747</v>
      </c>
      <c r="O3386" s="33" t="s">
        <v>372</v>
      </c>
      <c r="P3386" s="33" t="s">
        <v>30089</v>
      </c>
      <c r="Q3386" s="40" t="s">
        <v>24748</v>
      </c>
      <c r="R3386" s="33" t="s">
        <v>94</v>
      </c>
      <c r="S3386" s="33" t="s">
        <v>22</v>
      </c>
      <c r="T3386" s="33" t="s">
        <v>26781</v>
      </c>
      <c r="U3386" s="33" t="s">
        <v>26572</v>
      </c>
      <c r="V3386" s="33" t="s">
        <v>26573</v>
      </c>
      <c r="W3386" s="33" t="s">
        <v>94</v>
      </c>
      <c r="X3386" s="33">
        <v>2125</v>
      </c>
      <c r="Z3386" s="33" t="s">
        <v>42966</v>
      </c>
      <c r="AA3386" s="33">
        <v>4279</v>
      </c>
    </row>
    <row r="3387" spans="1:27" ht="12" customHeight="1" x14ac:dyDescent="0.15">
      <c r="A3387" s="33" t="s">
        <v>24755</v>
      </c>
      <c r="B3387" s="33">
        <v>73</v>
      </c>
      <c r="C3387" s="33" t="s">
        <v>14</v>
      </c>
      <c r="D3387" s="33" t="s">
        <v>42</v>
      </c>
      <c r="E3387" s="33" t="s">
        <v>24756</v>
      </c>
      <c r="F3387" s="67">
        <v>42716</v>
      </c>
      <c r="G3387" s="33" t="s">
        <v>25079</v>
      </c>
      <c r="H3387" s="33" t="s">
        <v>631</v>
      </c>
      <c r="I3387" s="33" t="s">
        <v>39</v>
      </c>
      <c r="J3387" s="33">
        <v>93313</v>
      </c>
      <c r="K3387" s="33" t="s">
        <v>632</v>
      </c>
      <c r="L3387" s="33" t="s">
        <v>633</v>
      </c>
      <c r="M3387" s="33" t="s">
        <v>21</v>
      </c>
      <c r="N3387" s="33" t="s">
        <v>24757</v>
      </c>
      <c r="O3387" s="33" t="s">
        <v>372</v>
      </c>
      <c r="P3387" s="33" t="s">
        <v>30089</v>
      </c>
      <c r="Q3387" s="40" t="s">
        <v>24758</v>
      </c>
      <c r="R3387" s="33" t="s">
        <v>512</v>
      </c>
      <c r="S3387" s="33" t="s">
        <v>12</v>
      </c>
      <c r="T3387" s="33" t="s">
        <v>29705</v>
      </c>
      <c r="U3387" s="33" t="s">
        <v>26575</v>
      </c>
      <c r="V3387" s="33" t="s">
        <v>26573</v>
      </c>
      <c r="W3387" s="33" t="s">
        <v>94</v>
      </c>
      <c r="X3387" s="33">
        <v>2114</v>
      </c>
      <c r="Z3387" s="33" t="s">
        <v>42968</v>
      </c>
      <c r="AA3387" s="33">
        <v>4280</v>
      </c>
    </row>
    <row r="3388" spans="1:27" ht="12" customHeight="1" x14ac:dyDescent="0.15">
      <c r="A3388" s="33" t="s">
        <v>24774</v>
      </c>
      <c r="B3388" s="33">
        <v>44</v>
      </c>
      <c r="C3388" s="33" t="s">
        <v>103</v>
      </c>
      <c r="D3388" s="33" t="s">
        <v>31</v>
      </c>
      <c r="F3388" s="67">
        <v>42715</v>
      </c>
      <c r="G3388" s="33" t="s">
        <v>25080</v>
      </c>
      <c r="H3388" s="33" t="s">
        <v>24775</v>
      </c>
      <c r="I3388" s="33" t="s">
        <v>112</v>
      </c>
      <c r="J3388" s="33">
        <v>86442</v>
      </c>
      <c r="K3388" s="33" t="s">
        <v>5363</v>
      </c>
      <c r="L3388" s="33" t="s">
        <v>24776</v>
      </c>
      <c r="M3388" s="33" t="s">
        <v>21</v>
      </c>
      <c r="N3388" s="33" t="s">
        <v>24777</v>
      </c>
      <c r="O3388" s="33" t="s">
        <v>372</v>
      </c>
      <c r="P3388" s="33" t="s">
        <v>30089</v>
      </c>
      <c r="Q3388" s="40" t="s">
        <v>24778</v>
      </c>
      <c r="R3388" s="33" t="s">
        <v>512</v>
      </c>
      <c r="S3388" s="33" t="s">
        <v>12</v>
      </c>
      <c r="T3388" s="33" t="s">
        <v>29425</v>
      </c>
      <c r="U3388" s="33" t="s">
        <v>26572</v>
      </c>
      <c r="V3388" s="33" t="s">
        <v>26573</v>
      </c>
      <c r="W3388" s="33" t="s">
        <v>94</v>
      </c>
      <c r="X3388" s="33">
        <v>2123</v>
      </c>
      <c r="Z3388" s="33" t="s">
        <v>42968</v>
      </c>
      <c r="AA3388" s="33">
        <v>4276</v>
      </c>
    </row>
    <row r="3389" spans="1:27" ht="12" customHeight="1" x14ac:dyDescent="0.15">
      <c r="A3389" s="33" t="s">
        <v>24765</v>
      </c>
      <c r="B3389" s="33">
        <v>24</v>
      </c>
      <c r="C3389" s="33" t="s">
        <v>14</v>
      </c>
      <c r="D3389" s="33" t="s">
        <v>31</v>
      </c>
      <c r="F3389" s="67">
        <v>42715</v>
      </c>
      <c r="G3389" s="33" t="s">
        <v>25082</v>
      </c>
      <c r="H3389" s="33" t="s">
        <v>24766</v>
      </c>
      <c r="I3389" s="33" t="s">
        <v>337</v>
      </c>
      <c r="J3389" s="33">
        <v>67104</v>
      </c>
      <c r="K3389" s="33" t="s">
        <v>24767</v>
      </c>
      <c r="L3389" s="33" t="s">
        <v>24768</v>
      </c>
      <c r="M3389" s="33" t="s">
        <v>21</v>
      </c>
      <c r="N3389" s="33" t="s">
        <v>24769</v>
      </c>
      <c r="O3389" s="33" t="s">
        <v>372</v>
      </c>
      <c r="P3389" s="33" t="s">
        <v>30089</v>
      </c>
      <c r="Q3389" s="40" t="s">
        <v>24770</v>
      </c>
      <c r="R3389" s="33" t="s">
        <v>94</v>
      </c>
      <c r="S3389" s="33" t="s">
        <v>22</v>
      </c>
      <c r="T3389" s="33" t="s">
        <v>26781</v>
      </c>
      <c r="U3389" s="33" t="s">
        <v>26572</v>
      </c>
      <c r="V3389" s="33" t="s">
        <v>26573</v>
      </c>
      <c r="W3389" s="33" t="s">
        <v>94</v>
      </c>
      <c r="X3389" s="33">
        <v>2127</v>
      </c>
      <c r="Z3389" s="33" t="s">
        <v>42967</v>
      </c>
      <c r="AA3389" s="33">
        <v>4273</v>
      </c>
    </row>
    <row r="3390" spans="1:27" ht="12" customHeight="1" x14ac:dyDescent="0.15">
      <c r="A3390" s="33" t="s">
        <v>24771</v>
      </c>
      <c r="B3390" s="33">
        <v>30</v>
      </c>
      <c r="C3390" s="33" t="s">
        <v>14</v>
      </c>
      <c r="D3390" s="33" t="s">
        <v>42</v>
      </c>
      <c r="F3390" s="67">
        <v>42715</v>
      </c>
      <c r="G3390" s="33" t="s">
        <v>25081</v>
      </c>
      <c r="H3390" s="33" t="s">
        <v>3942</v>
      </c>
      <c r="I3390" s="33" t="s">
        <v>67</v>
      </c>
      <c r="J3390" s="33">
        <v>78046</v>
      </c>
      <c r="K3390" s="33" t="s">
        <v>3944</v>
      </c>
      <c r="L3390" s="33" t="s">
        <v>3945</v>
      </c>
      <c r="M3390" s="33" t="s">
        <v>21</v>
      </c>
      <c r="N3390" s="33" t="s">
        <v>24772</v>
      </c>
      <c r="O3390" s="33" t="s">
        <v>372</v>
      </c>
      <c r="P3390" s="33" t="s">
        <v>30089</v>
      </c>
      <c r="Q3390" s="40" t="s">
        <v>24773</v>
      </c>
      <c r="R3390" s="33" t="s">
        <v>512</v>
      </c>
      <c r="S3390" s="33" t="s">
        <v>22</v>
      </c>
      <c r="T3390" s="33" t="s">
        <v>26774</v>
      </c>
      <c r="U3390" s="33" t="s">
        <v>26572</v>
      </c>
      <c r="V3390" s="33" t="s">
        <v>26573</v>
      </c>
      <c r="W3390" s="33" t="s">
        <v>94</v>
      </c>
      <c r="X3390" s="33">
        <v>2121</v>
      </c>
      <c r="Z3390" s="33" t="s">
        <v>42968</v>
      </c>
      <c r="AA3390" s="33">
        <v>4274</v>
      </c>
    </row>
    <row r="3391" spans="1:27" ht="12" customHeight="1" x14ac:dyDescent="0.15">
      <c r="A3391" s="33" t="s">
        <v>24779</v>
      </c>
      <c r="B3391" s="33">
        <v>53</v>
      </c>
      <c r="C3391" s="33" t="s">
        <v>14</v>
      </c>
      <c r="D3391" s="33" t="s">
        <v>31</v>
      </c>
      <c r="F3391" s="67">
        <v>42715</v>
      </c>
      <c r="G3391" s="33" t="s">
        <v>24780</v>
      </c>
      <c r="H3391" s="33" t="s">
        <v>1499</v>
      </c>
      <c r="I3391" s="33" t="s">
        <v>432</v>
      </c>
      <c r="J3391" s="33">
        <v>68467</v>
      </c>
      <c r="K3391" s="33" t="s">
        <v>1499</v>
      </c>
      <c r="L3391" s="33" t="s">
        <v>16988</v>
      </c>
      <c r="M3391" s="33" t="s">
        <v>4966</v>
      </c>
      <c r="N3391" s="33" t="s">
        <v>24781</v>
      </c>
      <c r="O3391" s="33" t="s">
        <v>372</v>
      </c>
      <c r="P3391" s="33" t="s">
        <v>30089</v>
      </c>
      <c r="Q3391" s="40" t="s">
        <v>24782</v>
      </c>
      <c r="R3391" s="33" t="s">
        <v>512</v>
      </c>
      <c r="S3391" s="33" t="s">
        <v>22</v>
      </c>
      <c r="T3391" s="33" t="s">
        <v>26774</v>
      </c>
      <c r="U3391" s="33" t="s">
        <v>26570</v>
      </c>
      <c r="V3391" s="33" t="s">
        <v>26573</v>
      </c>
      <c r="W3391" s="33" t="s">
        <v>94</v>
      </c>
      <c r="X3391" s="33">
        <v>2112</v>
      </c>
      <c r="Z3391" s="33" t="s">
        <v>42967</v>
      </c>
      <c r="AA3391" s="33">
        <v>4275</v>
      </c>
    </row>
    <row r="3392" spans="1:27" ht="12" customHeight="1" x14ac:dyDescent="0.15">
      <c r="A3392" s="33" t="s">
        <v>24759</v>
      </c>
      <c r="B3392" s="33">
        <v>39</v>
      </c>
      <c r="C3392" s="33" t="s">
        <v>14</v>
      </c>
      <c r="D3392" s="33" t="s">
        <v>31</v>
      </c>
      <c r="F3392" s="67">
        <v>42715</v>
      </c>
      <c r="G3392" s="33" t="s">
        <v>24760</v>
      </c>
      <c r="H3392" s="33" t="s">
        <v>24761</v>
      </c>
      <c r="I3392" s="33" t="s">
        <v>139</v>
      </c>
      <c r="J3392" s="33">
        <v>26554</v>
      </c>
      <c r="K3392" s="33" t="s">
        <v>392</v>
      </c>
      <c r="L3392" s="33" t="s">
        <v>24762</v>
      </c>
      <c r="M3392" s="33" t="s">
        <v>21</v>
      </c>
      <c r="N3392" s="33" t="s">
        <v>24763</v>
      </c>
      <c r="O3392" s="33" t="s">
        <v>372</v>
      </c>
      <c r="P3392" s="33" t="s">
        <v>30089</v>
      </c>
      <c r="Q3392" s="40" t="s">
        <v>24764</v>
      </c>
      <c r="R3392" s="33" t="s">
        <v>94</v>
      </c>
      <c r="S3392" s="33" t="s">
        <v>351</v>
      </c>
      <c r="T3392" s="33" t="s">
        <v>26867</v>
      </c>
      <c r="U3392" s="33" t="s">
        <v>26570</v>
      </c>
      <c r="V3392" s="33" t="s">
        <v>26573</v>
      </c>
      <c r="W3392" s="33" t="s">
        <v>94</v>
      </c>
      <c r="X3392" s="33">
        <v>2118</v>
      </c>
      <c r="Z3392" s="33" t="s">
        <v>42968</v>
      </c>
      <c r="AA3392" s="33">
        <v>4277</v>
      </c>
    </row>
    <row r="3393" spans="1:27" ht="12" customHeight="1" x14ac:dyDescent="0.15">
      <c r="A3393" s="33" t="s">
        <v>24790</v>
      </c>
      <c r="B3393" s="33">
        <v>36</v>
      </c>
      <c r="C3393" s="33" t="s">
        <v>14</v>
      </c>
      <c r="D3393" s="33" t="s">
        <v>31</v>
      </c>
      <c r="E3393" s="33" t="s">
        <v>24791</v>
      </c>
      <c r="F3393" s="67">
        <v>42714</v>
      </c>
      <c r="G3393" s="33" t="s">
        <v>24792</v>
      </c>
      <c r="H3393" s="33" t="s">
        <v>12414</v>
      </c>
      <c r="I3393" s="33" t="s">
        <v>198</v>
      </c>
      <c r="J3393" s="33">
        <v>46143</v>
      </c>
      <c r="K3393" s="33" t="s">
        <v>3032</v>
      </c>
      <c r="L3393" s="33" t="s">
        <v>22081</v>
      </c>
      <c r="M3393" s="33" t="s">
        <v>21</v>
      </c>
      <c r="N3393" s="33" t="s">
        <v>24793</v>
      </c>
      <c r="O3393" s="33" t="s">
        <v>372</v>
      </c>
      <c r="P3393" s="33" t="s">
        <v>30089</v>
      </c>
      <c r="Q3393" s="40" t="s">
        <v>24794</v>
      </c>
      <c r="R3393" s="33" t="s">
        <v>94</v>
      </c>
      <c r="S3393" s="33" t="s">
        <v>22</v>
      </c>
      <c r="T3393" s="33" t="s">
        <v>26774</v>
      </c>
      <c r="U3393" s="33" t="s">
        <v>26570</v>
      </c>
      <c r="V3393" s="33" t="s">
        <v>26573</v>
      </c>
      <c r="W3393" s="33" t="s">
        <v>512</v>
      </c>
      <c r="X3393" s="33">
        <v>2116</v>
      </c>
      <c r="Z3393" s="33" t="s">
        <v>42968</v>
      </c>
      <c r="AA3393" s="33">
        <v>4272</v>
      </c>
    </row>
    <row r="3394" spans="1:27" ht="12" customHeight="1" x14ac:dyDescent="0.15">
      <c r="A3394" s="33" t="s">
        <v>24783</v>
      </c>
      <c r="B3394" s="33">
        <v>35</v>
      </c>
      <c r="C3394" s="33" t="s">
        <v>14</v>
      </c>
      <c r="D3394" s="33" t="s">
        <v>79</v>
      </c>
      <c r="E3394" s="33" t="s">
        <v>24784</v>
      </c>
      <c r="F3394" s="67">
        <v>42714</v>
      </c>
      <c r="G3394" s="33" t="s">
        <v>24785</v>
      </c>
      <c r="H3394" s="33" t="s">
        <v>24786</v>
      </c>
      <c r="I3394" s="33" t="s">
        <v>26</v>
      </c>
      <c r="J3394" s="33">
        <v>29150</v>
      </c>
      <c r="K3394" s="33" t="s">
        <v>24786</v>
      </c>
      <c r="L3394" s="33" t="s">
        <v>24787</v>
      </c>
      <c r="M3394" s="33" t="s">
        <v>21</v>
      </c>
      <c r="N3394" s="33" t="s">
        <v>24788</v>
      </c>
      <c r="O3394" s="33" t="s">
        <v>372</v>
      </c>
      <c r="P3394" s="33" t="s">
        <v>30089</v>
      </c>
      <c r="Q3394" s="40" t="s">
        <v>24789</v>
      </c>
      <c r="R3394" s="33" t="s">
        <v>94</v>
      </c>
      <c r="S3394" s="33" t="s">
        <v>22</v>
      </c>
      <c r="T3394" s="33" t="s">
        <v>26781</v>
      </c>
      <c r="U3394" s="33" t="s">
        <v>26572</v>
      </c>
      <c r="V3394" s="33" t="s">
        <v>26574</v>
      </c>
      <c r="W3394" s="33" t="s">
        <v>94</v>
      </c>
      <c r="X3394" s="33">
        <v>2113</v>
      </c>
      <c r="Z3394" s="33" t="s">
        <v>42968</v>
      </c>
      <c r="AA3394" s="33">
        <v>4271</v>
      </c>
    </row>
    <row r="3395" spans="1:27" ht="12" customHeight="1" x14ac:dyDescent="0.15">
      <c r="A3395" s="33" t="s">
        <v>24795</v>
      </c>
      <c r="B3395" s="33">
        <v>30</v>
      </c>
      <c r="C3395" s="33" t="s">
        <v>14</v>
      </c>
      <c r="D3395" s="33" t="s">
        <v>885</v>
      </c>
      <c r="E3395" s="33" t="s">
        <v>24796</v>
      </c>
      <c r="F3395" s="67">
        <v>42713</v>
      </c>
      <c r="G3395" s="33" t="s">
        <v>24797</v>
      </c>
      <c r="H3395" s="33" t="s">
        <v>23446</v>
      </c>
      <c r="I3395" s="33" t="s">
        <v>814</v>
      </c>
      <c r="J3395" s="33">
        <v>96749</v>
      </c>
      <c r="K3395" s="33" t="s">
        <v>3619</v>
      </c>
      <c r="L3395" s="33" t="s">
        <v>3620</v>
      </c>
      <c r="M3395" s="33" t="s">
        <v>21</v>
      </c>
      <c r="N3395" s="33" t="s">
        <v>24798</v>
      </c>
      <c r="O3395" s="33" t="s">
        <v>372</v>
      </c>
      <c r="P3395" s="33" t="s">
        <v>30089</v>
      </c>
      <c r="Q3395" s="40" t="s">
        <v>24799</v>
      </c>
      <c r="R3395" s="33" t="s">
        <v>94</v>
      </c>
      <c r="S3395" s="33" t="s">
        <v>351</v>
      </c>
      <c r="T3395" s="33" t="s">
        <v>26867</v>
      </c>
      <c r="U3395" s="33" t="s">
        <v>26570</v>
      </c>
      <c r="V3395" s="33" t="s">
        <v>26573</v>
      </c>
      <c r="W3395" s="33" t="s">
        <v>94</v>
      </c>
      <c r="X3395" s="33">
        <v>2115</v>
      </c>
      <c r="Z3395" s="33" t="s">
        <v>42967</v>
      </c>
      <c r="AA3395" s="33">
        <v>4269</v>
      </c>
    </row>
    <row r="3396" spans="1:27" ht="12" customHeight="1" x14ac:dyDescent="0.15">
      <c r="A3396" s="33" t="s">
        <v>24806</v>
      </c>
      <c r="B3396" s="33">
        <v>44</v>
      </c>
      <c r="C3396" s="33" t="s">
        <v>14</v>
      </c>
      <c r="D3396" s="33" t="s">
        <v>31</v>
      </c>
      <c r="E3396" s="33" t="s">
        <v>24807</v>
      </c>
      <c r="F3396" s="67">
        <v>42713</v>
      </c>
      <c r="G3396" s="33" t="s">
        <v>24808</v>
      </c>
      <c r="H3396" s="33" t="s">
        <v>8175</v>
      </c>
      <c r="I3396" s="33" t="s">
        <v>298</v>
      </c>
      <c r="J3396" s="33">
        <v>37354</v>
      </c>
      <c r="K3396" s="33" t="s">
        <v>1037</v>
      </c>
      <c r="L3396" s="33" t="s">
        <v>4752</v>
      </c>
      <c r="M3396" s="33" t="s">
        <v>21</v>
      </c>
      <c r="N3396" s="33" t="s">
        <v>24809</v>
      </c>
      <c r="O3396" s="33" t="s">
        <v>372</v>
      </c>
      <c r="P3396" s="33" t="s">
        <v>30089</v>
      </c>
      <c r="Q3396" s="40" t="s">
        <v>24810</v>
      </c>
      <c r="R3396" s="33" t="s">
        <v>94</v>
      </c>
      <c r="S3396" s="33" t="s">
        <v>351</v>
      </c>
      <c r="T3396" s="33" t="s">
        <v>26867</v>
      </c>
      <c r="U3396" s="33" t="s">
        <v>26572</v>
      </c>
      <c r="V3396" s="33" t="s">
        <v>26573</v>
      </c>
      <c r="Z3396" s="33" t="s">
        <v>42967</v>
      </c>
      <c r="AA3396" s="33">
        <v>4270</v>
      </c>
    </row>
    <row r="3397" spans="1:27" ht="12" customHeight="1" x14ac:dyDescent="0.15">
      <c r="A3397" s="33" t="s">
        <v>24811</v>
      </c>
      <c r="B3397" s="33">
        <v>43</v>
      </c>
      <c r="C3397" s="33" t="s">
        <v>14</v>
      </c>
      <c r="D3397" s="33" t="s">
        <v>31</v>
      </c>
      <c r="F3397" s="67">
        <v>42713</v>
      </c>
      <c r="G3397" s="33" t="s">
        <v>24812</v>
      </c>
      <c r="H3397" s="33" t="s">
        <v>24813</v>
      </c>
      <c r="I3397" s="33" t="s">
        <v>338</v>
      </c>
      <c r="J3397" s="33">
        <v>28451</v>
      </c>
      <c r="K3397" s="33" t="s">
        <v>11083</v>
      </c>
      <c r="L3397" s="33" t="s">
        <v>24814</v>
      </c>
      <c r="M3397" s="33" t="s">
        <v>21</v>
      </c>
      <c r="N3397" s="33" t="s">
        <v>24815</v>
      </c>
      <c r="O3397" s="33" t="s">
        <v>372</v>
      </c>
      <c r="P3397" s="33" t="s">
        <v>30089</v>
      </c>
      <c r="Q3397" s="40" t="s">
        <v>24816</v>
      </c>
      <c r="R3397" s="33" t="s">
        <v>904</v>
      </c>
      <c r="S3397" s="33" t="s">
        <v>22</v>
      </c>
      <c r="T3397" s="33" t="s">
        <v>26781</v>
      </c>
      <c r="U3397" s="33" t="s">
        <v>26572</v>
      </c>
      <c r="V3397" s="33" t="s">
        <v>26573</v>
      </c>
      <c r="W3397" s="33" t="s">
        <v>94</v>
      </c>
      <c r="X3397" s="33">
        <v>2119</v>
      </c>
      <c r="Z3397" s="33" t="s">
        <v>42967</v>
      </c>
      <c r="AA3397" s="33">
        <v>4267</v>
      </c>
    </row>
    <row r="3398" spans="1:27" ht="12" customHeight="1" x14ac:dyDescent="0.15">
      <c r="A3398" s="33" t="s">
        <v>24800</v>
      </c>
      <c r="B3398" s="33">
        <v>35</v>
      </c>
      <c r="C3398" s="33" t="s">
        <v>14</v>
      </c>
      <c r="D3398" s="33" t="s">
        <v>31</v>
      </c>
      <c r="E3398" s="33" t="s">
        <v>24801</v>
      </c>
      <c r="F3398" s="67">
        <v>42713</v>
      </c>
      <c r="G3398" s="33" t="s">
        <v>24802</v>
      </c>
      <c r="H3398" s="33" t="s">
        <v>5965</v>
      </c>
      <c r="I3398" s="33" t="s">
        <v>376</v>
      </c>
      <c r="J3398" s="33">
        <v>18040</v>
      </c>
      <c r="K3398" s="33" t="s">
        <v>5967</v>
      </c>
      <c r="L3398" s="33" t="s">
        <v>24803</v>
      </c>
      <c r="M3398" s="33" t="s">
        <v>21</v>
      </c>
      <c r="N3398" s="33" t="s">
        <v>24804</v>
      </c>
      <c r="O3398" s="33" t="s">
        <v>372</v>
      </c>
      <c r="P3398" s="33" t="s">
        <v>30089</v>
      </c>
      <c r="Q3398" s="40" t="s">
        <v>24805</v>
      </c>
      <c r="R3398" s="33" t="s">
        <v>512</v>
      </c>
      <c r="S3398" s="33" t="s">
        <v>22</v>
      </c>
      <c r="T3398" s="33" t="s">
        <v>29422</v>
      </c>
      <c r="U3398" s="33" t="s">
        <v>26570</v>
      </c>
      <c r="V3398" s="33" t="s">
        <v>26573</v>
      </c>
      <c r="W3398" s="33" t="s">
        <v>94</v>
      </c>
      <c r="X3398" s="33">
        <v>2122</v>
      </c>
      <c r="Z3398" s="33" t="s">
        <v>42968</v>
      </c>
      <c r="AA3398" s="33">
        <v>4268</v>
      </c>
    </row>
    <row r="3399" spans="1:27" ht="12" customHeight="1" x14ac:dyDescent="0.15">
      <c r="A3399" s="33" t="s">
        <v>3002</v>
      </c>
      <c r="B3399" s="33" t="s">
        <v>23</v>
      </c>
      <c r="C3399" s="33" t="s">
        <v>14</v>
      </c>
      <c r="D3399" s="33" t="s">
        <v>31</v>
      </c>
      <c r="F3399" s="67">
        <v>42712</v>
      </c>
      <c r="G3399" s="33" t="s">
        <v>25083</v>
      </c>
      <c r="H3399" s="33" t="s">
        <v>1680</v>
      </c>
      <c r="I3399" s="33" t="s">
        <v>67</v>
      </c>
      <c r="J3399" s="33">
        <v>75002</v>
      </c>
      <c r="K3399" s="33" t="s">
        <v>18009</v>
      </c>
      <c r="L3399" s="33" t="s">
        <v>24817</v>
      </c>
      <c r="M3399" s="33" t="s">
        <v>21</v>
      </c>
      <c r="N3399" s="33" t="s">
        <v>24818</v>
      </c>
      <c r="O3399" s="33" t="s">
        <v>372</v>
      </c>
      <c r="P3399" s="33" t="s">
        <v>30089</v>
      </c>
      <c r="Q3399" s="40" t="s">
        <v>24819</v>
      </c>
      <c r="R3399" s="33" t="s">
        <v>94</v>
      </c>
      <c r="S3399" s="33" t="s">
        <v>22</v>
      </c>
      <c r="T3399" s="33" t="s">
        <v>26781</v>
      </c>
      <c r="U3399" s="33" t="s">
        <v>26572</v>
      </c>
      <c r="V3399" s="33" t="s">
        <v>26573</v>
      </c>
      <c r="W3399" s="33" t="s">
        <v>94</v>
      </c>
      <c r="X3399" s="33">
        <v>2110</v>
      </c>
      <c r="Z3399" s="33" t="s">
        <v>42968</v>
      </c>
      <c r="AA3399" s="33">
        <v>4266</v>
      </c>
    </row>
    <row r="3400" spans="1:27" ht="12" customHeight="1" x14ac:dyDescent="0.15">
      <c r="A3400" s="33" t="s">
        <v>24828</v>
      </c>
      <c r="B3400" s="33">
        <v>20</v>
      </c>
      <c r="C3400" s="33" t="s">
        <v>14</v>
      </c>
      <c r="D3400" s="33" t="s">
        <v>31</v>
      </c>
      <c r="E3400" s="33" t="s">
        <v>24829</v>
      </c>
      <c r="F3400" s="67">
        <v>42711</v>
      </c>
      <c r="G3400" s="33" t="s">
        <v>24830</v>
      </c>
      <c r="H3400" s="33" t="s">
        <v>24831</v>
      </c>
      <c r="I3400" s="33" t="s">
        <v>376</v>
      </c>
      <c r="J3400" s="33">
        <v>15312</v>
      </c>
      <c r="K3400" s="33" t="s">
        <v>107</v>
      </c>
      <c r="L3400" s="33" t="s">
        <v>473</v>
      </c>
      <c r="M3400" s="33" t="s">
        <v>21</v>
      </c>
      <c r="N3400" s="33" t="s">
        <v>24832</v>
      </c>
      <c r="O3400" s="33" t="s">
        <v>372</v>
      </c>
      <c r="P3400" s="33" t="s">
        <v>30089</v>
      </c>
      <c r="Q3400" s="40" t="s">
        <v>24833</v>
      </c>
      <c r="R3400" s="33" t="s">
        <v>512</v>
      </c>
      <c r="S3400" s="33" t="s">
        <v>22</v>
      </c>
      <c r="T3400" s="33" t="s">
        <v>26774</v>
      </c>
      <c r="U3400" s="33" t="s">
        <v>26572</v>
      </c>
      <c r="V3400" s="33" t="s">
        <v>26573</v>
      </c>
      <c r="W3400" s="33" t="s">
        <v>94</v>
      </c>
      <c r="X3400" s="33">
        <v>2129</v>
      </c>
      <c r="Z3400" s="33" t="s">
        <v>42967</v>
      </c>
      <c r="AA3400" s="33">
        <v>4262</v>
      </c>
    </row>
    <row r="3401" spans="1:27" ht="12" customHeight="1" x14ac:dyDescent="0.15">
      <c r="A3401" s="33" t="s">
        <v>24839</v>
      </c>
      <c r="B3401" s="33">
        <v>36</v>
      </c>
      <c r="C3401" s="33" t="s">
        <v>14</v>
      </c>
      <c r="D3401" s="33" t="s">
        <v>31</v>
      </c>
      <c r="F3401" s="67">
        <v>42711</v>
      </c>
      <c r="G3401" s="33" t="s">
        <v>24840</v>
      </c>
      <c r="H3401" s="33" t="s">
        <v>10775</v>
      </c>
      <c r="I3401" s="33" t="s">
        <v>342</v>
      </c>
      <c r="J3401" s="33">
        <v>51103</v>
      </c>
      <c r="K3401" s="33" t="s">
        <v>10777</v>
      </c>
      <c r="L3401" s="33" t="s">
        <v>10778</v>
      </c>
      <c r="M3401" s="33" t="s">
        <v>21</v>
      </c>
      <c r="N3401" s="33" t="s">
        <v>24841</v>
      </c>
      <c r="O3401" s="33" t="s">
        <v>372</v>
      </c>
      <c r="P3401" s="33" t="s">
        <v>30089</v>
      </c>
      <c r="Q3401" s="40" t="s">
        <v>24842</v>
      </c>
      <c r="R3401" s="33" t="s">
        <v>94</v>
      </c>
      <c r="S3401" s="33" t="s">
        <v>29</v>
      </c>
      <c r="T3401" s="33" t="s">
        <v>26575</v>
      </c>
      <c r="U3401" s="33" t="s">
        <v>26570</v>
      </c>
      <c r="V3401" s="33" t="s">
        <v>26573</v>
      </c>
      <c r="W3401" s="33" t="s">
        <v>94</v>
      </c>
      <c r="X3401" s="33">
        <v>2111</v>
      </c>
      <c r="Z3401" s="33" t="s">
        <v>42968</v>
      </c>
      <c r="AA3401" s="33">
        <v>4265</v>
      </c>
    </row>
    <row r="3402" spans="1:27" ht="12" customHeight="1" x14ac:dyDescent="0.15">
      <c r="A3402" s="33" t="s">
        <v>24834</v>
      </c>
      <c r="B3402" s="33">
        <v>37</v>
      </c>
      <c r="C3402" s="33" t="s">
        <v>14</v>
      </c>
      <c r="D3402" s="33" t="s">
        <v>31</v>
      </c>
      <c r="E3402" s="33" t="s">
        <v>24835</v>
      </c>
      <c r="F3402" s="67">
        <v>42711</v>
      </c>
      <c r="G3402" s="33" t="s">
        <v>25084</v>
      </c>
      <c r="H3402" s="33" t="s">
        <v>266</v>
      </c>
      <c r="I3402" s="33" t="s">
        <v>67</v>
      </c>
      <c r="J3402" s="33">
        <v>75201</v>
      </c>
      <c r="K3402" s="33" t="s">
        <v>266</v>
      </c>
      <c r="L3402" s="33" t="s">
        <v>24836</v>
      </c>
      <c r="M3402" s="33" t="s">
        <v>21</v>
      </c>
      <c r="N3402" s="33" t="s">
        <v>24837</v>
      </c>
      <c r="O3402" s="33" t="s">
        <v>372</v>
      </c>
      <c r="P3402" s="33" t="s">
        <v>30089</v>
      </c>
      <c r="Q3402" s="40" t="s">
        <v>24838</v>
      </c>
      <c r="R3402" s="33" t="s">
        <v>94</v>
      </c>
      <c r="S3402" s="33" t="s">
        <v>29</v>
      </c>
      <c r="T3402" s="33" t="s">
        <v>26575</v>
      </c>
      <c r="U3402" s="33" t="s">
        <v>26575</v>
      </c>
      <c r="V3402" s="33" t="s">
        <v>19228</v>
      </c>
      <c r="W3402" s="33" t="s">
        <v>94</v>
      </c>
      <c r="X3402" s="33">
        <v>2108</v>
      </c>
      <c r="Z3402" s="33" t="s">
        <v>42966</v>
      </c>
      <c r="AA3402" s="33">
        <v>4264</v>
      </c>
    </row>
    <row r="3403" spans="1:27" ht="12" customHeight="1" x14ac:dyDescent="0.15">
      <c r="A3403" s="33" t="s">
        <v>24820</v>
      </c>
      <c r="B3403" s="33">
        <v>31</v>
      </c>
      <c r="C3403" s="33" t="s">
        <v>14</v>
      </c>
      <c r="D3403" s="33" t="s">
        <v>79</v>
      </c>
      <c r="E3403" s="33" t="s">
        <v>24821</v>
      </c>
      <c r="F3403" s="67">
        <v>42711</v>
      </c>
      <c r="G3403" s="33" t="s">
        <v>25085</v>
      </c>
      <c r="H3403" s="33" t="s">
        <v>5472</v>
      </c>
      <c r="I3403" s="33" t="s">
        <v>338</v>
      </c>
      <c r="J3403" s="33">
        <v>28303</v>
      </c>
      <c r="K3403" s="33" t="s">
        <v>2907</v>
      </c>
      <c r="L3403" s="33" t="s">
        <v>5474</v>
      </c>
      <c r="M3403" s="33" t="s">
        <v>4966</v>
      </c>
      <c r="N3403" s="33" t="s">
        <v>24822</v>
      </c>
      <c r="O3403" s="33" t="s">
        <v>372</v>
      </c>
      <c r="P3403" s="33" t="s">
        <v>30089</v>
      </c>
      <c r="Q3403" s="40" t="s">
        <v>24823</v>
      </c>
      <c r="R3403" s="33" t="s">
        <v>23</v>
      </c>
      <c r="S3403" s="33" t="s">
        <v>22</v>
      </c>
      <c r="T3403" s="33" t="s">
        <v>26774</v>
      </c>
      <c r="U3403" s="33" t="s">
        <v>26570</v>
      </c>
      <c r="V3403" s="33" t="s">
        <v>26573</v>
      </c>
      <c r="W3403" s="33" t="s">
        <v>512</v>
      </c>
      <c r="X3403" s="33">
        <v>2107</v>
      </c>
      <c r="Z3403" s="33" t="s">
        <v>42968</v>
      </c>
      <c r="AA3403" s="33">
        <v>4263</v>
      </c>
    </row>
    <row r="3404" spans="1:27" ht="12" customHeight="1" x14ac:dyDescent="0.15">
      <c r="A3404" s="33" t="s">
        <v>24824</v>
      </c>
      <c r="B3404" s="33">
        <v>37</v>
      </c>
      <c r="C3404" s="33" t="s">
        <v>14</v>
      </c>
      <c r="D3404" s="33" t="s">
        <v>79</v>
      </c>
      <c r="F3404" s="67">
        <v>42711</v>
      </c>
      <c r="G3404" s="33" t="s">
        <v>24825</v>
      </c>
      <c r="H3404" s="33" t="s">
        <v>674</v>
      </c>
      <c r="I3404" s="33" t="s">
        <v>67</v>
      </c>
      <c r="J3404" s="33">
        <v>77060</v>
      </c>
      <c r="K3404" s="33" t="s">
        <v>515</v>
      </c>
      <c r="L3404" s="33" t="s">
        <v>675</v>
      </c>
      <c r="M3404" s="33" t="s">
        <v>21</v>
      </c>
      <c r="N3404" s="33" t="s">
        <v>24826</v>
      </c>
      <c r="O3404" s="33" t="s">
        <v>372</v>
      </c>
      <c r="P3404" s="33" t="s">
        <v>30089</v>
      </c>
      <c r="Q3404" s="40" t="s">
        <v>24827</v>
      </c>
      <c r="R3404" s="33" t="s">
        <v>94</v>
      </c>
      <c r="S3404" s="33" t="s">
        <v>22</v>
      </c>
      <c r="T3404" s="33" t="s">
        <v>26781</v>
      </c>
      <c r="U3404" s="33" t="s">
        <v>26572</v>
      </c>
      <c r="V3404" s="33" t="s">
        <v>26573</v>
      </c>
      <c r="W3404" s="33" t="s">
        <v>94</v>
      </c>
      <c r="X3404" s="33">
        <v>2109</v>
      </c>
      <c r="Z3404" s="33" t="s">
        <v>42966</v>
      </c>
      <c r="AA3404" s="33">
        <v>4261</v>
      </c>
    </row>
    <row r="3405" spans="1:27" ht="12" customHeight="1" x14ac:dyDescent="0.15">
      <c r="A3405" s="33" t="s">
        <v>24843</v>
      </c>
      <c r="B3405" s="33">
        <v>49</v>
      </c>
      <c r="C3405" s="33" t="s">
        <v>14</v>
      </c>
      <c r="D3405" s="33" t="s">
        <v>31</v>
      </c>
      <c r="E3405" s="33" t="s">
        <v>24844</v>
      </c>
      <c r="F3405" s="67">
        <v>42710</v>
      </c>
      <c r="G3405" s="33" t="s">
        <v>25086</v>
      </c>
      <c r="H3405" s="33" t="s">
        <v>24845</v>
      </c>
      <c r="I3405" s="33" t="s">
        <v>56</v>
      </c>
      <c r="J3405" s="33">
        <v>34731</v>
      </c>
      <c r="K3405" s="33" t="s">
        <v>1179</v>
      </c>
      <c r="L3405" s="33" t="s">
        <v>1180</v>
      </c>
      <c r="M3405" s="33" t="s">
        <v>4966</v>
      </c>
      <c r="N3405" s="33" t="s">
        <v>24846</v>
      </c>
      <c r="O3405" s="33" t="s">
        <v>372</v>
      </c>
      <c r="P3405" s="33" t="s">
        <v>30089</v>
      </c>
      <c r="Q3405" s="40" t="s">
        <v>24847</v>
      </c>
      <c r="R3405" s="33" t="s">
        <v>23</v>
      </c>
      <c r="S3405" s="33" t="s">
        <v>29</v>
      </c>
      <c r="T3405" s="33" t="s">
        <v>26588</v>
      </c>
      <c r="U3405" s="33" t="s">
        <v>26572</v>
      </c>
      <c r="V3405" s="33" t="s">
        <v>19228</v>
      </c>
      <c r="W3405" s="33" t="s">
        <v>94</v>
      </c>
      <c r="X3405" s="33">
        <v>2106</v>
      </c>
      <c r="Z3405" s="33" t="s">
        <v>42968</v>
      </c>
      <c r="AA3405" s="33">
        <v>4260</v>
      </c>
    </row>
    <row r="3406" spans="1:27" ht="12" customHeight="1" x14ac:dyDescent="0.15">
      <c r="A3406" s="33" t="s">
        <v>24858</v>
      </c>
      <c r="B3406" s="33">
        <v>55</v>
      </c>
      <c r="C3406" s="33" t="s">
        <v>14</v>
      </c>
      <c r="D3406" s="33" t="s">
        <v>31</v>
      </c>
      <c r="F3406" s="67">
        <v>42710</v>
      </c>
      <c r="G3406" s="33" t="s">
        <v>24859</v>
      </c>
      <c r="H3406" s="33" t="s">
        <v>1504</v>
      </c>
      <c r="I3406" s="33" t="s">
        <v>337</v>
      </c>
      <c r="J3406" s="33">
        <v>67502</v>
      </c>
      <c r="K3406" s="33" t="s">
        <v>1506</v>
      </c>
      <c r="L3406" s="33" t="s">
        <v>1507</v>
      </c>
      <c r="M3406" s="33" t="s">
        <v>21</v>
      </c>
      <c r="N3406" s="33" t="s">
        <v>24860</v>
      </c>
      <c r="O3406" s="33" t="s">
        <v>372</v>
      </c>
      <c r="P3406" s="33" t="s">
        <v>30089</v>
      </c>
      <c r="Q3406" s="40" t="s">
        <v>24861</v>
      </c>
      <c r="R3406" s="33" t="s">
        <v>23</v>
      </c>
      <c r="S3406" s="33" t="s">
        <v>22</v>
      </c>
      <c r="T3406" s="33" t="s">
        <v>26781</v>
      </c>
      <c r="U3406" s="33" t="s">
        <v>26572</v>
      </c>
      <c r="V3406" s="33" t="s">
        <v>26573</v>
      </c>
      <c r="W3406" s="33" t="s">
        <v>94</v>
      </c>
      <c r="X3406" s="33">
        <v>2103</v>
      </c>
      <c r="Z3406" s="33" t="s">
        <v>42968</v>
      </c>
      <c r="AA3406" s="33">
        <v>4257</v>
      </c>
    </row>
    <row r="3407" spans="1:27" ht="12" customHeight="1" x14ac:dyDescent="0.15">
      <c r="A3407" s="33" t="s">
        <v>24853</v>
      </c>
      <c r="B3407" s="33">
        <v>52</v>
      </c>
      <c r="C3407" s="33" t="s">
        <v>14</v>
      </c>
      <c r="D3407" s="33" t="s">
        <v>31</v>
      </c>
      <c r="E3407" s="33" t="s">
        <v>24854</v>
      </c>
      <c r="F3407" s="67">
        <v>42710</v>
      </c>
      <c r="G3407" s="33" t="s">
        <v>24855</v>
      </c>
      <c r="H3407" s="33" t="s">
        <v>1459</v>
      </c>
      <c r="I3407" s="33" t="s">
        <v>106</v>
      </c>
      <c r="J3407" s="33">
        <v>97230</v>
      </c>
      <c r="K3407" s="33" t="s">
        <v>1461</v>
      </c>
      <c r="L3407" s="33" t="s">
        <v>16039</v>
      </c>
      <c r="M3407" s="33" t="s">
        <v>21</v>
      </c>
      <c r="N3407" s="33" t="s">
        <v>24856</v>
      </c>
      <c r="O3407" s="33" t="s">
        <v>372</v>
      </c>
      <c r="P3407" s="33" t="s">
        <v>30089</v>
      </c>
      <c r="Q3407" s="40" t="s">
        <v>24857</v>
      </c>
      <c r="R3407" s="33" t="s">
        <v>94</v>
      </c>
      <c r="S3407" s="33" t="s">
        <v>22</v>
      </c>
      <c r="T3407" s="33" t="s">
        <v>26781</v>
      </c>
      <c r="U3407" s="33" t="s">
        <v>26572</v>
      </c>
      <c r="V3407" s="33" t="s">
        <v>26573</v>
      </c>
      <c r="W3407" s="33" t="s">
        <v>94</v>
      </c>
      <c r="X3407" s="33">
        <v>2105</v>
      </c>
      <c r="Z3407" s="33" t="s">
        <v>42968</v>
      </c>
      <c r="AA3407" s="33">
        <v>4259</v>
      </c>
    </row>
    <row r="3408" spans="1:27" ht="12" customHeight="1" x14ac:dyDescent="0.15">
      <c r="A3408" s="33" t="s">
        <v>24848</v>
      </c>
      <c r="B3408" s="33">
        <v>47</v>
      </c>
      <c r="C3408" s="33" t="s">
        <v>14</v>
      </c>
      <c r="D3408" s="33" t="s">
        <v>31</v>
      </c>
      <c r="F3408" s="67">
        <v>42710</v>
      </c>
      <c r="G3408" s="33" t="s">
        <v>25087</v>
      </c>
      <c r="H3408" s="33" t="s">
        <v>24849</v>
      </c>
      <c r="I3408" s="33" t="s">
        <v>56</v>
      </c>
      <c r="J3408" s="33">
        <v>32763</v>
      </c>
      <c r="K3408" s="33" t="s">
        <v>3571</v>
      </c>
      <c r="L3408" s="33" t="s">
        <v>24850</v>
      </c>
      <c r="M3408" s="33" t="s">
        <v>21</v>
      </c>
      <c r="N3408" s="33" t="s">
        <v>24851</v>
      </c>
      <c r="O3408" s="33" t="s">
        <v>372</v>
      </c>
      <c r="P3408" s="33" t="s">
        <v>30089</v>
      </c>
      <c r="Q3408" s="40" t="s">
        <v>24852</v>
      </c>
      <c r="R3408" s="33" t="s">
        <v>23</v>
      </c>
      <c r="S3408" s="33" t="s">
        <v>22</v>
      </c>
      <c r="T3408" s="33" t="s">
        <v>26781</v>
      </c>
      <c r="U3408" s="33" t="s">
        <v>26572</v>
      </c>
      <c r="V3408" s="33" t="s">
        <v>26573</v>
      </c>
      <c r="W3408" s="33" t="s">
        <v>94</v>
      </c>
      <c r="X3408" s="33">
        <v>2104</v>
      </c>
      <c r="Z3408" s="33" t="s">
        <v>42968</v>
      </c>
      <c r="AA3408" s="33">
        <v>4258</v>
      </c>
    </row>
    <row r="3409" spans="1:27" ht="12" customHeight="1" x14ac:dyDescent="0.15">
      <c r="A3409" s="33" t="s">
        <v>24862</v>
      </c>
      <c r="B3409" s="33">
        <v>29</v>
      </c>
      <c r="C3409" s="33" t="s">
        <v>14</v>
      </c>
      <c r="D3409" s="33" t="s">
        <v>79</v>
      </c>
      <c r="F3409" s="67">
        <v>42708</v>
      </c>
      <c r="G3409" s="33" t="s">
        <v>25088</v>
      </c>
      <c r="H3409" s="33" t="s">
        <v>6461</v>
      </c>
      <c r="I3409" s="33" t="s">
        <v>198</v>
      </c>
      <c r="J3409" s="33">
        <v>46516</v>
      </c>
      <c r="K3409" s="33" t="s">
        <v>6461</v>
      </c>
      <c r="L3409" s="33" t="s">
        <v>6463</v>
      </c>
      <c r="M3409" s="33" t="s">
        <v>21</v>
      </c>
      <c r="N3409" s="33" t="s">
        <v>24863</v>
      </c>
      <c r="O3409" s="33" t="s">
        <v>372</v>
      </c>
      <c r="P3409" s="33" t="s">
        <v>30089</v>
      </c>
      <c r="Q3409" s="40" t="s">
        <v>24864</v>
      </c>
      <c r="R3409" s="33" t="s">
        <v>94</v>
      </c>
      <c r="S3409" s="33" t="s">
        <v>22</v>
      </c>
      <c r="T3409" s="33" t="s">
        <v>26781</v>
      </c>
      <c r="U3409" s="33" t="s">
        <v>26572</v>
      </c>
      <c r="V3409" s="33" t="s">
        <v>26571</v>
      </c>
      <c r="W3409" s="33" t="s">
        <v>94</v>
      </c>
      <c r="X3409" s="33">
        <v>2101</v>
      </c>
      <c r="Z3409" s="33" t="s">
        <v>42966</v>
      </c>
      <c r="AA3409" s="33">
        <v>4254</v>
      </c>
    </row>
    <row r="3410" spans="1:27" ht="12" customHeight="1" x14ac:dyDescent="0.15">
      <c r="A3410" s="33" t="s">
        <v>24872</v>
      </c>
      <c r="B3410" s="33">
        <v>26</v>
      </c>
      <c r="C3410" s="33" t="s">
        <v>14</v>
      </c>
      <c r="D3410" s="33" t="s">
        <v>15</v>
      </c>
      <c r="F3410" s="67">
        <v>42708</v>
      </c>
      <c r="G3410" s="33" t="s">
        <v>25089</v>
      </c>
      <c r="H3410" s="33" t="s">
        <v>2300</v>
      </c>
      <c r="I3410" s="33" t="s">
        <v>63</v>
      </c>
      <c r="J3410" s="33">
        <v>44236</v>
      </c>
      <c r="K3410" s="33" t="s">
        <v>3180</v>
      </c>
      <c r="L3410" s="33" t="s">
        <v>24873</v>
      </c>
      <c r="M3410" s="33" t="s">
        <v>21</v>
      </c>
      <c r="N3410" s="33" t="s">
        <v>24874</v>
      </c>
      <c r="O3410" s="33" t="s">
        <v>372</v>
      </c>
      <c r="P3410" s="33" t="s">
        <v>30089</v>
      </c>
      <c r="Q3410" s="40" t="s">
        <v>24875</v>
      </c>
      <c r="R3410" s="33" t="s">
        <v>23</v>
      </c>
      <c r="S3410" s="33" t="s">
        <v>29</v>
      </c>
      <c r="T3410" s="33" t="s">
        <v>26575</v>
      </c>
      <c r="U3410" s="33" t="s">
        <v>26570</v>
      </c>
      <c r="V3410" s="33" t="s">
        <v>26574</v>
      </c>
      <c r="W3410" s="33" t="s">
        <v>94</v>
      </c>
      <c r="X3410" s="33">
        <v>2098</v>
      </c>
      <c r="Z3410" s="33" t="s">
        <v>42968</v>
      </c>
      <c r="AA3410" s="33">
        <v>4256</v>
      </c>
    </row>
    <row r="3411" spans="1:27" ht="12" customHeight="1" x14ac:dyDescent="0.15">
      <c r="A3411" s="33" t="s">
        <v>24865</v>
      </c>
      <c r="B3411" s="33">
        <v>33</v>
      </c>
      <c r="C3411" s="33" t="s">
        <v>14</v>
      </c>
      <c r="D3411" s="33" t="s">
        <v>31</v>
      </c>
      <c r="E3411" s="33" t="s">
        <v>24866</v>
      </c>
      <c r="F3411" s="67">
        <v>42708</v>
      </c>
      <c r="G3411" s="33" t="s">
        <v>24867</v>
      </c>
      <c r="H3411" s="33" t="s">
        <v>24868</v>
      </c>
      <c r="I3411" s="33" t="s">
        <v>221</v>
      </c>
      <c r="J3411" s="33">
        <v>84003</v>
      </c>
      <c r="K3411" s="33" t="s">
        <v>547</v>
      </c>
      <c r="L3411" s="33" t="s">
        <v>24869</v>
      </c>
      <c r="M3411" s="33" t="s">
        <v>21</v>
      </c>
      <c r="N3411" s="33" t="s">
        <v>24870</v>
      </c>
      <c r="O3411" s="33" t="s">
        <v>372</v>
      </c>
      <c r="P3411" s="33" t="s">
        <v>30089</v>
      </c>
      <c r="Q3411" s="40" t="s">
        <v>24871</v>
      </c>
      <c r="R3411" s="33" t="s">
        <v>94</v>
      </c>
      <c r="S3411" s="33" t="s">
        <v>22</v>
      </c>
      <c r="T3411" s="33" t="s">
        <v>26781</v>
      </c>
      <c r="U3411" s="33" t="s">
        <v>26572</v>
      </c>
      <c r="V3411" s="33" t="s">
        <v>26574</v>
      </c>
      <c r="Z3411" s="33" t="s">
        <v>42968</v>
      </c>
      <c r="AA3411" s="33">
        <v>4255</v>
      </c>
    </row>
    <row r="3412" spans="1:27" ht="12" customHeight="1" x14ac:dyDescent="0.15">
      <c r="A3412" s="33" t="s">
        <v>24876</v>
      </c>
      <c r="B3412" s="33">
        <v>38</v>
      </c>
      <c r="C3412" s="33" t="s">
        <v>14</v>
      </c>
      <c r="D3412" s="33" t="s">
        <v>42</v>
      </c>
      <c r="F3412" s="67">
        <v>42707</v>
      </c>
      <c r="G3412" s="33" t="s">
        <v>24877</v>
      </c>
      <c r="H3412" s="33" t="s">
        <v>8915</v>
      </c>
      <c r="I3412" s="33" t="s">
        <v>19</v>
      </c>
      <c r="J3412" s="33">
        <v>70001</v>
      </c>
      <c r="K3412" s="33" t="s">
        <v>1659</v>
      </c>
      <c r="L3412" s="33" t="s">
        <v>2258</v>
      </c>
      <c r="M3412" s="33" t="s">
        <v>21</v>
      </c>
      <c r="N3412" s="33" t="s">
        <v>24878</v>
      </c>
      <c r="O3412" s="33" t="s">
        <v>372</v>
      </c>
      <c r="P3412" s="33" t="s">
        <v>30089</v>
      </c>
      <c r="Q3412" s="40" t="s">
        <v>24879</v>
      </c>
      <c r="R3412" s="33" t="s">
        <v>94</v>
      </c>
      <c r="S3412" s="33" t="s">
        <v>22</v>
      </c>
      <c r="T3412" s="33" t="s">
        <v>26781</v>
      </c>
      <c r="U3412" s="33" t="s">
        <v>26572</v>
      </c>
      <c r="V3412" s="33" t="s">
        <v>26574</v>
      </c>
      <c r="W3412" s="33" t="s">
        <v>94</v>
      </c>
      <c r="X3412" s="33">
        <v>2100</v>
      </c>
      <c r="Z3412" s="33" t="s">
        <v>42966</v>
      </c>
      <c r="AA3412" s="33">
        <v>4253</v>
      </c>
    </row>
    <row r="3413" spans="1:27" ht="12" customHeight="1" x14ac:dyDescent="0.15">
      <c r="A3413" s="33" t="s">
        <v>24889</v>
      </c>
      <c r="B3413" s="33">
        <v>22</v>
      </c>
      <c r="C3413" s="33" t="s">
        <v>14</v>
      </c>
      <c r="D3413" s="33" t="s">
        <v>31</v>
      </c>
      <c r="E3413" s="33" t="s">
        <v>24890</v>
      </c>
      <c r="F3413" s="67">
        <v>42706</v>
      </c>
      <c r="G3413" s="33" t="s">
        <v>24891</v>
      </c>
      <c r="H3413" s="33" t="s">
        <v>24892</v>
      </c>
      <c r="I3413" s="33" t="s">
        <v>294</v>
      </c>
      <c r="J3413" s="33">
        <v>40067</v>
      </c>
      <c r="K3413" s="33" t="s">
        <v>1117</v>
      </c>
      <c r="L3413" s="33" t="s">
        <v>22474</v>
      </c>
      <c r="M3413" s="33" t="s">
        <v>21</v>
      </c>
      <c r="N3413" s="33" t="s">
        <v>24893</v>
      </c>
      <c r="O3413" s="33" t="s">
        <v>372</v>
      </c>
      <c r="P3413" s="33" t="s">
        <v>30089</v>
      </c>
      <c r="Q3413" s="40" t="s">
        <v>24894</v>
      </c>
      <c r="R3413" s="33" t="s">
        <v>94</v>
      </c>
      <c r="S3413" s="33" t="s">
        <v>22</v>
      </c>
      <c r="T3413" s="33" t="s">
        <v>26589</v>
      </c>
      <c r="U3413" s="33" t="s">
        <v>26570</v>
      </c>
      <c r="V3413" s="33" t="s">
        <v>26573</v>
      </c>
      <c r="W3413" s="33" t="s">
        <v>94</v>
      </c>
      <c r="X3413" s="33">
        <v>2096</v>
      </c>
      <c r="Z3413" s="33" t="s">
        <v>42967</v>
      </c>
      <c r="AA3413" s="33">
        <v>4248</v>
      </c>
    </row>
    <row r="3414" spans="1:27" ht="12" customHeight="1" x14ac:dyDescent="0.15">
      <c r="A3414" s="33" t="s">
        <v>24895</v>
      </c>
      <c r="B3414" s="33">
        <v>33</v>
      </c>
      <c r="C3414" s="33" t="s">
        <v>14</v>
      </c>
      <c r="D3414" s="33" t="s">
        <v>31</v>
      </c>
      <c r="E3414" s="33" t="s">
        <v>24896</v>
      </c>
      <c r="F3414" s="67">
        <v>42706</v>
      </c>
      <c r="G3414" s="33" t="s">
        <v>24897</v>
      </c>
      <c r="H3414" s="33" t="s">
        <v>24898</v>
      </c>
      <c r="I3414" s="33" t="s">
        <v>88</v>
      </c>
      <c r="J3414" s="33">
        <v>35616</v>
      </c>
      <c r="K3414" s="33" t="s">
        <v>89</v>
      </c>
      <c r="L3414" s="33" t="s">
        <v>24899</v>
      </c>
      <c r="M3414" s="33" t="s">
        <v>21</v>
      </c>
      <c r="N3414" s="33" t="s">
        <v>24900</v>
      </c>
      <c r="O3414" s="33" t="s">
        <v>372</v>
      </c>
      <c r="P3414" s="33" t="s">
        <v>30089</v>
      </c>
      <c r="Q3414" s="40" t="s">
        <v>24901</v>
      </c>
      <c r="R3414" s="33" t="s">
        <v>904</v>
      </c>
      <c r="S3414" s="33" t="s">
        <v>22</v>
      </c>
      <c r="T3414" s="33" t="s">
        <v>26781</v>
      </c>
      <c r="U3414" s="33" t="s">
        <v>26572</v>
      </c>
      <c r="V3414" s="33" t="s">
        <v>26573</v>
      </c>
      <c r="W3414" s="33" t="s">
        <v>94</v>
      </c>
      <c r="X3414" s="33">
        <v>2097</v>
      </c>
      <c r="Z3414" s="33" t="s">
        <v>42967</v>
      </c>
      <c r="AA3414" s="33">
        <v>4249</v>
      </c>
    </row>
    <row r="3415" spans="1:27" ht="12" customHeight="1" x14ac:dyDescent="0.15">
      <c r="A3415" s="33" t="s">
        <v>24880</v>
      </c>
      <c r="B3415" s="33">
        <v>58</v>
      </c>
      <c r="C3415" s="33" t="s">
        <v>14</v>
      </c>
      <c r="D3415" s="33" t="s">
        <v>31</v>
      </c>
      <c r="E3415" s="33" t="s">
        <v>24881</v>
      </c>
      <c r="F3415" s="67">
        <v>42706</v>
      </c>
      <c r="G3415" s="33" t="s">
        <v>24882</v>
      </c>
      <c r="H3415" s="33" t="s">
        <v>2325</v>
      </c>
      <c r="I3415" s="33" t="s">
        <v>918</v>
      </c>
      <c r="J3415" s="33">
        <v>72015</v>
      </c>
      <c r="K3415" s="33" t="s">
        <v>4686</v>
      </c>
      <c r="L3415" s="33" t="s">
        <v>13621</v>
      </c>
      <c r="M3415" s="33" t="s">
        <v>21</v>
      </c>
      <c r="N3415" s="33" t="s">
        <v>24883</v>
      </c>
      <c r="O3415" s="33" t="s">
        <v>372</v>
      </c>
      <c r="P3415" s="33" t="s">
        <v>30089</v>
      </c>
      <c r="Q3415" s="40" t="s">
        <v>24884</v>
      </c>
      <c r="R3415" s="33" t="s">
        <v>94</v>
      </c>
      <c r="S3415" s="33" t="s">
        <v>22</v>
      </c>
      <c r="T3415" s="33" t="s">
        <v>26781</v>
      </c>
      <c r="U3415" s="33" t="s">
        <v>26572</v>
      </c>
      <c r="V3415" s="33" t="s">
        <v>26573</v>
      </c>
      <c r="Y3415" s="33" t="s">
        <v>42476</v>
      </c>
      <c r="Z3415" s="33" t="s">
        <v>42968</v>
      </c>
      <c r="AA3415" s="33">
        <v>4251</v>
      </c>
    </row>
    <row r="3416" spans="1:27" ht="12" customHeight="1" x14ac:dyDescent="0.15">
      <c r="A3416" s="33" t="s">
        <v>24885</v>
      </c>
      <c r="B3416" s="33">
        <v>36</v>
      </c>
      <c r="C3416" s="33" t="s">
        <v>14</v>
      </c>
      <c r="D3416" s="33" t="s">
        <v>31</v>
      </c>
      <c r="E3416" s="33" t="s">
        <v>24886</v>
      </c>
      <c r="F3416" s="67">
        <v>42706</v>
      </c>
      <c r="G3416" s="33" t="s">
        <v>24887</v>
      </c>
      <c r="H3416" s="33" t="s">
        <v>911</v>
      </c>
      <c r="I3416" s="33" t="s">
        <v>178</v>
      </c>
      <c r="J3416" s="33">
        <v>88001</v>
      </c>
      <c r="K3416" s="33" t="s">
        <v>912</v>
      </c>
      <c r="L3416" s="33" t="s">
        <v>6512</v>
      </c>
      <c r="M3416" s="33" t="s">
        <v>21</v>
      </c>
      <c r="N3416" s="33" t="s">
        <v>36658</v>
      </c>
      <c r="O3416" s="33" t="s">
        <v>372</v>
      </c>
      <c r="P3416" s="33" t="s">
        <v>30089</v>
      </c>
      <c r="Q3416" s="40" t="s">
        <v>24888</v>
      </c>
      <c r="R3416" s="33" t="s">
        <v>512</v>
      </c>
      <c r="S3416" s="33" t="s">
        <v>29</v>
      </c>
      <c r="T3416" s="33" t="s">
        <v>26575</v>
      </c>
      <c r="U3416" s="33" t="s">
        <v>26575</v>
      </c>
      <c r="V3416" s="33" t="s">
        <v>26573</v>
      </c>
      <c r="W3416" s="33" t="s">
        <v>94</v>
      </c>
      <c r="X3416" s="33">
        <v>2099</v>
      </c>
      <c r="Z3416" s="33" t="s">
        <v>42968</v>
      </c>
      <c r="AA3416" s="33">
        <v>4252</v>
      </c>
    </row>
    <row r="3417" spans="1:27" ht="12" customHeight="1" x14ac:dyDescent="0.15">
      <c r="A3417" s="33" t="s">
        <v>24902</v>
      </c>
      <c r="B3417" s="33">
        <v>28</v>
      </c>
      <c r="C3417" s="33" t="s">
        <v>14</v>
      </c>
      <c r="D3417" s="33" t="s">
        <v>79</v>
      </c>
      <c r="E3417" s="33" t="s">
        <v>25168</v>
      </c>
      <c r="F3417" s="67">
        <v>42706</v>
      </c>
      <c r="G3417" s="33" t="s">
        <v>24903</v>
      </c>
      <c r="H3417" s="33" t="s">
        <v>9240</v>
      </c>
      <c r="I3417" s="33" t="s">
        <v>56</v>
      </c>
      <c r="J3417" s="33">
        <v>33511</v>
      </c>
      <c r="K3417" s="33" t="s">
        <v>590</v>
      </c>
      <c r="L3417" s="33" t="s">
        <v>591</v>
      </c>
      <c r="M3417" s="33" t="s">
        <v>21</v>
      </c>
      <c r="N3417" s="33" t="s">
        <v>24904</v>
      </c>
      <c r="O3417" s="33" t="s">
        <v>372</v>
      </c>
      <c r="P3417" s="33" t="s">
        <v>30089</v>
      </c>
      <c r="Q3417" s="40" t="s">
        <v>24905</v>
      </c>
      <c r="R3417" s="33" t="s">
        <v>512</v>
      </c>
      <c r="S3417" s="33" t="s">
        <v>22</v>
      </c>
      <c r="T3417" s="33" t="s">
        <v>26781</v>
      </c>
      <c r="U3417" s="33" t="s">
        <v>26572</v>
      </c>
      <c r="V3417" s="33" t="s">
        <v>26573</v>
      </c>
      <c r="Z3417" s="33" t="s">
        <v>42968</v>
      </c>
      <c r="AA3417" s="33">
        <v>4250</v>
      </c>
    </row>
    <row r="3418" spans="1:27" ht="12" customHeight="1" x14ac:dyDescent="0.15">
      <c r="A3418" s="33" t="s">
        <v>24911</v>
      </c>
      <c r="B3418" s="33">
        <v>83</v>
      </c>
      <c r="C3418" s="33" t="s">
        <v>14</v>
      </c>
      <c r="D3418" s="33" t="s">
        <v>31</v>
      </c>
      <c r="E3418" s="33" t="s">
        <v>24912</v>
      </c>
      <c r="F3418" s="67">
        <v>42705</v>
      </c>
      <c r="G3418" s="33" t="s">
        <v>25090</v>
      </c>
      <c r="H3418" s="33" t="s">
        <v>4927</v>
      </c>
      <c r="I3418" s="33" t="s">
        <v>918</v>
      </c>
      <c r="J3418" s="33">
        <v>72837</v>
      </c>
      <c r="K3418" s="33" t="s">
        <v>5936</v>
      </c>
      <c r="L3418" s="33" t="s">
        <v>24913</v>
      </c>
      <c r="M3418" s="33" t="s">
        <v>21</v>
      </c>
      <c r="N3418" s="33" t="s">
        <v>24914</v>
      </c>
      <c r="O3418" s="33" t="s">
        <v>372</v>
      </c>
      <c r="P3418" s="33" t="s">
        <v>30089</v>
      </c>
      <c r="Q3418" s="40" t="s">
        <v>24915</v>
      </c>
      <c r="R3418" s="33" t="s">
        <v>94</v>
      </c>
      <c r="S3418" s="33" t="s">
        <v>22</v>
      </c>
      <c r="T3418" s="33" t="s">
        <v>26781</v>
      </c>
      <c r="U3418" s="33" t="s">
        <v>26572</v>
      </c>
      <c r="V3418" s="33" t="s">
        <v>26573</v>
      </c>
      <c r="W3418" s="33" t="s">
        <v>94</v>
      </c>
      <c r="X3418" s="33">
        <v>2095</v>
      </c>
      <c r="Z3418" s="33" t="s">
        <v>42967</v>
      </c>
      <c r="AA3418" s="33">
        <v>4247</v>
      </c>
    </row>
    <row r="3419" spans="1:27" ht="12" customHeight="1" x14ac:dyDescent="0.15">
      <c r="A3419" s="33" t="s">
        <v>24906</v>
      </c>
      <c r="B3419" s="33">
        <v>38</v>
      </c>
      <c r="C3419" s="33" t="s">
        <v>14</v>
      </c>
      <c r="D3419" s="33" t="s">
        <v>79</v>
      </c>
      <c r="E3419" s="33" t="s">
        <v>24907</v>
      </c>
      <c r="F3419" s="67">
        <v>42705</v>
      </c>
      <c r="G3419" s="33" t="s">
        <v>24908</v>
      </c>
      <c r="H3419" s="33" t="s">
        <v>826</v>
      </c>
      <c r="I3419" s="33" t="s">
        <v>282</v>
      </c>
      <c r="J3419" s="33">
        <v>98404</v>
      </c>
      <c r="K3419" s="33" t="s">
        <v>827</v>
      </c>
      <c r="L3419" s="33" t="s">
        <v>9926</v>
      </c>
      <c r="M3419" s="33" t="s">
        <v>21</v>
      </c>
      <c r="N3419" s="33" t="s">
        <v>24909</v>
      </c>
      <c r="O3419" s="33" t="s">
        <v>372</v>
      </c>
      <c r="P3419" s="33" t="s">
        <v>30089</v>
      </c>
      <c r="Q3419" s="40" t="s">
        <v>24910</v>
      </c>
      <c r="R3419" s="33" t="s">
        <v>94</v>
      </c>
      <c r="S3419" s="33" t="s">
        <v>22</v>
      </c>
      <c r="T3419" s="33" t="s">
        <v>26781</v>
      </c>
      <c r="U3419" s="33" t="s">
        <v>26572</v>
      </c>
      <c r="V3419" s="33" t="s">
        <v>26573</v>
      </c>
      <c r="W3419" s="33" t="s">
        <v>94</v>
      </c>
      <c r="X3419" s="33">
        <v>2091</v>
      </c>
      <c r="Z3419" s="33" t="s">
        <v>42968</v>
      </c>
      <c r="AA3419" s="33">
        <v>4245</v>
      </c>
    </row>
    <row r="3420" spans="1:27" ht="12" customHeight="1" x14ac:dyDescent="0.15">
      <c r="A3420" s="33" t="s">
        <v>24916</v>
      </c>
      <c r="B3420" s="33">
        <v>27</v>
      </c>
      <c r="C3420" s="33" t="s">
        <v>14</v>
      </c>
      <c r="D3420" s="33" t="s">
        <v>42</v>
      </c>
      <c r="E3420" s="33" t="s">
        <v>24917</v>
      </c>
      <c r="F3420" s="67">
        <v>42705</v>
      </c>
      <c r="G3420" s="33" t="s">
        <v>24918</v>
      </c>
      <c r="H3420" s="33" t="s">
        <v>518</v>
      </c>
      <c r="I3420" s="33" t="s">
        <v>112</v>
      </c>
      <c r="J3420" s="33">
        <v>85714</v>
      </c>
      <c r="K3420" s="33" t="s">
        <v>519</v>
      </c>
      <c r="L3420" s="33" t="s">
        <v>520</v>
      </c>
      <c r="M3420" s="33" t="s">
        <v>21</v>
      </c>
      <c r="N3420" s="33" t="s">
        <v>24919</v>
      </c>
      <c r="O3420" s="33" t="s">
        <v>372</v>
      </c>
      <c r="P3420" s="33" t="s">
        <v>30089</v>
      </c>
      <c r="Q3420" s="40" t="s">
        <v>24920</v>
      </c>
      <c r="R3420" s="33" t="s">
        <v>94</v>
      </c>
      <c r="S3420" s="33" t="s">
        <v>22</v>
      </c>
      <c r="T3420" s="33" t="s">
        <v>26781</v>
      </c>
      <c r="U3420" s="33" t="s">
        <v>26572</v>
      </c>
      <c r="V3420" s="33" t="s">
        <v>26573</v>
      </c>
      <c r="W3420" s="33" t="s">
        <v>94</v>
      </c>
      <c r="X3420" s="33">
        <v>2093</v>
      </c>
      <c r="Z3420" s="33" t="s">
        <v>42968</v>
      </c>
      <c r="AA3420" s="33">
        <v>4246</v>
      </c>
    </row>
    <row r="3421" spans="1:27" ht="12" customHeight="1" x14ac:dyDescent="0.15">
      <c r="A3421" s="33" t="s">
        <v>24921</v>
      </c>
      <c r="B3421" s="33">
        <v>25</v>
      </c>
      <c r="C3421" s="33" t="s">
        <v>14</v>
      </c>
      <c r="D3421" s="33" t="s">
        <v>79</v>
      </c>
      <c r="E3421" s="33" t="s">
        <v>24922</v>
      </c>
      <c r="F3421" s="67">
        <v>42704</v>
      </c>
      <c r="G3421" s="33" t="s">
        <v>24923</v>
      </c>
      <c r="H3421" s="33" t="s">
        <v>401</v>
      </c>
      <c r="I3421" s="33" t="s">
        <v>402</v>
      </c>
      <c r="J3421" s="33">
        <v>64124</v>
      </c>
      <c r="K3421" s="33" t="s">
        <v>404</v>
      </c>
      <c r="L3421" s="33" t="s">
        <v>405</v>
      </c>
      <c r="M3421" s="33" t="s">
        <v>21</v>
      </c>
      <c r="N3421" s="33" t="s">
        <v>24924</v>
      </c>
      <c r="O3421" s="33" t="s">
        <v>372</v>
      </c>
      <c r="P3421" s="33" t="s">
        <v>30089</v>
      </c>
      <c r="Q3421" s="40" t="s">
        <v>24925</v>
      </c>
      <c r="R3421" s="33" t="s">
        <v>94</v>
      </c>
      <c r="S3421" s="33" t="s">
        <v>22</v>
      </c>
      <c r="T3421" s="33" t="s">
        <v>26781</v>
      </c>
      <c r="U3421" s="33" t="s">
        <v>26570</v>
      </c>
      <c r="V3421" s="33" t="s">
        <v>26573</v>
      </c>
      <c r="W3421" s="33" t="s">
        <v>94</v>
      </c>
      <c r="X3421" s="33">
        <v>2092</v>
      </c>
      <c r="Z3421" s="33" t="s">
        <v>42966</v>
      </c>
      <c r="AA3421" s="33">
        <v>4243</v>
      </c>
    </row>
    <row r="3422" spans="1:27" ht="12" customHeight="1" x14ac:dyDescent="0.15">
      <c r="A3422" s="33" t="s">
        <v>24926</v>
      </c>
      <c r="B3422" s="33">
        <v>41</v>
      </c>
      <c r="C3422" s="33" t="s">
        <v>14</v>
      </c>
      <c r="D3422" s="33" t="s">
        <v>42</v>
      </c>
      <c r="E3422" s="33" t="s">
        <v>24927</v>
      </c>
      <c r="F3422" s="67">
        <v>42704</v>
      </c>
      <c r="G3422" s="33" t="s">
        <v>24928</v>
      </c>
      <c r="H3422" s="33" t="s">
        <v>2386</v>
      </c>
      <c r="I3422" s="33" t="s">
        <v>39</v>
      </c>
      <c r="J3422" s="33">
        <v>95758</v>
      </c>
      <c r="K3422" s="33" t="s">
        <v>1537</v>
      </c>
      <c r="L3422" s="33" t="s">
        <v>24929</v>
      </c>
      <c r="M3422" s="33" t="s">
        <v>363</v>
      </c>
      <c r="N3422" s="33" t="s">
        <v>24930</v>
      </c>
      <c r="O3422" s="33" t="s">
        <v>372</v>
      </c>
      <c r="P3422" s="33" t="s">
        <v>30089</v>
      </c>
      <c r="Q3422" s="40" t="s">
        <v>24931</v>
      </c>
      <c r="R3422" s="33" t="s">
        <v>23</v>
      </c>
      <c r="S3422" s="33" t="s">
        <v>12</v>
      </c>
      <c r="T3422" s="33" t="s">
        <v>29705</v>
      </c>
      <c r="U3422" s="33" t="s">
        <v>26570</v>
      </c>
      <c r="V3422" s="33" t="s">
        <v>26574</v>
      </c>
      <c r="Z3422" s="33" t="s">
        <v>42968</v>
      </c>
      <c r="AA3422" s="33">
        <v>4244</v>
      </c>
    </row>
    <row r="3423" spans="1:27" ht="12" customHeight="1" x14ac:dyDescent="0.15">
      <c r="A3423" s="33" t="s">
        <v>24938</v>
      </c>
      <c r="B3423" s="33">
        <v>55</v>
      </c>
      <c r="C3423" s="33" t="s">
        <v>14</v>
      </c>
      <c r="D3423" s="33" t="s">
        <v>31</v>
      </c>
      <c r="E3423" s="33" t="s">
        <v>24939</v>
      </c>
      <c r="F3423" s="67">
        <v>42703</v>
      </c>
      <c r="G3423" s="33" t="s">
        <v>25091</v>
      </c>
      <c r="H3423" s="33" t="s">
        <v>6324</v>
      </c>
      <c r="I3423" s="33" t="s">
        <v>67</v>
      </c>
      <c r="J3423" s="33">
        <v>77546</v>
      </c>
      <c r="K3423" s="33" t="s">
        <v>4843</v>
      </c>
      <c r="L3423" s="33" t="s">
        <v>24940</v>
      </c>
      <c r="M3423" s="33" t="s">
        <v>21</v>
      </c>
      <c r="N3423" s="33" t="s">
        <v>24941</v>
      </c>
      <c r="O3423" s="33" t="s">
        <v>372</v>
      </c>
      <c r="P3423" s="33" t="s">
        <v>30089</v>
      </c>
      <c r="Q3423" s="40" t="s">
        <v>24942</v>
      </c>
      <c r="R3423" s="33" t="s">
        <v>94</v>
      </c>
      <c r="S3423" s="33" t="s">
        <v>29</v>
      </c>
      <c r="T3423" s="33" t="s">
        <v>26590</v>
      </c>
      <c r="U3423" s="33" t="s">
        <v>26570</v>
      </c>
      <c r="V3423" s="33" t="s">
        <v>26571</v>
      </c>
      <c r="W3423" s="33" t="s">
        <v>512</v>
      </c>
      <c r="X3423" s="33">
        <v>2088</v>
      </c>
      <c r="Z3423" s="33" t="s">
        <v>42968</v>
      </c>
      <c r="AA3423" s="33">
        <v>4241</v>
      </c>
    </row>
    <row r="3424" spans="1:27" ht="12" customHeight="1" x14ac:dyDescent="0.15">
      <c r="A3424" s="33" t="s">
        <v>24943</v>
      </c>
      <c r="B3424" s="33">
        <v>31</v>
      </c>
      <c r="C3424" s="33" t="s">
        <v>14</v>
      </c>
      <c r="D3424" s="33" t="s">
        <v>31</v>
      </c>
      <c r="E3424" s="33" t="s">
        <v>24944</v>
      </c>
      <c r="F3424" s="67">
        <v>42703</v>
      </c>
      <c r="G3424" s="33" t="s">
        <v>24945</v>
      </c>
      <c r="H3424" s="33" t="s">
        <v>24946</v>
      </c>
      <c r="I3424" s="33" t="s">
        <v>26</v>
      </c>
      <c r="J3424" s="33">
        <v>29655</v>
      </c>
      <c r="K3424" s="33" t="s">
        <v>233</v>
      </c>
      <c r="L3424" s="33" t="s">
        <v>5227</v>
      </c>
      <c r="M3424" s="33" t="s">
        <v>21</v>
      </c>
      <c r="N3424" s="33" t="s">
        <v>24947</v>
      </c>
      <c r="O3424" s="33" t="s">
        <v>372</v>
      </c>
      <c r="P3424" s="33" t="s">
        <v>30089</v>
      </c>
      <c r="Q3424" s="40" t="s">
        <v>24948</v>
      </c>
      <c r="R3424" s="33" t="s">
        <v>94</v>
      </c>
      <c r="S3424" s="33" t="s">
        <v>29</v>
      </c>
      <c r="T3424" s="33" t="s">
        <v>26575</v>
      </c>
      <c r="U3424" s="33" t="s">
        <v>26570</v>
      </c>
      <c r="V3424" s="33" t="s">
        <v>26574</v>
      </c>
      <c r="W3424" s="33" t="s">
        <v>94</v>
      </c>
      <c r="X3424" s="33">
        <v>2090</v>
      </c>
      <c r="Z3424" s="33" t="s">
        <v>42967</v>
      </c>
      <c r="AA3424" s="33">
        <v>4242</v>
      </c>
    </row>
    <row r="3425" spans="1:27" ht="12" customHeight="1" x14ac:dyDescent="0.15">
      <c r="A3425" s="33" t="s">
        <v>24932</v>
      </c>
      <c r="B3425" s="33">
        <v>29</v>
      </c>
      <c r="C3425" s="33" t="s">
        <v>14</v>
      </c>
      <c r="D3425" s="33" t="s">
        <v>31</v>
      </c>
      <c r="E3425" s="33" t="s">
        <v>24933</v>
      </c>
      <c r="F3425" s="67">
        <v>42703</v>
      </c>
      <c r="G3425" s="33" t="s">
        <v>25092</v>
      </c>
      <c r="H3425" s="33" t="s">
        <v>24934</v>
      </c>
      <c r="I3425" s="33" t="s">
        <v>198</v>
      </c>
      <c r="J3425" s="33">
        <v>46123</v>
      </c>
      <c r="K3425" s="33" t="s">
        <v>12727</v>
      </c>
      <c r="L3425" s="33" t="s">
        <v>24935</v>
      </c>
      <c r="M3425" s="33" t="s">
        <v>21</v>
      </c>
      <c r="N3425" s="33" t="s">
        <v>24936</v>
      </c>
      <c r="O3425" s="33" t="s">
        <v>372</v>
      </c>
      <c r="P3425" s="33" t="s">
        <v>30089</v>
      </c>
      <c r="Q3425" s="40" t="s">
        <v>24937</v>
      </c>
      <c r="R3425" s="33" t="s">
        <v>512</v>
      </c>
      <c r="S3425" s="33" t="s">
        <v>22</v>
      </c>
      <c r="T3425" s="33" t="s">
        <v>26774</v>
      </c>
      <c r="U3425" s="33" t="s">
        <v>26570</v>
      </c>
      <c r="V3425" s="33" t="s">
        <v>26573</v>
      </c>
      <c r="W3425" s="33" t="s">
        <v>94</v>
      </c>
      <c r="X3425" s="33">
        <v>2089</v>
      </c>
      <c r="Z3425" s="33" t="s">
        <v>42968</v>
      </c>
      <c r="AA3425" s="33">
        <v>4240</v>
      </c>
    </row>
    <row r="3426" spans="1:27" ht="12" customHeight="1" x14ac:dyDescent="0.15">
      <c r="A3426" s="33" t="s">
        <v>24949</v>
      </c>
      <c r="B3426" s="33">
        <v>41</v>
      </c>
      <c r="C3426" s="33" t="s">
        <v>14</v>
      </c>
      <c r="D3426" s="33" t="s">
        <v>31</v>
      </c>
      <c r="F3426" s="67">
        <v>42703</v>
      </c>
      <c r="G3426" s="33" t="s">
        <v>24950</v>
      </c>
      <c r="H3426" s="33" t="s">
        <v>1191</v>
      </c>
      <c r="I3426" s="33" t="s">
        <v>40</v>
      </c>
      <c r="J3426" s="33">
        <v>1905</v>
      </c>
      <c r="K3426" s="33" t="s">
        <v>486</v>
      </c>
      <c r="L3426" s="33" t="s">
        <v>1192</v>
      </c>
      <c r="M3426" s="33" t="s">
        <v>21</v>
      </c>
      <c r="N3426" s="33" t="s">
        <v>26727</v>
      </c>
      <c r="O3426" s="33" t="s">
        <v>372</v>
      </c>
      <c r="P3426" s="33" t="s">
        <v>30089</v>
      </c>
      <c r="Q3426" s="40" t="s">
        <v>24951</v>
      </c>
      <c r="R3426" s="33" t="s">
        <v>94</v>
      </c>
      <c r="S3426" s="33" t="s">
        <v>29</v>
      </c>
      <c r="T3426" s="33" t="s">
        <v>26781</v>
      </c>
      <c r="U3426" s="33" t="s">
        <v>26570</v>
      </c>
      <c r="V3426" s="33" t="s">
        <v>26573</v>
      </c>
      <c r="W3426" s="33" t="s">
        <v>94</v>
      </c>
      <c r="X3426" s="33">
        <v>2084</v>
      </c>
      <c r="Z3426" s="33" t="s">
        <v>42966</v>
      </c>
      <c r="AA3426" s="33">
        <v>4239</v>
      </c>
    </row>
    <row r="3427" spans="1:27" ht="12" customHeight="1" x14ac:dyDescent="0.15">
      <c r="A3427" s="33" t="s">
        <v>24970</v>
      </c>
      <c r="B3427" s="33">
        <v>23</v>
      </c>
      <c r="C3427" s="33" t="s">
        <v>14</v>
      </c>
      <c r="D3427" s="33" t="s">
        <v>42</v>
      </c>
      <c r="E3427" s="33" t="s">
        <v>24971</v>
      </c>
      <c r="F3427" s="67">
        <v>42702</v>
      </c>
      <c r="G3427" s="33" t="s">
        <v>24972</v>
      </c>
      <c r="H3427" s="33" t="s">
        <v>92</v>
      </c>
      <c r="I3427" s="33" t="s">
        <v>39</v>
      </c>
      <c r="J3427" s="33">
        <v>90011</v>
      </c>
      <c r="K3427" s="33" t="s">
        <v>92</v>
      </c>
      <c r="L3427" s="33" t="s">
        <v>93</v>
      </c>
      <c r="M3427" s="33" t="s">
        <v>21</v>
      </c>
      <c r="N3427" s="33" t="s">
        <v>24973</v>
      </c>
      <c r="O3427" s="33" t="s">
        <v>372</v>
      </c>
      <c r="P3427" s="33" t="s">
        <v>30089</v>
      </c>
      <c r="Q3427" s="40" t="s">
        <v>24974</v>
      </c>
      <c r="R3427" s="33" t="s">
        <v>94</v>
      </c>
      <c r="S3427" s="33" t="s">
        <v>22</v>
      </c>
      <c r="T3427" s="33" t="s">
        <v>26781</v>
      </c>
      <c r="U3427" s="33" t="s">
        <v>26575</v>
      </c>
      <c r="V3427" s="33" t="s">
        <v>26574</v>
      </c>
      <c r="W3427" s="33" t="s">
        <v>94</v>
      </c>
      <c r="X3427" s="33">
        <v>2085</v>
      </c>
      <c r="Z3427" s="33" t="s">
        <v>42966</v>
      </c>
      <c r="AA3427" s="33">
        <v>4235</v>
      </c>
    </row>
    <row r="3428" spans="1:27" ht="12" customHeight="1" x14ac:dyDescent="0.15">
      <c r="A3428" s="33" t="s">
        <v>24952</v>
      </c>
      <c r="B3428" s="33">
        <v>35</v>
      </c>
      <c r="C3428" s="33" t="s">
        <v>14</v>
      </c>
      <c r="D3428" s="33" t="s">
        <v>79</v>
      </c>
      <c r="E3428" s="33" t="s">
        <v>24953</v>
      </c>
      <c r="F3428" s="67">
        <v>42702</v>
      </c>
      <c r="G3428" s="33" t="s">
        <v>24954</v>
      </c>
      <c r="H3428" s="33" t="s">
        <v>24955</v>
      </c>
      <c r="I3428" s="33" t="s">
        <v>38</v>
      </c>
      <c r="J3428" s="33">
        <v>62206</v>
      </c>
      <c r="K3428" s="33" t="s">
        <v>20220</v>
      </c>
      <c r="L3428" s="33" t="s">
        <v>23549</v>
      </c>
      <c r="M3428" s="33" t="s">
        <v>21</v>
      </c>
      <c r="N3428" s="33" t="s">
        <v>24956</v>
      </c>
      <c r="O3428" s="33" t="s">
        <v>372</v>
      </c>
      <c r="P3428" s="33" t="s">
        <v>30089</v>
      </c>
      <c r="Q3428" s="40" t="s">
        <v>24957</v>
      </c>
      <c r="R3428" s="33" t="s">
        <v>94</v>
      </c>
      <c r="S3428" s="33" t="s">
        <v>351</v>
      </c>
      <c r="T3428" s="33" t="s">
        <v>26867</v>
      </c>
      <c r="U3428" s="33" t="s">
        <v>26572</v>
      </c>
      <c r="V3428" s="33" t="s">
        <v>26571</v>
      </c>
      <c r="Y3428" s="33" t="s">
        <v>42476</v>
      </c>
      <c r="Z3428" s="33" t="s">
        <v>42968</v>
      </c>
      <c r="AA3428" s="33">
        <v>4238</v>
      </c>
    </row>
    <row r="3429" spans="1:27" ht="12" customHeight="1" x14ac:dyDescent="0.15">
      <c r="A3429" s="33" t="s">
        <v>24968</v>
      </c>
      <c r="B3429" s="33">
        <v>41</v>
      </c>
      <c r="C3429" s="33" t="s">
        <v>14</v>
      </c>
      <c r="D3429" s="33" t="s">
        <v>79</v>
      </c>
      <c r="F3429" s="67">
        <v>42702</v>
      </c>
      <c r="G3429" s="33" t="s">
        <v>25093</v>
      </c>
      <c r="H3429" s="33" t="s">
        <v>8568</v>
      </c>
      <c r="I3429" s="33" t="s">
        <v>338</v>
      </c>
      <c r="J3429" s="33">
        <v>28601</v>
      </c>
      <c r="K3429" s="33" t="s">
        <v>8570</v>
      </c>
      <c r="L3429" s="33" t="s">
        <v>16400</v>
      </c>
      <c r="M3429" s="33" t="s">
        <v>21</v>
      </c>
      <c r="N3429" s="33" t="s">
        <v>36659</v>
      </c>
      <c r="O3429" s="33" t="s">
        <v>372</v>
      </c>
      <c r="P3429" s="33" t="s">
        <v>30089</v>
      </c>
      <c r="Q3429" s="40" t="s">
        <v>24969</v>
      </c>
      <c r="R3429" s="33" t="s">
        <v>94</v>
      </c>
      <c r="S3429" s="33" t="s">
        <v>351</v>
      </c>
      <c r="T3429" s="33" t="s">
        <v>26867</v>
      </c>
      <c r="U3429" s="33" t="s">
        <v>26570</v>
      </c>
      <c r="V3429" s="33" t="s">
        <v>26571</v>
      </c>
      <c r="W3429" s="33" t="s">
        <v>94</v>
      </c>
      <c r="X3429" s="33">
        <v>2086</v>
      </c>
      <c r="Z3429" s="33" t="s">
        <v>42966</v>
      </c>
      <c r="AA3429" s="33">
        <v>4237</v>
      </c>
    </row>
    <row r="3430" spans="1:27" ht="12" customHeight="1" x14ac:dyDescent="0.15">
      <c r="A3430" s="33" t="s">
        <v>24962</v>
      </c>
      <c r="B3430" s="33">
        <v>18</v>
      </c>
      <c r="C3430" s="33" t="s">
        <v>14</v>
      </c>
      <c r="D3430" s="33" t="s">
        <v>79</v>
      </c>
      <c r="E3430" s="33" t="s">
        <v>24963</v>
      </c>
      <c r="F3430" s="67">
        <v>42702</v>
      </c>
      <c r="G3430" s="33" t="s">
        <v>24964</v>
      </c>
      <c r="H3430" s="33" t="s">
        <v>1202</v>
      </c>
      <c r="I3430" s="33" t="s">
        <v>63</v>
      </c>
      <c r="J3430" s="33">
        <v>43210</v>
      </c>
      <c r="K3430" s="33" t="s">
        <v>1203</v>
      </c>
      <c r="L3430" s="33" t="s">
        <v>24965</v>
      </c>
      <c r="M3430" s="33" t="s">
        <v>21</v>
      </c>
      <c r="N3430" s="33" t="s">
        <v>24966</v>
      </c>
      <c r="O3430" s="33" t="s">
        <v>372</v>
      </c>
      <c r="P3430" s="33" t="s">
        <v>30089</v>
      </c>
      <c r="Q3430" s="40" t="s">
        <v>24967</v>
      </c>
      <c r="R3430" s="33" t="s">
        <v>94</v>
      </c>
      <c r="S3430" s="33" t="s">
        <v>22</v>
      </c>
      <c r="T3430" s="33" t="s">
        <v>26774</v>
      </c>
      <c r="U3430" s="33" t="s">
        <v>26572</v>
      </c>
      <c r="V3430" s="33" t="s">
        <v>26573</v>
      </c>
      <c r="W3430" s="33" t="s">
        <v>94</v>
      </c>
      <c r="X3430" s="33">
        <v>2083</v>
      </c>
      <c r="Z3430" s="33" t="s">
        <v>42968</v>
      </c>
      <c r="AA3430" s="33">
        <v>4236</v>
      </c>
    </row>
    <row r="3431" spans="1:27" ht="12" customHeight="1" x14ac:dyDescent="0.15">
      <c r="A3431" s="33" t="s">
        <v>24958</v>
      </c>
      <c r="B3431" s="33">
        <v>33</v>
      </c>
      <c r="C3431" s="33" t="s">
        <v>14</v>
      </c>
      <c r="D3431" s="33" t="s">
        <v>79</v>
      </c>
      <c r="E3431" s="33" t="s">
        <v>24959</v>
      </c>
      <c r="F3431" s="67">
        <v>42701</v>
      </c>
      <c r="G3431" s="33" t="s">
        <v>25094</v>
      </c>
      <c r="H3431" s="33" t="s">
        <v>81</v>
      </c>
      <c r="I3431" s="33" t="s">
        <v>38</v>
      </c>
      <c r="J3431" s="33">
        <v>60624</v>
      </c>
      <c r="K3431" s="33" t="s">
        <v>82</v>
      </c>
      <c r="L3431" s="33" t="s">
        <v>83</v>
      </c>
      <c r="M3431" s="33" t="s">
        <v>21</v>
      </c>
      <c r="N3431" s="33" t="s">
        <v>24960</v>
      </c>
      <c r="O3431" s="33" t="s">
        <v>372</v>
      </c>
      <c r="P3431" s="33" t="s">
        <v>30089</v>
      </c>
      <c r="Q3431" s="40" t="s">
        <v>24961</v>
      </c>
      <c r="R3431" s="33" t="s">
        <v>94</v>
      </c>
      <c r="S3431" s="33" t="s">
        <v>22</v>
      </c>
      <c r="T3431" s="33" t="s">
        <v>26781</v>
      </c>
      <c r="U3431" s="33" t="s">
        <v>26572</v>
      </c>
      <c r="V3431" s="33" t="s">
        <v>26574</v>
      </c>
      <c r="W3431" s="33" t="s">
        <v>94</v>
      </c>
      <c r="X3431" s="33">
        <v>2081</v>
      </c>
      <c r="Z3431" s="33" t="s">
        <v>42966</v>
      </c>
      <c r="AA3431" s="33">
        <v>4233</v>
      </c>
    </row>
    <row r="3432" spans="1:27" ht="12" customHeight="1" x14ac:dyDescent="0.15">
      <c r="A3432" s="33" t="s">
        <v>24984</v>
      </c>
      <c r="B3432" s="33">
        <v>50</v>
      </c>
      <c r="C3432" s="33" t="s">
        <v>14</v>
      </c>
      <c r="D3432" s="33" t="s">
        <v>31</v>
      </c>
      <c r="F3432" s="67">
        <v>42701</v>
      </c>
      <c r="G3432" s="33" t="s">
        <v>24985</v>
      </c>
      <c r="H3432" s="33" t="s">
        <v>16567</v>
      </c>
      <c r="I3432" s="33" t="s">
        <v>337</v>
      </c>
      <c r="J3432" s="33">
        <v>66061</v>
      </c>
      <c r="K3432" s="33" t="s">
        <v>3032</v>
      </c>
      <c r="L3432" s="33" t="s">
        <v>16569</v>
      </c>
      <c r="M3432" s="33" t="s">
        <v>4966</v>
      </c>
      <c r="N3432" s="33" t="s">
        <v>24986</v>
      </c>
      <c r="O3432" s="33" t="s">
        <v>372</v>
      </c>
      <c r="P3432" s="33" t="s">
        <v>30089</v>
      </c>
      <c r="Q3432" s="40" t="s">
        <v>24987</v>
      </c>
      <c r="R3432" s="33" t="s">
        <v>23</v>
      </c>
      <c r="S3432" s="33" t="s">
        <v>29</v>
      </c>
      <c r="T3432" s="33" t="s">
        <v>26591</v>
      </c>
      <c r="U3432" s="33" t="s">
        <v>26572</v>
      </c>
      <c r="V3432" s="33" t="s">
        <v>26573</v>
      </c>
      <c r="W3432" s="33" t="s">
        <v>94</v>
      </c>
      <c r="X3432" s="33">
        <v>2075</v>
      </c>
      <c r="Z3432" s="33" t="s">
        <v>42968</v>
      </c>
      <c r="AA3432" s="33">
        <v>4231</v>
      </c>
    </row>
    <row r="3433" spans="1:27" ht="12" customHeight="1" x14ac:dyDescent="0.15">
      <c r="A3433" s="33" t="s">
        <v>24980</v>
      </c>
      <c r="B3433" s="33">
        <v>48</v>
      </c>
      <c r="C3433" s="33" t="s">
        <v>14</v>
      </c>
      <c r="D3433" s="33" t="s">
        <v>79</v>
      </c>
      <c r="F3433" s="67">
        <v>42701</v>
      </c>
      <c r="G3433" s="33" t="s">
        <v>24981</v>
      </c>
      <c r="H3433" s="33" t="s">
        <v>172</v>
      </c>
      <c r="I3433" s="33" t="s">
        <v>19</v>
      </c>
      <c r="J3433" s="33">
        <v>70809</v>
      </c>
      <c r="K3433" s="33" t="s">
        <v>3435</v>
      </c>
      <c r="L3433" s="33" t="s">
        <v>173</v>
      </c>
      <c r="M3433" s="33" t="s">
        <v>21</v>
      </c>
      <c r="N3433" s="33" t="s">
        <v>24982</v>
      </c>
      <c r="O3433" s="33" t="s">
        <v>372</v>
      </c>
      <c r="P3433" s="33" t="s">
        <v>30089</v>
      </c>
      <c r="Q3433" s="40" t="s">
        <v>24983</v>
      </c>
      <c r="R3433" s="33" t="s">
        <v>94</v>
      </c>
      <c r="S3433" s="33" t="s">
        <v>22</v>
      </c>
      <c r="T3433" s="33" t="s">
        <v>26781</v>
      </c>
      <c r="U3433" s="33" t="s">
        <v>26572</v>
      </c>
      <c r="V3433" s="33" t="s">
        <v>26573</v>
      </c>
      <c r="W3433" s="33" t="s">
        <v>94</v>
      </c>
      <c r="X3433" s="33">
        <v>2082</v>
      </c>
      <c r="Z3433" s="33" t="s">
        <v>42968</v>
      </c>
      <c r="AA3433" s="33">
        <v>4234</v>
      </c>
    </row>
    <row r="3434" spans="1:27" ht="12" customHeight="1" x14ac:dyDescent="0.15">
      <c r="A3434" s="33" t="s">
        <v>24975</v>
      </c>
      <c r="B3434" s="33">
        <v>59</v>
      </c>
      <c r="C3434" s="33" t="s">
        <v>14</v>
      </c>
      <c r="D3434" s="33" t="s">
        <v>31</v>
      </c>
      <c r="E3434" s="33" t="s">
        <v>24976</v>
      </c>
      <c r="F3434" s="67">
        <v>42701</v>
      </c>
      <c r="G3434" s="33" t="s">
        <v>24977</v>
      </c>
      <c r="H3434" s="33" t="s">
        <v>17121</v>
      </c>
      <c r="I3434" s="33" t="s">
        <v>4034</v>
      </c>
      <c r="J3434" s="33">
        <v>4055</v>
      </c>
      <c r="K3434" s="33" t="s">
        <v>2907</v>
      </c>
      <c r="L3434" s="33" t="s">
        <v>5949</v>
      </c>
      <c r="M3434" s="33" t="s">
        <v>21</v>
      </c>
      <c r="N3434" s="33" t="s">
        <v>24978</v>
      </c>
      <c r="O3434" s="33" t="s">
        <v>372</v>
      </c>
      <c r="P3434" s="33" t="s">
        <v>30089</v>
      </c>
      <c r="Q3434" s="40" t="s">
        <v>24979</v>
      </c>
      <c r="R3434" s="33" t="s">
        <v>94</v>
      </c>
      <c r="S3434" s="33" t="s">
        <v>22</v>
      </c>
      <c r="T3434" s="33" t="s">
        <v>26781</v>
      </c>
      <c r="U3434" s="33" t="s">
        <v>26572</v>
      </c>
      <c r="V3434" s="33" t="s">
        <v>26573</v>
      </c>
      <c r="W3434" s="33" t="s">
        <v>94</v>
      </c>
      <c r="X3434" s="33">
        <v>2080</v>
      </c>
      <c r="Z3434" s="33" t="s">
        <v>42967</v>
      </c>
      <c r="AA3434" s="33">
        <v>4232</v>
      </c>
    </row>
    <row r="3435" spans="1:27" ht="12" customHeight="1" x14ac:dyDescent="0.15">
      <c r="A3435" s="33" t="s">
        <v>24988</v>
      </c>
      <c r="B3435" s="33">
        <v>20</v>
      </c>
      <c r="C3435" s="33" t="s">
        <v>14</v>
      </c>
      <c r="D3435" s="33" t="s">
        <v>42</v>
      </c>
      <c r="E3435" s="33" t="s">
        <v>24989</v>
      </c>
      <c r="F3435" s="67">
        <v>42700</v>
      </c>
      <c r="G3435" s="33" t="s">
        <v>24990</v>
      </c>
      <c r="H3435" s="33" t="s">
        <v>16868</v>
      </c>
      <c r="I3435" s="33" t="s">
        <v>112</v>
      </c>
      <c r="J3435" s="33">
        <v>85388</v>
      </c>
      <c r="K3435" s="33" t="s">
        <v>585</v>
      </c>
      <c r="L3435" s="33" t="s">
        <v>16870</v>
      </c>
      <c r="M3435" s="33" t="s">
        <v>21</v>
      </c>
      <c r="N3435" s="33" t="s">
        <v>24991</v>
      </c>
      <c r="O3435" s="33" t="s">
        <v>372</v>
      </c>
      <c r="P3435" s="33" t="s">
        <v>30089</v>
      </c>
      <c r="Q3435" s="40" t="s">
        <v>24992</v>
      </c>
      <c r="R3435" s="33" t="s">
        <v>94</v>
      </c>
      <c r="S3435" s="33" t="s">
        <v>29</v>
      </c>
      <c r="T3435" s="33" t="s">
        <v>26575</v>
      </c>
      <c r="U3435" s="33" t="s">
        <v>26572</v>
      </c>
      <c r="V3435" s="33" t="s">
        <v>26571</v>
      </c>
      <c r="W3435" s="33" t="s">
        <v>94</v>
      </c>
      <c r="X3435" s="33">
        <v>2077</v>
      </c>
      <c r="Z3435" s="33" t="s">
        <v>42968</v>
      </c>
      <c r="AA3435" s="33">
        <v>4230</v>
      </c>
    </row>
    <row r="3436" spans="1:27" ht="12" customHeight="1" x14ac:dyDescent="0.15">
      <c r="A3436" s="33" t="s">
        <v>24993</v>
      </c>
      <c r="B3436" s="33">
        <v>37</v>
      </c>
      <c r="C3436" s="33" t="s">
        <v>14</v>
      </c>
      <c r="D3436" s="33" t="s">
        <v>79</v>
      </c>
      <c r="E3436" s="33" t="s">
        <v>24994</v>
      </c>
      <c r="F3436" s="67">
        <v>42699</v>
      </c>
      <c r="G3436" s="33" t="s">
        <v>24995</v>
      </c>
      <c r="H3436" s="33" t="s">
        <v>81</v>
      </c>
      <c r="I3436" s="33" t="s">
        <v>38</v>
      </c>
      <c r="J3436" s="33">
        <v>60624</v>
      </c>
      <c r="K3436" s="33" t="s">
        <v>82</v>
      </c>
      <c r="L3436" s="33" t="s">
        <v>83</v>
      </c>
      <c r="M3436" s="33" t="s">
        <v>21</v>
      </c>
      <c r="N3436" s="33" t="s">
        <v>24996</v>
      </c>
      <c r="O3436" s="33" t="s">
        <v>372</v>
      </c>
      <c r="P3436" s="33" t="s">
        <v>30089</v>
      </c>
      <c r="Q3436" s="40" t="s">
        <v>24997</v>
      </c>
      <c r="R3436" s="33" t="s">
        <v>94</v>
      </c>
      <c r="S3436" s="33" t="s">
        <v>22</v>
      </c>
      <c r="T3436" s="33" t="s">
        <v>26781</v>
      </c>
      <c r="U3436" s="33" t="s">
        <v>26572</v>
      </c>
      <c r="V3436" s="33" t="s">
        <v>26573</v>
      </c>
      <c r="W3436" s="33" t="s">
        <v>94</v>
      </c>
      <c r="X3436" s="33">
        <v>2071</v>
      </c>
      <c r="Z3436" s="33" t="s">
        <v>42966</v>
      </c>
      <c r="AA3436" s="33">
        <v>4227</v>
      </c>
    </row>
    <row r="3437" spans="1:27" ht="12" customHeight="1" x14ac:dyDescent="0.15">
      <c r="A3437" s="33" t="s">
        <v>24998</v>
      </c>
      <c r="B3437" s="33">
        <v>23</v>
      </c>
      <c r="C3437" s="33" t="s">
        <v>14</v>
      </c>
      <c r="D3437" s="33" t="s">
        <v>79</v>
      </c>
      <c r="F3437" s="67">
        <v>42699</v>
      </c>
      <c r="G3437" s="33" t="s">
        <v>24999</v>
      </c>
      <c r="H3437" s="33" t="s">
        <v>6834</v>
      </c>
      <c r="I3437" s="33" t="s">
        <v>621</v>
      </c>
      <c r="J3437" s="33">
        <v>39401</v>
      </c>
      <c r="K3437" s="33" t="s">
        <v>25000</v>
      </c>
      <c r="L3437" s="33" t="s">
        <v>25001</v>
      </c>
      <c r="M3437" s="33" t="s">
        <v>21</v>
      </c>
      <c r="N3437" s="33" t="s">
        <v>25002</v>
      </c>
      <c r="O3437" s="33" t="s">
        <v>372</v>
      </c>
      <c r="P3437" s="33" t="s">
        <v>30089</v>
      </c>
      <c r="Q3437" s="40" t="s">
        <v>25003</v>
      </c>
      <c r="R3437" s="33" t="s">
        <v>94</v>
      </c>
      <c r="S3437" s="33" t="s">
        <v>22</v>
      </c>
      <c r="T3437" s="33" t="s">
        <v>26781</v>
      </c>
      <c r="U3437" s="33" t="s">
        <v>26572</v>
      </c>
      <c r="V3437" s="33" t="s">
        <v>19228</v>
      </c>
      <c r="W3437" s="33" t="s">
        <v>94</v>
      </c>
      <c r="X3437" s="33">
        <v>2078</v>
      </c>
      <c r="Z3437" s="33" t="s">
        <v>42968</v>
      </c>
      <c r="AA3437" s="33">
        <v>4228</v>
      </c>
    </row>
    <row r="3438" spans="1:27" ht="12" customHeight="1" x14ac:dyDescent="0.15">
      <c r="A3438" s="33" t="s">
        <v>25004</v>
      </c>
      <c r="B3438" s="33">
        <v>26</v>
      </c>
      <c r="C3438" s="33" t="s">
        <v>14</v>
      </c>
      <c r="D3438" s="33" t="s">
        <v>42</v>
      </c>
      <c r="E3438" s="33" t="s">
        <v>25005</v>
      </c>
      <c r="F3438" s="67">
        <v>42699</v>
      </c>
      <c r="G3438" s="33" t="s">
        <v>25006</v>
      </c>
      <c r="H3438" s="33" t="s">
        <v>518</v>
      </c>
      <c r="I3438" s="33" t="s">
        <v>112</v>
      </c>
      <c r="J3438" s="33">
        <v>85713</v>
      </c>
      <c r="K3438" s="33" t="s">
        <v>519</v>
      </c>
      <c r="L3438" s="33" t="s">
        <v>6180</v>
      </c>
      <c r="M3438" s="33" t="s">
        <v>21</v>
      </c>
      <c r="N3438" s="33" t="s">
        <v>25007</v>
      </c>
      <c r="O3438" s="33" t="s">
        <v>372</v>
      </c>
      <c r="P3438" s="33" t="s">
        <v>30089</v>
      </c>
      <c r="Q3438" s="40" t="s">
        <v>25008</v>
      </c>
      <c r="R3438" s="33" t="s">
        <v>512</v>
      </c>
      <c r="S3438" s="33" t="s">
        <v>12</v>
      </c>
      <c r="T3438" s="33" t="s">
        <v>29705</v>
      </c>
      <c r="U3438" s="33" t="s">
        <v>26570</v>
      </c>
      <c r="V3438" s="33" t="s">
        <v>26573</v>
      </c>
      <c r="W3438" s="33" t="s">
        <v>512</v>
      </c>
      <c r="X3438" s="33">
        <v>2142</v>
      </c>
      <c r="Z3438" s="33" t="s">
        <v>42968</v>
      </c>
      <c r="AA3438" s="33">
        <v>4229</v>
      </c>
    </row>
    <row r="3439" spans="1:27" ht="12" customHeight="1" x14ac:dyDescent="0.15">
      <c r="A3439" s="33" t="s">
        <v>25009</v>
      </c>
      <c r="B3439" s="33">
        <v>17</v>
      </c>
      <c r="C3439" s="33" t="s">
        <v>14</v>
      </c>
      <c r="D3439" s="33" t="s">
        <v>30751</v>
      </c>
      <c r="F3439" s="67">
        <v>42698</v>
      </c>
      <c r="G3439" s="33" t="s">
        <v>25010</v>
      </c>
      <c r="H3439" s="33" t="s">
        <v>16981</v>
      </c>
      <c r="I3439" s="33" t="s">
        <v>39</v>
      </c>
      <c r="J3439" s="33">
        <v>95608</v>
      </c>
      <c r="K3439" s="33" t="s">
        <v>1537</v>
      </c>
      <c r="L3439" s="33" t="s">
        <v>22038</v>
      </c>
      <c r="M3439" s="33" t="s">
        <v>21</v>
      </c>
      <c r="N3439" s="33" t="s">
        <v>25011</v>
      </c>
      <c r="O3439" s="33" t="s">
        <v>372</v>
      </c>
      <c r="P3439" s="33" t="s">
        <v>30089</v>
      </c>
      <c r="Q3439" s="40" t="s">
        <v>25012</v>
      </c>
      <c r="R3439" s="33" t="s">
        <v>23</v>
      </c>
      <c r="S3439" s="33" t="s">
        <v>22</v>
      </c>
      <c r="T3439" s="33" t="s">
        <v>26774</v>
      </c>
      <c r="U3439" s="33" t="s">
        <v>26570</v>
      </c>
      <c r="V3439" s="33" t="s">
        <v>26573</v>
      </c>
      <c r="Z3439" s="33" t="s">
        <v>42968</v>
      </c>
      <c r="AA3439" s="33">
        <v>4226</v>
      </c>
    </row>
    <row r="3440" spans="1:27" ht="12" customHeight="1" x14ac:dyDescent="0.15">
      <c r="A3440" s="33" t="s">
        <v>25013</v>
      </c>
      <c r="B3440" s="33">
        <v>45</v>
      </c>
      <c r="C3440" s="33" t="s">
        <v>14</v>
      </c>
      <c r="D3440" s="33" t="s">
        <v>30751</v>
      </c>
      <c r="F3440" s="67">
        <v>42698</v>
      </c>
      <c r="G3440" s="33" t="s">
        <v>25014</v>
      </c>
      <c r="H3440" s="33" t="s">
        <v>404</v>
      </c>
      <c r="I3440" s="33" t="s">
        <v>298</v>
      </c>
      <c r="J3440" s="33">
        <v>38301</v>
      </c>
      <c r="K3440" s="33" t="s">
        <v>2014</v>
      </c>
      <c r="L3440" s="33" t="s">
        <v>5717</v>
      </c>
      <c r="M3440" s="33" t="s">
        <v>21</v>
      </c>
      <c r="N3440" s="33" t="s">
        <v>25015</v>
      </c>
      <c r="O3440" s="33" t="s">
        <v>372</v>
      </c>
      <c r="P3440" s="33" t="s">
        <v>30089</v>
      </c>
      <c r="Q3440" s="40" t="s">
        <v>25016</v>
      </c>
      <c r="R3440" s="33" t="s">
        <v>512</v>
      </c>
      <c r="S3440" s="33" t="s">
        <v>22</v>
      </c>
      <c r="T3440" s="33" t="s">
        <v>26774</v>
      </c>
      <c r="U3440" s="33" t="s">
        <v>26572</v>
      </c>
      <c r="V3440" s="33" t="s">
        <v>26573</v>
      </c>
      <c r="W3440" s="33" t="s">
        <v>94</v>
      </c>
      <c r="X3440" s="33">
        <v>2074</v>
      </c>
      <c r="Z3440" s="33" t="s">
        <v>42968</v>
      </c>
      <c r="AA3440" s="33">
        <v>4225</v>
      </c>
    </row>
    <row r="3441" spans="1:27" ht="12" customHeight="1" x14ac:dyDescent="0.15">
      <c r="A3441" s="33" t="s">
        <v>25017</v>
      </c>
      <c r="B3441" s="33">
        <v>19</v>
      </c>
      <c r="C3441" s="33" t="s">
        <v>14</v>
      </c>
      <c r="D3441" s="33" t="s">
        <v>79</v>
      </c>
      <c r="E3441" s="33" t="s">
        <v>25018</v>
      </c>
      <c r="F3441" s="67">
        <v>42697</v>
      </c>
      <c r="G3441" s="33" t="s">
        <v>25019</v>
      </c>
      <c r="H3441" s="33" t="s">
        <v>81</v>
      </c>
      <c r="I3441" s="33" t="s">
        <v>38</v>
      </c>
      <c r="J3441" s="33">
        <v>60636</v>
      </c>
      <c r="K3441" s="33" t="s">
        <v>82</v>
      </c>
      <c r="L3441" s="33" t="s">
        <v>83</v>
      </c>
      <c r="M3441" s="33" t="s">
        <v>21</v>
      </c>
      <c r="N3441" s="33" t="s">
        <v>25020</v>
      </c>
      <c r="O3441" s="33" t="s">
        <v>372</v>
      </c>
      <c r="P3441" s="33" t="s">
        <v>30089</v>
      </c>
      <c r="Q3441" s="40" t="s">
        <v>25021</v>
      </c>
      <c r="R3441" s="33" t="s">
        <v>94</v>
      </c>
      <c r="S3441" s="33" t="s">
        <v>29</v>
      </c>
      <c r="T3441" s="33" t="s">
        <v>26575</v>
      </c>
      <c r="U3441" s="33" t="s">
        <v>26575</v>
      </c>
      <c r="V3441" s="33" t="s">
        <v>26574</v>
      </c>
      <c r="W3441" s="33" t="s">
        <v>94</v>
      </c>
      <c r="X3441" s="33">
        <v>2073</v>
      </c>
      <c r="Z3441" s="33" t="s">
        <v>42966</v>
      </c>
      <c r="AA3441" s="33">
        <v>4224</v>
      </c>
    </row>
    <row r="3442" spans="1:27" ht="12" customHeight="1" x14ac:dyDescent="0.15">
      <c r="A3442" s="33" t="s">
        <v>25026</v>
      </c>
      <c r="B3442" s="33">
        <v>43</v>
      </c>
      <c r="C3442" s="33" t="s">
        <v>14</v>
      </c>
      <c r="D3442" s="33" t="s">
        <v>31</v>
      </c>
      <c r="F3442" s="67">
        <v>42697</v>
      </c>
      <c r="G3442" s="33" t="s">
        <v>25027</v>
      </c>
      <c r="H3442" s="33" t="s">
        <v>15578</v>
      </c>
      <c r="I3442" s="33" t="s">
        <v>51</v>
      </c>
      <c r="J3442" s="33">
        <v>49424</v>
      </c>
      <c r="K3442" s="33" t="s">
        <v>7026</v>
      </c>
      <c r="L3442" s="33" t="s">
        <v>25028</v>
      </c>
      <c r="M3442" s="33" t="s">
        <v>21</v>
      </c>
      <c r="N3442" s="33" t="s">
        <v>25029</v>
      </c>
      <c r="O3442" s="33" t="s">
        <v>372</v>
      </c>
      <c r="P3442" s="33" t="s">
        <v>30089</v>
      </c>
      <c r="Q3442" s="40" t="s">
        <v>25030</v>
      </c>
      <c r="R3442" s="33" t="s">
        <v>94</v>
      </c>
      <c r="S3442" s="33" t="s">
        <v>22</v>
      </c>
      <c r="T3442" s="33" t="s">
        <v>26774</v>
      </c>
      <c r="U3442" s="33" t="s">
        <v>26570</v>
      </c>
      <c r="V3442" s="33" t="s">
        <v>26573</v>
      </c>
      <c r="W3442" s="33" t="s">
        <v>94</v>
      </c>
      <c r="X3442" s="33">
        <v>3210</v>
      </c>
      <c r="Z3442" s="33" t="s">
        <v>42968</v>
      </c>
      <c r="AA3442" s="33">
        <v>4223</v>
      </c>
    </row>
    <row r="3443" spans="1:27" ht="12" customHeight="1" x14ac:dyDescent="0.15">
      <c r="A3443" s="33" t="s">
        <v>25022</v>
      </c>
      <c r="B3443" s="33">
        <v>43</v>
      </c>
      <c r="C3443" s="33" t="s">
        <v>14</v>
      </c>
      <c r="D3443" s="33" t="s">
        <v>31</v>
      </c>
      <c r="F3443" s="67">
        <v>42697</v>
      </c>
      <c r="G3443" s="33" t="s">
        <v>25023</v>
      </c>
      <c r="H3443" s="33" t="s">
        <v>12230</v>
      </c>
      <c r="I3443" s="33" t="s">
        <v>56</v>
      </c>
      <c r="J3443" s="33">
        <v>33714</v>
      </c>
      <c r="K3443" s="33" t="s">
        <v>2152</v>
      </c>
      <c r="L3443" s="33" t="s">
        <v>8931</v>
      </c>
      <c r="M3443" s="33" t="s">
        <v>21</v>
      </c>
      <c r="N3443" s="33" t="s">
        <v>25024</v>
      </c>
      <c r="O3443" s="33" t="s">
        <v>372</v>
      </c>
      <c r="P3443" s="33" t="s">
        <v>30089</v>
      </c>
      <c r="Q3443" s="40" t="s">
        <v>25025</v>
      </c>
      <c r="R3443" s="33" t="s">
        <v>904</v>
      </c>
      <c r="S3443" s="33" t="s">
        <v>22</v>
      </c>
      <c r="T3443" s="33" t="s">
        <v>26774</v>
      </c>
      <c r="U3443" s="33" t="s">
        <v>26570</v>
      </c>
      <c r="V3443" s="33" t="s">
        <v>26573</v>
      </c>
      <c r="W3443" s="33" t="s">
        <v>94</v>
      </c>
      <c r="X3443" s="33">
        <v>2069</v>
      </c>
      <c r="Z3443" s="33" t="s">
        <v>42968</v>
      </c>
      <c r="AA3443" s="33">
        <v>4222</v>
      </c>
    </row>
    <row r="3444" spans="1:27" ht="12" customHeight="1" x14ac:dyDescent="0.15">
      <c r="A3444" s="33" t="s">
        <v>25054</v>
      </c>
      <c r="B3444" s="33">
        <v>17</v>
      </c>
      <c r="C3444" s="33" t="s">
        <v>14</v>
      </c>
      <c r="D3444" s="33" t="s">
        <v>79</v>
      </c>
      <c r="F3444" s="67">
        <v>42696</v>
      </c>
      <c r="G3444" s="33" t="s">
        <v>25055</v>
      </c>
      <c r="H3444" s="33" t="s">
        <v>25056</v>
      </c>
      <c r="I3444" s="33" t="s">
        <v>67</v>
      </c>
      <c r="J3444" s="33">
        <v>77380</v>
      </c>
      <c r="K3444" s="33" t="s">
        <v>995</v>
      </c>
      <c r="L3444" s="33" t="s">
        <v>18546</v>
      </c>
      <c r="M3444" s="33" t="s">
        <v>21</v>
      </c>
      <c r="N3444" s="33" t="s">
        <v>25057</v>
      </c>
      <c r="O3444" s="33" t="s">
        <v>372</v>
      </c>
      <c r="P3444" s="33" t="s">
        <v>30089</v>
      </c>
      <c r="Q3444" s="40" t="s">
        <v>25058</v>
      </c>
      <c r="R3444" s="33" t="s">
        <v>94</v>
      </c>
      <c r="S3444" s="33" t="s">
        <v>22</v>
      </c>
      <c r="T3444" s="33" t="s">
        <v>26781</v>
      </c>
      <c r="U3444" s="33" t="s">
        <v>26572</v>
      </c>
      <c r="V3444" s="33" t="s">
        <v>26573</v>
      </c>
      <c r="Y3444" s="33" t="s">
        <v>42476</v>
      </c>
      <c r="Z3444" s="33" t="s">
        <v>42966</v>
      </c>
      <c r="AA3444" s="33">
        <v>4219</v>
      </c>
    </row>
    <row r="3445" spans="1:27" ht="12" customHeight="1" x14ac:dyDescent="0.15">
      <c r="A3445" s="33" t="s">
        <v>25031</v>
      </c>
      <c r="B3445" s="33">
        <v>36</v>
      </c>
      <c r="C3445" s="33" t="s">
        <v>14</v>
      </c>
      <c r="D3445" s="33" t="s">
        <v>79</v>
      </c>
      <c r="E3445" s="33" t="s">
        <v>25032</v>
      </c>
      <c r="F3445" s="67">
        <v>42696</v>
      </c>
      <c r="G3445" s="33" t="s">
        <v>25033</v>
      </c>
      <c r="H3445" s="33" t="s">
        <v>2915</v>
      </c>
      <c r="I3445" s="33" t="s">
        <v>67</v>
      </c>
      <c r="J3445" s="33">
        <v>77521</v>
      </c>
      <c r="K3445" s="33" t="s">
        <v>515</v>
      </c>
      <c r="L3445" s="33" t="s">
        <v>1579</v>
      </c>
      <c r="M3445" s="33" t="s">
        <v>21</v>
      </c>
      <c r="N3445" s="33" t="s">
        <v>25034</v>
      </c>
      <c r="O3445" s="33" t="s">
        <v>372</v>
      </c>
      <c r="P3445" s="33" t="s">
        <v>30089</v>
      </c>
      <c r="Q3445" s="40" t="s">
        <v>25035</v>
      </c>
      <c r="R3445" s="33" t="s">
        <v>94</v>
      </c>
      <c r="S3445" s="33" t="s">
        <v>22</v>
      </c>
      <c r="T3445" s="33" t="s">
        <v>26781</v>
      </c>
      <c r="U3445" s="33" t="s">
        <v>26570</v>
      </c>
      <c r="V3445" s="33" t="s">
        <v>26571</v>
      </c>
      <c r="W3445" s="33" t="s">
        <v>94</v>
      </c>
      <c r="X3445" s="33">
        <v>2066</v>
      </c>
      <c r="Z3445" s="33" t="s">
        <v>42968</v>
      </c>
      <c r="AA3445" s="33">
        <v>4217</v>
      </c>
    </row>
    <row r="3446" spans="1:27" ht="12" customHeight="1" x14ac:dyDescent="0.15">
      <c r="A3446" s="33" t="s">
        <v>25040</v>
      </c>
      <c r="B3446" s="33">
        <v>22</v>
      </c>
      <c r="C3446" s="33" t="s">
        <v>103</v>
      </c>
      <c r="D3446" s="33" t="s">
        <v>31</v>
      </c>
      <c r="E3446" s="33" t="s">
        <v>25041</v>
      </c>
      <c r="F3446" s="67">
        <v>42696</v>
      </c>
      <c r="G3446" s="33" t="s">
        <v>25095</v>
      </c>
      <c r="H3446" s="33" t="s">
        <v>451</v>
      </c>
      <c r="I3446" s="33" t="s">
        <v>39</v>
      </c>
      <c r="J3446" s="33">
        <v>90804</v>
      </c>
      <c r="K3446" s="33" t="s">
        <v>92</v>
      </c>
      <c r="L3446" s="33" t="s">
        <v>3392</v>
      </c>
      <c r="M3446" s="33" t="s">
        <v>21</v>
      </c>
      <c r="N3446" s="33" t="s">
        <v>36660</v>
      </c>
      <c r="O3446" s="33" t="s">
        <v>372</v>
      </c>
      <c r="P3446" s="33" t="s">
        <v>30089</v>
      </c>
      <c r="Q3446" s="40" t="s">
        <v>25042</v>
      </c>
      <c r="R3446" s="33" t="s">
        <v>94</v>
      </c>
      <c r="S3446" s="33" t="s">
        <v>12</v>
      </c>
      <c r="T3446" s="33" t="s">
        <v>29705</v>
      </c>
      <c r="U3446" s="33" t="s">
        <v>26570</v>
      </c>
      <c r="V3446" s="33" t="s">
        <v>26573</v>
      </c>
      <c r="Z3446" s="33" t="s">
        <v>42966</v>
      </c>
      <c r="AA3446" s="33">
        <v>4220</v>
      </c>
    </row>
    <row r="3447" spans="1:27" ht="12" customHeight="1" x14ac:dyDescent="0.15">
      <c r="A3447" s="33" t="s">
        <v>24561</v>
      </c>
      <c r="B3447" s="33">
        <v>34</v>
      </c>
      <c r="C3447" s="33" t="s">
        <v>14</v>
      </c>
      <c r="D3447" s="33" t="s">
        <v>79</v>
      </c>
      <c r="F3447" s="67">
        <v>42696</v>
      </c>
      <c r="G3447" s="33" t="s">
        <v>24562</v>
      </c>
      <c r="H3447" s="33" t="s">
        <v>455</v>
      </c>
      <c r="I3447" s="33" t="s">
        <v>338</v>
      </c>
      <c r="J3447" s="33">
        <v>27701</v>
      </c>
      <c r="K3447" s="33" t="s">
        <v>455</v>
      </c>
      <c r="L3447" s="33" t="s">
        <v>457</v>
      </c>
      <c r="M3447" s="33" t="s">
        <v>21</v>
      </c>
      <c r="N3447" s="33" t="s">
        <v>24563</v>
      </c>
      <c r="O3447" s="33" t="s">
        <v>372</v>
      </c>
      <c r="P3447" s="33" t="s">
        <v>30089</v>
      </c>
      <c r="Q3447" s="40" t="s">
        <v>24564</v>
      </c>
      <c r="R3447" s="33" t="s">
        <v>94</v>
      </c>
      <c r="S3447" s="33" t="s">
        <v>29</v>
      </c>
      <c r="T3447" s="33" t="s">
        <v>26575</v>
      </c>
      <c r="U3447" s="33" t="s">
        <v>26575</v>
      </c>
      <c r="V3447" s="33" t="s">
        <v>26573</v>
      </c>
      <c r="W3447" s="33" t="s">
        <v>94</v>
      </c>
      <c r="X3447" s="33">
        <v>2067</v>
      </c>
      <c r="Z3447" s="33" t="s">
        <v>42966</v>
      </c>
      <c r="AA3447" s="33">
        <v>4221</v>
      </c>
    </row>
    <row r="3448" spans="1:27" ht="12" customHeight="1" x14ac:dyDescent="0.15">
      <c r="A3448" s="33" t="s">
        <v>25036</v>
      </c>
      <c r="B3448" s="33">
        <v>23</v>
      </c>
      <c r="C3448" s="33" t="s">
        <v>14</v>
      </c>
      <c r="D3448" s="33" t="s">
        <v>79</v>
      </c>
      <c r="F3448" s="67">
        <v>42696</v>
      </c>
      <c r="G3448" s="33" t="s">
        <v>25037</v>
      </c>
      <c r="H3448" s="33" t="s">
        <v>485</v>
      </c>
      <c r="I3448" s="33" t="s">
        <v>75</v>
      </c>
      <c r="J3448" s="33">
        <v>7106</v>
      </c>
      <c r="K3448" s="33" t="s">
        <v>486</v>
      </c>
      <c r="L3448" s="33" t="s">
        <v>487</v>
      </c>
      <c r="M3448" s="33" t="s">
        <v>21</v>
      </c>
      <c r="N3448" s="33" t="s">
        <v>25038</v>
      </c>
      <c r="O3448" s="33" t="s">
        <v>372</v>
      </c>
      <c r="P3448" s="33" t="s">
        <v>30089</v>
      </c>
      <c r="Q3448" s="40" t="s">
        <v>25039</v>
      </c>
      <c r="R3448" s="33" t="s">
        <v>94</v>
      </c>
      <c r="S3448" s="33" t="s">
        <v>22</v>
      </c>
      <c r="T3448" s="33" t="s">
        <v>26781</v>
      </c>
      <c r="U3448" s="33" t="s">
        <v>26572</v>
      </c>
      <c r="V3448" s="33" t="s">
        <v>26573</v>
      </c>
      <c r="W3448" s="33" t="s">
        <v>94</v>
      </c>
      <c r="X3448" s="33">
        <v>2068</v>
      </c>
      <c r="Z3448" s="33" t="s">
        <v>42966</v>
      </c>
      <c r="AA3448" s="33">
        <v>4218</v>
      </c>
    </row>
    <row r="3449" spans="1:27" ht="12" customHeight="1" x14ac:dyDescent="0.15">
      <c r="A3449" s="33" t="s">
        <v>25043</v>
      </c>
      <c r="B3449" s="33">
        <v>45</v>
      </c>
      <c r="C3449" s="33" t="s">
        <v>14</v>
      </c>
      <c r="D3449" s="33" t="s">
        <v>42</v>
      </c>
      <c r="F3449" s="67">
        <v>42696</v>
      </c>
      <c r="G3449" s="33" t="s">
        <v>25044</v>
      </c>
      <c r="H3449" s="33" t="s">
        <v>25045</v>
      </c>
      <c r="I3449" s="33" t="s">
        <v>39</v>
      </c>
      <c r="J3449" s="33">
        <v>90638</v>
      </c>
      <c r="K3449" s="33" t="s">
        <v>92</v>
      </c>
      <c r="L3449" s="33" t="s">
        <v>386</v>
      </c>
      <c r="M3449" s="33" t="s">
        <v>21</v>
      </c>
      <c r="N3449" s="33" t="s">
        <v>25046</v>
      </c>
      <c r="O3449" s="33" t="s">
        <v>372</v>
      </c>
      <c r="P3449" s="33" t="s">
        <v>30089</v>
      </c>
      <c r="Q3449" s="40" t="s">
        <v>25047</v>
      </c>
      <c r="R3449" s="33" t="s">
        <v>94</v>
      </c>
      <c r="S3449" s="33" t="s">
        <v>22</v>
      </c>
      <c r="T3449" s="33" t="s">
        <v>26781</v>
      </c>
      <c r="U3449" s="33" t="s">
        <v>26572</v>
      </c>
      <c r="V3449" s="33" t="s">
        <v>26573</v>
      </c>
      <c r="W3449" s="33" t="s">
        <v>94</v>
      </c>
      <c r="X3449" s="33">
        <v>2065</v>
      </c>
      <c r="Z3449" s="33" t="s">
        <v>42968</v>
      </c>
      <c r="AA3449" s="33">
        <v>4216</v>
      </c>
    </row>
    <row r="3450" spans="1:27" ht="12" customHeight="1" x14ac:dyDescent="0.15">
      <c r="A3450" s="33" t="s">
        <v>24520</v>
      </c>
      <c r="B3450" s="33">
        <v>27</v>
      </c>
      <c r="C3450" s="33" t="s">
        <v>14</v>
      </c>
      <c r="D3450" s="33" t="s">
        <v>31</v>
      </c>
      <c r="F3450" s="67">
        <v>42695</v>
      </c>
      <c r="G3450" s="33" t="s">
        <v>24560</v>
      </c>
      <c r="H3450" s="33" t="s">
        <v>24521</v>
      </c>
      <c r="I3450" s="33" t="s">
        <v>39</v>
      </c>
      <c r="J3450" s="33">
        <v>93436</v>
      </c>
      <c r="K3450" s="33" t="s">
        <v>1819</v>
      </c>
      <c r="L3450" s="33" t="s">
        <v>24522</v>
      </c>
      <c r="M3450" s="33" t="s">
        <v>21</v>
      </c>
      <c r="N3450" s="33" t="s">
        <v>24523</v>
      </c>
      <c r="O3450" s="33" t="s">
        <v>372</v>
      </c>
      <c r="P3450" s="33" t="s">
        <v>30089</v>
      </c>
      <c r="Q3450" s="40" t="s">
        <v>24524</v>
      </c>
      <c r="R3450" s="33" t="s">
        <v>512</v>
      </c>
      <c r="S3450" s="33" t="s">
        <v>22</v>
      </c>
      <c r="T3450" s="33" t="s">
        <v>26774</v>
      </c>
      <c r="U3450" s="33" t="s">
        <v>26570</v>
      </c>
      <c r="V3450" s="33" t="s">
        <v>26574</v>
      </c>
      <c r="W3450" s="33" t="s">
        <v>94</v>
      </c>
      <c r="X3450" s="33">
        <v>2064</v>
      </c>
      <c r="Z3450" s="33" t="s">
        <v>42968</v>
      </c>
      <c r="AA3450" s="33">
        <v>4214</v>
      </c>
    </row>
    <row r="3451" spans="1:27" ht="12" customHeight="1" x14ac:dyDescent="0.15">
      <c r="A3451" s="33" t="s">
        <v>24525</v>
      </c>
      <c r="B3451" s="33">
        <v>19</v>
      </c>
      <c r="C3451" s="33" t="s">
        <v>14</v>
      </c>
      <c r="D3451" s="33" t="s">
        <v>79</v>
      </c>
      <c r="F3451" s="67">
        <v>42695</v>
      </c>
      <c r="G3451" s="33" t="s">
        <v>24526</v>
      </c>
      <c r="H3451" s="33" t="s">
        <v>661</v>
      </c>
      <c r="I3451" s="33" t="s">
        <v>402</v>
      </c>
      <c r="J3451" s="33">
        <v>63139</v>
      </c>
      <c r="K3451" s="33" t="s">
        <v>661</v>
      </c>
      <c r="L3451" s="33" t="s">
        <v>4162</v>
      </c>
      <c r="M3451" s="33" t="s">
        <v>21</v>
      </c>
      <c r="N3451" s="33" t="s">
        <v>24527</v>
      </c>
      <c r="O3451" s="33" t="s">
        <v>372</v>
      </c>
      <c r="P3451" s="33" t="s">
        <v>30089</v>
      </c>
      <c r="Q3451" s="40" t="s">
        <v>24528</v>
      </c>
      <c r="R3451" s="33" t="s">
        <v>94</v>
      </c>
      <c r="S3451" s="33" t="s">
        <v>22</v>
      </c>
      <c r="T3451" s="33" t="s">
        <v>26781</v>
      </c>
      <c r="U3451" s="33" t="s">
        <v>26572</v>
      </c>
      <c r="V3451" s="33" t="s">
        <v>26574</v>
      </c>
      <c r="W3451" s="33" t="s">
        <v>94</v>
      </c>
      <c r="X3451" s="33">
        <v>2060</v>
      </c>
      <c r="Z3451" s="33" t="s">
        <v>42966</v>
      </c>
      <c r="AA3451" s="33">
        <v>4213</v>
      </c>
    </row>
    <row r="3452" spans="1:27" ht="12" customHeight="1" x14ac:dyDescent="0.15">
      <c r="A3452" s="33" t="s">
        <v>25048</v>
      </c>
      <c r="B3452" s="33">
        <v>35</v>
      </c>
      <c r="C3452" s="33" t="s">
        <v>103</v>
      </c>
      <c r="D3452" s="33" t="s">
        <v>31</v>
      </c>
      <c r="F3452" s="67">
        <v>42695</v>
      </c>
      <c r="G3452" s="33" t="s">
        <v>25096</v>
      </c>
      <c r="H3452" s="33" t="s">
        <v>25049</v>
      </c>
      <c r="I3452" s="33" t="s">
        <v>282</v>
      </c>
      <c r="J3452" s="33">
        <v>98550</v>
      </c>
      <c r="K3452" s="33" t="s">
        <v>25050</v>
      </c>
      <c r="L3452" s="33" t="s">
        <v>25051</v>
      </c>
      <c r="M3452" s="33" t="s">
        <v>363</v>
      </c>
      <c r="N3452" s="33" t="s">
        <v>25052</v>
      </c>
      <c r="O3452" s="33" t="s">
        <v>372</v>
      </c>
      <c r="P3452" s="33" t="s">
        <v>30089</v>
      </c>
      <c r="Q3452" s="40" t="s">
        <v>25053</v>
      </c>
      <c r="R3452" s="33" t="s">
        <v>512</v>
      </c>
      <c r="S3452" s="33" t="s">
        <v>12</v>
      </c>
      <c r="T3452" s="33" t="s">
        <v>29705</v>
      </c>
      <c r="U3452" s="33" t="s">
        <v>26570</v>
      </c>
      <c r="V3452" s="33" t="s">
        <v>26573</v>
      </c>
      <c r="Z3452" s="33" t="s">
        <v>42967</v>
      </c>
      <c r="AA3452" s="33">
        <v>4215</v>
      </c>
    </row>
    <row r="3453" spans="1:27" ht="12" customHeight="1" x14ac:dyDescent="0.15">
      <c r="A3453" s="33" t="s">
        <v>24513</v>
      </c>
      <c r="B3453" s="33">
        <v>18</v>
      </c>
      <c r="C3453" s="33" t="s">
        <v>14</v>
      </c>
      <c r="D3453" s="33" t="s">
        <v>31</v>
      </c>
      <c r="F3453" s="67">
        <v>42694</v>
      </c>
      <c r="G3453" s="33" t="s">
        <v>24514</v>
      </c>
      <c r="H3453" s="33" t="s">
        <v>401</v>
      </c>
      <c r="I3453" s="33" t="s">
        <v>402</v>
      </c>
      <c r="J3453" s="33">
        <v>64116</v>
      </c>
      <c r="K3453" s="33" t="s">
        <v>3117</v>
      </c>
      <c r="L3453" s="33" t="s">
        <v>24515</v>
      </c>
      <c r="M3453" s="33" t="s">
        <v>21</v>
      </c>
      <c r="N3453" s="33" t="s">
        <v>24516</v>
      </c>
      <c r="O3453" s="33" t="s">
        <v>372</v>
      </c>
      <c r="P3453" s="33" t="s">
        <v>30089</v>
      </c>
      <c r="Q3453" s="40" t="s">
        <v>24517</v>
      </c>
      <c r="R3453" s="33" t="s">
        <v>94</v>
      </c>
      <c r="S3453" s="33" t="s">
        <v>22</v>
      </c>
      <c r="T3453" s="33" t="s">
        <v>26781</v>
      </c>
      <c r="U3453" s="33" t="s">
        <v>26570</v>
      </c>
      <c r="V3453" s="33" t="s">
        <v>26574</v>
      </c>
      <c r="W3453" s="33" t="s">
        <v>94</v>
      </c>
      <c r="X3453" s="33">
        <v>2063</v>
      </c>
      <c r="Z3453" s="33" t="s">
        <v>42966</v>
      </c>
      <c r="AA3453" s="33">
        <v>4212</v>
      </c>
    </row>
    <row r="3454" spans="1:27" ht="12" customHeight="1" x14ac:dyDescent="0.15">
      <c r="A3454" s="33" t="s">
        <v>24576</v>
      </c>
      <c r="B3454" s="33">
        <v>24</v>
      </c>
      <c r="C3454" s="33" t="s">
        <v>14</v>
      </c>
      <c r="D3454" s="33" t="s">
        <v>42</v>
      </c>
      <c r="F3454" s="67">
        <v>42694</v>
      </c>
      <c r="G3454" s="33" t="s">
        <v>24559</v>
      </c>
      <c r="H3454" s="33" t="s">
        <v>532</v>
      </c>
      <c r="I3454" s="33" t="s">
        <v>67</v>
      </c>
      <c r="J3454" s="33">
        <v>78240</v>
      </c>
      <c r="K3454" s="33" t="s">
        <v>533</v>
      </c>
      <c r="L3454" s="33" t="s">
        <v>534</v>
      </c>
      <c r="M3454" s="33" t="s">
        <v>21</v>
      </c>
      <c r="N3454" s="33" t="s">
        <v>24518</v>
      </c>
      <c r="O3454" s="33" t="s">
        <v>372</v>
      </c>
      <c r="P3454" s="33" t="s">
        <v>30089</v>
      </c>
      <c r="Q3454" s="40" t="s">
        <v>24519</v>
      </c>
      <c r="R3454" s="33" t="s">
        <v>94</v>
      </c>
      <c r="S3454" s="33" t="s">
        <v>22</v>
      </c>
      <c r="T3454" s="33" t="s">
        <v>26781</v>
      </c>
      <c r="U3454" s="33" t="s">
        <v>26572</v>
      </c>
      <c r="V3454" s="33" t="s">
        <v>26573</v>
      </c>
      <c r="W3454" s="33" t="s">
        <v>94</v>
      </c>
      <c r="X3454" s="33">
        <v>2061</v>
      </c>
      <c r="Z3454" s="33" t="s">
        <v>42968</v>
      </c>
      <c r="AA3454" s="33">
        <v>4211</v>
      </c>
    </row>
    <row r="3455" spans="1:27" ht="12" customHeight="1" x14ac:dyDescent="0.15">
      <c r="A3455" s="33" t="s">
        <v>24489</v>
      </c>
      <c r="B3455" s="33">
        <v>29</v>
      </c>
      <c r="C3455" s="33" t="s">
        <v>14</v>
      </c>
      <c r="D3455" s="33" t="s">
        <v>42</v>
      </c>
      <c r="E3455" s="33" t="s">
        <v>24490</v>
      </c>
      <c r="F3455" s="67">
        <v>42693</v>
      </c>
      <c r="G3455" s="33" t="s">
        <v>24557</v>
      </c>
      <c r="H3455" s="33" t="s">
        <v>1751</v>
      </c>
      <c r="I3455" s="33" t="s">
        <v>39</v>
      </c>
      <c r="J3455" s="33">
        <v>92805</v>
      </c>
      <c r="K3455" s="33" t="s">
        <v>998</v>
      </c>
      <c r="L3455" s="33" t="s">
        <v>1753</v>
      </c>
      <c r="M3455" s="33" t="s">
        <v>21</v>
      </c>
      <c r="N3455" s="33" t="s">
        <v>24491</v>
      </c>
      <c r="O3455" s="33" t="s">
        <v>372</v>
      </c>
      <c r="P3455" s="33" t="s">
        <v>30089</v>
      </c>
      <c r="Q3455" s="40" t="s">
        <v>24492</v>
      </c>
      <c r="R3455" s="33" t="s">
        <v>94</v>
      </c>
      <c r="S3455" s="33" t="s">
        <v>351</v>
      </c>
      <c r="T3455" s="33" t="s">
        <v>26867</v>
      </c>
      <c r="U3455" s="33" t="s">
        <v>26572</v>
      </c>
      <c r="V3455" s="33" t="s">
        <v>26574</v>
      </c>
      <c r="W3455" s="33" t="s">
        <v>512</v>
      </c>
      <c r="X3455" s="33">
        <v>2053</v>
      </c>
      <c r="Z3455" s="33" t="s">
        <v>42966</v>
      </c>
      <c r="AA3455" s="33">
        <v>4210</v>
      </c>
    </row>
    <row r="3456" spans="1:27" ht="12" customHeight="1" x14ac:dyDescent="0.15">
      <c r="A3456" s="33" t="s">
        <v>24493</v>
      </c>
      <c r="B3456" s="33">
        <v>21</v>
      </c>
      <c r="C3456" s="33" t="s">
        <v>14</v>
      </c>
      <c r="D3456" s="33" t="s">
        <v>79</v>
      </c>
      <c r="E3456" s="33" t="s">
        <v>24494</v>
      </c>
      <c r="F3456" s="67">
        <v>42693</v>
      </c>
      <c r="G3456" s="33" t="s">
        <v>24495</v>
      </c>
      <c r="H3456" s="33" t="s">
        <v>1599</v>
      </c>
      <c r="I3456" s="33" t="s">
        <v>395</v>
      </c>
      <c r="J3456" s="33">
        <v>11212</v>
      </c>
      <c r="K3456" s="33" t="s">
        <v>1601</v>
      </c>
      <c r="L3456" s="33" t="s">
        <v>539</v>
      </c>
      <c r="M3456" s="33" t="s">
        <v>21</v>
      </c>
      <c r="N3456" s="33" t="s">
        <v>24496</v>
      </c>
      <c r="O3456" s="33" t="s">
        <v>372</v>
      </c>
      <c r="P3456" s="33" t="s">
        <v>30089</v>
      </c>
      <c r="Q3456" s="40" t="s">
        <v>24497</v>
      </c>
      <c r="R3456" s="33" t="s">
        <v>512</v>
      </c>
      <c r="S3456" s="33" t="s">
        <v>22</v>
      </c>
      <c r="T3456" s="33" t="s">
        <v>26592</v>
      </c>
      <c r="U3456" s="33" t="s">
        <v>26572</v>
      </c>
      <c r="V3456" s="33" t="s">
        <v>26573</v>
      </c>
      <c r="W3456" s="33" t="s">
        <v>94</v>
      </c>
      <c r="X3456" s="33">
        <v>2062</v>
      </c>
      <c r="Z3456" s="33" t="s">
        <v>42966</v>
      </c>
      <c r="AA3456" s="33">
        <v>4207</v>
      </c>
    </row>
    <row r="3457" spans="1:27" ht="12" customHeight="1" x14ac:dyDescent="0.15">
      <c r="A3457" s="33" t="s">
        <v>24502</v>
      </c>
      <c r="B3457" s="33">
        <v>55</v>
      </c>
      <c r="C3457" s="33" t="s">
        <v>14</v>
      </c>
      <c r="D3457" s="33" t="s">
        <v>30751</v>
      </c>
      <c r="F3457" s="67">
        <v>42693</v>
      </c>
      <c r="G3457" s="33" t="s">
        <v>24503</v>
      </c>
      <c r="H3457" s="33" t="s">
        <v>2381</v>
      </c>
      <c r="I3457" s="33" t="s">
        <v>367</v>
      </c>
      <c r="J3457" s="33">
        <v>73018</v>
      </c>
      <c r="K3457" s="33" t="s">
        <v>2382</v>
      </c>
      <c r="L3457" s="33" t="s">
        <v>24504</v>
      </c>
      <c r="M3457" s="33" t="s">
        <v>21</v>
      </c>
      <c r="N3457" s="33" t="s">
        <v>24505</v>
      </c>
      <c r="O3457" s="33" t="s">
        <v>372</v>
      </c>
      <c r="P3457" s="33" t="s">
        <v>30089</v>
      </c>
      <c r="Q3457" s="40" t="s">
        <v>24506</v>
      </c>
      <c r="R3457" s="33" t="s">
        <v>94</v>
      </c>
      <c r="S3457" s="33" t="s">
        <v>22</v>
      </c>
      <c r="T3457" s="33" t="s">
        <v>26781</v>
      </c>
      <c r="U3457" s="33" t="s">
        <v>26572</v>
      </c>
      <c r="V3457" s="33" t="s">
        <v>26573</v>
      </c>
      <c r="W3457" s="33" t="s">
        <v>94</v>
      </c>
      <c r="X3457" s="33">
        <v>2055</v>
      </c>
      <c r="Z3457" s="33" t="s">
        <v>42967</v>
      </c>
      <c r="AA3457" s="33">
        <v>4208</v>
      </c>
    </row>
    <row r="3458" spans="1:27" ht="12" customHeight="1" x14ac:dyDescent="0.15">
      <c r="A3458" s="33" t="s">
        <v>24507</v>
      </c>
      <c r="B3458" s="33">
        <v>15</v>
      </c>
      <c r="C3458" s="33" t="s">
        <v>14</v>
      </c>
      <c r="D3458" s="33" t="s">
        <v>885</v>
      </c>
      <c r="E3458" s="33" t="s">
        <v>24508</v>
      </c>
      <c r="F3458" s="67">
        <v>42693</v>
      </c>
      <c r="G3458" s="33" t="s">
        <v>24509</v>
      </c>
      <c r="H3458" s="33" t="s">
        <v>24510</v>
      </c>
      <c r="I3458" s="33" t="s">
        <v>39</v>
      </c>
      <c r="J3458" s="33">
        <v>95076</v>
      </c>
      <c r="K3458" s="33" t="s">
        <v>1270</v>
      </c>
      <c r="L3458" s="33" t="s">
        <v>1271</v>
      </c>
      <c r="M3458" s="33" t="s">
        <v>4966</v>
      </c>
      <c r="N3458" s="33" t="s">
        <v>24511</v>
      </c>
      <c r="O3458" s="33" t="s">
        <v>372</v>
      </c>
      <c r="P3458" s="33" t="s">
        <v>30089</v>
      </c>
      <c r="Q3458" s="40" t="s">
        <v>24512</v>
      </c>
      <c r="R3458" s="33" t="s">
        <v>23</v>
      </c>
      <c r="S3458" s="33" t="s">
        <v>22</v>
      </c>
      <c r="T3458" s="33" t="s">
        <v>26774</v>
      </c>
      <c r="U3458" s="33" t="s">
        <v>26570</v>
      </c>
      <c r="V3458" s="33" t="s">
        <v>26574</v>
      </c>
      <c r="W3458" s="33" t="s">
        <v>512</v>
      </c>
      <c r="X3458" s="33">
        <v>2054</v>
      </c>
      <c r="Z3458" s="33" t="s">
        <v>42968</v>
      </c>
      <c r="AA3458" s="33">
        <v>4209</v>
      </c>
    </row>
    <row r="3459" spans="1:27" ht="12" customHeight="1" x14ac:dyDescent="0.15">
      <c r="A3459" s="33" t="s">
        <v>24467</v>
      </c>
      <c r="B3459" s="33">
        <v>48</v>
      </c>
      <c r="C3459" s="33" t="s">
        <v>14</v>
      </c>
      <c r="D3459" s="33" t="s">
        <v>79</v>
      </c>
      <c r="E3459" s="33" t="s">
        <v>24468</v>
      </c>
      <c r="F3459" s="67">
        <v>42692</v>
      </c>
      <c r="G3459" s="33" t="s">
        <v>24469</v>
      </c>
      <c r="H3459" s="33" t="s">
        <v>24470</v>
      </c>
      <c r="I3459" s="33" t="s">
        <v>112</v>
      </c>
      <c r="J3459" s="33">
        <v>85122</v>
      </c>
      <c r="K3459" s="33" t="s">
        <v>2223</v>
      </c>
      <c r="L3459" s="33" t="s">
        <v>24471</v>
      </c>
      <c r="M3459" s="33" t="s">
        <v>4966</v>
      </c>
      <c r="N3459" s="33" t="s">
        <v>24472</v>
      </c>
      <c r="O3459" s="33" t="s">
        <v>372</v>
      </c>
      <c r="P3459" s="33" t="s">
        <v>30089</v>
      </c>
      <c r="Q3459" s="40" t="s">
        <v>24473</v>
      </c>
      <c r="R3459" s="33" t="s">
        <v>512</v>
      </c>
      <c r="S3459" s="33" t="s">
        <v>22</v>
      </c>
      <c r="T3459" s="33" t="s">
        <v>26593</v>
      </c>
      <c r="U3459" s="33" t="s">
        <v>26570</v>
      </c>
      <c r="V3459" s="33" t="s">
        <v>26573</v>
      </c>
      <c r="W3459" s="33" t="s">
        <v>94</v>
      </c>
      <c r="X3459" s="33">
        <v>2058</v>
      </c>
      <c r="Z3459" s="33" t="s">
        <v>42968</v>
      </c>
      <c r="AA3459" s="33">
        <v>4206</v>
      </c>
    </row>
    <row r="3460" spans="1:27" ht="12" customHeight="1" x14ac:dyDescent="0.15">
      <c r="A3460" s="33" t="s">
        <v>24498</v>
      </c>
      <c r="B3460" s="33">
        <v>26</v>
      </c>
      <c r="C3460" s="33" t="s">
        <v>14</v>
      </c>
      <c r="D3460" s="33" t="s">
        <v>79</v>
      </c>
      <c r="E3460" s="33" t="s">
        <v>24499</v>
      </c>
      <c r="F3460" s="67">
        <v>42692</v>
      </c>
      <c r="G3460" s="33" t="s">
        <v>24558</v>
      </c>
      <c r="H3460" s="33" t="s">
        <v>81</v>
      </c>
      <c r="I3460" s="33" t="s">
        <v>38</v>
      </c>
      <c r="J3460" s="33">
        <v>60636</v>
      </c>
      <c r="K3460" s="33" t="s">
        <v>82</v>
      </c>
      <c r="L3460" s="33" t="s">
        <v>83</v>
      </c>
      <c r="M3460" s="33" t="s">
        <v>21</v>
      </c>
      <c r="N3460" s="33" t="s">
        <v>24500</v>
      </c>
      <c r="O3460" s="33" t="s">
        <v>372</v>
      </c>
      <c r="P3460" s="33" t="s">
        <v>30089</v>
      </c>
      <c r="Q3460" s="40" t="s">
        <v>24501</v>
      </c>
      <c r="R3460" s="33" t="s">
        <v>94</v>
      </c>
      <c r="S3460" s="33" t="s">
        <v>22</v>
      </c>
      <c r="T3460" s="33" t="s">
        <v>26781</v>
      </c>
      <c r="U3460" s="33" t="s">
        <v>26572</v>
      </c>
      <c r="V3460" s="33" t="s">
        <v>26573</v>
      </c>
      <c r="W3460" s="33" t="s">
        <v>94</v>
      </c>
      <c r="X3460" s="33">
        <v>2059</v>
      </c>
      <c r="Z3460" s="33" t="s">
        <v>42966</v>
      </c>
      <c r="AA3460" s="33">
        <v>4203</v>
      </c>
    </row>
    <row r="3461" spans="1:27" ht="12" customHeight="1" x14ac:dyDescent="0.15">
      <c r="A3461" s="33" t="s">
        <v>24485</v>
      </c>
      <c r="B3461" s="33">
        <v>25</v>
      </c>
      <c r="C3461" s="33" t="s">
        <v>14</v>
      </c>
      <c r="D3461" s="33" t="s">
        <v>79</v>
      </c>
      <c r="E3461" s="33" t="s">
        <v>24486</v>
      </c>
      <c r="F3461" s="67">
        <v>42692</v>
      </c>
      <c r="G3461" s="33" t="s">
        <v>24556</v>
      </c>
      <c r="H3461" s="33" t="s">
        <v>21514</v>
      </c>
      <c r="I3461" s="33" t="s">
        <v>56</v>
      </c>
      <c r="J3461" s="33">
        <v>34983</v>
      </c>
      <c r="K3461" s="33" t="s">
        <v>2993</v>
      </c>
      <c r="L3461" s="33" t="s">
        <v>21515</v>
      </c>
      <c r="M3461" s="33" t="s">
        <v>4966</v>
      </c>
      <c r="N3461" s="33" t="s">
        <v>24487</v>
      </c>
      <c r="O3461" s="33" t="s">
        <v>372</v>
      </c>
      <c r="P3461" s="33" t="s">
        <v>30089</v>
      </c>
      <c r="Q3461" s="40" t="s">
        <v>24488</v>
      </c>
      <c r="R3461" s="33" t="s">
        <v>512</v>
      </c>
      <c r="S3461" s="33" t="s">
        <v>22</v>
      </c>
      <c r="T3461" s="33" t="s">
        <v>26593</v>
      </c>
      <c r="U3461" s="33" t="s">
        <v>26570</v>
      </c>
      <c r="V3461" s="33" t="s">
        <v>26573</v>
      </c>
      <c r="W3461" s="33" t="s">
        <v>94</v>
      </c>
      <c r="X3461" s="33">
        <v>2056</v>
      </c>
      <c r="Z3461" s="33" t="s">
        <v>42968</v>
      </c>
      <c r="AA3461" s="33">
        <v>4205</v>
      </c>
    </row>
    <row r="3462" spans="1:27" ht="12" customHeight="1" x14ac:dyDescent="0.15">
      <c r="A3462" s="33" t="s">
        <v>24474</v>
      </c>
      <c r="B3462" s="33">
        <v>35</v>
      </c>
      <c r="C3462" s="33" t="s">
        <v>14</v>
      </c>
      <c r="D3462" s="33" t="s">
        <v>31</v>
      </c>
      <c r="E3462" s="33" t="s">
        <v>24475</v>
      </c>
      <c r="F3462" s="67">
        <v>42692</v>
      </c>
      <c r="G3462" s="33" t="s">
        <v>24476</v>
      </c>
      <c r="H3462" s="33" t="s">
        <v>22048</v>
      </c>
      <c r="I3462" s="33" t="s">
        <v>56</v>
      </c>
      <c r="J3462" s="33">
        <v>32548</v>
      </c>
      <c r="K3462" s="33" t="s">
        <v>11165</v>
      </c>
      <c r="L3462" s="33" t="s">
        <v>247</v>
      </c>
      <c r="M3462" s="33" t="s">
        <v>4966</v>
      </c>
      <c r="N3462" s="33" t="s">
        <v>24477</v>
      </c>
      <c r="O3462" s="33" t="s">
        <v>372</v>
      </c>
      <c r="P3462" s="33" t="s">
        <v>30089</v>
      </c>
      <c r="Q3462" s="40" t="s">
        <v>24478</v>
      </c>
      <c r="R3462" s="33" t="s">
        <v>512</v>
      </c>
      <c r="S3462" s="33" t="s">
        <v>22</v>
      </c>
      <c r="T3462" s="33" t="s">
        <v>26781</v>
      </c>
      <c r="U3462" s="33" t="s">
        <v>26570</v>
      </c>
      <c r="V3462" s="33" t="s">
        <v>26573</v>
      </c>
      <c r="W3462" s="33" t="s">
        <v>94</v>
      </c>
      <c r="X3462" s="33">
        <v>2052</v>
      </c>
      <c r="Z3462" s="33" t="s">
        <v>42968</v>
      </c>
      <c r="AA3462" s="33">
        <v>4204</v>
      </c>
    </row>
    <row r="3463" spans="1:27" ht="12" customHeight="1" x14ac:dyDescent="0.15">
      <c r="A3463" s="33" t="s">
        <v>24479</v>
      </c>
      <c r="B3463" s="33">
        <v>25</v>
      </c>
      <c r="C3463" s="33" t="s">
        <v>14</v>
      </c>
      <c r="D3463" s="33" t="s">
        <v>79</v>
      </c>
      <c r="E3463" s="33" t="s">
        <v>24480</v>
      </c>
      <c r="F3463" s="67">
        <v>42692</v>
      </c>
      <c r="G3463" s="33" t="s">
        <v>24555</v>
      </c>
      <c r="H3463" s="33" t="s">
        <v>24481</v>
      </c>
      <c r="I3463" s="33" t="s">
        <v>160</v>
      </c>
      <c r="J3463" s="33">
        <v>31316</v>
      </c>
      <c r="K3463" s="33" t="s">
        <v>24482</v>
      </c>
      <c r="L3463" s="33" t="s">
        <v>5161</v>
      </c>
      <c r="M3463" s="33" t="s">
        <v>21</v>
      </c>
      <c r="N3463" s="33" t="s">
        <v>24483</v>
      </c>
      <c r="O3463" s="33" t="s">
        <v>372</v>
      </c>
      <c r="P3463" s="33" t="s">
        <v>30089</v>
      </c>
      <c r="Q3463" s="40" t="s">
        <v>24484</v>
      </c>
      <c r="R3463" s="33" t="s">
        <v>94</v>
      </c>
      <c r="S3463" s="33" t="s">
        <v>22</v>
      </c>
      <c r="T3463" s="33" t="s">
        <v>26781</v>
      </c>
      <c r="U3463" s="33" t="s">
        <v>26572</v>
      </c>
      <c r="V3463" s="33" t="s">
        <v>26573</v>
      </c>
      <c r="W3463" s="33" t="s">
        <v>94</v>
      </c>
      <c r="X3463" s="33">
        <v>2057</v>
      </c>
      <c r="Z3463" s="33" t="s">
        <v>42967</v>
      </c>
      <c r="AA3463" s="33">
        <v>4202</v>
      </c>
    </row>
    <row r="3464" spans="1:27" ht="12" customHeight="1" x14ac:dyDescent="0.15">
      <c r="A3464" s="33" t="s">
        <v>24461</v>
      </c>
      <c r="B3464" s="33">
        <v>37</v>
      </c>
      <c r="C3464" s="33" t="s">
        <v>14</v>
      </c>
      <c r="D3464" s="33" t="s">
        <v>42</v>
      </c>
      <c r="F3464" s="67">
        <v>42690</v>
      </c>
      <c r="G3464" s="33" t="s">
        <v>24462</v>
      </c>
      <c r="H3464" s="33" t="s">
        <v>907</v>
      </c>
      <c r="I3464" s="33" t="s">
        <v>39</v>
      </c>
      <c r="J3464" s="33">
        <v>90602</v>
      </c>
      <c r="K3464" s="33" t="s">
        <v>92</v>
      </c>
      <c r="L3464" s="33" t="s">
        <v>24463</v>
      </c>
      <c r="M3464" s="33" t="s">
        <v>21</v>
      </c>
      <c r="N3464" s="33" t="s">
        <v>24464</v>
      </c>
      <c r="O3464" s="33" t="s">
        <v>372</v>
      </c>
      <c r="P3464" s="33" t="s">
        <v>30089</v>
      </c>
      <c r="Q3464" s="40" t="s">
        <v>24465</v>
      </c>
      <c r="R3464" s="33" t="s">
        <v>23</v>
      </c>
      <c r="S3464" s="33" t="s">
        <v>22</v>
      </c>
      <c r="T3464" s="33" t="s">
        <v>26593</v>
      </c>
      <c r="U3464" s="33" t="s">
        <v>26570</v>
      </c>
      <c r="V3464" s="33" t="s">
        <v>26573</v>
      </c>
      <c r="W3464" s="33" t="s">
        <v>94</v>
      </c>
      <c r="X3464" s="33">
        <v>2050</v>
      </c>
      <c r="Z3464" s="33" t="s">
        <v>42968</v>
      </c>
      <c r="AA3464" s="33">
        <v>4201</v>
      </c>
    </row>
    <row r="3465" spans="1:27" ht="12" customHeight="1" x14ac:dyDescent="0.15">
      <c r="A3465" s="33" t="s">
        <v>24452</v>
      </c>
      <c r="B3465" s="33">
        <v>56</v>
      </c>
      <c r="C3465" s="33" t="s">
        <v>14</v>
      </c>
      <c r="D3465" s="33" t="s">
        <v>31</v>
      </c>
      <c r="F3465" s="67">
        <v>42690</v>
      </c>
      <c r="G3465" s="33" t="s">
        <v>24453</v>
      </c>
      <c r="H3465" s="33" t="s">
        <v>6885</v>
      </c>
      <c r="I3465" s="33" t="s">
        <v>39</v>
      </c>
      <c r="J3465" s="33">
        <v>96002</v>
      </c>
      <c r="K3465" s="33" t="s">
        <v>6887</v>
      </c>
      <c r="L3465" s="33" t="s">
        <v>6888</v>
      </c>
      <c r="M3465" s="33" t="s">
        <v>21</v>
      </c>
      <c r="N3465" s="33" t="s">
        <v>36661</v>
      </c>
      <c r="O3465" s="33" t="s">
        <v>372</v>
      </c>
      <c r="P3465" s="33" t="s">
        <v>30089</v>
      </c>
      <c r="Q3465" s="40" t="s">
        <v>24454</v>
      </c>
      <c r="R3465" s="33" t="s">
        <v>23</v>
      </c>
      <c r="S3465" s="33" t="s">
        <v>22</v>
      </c>
      <c r="T3465" s="33" t="s">
        <v>26781</v>
      </c>
      <c r="U3465" s="33" t="s">
        <v>26570</v>
      </c>
      <c r="V3465" s="33" t="s">
        <v>26573</v>
      </c>
      <c r="W3465" s="33" t="s">
        <v>94</v>
      </c>
      <c r="X3465" s="33">
        <v>2051</v>
      </c>
      <c r="Z3465" s="33" t="s">
        <v>42966</v>
      </c>
      <c r="AA3465" s="33">
        <v>4200</v>
      </c>
    </row>
    <row r="3466" spans="1:27" ht="12" customHeight="1" x14ac:dyDescent="0.15">
      <c r="A3466" s="33" t="s">
        <v>24455</v>
      </c>
      <c r="B3466" s="33">
        <v>39</v>
      </c>
      <c r="C3466" s="33" t="s">
        <v>14</v>
      </c>
      <c r="D3466" s="33" t="s">
        <v>31</v>
      </c>
      <c r="E3466" s="33" t="s">
        <v>24456</v>
      </c>
      <c r="F3466" s="67">
        <v>42690</v>
      </c>
      <c r="G3466" s="33" t="s">
        <v>24457</v>
      </c>
      <c r="H3466" s="33" t="s">
        <v>10132</v>
      </c>
      <c r="I3466" s="33" t="s">
        <v>402</v>
      </c>
      <c r="J3466" s="33">
        <v>64503</v>
      </c>
      <c r="K3466" s="33" t="s">
        <v>10134</v>
      </c>
      <c r="L3466" s="33" t="s">
        <v>24458</v>
      </c>
      <c r="M3466" s="33" t="s">
        <v>363</v>
      </c>
      <c r="N3466" s="33" t="s">
        <v>24459</v>
      </c>
      <c r="O3466" s="33" t="s">
        <v>372</v>
      </c>
      <c r="P3466" s="33" t="s">
        <v>30089</v>
      </c>
      <c r="Q3466" s="40" t="s">
        <v>24460</v>
      </c>
      <c r="R3466" s="33" t="s">
        <v>23</v>
      </c>
      <c r="S3466" s="33" t="s">
        <v>22</v>
      </c>
      <c r="T3466" s="33" t="s">
        <v>29865</v>
      </c>
      <c r="U3466" s="33" t="s">
        <v>26572</v>
      </c>
      <c r="V3466" s="33" t="s">
        <v>26573</v>
      </c>
      <c r="Z3466" s="33" t="s">
        <v>42968</v>
      </c>
      <c r="AA3466" s="33">
        <v>4199</v>
      </c>
    </row>
    <row r="3467" spans="1:27" ht="12" customHeight="1" x14ac:dyDescent="0.15">
      <c r="A3467" s="33" t="s">
        <v>24440</v>
      </c>
      <c r="B3467" s="33">
        <v>48</v>
      </c>
      <c r="C3467" s="33" t="s">
        <v>14</v>
      </c>
      <c r="D3467" s="33" t="s">
        <v>30751</v>
      </c>
      <c r="F3467" s="67">
        <v>42689</v>
      </c>
      <c r="G3467" s="33" t="s">
        <v>24441</v>
      </c>
      <c r="H3467" s="33" t="s">
        <v>16293</v>
      </c>
      <c r="I3467" s="33" t="s">
        <v>39</v>
      </c>
      <c r="J3467" s="33">
        <v>92591</v>
      </c>
      <c r="K3467" s="33" t="s">
        <v>728</v>
      </c>
      <c r="L3467" s="33" t="s">
        <v>729</v>
      </c>
      <c r="M3467" s="33" t="s">
        <v>21</v>
      </c>
      <c r="N3467" s="33" t="s">
        <v>24442</v>
      </c>
      <c r="O3467" s="33" t="s">
        <v>372</v>
      </c>
      <c r="P3467" s="33" t="s">
        <v>30089</v>
      </c>
      <c r="Q3467" s="40" t="s">
        <v>24443</v>
      </c>
      <c r="R3467" s="33" t="s">
        <v>94</v>
      </c>
      <c r="S3467" s="33" t="s">
        <v>22</v>
      </c>
      <c r="T3467" s="33" t="s">
        <v>26774</v>
      </c>
      <c r="U3467" s="33" t="s">
        <v>26570</v>
      </c>
      <c r="V3467" s="33" t="s">
        <v>26573</v>
      </c>
      <c r="W3467" s="33" t="s">
        <v>94</v>
      </c>
      <c r="X3467" s="33">
        <v>2047</v>
      </c>
      <c r="Z3467" s="33" t="s">
        <v>42968</v>
      </c>
      <c r="AA3467" s="33">
        <v>4197</v>
      </c>
    </row>
    <row r="3468" spans="1:27" ht="12" customHeight="1" x14ac:dyDescent="0.15">
      <c r="A3468" s="33" t="s">
        <v>24444</v>
      </c>
      <c r="B3468" s="33">
        <v>37</v>
      </c>
      <c r="C3468" s="33" t="s">
        <v>14</v>
      </c>
      <c r="D3468" s="33" t="s">
        <v>31</v>
      </c>
      <c r="F3468" s="67">
        <v>42689</v>
      </c>
      <c r="G3468" s="33" t="s">
        <v>24445</v>
      </c>
      <c r="H3468" s="33" t="s">
        <v>3011</v>
      </c>
      <c r="I3468" s="33" t="s">
        <v>67</v>
      </c>
      <c r="J3468" s="33">
        <v>77598</v>
      </c>
      <c r="K3468" s="33" t="s">
        <v>515</v>
      </c>
      <c r="L3468" s="33" t="s">
        <v>3013</v>
      </c>
      <c r="M3468" s="33" t="s">
        <v>21</v>
      </c>
      <c r="N3468" s="33" t="s">
        <v>24446</v>
      </c>
      <c r="O3468" s="33" t="s">
        <v>372</v>
      </c>
      <c r="P3468" s="33" t="s">
        <v>30089</v>
      </c>
      <c r="Q3468" s="40" t="s">
        <v>24447</v>
      </c>
      <c r="R3468" s="33" t="s">
        <v>94</v>
      </c>
      <c r="S3468" s="33" t="s">
        <v>22</v>
      </c>
      <c r="T3468" s="33" t="s">
        <v>26781</v>
      </c>
      <c r="U3468" s="33" t="s">
        <v>26572</v>
      </c>
      <c r="V3468" s="33" t="s">
        <v>26573</v>
      </c>
      <c r="W3468" s="33" t="s">
        <v>94</v>
      </c>
      <c r="X3468" s="33">
        <v>2049</v>
      </c>
      <c r="Z3468" s="33" t="s">
        <v>42968</v>
      </c>
      <c r="AA3468" s="33">
        <v>4196</v>
      </c>
    </row>
    <row r="3469" spans="1:27" ht="12" customHeight="1" x14ac:dyDescent="0.15">
      <c r="A3469" s="33" t="s">
        <v>24448</v>
      </c>
      <c r="B3469" s="33">
        <v>25</v>
      </c>
      <c r="C3469" s="33" t="s">
        <v>14</v>
      </c>
      <c r="D3469" s="33" t="s">
        <v>79</v>
      </c>
      <c r="F3469" s="67">
        <v>42689</v>
      </c>
      <c r="G3469" s="33" t="s">
        <v>24449</v>
      </c>
      <c r="H3469" s="33" t="s">
        <v>1499</v>
      </c>
      <c r="I3469" s="33" t="s">
        <v>376</v>
      </c>
      <c r="J3469" s="33">
        <v>17406</v>
      </c>
      <c r="K3469" s="33" t="s">
        <v>1499</v>
      </c>
      <c r="L3469" s="33" t="s">
        <v>473</v>
      </c>
      <c r="M3469" s="33" t="s">
        <v>21</v>
      </c>
      <c r="N3469" s="33" t="s">
        <v>24450</v>
      </c>
      <c r="O3469" s="33" t="s">
        <v>372</v>
      </c>
      <c r="P3469" s="33" t="s">
        <v>30089</v>
      </c>
      <c r="Q3469" s="40" t="s">
        <v>24451</v>
      </c>
      <c r="R3469" s="33" t="s">
        <v>94</v>
      </c>
      <c r="S3469" s="33" t="s">
        <v>351</v>
      </c>
      <c r="T3469" s="33" t="s">
        <v>26867</v>
      </c>
      <c r="U3469" s="33" t="s">
        <v>26570</v>
      </c>
      <c r="V3469" s="33" t="s">
        <v>26571</v>
      </c>
      <c r="W3469" s="33" t="s">
        <v>94</v>
      </c>
      <c r="X3469" s="33">
        <v>2048</v>
      </c>
      <c r="Z3469" s="33" t="s">
        <v>42968</v>
      </c>
      <c r="AA3469" s="33">
        <v>4198</v>
      </c>
    </row>
    <row r="3470" spans="1:27" ht="12" customHeight="1" x14ac:dyDescent="0.15">
      <c r="A3470" s="33" t="s">
        <v>24431</v>
      </c>
      <c r="B3470" s="33">
        <v>21</v>
      </c>
      <c r="C3470" s="33" t="s">
        <v>14</v>
      </c>
      <c r="D3470" s="33" t="s">
        <v>42</v>
      </c>
      <c r="E3470" s="33" t="s">
        <v>24432</v>
      </c>
      <c r="F3470" s="67">
        <v>42687</v>
      </c>
      <c r="G3470" s="33" t="s">
        <v>24433</v>
      </c>
      <c r="H3470" s="33" t="s">
        <v>1027</v>
      </c>
      <c r="I3470" s="33" t="s">
        <v>367</v>
      </c>
      <c r="J3470" s="33">
        <v>73139</v>
      </c>
      <c r="K3470" s="33" t="s">
        <v>1028</v>
      </c>
      <c r="L3470" s="33" t="s">
        <v>1029</v>
      </c>
      <c r="M3470" s="33" t="s">
        <v>21</v>
      </c>
      <c r="N3470" s="33" t="s">
        <v>24434</v>
      </c>
      <c r="O3470" s="33" t="s">
        <v>372</v>
      </c>
      <c r="P3470" s="33" t="s">
        <v>30089</v>
      </c>
      <c r="Q3470" s="40" t="s">
        <v>24435</v>
      </c>
      <c r="R3470" s="33" t="s">
        <v>94</v>
      </c>
      <c r="S3470" s="33" t="s">
        <v>22</v>
      </c>
      <c r="T3470" s="33" t="s">
        <v>26781</v>
      </c>
      <c r="U3470" s="33" t="s">
        <v>26572</v>
      </c>
      <c r="V3470" s="33" t="s">
        <v>26573</v>
      </c>
      <c r="W3470" s="33" t="s">
        <v>94</v>
      </c>
      <c r="X3470" s="33">
        <v>2041</v>
      </c>
      <c r="Z3470" s="33" t="s">
        <v>42968</v>
      </c>
      <c r="AA3470" s="33">
        <v>4195</v>
      </c>
    </row>
    <row r="3471" spans="1:27" ht="12" customHeight="1" x14ac:dyDescent="0.15">
      <c r="A3471" s="33" t="s">
        <v>26721</v>
      </c>
      <c r="B3471" s="33">
        <v>38</v>
      </c>
      <c r="C3471" s="33" t="s">
        <v>14</v>
      </c>
      <c r="D3471" s="33" t="s">
        <v>30751</v>
      </c>
      <c r="F3471" s="67">
        <v>42687</v>
      </c>
      <c r="G3471" s="33" t="s">
        <v>29897</v>
      </c>
      <c r="H3471" s="33" t="s">
        <v>26720</v>
      </c>
      <c r="I3471" s="33" t="s">
        <v>376</v>
      </c>
      <c r="J3471" s="33">
        <v>17815</v>
      </c>
      <c r="K3471" s="33" t="s">
        <v>45</v>
      </c>
      <c r="L3471" s="33" t="s">
        <v>29896</v>
      </c>
      <c r="M3471" s="33" t="s">
        <v>4966</v>
      </c>
      <c r="N3471" s="33" t="s">
        <v>29895</v>
      </c>
      <c r="O3471" s="33" t="s">
        <v>372</v>
      </c>
      <c r="P3471" s="33" t="s">
        <v>30089</v>
      </c>
      <c r="Q3471" s="40" t="s">
        <v>29894</v>
      </c>
      <c r="R3471" s="33" t="s">
        <v>512</v>
      </c>
      <c r="S3471" s="33" t="s">
        <v>22</v>
      </c>
      <c r="T3471" s="33" t="s">
        <v>26580</v>
      </c>
      <c r="U3471" s="33" t="s">
        <v>26572</v>
      </c>
      <c r="V3471" s="33" t="s">
        <v>26573</v>
      </c>
      <c r="W3471" s="33" t="s">
        <v>94</v>
      </c>
      <c r="X3471" s="33">
        <v>2124</v>
      </c>
      <c r="Z3471" s="33" t="s">
        <v>42967</v>
      </c>
      <c r="AA3471" s="33">
        <v>4193</v>
      </c>
    </row>
    <row r="3472" spans="1:27" ht="12" customHeight="1" x14ac:dyDescent="0.15">
      <c r="A3472" s="33" t="s">
        <v>24436</v>
      </c>
      <c r="B3472" s="33">
        <v>22</v>
      </c>
      <c r="C3472" s="33" t="s">
        <v>14</v>
      </c>
      <c r="D3472" s="33" t="s">
        <v>42</v>
      </c>
      <c r="F3472" s="67">
        <v>42687</v>
      </c>
      <c r="G3472" s="33" t="s">
        <v>24554</v>
      </c>
      <c r="H3472" s="33" t="s">
        <v>143</v>
      </c>
      <c r="I3472" s="33" t="s">
        <v>39</v>
      </c>
      <c r="J3472" s="33">
        <v>92105</v>
      </c>
      <c r="K3472" s="33" t="s">
        <v>143</v>
      </c>
      <c r="L3472" s="33" t="s">
        <v>144</v>
      </c>
      <c r="M3472" s="33" t="s">
        <v>21</v>
      </c>
      <c r="N3472" s="33" t="s">
        <v>24437</v>
      </c>
      <c r="O3472" s="33" t="s">
        <v>372</v>
      </c>
      <c r="P3472" s="33" t="s">
        <v>30089</v>
      </c>
      <c r="Q3472" s="40" t="s">
        <v>24438</v>
      </c>
      <c r="R3472" s="33" t="s">
        <v>94</v>
      </c>
      <c r="S3472" s="33" t="s">
        <v>22</v>
      </c>
      <c r="T3472" s="33" t="s">
        <v>26781</v>
      </c>
      <c r="U3472" s="33" t="s">
        <v>26572</v>
      </c>
      <c r="V3472" s="33" t="s">
        <v>26573</v>
      </c>
      <c r="W3472" s="33" t="s">
        <v>512</v>
      </c>
      <c r="X3472" s="33">
        <v>2040</v>
      </c>
      <c r="Z3472" s="33" t="s">
        <v>42966</v>
      </c>
      <c r="AA3472" s="33">
        <v>4194</v>
      </c>
    </row>
    <row r="3473" spans="1:27" ht="12" customHeight="1" x14ac:dyDescent="0.15">
      <c r="A3473" s="33" t="s">
        <v>24425</v>
      </c>
      <c r="B3473" s="33">
        <v>29</v>
      </c>
      <c r="C3473" s="33" t="s">
        <v>14</v>
      </c>
      <c r="D3473" s="33" t="s">
        <v>42</v>
      </c>
      <c r="E3473" s="33" t="s">
        <v>24426</v>
      </c>
      <c r="F3473" s="67">
        <v>42686</v>
      </c>
      <c r="G3473" s="33" t="s">
        <v>24553</v>
      </c>
      <c r="H3473" s="33" t="s">
        <v>24427</v>
      </c>
      <c r="I3473" s="33" t="s">
        <v>112</v>
      </c>
      <c r="J3473" s="33">
        <v>85629</v>
      </c>
      <c r="K3473" s="33" t="s">
        <v>519</v>
      </c>
      <c r="L3473" s="33" t="s">
        <v>24428</v>
      </c>
      <c r="M3473" s="33" t="s">
        <v>21</v>
      </c>
      <c r="N3473" s="33" t="s">
        <v>24429</v>
      </c>
      <c r="O3473" s="33" t="s">
        <v>372</v>
      </c>
      <c r="P3473" s="33" t="s">
        <v>30089</v>
      </c>
      <c r="Q3473" s="40" t="s">
        <v>24430</v>
      </c>
      <c r="R3473" s="33" t="s">
        <v>94</v>
      </c>
      <c r="S3473" s="33" t="s">
        <v>22</v>
      </c>
      <c r="T3473" s="33" t="s">
        <v>26781</v>
      </c>
      <c r="U3473" s="33" t="s">
        <v>26572</v>
      </c>
      <c r="V3473" s="33" t="s">
        <v>26571</v>
      </c>
      <c r="W3473" s="33" t="s">
        <v>94</v>
      </c>
      <c r="X3473" s="33">
        <v>2045</v>
      </c>
      <c r="Z3473" s="33" t="s">
        <v>42968</v>
      </c>
      <c r="AA3473" s="33">
        <v>4192</v>
      </c>
    </row>
    <row r="3474" spans="1:27" ht="12" customHeight="1" x14ac:dyDescent="0.15">
      <c r="A3474" s="33" t="s">
        <v>24421</v>
      </c>
      <c r="B3474" s="33">
        <v>40</v>
      </c>
      <c r="C3474" s="33" t="s">
        <v>14</v>
      </c>
      <c r="D3474" s="33" t="s">
        <v>31</v>
      </c>
      <c r="F3474" s="67">
        <v>42686</v>
      </c>
      <c r="G3474" s="33" t="s">
        <v>24422</v>
      </c>
      <c r="H3474" s="33" t="s">
        <v>4070</v>
      </c>
      <c r="I3474" s="33" t="s">
        <v>309</v>
      </c>
      <c r="J3474" s="33">
        <v>99501</v>
      </c>
      <c r="K3474" s="33" t="s">
        <v>4070</v>
      </c>
      <c r="L3474" s="33" t="s">
        <v>4072</v>
      </c>
      <c r="M3474" s="33" t="s">
        <v>21</v>
      </c>
      <c r="N3474" s="33" t="s">
        <v>24423</v>
      </c>
      <c r="O3474" s="33" t="s">
        <v>372</v>
      </c>
      <c r="P3474" s="33" t="s">
        <v>30089</v>
      </c>
      <c r="Q3474" s="40" t="s">
        <v>24424</v>
      </c>
      <c r="R3474" s="33" t="s">
        <v>94</v>
      </c>
      <c r="S3474" s="33" t="s">
        <v>22</v>
      </c>
      <c r="T3474" s="33" t="s">
        <v>26781</v>
      </c>
      <c r="U3474" s="33" t="s">
        <v>26572</v>
      </c>
      <c r="V3474" s="33" t="s">
        <v>26573</v>
      </c>
      <c r="W3474" s="33" t="s">
        <v>94</v>
      </c>
      <c r="X3474" s="33">
        <v>2042</v>
      </c>
      <c r="Z3474" s="33" t="s">
        <v>42966</v>
      </c>
      <c r="AA3474" s="33">
        <v>4191</v>
      </c>
    </row>
    <row r="3475" spans="1:27" ht="12" customHeight="1" x14ac:dyDescent="0.15">
      <c r="A3475" s="33" t="s">
        <v>24405</v>
      </c>
      <c r="B3475" s="33">
        <v>30</v>
      </c>
      <c r="C3475" s="33" t="s">
        <v>103</v>
      </c>
      <c r="D3475" s="33" t="s">
        <v>31</v>
      </c>
      <c r="E3475" s="33" t="s">
        <v>24406</v>
      </c>
      <c r="F3475" s="67">
        <v>42685</v>
      </c>
      <c r="G3475" s="33" t="s">
        <v>24552</v>
      </c>
      <c r="H3475" s="33" t="s">
        <v>24407</v>
      </c>
      <c r="I3475" s="33" t="s">
        <v>338</v>
      </c>
      <c r="J3475" s="33">
        <v>27526</v>
      </c>
      <c r="K3475" s="33" t="s">
        <v>642</v>
      </c>
      <c r="L3475" s="33" t="s">
        <v>24408</v>
      </c>
      <c r="M3475" s="33" t="s">
        <v>21</v>
      </c>
      <c r="N3475" s="33" t="s">
        <v>24409</v>
      </c>
      <c r="O3475" s="33" t="s">
        <v>23116</v>
      </c>
      <c r="P3475" s="33" t="s">
        <v>30089</v>
      </c>
      <c r="Q3475" s="40" t="s">
        <v>24410</v>
      </c>
      <c r="R3475" s="33" t="s">
        <v>94</v>
      </c>
      <c r="S3475" s="33" t="s">
        <v>12</v>
      </c>
      <c r="T3475" s="33" t="s">
        <v>29705</v>
      </c>
      <c r="U3475" s="33" t="s">
        <v>26570</v>
      </c>
      <c r="V3475" s="33" t="s">
        <v>26573</v>
      </c>
      <c r="Y3475" s="33" t="s">
        <v>42476</v>
      </c>
      <c r="Z3475" s="33" t="s">
        <v>42968</v>
      </c>
      <c r="AA3475" s="33">
        <v>4188</v>
      </c>
    </row>
    <row r="3476" spans="1:27" ht="12" customHeight="1" x14ac:dyDescent="0.15">
      <c r="A3476" s="33" t="s">
        <v>25164</v>
      </c>
      <c r="B3476" s="33" t="s">
        <v>23</v>
      </c>
      <c r="C3476" s="33" t="s">
        <v>14</v>
      </c>
      <c r="D3476" s="33" t="s">
        <v>79</v>
      </c>
      <c r="F3476" s="67">
        <v>42685</v>
      </c>
      <c r="G3476" s="33" t="s">
        <v>24402</v>
      </c>
      <c r="H3476" s="33" t="s">
        <v>7481</v>
      </c>
      <c r="I3476" s="33" t="s">
        <v>160</v>
      </c>
      <c r="J3476" s="33">
        <v>30337</v>
      </c>
      <c r="K3476" s="33" t="s">
        <v>1454</v>
      </c>
      <c r="L3476" s="33" t="s">
        <v>9588</v>
      </c>
      <c r="M3476" s="33" t="s">
        <v>4966</v>
      </c>
      <c r="N3476" s="33" t="s">
        <v>24403</v>
      </c>
      <c r="O3476" s="33" t="s">
        <v>372</v>
      </c>
      <c r="P3476" s="33" t="s">
        <v>30089</v>
      </c>
      <c r="Q3476" s="40" t="s">
        <v>24404</v>
      </c>
      <c r="R3476" s="33" t="s">
        <v>94</v>
      </c>
      <c r="S3476" s="33" t="s">
        <v>29</v>
      </c>
      <c r="T3476" s="33" t="s">
        <v>26575</v>
      </c>
      <c r="U3476" s="33" t="s">
        <v>26575</v>
      </c>
      <c r="V3476" s="33" t="s">
        <v>26573</v>
      </c>
      <c r="W3476" s="33" t="s">
        <v>94</v>
      </c>
      <c r="X3476" s="33">
        <v>2037</v>
      </c>
      <c r="Z3476" s="33" t="s">
        <v>42968</v>
      </c>
      <c r="AA3476" s="33">
        <v>4189</v>
      </c>
    </row>
    <row r="3477" spans="1:27" ht="12" customHeight="1" x14ac:dyDescent="0.15">
      <c r="A3477" s="33" t="s">
        <v>24416</v>
      </c>
      <c r="B3477" s="33">
        <v>47</v>
      </c>
      <c r="C3477" s="33" t="s">
        <v>14</v>
      </c>
      <c r="D3477" s="33" t="s">
        <v>31</v>
      </c>
      <c r="E3477" s="33" t="s">
        <v>24417</v>
      </c>
      <c r="F3477" s="67">
        <v>42685</v>
      </c>
      <c r="I3477" s="33" t="s">
        <v>192</v>
      </c>
      <c r="K3477" s="33" t="s">
        <v>24565</v>
      </c>
      <c r="L3477" s="33" t="s">
        <v>24418</v>
      </c>
      <c r="M3477" s="33" t="s">
        <v>21</v>
      </c>
      <c r="N3477" s="33" t="s">
        <v>24419</v>
      </c>
      <c r="O3477" s="33" t="s">
        <v>372</v>
      </c>
      <c r="P3477" s="33" t="s">
        <v>30089</v>
      </c>
      <c r="Q3477" s="40" t="s">
        <v>24420</v>
      </c>
      <c r="R3477" s="33" t="s">
        <v>23</v>
      </c>
      <c r="S3477" s="33" t="s">
        <v>22</v>
      </c>
      <c r="T3477" s="33" t="s">
        <v>26781</v>
      </c>
      <c r="U3477" s="33" t="s">
        <v>26572</v>
      </c>
      <c r="V3477" s="33" t="s">
        <v>26573</v>
      </c>
      <c r="W3477" s="33" t="s">
        <v>94</v>
      </c>
      <c r="X3477" s="33">
        <v>2046</v>
      </c>
      <c r="Z3477" s="33" t="e">
        <v>#N/A</v>
      </c>
      <c r="AA3477" s="33">
        <v>4187</v>
      </c>
    </row>
    <row r="3478" spans="1:27" ht="12" customHeight="1" x14ac:dyDescent="0.15">
      <c r="A3478" s="33" t="s">
        <v>24397</v>
      </c>
      <c r="B3478" s="33">
        <v>33</v>
      </c>
      <c r="C3478" s="33" t="s">
        <v>14</v>
      </c>
      <c r="D3478" s="33" t="s">
        <v>42</v>
      </c>
      <c r="E3478" s="33" t="s">
        <v>24398</v>
      </c>
      <c r="F3478" s="67">
        <v>42685</v>
      </c>
      <c r="G3478" s="33" t="s">
        <v>24399</v>
      </c>
      <c r="H3478" s="33" t="s">
        <v>3901</v>
      </c>
      <c r="I3478" s="33" t="s">
        <v>735</v>
      </c>
      <c r="J3478" s="33">
        <v>83706</v>
      </c>
      <c r="K3478" s="33" t="s">
        <v>3903</v>
      </c>
      <c r="L3478" s="33" t="s">
        <v>3904</v>
      </c>
      <c r="M3478" s="33" t="s">
        <v>21</v>
      </c>
      <c r="N3478" s="33" t="s">
        <v>24400</v>
      </c>
      <c r="O3478" s="33" t="s">
        <v>372</v>
      </c>
      <c r="P3478" s="33" t="s">
        <v>30089</v>
      </c>
      <c r="Q3478" s="40" t="s">
        <v>24401</v>
      </c>
      <c r="R3478" s="33" t="s">
        <v>94</v>
      </c>
      <c r="S3478" s="33" t="s">
        <v>22</v>
      </c>
      <c r="T3478" s="33" t="s">
        <v>26781</v>
      </c>
      <c r="U3478" s="33" t="s">
        <v>26572</v>
      </c>
      <c r="V3478" s="33" t="s">
        <v>19228</v>
      </c>
      <c r="W3478" s="33" t="s">
        <v>94</v>
      </c>
      <c r="X3478" s="33">
        <v>2043</v>
      </c>
      <c r="Z3478" s="33" t="s">
        <v>42966</v>
      </c>
      <c r="AA3478" s="33">
        <v>4186</v>
      </c>
    </row>
    <row r="3479" spans="1:27" ht="12" customHeight="1" x14ac:dyDescent="0.15">
      <c r="A3479" s="33" t="s">
        <v>24411</v>
      </c>
      <c r="B3479" s="33">
        <v>24</v>
      </c>
      <c r="C3479" s="33" t="s">
        <v>14</v>
      </c>
      <c r="D3479" s="33" t="s">
        <v>31</v>
      </c>
      <c r="E3479" s="33" t="s">
        <v>24412</v>
      </c>
      <c r="F3479" s="67">
        <v>42685</v>
      </c>
      <c r="G3479" s="33" t="s">
        <v>24413</v>
      </c>
      <c r="H3479" s="33" t="s">
        <v>2129</v>
      </c>
      <c r="I3479" s="33" t="s">
        <v>192</v>
      </c>
      <c r="J3479" s="33">
        <v>81501</v>
      </c>
      <c r="K3479" s="33" t="s">
        <v>1337</v>
      </c>
      <c r="L3479" s="33" t="s">
        <v>2131</v>
      </c>
      <c r="M3479" s="33" t="s">
        <v>21</v>
      </c>
      <c r="N3479" s="33" t="s">
        <v>24414</v>
      </c>
      <c r="O3479" s="33" t="s">
        <v>372</v>
      </c>
      <c r="P3479" s="33" t="s">
        <v>30089</v>
      </c>
      <c r="Q3479" s="40" t="s">
        <v>24415</v>
      </c>
      <c r="R3479" s="33" t="s">
        <v>94</v>
      </c>
      <c r="S3479" s="33" t="s">
        <v>351</v>
      </c>
      <c r="T3479" s="33" t="s">
        <v>26867</v>
      </c>
      <c r="U3479" s="33" t="s">
        <v>26572</v>
      </c>
      <c r="V3479" s="33" t="s">
        <v>26571</v>
      </c>
      <c r="W3479" s="33" t="s">
        <v>94</v>
      </c>
      <c r="X3479" s="33">
        <v>2039</v>
      </c>
      <c r="Z3479" s="33" t="s">
        <v>42966</v>
      </c>
      <c r="AA3479" s="33">
        <v>4190</v>
      </c>
    </row>
    <row r="3480" spans="1:27" ht="12" customHeight="1" x14ac:dyDescent="0.15">
      <c r="A3480" s="33" t="s">
        <v>24392</v>
      </c>
      <c r="B3480" s="33">
        <v>41</v>
      </c>
      <c r="C3480" s="33" t="s">
        <v>14</v>
      </c>
      <c r="D3480" s="33" t="s">
        <v>42</v>
      </c>
      <c r="E3480" s="33" t="s">
        <v>24393</v>
      </c>
      <c r="F3480" s="67">
        <v>42684</v>
      </c>
      <c r="G3480" s="33" t="s">
        <v>24394</v>
      </c>
      <c r="H3480" s="33" t="s">
        <v>6660</v>
      </c>
      <c r="I3480" s="33" t="s">
        <v>67</v>
      </c>
      <c r="J3480" s="33">
        <v>76903</v>
      </c>
      <c r="K3480" s="33" t="s">
        <v>6662</v>
      </c>
      <c r="L3480" s="33" t="s">
        <v>6663</v>
      </c>
      <c r="M3480" s="33" t="s">
        <v>21</v>
      </c>
      <c r="N3480" s="33" t="s">
        <v>24395</v>
      </c>
      <c r="O3480" s="33" t="s">
        <v>372</v>
      </c>
      <c r="P3480" s="33" t="s">
        <v>30089</v>
      </c>
      <c r="Q3480" s="40" t="s">
        <v>24396</v>
      </c>
      <c r="R3480" s="33" t="s">
        <v>94</v>
      </c>
      <c r="S3480" s="33" t="s">
        <v>22</v>
      </c>
      <c r="T3480" s="33" t="s">
        <v>26781</v>
      </c>
      <c r="U3480" s="33" t="s">
        <v>26575</v>
      </c>
      <c r="W3480" s="33" t="s">
        <v>94</v>
      </c>
      <c r="X3480" s="33">
        <v>2036</v>
      </c>
      <c r="Z3480" s="33" t="s">
        <v>42966</v>
      </c>
      <c r="AA3480" s="33">
        <v>4184</v>
      </c>
    </row>
    <row r="3481" spans="1:27" ht="12" customHeight="1" x14ac:dyDescent="0.15">
      <c r="A3481" s="33" t="s">
        <v>24388</v>
      </c>
      <c r="B3481" s="33">
        <v>53</v>
      </c>
      <c r="C3481" s="33" t="s">
        <v>14</v>
      </c>
      <c r="D3481" s="33" t="s">
        <v>31</v>
      </c>
      <c r="F3481" s="67">
        <v>42684</v>
      </c>
      <c r="G3481" s="33" t="s">
        <v>24389</v>
      </c>
      <c r="H3481" s="33" t="s">
        <v>3692</v>
      </c>
      <c r="I3481" s="33" t="s">
        <v>56</v>
      </c>
      <c r="J3481" s="33">
        <v>33805</v>
      </c>
      <c r="K3481" s="33" t="s">
        <v>1736</v>
      </c>
      <c r="L3481" s="33" t="s">
        <v>238</v>
      </c>
      <c r="M3481" s="33" t="s">
        <v>21</v>
      </c>
      <c r="N3481" s="33" t="s">
        <v>24390</v>
      </c>
      <c r="O3481" s="33" t="s">
        <v>372</v>
      </c>
      <c r="P3481" s="33" t="s">
        <v>30089</v>
      </c>
      <c r="Q3481" s="40" t="s">
        <v>24391</v>
      </c>
      <c r="R3481" s="33" t="s">
        <v>94</v>
      </c>
      <c r="S3481" s="33" t="s">
        <v>22</v>
      </c>
      <c r="T3481" s="33" t="s">
        <v>26781</v>
      </c>
      <c r="U3481" s="33" t="s">
        <v>26572</v>
      </c>
      <c r="V3481" s="33" t="s">
        <v>26573</v>
      </c>
      <c r="W3481" s="33" t="s">
        <v>94</v>
      </c>
      <c r="X3481" s="33">
        <v>2038</v>
      </c>
      <c r="Z3481" s="33" t="s">
        <v>42968</v>
      </c>
      <c r="AA3481" s="33">
        <v>4185</v>
      </c>
    </row>
    <row r="3482" spans="1:27" ht="12" customHeight="1" x14ac:dyDescent="0.15">
      <c r="A3482" s="33" t="s">
        <v>24382</v>
      </c>
      <c r="B3482" s="33">
        <v>36</v>
      </c>
      <c r="C3482" s="33" t="s">
        <v>14</v>
      </c>
      <c r="D3482" s="33" t="s">
        <v>31</v>
      </c>
      <c r="E3482" s="33" t="s">
        <v>24383</v>
      </c>
      <c r="F3482" s="67">
        <v>42683</v>
      </c>
      <c r="G3482" s="33" t="s">
        <v>24384</v>
      </c>
      <c r="H3482" s="33" t="s">
        <v>24385</v>
      </c>
      <c r="I3482" s="33" t="s">
        <v>112</v>
      </c>
      <c r="J3482" s="33">
        <v>85929</v>
      </c>
      <c r="K3482" s="33" t="s">
        <v>7470</v>
      </c>
      <c r="L3482" s="33" t="s">
        <v>10122</v>
      </c>
      <c r="M3482" s="33" t="s">
        <v>21</v>
      </c>
      <c r="N3482" s="33" t="s">
        <v>24386</v>
      </c>
      <c r="O3482" s="33" t="s">
        <v>372</v>
      </c>
      <c r="P3482" s="33" t="s">
        <v>30089</v>
      </c>
      <c r="Q3482" s="40" t="s">
        <v>24387</v>
      </c>
      <c r="R3482" s="33" t="s">
        <v>94</v>
      </c>
      <c r="S3482" s="33" t="s">
        <v>22</v>
      </c>
      <c r="T3482" s="33" t="s">
        <v>26781</v>
      </c>
      <c r="U3482" s="33" t="s">
        <v>26572</v>
      </c>
      <c r="V3482" s="33" t="s">
        <v>26573</v>
      </c>
      <c r="W3482" s="33" t="s">
        <v>94</v>
      </c>
      <c r="X3482" s="33">
        <v>2034</v>
      </c>
      <c r="Z3482" s="33" t="s">
        <v>42967</v>
      </c>
      <c r="AA3482" s="33">
        <v>4183</v>
      </c>
    </row>
    <row r="3483" spans="1:27" ht="12" customHeight="1" x14ac:dyDescent="0.15">
      <c r="A3483" s="33" t="s">
        <v>24364</v>
      </c>
      <c r="B3483" s="33">
        <v>45</v>
      </c>
      <c r="C3483" s="33" t="s">
        <v>14</v>
      </c>
      <c r="D3483" s="33" t="s">
        <v>42</v>
      </c>
      <c r="E3483" s="33" t="s">
        <v>24365</v>
      </c>
      <c r="F3483" s="67">
        <v>42682</v>
      </c>
      <c r="G3483" s="33" t="s">
        <v>24550</v>
      </c>
      <c r="H3483" s="33" t="s">
        <v>1558</v>
      </c>
      <c r="I3483" s="33" t="s">
        <v>39</v>
      </c>
      <c r="J3483" s="33">
        <v>91702</v>
      </c>
      <c r="K3483" s="33" t="s">
        <v>92</v>
      </c>
      <c r="L3483" s="33" t="s">
        <v>24366</v>
      </c>
      <c r="M3483" s="33" t="s">
        <v>21</v>
      </c>
      <c r="N3483" s="33" t="s">
        <v>24367</v>
      </c>
      <c r="O3483" s="33" t="s">
        <v>372</v>
      </c>
      <c r="P3483" s="33" t="s">
        <v>30089</v>
      </c>
      <c r="Q3483" s="40" t="s">
        <v>24368</v>
      </c>
      <c r="R3483" s="33" t="s">
        <v>904</v>
      </c>
      <c r="S3483" s="33" t="s">
        <v>22</v>
      </c>
      <c r="T3483" s="33" t="s">
        <v>26781</v>
      </c>
      <c r="U3483" s="33" t="s">
        <v>26572</v>
      </c>
      <c r="V3483" s="33" t="s">
        <v>26573</v>
      </c>
      <c r="W3483" s="33" t="s">
        <v>94</v>
      </c>
      <c r="X3483" s="33">
        <v>2033</v>
      </c>
      <c r="Z3483" s="33" t="s">
        <v>42968</v>
      </c>
      <c r="AA3483" s="33">
        <v>4179</v>
      </c>
    </row>
    <row r="3484" spans="1:27" ht="12" customHeight="1" x14ac:dyDescent="0.15">
      <c r="A3484" s="33" t="s">
        <v>24371</v>
      </c>
      <c r="B3484" s="33">
        <v>62</v>
      </c>
      <c r="C3484" s="33" t="s">
        <v>14</v>
      </c>
      <c r="D3484" s="33" t="s">
        <v>79</v>
      </c>
      <c r="F3484" s="67">
        <v>42682</v>
      </c>
      <c r="G3484" s="33" t="s">
        <v>24372</v>
      </c>
      <c r="H3484" s="33" t="s">
        <v>571</v>
      </c>
      <c r="I3484" s="33" t="s">
        <v>338</v>
      </c>
      <c r="J3484" s="33">
        <v>28792</v>
      </c>
      <c r="K3484" s="33" t="s">
        <v>1194</v>
      </c>
      <c r="L3484" s="33" t="s">
        <v>1195</v>
      </c>
      <c r="M3484" s="33" t="s">
        <v>363</v>
      </c>
      <c r="N3484" s="33" t="s">
        <v>24373</v>
      </c>
      <c r="O3484" s="33" t="s">
        <v>372</v>
      </c>
      <c r="P3484" s="33" t="s">
        <v>30089</v>
      </c>
      <c r="Q3484" s="40" t="s">
        <v>24374</v>
      </c>
      <c r="R3484" s="33" t="s">
        <v>512</v>
      </c>
      <c r="S3484" s="33" t="s">
        <v>12</v>
      </c>
      <c r="T3484" s="33" t="s">
        <v>29705</v>
      </c>
      <c r="U3484" s="33" t="s">
        <v>26570</v>
      </c>
      <c r="V3484" s="33" t="s">
        <v>26573</v>
      </c>
      <c r="Z3484" s="33" t="s">
        <v>42968</v>
      </c>
      <c r="AA3484" s="33">
        <v>4181</v>
      </c>
    </row>
    <row r="3485" spans="1:27" ht="12" customHeight="1" x14ac:dyDescent="0.15">
      <c r="A3485" s="33" t="s">
        <v>24359</v>
      </c>
      <c r="B3485" s="33">
        <v>26</v>
      </c>
      <c r="C3485" s="33" t="s">
        <v>14</v>
      </c>
      <c r="D3485" s="33" t="s">
        <v>31</v>
      </c>
      <c r="F3485" s="67">
        <v>42682</v>
      </c>
      <c r="G3485" s="33" t="s">
        <v>24360</v>
      </c>
      <c r="H3485" s="33" t="s">
        <v>23057</v>
      </c>
      <c r="I3485" s="33" t="s">
        <v>63</v>
      </c>
      <c r="J3485" s="33">
        <v>44004</v>
      </c>
      <c r="K3485" s="33" t="s">
        <v>23057</v>
      </c>
      <c r="L3485" s="33" t="s">
        <v>24361</v>
      </c>
      <c r="M3485" s="33" t="s">
        <v>21</v>
      </c>
      <c r="N3485" s="33" t="s">
        <v>24362</v>
      </c>
      <c r="O3485" s="33" t="s">
        <v>372</v>
      </c>
      <c r="P3485" s="33" t="s">
        <v>30089</v>
      </c>
      <c r="Q3485" s="40" t="s">
        <v>24363</v>
      </c>
      <c r="R3485" s="33" t="s">
        <v>94</v>
      </c>
      <c r="S3485" s="33" t="s">
        <v>351</v>
      </c>
      <c r="T3485" s="33" t="s">
        <v>26867</v>
      </c>
      <c r="U3485" s="33" t="s">
        <v>26572</v>
      </c>
      <c r="V3485" s="33" t="s">
        <v>26571</v>
      </c>
      <c r="W3485" s="33" t="s">
        <v>94</v>
      </c>
      <c r="X3485" s="33">
        <v>2032</v>
      </c>
      <c r="Z3485" s="33" t="s">
        <v>42966</v>
      </c>
      <c r="AA3485" s="33">
        <v>4182</v>
      </c>
    </row>
    <row r="3486" spans="1:27" ht="12" customHeight="1" x14ac:dyDescent="0.15">
      <c r="A3486" s="33" t="s">
        <v>24571</v>
      </c>
      <c r="B3486" s="33">
        <v>23</v>
      </c>
      <c r="C3486" s="33" t="s">
        <v>14</v>
      </c>
      <c r="D3486" s="33" t="s">
        <v>42</v>
      </c>
      <c r="F3486" s="67">
        <v>42682</v>
      </c>
      <c r="G3486" s="33" t="s">
        <v>24551</v>
      </c>
      <c r="H3486" s="33" t="s">
        <v>1212</v>
      </c>
      <c r="I3486" s="33" t="s">
        <v>192</v>
      </c>
      <c r="J3486" s="33">
        <v>80249</v>
      </c>
      <c r="K3486" s="33" t="s">
        <v>1212</v>
      </c>
      <c r="L3486" s="33" t="s">
        <v>3511</v>
      </c>
      <c r="M3486" s="33" t="s">
        <v>21</v>
      </c>
      <c r="N3486" s="33" t="s">
        <v>24369</v>
      </c>
      <c r="O3486" s="33" t="s">
        <v>372</v>
      </c>
      <c r="P3486" s="33" t="s">
        <v>30089</v>
      </c>
      <c r="Q3486" s="40" t="s">
        <v>24370</v>
      </c>
      <c r="R3486" s="33" t="s">
        <v>94</v>
      </c>
      <c r="S3486" s="33" t="s">
        <v>22</v>
      </c>
      <c r="T3486" s="33" t="s">
        <v>26781</v>
      </c>
      <c r="U3486" s="33" t="s">
        <v>26572</v>
      </c>
      <c r="V3486" s="33" t="s">
        <v>19228</v>
      </c>
      <c r="W3486" s="33" t="s">
        <v>94</v>
      </c>
      <c r="X3486" s="33">
        <v>2031</v>
      </c>
      <c r="Z3486" s="33" t="s">
        <v>42968</v>
      </c>
      <c r="AA3486" s="33">
        <v>4178</v>
      </c>
    </row>
    <row r="3487" spans="1:27" ht="12" customHeight="1" x14ac:dyDescent="0.15">
      <c r="A3487" s="33" t="s">
        <v>24375</v>
      </c>
      <c r="B3487" s="33">
        <v>19</v>
      </c>
      <c r="C3487" s="33" t="s">
        <v>14</v>
      </c>
      <c r="D3487" s="33" t="s">
        <v>31</v>
      </c>
      <c r="E3487" s="33" t="s">
        <v>24376</v>
      </c>
      <c r="F3487" s="67">
        <v>42682</v>
      </c>
      <c r="G3487" s="33" t="s">
        <v>24377</v>
      </c>
      <c r="H3487" s="33" t="s">
        <v>24378</v>
      </c>
      <c r="I3487" s="33" t="s">
        <v>337</v>
      </c>
      <c r="J3487" s="33">
        <v>67601</v>
      </c>
      <c r="K3487" s="33" t="s">
        <v>1840</v>
      </c>
      <c r="L3487" s="33" t="s">
        <v>24379</v>
      </c>
      <c r="M3487" s="33" t="s">
        <v>4966</v>
      </c>
      <c r="N3487" s="33" t="s">
        <v>24380</v>
      </c>
      <c r="O3487" s="33" t="s">
        <v>372</v>
      </c>
      <c r="P3487" s="33" t="s">
        <v>30089</v>
      </c>
      <c r="Q3487" s="40" t="s">
        <v>24381</v>
      </c>
      <c r="R3487" s="33" t="s">
        <v>94</v>
      </c>
      <c r="S3487" s="33" t="s">
        <v>12</v>
      </c>
      <c r="T3487" s="33" t="s">
        <v>29705</v>
      </c>
      <c r="U3487" s="33" t="s">
        <v>26572</v>
      </c>
      <c r="V3487" s="33" t="s">
        <v>26571</v>
      </c>
      <c r="W3487" s="33" t="s">
        <v>94</v>
      </c>
      <c r="X3487" s="33">
        <v>2028</v>
      </c>
      <c r="Z3487" s="33" t="s">
        <v>42968</v>
      </c>
      <c r="AA3487" s="33">
        <v>4180</v>
      </c>
    </row>
    <row r="3488" spans="1:27" ht="12" customHeight="1" x14ac:dyDescent="0.15">
      <c r="A3488" s="33" t="s">
        <v>24355</v>
      </c>
      <c r="B3488" s="33">
        <v>31</v>
      </c>
      <c r="C3488" s="33" t="s">
        <v>14</v>
      </c>
      <c r="D3488" s="33" t="s">
        <v>79</v>
      </c>
      <c r="E3488" s="33" t="s">
        <v>24356</v>
      </c>
      <c r="F3488" s="67">
        <v>42681</v>
      </c>
      <c r="G3488" s="33" t="s">
        <v>24549</v>
      </c>
      <c r="H3488" s="33" t="s">
        <v>1033</v>
      </c>
      <c r="I3488" s="33" t="s">
        <v>376</v>
      </c>
      <c r="J3488" s="33">
        <v>19133</v>
      </c>
      <c r="K3488" s="33" t="s">
        <v>1033</v>
      </c>
      <c r="L3488" s="33" t="s">
        <v>1034</v>
      </c>
      <c r="M3488" s="33" t="s">
        <v>21</v>
      </c>
      <c r="N3488" s="33" t="s">
        <v>24357</v>
      </c>
      <c r="O3488" s="33" t="s">
        <v>372</v>
      </c>
      <c r="P3488" s="33" t="s">
        <v>30089</v>
      </c>
      <c r="Q3488" s="40" t="s">
        <v>24358</v>
      </c>
      <c r="R3488" s="33" t="s">
        <v>94</v>
      </c>
      <c r="S3488" s="33" t="s">
        <v>22</v>
      </c>
      <c r="T3488" s="33" t="s">
        <v>26781</v>
      </c>
      <c r="U3488" s="33" t="s">
        <v>26572</v>
      </c>
      <c r="V3488" s="33" t="s">
        <v>19228</v>
      </c>
      <c r="W3488" s="33" t="s">
        <v>94</v>
      </c>
      <c r="X3488" s="33">
        <v>2026</v>
      </c>
      <c r="Z3488" s="33" t="s">
        <v>42966</v>
      </c>
      <c r="AA3488" s="33">
        <v>4177</v>
      </c>
    </row>
    <row r="3489" spans="1:27" ht="12" customHeight="1" x14ac:dyDescent="0.15">
      <c r="A3489" s="33" t="s">
        <v>24351</v>
      </c>
      <c r="B3489" s="33">
        <v>33</v>
      </c>
      <c r="C3489" s="33" t="s">
        <v>14</v>
      </c>
      <c r="D3489" s="33" t="s">
        <v>42</v>
      </c>
      <c r="F3489" s="67">
        <v>42680</v>
      </c>
      <c r="G3489" s="33" t="s">
        <v>24352</v>
      </c>
      <c r="H3489" s="33" t="s">
        <v>3383</v>
      </c>
      <c r="I3489" s="33" t="s">
        <v>39</v>
      </c>
      <c r="J3489" s="33">
        <v>92704</v>
      </c>
      <c r="K3489" s="33" t="s">
        <v>998</v>
      </c>
      <c r="L3489" s="33" t="s">
        <v>3385</v>
      </c>
      <c r="M3489" s="33" t="s">
        <v>4966</v>
      </c>
      <c r="N3489" s="33" t="s">
        <v>24353</v>
      </c>
      <c r="O3489" s="33" t="s">
        <v>372</v>
      </c>
      <c r="P3489" s="33" t="s">
        <v>30089</v>
      </c>
      <c r="Q3489" s="40" t="s">
        <v>24354</v>
      </c>
      <c r="R3489" s="33" t="s">
        <v>94</v>
      </c>
      <c r="S3489" s="33" t="s">
        <v>29</v>
      </c>
      <c r="T3489" s="33" t="s">
        <v>26575</v>
      </c>
      <c r="U3489" s="33" t="s">
        <v>26575</v>
      </c>
      <c r="V3489" s="33" t="s">
        <v>26573</v>
      </c>
      <c r="W3489" s="33" t="s">
        <v>94</v>
      </c>
      <c r="X3489" s="33">
        <v>2014</v>
      </c>
      <c r="Z3489" s="33" t="s">
        <v>42966</v>
      </c>
      <c r="AA3489" s="33">
        <v>4174</v>
      </c>
    </row>
    <row r="3490" spans="1:27" ht="12" customHeight="1" x14ac:dyDescent="0.15">
      <c r="A3490" s="33" t="s">
        <v>24330</v>
      </c>
      <c r="B3490" s="33">
        <v>43</v>
      </c>
      <c r="C3490" s="33" t="s">
        <v>14</v>
      </c>
      <c r="D3490" s="33" t="s">
        <v>31</v>
      </c>
      <c r="E3490" s="33" t="s">
        <v>24331</v>
      </c>
      <c r="F3490" s="67">
        <v>42680</v>
      </c>
      <c r="G3490" s="33" t="s">
        <v>24332</v>
      </c>
      <c r="H3490" s="33" t="s">
        <v>24333</v>
      </c>
      <c r="I3490" s="33" t="s">
        <v>26</v>
      </c>
      <c r="J3490" s="33">
        <v>29842</v>
      </c>
      <c r="K3490" s="33" t="s">
        <v>1665</v>
      </c>
      <c r="L3490" s="33" t="s">
        <v>1666</v>
      </c>
      <c r="M3490" s="33" t="s">
        <v>21</v>
      </c>
      <c r="N3490" s="33" t="s">
        <v>24334</v>
      </c>
      <c r="O3490" s="33" t="s">
        <v>372</v>
      </c>
      <c r="P3490" s="33" t="s">
        <v>30089</v>
      </c>
      <c r="Q3490" s="40" t="s">
        <v>24335</v>
      </c>
      <c r="R3490" s="33" t="s">
        <v>512</v>
      </c>
      <c r="S3490" s="33" t="s">
        <v>22</v>
      </c>
      <c r="T3490" s="33" t="s">
        <v>26781</v>
      </c>
      <c r="U3490" s="33" t="s">
        <v>26572</v>
      </c>
      <c r="V3490" s="33" t="s">
        <v>26573</v>
      </c>
      <c r="W3490" s="33" t="s">
        <v>94</v>
      </c>
      <c r="X3490" s="33">
        <v>2018</v>
      </c>
      <c r="Z3490" s="33" t="s">
        <v>42967</v>
      </c>
      <c r="AA3490" s="33">
        <v>4171</v>
      </c>
    </row>
    <row r="3491" spans="1:27" ht="12" customHeight="1" x14ac:dyDescent="0.15">
      <c r="A3491" s="33" t="s">
        <v>24336</v>
      </c>
      <c r="B3491" s="33">
        <v>32</v>
      </c>
      <c r="C3491" s="33" t="s">
        <v>14</v>
      </c>
      <c r="D3491" s="33" t="s">
        <v>31</v>
      </c>
      <c r="F3491" s="67">
        <v>42680</v>
      </c>
      <c r="H3491" s="33" t="s">
        <v>24337</v>
      </c>
      <c r="I3491" s="33" t="s">
        <v>139</v>
      </c>
      <c r="J3491" s="33">
        <v>24828</v>
      </c>
      <c r="K3491" s="33" t="s">
        <v>24338</v>
      </c>
      <c r="L3491" s="33" t="s">
        <v>141</v>
      </c>
      <c r="M3491" s="33" t="s">
        <v>21</v>
      </c>
      <c r="N3491" s="33" t="s">
        <v>36662</v>
      </c>
      <c r="O3491" s="33" t="s">
        <v>372</v>
      </c>
      <c r="P3491" s="33" t="s">
        <v>30089</v>
      </c>
      <c r="Q3491" s="40" t="s">
        <v>24339</v>
      </c>
      <c r="R3491" s="33" t="s">
        <v>512</v>
      </c>
      <c r="S3491" s="33" t="s">
        <v>22</v>
      </c>
      <c r="T3491" s="33" t="s">
        <v>26594</v>
      </c>
      <c r="U3491" s="33" t="s">
        <v>26570</v>
      </c>
      <c r="V3491" s="33" t="s">
        <v>26573</v>
      </c>
      <c r="W3491" s="33" t="s">
        <v>94</v>
      </c>
      <c r="X3491" s="33">
        <v>2027</v>
      </c>
      <c r="Z3491" s="33" t="s">
        <v>42967</v>
      </c>
      <c r="AA3491" s="33">
        <v>4172</v>
      </c>
    </row>
    <row r="3492" spans="1:27" ht="12" customHeight="1" x14ac:dyDescent="0.15">
      <c r="A3492" s="33" t="s">
        <v>24347</v>
      </c>
      <c r="B3492" s="33">
        <v>17</v>
      </c>
      <c r="C3492" s="33" t="s">
        <v>14</v>
      </c>
      <c r="D3492" s="33" t="s">
        <v>31</v>
      </c>
      <c r="F3492" s="67">
        <v>42680</v>
      </c>
      <c r="G3492" s="33" t="s">
        <v>24348</v>
      </c>
      <c r="H3492" s="33" t="s">
        <v>11365</v>
      </c>
      <c r="I3492" s="33" t="s">
        <v>88</v>
      </c>
      <c r="J3492" s="33">
        <v>36867</v>
      </c>
      <c r="K3492" s="33" t="s">
        <v>11367</v>
      </c>
      <c r="L3492" s="33" t="s">
        <v>3124</v>
      </c>
      <c r="M3492" s="33" t="s">
        <v>21</v>
      </c>
      <c r="N3492" s="33" t="s">
        <v>24349</v>
      </c>
      <c r="O3492" s="33" t="s">
        <v>372</v>
      </c>
      <c r="P3492" s="33" t="s">
        <v>30089</v>
      </c>
      <c r="Q3492" s="40" t="s">
        <v>24350</v>
      </c>
      <c r="R3492" s="33" t="s">
        <v>94</v>
      </c>
      <c r="S3492" s="33" t="s">
        <v>351</v>
      </c>
      <c r="T3492" s="33" t="s">
        <v>26867</v>
      </c>
      <c r="U3492" s="33" t="s">
        <v>26570</v>
      </c>
      <c r="V3492" s="33" t="s">
        <v>26571</v>
      </c>
      <c r="W3492" s="33" t="s">
        <v>94</v>
      </c>
      <c r="X3492" s="33">
        <v>2025</v>
      </c>
      <c r="Z3492" s="33" t="s">
        <v>42968</v>
      </c>
      <c r="AA3492" s="33">
        <v>4175</v>
      </c>
    </row>
    <row r="3493" spans="1:27" ht="12" customHeight="1" x14ac:dyDescent="0.15">
      <c r="A3493" s="33" t="s">
        <v>24340</v>
      </c>
      <c r="B3493" s="33">
        <v>31</v>
      </c>
      <c r="C3493" s="33" t="s">
        <v>14</v>
      </c>
      <c r="D3493" s="33" t="s">
        <v>31</v>
      </c>
      <c r="E3493" s="33" t="s">
        <v>24341</v>
      </c>
      <c r="F3493" s="67">
        <v>42680</v>
      </c>
      <c r="G3493" s="33" t="s">
        <v>24548</v>
      </c>
      <c r="H3493" s="33" t="s">
        <v>11065</v>
      </c>
      <c r="I3493" s="33" t="s">
        <v>75</v>
      </c>
      <c r="J3493" s="33">
        <v>8327</v>
      </c>
      <c r="K3493" s="33" t="s">
        <v>2907</v>
      </c>
      <c r="L3493" s="33" t="s">
        <v>2301</v>
      </c>
      <c r="M3493" s="33" t="s">
        <v>21</v>
      </c>
      <c r="N3493" s="33" t="s">
        <v>24342</v>
      </c>
      <c r="O3493" s="33" t="s">
        <v>372</v>
      </c>
      <c r="P3493" s="33" t="s">
        <v>30089</v>
      </c>
      <c r="Q3493" s="40" t="s">
        <v>24343</v>
      </c>
      <c r="R3493" s="33" t="s">
        <v>94</v>
      </c>
      <c r="S3493" s="33" t="s">
        <v>22</v>
      </c>
      <c r="T3493" s="33" t="s">
        <v>26584</v>
      </c>
      <c r="U3493" s="33" t="s">
        <v>26570</v>
      </c>
      <c r="V3493" s="33" t="s">
        <v>26574</v>
      </c>
      <c r="W3493" s="33" t="s">
        <v>94</v>
      </c>
      <c r="X3493" s="33">
        <v>2024</v>
      </c>
      <c r="Z3493" s="33" t="s">
        <v>42967</v>
      </c>
      <c r="AA3493" s="33">
        <v>4173</v>
      </c>
    </row>
    <row r="3494" spans="1:27" ht="12" customHeight="1" x14ac:dyDescent="0.15">
      <c r="A3494" s="33" t="s">
        <v>24344</v>
      </c>
      <c r="B3494" s="33">
        <v>43</v>
      </c>
      <c r="C3494" s="33" t="s">
        <v>14</v>
      </c>
      <c r="D3494" s="33" t="s">
        <v>31</v>
      </c>
      <c r="F3494" s="67">
        <v>42680</v>
      </c>
      <c r="G3494" s="33" t="s">
        <v>24345</v>
      </c>
      <c r="H3494" s="33" t="s">
        <v>1800</v>
      </c>
      <c r="I3494" s="33" t="s">
        <v>294</v>
      </c>
      <c r="J3494" s="33">
        <v>42261</v>
      </c>
      <c r="K3494" s="33" t="s">
        <v>5063</v>
      </c>
      <c r="L3494" s="33" t="s">
        <v>8770</v>
      </c>
      <c r="M3494" s="33" t="s">
        <v>4966</v>
      </c>
      <c r="N3494" s="33" t="s">
        <v>36663</v>
      </c>
      <c r="O3494" s="33" t="s">
        <v>372</v>
      </c>
      <c r="P3494" s="33" t="s">
        <v>30089</v>
      </c>
      <c r="Q3494" s="40" t="s">
        <v>24346</v>
      </c>
      <c r="R3494" s="33" t="s">
        <v>94</v>
      </c>
      <c r="S3494" s="33" t="s">
        <v>351</v>
      </c>
      <c r="T3494" s="33" t="s">
        <v>26867</v>
      </c>
      <c r="U3494" s="33" t="s">
        <v>26575</v>
      </c>
      <c r="V3494" s="33" t="s">
        <v>26571</v>
      </c>
      <c r="W3494" s="33" t="s">
        <v>94</v>
      </c>
      <c r="X3494" s="33">
        <v>2019</v>
      </c>
      <c r="Z3494" s="33" t="s">
        <v>42967</v>
      </c>
      <c r="AA3494" s="33">
        <v>4176</v>
      </c>
    </row>
    <row r="3495" spans="1:27" ht="12" customHeight="1" x14ac:dyDescent="0.15">
      <c r="A3495" s="33" t="s">
        <v>24326</v>
      </c>
      <c r="B3495" s="33">
        <v>49</v>
      </c>
      <c r="C3495" s="33" t="s">
        <v>14</v>
      </c>
      <c r="D3495" s="33" t="s">
        <v>31</v>
      </c>
      <c r="F3495" s="67">
        <v>42679</v>
      </c>
      <c r="G3495" s="33" t="s">
        <v>24327</v>
      </c>
      <c r="H3495" s="33" t="s">
        <v>12230</v>
      </c>
      <c r="I3495" s="33" t="s">
        <v>56</v>
      </c>
      <c r="J3495" s="33">
        <v>33709</v>
      </c>
      <c r="K3495" s="33" t="s">
        <v>2152</v>
      </c>
      <c r="L3495" s="33" t="s">
        <v>8931</v>
      </c>
      <c r="M3495" s="33" t="s">
        <v>21</v>
      </c>
      <c r="N3495" s="33" t="s">
        <v>24328</v>
      </c>
      <c r="O3495" s="33" t="s">
        <v>372</v>
      </c>
      <c r="P3495" s="33" t="s">
        <v>30089</v>
      </c>
      <c r="Q3495" s="40" t="s">
        <v>24329</v>
      </c>
      <c r="R3495" s="33" t="s">
        <v>512</v>
      </c>
      <c r="S3495" s="33" t="s">
        <v>22</v>
      </c>
      <c r="T3495" s="33" t="s">
        <v>26774</v>
      </c>
      <c r="U3495" s="33" t="s">
        <v>26570</v>
      </c>
      <c r="V3495" s="33" t="s">
        <v>26573</v>
      </c>
      <c r="W3495" s="33" t="s">
        <v>94</v>
      </c>
      <c r="X3495" s="33">
        <v>2017</v>
      </c>
      <c r="Z3495" s="33" t="s">
        <v>42968</v>
      </c>
      <c r="AA3495" s="33">
        <v>4168</v>
      </c>
    </row>
    <row r="3496" spans="1:27" ht="12" customHeight="1" x14ac:dyDescent="0.15">
      <c r="A3496" s="33" t="s">
        <v>24308</v>
      </c>
      <c r="B3496" s="33">
        <v>25</v>
      </c>
      <c r="C3496" s="33" t="s">
        <v>14</v>
      </c>
      <c r="D3496" s="33" t="s">
        <v>79</v>
      </c>
      <c r="E3496" s="33" t="s">
        <v>24309</v>
      </c>
      <c r="F3496" s="67">
        <v>42679</v>
      </c>
      <c r="G3496" s="33" t="s">
        <v>24310</v>
      </c>
      <c r="H3496" s="33" t="s">
        <v>81</v>
      </c>
      <c r="I3496" s="33" t="s">
        <v>38</v>
      </c>
      <c r="J3496" s="33">
        <v>60655</v>
      </c>
      <c r="K3496" s="33" t="s">
        <v>82</v>
      </c>
      <c r="L3496" s="33" t="s">
        <v>83</v>
      </c>
      <c r="M3496" s="33" t="s">
        <v>21</v>
      </c>
      <c r="N3496" s="33" t="s">
        <v>24311</v>
      </c>
      <c r="O3496" s="33" t="s">
        <v>372</v>
      </c>
      <c r="P3496" s="33" t="s">
        <v>30089</v>
      </c>
      <c r="Q3496" s="40" t="s">
        <v>24312</v>
      </c>
      <c r="R3496" s="33" t="s">
        <v>94</v>
      </c>
      <c r="S3496" s="33" t="s">
        <v>29</v>
      </c>
      <c r="T3496" s="33" t="s">
        <v>26575</v>
      </c>
      <c r="U3496" s="33" t="s">
        <v>26575</v>
      </c>
      <c r="V3496" s="33" t="s">
        <v>26573</v>
      </c>
      <c r="Z3496" s="33" t="s">
        <v>42966</v>
      </c>
      <c r="AA3496" s="33">
        <v>4169</v>
      </c>
    </row>
    <row r="3497" spans="1:27" ht="12" customHeight="1" x14ac:dyDescent="0.15">
      <c r="A3497" s="33" t="s">
        <v>24313</v>
      </c>
      <c r="B3497" s="33">
        <v>56</v>
      </c>
      <c r="C3497" s="33" t="s">
        <v>14</v>
      </c>
      <c r="D3497" s="33" t="s">
        <v>31</v>
      </c>
      <c r="E3497" s="33" t="s">
        <v>24314</v>
      </c>
      <c r="F3497" s="67">
        <v>42679</v>
      </c>
      <c r="G3497" s="33" t="s">
        <v>24546</v>
      </c>
      <c r="H3497" s="33" t="s">
        <v>24315</v>
      </c>
      <c r="I3497" s="33" t="s">
        <v>139</v>
      </c>
      <c r="J3497" s="33">
        <v>25045</v>
      </c>
      <c r="K3497" s="33" t="s">
        <v>859</v>
      </c>
      <c r="L3497" s="33" t="s">
        <v>16709</v>
      </c>
      <c r="M3497" s="33" t="s">
        <v>21</v>
      </c>
      <c r="N3497" s="33" t="s">
        <v>36666</v>
      </c>
      <c r="O3497" s="33" t="s">
        <v>372</v>
      </c>
      <c r="P3497" s="33" t="s">
        <v>30089</v>
      </c>
      <c r="Q3497" s="40" t="s">
        <v>24316</v>
      </c>
      <c r="R3497" s="33" t="s">
        <v>23</v>
      </c>
      <c r="S3497" s="33" t="s">
        <v>22</v>
      </c>
      <c r="T3497" s="33" t="s">
        <v>26781</v>
      </c>
      <c r="U3497" s="33" t="s">
        <v>26572</v>
      </c>
      <c r="V3497" s="33" t="s">
        <v>26573</v>
      </c>
      <c r="W3497" s="33" t="s">
        <v>94</v>
      </c>
      <c r="X3497" s="33">
        <v>2021</v>
      </c>
      <c r="Z3497" s="33" t="s">
        <v>42967</v>
      </c>
      <c r="AA3497" s="33">
        <v>4165</v>
      </c>
    </row>
    <row r="3498" spans="1:27" ht="12" customHeight="1" x14ac:dyDescent="0.15">
      <c r="A3498" s="33" t="s">
        <v>24321</v>
      </c>
      <c r="B3498" s="33">
        <v>36</v>
      </c>
      <c r="C3498" s="33" t="s">
        <v>14</v>
      </c>
      <c r="D3498" s="33" t="s">
        <v>31</v>
      </c>
      <c r="E3498" s="33" t="s">
        <v>24322</v>
      </c>
      <c r="F3498" s="67">
        <v>42679</v>
      </c>
      <c r="H3498" s="33" t="s">
        <v>24323</v>
      </c>
      <c r="I3498" s="33" t="s">
        <v>367</v>
      </c>
      <c r="J3498" s="33">
        <v>74859</v>
      </c>
      <c r="K3498" s="33" t="s">
        <v>14570</v>
      </c>
      <c r="L3498" s="33" t="s">
        <v>14571</v>
      </c>
      <c r="M3498" s="33" t="s">
        <v>21</v>
      </c>
      <c r="N3498" s="33" t="s">
        <v>24324</v>
      </c>
      <c r="O3498" s="33" t="s">
        <v>372</v>
      </c>
      <c r="P3498" s="33" t="s">
        <v>30089</v>
      </c>
      <c r="Q3498" s="40" t="s">
        <v>24325</v>
      </c>
      <c r="R3498" s="33" t="s">
        <v>94</v>
      </c>
      <c r="S3498" s="33" t="s">
        <v>351</v>
      </c>
      <c r="T3498" s="33" t="s">
        <v>26867</v>
      </c>
      <c r="U3498" s="33" t="s">
        <v>26570</v>
      </c>
      <c r="V3498" s="33" t="s">
        <v>26571</v>
      </c>
      <c r="W3498" s="33" t="s">
        <v>94</v>
      </c>
      <c r="X3498" s="33">
        <v>2020</v>
      </c>
      <c r="Z3498" s="33" t="s">
        <v>42967</v>
      </c>
      <c r="AA3498" s="33">
        <v>4170</v>
      </c>
    </row>
    <row r="3499" spans="1:27" ht="12" customHeight="1" x14ac:dyDescent="0.15">
      <c r="A3499" s="33" t="s">
        <v>24292</v>
      </c>
      <c r="B3499" s="33">
        <v>59</v>
      </c>
      <c r="C3499" s="33" t="s">
        <v>14</v>
      </c>
      <c r="D3499" s="33" t="s">
        <v>31</v>
      </c>
      <c r="F3499" s="67">
        <v>42679</v>
      </c>
      <c r="G3499" s="33" t="s">
        <v>24293</v>
      </c>
      <c r="H3499" s="33" t="s">
        <v>20733</v>
      </c>
      <c r="I3499" s="33" t="s">
        <v>282</v>
      </c>
      <c r="J3499" s="33">
        <v>98305</v>
      </c>
      <c r="K3499" s="33" t="s">
        <v>24294</v>
      </c>
      <c r="L3499" s="33" t="s">
        <v>24295</v>
      </c>
      <c r="M3499" s="33" t="s">
        <v>21</v>
      </c>
      <c r="N3499" s="33" t="s">
        <v>36664</v>
      </c>
      <c r="O3499" s="33" t="s">
        <v>372</v>
      </c>
      <c r="P3499" s="33" t="s">
        <v>30089</v>
      </c>
      <c r="Q3499" s="40" t="s">
        <v>24296</v>
      </c>
      <c r="R3499" s="33" t="s">
        <v>512</v>
      </c>
      <c r="S3499" s="33" t="s">
        <v>22</v>
      </c>
      <c r="T3499" s="33" t="s">
        <v>26781</v>
      </c>
      <c r="U3499" s="33" t="s">
        <v>26575</v>
      </c>
      <c r="W3499" s="33" t="s">
        <v>94</v>
      </c>
      <c r="X3499" s="33">
        <v>2022</v>
      </c>
      <c r="Z3499" s="33" t="s">
        <v>42967</v>
      </c>
      <c r="AA3499" s="33">
        <v>4166</v>
      </c>
    </row>
    <row r="3500" spans="1:27" ht="12" customHeight="1" x14ac:dyDescent="0.15">
      <c r="A3500" s="33" t="s">
        <v>24317</v>
      </c>
      <c r="B3500" s="33">
        <v>34</v>
      </c>
      <c r="C3500" s="33" t="s">
        <v>14</v>
      </c>
      <c r="D3500" s="33" t="s">
        <v>31</v>
      </c>
      <c r="F3500" s="67">
        <v>42679</v>
      </c>
      <c r="G3500" s="33" t="s">
        <v>24547</v>
      </c>
      <c r="H3500" s="33" t="s">
        <v>24318</v>
      </c>
      <c r="I3500" s="33" t="s">
        <v>67</v>
      </c>
      <c r="J3500" s="33">
        <v>75647</v>
      </c>
      <c r="K3500" s="33" t="s">
        <v>551</v>
      </c>
      <c r="L3500" s="33" t="s">
        <v>24319</v>
      </c>
      <c r="M3500" s="33" t="s">
        <v>21</v>
      </c>
      <c r="N3500" s="33" t="s">
        <v>36665</v>
      </c>
      <c r="O3500" s="33" t="s">
        <v>372</v>
      </c>
      <c r="P3500" s="33" t="s">
        <v>30089</v>
      </c>
      <c r="Q3500" s="40" t="s">
        <v>24320</v>
      </c>
      <c r="R3500" s="33" t="s">
        <v>94</v>
      </c>
      <c r="S3500" s="33" t="s">
        <v>22</v>
      </c>
      <c r="T3500" s="33" t="s">
        <v>26781</v>
      </c>
      <c r="U3500" s="33" t="s">
        <v>26570</v>
      </c>
      <c r="V3500" s="33" t="s">
        <v>19228</v>
      </c>
      <c r="W3500" s="33" t="s">
        <v>512</v>
      </c>
      <c r="X3500" s="33">
        <v>2023</v>
      </c>
      <c r="Z3500" s="33" t="s">
        <v>42967</v>
      </c>
      <c r="AA3500" s="33">
        <v>4167</v>
      </c>
    </row>
    <row r="3501" spans="1:27" ht="12" customHeight="1" x14ac:dyDescent="0.15">
      <c r="A3501" s="33" t="s">
        <v>24301</v>
      </c>
      <c r="B3501" s="33">
        <v>26</v>
      </c>
      <c r="C3501" s="33" t="s">
        <v>14</v>
      </c>
      <c r="D3501" s="33" t="s">
        <v>42</v>
      </c>
      <c r="E3501" s="33" t="s">
        <v>24302</v>
      </c>
      <c r="F3501" s="67">
        <v>42678</v>
      </c>
      <c r="G3501" s="33" t="s">
        <v>24303</v>
      </c>
      <c r="H3501" s="33" t="s">
        <v>24304</v>
      </c>
      <c r="I3501" s="33" t="s">
        <v>39</v>
      </c>
      <c r="J3501" s="33">
        <v>92262</v>
      </c>
      <c r="K3501" s="33" t="s">
        <v>728</v>
      </c>
      <c r="L3501" s="33" t="s">
        <v>24305</v>
      </c>
      <c r="M3501" s="33" t="s">
        <v>21</v>
      </c>
      <c r="N3501" s="33" t="s">
        <v>24306</v>
      </c>
      <c r="O3501" s="33" t="s">
        <v>372</v>
      </c>
      <c r="P3501" s="33" t="s">
        <v>30089</v>
      </c>
      <c r="Q3501" s="40" t="s">
        <v>24307</v>
      </c>
      <c r="R3501" s="33" t="s">
        <v>512</v>
      </c>
      <c r="S3501" s="33" t="s">
        <v>29</v>
      </c>
      <c r="T3501" s="33" t="s">
        <v>26575</v>
      </c>
      <c r="U3501" s="33" t="s">
        <v>26575</v>
      </c>
      <c r="V3501" s="33" t="s">
        <v>26573</v>
      </c>
      <c r="W3501" s="33" t="s">
        <v>94</v>
      </c>
      <c r="X3501" s="33">
        <v>2015</v>
      </c>
      <c r="Z3501" s="33" t="s">
        <v>42968</v>
      </c>
      <c r="AA3501" s="33">
        <v>4164</v>
      </c>
    </row>
    <row r="3502" spans="1:27" ht="12" customHeight="1" x14ac:dyDescent="0.15">
      <c r="A3502" s="33" t="s">
        <v>24297</v>
      </c>
      <c r="B3502" s="33">
        <v>35</v>
      </c>
      <c r="C3502" s="33" t="s">
        <v>14</v>
      </c>
      <c r="D3502" s="33" t="s">
        <v>42</v>
      </c>
      <c r="F3502" s="67">
        <v>42678</v>
      </c>
      <c r="G3502" s="33" t="s">
        <v>24298</v>
      </c>
      <c r="H3502" s="33" t="s">
        <v>1716</v>
      </c>
      <c r="I3502" s="33" t="s">
        <v>395</v>
      </c>
      <c r="J3502" s="33">
        <v>10460</v>
      </c>
      <c r="K3502" s="33" t="s">
        <v>1716</v>
      </c>
      <c r="L3502" s="33" t="s">
        <v>539</v>
      </c>
      <c r="M3502" s="33" t="s">
        <v>21</v>
      </c>
      <c r="N3502" s="33" t="s">
        <v>24299</v>
      </c>
      <c r="O3502" s="33" t="s">
        <v>372</v>
      </c>
      <c r="P3502" s="33" t="s">
        <v>30089</v>
      </c>
      <c r="Q3502" s="40" t="s">
        <v>24300</v>
      </c>
      <c r="R3502" s="33" t="s">
        <v>512</v>
      </c>
      <c r="S3502" s="33" t="s">
        <v>22</v>
      </c>
      <c r="T3502" s="33" t="s">
        <v>26781</v>
      </c>
      <c r="U3502" s="33" t="s">
        <v>26572</v>
      </c>
      <c r="V3502" s="33" t="s">
        <v>19228</v>
      </c>
      <c r="W3502" s="33" t="s">
        <v>94</v>
      </c>
      <c r="X3502" s="33">
        <v>2016</v>
      </c>
      <c r="Z3502" s="33" t="s">
        <v>42966</v>
      </c>
      <c r="AA3502" s="33">
        <v>4163</v>
      </c>
    </row>
    <row r="3503" spans="1:27" ht="12" customHeight="1" x14ac:dyDescent="0.15">
      <c r="A3503" s="33" t="s">
        <v>24277</v>
      </c>
      <c r="B3503" s="33">
        <v>64</v>
      </c>
      <c r="C3503" s="33" t="s">
        <v>14</v>
      </c>
      <c r="D3503" s="33" t="s">
        <v>24</v>
      </c>
      <c r="F3503" s="67">
        <v>42677</v>
      </c>
      <c r="G3503" s="33" t="s">
        <v>24278</v>
      </c>
      <c r="H3503" s="33" t="s">
        <v>3712</v>
      </c>
      <c r="I3503" s="33" t="s">
        <v>376</v>
      </c>
      <c r="J3503" s="33">
        <v>17201</v>
      </c>
      <c r="K3503" s="33" t="s">
        <v>1203</v>
      </c>
      <c r="L3503" s="33" t="s">
        <v>24279</v>
      </c>
      <c r="M3503" s="33" t="s">
        <v>21</v>
      </c>
      <c r="N3503" s="33" t="s">
        <v>24280</v>
      </c>
      <c r="O3503" s="33" t="s">
        <v>372</v>
      </c>
      <c r="P3503" s="33" t="s">
        <v>30089</v>
      </c>
      <c r="Q3503" s="40" t="s">
        <v>24281</v>
      </c>
      <c r="R3503" s="33" t="s">
        <v>512</v>
      </c>
      <c r="S3503" s="33" t="s">
        <v>22</v>
      </c>
      <c r="T3503" s="33" t="s">
        <v>26774</v>
      </c>
      <c r="U3503" s="33" t="s">
        <v>26572</v>
      </c>
      <c r="V3503" s="33" t="s">
        <v>26573</v>
      </c>
      <c r="W3503" s="33" t="s">
        <v>94</v>
      </c>
      <c r="X3503" s="33">
        <v>2012</v>
      </c>
      <c r="Z3503" s="33" t="s">
        <v>42968</v>
      </c>
      <c r="AA3503" s="33">
        <v>4162</v>
      </c>
    </row>
    <row r="3504" spans="1:27" ht="12" customHeight="1" x14ac:dyDescent="0.15">
      <c r="A3504" s="33" t="s">
        <v>24288</v>
      </c>
      <c r="B3504" s="33">
        <v>23</v>
      </c>
      <c r="C3504" s="33" t="s">
        <v>14</v>
      </c>
      <c r="D3504" s="33" t="s">
        <v>79</v>
      </c>
      <c r="E3504" s="33" t="s">
        <v>24289</v>
      </c>
      <c r="F3504" s="67">
        <v>42677</v>
      </c>
      <c r="G3504" s="33" t="s">
        <v>24545</v>
      </c>
      <c r="H3504" s="33" t="s">
        <v>3577</v>
      </c>
      <c r="I3504" s="33" t="s">
        <v>338</v>
      </c>
      <c r="J3504" s="33">
        <v>28144</v>
      </c>
      <c r="K3504" s="33" t="s">
        <v>9875</v>
      </c>
      <c r="L3504" s="33" t="s">
        <v>8942</v>
      </c>
      <c r="M3504" s="33" t="s">
        <v>21</v>
      </c>
      <c r="N3504" s="33" t="s">
        <v>24290</v>
      </c>
      <c r="O3504" s="33" t="s">
        <v>372</v>
      </c>
      <c r="P3504" s="33" t="s">
        <v>30089</v>
      </c>
      <c r="Q3504" s="40" t="s">
        <v>24291</v>
      </c>
      <c r="R3504" s="33" t="s">
        <v>94</v>
      </c>
      <c r="S3504" s="33" t="s">
        <v>22</v>
      </c>
      <c r="T3504" s="33" t="s">
        <v>26781</v>
      </c>
      <c r="U3504" s="33" t="s">
        <v>26572</v>
      </c>
      <c r="V3504" s="33" t="s">
        <v>26573</v>
      </c>
      <c r="W3504" s="33" t="s">
        <v>94</v>
      </c>
      <c r="X3504" s="33">
        <v>2011</v>
      </c>
      <c r="Z3504" s="33" t="s">
        <v>42968</v>
      </c>
      <c r="AA3504" s="33">
        <v>4160</v>
      </c>
    </row>
    <row r="3505" spans="1:27" ht="12" customHeight="1" x14ac:dyDescent="0.15">
      <c r="A3505" s="33" t="s">
        <v>24282</v>
      </c>
      <c r="B3505" s="33">
        <v>56</v>
      </c>
      <c r="C3505" s="33" t="s">
        <v>103</v>
      </c>
      <c r="D3505" s="33" t="s">
        <v>31</v>
      </c>
      <c r="F3505" s="67">
        <v>42677</v>
      </c>
      <c r="G3505" s="33" t="s">
        <v>24544</v>
      </c>
      <c r="H3505" s="33" t="s">
        <v>24283</v>
      </c>
      <c r="I3505" s="33" t="s">
        <v>160</v>
      </c>
      <c r="J3505" s="33">
        <v>30052</v>
      </c>
      <c r="K3505" s="33" t="s">
        <v>24284</v>
      </c>
      <c r="L3505" s="33" t="s">
        <v>24285</v>
      </c>
      <c r="M3505" s="33" t="s">
        <v>21</v>
      </c>
      <c r="N3505" s="33" t="s">
        <v>24286</v>
      </c>
      <c r="O3505" s="33" t="s">
        <v>372</v>
      </c>
      <c r="P3505" s="33" t="s">
        <v>30089</v>
      </c>
      <c r="Q3505" s="40" t="s">
        <v>24287</v>
      </c>
      <c r="R3505" s="33" t="s">
        <v>94</v>
      </c>
      <c r="S3505" s="33" t="s">
        <v>22</v>
      </c>
      <c r="T3505" s="33" t="s">
        <v>26781</v>
      </c>
      <c r="U3505" s="33" t="s">
        <v>26572</v>
      </c>
      <c r="V3505" s="33" t="s">
        <v>26573</v>
      </c>
      <c r="W3505" s="33" t="s">
        <v>94</v>
      </c>
      <c r="X3505" s="33">
        <v>2013</v>
      </c>
      <c r="Z3505" s="33" t="s">
        <v>42968</v>
      </c>
      <c r="AA3505" s="33">
        <v>4161</v>
      </c>
    </row>
    <row r="3506" spans="1:27" ht="12" customHeight="1" x14ac:dyDescent="0.15">
      <c r="A3506" s="33" t="s">
        <v>24267</v>
      </c>
      <c r="B3506" s="33">
        <v>59</v>
      </c>
      <c r="C3506" s="33" t="s">
        <v>14</v>
      </c>
      <c r="D3506" s="33" t="s">
        <v>31</v>
      </c>
      <c r="E3506" s="33" t="s">
        <v>24268</v>
      </c>
      <c r="F3506" s="67">
        <v>42676</v>
      </c>
      <c r="G3506" s="33" t="s">
        <v>24269</v>
      </c>
      <c r="H3506" s="33" t="s">
        <v>941</v>
      </c>
      <c r="I3506" s="33" t="s">
        <v>19</v>
      </c>
      <c r="J3506" s="33">
        <v>70364</v>
      </c>
      <c r="K3506" s="33" t="s">
        <v>942</v>
      </c>
      <c r="L3506" s="33" t="s">
        <v>24270</v>
      </c>
      <c r="M3506" s="33" t="s">
        <v>21</v>
      </c>
      <c r="N3506" s="33" t="s">
        <v>24271</v>
      </c>
      <c r="O3506" s="33" t="s">
        <v>372</v>
      </c>
      <c r="P3506" s="33" t="s">
        <v>30089</v>
      </c>
      <c r="Q3506" s="40" t="s">
        <v>24272</v>
      </c>
      <c r="R3506" s="33" t="s">
        <v>512</v>
      </c>
      <c r="S3506" s="33" t="s">
        <v>22</v>
      </c>
      <c r="T3506" s="33" t="s">
        <v>26781</v>
      </c>
      <c r="U3506" s="33" t="s">
        <v>26572</v>
      </c>
      <c r="V3506" s="33" t="s">
        <v>26573</v>
      </c>
      <c r="W3506" s="33" t="s">
        <v>512</v>
      </c>
      <c r="X3506" s="33">
        <v>2009</v>
      </c>
      <c r="Z3506" s="33" t="s">
        <v>42968</v>
      </c>
      <c r="AA3506" s="33">
        <v>4158</v>
      </c>
    </row>
    <row r="3507" spans="1:27" ht="12" customHeight="1" x14ac:dyDescent="0.15">
      <c r="A3507" s="33" t="s">
        <v>24262</v>
      </c>
      <c r="B3507" s="33">
        <v>49</v>
      </c>
      <c r="C3507" s="33" t="s">
        <v>14</v>
      </c>
      <c r="D3507" s="33" t="s">
        <v>42</v>
      </c>
      <c r="E3507" s="33" t="s">
        <v>24263</v>
      </c>
      <c r="F3507" s="67">
        <v>42676</v>
      </c>
      <c r="G3507" s="33" t="s">
        <v>24264</v>
      </c>
      <c r="H3507" s="33" t="s">
        <v>1716</v>
      </c>
      <c r="I3507" s="33" t="s">
        <v>395</v>
      </c>
      <c r="J3507" s="33">
        <v>10461</v>
      </c>
      <c r="K3507" s="33" t="s">
        <v>1716</v>
      </c>
      <c r="L3507" s="33" t="s">
        <v>539</v>
      </c>
      <c r="M3507" s="33" t="s">
        <v>363</v>
      </c>
      <c r="N3507" s="33" t="s">
        <v>24265</v>
      </c>
      <c r="O3507" s="33" t="s">
        <v>372</v>
      </c>
      <c r="P3507" s="33" t="s">
        <v>30089</v>
      </c>
      <c r="Q3507" s="40" t="s">
        <v>24266</v>
      </c>
      <c r="R3507" s="33" t="s">
        <v>512</v>
      </c>
      <c r="S3507" s="33" t="s">
        <v>22</v>
      </c>
      <c r="T3507" s="33" t="s">
        <v>29866</v>
      </c>
      <c r="U3507" s="33" t="s">
        <v>26572</v>
      </c>
      <c r="V3507" s="33" t="s">
        <v>26573</v>
      </c>
      <c r="Z3507" s="33" t="s">
        <v>42966</v>
      </c>
      <c r="AA3507" s="33">
        <v>4157</v>
      </c>
    </row>
    <row r="3508" spans="1:27" ht="12" customHeight="1" x14ac:dyDescent="0.15">
      <c r="A3508" s="33" t="s">
        <v>24273</v>
      </c>
      <c r="B3508" s="33">
        <v>40</v>
      </c>
      <c r="C3508" s="33" t="s">
        <v>14</v>
      </c>
      <c r="D3508" s="33" t="s">
        <v>31</v>
      </c>
      <c r="F3508" s="67">
        <v>42676</v>
      </c>
      <c r="G3508" s="33" t="s">
        <v>24274</v>
      </c>
      <c r="H3508" s="33" t="s">
        <v>563</v>
      </c>
      <c r="I3508" s="33" t="s">
        <v>221</v>
      </c>
      <c r="J3508" s="33">
        <v>84088</v>
      </c>
      <c r="K3508" s="33" t="s">
        <v>564</v>
      </c>
      <c r="L3508" s="33" t="s">
        <v>565</v>
      </c>
      <c r="M3508" s="33" t="s">
        <v>21</v>
      </c>
      <c r="N3508" s="33" t="s">
        <v>24275</v>
      </c>
      <c r="O3508" s="33" t="s">
        <v>372</v>
      </c>
      <c r="P3508" s="33" t="s">
        <v>30089</v>
      </c>
      <c r="Q3508" s="40" t="s">
        <v>24276</v>
      </c>
      <c r="R3508" s="33" t="s">
        <v>94</v>
      </c>
      <c r="S3508" s="33" t="s">
        <v>29</v>
      </c>
      <c r="T3508" s="33" t="s">
        <v>26575</v>
      </c>
      <c r="U3508" s="33" t="s">
        <v>26575</v>
      </c>
      <c r="V3508" s="33" t="s">
        <v>19228</v>
      </c>
      <c r="W3508" s="33" t="s">
        <v>94</v>
      </c>
      <c r="X3508" s="33">
        <v>2010</v>
      </c>
      <c r="Z3508" s="33" t="s">
        <v>42968</v>
      </c>
      <c r="AA3508" s="33">
        <v>4159</v>
      </c>
    </row>
    <row r="3509" spans="1:27" ht="12" customHeight="1" x14ac:dyDescent="0.15">
      <c r="A3509" s="33" t="s">
        <v>24253</v>
      </c>
      <c r="B3509" s="33">
        <v>39</v>
      </c>
      <c r="C3509" s="33" t="s">
        <v>14</v>
      </c>
      <c r="D3509" s="33" t="s">
        <v>31</v>
      </c>
      <c r="F3509" s="67">
        <v>42675</v>
      </c>
      <c r="G3509" s="33" t="s">
        <v>24254</v>
      </c>
      <c r="H3509" s="33" t="s">
        <v>24255</v>
      </c>
      <c r="I3509" s="33" t="s">
        <v>367</v>
      </c>
      <c r="J3509" s="33">
        <v>73703</v>
      </c>
      <c r="K3509" s="33" t="s">
        <v>4026</v>
      </c>
      <c r="L3509" s="33" t="s">
        <v>24256</v>
      </c>
      <c r="M3509" s="33" t="s">
        <v>5157</v>
      </c>
      <c r="N3509" s="33" t="s">
        <v>37066</v>
      </c>
      <c r="O3509" s="33" t="s">
        <v>372</v>
      </c>
      <c r="P3509" s="33" t="s">
        <v>30089</v>
      </c>
      <c r="Q3509" s="40" t="s">
        <v>24257</v>
      </c>
      <c r="R3509" s="33" t="s">
        <v>94</v>
      </c>
      <c r="S3509" s="33" t="s">
        <v>12</v>
      </c>
      <c r="T3509" s="33" t="s">
        <v>29705</v>
      </c>
      <c r="U3509" s="33" t="s">
        <v>26570</v>
      </c>
      <c r="V3509" s="33" t="s">
        <v>26573</v>
      </c>
      <c r="Z3509" s="33" t="s">
        <v>42968</v>
      </c>
      <c r="AA3509" s="33">
        <v>4156</v>
      </c>
    </row>
    <row r="3510" spans="1:27" ht="12" customHeight="1" x14ac:dyDescent="0.15">
      <c r="A3510" s="33" t="s">
        <v>24258</v>
      </c>
      <c r="B3510" s="33">
        <v>21</v>
      </c>
      <c r="C3510" s="33" t="s">
        <v>14</v>
      </c>
      <c r="D3510" s="33" t="s">
        <v>79</v>
      </c>
      <c r="E3510" s="33" t="s">
        <v>24259</v>
      </c>
      <c r="F3510" s="67">
        <v>42675</v>
      </c>
      <c r="G3510" s="33" t="s">
        <v>24260</v>
      </c>
      <c r="H3510" s="33" t="s">
        <v>1645</v>
      </c>
      <c r="I3510" s="33" t="s">
        <v>39</v>
      </c>
      <c r="J3510" s="33">
        <v>95219</v>
      </c>
      <c r="K3510" s="33" t="s">
        <v>1647</v>
      </c>
      <c r="L3510" s="33" t="s">
        <v>24673</v>
      </c>
      <c r="M3510" s="33" t="s">
        <v>21</v>
      </c>
      <c r="N3510" s="33" t="s">
        <v>36667</v>
      </c>
      <c r="O3510" s="33" t="s">
        <v>372</v>
      </c>
      <c r="P3510" s="33" t="s">
        <v>30089</v>
      </c>
      <c r="Q3510" s="40" t="s">
        <v>24261</v>
      </c>
      <c r="R3510" s="33" t="s">
        <v>94</v>
      </c>
      <c r="S3510" s="33" t="s">
        <v>22</v>
      </c>
      <c r="T3510" s="33" t="s">
        <v>26781</v>
      </c>
      <c r="U3510" s="33" t="s">
        <v>26572</v>
      </c>
      <c r="V3510" s="33" t="s">
        <v>26573</v>
      </c>
      <c r="Y3510" s="33" t="s">
        <v>42476</v>
      </c>
      <c r="Z3510" s="33" t="s">
        <v>42968</v>
      </c>
      <c r="AA3510" s="33">
        <v>4155</v>
      </c>
    </row>
    <row r="3511" spans="1:27" ht="12" customHeight="1" x14ac:dyDescent="0.15">
      <c r="A3511" s="33" t="s">
        <v>24249</v>
      </c>
      <c r="B3511" s="33">
        <v>76</v>
      </c>
      <c r="C3511" s="33" t="s">
        <v>14</v>
      </c>
      <c r="D3511" s="33" t="s">
        <v>31</v>
      </c>
      <c r="F3511" s="67">
        <v>42675</v>
      </c>
      <c r="G3511" s="33" t="s">
        <v>24250</v>
      </c>
      <c r="H3511" s="33" t="s">
        <v>696</v>
      </c>
      <c r="I3511" s="33" t="s">
        <v>250</v>
      </c>
      <c r="J3511" s="33">
        <v>89701</v>
      </c>
      <c r="K3511" s="33" t="s">
        <v>696</v>
      </c>
      <c r="L3511" s="33" t="s">
        <v>5796</v>
      </c>
      <c r="M3511" s="33" t="s">
        <v>21</v>
      </c>
      <c r="N3511" s="33" t="s">
        <v>24251</v>
      </c>
      <c r="O3511" s="33" t="s">
        <v>372</v>
      </c>
      <c r="P3511" s="33" t="s">
        <v>30089</v>
      </c>
      <c r="Q3511" s="40" t="s">
        <v>24252</v>
      </c>
      <c r="R3511" s="33" t="s">
        <v>23</v>
      </c>
      <c r="S3511" s="33" t="s">
        <v>22</v>
      </c>
      <c r="T3511" s="33" t="s">
        <v>26781</v>
      </c>
      <c r="U3511" s="33" t="s">
        <v>26570</v>
      </c>
      <c r="V3511" s="33" t="s">
        <v>26573</v>
      </c>
      <c r="W3511" s="33" t="s">
        <v>94</v>
      </c>
      <c r="X3511" s="33">
        <v>2008</v>
      </c>
      <c r="Z3511" s="33" t="s">
        <v>42966</v>
      </c>
      <c r="AA3511" s="33">
        <v>4154</v>
      </c>
    </row>
    <row r="3512" spans="1:27" ht="12" customHeight="1" x14ac:dyDescent="0.15">
      <c r="A3512" s="33" t="s">
        <v>24244</v>
      </c>
      <c r="B3512" s="33">
        <v>39</v>
      </c>
      <c r="C3512" s="33" t="s">
        <v>103</v>
      </c>
      <c r="D3512" s="33" t="s">
        <v>79</v>
      </c>
      <c r="F3512" s="67">
        <v>42674</v>
      </c>
      <c r="G3512" s="33" t="s">
        <v>24245</v>
      </c>
      <c r="H3512" s="33" t="s">
        <v>24246</v>
      </c>
      <c r="I3512" s="33" t="s">
        <v>39</v>
      </c>
      <c r="J3512" s="33">
        <v>90501</v>
      </c>
      <c r="K3512" s="33" t="s">
        <v>92</v>
      </c>
      <c r="L3512" s="33" t="s">
        <v>11300</v>
      </c>
      <c r="M3512" s="33" t="s">
        <v>21</v>
      </c>
      <c r="N3512" s="33" t="s">
        <v>24247</v>
      </c>
      <c r="O3512" s="33" t="s">
        <v>372</v>
      </c>
      <c r="P3512" s="33" t="s">
        <v>30089</v>
      </c>
      <c r="Q3512" s="40" t="s">
        <v>24248</v>
      </c>
      <c r="R3512" s="33" t="s">
        <v>512</v>
      </c>
      <c r="S3512" s="33" t="s">
        <v>351</v>
      </c>
      <c r="T3512" s="33" t="s">
        <v>26867</v>
      </c>
      <c r="U3512" s="33" t="s">
        <v>26572</v>
      </c>
      <c r="V3512" s="33" t="s">
        <v>26571</v>
      </c>
      <c r="W3512" s="33" t="s">
        <v>94</v>
      </c>
      <c r="X3512" s="33">
        <v>2006</v>
      </c>
      <c r="Z3512" s="33" t="s">
        <v>42966</v>
      </c>
      <c r="AA3512" s="33">
        <v>4153</v>
      </c>
    </row>
    <row r="3513" spans="1:27" ht="12" customHeight="1" x14ac:dyDescent="0.15">
      <c r="A3513" s="33" t="s">
        <v>24239</v>
      </c>
      <c r="B3513" s="33">
        <v>55</v>
      </c>
      <c r="C3513" s="33" t="s">
        <v>14</v>
      </c>
      <c r="D3513" s="33" t="s">
        <v>42</v>
      </c>
      <c r="F3513" s="67">
        <v>42674</v>
      </c>
      <c r="G3513" s="33" t="s">
        <v>24240</v>
      </c>
      <c r="H3513" s="33" t="s">
        <v>24241</v>
      </c>
      <c r="I3513" s="33" t="s">
        <v>39</v>
      </c>
      <c r="J3513" s="33">
        <v>91311</v>
      </c>
      <c r="K3513" s="33" t="s">
        <v>92</v>
      </c>
      <c r="L3513" s="33" t="s">
        <v>386</v>
      </c>
      <c r="M3513" s="33" t="s">
        <v>21</v>
      </c>
      <c r="N3513" s="33" t="s">
        <v>24242</v>
      </c>
      <c r="O3513" s="33" t="s">
        <v>372</v>
      </c>
      <c r="P3513" s="33" t="s">
        <v>30089</v>
      </c>
      <c r="Q3513" s="40" t="s">
        <v>24243</v>
      </c>
      <c r="R3513" s="33" t="s">
        <v>94</v>
      </c>
      <c r="S3513" s="33" t="s">
        <v>22</v>
      </c>
      <c r="T3513" s="33" t="s">
        <v>26774</v>
      </c>
      <c r="U3513" s="33" t="s">
        <v>26572</v>
      </c>
      <c r="V3513" s="33" t="s">
        <v>26573</v>
      </c>
      <c r="W3513" s="33" t="s">
        <v>94</v>
      </c>
      <c r="X3513" s="33">
        <v>2007</v>
      </c>
      <c r="Z3513" s="33" t="s">
        <v>42968</v>
      </c>
      <c r="AA3513" s="33">
        <v>4151</v>
      </c>
    </row>
    <row r="3514" spans="1:27" ht="12" customHeight="1" x14ac:dyDescent="0.15">
      <c r="A3514" s="33" t="s">
        <v>26719</v>
      </c>
      <c r="B3514" s="33">
        <v>31</v>
      </c>
      <c r="C3514" s="33" t="s">
        <v>103</v>
      </c>
      <c r="D3514" s="33" t="s">
        <v>31</v>
      </c>
      <c r="F3514" s="67">
        <v>42674</v>
      </c>
      <c r="G3514" s="33" t="s">
        <v>29902</v>
      </c>
      <c r="H3514" s="33" t="s">
        <v>25309</v>
      </c>
      <c r="I3514" s="33" t="s">
        <v>63</v>
      </c>
      <c r="J3514" s="33" t="s">
        <v>29903</v>
      </c>
      <c r="K3514" s="33" t="s">
        <v>995</v>
      </c>
      <c r="L3514" s="33" t="s">
        <v>25310</v>
      </c>
      <c r="M3514" s="33" t="s">
        <v>21</v>
      </c>
      <c r="N3514" s="33" t="s">
        <v>36668</v>
      </c>
      <c r="O3514" s="33" t="s">
        <v>372</v>
      </c>
      <c r="P3514" s="33" t="s">
        <v>30089</v>
      </c>
      <c r="Q3514" s="40" t="s">
        <v>29904</v>
      </c>
      <c r="R3514" s="33" t="s">
        <v>94</v>
      </c>
      <c r="S3514" s="33" t="s">
        <v>22</v>
      </c>
      <c r="T3514" s="33" t="s">
        <v>26781</v>
      </c>
      <c r="U3514" s="33" t="s">
        <v>26572</v>
      </c>
      <c r="V3514" s="33" t="s">
        <v>19228</v>
      </c>
      <c r="W3514" s="33" t="s">
        <v>94</v>
      </c>
      <c r="X3514" s="33">
        <v>2035</v>
      </c>
      <c r="Z3514" s="33" t="s">
        <v>42967</v>
      </c>
      <c r="AA3514" s="33">
        <v>4150</v>
      </c>
    </row>
    <row r="3515" spans="1:27" ht="12" customHeight="1" x14ac:dyDescent="0.15">
      <c r="A3515" s="33" t="s">
        <v>24566</v>
      </c>
      <c r="B3515" s="33">
        <v>46</v>
      </c>
      <c r="C3515" s="33" t="s">
        <v>14</v>
      </c>
      <c r="D3515" s="33" t="s">
        <v>31</v>
      </c>
      <c r="F3515" s="67">
        <v>42674</v>
      </c>
      <c r="G3515" s="33" t="s">
        <v>24570</v>
      </c>
      <c r="H3515" s="33" t="s">
        <v>183</v>
      </c>
      <c r="I3515" s="33" t="s">
        <v>39</v>
      </c>
      <c r="J3515" s="33">
        <v>93727</v>
      </c>
      <c r="K3515" s="33" t="s">
        <v>183</v>
      </c>
      <c r="L3515" s="33" t="s">
        <v>1493</v>
      </c>
      <c r="M3515" s="33" t="s">
        <v>21</v>
      </c>
      <c r="N3515" s="33" t="s">
        <v>24567</v>
      </c>
      <c r="O3515" s="33" t="s">
        <v>24568</v>
      </c>
      <c r="P3515" s="33" t="s">
        <v>30089</v>
      </c>
      <c r="Q3515" s="40" t="s">
        <v>24569</v>
      </c>
      <c r="R3515" s="33" t="s">
        <v>94</v>
      </c>
      <c r="S3515" s="33" t="s">
        <v>12</v>
      </c>
      <c r="T3515" s="33" t="s">
        <v>29705</v>
      </c>
      <c r="U3515" s="33" t="s">
        <v>26570</v>
      </c>
      <c r="V3515" s="33" t="s">
        <v>26573</v>
      </c>
      <c r="Z3515" s="33" t="s">
        <v>42968</v>
      </c>
      <c r="AA3515" s="33">
        <v>4152</v>
      </c>
    </row>
    <row r="3516" spans="1:27" ht="12" customHeight="1" x14ac:dyDescent="0.15">
      <c r="A3516" s="33" t="s">
        <v>24218</v>
      </c>
      <c r="B3516" s="33">
        <v>34</v>
      </c>
      <c r="C3516" s="33" t="s">
        <v>14</v>
      </c>
      <c r="D3516" s="33" t="s">
        <v>31</v>
      </c>
      <c r="F3516" s="67">
        <v>42673</v>
      </c>
      <c r="G3516" s="33" t="s">
        <v>24219</v>
      </c>
      <c r="H3516" s="33" t="s">
        <v>3413</v>
      </c>
      <c r="I3516" s="33" t="s">
        <v>112</v>
      </c>
      <c r="J3516" s="33">
        <v>86409</v>
      </c>
      <c r="K3516" s="33" t="s">
        <v>5363</v>
      </c>
      <c r="L3516" s="33" t="s">
        <v>13350</v>
      </c>
      <c r="M3516" s="33" t="s">
        <v>21</v>
      </c>
      <c r="N3516" s="33" t="s">
        <v>24220</v>
      </c>
      <c r="O3516" s="33" t="s">
        <v>372</v>
      </c>
      <c r="P3516" s="33" t="s">
        <v>30089</v>
      </c>
      <c r="Q3516" s="40" t="s">
        <v>24221</v>
      </c>
      <c r="R3516" s="33" t="s">
        <v>94</v>
      </c>
      <c r="S3516" s="33" t="s">
        <v>351</v>
      </c>
      <c r="T3516" s="33" t="s">
        <v>26867</v>
      </c>
      <c r="U3516" s="33" t="s">
        <v>26570</v>
      </c>
      <c r="V3516" s="33" t="s">
        <v>26571</v>
      </c>
      <c r="W3516" s="33" t="s">
        <v>94</v>
      </c>
      <c r="X3516" s="33">
        <v>2003</v>
      </c>
      <c r="Z3516" s="33" t="s">
        <v>42967</v>
      </c>
      <c r="AA3516" s="33">
        <v>4149</v>
      </c>
    </row>
    <row r="3517" spans="1:27" ht="12" customHeight="1" x14ac:dyDescent="0.15">
      <c r="A3517" s="33" t="s">
        <v>24236</v>
      </c>
      <c r="B3517" s="33">
        <v>23</v>
      </c>
      <c r="C3517" s="33" t="s">
        <v>14</v>
      </c>
      <c r="D3517" s="33" t="s">
        <v>42</v>
      </c>
      <c r="F3517" s="67">
        <v>42673</v>
      </c>
      <c r="G3517" s="33" t="s">
        <v>24543</v>
      </c>
      <c r="H3517" s="33" t="s">
        <v>11314</v>
      </c>
      <c r="I3517" s="33" t="s">
        <v>67</v>
      </c>
      <c r="J3517" s="33">
        <v>78401</v>
      </c>
      <c r="K3517" s="33" t="s">
        <v>11316</v>
      </c>
      <c r="L3517" s="33" t="s">
        <v>11317</v>
      </c>
      <c r="M3517" s="33" t="s">
        <v>21</v>
      </c>
      <c r="N3517" s="33" t="s">
        <v>24237</v>
      </c>
      <c r="O3517" s="33" t="s">
        <v>372</v>
      </c>
      <c r="P3517" s="33" t="s">
        <v>30089</v>
      </c>
      <c r="Q3517" s="40" t="s">
        <v>24238</v>
      </c>
      <c r="R3517" s="33" t="s">
        <v>94</v>
      </c>
      <c r="S3517" s="33" t="s">
        <v>22</v>
      </c>
      <c r="T3517" s="33" t="s">
        <v>26781</v>
      </c>
      <c r="U3517" s="33" t="s">
        <v>26572</v>
      </c>
      <c r="V3517" s="33" t="s">
        <v>26573</v>
      </c>
      <c r="W3517" s="33" t="s">
        <v>94</v>
      </c>
      <c r="X3517" s="33">
        <v>2004</v>
      </c>
      <c r="Z3517" s="33" t="s">
        <v>42966</v>
      </c>
      <c r="AA3517" s="33">
        <v>4146</v>
      </c>
    </row>
    <row r="3518" spans="1:27" ht="12" customHeight="1" x14ac:dyDescent="0.15">
      <c r="A3518" s="33" t="s">
        <v>24231</v>
      </c>
      <c r="B3518" s="33">
        <v>38</v>
      </c>
      <c r="C3518" s="33" t="s">
        <v>14</v>
      </c>
      <c r="D3518" s="33" t="s">
        <v>128</v>
      </c>
      <c r="E3518" s="33" t="s">
        <v>24232</v>
      </c>
      <c r="F3518" s="67">
        <v>42673</v>
      </c>
      <c r="G3518" s="33" t="s">
        <v>24233</v>
      </c>
      <c r="H3518" s="33" t="s">
        <v>5063</v>
      </c>
      <c r="I3518" s="33" t="s">
        <v>367</v>
      </c>
      <c r="J3518" s="33">
        <v>73654</v>
      </c>
      <c r="K3518" s="33" t="s">
        <v>4818</v>
      </c>
      <c r="L3518" s="33" t="s">
        <v>1904</v>
      </c>
      <c r="M3518" s="33" t="s">
        <v>21</v>
      </c>
      <c r="N3518" s="33" t="s">
        <v>24234</v>
      </c>
      <c r="O3518" s="33" t="s">
        <v>372</v>
      </c>
      <c r="P3518" s="33" t="s">
        <v>30089</v>
      </c>
      <c r="Q3518" s="40" t="s">
        <v>24235</v>
      </c>
      <c r="R3518" s="33" t="s">
        <v>94</v>
      </c>
      <c r="S3518" s="33" t="s">
        <v>22</v>
      </c>
      <c r="T3518" s="33" t="s">
        <v>26781</v>
      </c>
      <c r="U3518" s="33" t="s">
        <v>26572</v>
      </c>
      <c r="V3518" s="33" t="s">
        <v>26571</v>
      </c>
      <c r="W3518" s="33" t="s">
        <v>94</v>
      </c>
      <c r="X3518" s="33">
        <v>2005</v>
      </c>
      <c r="Z3518" s="33" t="s">
        <v>42967</v>
      </c>
      <c r="AA3518" s="33">
        <v>4147</v>
      </c>
    </row>
    <row r="3519" spans="1:27" ht="12" customHeight="1" x14ac:dyDescent="0.15">
      <c r="A3519" s="33" t="s">
        <v>24227</v>
      </c>
      <c r="B3519" s="33">
        <v>31</v>
      </c>
      <c r="C3519" s="33" t="s">
        <v>14</v>
      </c>
      <c r="D3519" s="33" t="s">
        <v>79</v>
      </c>
      <c r="F3519" s="67">
        <v>42673</v>
      </c>
      <c r="G3519" s="33" t="s">
        <v>24228</v>
      </c>
      <c r="H3519" s="33" t="s">
        <v>1586</v>
      </c>
      <c r="I3519" s="33" t="s">
        <v>40</v>
      </c>
      <c r="J3519" s="33">
        <v>2118</v>
      </c>
      <c r="K3519" s="33" t="s">
        <v>1588</v>
      </c>
      <c r="L3519" s="33" t="s">
        <v>2980</v>
      </c>
      <c r="M3519" s="33" t="s">
        <v>21</v>
      </c>
      <c r="N3519" s="33" t="s">
        <v>24229</v>
      </c>
      <c r="O3519" s="33" t="s">
        <v>372</v>
      </c>
      <c r="P3519" s="33" t="s">
        <v>30089</v>
      </c>
      <c r="Q3519" s="40" t="s">
        <v>24230</v>
      </c>
      <c r="R3519" s="33" t="s">
        <v>512</v>
      </c>
      <c r="S3519" s="33" t="s">
        <v>22</v>
      </c>
      <c r="T3519" s="33" t="s">
        <v>26774</v>
      </c>
      <c r="U3519" s="33" t="s">
        <v>26570</v>
      </c>
      <c r="V3519" s="33" t="s">
        <v>26573</v>
      </c>
      <c r="W3519" s="33" t="s">
        <v>94</v>
      </c>
      <c r="X3519" s="33">
        <v>1999</v>
      </c>
      <c r="Z3519" s="33" t="s">
        <v>42966</v>
      </c>
      <c r="AA3519" s="33">
        <v>4148</v>
      </c>
    </row>
    <row r="3520" spans="1:27" ht="12" customHeight="1" x14ac:dyDescent="0.15">
      <c r="A3520" s="33" t="s">
        <v>24222</v>
      </c>
      <c r="B3520" s="33">
        <v>21</v>
      </c>
      <c r="C3520" s="33" t="s">
        <v>14</v>
      </c>
      <c r="D3520" s="33" t="s">
        <v>42</v>
      </c>
      <c r="F3520" s="67">
        <v>42672</v>
      </c>
      <c r="G3520" s="33" t="s">
        <v>24223</v>
      </c>
      <c r="H3520" s="33" t="s">
        <v>24224</v>
      </c>
      <c r="I3520" s="33" t="s">
        <v>67</v>
      </c>
      <c r="J3520" s="33">
        <v>79855</v>
      </c>
      <c r="K3520" s="33" t="s">
        <v>24225</v>
      </c>
      <c r="L3520" s="33" t="s">
        <v>36669</v>
      </c>
      <c r="M3520" s="33" t="s">
        <v>21</v>
      </c>
      <c r="N3520" s="33" t="s">
        <v>36670</v>
      </c>
      <c r="O3520" s="33" t="s">
        <v>372</v>
      </c>
      <c r="P3520" s="33" t="s">
        <v>30089</v>
      </c>
      <c r="Q3520" s="40" t="s">
        <v>24226</v>
      </c>
      <c r="R3520" s="33" t="s">
        <v>94</v>
      </c>
      <c r="S3520" s="33" t="s">
        <v>22</v>
      </c>
      <c r="T3520" s="33" t="s">
        <v>26774</v>
      </c>
      <c r="U3520" s="33" t="s">
        <v>26572</v>
      </c>
      <c r="V3520" s="33" t="s">
        <v>26573</v>
      </c>
      <c r="Z3520" s="33" t="s">
        <v>42967</v>
      </c>
      <c r="AA3520" s="33">
        <v>4145</v>
      </c>
    </row>
    <row r="3521" spans="1:27" ht="12" customHeight="1" x14ac:dyDescent="0.15">
      <c r="A3521" s="33" t="s">
        <v>24207</v>
      </c>
      <c r="B3521" s="33">
        <v>45</v>
      </c>
      <c r="C3521" s="33" t="s">
        <v>14</v>
      </c>
      <c r="D3521" s="33" t="s">
        <v>15</v>
      </c>
      <c r="E3521" s="33" t="s">
        <v>24208</v>
      </c>
      <c r="F3521" s="67">
        <v>42671</v>
      </c>
      <c r="G3521" s="33" t="s">
        <v>24209</v>
      </c>
      <c r="H3521" s="33" t="s">
        <v>24210</v>
      </c>
      <c r="I3521" s="33" t="s">
        <v>63</v>
      </c>
      <c r="J3521" s="33">
        <v>44133</v>
      </c>
      <c r="K3521" s="33" t="s">
        <v>95</v>
      </c>
      <c r="L3521" s="33" t="s">
        <v>24211</v>
      </c>
      <c r="M3521" s="33" t="s">
        <v>21</v>
      </c>
      <c r="N3521" s="33" t="s">
        <v>24212</v>
      </c>
      <c r="O3521" s="33" t="s">
        <v>372</v>
      </c>
      <c r="P3521" s="33" t="s">
        <v>30089</v>
      </c>
      <c r="Q3521" s="40" t="s">
        <v>24213</v>
      </c>
      <c r="R3521" s="33" t="s">
        <v>512</v>
      </c>
      <c r="S3521" s="33" t="s">
        <v>22</v>
      </c>
      <c r="T3521" s="33" t="s">
        <v>26774</v>
      </c>
      <c r="U3521" s="33" t="s">
        <v>26572</v>
      </c>
      <c r="V3521" s="33" t="s">
        <v>26573</v>
      </c>
      <c r="W3521" s="33" t="s">
        <v>94</v>
      </c>
      <c r="X3521" s="33">
        <v>2002</v>
      </c>
      <c r="Z3521" s="33" t="s">
        <v>42968</v>
      </c>
      <c r="AA3521" s="33">
        <v>4144</v>
      </c>
    </row>
    <row r="3522" spans="1:27" ht="12" customHeight="1" x14ac:dyDescent="0.15">
      <c r="A3522" s="33" t="s">
        <v>24201</v>
      </c>
      <c r="B3522" s="33">
        <v>37</v>
      </c>
      <c r="C3522" s="33" t="s">
        <v>14</v>
      </c>
      <c r="D3522" s="33" t="s">
        <v>31</v>
      </c>
      <c r="F3522" s="67">
        <v>42671</v>
      </c>
      <c r="G3522" s="33" t="s">
        <v>24202</v>
      </c>
      <c r="H3522" s="33" t="s">
        <v>24203</v>
      </c>
      <c r="I3522" s="33" t="s">
        <v>122</v>
      </c>
      <c r="J3522" s="33">
        <v>56248</v>
      </c>
      <c r="K3522" s="33" t="s">
        <v>369</v>
      </c>
      <c r="L3522" s="33" t="s">
        <v>24204</v>
      </c>
      <c r="M3522" s="33" t="s">
        <v>21</v>
      </c>
      <c r="N3522" s="33" t="s">
        <v>24205</v>
      </c>
      <c r="O3522" s="33" t="s">
        <v>372</v>
      </c>
      <c r="P3522" s="33" t="s">
        <v>30089</v>
      </c>
      <c r="Q3522" s="40" t="s">
        <v>24206</v>
      </c>
      <c r="R3522" s="33" t="s">
        <v>904</v>
      </c>
      <c r="S3522" s="33" t="s">
        <v>22</v>
      </c>
      <c r="T3522" s="33" t="s">
        <v>26781</v>
      </c>
      <c r="U3522" s="33" t="s">
        <v>26572</v>
      </c>
      <c r="V3522" s="33" t="s">
        <v>19228</v>
      </c>
      <c r="W3522" s="33" t="s">
        <v>94</v>
      </c>
      <c r="X3522" s="33">
        <v>2000</v>
      </c>
      <c r="Z3522" s="33" t="s">
        <v>42967</v>
      </c>
      <c r="AA3522" s="33">
        <v>4142</v>
      </c>
    </row>
    <row r="3523" spans="1:27" ht="12" customHeight="1" x14ac:dyDescent="0.15">
      <c r="A3523" s="33" t="s">
        <v>24214</v>
      </c>
      <c r="B3523" s="33">
        <v>38</v>
      </c>
      <c r="C3523" s="33" t="s">
        <v>14</v>
      </c>
      <c r="D3523" s="33" t="s">
        <v>79</v>
      </c>
      <c r="E3523" s="33" t="s">
        <v>24215</v>
      </c>
      <c r="F3523" s="67">
        <v>42671</v>
      </c>
      <c r="G3523" s="33" t="s">
        <v>24216</v>
      </c>
      <c r="H3523" s="33" t="s">
        <v>1537</v>
      </c>
      <c r="I3523" s="33" t="s">
        <v>39</v>
      </c>
      <c r="J3523" s="33">
        <v>95841</v>
      </c>
      <c r="K3523" s="33" t="s">
        <v>1537</v>
      </c>
      <c r="L3523" s="33" t="s">
        <v>897</v>
      </c>
      <c r="M3523" s="33" t="s">
        <v>21</v>
      </c>
      <c r="N3523" s="33" t="s">
        <v>36671</v>
      </c>
      <c r="O3523" s="33" t="s">
        <v>372</v>
      </c>
      <c r="P3523" s="33" t="s">
        <v>30089</v>
      </c>
      <c r="Q3523" s="40" t="s">
        <v>24217</v>
      </c>
      <c r="R3523" s="33" t="s">
        <v>512</v>
      </c>
      <c r="S3523" s="33" t="s">
        <v>22</v>
      </c>
      <c r="T3523" s="33" t="s">
        <v>26781</v>
      </c>
      <c r="U3523" s="33" t="s">
        <v>26572</v>
      </c>
      <c r="V3523" s="33" t="s">
        <v>26573</v>
      </c>
      <c r="W3523" s="33" t="s">
        <v>94</v>
      </c>
      <c r="X3523" s="33">
        <v>2001</v>
      </c>
      <c r="Z3523" s="33" t="s">
        <v>42968</v>
      </c>
      <c r="AA3523" s="33">
        <v>4143</v>
      </c>
    </row>
    <row r="3524" spans="1:27" ht="12" customHeight="1" x14ac:dyDescent="0.15">
      <c r="A3524" s="33" t="s">
        <v>24181</v>
      </c>
      <c r="B3524" s="33">
        <v>32</v>
      </c>
      <c r="C3524" s="33" t="s">
        <v>14</v>
      </c>
      <c r="D3524" s="33" t="s">
        <v>31</v>
      </c>
      <c r="E3524" s="33" t="s">
        <v>24182</v>
      </c>
      <c r="F3524" s="67">
        <v>42670</v>
      </c>
      <c r="G3524" s="33" t="s">
        <v>24183</v>
      </c>
      <c r="H3524" s="33" t="s">
        <v>4219</v>
      </c>
      <c r="I3524" s="33" t="s">
        <v>798</v>
      </c>
      <c r="J3524" s="33">
        <v>59101</v>
      </c>
      <c r="K3524" s="33" t="s">
        <v>4221</v>
      </c>
      <c r="L3524" s="33" t="s">
        <v>9485</v>
      </c>
      <c r="M3524" s="33" t="s">
        <v>21</v>
      </c>
      <c r="N3524" s="33" t="s">
        <v>24184</v>
      </c>
      <c r="O3524" s="33" t="s">
        <v>372</v>
      </c>
      <c r="P3524" s="33" t="s">
        <v>30089</v>
      </c>
      <c r="Q3524" s="40" t="s">
        <v>24185</v>
      </c>
      <c r="R3524" s="33" t="s">
        <v>512</v>
      </c>
      <c r="S3524" s="33" t="s">
        <v>22</v>
      </c>
      <c r="T3524" s="33" t="s">
        <v>26781</v>
      </c>
      <c r="U3524" s="33" t="s">
        <v>26570</v>
      </c>
      <c r="V3524" s="33" t="s">
        <v>26573</v>
      </c>
      <c r="W3524" s="33" t="s">
        <v>94</v>
      </c>
      <c r="X3524" s="33">
        <v>1995</v>
      </c>
      <c r="Z3524" s="33" t="s">
        <v>42968</v>
      </c>
      <c r="AA3524" s="33">
        <v>4138</v>
      </c>
    </row>
    <row r="3525" spans="1:27" ht="12" customHeight="1" x14ac:dyDescent="0.15">
      <c r="A3525" s="33" t="s">
        <v>24574</v>
      </c>
      <c r="B3525" s="33">
        <v>33</v>
      </c>
      <c r="C3525" s="33" t="s">
        <v>14</v>
      </c>
      <c r="D3525" s="33" t="s">
        <v>79</v>
      </c>
      <c r="F3525" s="67">
        <v>42670</v>
      </c>
      <c r="G3525" s="33" t="s">
        <v>24542</v>
      </c>
      <c r="H3525" s="33" t="s">
        <v>532</v>
      </c>
      <c r="I3525" s="33" t="s">
        <v>67</v>
      </c>
      <c r="J3525" s="33">
        <v>78209</v>
      </c>
      <c r="K3525" s="33" t="s">
        <v>533</v>
      </c>
      <c r="L3525" s="33" t="s">
        <v>534</v>
      </c>
      <c r="M3525" s="33" t="s">
        <v>21</v>
      </c>
      <c r="N3525" s="33" t="s">
        <v>24193</v>
      </c>
      <c r="O3525" s="33" t="s">
        <v>372</v>
      </c>
      <c r="P3525" s="33" t="s">
        <v>30089</v>
      </c>
      <c r="Q3525" s="40" t="s">
        <v>24194</v>
      </c>
      <c r="R3525" s="33" t="s">
        <v>94</v>
      </c>
      <c r="S3525" s="33" t="s">
        <v>22</v>
      </c>
      <c r="T3525" s="33" t="s">
        <v>29419</v>
      </c>
      <c r="U3525" s="33" t="s">
        <v>26570</v>
      </c>
      <c r="V3525" s="33" t="s">
        <v>26573</v>
      </c>
      <c r="W3525" s="33" t="s">
        <v>94</v>
      </c>
      <c r="X3525" s="33">
        <v>1997</v>
      </c>
      <c r="Z3525" s="33" t="s">
        <v>42968</v>
      </c>
      <c r="AA3525" s="33">
        <v>4139</v>
      </c>
    </row>
    <row r="3526" spans="1:27" ht="12" customHeight="1" x14ac:dyDescent="0.15">
      <c r="A3526" s="33" t="s">
        <v>24186</v>
      </c>
      <c r="B3526" s="33">
        <v>24</v>
      </c>
      <c r="C3526" s="33" t="s">
        <v>14</v>
      </c>
      <c r="D3526" s="33" t="s">
        <v>42</v>
      </c>
      <c r="E3526" s="33" t="s">
        <v>24187</v>
      </c>
      <c r="F3526" s="67">
        <v>42670</v>
      </c>
      <c r="G3526" s="33" t="s">
        <v>24188</v>
      </c>
      <c r="H3526" s="33" t="s">
        <v>24189</v>
      </c>
      <c r="I3526" s="33" t="s">
        <v>160</v>
      </c>
      <c r="J3526" s="33">
        <v>30634</v>
      </c>
      <c r="K3526" s="33" t="s">
        <v>24190</v>
      </c>
      <c r="L3526" s="33" t="s">
        <v>17985</v>
      </c>
      <c r="M3526" s="33" t="s">
        <v>21</v>
      </c>
      <c r="N3526" s="33" t="s">
        <v>24191</v>
      </c>
      <c r="O3526" s="33" t="s">
        <v>372</v>
      </c>
      <c r="P3526" s="33" t="s">
        <v>30089</v>
      </c>
      <c r="Q3526" s="40" t="s">
        <v>24192</v>
      </c>
      <c r="R3526" s="33" t="s">
        <v>904</v>
      </c>
      <c r="S3526" s="33" t="s">
        <v>29</v>
      </c>
      <c r="T3526" s="33" t="s">
        <v>26575</v>
      </c>
      <c r="U3526" s="33" t="s">
        <v>26572</v>
      </c>
      <c r="V3526" s="33" t="s">
        <v>26574</v>
      </c>
      <c r="W3526" s="33" t="s">
        <v>94</v>
      </c>
      <c r="X3526" s="33">
        <v>1998</v>
      </c>
      <c r="Z3526" s="33" t="s">
        <v>42967</v>
      </c>
      <c r="AA3526" s="33">
        <v>4141</v>
      </c>
    </row>
    <row r="3527" spans="1:27" ht="12" customHeight="1" x14ac:dyDescent="0.15">
      <c r="A3527" s="33" t="s">
        <v>24195</v>
      </c>
      <c r="B3527" s="33">
        <v>32</v>
      </c>
      <c r="C3527" s="33" t="s">
        <v>14</v>
      </c>
      <c r="D3527" s="33" t="s">
        <v>79</v>
      </c>
      <c r="E3527" s="33" t="s">
        <v>24196</v>
      </c>
      <c r="F3527" s="67">
        <v>42670</v>
      </c>
      <c r="G3527" s="33" t="s">
        <v>24197</v>
      </c>
      <c r="H3527" s="33" t="s">
        <v>17484</v>
      </c>
      <c r="I3527" s="33" t="s">
        <v>338</v>
      </c>
      <c r="J3527" s="33">
        <v>28170</v>
      </c>
      <c r="K3527" s="33" t="s">
        <v>4087</v>
      </c>
      <c r="L3527" s="33" t="s">
        <v>24198</v>
      </c>
      <c r="M3527" s="33" t="s">
        <v>2134</v>
      </c>
      <c r="N3527" s="33" t="s">
        <v>24199</v>
      </c>
      <c r="O3527" s="33" t="s">
        <v>372</v>
      </c>
      <c r="P3527" s="33" t="s">
        <v>30089</v>
      </c>
      <c r="Q3527" s="40" t="s">
        <v>24200</v>
      </c>
      <c r="R3527" s="33" t="s">
        <v>94</v>
      </c>
      <c r="S3527" s="33" t="s">
        <v>12</v>
      </c>
      <c r="T3527" s="33" t="s">
        <v>29705</v>
      </c>
      <c r="U3527" s="33" t="s">
        <v>26570</v>
      </c>
      <c r="V3527" s="33" t="s">
        <v>26573</v>
      </c>
      <c r="Z3527" s="33" t="s">
        <v>42967</v>
      </c>
      <c r="AA3527" s="33">
        <v>4140</v>
      </c>
    </row>
    <row r="3528" spans="1:27" ht="12" customHeight="1" x14ac:dyDescent="0.15">
      <c r="A3528" s="33" t="s">
        <v>24176</v>
      </c>
      <c r="B3528" s="33">
        <v>25</v>
      </c>
      <c r="C3528" s="33" t="s">
        <v>14</v>
      </c>
      <c r="D3528" s="33" t="s">
        <v>79</v>
      </c>
      <c r="F3528" s="67">
        <v>42669</v>
      </c>
      <c r="G3528" s="33" t="s">
        <v>24177</v>
      </c>
      <c r="H3528" s="33" t="s">
        <v>1935</v>
      </c>
      <c r="I3528" s="33" t="s">
        <v>67</v>
      </c>
      <c r="J3528" s="33">
        <v>75006</v>
      </c>
      <c r="K3528" s="33" t="s">
        <v>266</v>
      </c>
      <c r="L3528" s="33" t="s">
        <v>24178</v>
      </c>
      <c r="M3528" s="33" t="s">
        <v>21</v>
      </c>
      <c r="N3528" s="33" t="s">
        <v>24179</v>
      </c>
      <c r="O3528" s="33" t="s">
        <v>372</v>
      </c>
      <c r="P3528" s="33" t="s">
        <v>30089</v>
      </c>
      <c r="Q3528" s="40" t="s">
        <v>24180</v>
      </c>
      <c r="R3528" s="33" t="s">
        <v>94</v>
      </c>
      <c r="S3528" s="33" t="s">
        <v>22</v>
      </c>
      <c r="T3528" s="33" t="s">
        <v>26781</v>
      </c>
      <c r="U3528" s="33" t="s">
        <v>26570</v>
      </c>
      <c r="V3528" s="33" t="s">
        <v>26573</v>
      </c>
      <c r="W3528" s="33" t="s">
        <v>94</v>
      </c>
      <c r="X3528" s="33">
        <v>1994</v>
      </c>
      <c r="Z3528" s="33" t="s">
        <v>42968</v>
      </c>
      <c r="AA3528" s="33">
        <v>4136</v>
      </c>
    </row>
    <row r="3529" spans="1:27" ht="12" customHeight="1" x14ac:dyDescent="0.15">
      <c r="A3529" s="33" t="s">
        <v>24170</v>
      </c>
      <c r="B3529" s="33">
        <v>36</v>
      </c>
      <c r="C3529" s="33" t="s">
        <v>14</v>
      </c>
      <c r="D3529" s="33" t="s">
        <v>31</v>
      </c>
      <c r="F3529" s="67">
        <v>42669</v>
      </c>
      <c r="G3529" s="33" t="s">
        <v>24171</v>
      </c>
      <c r="H3529" s="33" t="s">
        <v>24172</v>
      </c>
      <c r="I3529" s="33" t="s">
        <v>367</v>
      </c>
      <c r="J3529" s="33">
        <v>74006</v>
      </c>
      <c r="K3529" s="33" t="s">
        <v>107</v>
      </c>
      <c r="L3529" s="33" t="s">
        <v>24173</v>
      </c>
      <c r="M3529" s="33" t="s">
        <v>4966</v>
      </c>
      <c r="N3529" s="33" t="s">
        <v>24174</v>
      </c>
      <c r="O3529" s="33" t="s">
        <v>372</v>
      </c>
      <c r="P3529" s="33" t="s">
        <v>30089</v>
      </c>
      <c r="Q3529" s="40" t="s">
        <v>24175</v>
      </c>
      <c r="R3529" s="33" t="s">
        <v>94</v>
      </c>
      <c r="S3529" s="33" t="s">
        <v>12</v>
      </c>
      <c r="T3529" s="33" t="s">
        <v>29705</v>
      </c>
      <c r="U3529" s="33" t="s">
        <v>26572</v>
      </c>
      <c r="V3529" s="33" t="s">
        <v>26573</v>
      </c>
      <c r="W3529" s="33" t="s">
        <v>94</v>
      </c>
      <c r="X3529" s="33">
        <v>1996</v>
      </c>
      <c r="Z3529" s="33" t="s">
        <v>42968</v>
      </c>
      <c r="AA3529" s="33">
        <v>4137</v>
      </c>
    </row>
    <row r="3530" spans="1:27" ht="12" customHeight="1" x14ac:dyDescent="0.15">
      <c r="A3530" s="33" t="s">
        <v>24167</v>
      </c>
      <c r="B3530" s="33">
        <v>46</v>
      </c>
      <c r="C3530" s="33" t="s">
        <v>14</v>
      </c>
      <c r="D3530" s="33" t="s">
        <v>79</v>
      </c>
      <c r="F3530" s="67">
        <v>42668</v>
      </c>
      <c r="G3530" s="33" t="s">
        <v>24541</v>
      </c>
      <c r="H3530" s="33" t="s">
        <v>8861</v>
      </c>
      <c r="I3530" s="33" t="s">
        <v>918</v>
      </c>
      <c r="J3530" s="33">
        <v>72202</v>
      </c>
      <c r="K3530" s="33" t="s">
        <v>2312</v>
      </c>
      <c r="L3530" s="33" t="s">
        <v>8863</v>
      </c>
      <c r="M3530" s="33" t="s">
        <v>21</v>
      </c>
      <c r="N3530" s="33" t="s">
        <v>24168</v>
      </c>
      <c r="O3530" s="33" t="s">
        <v>372</v>
      </c>
      <c r="P3530" s="33" t="s">
        <v>30089</v>
      </c>
      <c r="Q3530" s="40" t="s">
        <v>24169</v>
      </c>
      <c r="R3530" s="33" t="s">
        <v>94</v>
      </c>
      <c r="S3530" s="33" t="s">
        <v>12</v>
      </c>
      <c r="T3530" s="33" t="s">
        <v>29425</v>
      </c>
      <c r="U3530" s="33" t="s">
        <v>26570</v>
      </c>
      <c r="V3530" s="33" t="s">
        <v>26573</v>
      </c>
      <c r="W3530" s="33" t="s">
        <v>94</v>
      </c>
      <c r="X3530" s="33">
        <v>1990</v>
      </c>
      <c r="Z3530" s="33" t="s">
        <v>42966</v>
      </c>
      <c r="AA3530" s="33">
        <v>4133</v>
      </c>
    </row>
    <row r="3531" spans="1:27" ht="12" customHeight="1" x14ac:dyDescent="0.15">
      <c r="A3531" s="33" t="s">
        <v>3163</v>
      </c>
      <c r="B3531" s="33">
        <v>25</v>
      </c>
      <c r="C3531" s="33" t="s">
        <v>14</v>
      </c>
      <c r="D3531" s="33" t="s">
        <v>31</v>
      </c>
      <c r="F3531" s="67">
        <v>42668</v>
      </c>
      <c r="G3531" s="33" t="s">
        <v>24160</v>
      </c>
      <c r="H3531" s="33" t="s">
        <v>3371</v>
      </c>
      <c r="I3531" s="33" t="s">
        <v>46</v>
      </c>
      <c r="J3531" s="33">
        <v>21921</v>
      </c>
      <c r="K3531" s="33" t="s">
        <v>646</v>
      </c>
      <c r="L3531" s="33" t="s">
        <v>647</v>
      </c>
      <c r="M3531" s="33" t="s">
        <v>21</v>
      </c>
      <c r="N3531" s="33" t="s">
        <v>24161</v>
      </c>
      <c r="O3531" s="33" t="s">
        <v>372</v>
      </c>
      <c r="P3531" s="33" t="s">
        <v>30089</v>
      </c>
      <c r="Q3531" s="40" t="s">
        <v>24162</v>
      </c>
      <c r="R3531" s="33" t="s">
        <v>512</v>
      </c>
      <c r="S3531" s="33" t="s">
        <v>12</v>
      </c>
      <c r="T3531" s="33" t="s">
        <v>29425</v>
      </c>
      <c r="U3531" s="33" t="s">
        <v>26572</v>
      </c>
      <c r="V3531" s="33" t="s">
        <v>26573</v>
      </c>
      <c r="W3531" s="33" t="s">
        <v>94</v>
      </c>
      <c r="X3531" s="33">
        <v>1991</v>
      </c>
      <c r="Z3531" s="33" t="s">
        <v>42968</v>
      </c>
      <c r="AA3531" s="33">
        <v>4134</v>
      </c>
    </row>
    <row r="3532" spans="1:27" ht="12" customHeight="1" x14ac:dyDescent="0.15">
      <c r="A3532" s="33" t="s">
        <v>24158</v>
      </c>
      <c r="B3532" s="33">
        <v>25</v>
      </c>
      <c r="C3532" s="33" t="s">
        <v>103</v>
      </c>
      <c r="D3532" s="33" t="s">
        <v>31</v>
      </c>
      <c r="E3532" s="33" t="s">
        <v>24159</v>
      </c>
      <c r="F3532" s="67">
        <v>42668</v>
      </c>
      <c r="G3532" s="33" t="s">
        <v>24160</v>
      </c>
      <c r="H3532" s="33" t="s">
        <v>3371</v>
      </c>
      <c r="I3532" s="33" t="s">
        <v>46</v>
      </c>
      <c r="J3532" s="33">
        <v>21921</v>
      </c>
      <c r="K3532" s="33" t="s">
        <v>646</v>
      </c>
      <c r="L3532" s="33" t="s">
        <v>647</v>
      </c>
      <c r="M3532" s="33" t="s">
        <v>21</v>
      </c>
      <c r="N3532" s="33" t="s">
        <v>24161</v>
      </c>
      <c r="O3532" s="33" t="s">
        <v>372</v>
      </c>
      <c r="P3532" s="33" t="s">
        <v>30089</v>
      </c>
      <c r="Q3532" s="40" t="s">
        <v>24162</v>
      </c>
      <c r="R3532" s="33" t="s">
        <v>94</v>
      </c>
      <c r="S3532" s="33" t="s">
        <v>12</v>
      </c>
      <c r="T3532" s="33" t="s">
        <v>29425</v>
      </c>
      <c r="U3532" s="33" t="s">
        <v>26572</v>
      </c>
      <c r="V3532" s="33" t="s">
        <v>26573</v>
      </c>
      <c r="W3532" s="33" t="s">
        <v>94</v>
      </c>
      <c r="X3532" s="33">
        <v>1992</v>
      </c>
      <c r="Z3532" s="33" t="s">
        <v>42968</v>
      </c>
      <c r="AA3532" s="33">
        <v>4135</v>
      </c>
    </row>
    <row r="3533" spans="1:27" ht="12" customHeight="1" x14ac:dyDescent="0.15">
      <c r="A3533" s="33" t="s">
        <v>24163</v>
      </c>
      <c r="B3533" s="33">
        <v>37</v>
      </c>
      <c r="C3533" s="33" t="s">
        <v>14</v>
      </c>
      <c r="D3533" s="33" t="s">
        <v>31</v>
      </c>
      <c r="E3533" s="33" t="s">
        <v>24164</v>
      </c>
      <c r="F3533" s="67">
        <v>42668</v>
      </c>
      <c r="G3533" s="33" t="s">
        <v>24165</v>
      </c>
      <c r="H3533" s="33" t="s">
        <v>2159</v>
      </c>
      <c r="I3533" s="33" t="s">
        <v>39</v>
      </c>
      <c r="J3533" s="33">
        <v>95648</v>
      </c>
      <c r="K3533" s="33" t="s">
        <v>1003</v>
      </c>
      <c r="L3533" s="33" t="s">
        <v>28121</v>
      </c>
      <c r="M3533" s="33" t="s">
        <v>21</v>
      </c>
      <c r="N3533" s="33" t="s">
        <v>36672</v>
      </c>
      <c r="O3533" s="33" t="s">
        <v>372</v>
      </c>
      <c r="P3533" s="33" t="s">
        <v>30089</v>
      </c>
      <c r="Q3533" s="40" t="s">
        <v>24166</v>
      </c>
      <c r="R3533" s="33" t="s">
        <v>512</v>
      </c>
      <c r="S3533" s="33" t="s">
        <v>22</v>
      </c>
      <c r="T3533" s="33" t="s">
        <v>26774</v>
      </c>
      <c r="U3533" s="33" t="s">
        <v>26570</v>
      </c>
      <c r="V3533" s="33" t="s">
        <v>26573</v>
      </c>
      <c r="W3533" s="33" t="s">
        <v>94</v>
      </c>
      <c r="X3533" s="33">
        <v>1993</v>
      </c>
      <c r="Z3533" s="33" t="s">
        <v>42968</v>
      </c>
      <c r="AA3533" s="33">
        <v>4132</v>
      </c>
    </row>
    <row r="3534" spans="1:27" ht="12" customHeight="1" x14ac:dyDescent="0.15">
      <c r="A3534" s="33" t="s">
        <v>24149</v>
      </c>
      <c r="B3534" s="33">
        <v>45</v>
      </c>
      <c r="C3534" s="33" t="s">
        <v>14</v>
      </c>
      <c r="D3534" s="33" t="s">
        <v>31</v>
      </c>
      <c r="F3534" s="67">
        <v>42667</v>
      </c>
      <c r="G3534" s="33" t="s">
        <v>24150</v>
      </c>
      <c r="H3534" s="33" t="s">
        <v>24151</v>
      </c>
      <c r="I3534" s="33" t="s">
        <v>122</v>
      </c>
      <c r="J3534" s="33">
        <v>55949</v>
      </c>
      <c r="K3534" s="33" t="s">
        <v>24152</v>
      </c>
      <c r="L3534" s="33" t="s">
        <v>25062</v>
      </c>
      <c r="M3534" s="33" t="s">
        <v>21</v>
      </c>
      <c r="N3534" s="33" t="s">
        <v>24153</v>
      </c>
      <c r="O3534" s="33" t="s">
        <v>372</v>
      </c>
      <c r="P3534" s="33" t="s">
        <v>30089</v>
      </c>
      <c r="Q3534" s="40" t="s">
        <v>24154</v>
      </c>
      <c r="R3534" s="33" t="s">
        <v>94</v>
      </c>
      <c r="S3534" s="33" t="s">
        <v>12</v>
      </c>
      <c r="T3534" s="33" t="s">
        <v>29425</v>
      </c>
      <c r="U3534" s="33" t="s">
        <v>26572</v>
      </c>
      <c r="V3534" s="33" t="s">
        <v>26573</v>
      </c>
      <c r="W3534" s="33" t="s">
        <v>94</v>
      </c>
      <c r="X3534" s="33">
        <v>1984</v>
      </c>
      <c r="Z3534" s="33" t="s">
        <v>42967</v>
      </c>
      <c r="AA3534" s="33">
        <v>4131</v>
      </c>
    </row>
    <row r="3535" spans="1:27" ht="12" customHeight="1" x14ac:dyDescent="0.15">
      <c r="A3535" s="33" t="s">
        <v>24155</v>
      </c>
      <c r="B3535" s="33">
        <v>19</v>
      </c>
      <c r="C3535" s="33" t="s">
        <v>14</v>
      </c>
      <c r="D3535" s="33" t="s">
        <v>79</v>
      </c>
      <c r="F3535" s="67">
        <v>42667</v>
      </c>
      <c r="G3535" s="33" t="s">
        <v>24540</v>
      </c>
      <c r="H3535" s="33" t="s">
        <v>661</v>
      </c>
      <c r="I3535" s="33" t="s">
        <v>402</v>
      </c>
      <c r="J3535" s="33">
        <v>63115</v>
      </c>
      <c r="K3535" s="33" t="s">
        <v>661</v>
      </c>
      <c r="L3535" s="33" t="s">
        <v>4162</v>
      </c>
      <c r="M3535" s="33" t="s">
        <v>21</v>
      </c>
      <c r="N3535" s="33" t="s">
        <v>24156</v>
      </c>
      <c r="O3535" s="33" t="s">
        <v>372</v>
      </c>
      <c r="P3535" s="33" t="s">
        <v>30089</v>
      </c>
      <c r="Q3535" s="40" t="s">
        <v>24157</v>
      </c>
      <c r="R3535" s="33" t="s">
        <v>94</v>
      </c>
      <c r="S3535" s="33" t="s">
        <v>22</v>
      </c>
      <c r="T3535" s="33" t="s">
        <v>26781</v>
      </c>
      <c r="U3535" s="33" t="s">
        <v>26572</v>
      </c>
      <c r="V3535" s="33" t="s">
        <v>26571</v>
      </c>
      <c r="W3535" s="33" t="s">
        <v>94</v>
      </c>
      <c r="X3535" s="33">
        <v>1989</v>
      </c>
      <c r="Z3535" s="33" t="s">
        <v>42966</v>
      </c>
      <c r="AA3535" s="33">
        <v>4130</v>
      </c>
    </row>
    <row r="3536" spans="1:27" ht="12" customHeight="1" x14ac:dyDescent="0.15">
      <c r="A3536" s="33" t="s">
        <v>24138</v>
      </c>
      <c r="B3536" s="33">
        <v>40</v>
      </c>
      <c r="C3536" s="33" t="s">
        <v>14</v>
      </c>
      <c r="D3536" s="33" t="s">
        <v>79</v>
      </c>
      <c r="E3536" s="33" t="s">
        <v>24139</v>
      </c>
      <c r="F3536" s="67">
        <v>42666</v>
      </c>
      <c r="G3536" s="33" t="s">
        <v>24140</v>
      </c>
      <c r="H3536" s="33" t="s">
        <v>18214</v>
      </c>
      <c r="I3536" s="33" t="s">
        <v>192</v>
      </c>
      <c r="J3536" s="33">
        <v>80909</v>
      </c>
      <c r="K3536" s="33" t="s">
        <v>801</v>
      </c>
      <c r="L3536" s="33" t="s">
        <v>18216</v>
      </c>
      <c r="M3536" s="33" t="s">
        <v>21</v>
      </c>
      <c r="N3536" s="33" t="s">
        <v>24141</v>
      </c>
      <c r="O3536" s="33" t="s">
        <v>372</v>
      </c>
      <c r="P3536" s="33" t="s">
        <v>30089</v>
      </c>
      <c r="Q3536" s="40" t="s">
        <v>24142</v>
      </c>
      <c r="R3536" s="33" t="s">
        <v>94</v>
      </c>
      <c r="S3536" s="33" t="s">
        <v>22</v>
      </c>
      <c r="T3536" s="33" t="s">
        <v>26781</v>
      </c>
      <c r="U3536" s="33" t="s">
        <v>26572</v>
      </c>
      <c r="V3536" s="33" t="s">
        <v>26573</v>
      </c>
      <c r="W3536" s="33" t="s">
        <v>94</v>
      </c>
      <c r="X3536" s="33">
        <v>1987</v>
      </c>
      <c r="Z3536" s="33" t="s">
        <v>42966</v>
      </c>
      <c r="AA3536" s="33">
        <v>4129</v>
      </c>
    </row>
    <row r="3537" spans="1:27" ht="12" customHeight="1" x14ac:dyDescent="0.15">
      <c r="A3537" s="33" t="s">
        <v>24143</v>
      </c>
      <c r="B3537" s="33">
        <v>38</v>
      </c>
      <c r="C3537" s="33" t="s">
        <v>14</v>
      </c>
      <c r="D3537" s="33" t="s">
        <v>31</v>
      </c>
      <c r="E3537" s="33" t="s">
        <v>24144</v>
      </c>
      <c r="F3537" s="67">
        <v>42666</v>
      </c>
      <c r="G3537" s="33" t="s">
        <v>24145</v>
      </c>
      <c r="H3537" s="33" t="s">
        <v>24146</v>
      </c>
      <c r="I3537" s="33" t="s">
        <v>294</v>
      </c>
      <c r="J3537" s="33">
        <v>42129</v>
      </c>
      <c r="K3537" s="33" t="s">
        <v>24147</v>
      </c>
      <c r="L3537" s="33" t="s">
        <v>18258</v>
      </c>
      <c r="M3537" s="33" t="s">
        <v>21</v>
      </c>
      <c r="N3537" s="33" t="s">
        <v>36673</v>
      </c>
      <c r="O3537" s="33" t="s">
        <v>372</v>
      </c>
      <c r="P3537" s="33" t="s">
        <v>30089</v>
      </c>
      <c r="Q3537" s="40" t="s">
        <v>24148</v>
      </c>
      <c r="R3537" s="33" t="s">
        <v>94</v>
      </c>
      <c r="S3537" s="33" t="s">
        <v>22</v>
      </c>
      <c r="T3537" s="33" t="s">
        <v>26781</v>
      </c>
      <c r="U3537" s="33" t="s">
        <v>26572</v>
      </c>
      <c r="V3537" s="33" t="s">
        <v>26573</v>
      </c>
      <c r="W3537" s="33" t="s">
        <v>94</v>
      </c>
      <c r="X3537" s="33">
        <v>1985</v>
      </c>
      <c r="Z3537" s="33" t="s">
        <v>42967</v>
      </c>
      <c r="AA3537" s="33">
        <v>4128</v>
      </c>
    </row>
    <row r="3538" spans="1:27" ht="12" customHeight="1" x14ac:dyDescent="0.15">
      <c r="A3538" s="33" t="s">
        <v>24133</v>
      </c>
      <c r="B3538" s="33">
        <v>21</v>
      </c>
      <c r="C3538" s="33" t="s">
        <v>14</v>
      </c>
      <c r="D3538" s="33" t="s">
        <v>31</v>
      </c>
      <c r="E3538" s="33" t="s">
        <v>24134</v>
      </c>
      <c r="F3538" s="67">
        <v>42665</v>
      </c>
      <c r="G3538" s="33" t="s">
        <v>24539</v>
      </c>
      <c r="H3538" s="33" t="s">
        <v>24135</v>
      </c>
      <c r="I3538" s="33" t="s">
        <v>88</v>
      </c>
      <c r="J3538" s="33">
        <v>35147</v>
      </c>
      <c r="K3538" s="33" t="s">
        <v>1117</v>
      </c>
      <c r="L3538" s="33" t="s">
        <v>22474</v>
      </c>
      <c r="M3538" s="33" t="s">
        <v>21</v>
      </c>
      <c r="N3538" s="33" t="s">
        <v>24136</v>
      </c>
      <c r="O3538" s="33" t="s">
        <v>372</v>
      </c>
      <c r="P3538" s="33" t="s">
        <v>30089</v>
      </c>
      <c r="Q3538" s="40" t="s">
        <v>24137</v>
      </c>
      <c r="R3538" s="33" t="s">
        <v>512</v>
      </c>
      <c r="S3538" s="33" t="s">
        <v>29</v>
      </c>
      <c r="T3538" s="33" t="s">
        <v>26576</v>
      </c>
      <c r="U3538" s="33" t="s">
        <v>26570</v>
      </c>
      <c r="V3538" s="33" t="s">
        <v>26573</v>
      </c>
      <c r="W3538" s="33" t="s">
        <v>94</v>
      </c>
      <c r="X3538" s="33">
        <v>1986</v>
      </c>
      <c r="Z3538" s="33" t="s">
        <v>42967</v>
      </c>
      <c r="AA3538" s="33">
        <v>4126</v>
      </c>
    </row>
    <row r="3539" spans="1:27" ht="12" customHeight="1" x14ac:dyDescent="0.15">
      <c r="A3539" s="33" t="s">
        <v>25165</v>
      </c>
      <c r="B3539" s="33">
        <v>31</v>
      </c>
      <c r="C3539" s="33" t="s">
        <v>14</v>
      </c>
      <c r="D3539" s="33" t="s">
        <v>885</v>
      </c>
      <c r="F3539" s="67">
        <v>42665</v>
      </c>
      <c r="G3539" s="33" t="s">
        <v>24538</v>
      </c>
      <c r="H3539" s="33" t="s">
        <v>10945</v>
      </c>
      <c r="I3539" s="33" t="s">
        <v>39</v>
      </c>
      <c r="J3539" s="33">
        <v>92530</v>
      </c>
      <c r="K3539" s="33" t="s">
        <v>728</v>
      </c>
      <c r="L3539" s="33" t="s">
        <v>24130</v>
      </c>
      <c r="M3539" s="33" t="s">
        <v>21</v>
      </c>
      <c r="N3539" s="33" t="s">
        <v>24131</v>
      </c>
      <c r="O3539" s="33" t="s">
        <v>372</v>
      </c>
      <c r="P3539" s="33" t="s">
        <v>30089</v>
      </c>
      <c r="Q3539" s="40" t="s">
        <v>24132</v>
      </c>
      <c r="R3539" s="33" t="s">
        <v>94</v>
      </c>
      <c r="S3539" s="33" t="s">
        <v>351</v>
      </c>
      <c r="T3539" s="33" t="s">
        <v>26867</v>
      </c>
      <c r="U3539" s="33" t="s">
        <v>26572</v>
      </c>
      <c r="V3539" s="33" t="s">
        <v>26571</v>
      </c>
      <c r="Z3539" s="33" t="s">
        <v>42968</v>
      </c>
      <c r="AA3539" s="33">
        <v>4127</v>
      </c>
    </row>
    <row r="3540" spans="1:27" ht="12" customHeight="1" x14ac:dyDescent="0.15">
      <c r="A3540" s="33" t="s">
        <v>24121</v>
      </c>
      <c r="B3540" s="33">
        <v>23</v>
      </c>
      <c r="C3540" s="33" t="s">
        <v>103</v>
      </c>
      <c r="D3540" s="33" t="s">
        <v>128</v>
      </c>
      <c r="E3540" s="33" t="s">
        <v>24122</v>
      </c>
      <c r="F3540" s="67">
        <v>42664</v>
      </c>
      <c r="G3540" s="33" t="s">
        <v>24123</v>
      </c>
      <c r="H3540" s="33" t="s">
        <v>4932</v>
      </c>
      <c r="I3540" s="33" t="s">
        <v>282</v>
      </c>
      <c r="J3540" s="33">
        <v>98092</v>
      </c>
      <c r="K3540" s="33" t="s">
        <v>1133</v>
      </c>
      <c r="L3540" s="33" t="s">
        <v>2418</v>
      </c>
      <c r="M3540" s="33" t="s">
        <v>21</v>
      </c>
      <c r="N3540" s="33" t="s">
        <v>24124</v>
      </c>
      <c r="O3540" s="33" t="s">
        <v>372</v>
      </c>
      <c r="P3540" s="33" t="s">
        <v>30089</v>
      </c>
      <c r="Q3540" s="40" t="s">
        <v>24125</v>
      </c>
      <c r="R3540" s="33" t="s">
        <v>512</v>
      </c>
      <c r="S3540" s="33" t="s">
        <v>22</v>
      </c>
      <c r="T3540" s="33" t="s">
        <v>26781</v>
      </c>
      <c r="U3540" s="33" t="s">
        <v>26570</v>
      </c>
      <c r="V3540" s="33" t="s">
        <v>26573</v>
      </c>
      <c r="W3540" s="33" t="s">
        <v>94</v>
      </c>
      <c r="X3540" s="33">
        <v>1988</v>
      </c>
      <c r="Z3540" s="33" t="s">
        <v>42968</v>
      </c>
      <c r="AA3540" s="33">
        <v>4124</v>
      </c>
    </row>
    <row r="3541" spans="1:27" ht="12" customHeight="1" x14ac:dyDescent="0.15">
      <c r="A3541" s="33" t="s">
        <v>24126</v>
      </c>
      <c r="B3541" s="33">
        <v>58</v>
      </c>
      <c r="C3541" s="33" t="s">
        <v>14</v>
      </c>
      <c r="D3541" s="33" t="s">
        <v>31</v>
      </c>
      <c r="E3541" s="33" t="s">
        <v>24127</v>
      </c>
      <c r="F3541" s="67">
        <v>42664</v>
      </c>
      <c r="G3541" s="33" t="s">
        <v>24128</v>
      </c>
      <c r="H3541" s="33" t="s">
        <v>2307</v>
      </c>
      <c r="I3541" s="33" t="s">
        <v>367</v>
      </c>
      <c r="J3541" s="33">
        <v>74110</v>
      </c>
      <c r="K3541" s="33" t="s">
        <v>2307</v>
      </c>
      <c r="L3541" s="33" t="s">
        <v>3108</v>
      </c>
      <c r="M3541" s="33" t="s">
        <v>4966</v>
      </c>
      <c r="N3541" s="33" t="s">
        <v>36674</v>
      </c>
      <c r="O3541" s="33" t="s">
        <v>372</v>
      </c>
      <c r="P3541" s="33" t="s">
        <v>30089</v>
      </c>
      <c r="Q3541" s="40" t="s">
        <v>24129</v>
      </c>
      <c r="R3541" s="33" t="s">
        <v>23</v>
      </c>
      <c r="S3541" s="33" t="s">
        <v>22</v>
      </c>
      <c r="T3541" s="33" t="s">
        <v>26774</v>
      </c>
      <c r="U3541" s="33" t="s">
        <v>26570</v>
      </c>
      <c r="W3541" s="33" t="s">
        <v>94</v>
      </c>
      <c r="X3541" s="33">
        <v>1983</v>
      </c>
      <c r="Z3541" s="33" t="s">
        <v>42966</v>
      </c>
      <c r="AA3541" s="33">
        <v>4125</v>
      </c>
    </row>
    <row r="3542" spans="1:27" ht="12" customHeight="1" x14ac:dyDescent="0.15">
      <c r="A3542" s="33" t="s">
        <v>24116</v>
      </c>
      <c r="B3542" s="33">
        <v>29</v>
      </c>
      <c r="C3542" s="33" t="s">
        <v>14</v>
      </c>
      <c r="D3542" s="33" t="s">
        <v>31</v>
      </c>
      <c r="E3542" s="33" t="s">
        <v>24117</v>
      </c>
      <c r="F3542" s="67">
        <v>42663</v>
      </c>
      <c r="G3542" s="33" t="s">
        <v>24118</v>
      </c>
      <c r="H3542" s="33" t="s">
        <v>603</v>
      </c>
      <c r="I3542" s="33" t="s">
        <v>56</v>
      </c>
      <c r="J3542" s="33">
        <v>32226</v>
      </c>
      <c r="K3542" s="33" t="s">
        <v>604</v>
      </c>
      <c r="L3542" s="33" t="s">
        <v>605</v>
      </c>
      <c r="M3542" s="33" t="s">
        <v>21</v>
      </c>
      <c r="N3542" s="33" t="s">
        <v>24119</v>
      </c>
      <c r="O3542" s="33" t="s">
        <v>372</v>
      </c>
      <c r="P3542" s="33" t="s">
        <v>30089</v>
      </c>
      <c r="Q3542" s="40" t="s">
        <v>24120</v>
      </c>
      <c r="R3542" s="33" t="s">
        <v>904</v>
      </c>
      <c r="S3542" s="33" t="s">
        <v>22</v>
      </c>
      <c r="T3542" s="33" t="s">
        <v>26781</v>
      </c>
      <c r="U3542" s="33" t="s">
        <v>26572</v>
      </c>
      <c r="V3542" s="33" t="s">
        <v>26573</v>
      </c>
      <c r="W3542" s="33" t="s">
        <v>94</v>
      </c>
      <c r="X3542" s="33">
        <v>1980</v>
      </c>
      <c r="Z3542" s="33" t="s">
        <v>42968</v>
      </c>
      <c r="AA3542" s="33">
        <v>4123</v>
      </c>
    </row>
    <row r="3543" spans="1:27" ht="12" customHeight="1" x14ac:dyDescent="0.15">
      <c r="A3543" s="33" t="s">
        <v>24110</v>
      </c>
      <c r="B3543" s="33">
        <v>38</v>
      </c>
      <c r="C3543" s="33" t="s">
        <v>14</v>
      </c>
      <c r="D3543" s="33" t="s">
        <v>31</v>
      </c>
      <c r="F3543" s="67">
        <v>42662</v>
      </c>
      <c r="G3543" s="33" t="s">
        <v>24111</v>
      </c>
      <c r="H3543" s="33" t="s">
        <v>24112</v>
      </c>
      <c r="I3543" s="33" t="s">
        <v>63</v>
      </c>
      <c r="J3543" s="33">
        <v>44094</v>
      </c>
      <c r="K3543" s="33" t="s">
        <v>1179</v>
      </c>
      <c r="L3543" s="33" t="s">
        <v>24113</v>
      </c>
      <c r="M3543" s="33" t="s">
        <v>21</v>
      </c>
      <c r="N3543" s="33" t="s">
        <v>24114</v>
      </c>
      <c r="O3543" s="33" t="s">
        <v>372</v>
      </c>
      <c r="P3543" s="33" t="s">
        <v>30089</v>
      </c>
      <c r="Q3543" s="40" t="s">
        <v>24115</v>
      </c>
      <c r="R3543" s="33" t="s">
        <v>94</v>
      </c>
      <c r="S3543" s="33" t="s">
        <v>351</v>
      </c>
      <c r="T3543" s="33" t="s">
        <v>26867</v>
      </c>
      <c r="U3543" s="33" t="s">
        <v>26575</v>
      </c>
      <c r="V3543" s="33" t="s">
        <v>26571</v>
      </c>
      <c r="W3543" s="33" t="s">
        <v>94</v>
      </c>
      <c r="X3543" s="33">
        <v>1977</v>
      </c>
      <c r="Z3543" s="33" t="s">
        <v>42968</v>
      </c>
      <c r="AA3543" s="33">
        <v>4122</v>
      </c>
    </row>
    <row r="3544" spans="1:27" ht="12" customHeight="1" x14ac:dyDescent="0.15">
      <c r="A3544" s="33" t="s">
        <v>24101</v>
      </c>
      <c r="B3544" s="33">
        <v>24</v>
      </c>
      <c r="C3544" s="33" t="s">
        <v>14</v>
      </c>
      <c r="D3544" s="33" t="s">
        <v>42</v>
      </c>
      <c r="E3544" s="33" t="s">
        <v>24102</v>
      </c>
      <c r="F3544" s="67">
        <v>42662</v>
      </c>
      <c r="G3544" s="33" t="s">
        <v>24103</v>
      </c>
      <c r="H3544" s="33" t="s">
        <v>266</v>
      </c>
      <c r="I3544" s="33" t="s">
        <v>67</v>
      </c>
      <c r="J3544" s="33">
        <v>75211</v>
      </c>
      <c r="K3544" s="33" t="s">
        <v>266</v>
      </c>
      <c r="L3544" s="33" t="s">
        <v>267</v>
      </c>
      <c r="M3544" s="33" t="s">
        <v>21</v>
      </c>
      <c r="N3544" s="33" t="s">
        <v>24104</v>
      </c>
      <c r="O3544" s="33" t="s">
        <v>372</v>
      </c>
      <c r="P3544" s="33" t="s">
        <v>30089</v>
      </c>
      <c r="Q3544" s="40" t="s">
        <v>24105</v>
      </c>
      <c r="R3544" s="33" t="s">
        <v>94</v>
      </c>
      <c r="S3544" s="33" t="s">
        <v>22</v>
      </c>
      <c r="T3544" s="33" t="s">
        <v>26781</v>
      </c>
      <c r="U3544" s="33" t="s">
        <v>26570</v>
      </c>
      <c r="V3544" s="33" t="s">
        <v>26573</v>
      </c>
      <c r="W3544" s="33" t="s">
        <v>94</v>
      </c>
      <c r="X3544" s="33">
        <v>1978</v>
      </c>
      <c r="Z3544" s="33" t="s">
        <v>42966</v>
      </c>
      <c r="AA3544" s="33">
        <v>4120</v>
      </c>
    </row>
    <row r="3545" spans="1:27" ht="12" customHeight="1" x14ac:dyDescent="0.15">
      <c r="A3545" s="33" t="s">
        <v>24106</v>
      </c>
      <c r="B3545" s="33">
        <v>28</v>
      </c>
      <c r="C3545" s="33" t="s">
        <v>14</v>
      </c>
      <c r="D3545" s="33" t="s">
        <v>42</v>
      </c>
      <c r="F3545" s="67">
        <v>42662</v>
      </c>
      <c r="G3545" s="33" t="s">
        <v>24107</v>
      </c>
      <c r="H3545" s="33" t="s">
        <v>1194</v>
      </c>
      <c r="I3545" s="33" t="s">
        <v>250</v>
      </c>
      <c r="J3545" s="33">
        <v>89014</v>
      </c>
      <c r="K3545" s="33" t="s">
        <v>527</v>
      </c>
      <c r="L3545" s="33" t="s">
        <v>5796</v>
      </c>
      <c r="M3545" s="33" t="s">
        <v>21</v>
      </c>
      <c r="N3545" s="33" t="s">
        <v>24108</v>
      </c>
      <c r="O3545" s="33" t="s">
        <v>372</v>
      </c>
      <c r="P3545" s="33" t="s">
        <v>30089</v>
      </c>
      <c r="Q3545" s="40" t="s">
        <v>24109</v>
      </c>
      <c r="R3545" s="33" t="s">
        <v>94</v>
      </c>
      <c r="S3545" s="33" t="s">
        <v>29</v>
      </c>
      <c r="T3545" s="33" t="s">
        <v>26575</v>
      </c>
      <c r="U3545" s="33" t="s">
        <v>26572</v>
      </c>
      <c r="V3545" s="33" t="s">
        <v>26571</v>
      </c>
      <c r="W3545" s="33" t="s">
        <v>94</v>
      </c>
      <c r="X3545" s="33">
        <v>1982</v>
      </c>
      <c r="Z3545" s="33" t="s">
        <v>42966</v>
      </c>
      <c r="AA3545" s="33">
        <v>4121</v>
      </c>
    </row>
    <row r="3546" spans="1:27" ht="12" customHeight="1" x14ac:dyDescent="0.15">
      <c r="A3546" s="33" t="s">
        <v>24089</v>
      </c>
      <c r="B3546" s="33">
        <v>28</v>
      </c>
      <c r="C3546" s="33" t="s">
        <v>14</v>
      </c>
      <c r="D3546" s="33" t="s">
        <v>79</v>
      </c>
      <c r="F3546" s="67">
        <v>42661</v>
      </c>
      <c r="G3546" s="33" t="s">
        <v>23873</v>
      </c>
      <c r="H3546" s="33" t="s">
        <v>271</v>
      </c>
      <c r="I3546" s="33" t="s">
        <v>51</v>
      </c>
      <c r="J3546" s="33">
        <v>49022</v>
      </c>
      <c r="K3546" s="33" t="s">
        <v>9185</v>
      </c>
      <c r="L3546" s="33" t="s">
        <v>23870</v>
      </c>
      <c r="M3546" s="33" t="s">
        <v>21</v>
      </c>
      <c r="N3546" s="33" t="s">
        <v>23871</v>
      </c>
      <c r="O3546" s="33" t="s">
        <v>372</v>
      </c>
      <c r="P3546" s="33" t="s">
        <v>30089</v>
      </c>
      <c r="Q3546" s="40" t="s">
        <v>23872</v>
      </c>
      <c r="R3546" s="33" t="s">
        <v>23</v>
      </c>
      <c r="S3546" s="33" t="s">
        <v>22</v>
      </c>
      <c r="T3546" s="33" t="s">
        <v>26781</v>
      </c>
      <c r="U3546" s="33" t="s">
        <v>26572</v>
      </c>
      <c r="V3546" s="33" t="s">
        <v>26573</v>
      </c>
      <c r="W3546" s="33" t="s">
        <v>512</v>
      </c>
      <c r="X3546" s="33">
        <v>1972</v>
      </c>
      <c r="Z3546" s="33" t="s">
        <v>42968</v>
      </c>
      <c r="AA3546" s="33">
        <v>4117</v>
      </c>
    </row>
    <row r="3547" spans="1:27" ht="12" customHeight="1" x14ac:dyDescent="0.15">
      <c r="A3547" s="33" t="s">
        <v>23874</v>
      </c>
      <c r="B3547" s="33">
        <v>66</v>
      </c>
      <c r="C3547" s="33" t="s">
        <v>103</v>
      </c>
      <c r="D3547" s="33" t="s">
        <v>79</v>
      </c>
      <c r="F3547" s="67">
        <v>42661</v>
      </c>
      <c r="G3547" s="33" t="s">
        <v>23875</v>
      </c>
      <c r="H3547" s="33" t="s">
        <v>700</v>
      </c>
      <c r="I3547" s="33" t="s">
        <v>395</v>
      </c>
      <c r="J3547" s="33">
        <v>49022</v>
      </c>
      <c r="K3547" s="33" t="s">
        <v>1716</v>
      </c>
      <c r="L3547" s="33" t="s">
        <v>539</v>
      </c>
      <c r="M3547" s="33" t="s">
        <v>21</v>
      </c>
      <c r="N3547" s="33" t="s">
        <v>23876</v>
      </c>
      <c r="O3547" s="33" t="s">
        <v>32491</v>
      </c>
      <c r="P3547" s="33" t="s">
        <v>18576</v>
      </c>
      <c r="Q3547" s="40" t="s">
        <v>23877</v>
      </c>
      <c r="R3547" s="33" t="s">
        <v>512</v>
      </c>
      <c r="S3547" s="33" t="s">
        <v>22</v>
      </c>
      <c r="T3547" s="33" t="s">
        <v>26580</v>
      </c>
      <c r="U3547" s="33" t="s">
        <v>26572</v>
      </c>
      <c r="V3547" s="33" t="s">
        <v>26573</v>
      </c>
      <c r="W3547" s="33" t="s">
        <v>94</v>
      </c>
      <c r="X3547" s="33">
        <v>1975</v>
      </c>
      <c r="Z3547" s="33" t="s">
        <v>42968</v>
      </c>
      <c r="AA3547" s="33">
        <v>4116</v>
      </c>
    </row>
    <row r="3548" spans="1:27" ht="12" customHeight="1" x14ac:dyDescent="0.15">
      <c r="A3548" s="33" t="s">
        <v>24096</v>
      </c>
      <c r="B3548" s="33">
        <v>42</v>
      </c>
      <c r="C3548" s="33" t="s">
        <v>14</v>
      </c>
      <c r="D3548" s="33" t="s">
        <v>42</v>
      </c>
      <c r="E3548" s="33" t="s">
        <v>24097</v>
      </c>
      <c r="F3548" s="67">
        <v>42661</v>
      </c>
      <c r="G3548" s="33" t="s">
        <v>24098</v>
      </c>
      <c r="H3548" s="33" t="s">
        <v>2307</v>
      </c>
      <c r="I3548" s="33" t="s">
        <v>367</v>
      </c>
      <c r="J3548" s="33">
        <v>74134</v>
      </c>
      <c r="K3548" s="33" t="s">
        <v>2307</v>
      </c>
      <c r="L3548" s="33" t="s">
        <v>3108</v>
      </c>
      <c r="M3548" s="33" t="s">
        <v>21</v>
      </c>
      <c r="N3548" s="33" t="s">
        <v>24099</v>
      </c>
      <c r="O3548" s="33" t="s">
        <v>372</v>
      </c>
      <c r="P3548" s="33" t="s">
        <v>30089</v>
      </c>
      <c r="Q3548" s="40" t="s">
        <v>24100</v>
      </c>
      <c r="R3548" s="33" t="s">
        <v>94</v>
      </c>
      <c r="S3548" s="33" t="s">
        <v>22</v>
      </c>
      <c r="T3548" s="33" t="s">
        <v>26781</v>
      </c>
      <c r="U3548" s="33" t="s">
        <v>26572</v>
      </c>
      <c r="V3548" s="33" t="s">
        <v>26573</v>
      </c>
      <c r="W3548" s="33" t="s">
        <v>94</v>
      </c>
      <c r="X3548" s="33">
        <v>1976</v>
      </c>
      <c r="Z3548" s="33" t="s">
        <v>42968</v>
      </c>
      <c r="AA3548" s="33">
        <v>4118</v>
      </c>
    </row>
    <row r="3549" spans="1:27" ht="12" customHeight="1" x14ac:dyDescent="0.15">
      <c r="A3549" s="33" t="s">
        <v>24090</v>
      </c>
      <c r="B3549" s="33">
        <v>34</v>
      </c>
      <c r="C3549" s="33" t="s">
        <v>14</v>
      </c>
      <c r="D3549" s="33" t="s">
        <v>31</v>
      </c>
      <c r="E3549" s="33" t="s">
        <v>24091</v>
      </c>
      <c r="F3549" s="67">
        <v>42661</v>
      </c>
      <c r="G3549" s="33" t="s">
        <v>24092</v>
      </c>
      <c r="H3549" s="33" t="s">
        <v>261</v>
      </c>
      <c r="I3549" s="33" t="s">
        <v>294</v>
      </c>
      <c r="J3549" s="33">
        <v>40361</v>
      </c>
      <c r="K3549" s="33" t="s">
        <v>10269</v>
      </c>
      <c r="L3549" s="33" t="s">
        <v>24093</v>
      </c>
      <c r="M3549" s="33" t="s">
        <v>21</v>
      </c>
      <c r="N3549" s="33" t="s">
        <v>24094</v>
      </c>
      <c r="O3549" s="33" t="s">
        <v>372</v>
      </c>
      <c r="P3549" s="33" t="s">
        <v>30089</v>
      </c>
      <c r="Q3549" s="40" t="s">
        <v>24095</v>
      </c>
      <c r="R3549" s="33" t="s">
        <v>94</v>
      </c>
      <c r="S3549" s="33" t="s">
        <v>22</v>
      </c>
      <c r="T3549" s="33" t="s">
        <v>26781</v>
      </c>
      <c r="U3549" s="33" t="s">
        <v>26572</v>
      </c>
      <c r="V3549" s="33" t="s">
        <v>26573</v>
      </c>
      <c r="W3549" s="33" t="s">
        <v>94</v>
      </c>
      <c r="X3549" s="33">
        <v>1979</v>
      </c>
      <c r="Z3549" s="33" t="s">
        <v>42967</v>
      </c>
      <c r="AA3549" s="33">
        <v>4119</v>
      </c>
    </row>
    <row r="3550" spans="1:27" ht="12" customHeight="1" x14ac:dyDescent="0.15">
      <c r="A3550" s="33" t="s">
        <v>24572</v>
      </c>
      <c r="B3550" s="33">
        <v>17</v>
      </c>
      <c r="C3550" s="33" t="s">
        <v>14</v>
      </c>
      <c r="D3550" s="33" t="s">
        <v>31</v>
      </c>
      <c r="E3550" s="33" t="s">
        <v>24082</v>
      </c>
      <c r="F3550" s="67">
        <v>42660</v>
      </c>
      <c r="G3550" s="33" t="s">
        <v>24537</v>
      </c>
      <c r="H3550" s="33" t="s">
        <v>2325</v>
      </c>
      <c r="I3550" s="33" t="s">
        <v>918</v>
      </c>
      <c r="J3550" s="33">
        <v>72019</v>
      </c>
      <c r="K3550" s="33" t="s">
        <v>4686</v>
      </c>
      <c r="L3550" s="33" t="s">
        <v>13621</v>
      </c>
      <c r="M3550" s="33" t="s">
        <v>21</v>
      </c>
      <c r="N3550" s="33" t="s">
        <v>24083</v>
      </c>
      <c r="O3550" s="33" t="s">
        <v>372</v>
      </c>
      <c r="P3550" s="33" t="s">
        <v>30089</v>
      </c>
      <c r="Q3550" s="40" t="s">
        <v>24084</v>
      </c>
      <c r="R3550" s="33" t="s">
        <v>512</v>
      </c>
      <c r="S3550" s="33" t="s">
        <v>22</v>
      </c>
      <c r="T3550" s="33" t="s">
        <v>26781</v>
      </c>
      <c r="U3550" s="33" t="s">
        <v>26572</v>
      </c>
      <c r="V3550" s="33" t="s">
        <v>26574</v>
      </c>
      <c r="W3550" s="33" t="s">
        <v>94</v>
      </c>
      <c r="X3550" s="33">
        <v>1973</v>
      </c>
      <c r="Z3550" s="33" t="s">
        <v>42968</v>
      </c>
      <c r="AA3550" s="33">
        <v>4113</v>
      </c>
    </row>
    <row r="3551" spans="1:27" ht="12" customHeight="1" x14ac:dyDescent="0.15">
      <c r="A3551" s="33" t="s">
        <v>24076</v>
      </c>
      <c r="B3551" s="33">
        <v>39</v>
      </c>
      <c r="C3551" s="33" t="s">
        <v>14</v>
      </c>
      <c r="D3551" s="33" t="s">
        <v>31</v>
      </c>
      <c r="F3551" s="67">
        <v>42660</v>
      </c>
      <c r="G3551" s="33" t="s">
        <v>24535</v>
      </c>
      <c r="H3551" s="33" t="s">
        <v>4953</v>
      </c>
      <c r="I3551" s="33" t="s">
        <v>56</v>
      </c>
      <c r="J3551" s="33">
        <v>34690</v>
      </c>
      <c r="K3551" s="33" t="s">
        <v>4016</v>
      </c>
      <c r="L3551" s="33" t="s">
        <v>4955</v>
      </c>
      <c r="M3551" s="33" t="s">
        <v>4966</v>
      </c>
      <c r="N3551" s="33" t="s">
        <v>24077</v>
      </c>
      <c r="O3551" s="33" t="s">
        <v>372</v>
      </c>
      <c r="P3551" s="33" t="s">
        <v>30089</v>
      </c>
      <c r="Q3551" s="40" t="s">
        <v>24078</v>
      </c>
      <c r="R3551" s="33" t="s">
        <v>512</v>
      </c>
      <c r="S3551" s="33" t="s">
        <v>22</v>
      </c>
      <c r="T3551" s="33" t="s">
        <v>26774</v>
      </c>
      <c r="U3551" s="33" t="s">
        <v>26570</v>
      </c>
      <c r="V3551" s="33" t="s">
        <v>26573</v>
      </c>
      <c r="W3551" s="33" t="s">
        <v>94</v>
      </c>
      <c r="X3551" s="33">
        <v>1974</v>
      </c>
      <c r="Z3551" s="33" t="s">
        <v>42968</v>
      </c>
      <c r="AA3551" s="33">
        <v>4114</v>
      </c>
    </row>
    <row r="3552" spans="1:27" ht="12" customHeight="1" x14ac:dyDescent="0.15">
      <c r="A3552" s="33" t="s">
        <v>24085</v>
      </c>
      <c r="B3552" s="33">
        <v>50</v>
      </c>
      <c r="C3552" s="33" t="s">
        <v>14</v>
      </c>
      <c r="D3552" s="33" t="s">
        <v>42</v>
      </c>
      <c r="F3552" s="67">
        <v>42660</v>
      </c>
      <c r="G3552" s="33" t="s">
        <v>24086</v>
      </c>
      <c r="H3552" s="33" t="s">
        <v>196</v>
      </c>
      <c r="I3552" s="33" t="s">
        <v>56</v>
      </c>
      <c r="J3552" s="33">
        <v>33015</v>
      </c>
      <c r="K3552" s="33" t="s">
        <v>148</v>
      </c>
      <c r="L3552" s="33" t="s">
        <v>149</v>
      </c>
      <c r="M3552" s="33" t="s">
        <v>21</v>
      </c>
      <c r="N3552" s="33" t="s">
        <v>24087</v>
      </c>
      <c r="O3552" s="33" t="s">
        <v>372</v>
      </c>
      <c r="P3552" s="33" t="s">
        <v>30089</v>
      </c>
      <c r="Q3552" s="40" t="s">
        <v>24088</v>
      </c>
      <c r="R3552" s="33" t="s">
        <v>512</v>
      </c>
      <c r="S3552" s="33" t="s">
        <v>22</v>
      </c>
      <c r="T3552" s="33" t="s">
        <v>28239</v>
      </c>
      <c r="U3552" s="33" t="s">
        <v>26570</v>
      </c>
      <c r="V3552" s="33" t="s">
        <v>26573</v>
      </c>
      <c r="W3552" s="33" t="s">
        <v>94</v>
      </c>
      <c r="X3552" s="33">
        <v>1971</v>
      </c>
      <c r="Z3552" s="33" t="s">
        <v>42966</v>
      </c>
      <c r="AA3552" s="33">
        <v>4115</v>
      </c>
    </row>
    <row r="3553" spans="1:27" ht="12" customHeight="1" x14ac:dyDescent="0.15">
      <c r="A3553" s="33" t="s">
        <v>24072</v>
      </c>
      <c r="B3553" s="33">
        <v>26</v>
      </c>
      <c r="C3553" s="33" t="s">
        <v>103</v>
      </c>
      <c r="D3553" s="33" t="s">
        <v>31</v>
      </c>
      <c r="F3553" s="67">
        <v>42659</v>
      </c>
      <c r="G3553" s="33" t="s">
        <v>24073</v>
      </c>
      <c r="H3553" s="33" t="s">
        <v>1227</v>
      </c>
      <c r="I3553" s="33" t="s">
        <v>67</v>
      </c>
      <c r="J3553" s="33">
        <v>78745</v>
      </c>
      <c r="K3553" s="33" t="s">
        <v>1228</v>
      </c>
      <c r="L3553" s="33" t="s">
        <v>1229</v>
      </c>
      <c r="M3553" s="33" t="s">
        <v>21</v>
      </c>
      <c r="N3553" s="33" t="s">
        <v>24074</v>
      </c>
      <c r="O3553" s="33" t="s">
        <v>372</v>
      </c>
      <c r="P3553" s="33" t="s">
        <v>30089</v>
      </c>
      <c r="Q3553" s="40" t="s">
        <v>24075</v>
      </c>
      <c r="R3553" s="33" t="s">
        <v>512</v>
      </c>
      <c r="S3553" s="33" t="s">
        <v>12</v>
      </c>
      <c r="T3553" s="33" t="s">
        <v>29425</v>
      </c>
      <c r="U3553" s="33" t="s">
        <v>26572</v>
      </c>
      <c r="V3553" s="33" t="s">
        <v>26573</v>
      </c>
      <c r="W3553" s="33" t="s">
        <v>94</v>
      </c>
      <c r="X3553" s="33">
        <v>1966</v>
      </c>
      <c r="Z3553" s="33" t="s">
        <v>42968</v>
      </c>
      <c r="AA3553" s="33">
        <v>4112</v>
      </c>
    </row>
    <row r="3554" spans="1:27" ht="12" customHeight="1" x14ac:dyDescent="0.15">
      <c r="A3554" s="33" t="s">
        <v>24079</v>
      </c>
      <c r="B3554" s="33">
        <v>32</v>
      </c>
      <c r="C3554" s="33" t="s">
        <v>14</v>
      </c>
      <c r="D3554" s="33" t="s">
        <v>31</v>
      </c>
      <c r="F3554" s="67">
        <v>42659</v>
      </c>
      <c r="G3554" s="33" t="s">
        <v>24536</v>
      </c>
      <c r="H3554" s="33" t="s">
        <v>1270</v>
      </c>
      <c r="I3554" s="33" t="s">
        <v>39</v>
      </c>
      <c r="J3554" s="33">
        <v>95060</v>
      </c>
      <c r="K3554" s="33" t="s">
        <v>1270</v>
      </c>
      <c r="L3554" s="33" t="s">
        <v>16103</v>
      </c>
      <c r="M3554" s="33" t="s">
        <v>4966</v>
      </c>
      <c r="N3554" s="33" t="s">
        <v>24080</v>
      </c>
      <c r="O3554" s="33" t="s">
        <v>372</v>
      </c>
      <c r="P3554" s="33" t="s">
        <v>30089</v>
      </c>
      <c r="Q3554" s="40" t="s">
        <v>24081</v>
      </c>
      <c r="R3554" s="33" t="s">
        <v>512</v>
      </c>
      <c r="S3554" s="33" t="s">
        <v>22</v>
      </c>
      <c r="T3554" s="33" t="s">
        <v>26595</v>
      </c>
      <c r="U3554" s="33" t="s">
        <v>26572</v>
      </c>
      <c r="V3554" s="33" t="s">
        <v>26573</v>
      </c>
      <c r="W3554" s="33" t="s">
        <v>94</v>
      </c>
      <c r="X3554" s="33">
        <v>1967</v>
      </c>
      <c r="Z3554" s="33" t="s">
        <v>42968</v>
      </c>
      <c r="AA3554" s="33">
        <v>4111</v>
      </c>
    </row>
    <row r="3555" spans="1:27" ht="12" customHeight="1" x14ac:dyDescent="0.15">
      <c r="A3555" s="33" t="s">
        <v>24067</v>
      </c>
      <c r="B3555" s="33">
        <v>38</v>
      </c>
      <c r="C3555" s="33" t="s">
        <v>14</v>
      </c>
      <c r="D3555" s="33" t="s">
        <v>31</v>
      </c>
      <c r="E3555" s="33" t="s">
        <v>24068</v>
      </c>
      <c r="F3555" s="67">
        <v>42658</v>
      </c>
      <c r="G3555" s="33" t="s">
        <v>24069</v>
      </c>
      <c r="H3555" s="33" t="s">
        <v>11365</v>
      </c>
      <c r="I3555" s="33" t="s">
        <v>88</v>
      </c>
      <c r="J3555" s="33">
        <v>36870</v>
      </c>
      <c r="K3555" s="33" t="s">
        <v>5086</v>
      </c>
      <c r="L3555" s="33" t="s">
        <v>7052</v>
      </c>
      <c r="M3555" s="33" t="s">
        <v>21</v>
      </c>
      <c r="N3555" s="33" t="s">
        <v>24070</v>
      </c>
      <c r="O3555" s="33" t="s">
        <v>372</v>
      </c>
      <c r="P3555" s="33" t="s">
        <v>30089</v>
      </c>
      <c r="Q3555" s="40" t="s">
        <v>24071</v>
      </c>
      <c r="R3555" s="33" t="s">
        <v>94</v>
      </c>
      <c r="S3555" s="33" t="s">
        <v>22</v>
      </c>
      <c r="T3555" s="33" t="s">
        <v>26781</v>
      </c>
      <c r="U3555" s="33" t="s">
        <v>26572</v>
      </c>
      <c r="V3555" s="33" t="s">
        <v>26573</v>
      </c>
      <c r="W3555" s="33" t="s">
        <v>94</v>
      </c>
      <c r="X3555" s="33">
        <v>1968</v>
      </c>
      <c r="Z3555" s="33" t="s">
        <v>42968</v>
      </c>
      <c r="AA3555" s="33">
        <v>4110</v>
      </c>
    </row>
    <row r="3556" spans="1:27" ht="12" customHeight="1" x14ac:dyDescent="0.15">
      <c r="A3556" s="33" t="s">
        <v>24054</v>
      </c>
      <c r="B3556" s="33">
        <v>23</v>
      </c>
      <c r="C3556" s="33" t="s">
        <v>14</v>
      </c>
      <c r="D3556" s="33" t="s">
        <v>31</v>
      </c>
      <c r="E3556" s="33" t="s">
        <v>24055</v>
      </c>
      <c r="F3556" s="67">
        <v>42657</v>
      </c>
      <c r="G3556" s="33" t="s">
        <v>24056</v>
      </c>
      <c r="H3556" s="33" t="s">
        <v>8137</v>
      </c>
      <c r="I3556" s="33" t="s">
        <v>67</v>
      </c>
      <c r="J3556" s="33">
        <v>77706</v>
      </c>
      <c r="K3556" s="33" t="s">
        <v>1659</v>
      </c>
      <c r="L3556" s="33" t="s">
        <v>8139</v>
      </c>
      <c r="M3556" s="33" t="s">
        <v>21</v>
      </c>
      <c r="N3556" s="33" t="s">
        <v>24057</v>
      </c>
      <c r="O3556" s="33" t="s">
        <v>372</v>
      </c>
      <c r="P3556" s="33" t="s">
        <v>30089</v>
      </c>
      <c r="Q3556" s="40" t="s">
        <v>24058</v>
      </c>
      <c r="R3556" s="33" t="s">
        <v>23</v>
      </c>
      <c r="S3556" s="33" t="s">
        <v>22</v>
      </c>
      <c r="T3556" s="33" t="s">
        <v>26580</v>
      </c>
      <c r="U3556" s="33" t="s">
        <v>26572</v>
      </c>
      <c r="V3556" s="33" t="s">
        <v>26573</v>
      </c>
      <c r="W3556" s="33" t="s">
        <v>94</v>
      </c>
      <c r="X3556" s="33">
        <v>1965</v>
      </c>
      <c r="Y3556" s="33" t="s">
        <v>42476</v>
      </c>
      <c r="Z3556" s="33" t="s">
        <v>42966</v>
      </c>
      <c r="AA3556" s="33">
        <v>4107</v>
      </c>
    </row>
    <row r="3557" spans="1:27" ht="12" customHeight="1" x14ac:dyDescent="0.15">
      <c r="A3557" s="33" t="s">
        <v>24063</v>
      </c>
      <c r="B3557" s="33">
        <v>26</v>
      </c>
      <c r="C3557" s="33" t="s">
        <v>14</v>
      </c>
      <c r="D3557" s="33" t="s">
        <v>31</v>
      </c>
      <c r="F3557" s="67">
        <v>42657</v>
      </c>
      <c r="G3557" s="33" t="s">
        <v>24064</v>
      </c>
      <c r="H3557" s="33" t="s">
        <v>886</v>
      </c>
      <c r="I3557" s="33" t="s">
        <v>39</v>
      </c>
      <c r="J3557" s="33">
        <v>94116</v>
      </c>
      <c r="K3557" s="33" t="s">
        <v>886</v>
      </c>
      <c r="L3557" s="33" t="s">
        <v>887</v>
      </c>
      <c r="M3557" s="33" t="s">
        <v>21</v>
      </c>
      <c r="N3557" s="33" t="s">
        <v>24065</v>
      </c>
      <c r="O3557" s="33" t="s">
        <v>372</v>
      </c>
      <c r="P3557" s="33" t="s">
        <v>30089</v>
      </c>
      <c r="Q3557" s="40" t="s">
        <v>24066</v>
      </c>
      <c r="R3557" s="33" t="s">
        <v>512</v>
      </c>
      <c r="S3557" s="33" t="s">
        <v>22</v>
      </c>
      <c r="T3557" s="33" t="s">
        <v>26781</v>
      </c>
      <c r="U3557" s="33" t="s">
        <v>26572</v>
      </c>
      <c r="V3557" s="33" t="s">
        <v>26573</v>
      </c>
      <c r="W3557" s="33" t="s">
        <v>94</v>
      </c>
      <c r="X3557" s="33">
        <v>1970</v>
      </c>
      <c r="Z3557" s="33" t="s">
        <v>42966</v>
      </c>
      <c r="AA3557" s="33">
        <v>4109</v>
      </c>
    </row>
    <row r="3558" spans="1:27" ht="12" customHeight="1" x14ac:dyDescent="0.15">
      <c r="A3558" s="33" t="s">
        <v>24059</v>
      </c>
      <c r="B3558" s="33">
        <v>24</v>
      </c>
      <c r="C3558" s="33" t="s">
        <v>14</v>
      </c>
      <c r="D3558" s="33" t="s">
        <v>42</v>
      </c>
      <c r="F3558" s="67">
        <v>42657</v>
      </c>
      <c r="G3558" s="33" t="s">
        <v>24060</v>
      </c>
      <c r="H3558" s="33" t="s">
        <v>266</v>
      </c>
      <c r="I3558" s="33" t="s">
        <v>67</v>
      </c>
      <c r="J3558" s="33">
        <v>75216</v>
      </c>
      <c r="K3558" s="33" t="s">
        <v>266</v>
      </c>
      <c r="L3558" s="33" t="s">
        <v>267</v>
      </c>
      <c r="M3558" s="33" t="s">
        <v>21</v>
      </c>
      <c r="N3558" s="33" t="s">
        <v>24061</v>
      </c>
      <c r="O3558" s="33" t="s">
        <v>372</v>
      </c>
      <c r="P3558" s="33" t="s">
        <v>30089</v>
      </c>
      <c r="Q3558" s="40" t="s">
        <v>24062</v>
      </c>
      <c r="R3558" s="33" t="s">
        <v>94</v>
      </c>
      <c r="S3558" s="33" t="s">
        <v>22</v>
      </c>
      <c r="T3558" s="33" t="s">
        <v>26781</v>
      </c>
      <c r="U3558" s="33" t="s">
        <v>26572</v>
      </c>
      <c r="V3558" s="33" t="s">
        <v>26573</v>
      </c>
      <c r="W3558" s="33" t="s">
        <v>94</v>
      </c>
      <c r="X3558" s="33">
        <v>1969</v>
      </c>
      <c r="Z3558" s="33" t="s">
        <v>42966</v>
      </c>
      <c r="AA3558" s="33">
        <v>4108</v>
      </c>
    </row>
    <row r="3559" spans="1:27" ht="12" customHeight="1" x14ac:dyDescent="0.15">
      <c r="A3559" s="33" t="s">
        <v>24573</v>
      </c>
      <c r="B3559" s="33">
        <v>38</v>
      </c>
      <c r="C3559" s="33" t="s">
        <v>14</v>
      </c>
      <c r="D3559" s="33" t="s">
        <v>31</v>
      </c>
      <c r="F3559" s="67">
        <v>42656</v>
      </c>
      <c r="G3559" s="33" t="s">
        <v>24035</v>
      </c>
      <c r="H3559" s="33" t="s">
        <v>2350</v>
      </c>
      <c r="I3559" s="33" t="s">
        <v>282</v>
      </c>
      <c r="J3559" s="33">
        <v>98030</v>
      </c>
      <c r="K3559" s="33" t="s">
        <v>1133</v>
      </c>
      <c r="L3559" s="33" t="s">
        <v>3181</v>
      </c>
      <c r="M3559" s="33" t="s">
        <v>21</v>
      </c>
      <c r="N3559" s="33" t="s">
        <v>24036</v>
      </c>
      <c r="O3559" s="33" t="s">
        <v>372</v>
      </c>
      <c r="P3559" s="33" t="s">
        <v>30089</v>
      </c>
      <c r="Q3559" s="40" t="s">
        <v>24037</v>
      </c>
      <c r="R3559" s="33" t="s">
        <v>94</v>
      </c>
      <c r="S3559" s="33" t="s">
        <v>22</v>
      </c>
      <c r="T3559" s="33" t="s">
        <v>26781</v>
      </c>
      <c r="U3559" s="33" t="s">
        <v>26570</v>
      </c>
      <c r="V3559" s="33" t="s">
        <v>26573</v>
      </c>
      <c r="W3559" s="33" t="s">
        <v>94</v>
      </c>
      <c r="X3559" s="33">
        <v>1964</v>
      </c>
      <c r="Z3559" s="33" t="s">
        <v>42968</v>
      </c>
      <c r="AA3559" s="33">
        <v>4105</v>
      </c>
    </row>
    <row r="3560" spans="1:27" ht="12" customHeight="1" x14ac:dyDescent="0.15">
      <c r="A3560" s="33" t="s">
        <v>24048</v>
      </c>
      <c r="B3560" s="33">
        <v>46</v>
      </c>
      <c r="C3560" s="33" t="s">
        <v>14</v>
      </c>
      <c r="D3560" s="33" t="s">
        <v>31</v>
      </c>
      <c r="E3560" s="33" t="s">
        <v>24049</v>
      </c>
      <c r="F3560" s="67">
        <v>42656</v>
      </c>
      <c r="G3560" s="33" t="s">
        <v>24050</v>
      </c>
      <c r="H3560" s="33" t="s">
        <v>1908</v>
      </c>
      <c r="I3560" s="33" t="s">
        <v>106</v>
      </c>
      <c r="J3560" s="33">
        <v>97526</v>
      </c>
      <c r="K3560" s="33" t="s">
        <v>1435</v>
      </c>
      <c r="L3560" s="33" t="s">
        <v>24051</v>
      </c>
      <c r="M3560" s="33" t="s">
        <v>4966</v>
      </c>
      <c r="N3560" s="33" t="s">
        <v>24052</v>
      </c>
      <c r="O3560" s="33" t="s">
        <v>372</v>
      </c>
      <c r="P3560" s="33" t="s">
        <v>30089</v>
      </c>
      <c r="Q3560" s="40" t="s">
        <v>24053</v>
      </c>
      <c r="R3560" s="33" t="s">
        <v>512</v>
      </c>
      <c r="S3560" s="33" t="s">
        <v>22</v>
      </c>
      <c r="T3560" s="33" t="s">
        <v>26774</v>
      </c>
      <c r="U3560" s="33" t="s">
        <v>26570</v>
      </c>
      <c r="W3560" s="33" t="s">
        <v>94</v>
      </c>
      <c r="X3560" s="33">
        <v>1963</v>
      </c>
      <c r="Z3560" s="33" t="s">
        <v>42968</v>
      </c>
      <c r="AA3560" s="33">
        <v>4106</v>
      </c>
    </row>
    <row r="3561" spans="1:27" ht="12" customHeight="1" x14ac:dyDescent="0.15">
      <c r="A3561" s="33" t="s">
        <v>24038</v>
      </c>
      <c r="B3561" s="33">
        <v>50</v>
      </c>
      <c r="C3561" s="33" t="s">
        <v>14</v>
      </c>
      <c r="D3561" s="33" t="s">
        <v>31</v>
      </c>
      <c r="E3561" s="33" t="s">
        <v>24039</v>
      </c>
      <c r="F3561" s="67">
        <v>42656</v>
      </c>
      <c r="G3561" s="33" t="s">
        <v>24040</v>
      </c>
      <c r="H3561" s="33" t="s">
        <v>607</v>
      </c>
      <c r="I3561" s="33" t="s">
        <v>250</v>
      </c>
      <c r="J3561" s="33">
        <v>89149</v>
      </c>
      <c r="K3561" s="33" t="s">
        <v>527</v>
      </c>
      <c r="L3561" s="33" t="s">
        <v>528</v>
      </c>
      <c r="M3561" s="33" t="s">
        <v>21</v>
      </c>
      <c r="N3561" s="33" t="s">
        <v>24041</v>
      </c>
      <c r="O3561" s="33" t="s">
        <v>372</v>
      </c>
      <c r="P3561" s="33" t="s">
        <v>30089</v>
      </c>
      <c r="Q3561" s="40" t="s">
        <v>24042</v>
      </c>
      <c r="R3561" s="33" t="s">
        <v>94</v>
      </c>
      <c r="S3561" s="33" t="s">
        <v>22</v>
      </c>
      <c r="T3561" s="33" t="s">
        <v>26781</v>
      </c>
      <c r="U3561" s="33" t="s">
        <v>26570</v>
      </c>
      <c r="V3561" s="33" t="s">
        <v>26571</v>
      </c>
      <c r="W3561" s="33" t="s">
        <v>512</v>
      </c>
      <c r="X3561" s="33">
        <v>1962</v>
      </c>
      <c r="Z3561" s="33" t="s">
        <v>42968</v>
      </c>
      <c r="AA3561" s="33">
        <v>4104</v>
      </c>
    </row>
    <row r="3562" spans="1:27" ht="12" customHeight="1" x14ac:dyDescent="0.15">
      <c r="A3562" s="33" t="s">
        <v>24030</v>
      </c>
      <c r="B3562" s="33">
        <v>31</v>
      </c>
      <c r="C3562" s="33" t="s">
        <v>14</v>
      </c>
      <c r="D3562" s="33" t="s">
        <v>31</v>
      </c>
      <c r="E3562" s="33" t="s">
        <v>24031</v>
      </c>
      <c r="F3562" s="67">
        <v>42655</v>
      </c>
      <c r="G3562" s="33" t="s">
        <v>24032</v>
      </c>
      <c r="H3562" s="33" t="s">
        <v>3742</v>
      </c>
      <c r="I3562" s="33" t="s">
        <v>19</v>
      </c>
      <c r="J3562" s="33">
        <v>70726</v>
      </c>
      <c r="K3562" s="33" t="s">
        <v>3744</v>
      </c>
      <c r="L3562" s="33" t="s">
        <v>6929</v>
      </c>
      <c r="M3562" s="33" t="s">
        <v>21</v>
      </c>
      <c r="N3562" s="33" t="s">
        <v>24033</v>
      </c>
      <c r="O3562" s="33" t="s">
        <v>372</v>
      </c>
      <c r="P3562" s="33" t="s">
        <v>30089</v>
      </c>
      <c r="Q3562" s="40" t="s">
        <v>24034</v>
      </c>
      <c r="R3562" s="33" t="s">
        <v>94</v>
      </c>
      <c r="S3562" s="33" t="s">
        <v>22</v>
      </c>
      <c r="T3562" s="33" t="s">
        <v>26781</v>
      </c>
      <c r="U3562" s="33" t="s">
        <v>26572</v>
      </c>
      <c r="V3562" s="33" t="s">
        <v>26573</v>
      </c>
      <c r="W3562" s="33" t="s">
        <v>94</v>
      </c>
      <c r="X3562" s="33">
        <v>1959</v>
      </c>
      <c r="Z3562" s="33" t="s">
        <v>42968</v>
      </c>
      <c r="AA3562" s="33">
        <v>4101</v>
      </c>
    </row>
    <row r="3563" spans="1:27" ht="12" customHeight="1" x14ac:dyDescent="0.15">
      <c r="A3563" s="33" t="s">
        <v>24043</v>
      </c>
      <c r="B3563" s="33">
        <v>22</v>
      </c>
      <c r="C3563" s="33" t="s">
        <v>14</v>
      </c>
      <c r="D3563" s="33" t="s">
        <v>31</v>
      </c>
      <c r="F3563" s="67">
        <v>42655</v>
      </c>
      <c r="G3563" s="33" t="s">
        <v>24044</v>
      </c>
      <c r="H3563" s="33" t="s">
        <v>24045</v>
      </c>
      <c r="I3563" s="33" t="s">
        <v>294</v>
      </c>
      <c r="J3563" s="33">
        <v>40351</v>
      </c>
      <c r="K3563" s="33" t="s">
        <v>9875</v>
      </c>
      <c r="L3563" s="33" t="s">
        <v>18258</v>
      </c>
      <c r="M3563" s="33" t="s">
        <v>21</v>
      </c>
      <c r="N3563" s="33" t="s">
        <v>24046</v>
      </c>
      <c r="O3563" s="33" t="s">
        <v>372</v>
      </c>
      <c r="P3563" s="33" t="s">
        <v>30089</v>
      </c>
      <c r="Q3563" s="40" t="s">
        <v>24047</v>
      </c>
      <c r="R3563" s="33" t="s">
        <v>94</v>
      </c>
      <c r="S3563" s="33" t="s">
        <v>22</v>
      </c>
      <c r="T3563" s="33" t="s">
        <v>26781</v>
      </c>
      <c r="U3563" s="33" t="s">
        <v>26572</v>
      </c>
      <c r="V3563" s="33" t="s">
        <v>26573</v>
      </c>
      <c r="W3563" s="33" t="s">
        <v>94</v>
      </c>
      <c r="X3563" s="33">
        <v>1961</v>
      </c>
      <c r="Z3563" s="33" t="s">
        <v>42967</v>
      </c>
      <c r="AA3563" s="33">
        <v>4103</v>
      </c>
    </row>
    <row r="3564" spans="1:27" ht="12" customHeight="1" x14ac:dyDescent="0.15">
      <c r="A3564" s="33" t="s">
        <v>23868</v>
      </c>
      <c r="B3564" s="33">
        <v>33</v>
      </c>
      <c r="C3564" s="33" t="s">
        <v>14</v>
      </c>
      <c r="D3564" s="33" t="s">
        <v>79</v>
      </c>
      <c r="F3564" s="67">
        <v>42655</v>
      </c>
      <c r="G3564" s="33" t="s">
        <v>23869</v>
      </c>
      <c r="H3564" s="33" t="s">
        <v>1586</v>
      </c>
      <c r="I3564" s="33" t="s">
        <v>40</v>
      </c>
      <c r="J3564" s="33">
        <v>2128</v>
      </c>
      <c r="K3564" s="33" t="s">
        <v>1588</v>
      </c>
      <c r="L3564" s="33" t="s">
        <v>2980</v>
      </c>
      <c r="M3564" s="33" t="s">
        <v>21</v>
      </c>
      <c r="N3564" s="33" t="s">
        <v>23866</v>
      </c>
      <c r="O3564" s="33" t="s">
        <v>372</v>
      </c>
      <c r="P3564" s="33" t="s">
        <v>30089</v>
      </c>
      <c r="Q3564" s="40" t="s">
        <v>23867</v>
      </c>
      <c r="R3564" s="33" t="s">
        <v>23</v>
      </c>
      <c r="S3564" s="33" t="s">
        <v>22</v>
      </c>
      <c r="T3564" s="33" t="s">
        <v>26781</v>
      </c>
      <c r="U3564" s="33" t="s">
        <v>26572</v>
      </c>
      <c r="V3564" s="33" t="s">
        <v>26573</v>
      </c>
      <c r="W3564" s="33" t="s">
        <v>94</v>
      </c>
      <c r="X3564" s="33">
        <v>1960</v>
      </c>
      <c r="Z3564" s="33" t="s">
        <v>42966</v>
      </c>
      <c r="AA3564" s="33">
        <v>4102</v>
      </c>
    </row>
    <row r="3565" spans="1:27" ht="12" customHeight="1" x14ac:dyDescent="0.15">
      <c r="A3565" s="33" t="s">
        <v>24022</v>
      </c>
      <c r="B3565" s="33">
        <v>30</v>
      </c>
      <c r="C3565" s="33" t="s">
        <v>14</v>
      </c>
      <c r="D3565" s="33" t="s">
        <v>31</v>
      </c>
      <c r="E3565" s="33" t="s">
        <v>24023</v>
      </c>
      <c r="F3565" s="67">
        <v>42654</v>
      </c>
      <c r="G3565" s="33" t="s">
        <v>24534</v>
      </c>
      <c r="H3565" s="33" t="s">
        <v>5603</v>
      </c>
      <c r="I3565" s="33" t="s">
        <v>39</v>
      </c>
      <c r="J3565" s="33">
        <v>94518</v>
      </c>
      <c r="K3565" s="33" t="s">
        <v>4146</v>
      </c>
      <c r="L3565" s="33" t="s">
        <v>5605</v>
      </c>
      <c r="M3565" s="33" t="s">
        <v>21</v>
      </c>
      <c r="N3565" s="33" t="s">
        <v>24024</v>
      </c>
      <c r="O3565" s="33" t="s">
        <v>372</v>
      </c>
      <c r="P3565" s="33" t="s">
        <v>30089</v>
      </c>
      <c r="Q3565" s="40" t="s">
        <v>24025</v>
      </c>
      <c r="R3565" s="33" t="s">
        <v>94</v>
      </c>
      <c r="S3565" s="33" t="s">
        <v>22</v>
      </c>
      <c r="T3565" s="33" t="s">
        <v>26774</v>
      </c>
      <c r="U3565" s="33" t="s">
        <v>26570</v>
      </c>
      <c r="V3565" s="33" t="s">
        <v>26573</v>
      </c>
      <c r="W3565" s="33" t="s">
        <v>94</v>
      </c>
      <c r="X3565" s="33">
        <v>1958</v>
      </c>
      <c r="Z3565" s="33" t="s">
        <v>42968</v>
      </c>
      <c r="AA3565" s="33">
        <v>4100</v>
      </c>
    </row>
    <row r="3566" spans="1:27" ht="12" customHeight="1" x14ac:dyDescent="0.15">
      <c r="A3566" s="33" t="s">
        <v>24026</v>
      </c>
      <c r="B3566" s="33">
        <v>44</v>
      </c>
      <c r="C3566" s="33" t="s">
        <v>14</v>
      </c>
      <c r="D3566" s="33" t="s">
        <v>15</v>
      </c>
      <c r="F3566" s="67">
        <v>42654</v>
      </c>
      <c r="G3566" s="33" t="s">
        <v>24027</v>
      </c>
      <c r="H3566" s="33" t="s">
        <v>1132</v>
      </c>
      <c r="I3566" s="33" t="s">
        <v>282</v>
      </c>
      <c r="J3566" s="33">
        <v>98134</v>
      </c>
      <c r="K3566" s="33" t="s">
        <v>1133</v>
      </c>
      <c r="L3566" s="33" t="s">
        <v>1134</v>
      </c>
      <c r="M3566" s="33" t="s">
        <v>21</v>
      </c>
      <c r="N3566" s="33" t="s">
        <v>24028</v>
      </c>
      <c r="O3566" s="33" t="s">
        <v>372</v>
      </c>
      <c r="P3566" s="33" t="s">
        <v>30089</v>
      </c>
      <c r="Q3566" s="40" t="s">
        <v>24029</v>
      </c>
      <c r="R3566" s="33" t="s">
        <v>94</v>
      </c>
      <c r="S3566" s="33" t="s">
        <v>22</v>
      </c>
      <c r="T3566" s="33" t="s">
        <v>26774</v>
      </c>
      <c r="U3566" s="33" t="s">
        <v>26570</v>
      </c>
      <c r="V3566" s="33" t="s">
        <v>26573</v>
      </c>
      <c r="W3566" s="33" t="s">
        <v>94</v>
      </c>
      <c r="X3566" s="33">
        <v>1957</v>
      </c>
      <c r="Z3566" s="33" t="s">
        <v>42966</v>
      </c>
      <c r="AA3566" s="33">
        <v>4099</v>
      </c>
    </row>
    <row r="3567" spans="1:27" ht="12" customHeight="1" x14ac:dyDescent="0.15">
      <c r="A3567" s="33" t="s">
        <v>24015</v>
      </c>
      <c r="B3567" s="33">
        <v>26</v>
      </c>
      <c r="C3567" s="33" t="s">
        <v>14</v>
      </c>
      <c r="D3567" s="33" t="s">
        <v>31</v>
      </c>
      <c r="E3567" s="33" t="s">
        <v>24016</v>
      </c>
      <c r="F3567" s="67">
        <v>42653</v>
      </c>
      <c r="G3567" s="33" t="s">
        <v>24017</v>
      </c>
      <c r="H3567" s="33" t="s">
        <v>24018</v>
      </c>
      <c r="I3567" s="33" t="s">
        <v>63</v>
      </c>
      <c r="J3567" s="33">
        <v>44145</v>
      </c>
      <c r="K3567" s="33" t="s">
        <v>95</v>
      </c>
      <c r="L3567" s="33" t="s">
        <v>24019</v>
      </c>
      <c r="M3567" s="33" t="s">
        <v>21</v>
      </c>
      <c r="N3567" s="33" t="s">
        <v>24020</v>
      </c>
      <c r="O3567" s="33" t="s">
        <v>372</v>
      </c>
      <c r="P3567" s="33" t="s">
        <v>30089</v>
      </c>
      <c r="Q3567" s="40" t="s">
        <v>24021</v>
      </c>
      <c r="R3567" s="33" t="s">
        <v>94</v>
      </c>
      <c r="S3567" s="33" t="s">
        <v>351</v>
      </c>
      <c r="T3567" s="33" t="s">
        <v>26867</v>
      </c>
      <c r="U3567" s="33" t="s">
        <v>26570</v>
      </c>
      <c r="V3567" s="33" t="s">
        <v>26571</v>
      </c>
      <c r="W3567" s="33" t="s">
        <v>94</v>
      </c>
      <c r="X3567" s="33">
        <v>1952</v>
      </c>
      <c r="Z3567" s="33" t="s">
        <v>42968</v>
      </c>
      <c r="AA3567" s="33">
        <v>4098</v>
      </c>
    </row>
    <row r="3568" spans="1:27" ht="12" customHeight="1" x14ac:dyDescent="0.15">
      <c r="A3568" s="33" t="s">
        <v>24007</v>
      </c>
      <c r="B3568" s="33">
        <v>50</v>
      </c>
      <c r="C3568" s="33" t="s">
        <v>14</v>
      </c>
      <c r="D3568" s="33" t="s">
        <v>128</v>
      </c>
      <c r="F3568" s="67">
        <v>42653</v>
      </c>
      <c r="G3568" s="33" t="s">
        <v>24008</v>
      </c>
      <c r="H3568" s="33" t="s">
        <v>5476</v>
      </c>
      <c r="I3568" s="33" t="s">
        <v>338</v>
      </c>
      <c r="J3568" s="33">
        <v>28358</v>
      </c>
      <c r="K3568" s="33" t="s">
        <v>5212</v>
      </c>
      <c r="L3568" s="33" t="s">
        <v>14794</v>
      </c>
      <c r="M3568" s="33" t="s">
        <v>21</v>
      </c>
      <c r="N3568" s="33" t="s">
        <v>24009</v>
      </c>
      <c r="O3568" s="33" t="s">
        <v>372</v>
      </c>
      <c r="P3568" s="33" t="s">
        <v>30089</v>
      </c>
      <c r="Q3568" s="40" t="s">
        <v>24010</v>
      </c>
      <c r="R3568" s="33" t="s">
        <v>94</v>
      </c>
      <c r="S3568" s="33" t="s">
        <v>22</v>
      </c>
      <c r="T3568" s="33" t="s">
        <v>26781</v>
      </c>
      <c r="U3568" s="33" t="s">
        <v>26570</v>
      </c>
      <c r="V3568" s="33" t="s">
        <v>26573</v>
      </c>
      <c r="W3568" s="33" t="s">
        <v>94</v>
      </c>
      <c r="X3568" s="33">
        <v>1949</v>
      </c>
      <c r="Z3568" s="33" t="s">
        <v>42968</v>
      </c>
      <c r="AA3568" s="33">
        <v>4095</v>
      </c>
    </row>
    <row r="3569" spans="1:31" ht="12" customHeight="1" x14ac:dyDescent="0.15">
      <c r="A3569" s="33" t="s">
        <v>24011</v>
      </c>
      <c r="B3569" s="33">
        <v>19</v>
      </c>
      <c r="C3569" s="33" t="s">
        <v>14</v>
      </c>
      <c r="D3569" s="33" t="s">
        <v>128</v>
      </c>
      <c r="F3569" s="67">
        <v>42653</v>
      </c>
      <c r="G3569" s="33" t="s">
        <v>24012</v>
      </c>
      <c r="H3569" s="33" t="s">
        <v>1807</v>
      </c>
      <c r="I3569" s="33" t="s">
        <v>67</v>
      </c>
      <c r="J3569" s="33">
        <v>79701</v>
      </c>
      <c r="K3569" s="33" t="s">
        <v>1807</v>
      </c>
      <c r="L3569" s="33" t="s">
        <v>1809</v>
      </c>
      <c r="M3569" s="33" t="s">
        <v>21</v>
      </c>
      <c r="N3569" s="33" t="s">
        <v>24013</v>
      </c>
      <c r="O3569" s="33" t="s">
        <v>372</v>
      </c>
      <c r="P3569" s="33" t="s">
        <v>30089</v>
      </c>
      <c r="Q3569" s="40" t="s">
        <v>24014</v>
      </c>
      <c r="R3569" s="33" t="s">
        <v>23</v>
      </c>
      <c r="S3569" s="33" t="s">
        <v>22</v>
      </c>
      <c r="T3569" s="33" t="s">
        <v>26781</v>
      </c>
      <c r="U3569" s="33" t="s">
        <v>26570</v>
      </c>
      <c r="W3569" s="33" t="s">
        <v>94</v>
      </c>
      <c r="X3569" s="33">
        <v>1951</v>
      </c>
      <c r="Z3569" s="33" t="s">
        <v>42966</v>
      </c>
      <c r="AA3569" s="33">
        <v>4096</v>
      </c>
    </row>
    <row r="3570" spans="1:31" ht="12" customHeight="1" x14ac:dyDescent="0.15">
      <c r="A3570" s="33" t="s">
        <v>24002</v>
      </c>
      <c r="B3570" s="33">
        <v>27</v>
      </c>
      <c r="C3570" s="33" t="s">
        <v>14</v>
      </c>
      <c r="D3570" s="33" t="s">
        <v>42</v>
      </c>
      <c r="E3570" s="33" t="s">
        <v>24003</v>
      </c>
      <c r="F3570" s="67">
        <v>42653</v>
      </c>
      <c r="G3570" s="33" t="s">
        <v>24004</v>
      </c>
      <c r="H3570" s="33" t="s">
        <v>19238</v>
      </c>
      <c r="I3570" s="33" t="s">
        <v>39</v>
      </c>
      <c r="J3570" s="33">
        <v>92618</v>
      </c>
      <c r="K3570" s="33" t="s">
        <v>998</v>
      </c>
      <c r="L3570" s="33" t="s">
        <v>897</v>
      </c>
      <c r="M3570" s="33" t="s">
        <v>21</v>
      </c>
      <c r="N3570" s="33" t="s">
        <v>24005</v>
      </c>
      <c r="O3570" s="33" t="s">
        <v>372</v>
      </c>
      <c r="P3570" s="33" t="s">
        <v>30089</v>
      </c>
      <c r="Q3570" s="40" t="s">
        <v>24006</v>
      </c>
      <c r="R3570" s="33" t="s">
        <v>512</v>
      </c>
      <c r="S3570" s="33" t="s">
        <v>29</v>
      </c>
      <c r="T3570" s="33" t="s">
        <v>26575</v>
      </c>
      <c r="U3570" s="33" t="s">
        <v>26570</v>
      </c>
      <c r="V3570" s="33" t="s">
        <v>26573</v>
      </c>
      <c r="W3570" s="33" t="s">
        <v>94</v>
      </c>
      <c r="X3570" s="33">
        <v>1950</v>
      </c>
      <c r="Z3570" s="33" t="s">
        <v>42968</v>
      </c>
      <c r="AA3570" s="33">
        <v>4097</v>
      </c>
    </row>
    <row r="3571" spans="1:31" ht="12" customHeight="1" x14ac:dyDescent="0.15">
      <c r="A3571" s="33" t="s">
        <v>23997</v>
      </c>
      <c r="B3571" s="33">
        <v>40</v>
      </c>
      <c r="C3571" s="33" t="s">
        <v>14</v>
      </c>
      <c r="D3571" s="33" t="s">
        <v>31</v>
      </c>
      <c r="E3571" s="33" t="s">
        <v>23998</v>
      </c>
      <c r="F3571" s="67">
        <v>42652</v>
      </c>
      <c r="G3571" s="33" t="s">
        <v>23999</v>
      </c>
      <c r="H3571" s="33" t="s">
        <v>639</v>
      </c>
      <c r="I3571" s="33" t="s">
        <v>112</v>
      </c>
      <c r="J3571" s="33">
        <v>85054</v>
      </c>
      <c r="K3571" s="33" t="s">
        <v>585</v>
      </c>
      <c r="L3571" s="33" t="s">
        <v>10122</v>
      </c>
      <c r="M3571" s="33" t="s">
        <v>21</v>
      </c>
      <c r="N3571" s="33" t="s">
        <v>24000</v>
      </c>
      <c r="O3571" s="33" t="s">
        <v>372</v>
      </c>
      <c r="P3571" s="33" t="s">
        <v>30089</v>
      </c>
      <c r="Q3571" s="40" t="s">
        <v>24001</v>
      </c>
      <c r="R3571" s="33" t="s">
        <v>512</v>
      </c>
      <c r="S3571" s="33" t="s">
        <v>22</v>
      </c>
      <c r="T3571" s="33" t="s">
        <v>26781</v>
      </c>
      <c r="U3571" s="33" t="s">
        <v>26570</v>
      </c>
      <c r="V3571" s="33" t="s">
        <v>26571</v>
      </c>
      <c r="W3571" s="33" t="s">
        <v>94</v>
      </c>
      <c r="X3571" s="33">
        <v>1954</v>
      </c>
      <c r="Z3571" s="33" t="s">
        <v>42966</v>
      </c>
      <c r="AA3571" s="33">
        <v>4094</v>
      </c>
    </row>
    <row r="3572" spans="1:31" ht="12" customHeight="1" x14ac:dyDescent="0.15">
      <c r="A3572" s="33" t="s">
        <v>23862</v>
      </c>
      <c r="B3572" s="33">
        <v>41</v>
      </c>
      <c r="C3572" s="33" t="s">
        <v>14</v>
      </c>
      <c r="D3572" s="33" t="s">
        <v>79</v>
      </c>
      <c r="F3572" s="67">
        <v>42652</v>
      </c>
      <c r="G3572" s="33" t="s">
        <v>23865</v>
      </c>
      <c r="H3572" s="33" t="s">
        <v>4600</v>
      </c>
      <c r="I3572" s="33" t="s">
        <v>395</v>
      </c>
      <c r="J3572" s="33">
        <v>13210</v>
      </c>
      <c r="K3572" s="33" t="s">
        <v>12104</v>
      </c>
      <c r="L3572" s="33" t="s">
        <v>19425</v>
      </c>
      <c r="M3572" s="33" t="s">
        <v>21</v>
      </c>
      <c r="N3572" s="33" t="s">
        <v>23863</v>
      </c>
      <c r="O3572" s="33" t="s">
        <v>372</v>
      </c>
      <c r="P3572" s="33" t="s">
        <v>30089</v>
      </c>
      <c r="Q3572" s="40" t="s">
        <v>23864</v>
      </c>
      <c r="R3572" s="33" t="s">
        <v>23</v>
      </c>
      <c r="S3572" s="33" t="s">
        <v>22</v>
      </c>
      <c r="T3572" s="33" t="s">
        <v>26781</v>
      </c>
      <c r="U3572" s="33" t="s">
        <v>26572</v>
      </c>
      <c r="V3572" s="33" t="s">
        <v>26573</v>
      </c>
      <c r="W3572" s="33" t="s">
        <v>94</v>
      </c>
      <c r="X3572" s="33">
        <v>1943</v>
      </c>
      <c r="Z3572" s="33" t="s">
        <v>42966</v>
      </c>
      <c r="AA3572" s="33">
        <v>4093</v>
      </c>
    </row>
    <row r="3573" spans="1:31" ht="12" customHeight="1" x14ac:dyDescent="0.15">
      <c r="A3573" s="33" t="s">
        <v>23976</v>
      </c>
      <c r="B3573" s="33">
        <v>21</v>
      </c>
      <c r="C3573" s="33" t="s">
        <v>14</v>
      </c>
      <c r="D3573" s="33" t="s">
        <v>42</v>
      </c>
      <c r="F3573" s="67">
        <v>42651</v>
      </c>
      <c r="G3573" s="33" t="s">
        <v>23977</v>
      </c>
      <c r="H3573" s="33" t="s">
        <v>15505</v>
      </c>
      <c r="I3573" s="33" t="s">
        <v>282</v>
      </c>
      <c r="J3573" s="33">
        <v>98003</v>
      </c>
      <c r="K3573" s="33" t="s">
        <v>1133</v>
      </c>
      <c r="L3573" s="33" t="s">
        <v>15507</v>
      </c>
      <c r="M3573" s="33" t="s">
        <v>21</v>
      </c>
      <c r="N3573" s="33" t="s">
        <v>23978</v>
      </c>
      <c r="O3573" s="33" t="s">
        <v>372</v>
      </c>
      <c r="P3573" s="33" t="s">
        <v>30089</v>
      </c>
      <c r="Q3573" s="40" t="s">
        <v>23979</v>
      </c>
      <c r="R3573" s="33" t="s">
        <v>512</v>
      </c>
      <c r="S3573" s="33" t="s">
        <v>22</v>
      </c>
      <c r="T3573" s="33" t="s">
        <v>26774</v>
      </c>
      <c r="U3573" s="33" t="s">
        <v>26570</v>
      </c>
      <c r="V3573" s="33" t="s">
        <v>26573</v>
      </c>
      <c r="W3573" s="33" t="s">
        <v>94</v>
      </c>
      <c r="X3573" s="33">
        <v>1942</v>
      </c>
      <c r="Z3573" s="33" t="s">
        <v>42968</v>
      </c>
      <c r="AA3573" s="33">
        <v>4089</v>
      </c>
    </row>
    <row r="3574" spans="1:31" ht="12" customHeight="1" x14ac:dyDescent="0.15">
      <c r="A3574" s="33" t="s">
        <v>23980</v>
      </c>
      <c r="B3574" s="33">
        <v>62</v>
      </c>
      <c r="C3574" s="33" t="s">
        <v>14</v>
      </c>
      <c r="D3574" s="33" t="s">
        <v>31</v>
      </c>
      <c r="E3574" s="33" t="s">
        <v>23981</v>
      </c>
      <c r="F3574" s="67">
        <v>42651</v>
      </c>
      <c r="G3574" s="33" t="s">
        <v>23982</v>
      </c>
      <c r="H3574" s="33" t="s">
        <v>1678</v>
      </c>
      <c r="I3574" s="33" t="s">
        <v>198</v>
      </c>
      <c r="J3574" s="33">
        <v>46803</v>
      </c>
      <c r="K3574" s="33" t="s">
        <v>1680</v>
      </c>
      <c r="L3574" s="33" t="s">
        <v>1681</v>
      </c>
      <c r="M3574" s="33" t="s">
        <v>21</v>
      </c>
      <c r="N3574" s="33" t="s">
        <v>23983</v>
      </c>
      <c r="O3574" s="33" t="s">
        <v>372</v>
      </c>
      <c r="P3574" s="33" t="s">
        <v>30089</v>
      </c>
      <c r="Q3574" s="40" t="s">
        <v>23984</v>
      </c>
      <c r="R3574" s="33" t="s">
        <v>23</v>
      </c>
      <c r="S3574" s="33" t="s">
        <v>22</v>
      </c>
      <c r="T3574" s="33" t="s">
        <v>26774</v>
      </c>
      <c r="U3574" s="33" t="s">
        <v>26570</v>
      </c>
      <c r="V3574" s="33" t="s">
        <v>26573</v>
      </c>
      <c r="W3574" s="33" t="s">
        <v>94</v>
      </c>
      <c r="X3574" s="33">
        <v>2143</v>
      </c>
      <c r="Z3574" s="33" t="s">
        <v>42966</v>
      </c>
      <c r="AA3574" s="33">
        <v>4091</v>
      </c>
    </row>
    <row r="3575" spans="1:31" ht="12" customHeight="1" x14ac:dyDescent="0.15">
      <c r="A3575" s="33" t="s">
        <v>23985</v>
      </c>
      <c r="B3575" s="33">
        <v>53</v>
      </c>
      <c r="C3575" s="33" t="s">
        <v>103</v>
      </c>
      <c r="D3575" s="33" t="s">
        <v>31</v>
      </c>
      <c r="F3575" s="67">
        <v>42651</v>
      </c>
      <c r="G3575" s="33" t="s">
        <v>23986</v>
      </c>
      <c r="H3575" s="33" t="s">
        <v>9302</v>
      </c>
      <c r="I3575" s="33" t="s">
        <v>39</v>
      </c>
      <c r="J3575" s="33">
        <v>95355</v>
      </c>
      <c r="K3575" s="33" t="s">
        <v>2954</v>
      </c>
      <c r="L3575" s="33" t="s">
        <v>9304</v>
      </c>
      <c r="M3575" s="33" t="s">
        <v>21</v>
      </c>
      <c r="N3575" s="33" t="s">
        <v>23987</v>
      </c>
      <c r="O3575" s="33" t="s">
        <v>372</v>
      </c>
      <c r="P3575" s="33" t="s">
        <v>30089</v>
      </c>
      <c r="Q3575" s="40" t="s">
        <v>23988</v>
      </c>
      <c r="R3575" s="33" t="s">
        <v>904</v>
      </c>
      <c r="S3575" s="33" t="s">
        <v>22</v>
      </c>
      <c r="T3575" s="33" t="s">
        <v>26774</v>
      </c>
      <c r="U3575" s="33" t="s">
        <v>26572</v>
      </c>
      <c r="V3575" s="33" t="s">
        <v>26573</v>
      </c>
      <c r="W3575" s="33" t="s">
        <v>94</v>
      </c>
      <c r="X3575" s="33">
        <v>1956</v>
      </c>
      <c r="Z3575" s="33" t="s">
        <v>42968</v>
      </c>
      <c r="AA3575" s="33">
        <v>4090</v>
      </c>
    </row>
    <row r="3576" spans="1:31" ht="12" customHeight="1" x14ac:dyDescent="0.15">
      <c r="A3576" s="33" t="s">
        <v>23989</v>
      </c>
      <c r="B3576" s="33">
        <v>39</v>
      </c>
      <c r="C3576" s="33" t="s">
        <v>14</v>
      </c>
      <c r="D3576" s="33" t="s">
        <v>31</v>
      </c>
      <c r="E3576" s="33" t="s">
        <v>23990</v>
      </c>
      <c r="F3576" s="67">
        <v>42651</v>
      </c>
      <c r="G3576" s="33" t="s">
        <v>23991</v>
      </c>
      <c r="H3576" s="33" t="s">
        <v>23992</v>
      </c>
      <c r="I3576" s="33" t="s">
        <v>367</v>
      </c>
      <c r="J3576" s="33">
        <v>74883</v>
      </c>
      <c r="K3576" s="33" t="s">
        <v>23993</v>
      </c>
      <c r="L3576" s="33" t="s">
        <v>23994</v>
      </c>
      <c r="M3576" s="33" t="s">
        <v>21</v>
      </c>
      <c r="N3576" s="33" t="s">
        <v>23995</v>
      </c>
      <c r="O3576" s="33" t="s">
        <v>372</v>
      </c>
      <c r="P3576" s="33" t="s">
        <v>30089</v>
      </c>
      <c r="Q3576" s="40" t="s">
        <v>23996</v>
      </c>
      <c r="R3576" s="33" t="s">
        <v>94</v>
      </c>
      <c r="S3576" s="33" t="s">
        <v>351</v>
      </c>
      <c r="T3576" s="33" t="s">
        <v>26867</v>
      </c>
      <c r="U3576" s="33" t="s">
        <v>26570</v>
      </c>
      <c r="V3576" s="33" t="s">
        <v>26573</v>
      </c>
      <c r="W3576" s="33" t="s">
        <v>94</v>
      </c>
      <c r="X3576" s="33">
        <v>1947</v>
      </c>
      <c r="Z3576" s="33" t="s">
        <v>42967</v>
      </c>
      <c r="AA3576" s="33">
        <v>4092</v>
      </c>
    </row>
    <row r="3577" spans="1:31" ht="12" customHeight="1" x14ac:dyDescent="0.15">
      <c r="A3577" s="33" t="s">
        <v>23970</v>
      </c>
      <c r="B3577" s="33">
        <v>57</v>
      </c>
      <c r="C3577" s="33" t="s">
        <v>14</v>
      </c>
      <c r="D3577" s="33" t="s">
        <v>79</v>
      </c>
      <c r="F3577" s="67">
        <v>42650</v>
      </c>
      <c r="G3577" s="33" t="s">
        <v>23971</v>
      </c>
      <c r="H3577" s="33" t="s">
        <v>1447</v>
      </c>
      <c r="I3577" s="33" t="s">
        <v>160</v>
      </c>
      <c r="J3577" s="33">
        <v>31206</v>
      </c>
      <c r="K3577" s="33" t="s">
        <v>23972</v>
      </c>
      <c r="L3577" s="33" t="s">
        <v>23973</v>
      </c>
      <c r="M3577" s="33" t="s">
        <v>21</v>
      </c>
      <c r="N3577" s="33" t="s">
        <v>23974</v>
      </c>
      <c r="O3577" s="33" t="s">
        <v>372</v>
      </c>
      <c r="P3577" s="33" t="s">
        <v>30089</v>
      </c>
      <c r="Q3577" s="40" t="s">
        <v>23975</v>
      </c>
      <c r="R3577" s="33" t="s">
        <v>94</v>
      </c>
      <c r="S3577" s="33" t="s">
        <v>29</v>
      </c>
      <c r="T3577" s="33" t="s">
        <v>41840</v>
      </c>
      <c r="U3577" s="33" t="s">
        <v>26570</v>
      </c>
      <c r="V3577" s="33" t="s">
        <v>26573</v>
      </c>
      <c r="W3577" s="33" t="s">
        <v>94</v>
      </c>
      <c r="X3577" s="33">
        <v>1944</v>
      </c>
      <c r="Z3577" s="33" t="s">
        <v>42968</v>
      </c>
      <c r="AA3577" s="33">
        <v>4088</v>
      </c>
      <c r="AE3577" s="33"/>
    </row>
    <row r="3578" spans="1:31" ht="12" customHeight="1" x14ac:dyDescent="0.15">
      <c r="A3578" s="33" t="s">
        <v>23958</v>
      </c>
      <c r="B3578" s="33">
        <v>36</v>
      </c>
      <c r="C3578" s="33" t="s">
        <v>14</v>
      </c>
      <c r="D3578" s="33" t="s">
        <v>31</v>
      </c>
      <c r="E3578" s="33" t="s">
        <v>23959</v>
      </c>
      <c r="F3578" s="67">
        <v>42650</v>
      </c>
      <c r="G3578" s="33" t="s">
        <v>23960</v>
      </c>
      <c r="H3578" s="33" t="s">
        <v>1678</v>
      </c>
      <c r="I3578" s="33" t="s">
        <v>198</v>
      </c>
      <c r="J3578" s="33">
        <v>46825</v>
      </c>
      <c r="K3578" s="33" t="s">
        <v>1680</v>
      </c>
      <c r="L3578" s="33" t="s">
        <v>1681</v>
      </c>
      <c r="M3578" s="33" t="s">
        <v>21</v>
      </c>
      <c r="N3578" s="33" t="s">
        <v>23961</v>
      </c>
      <c r="O3578" s="33" t="s">
        <v>372</v>
      </c>
      <c r="P3578" s="33" t="s">
        <v>30089</v>
      </c>
      <c r="Q3578" s="40" t="s">
        <v>23962</v>
      </c>
      <c r="R3578" s="33" t="s">
        <v>94</v>
      </c>
      <c r="S3578" s="33" t="s">
        <v>22</v>
      </c>
      <c r="T3578" s="33" t="s">
        <v>26774</v>
      </c>
      <c r="U3578" s="33" t="s">
        <v>26570</v>
      </c>
      <c r="V3578" s="33" t="s">
        <v>26573</v>
      </c>
      <c r="W3578" s="33" t="s">
        <v>94</v>
      </c>
      <c r="X3578" s="33">
        <v>1945</v>
      </c>
      <c r="Z3578" s="33" t="s">
        <v>42966</v>
      </c>
      <c r="AA3578" s="33">
        <v>4086</v>
      </c>
    </row>
    <row r="3579" spans="1:31" ht="12" customHeight="1" x14ac:dyDescent="0.15">
      <c r="A3579" s="33" t="s">
        <v>23950</v>
      </c>
      <c r="B3579" s="33">
        <v>28</v>
      </c>
      <c r="C3579" s="33" t="s">
        <v>14</v>
      </c>
      <c r="D3579" s="33" t="s">
        <v>79</v>
      </c>
      <c r="F3579" s="67">
        <v>42650</v>
      </c>
      <c r="G3579" s="33" t="s">
        <v>23951</v>
      </c>
      <c r="H3579" s="33" t="s">
        <v>315</v>
      </c>
      <c r="I3579" s="33" t="s">
        <v>19</v>
      </c>
      <c r="J3579" s="33">
        <v>71303</v>
      </c>
      <c r="K3579" s="33" t="s">
        <v>2888</v>
      </c>
      <c r="L3579" s="33" t="s">
        <v>2889</v>
      </c>
      <c r="M3579" s="33" t="s">
        <v>21</v>
      </c>
      <c r="N3579" s="33" t="s">
        <v>23952</v>
      </c>
      <c r="O3579" s="33" t="s">
        <v>372</v>
      </c>
      <c r="P3579" s="33" t="s">
        <v>30089</v>
      </c>
      <c r="Q3579" s="40" t="s">
        <v>23953</v>
      </c>
      <c r="R3579" s="33" t="s">
        <v>94</v>
      </c>
      <c r="S3579" s="33" t="s">
        <v>22</v>
      </c>
      <c r="T3579" s="33" t="s">
        <v>26781</v>
      </c>
      <c r="U3579" s="33" t="s">
        <v>26572</v>
      </c>
      <c r="V3579" s="33" t="s">
        <v>26573</v>
      </c>
      <c r="W3579" s="33" t="s">
        <v>94</v>
      </c>
      <c r="X3579" s="33">
        <v>1948</v>
      </c>
      <c r="Z3579" s="33" t="s">
        <v>42966</v>
      </c>
      <c r="AA3579" s="33">
        <v>4085</v>
      </c>
    </row>
    <row r="3580" spans="1:31" ht="12" customHeight="1" x14ac:dyDescent="0.15">
      <c r="A3580" s="33" t="s">
        <v>23954</v>
      </c>
      <c r="B3580" s="33">
        <v>49</v>
      </c>
      <c r="C3580" s="33" t="s">
        <v>14</v>
      </c>
      <c r="D3580" s="33" t="s">
        <v>31</v>
      </c>
      <c r="E3580" s="33" t="s">
        <v>23955</v>
      </c>
      <c r="F3580" s="67">
        <v>42650</v>
      </c>
      <c r="G3580" s="33" t="s">
        <v>24533</v>
      </c>
      <c r="H3580" s="33" t="s">
        <v>2325</v>
      </c>
      <c r="I3580" s="33" t="s">
        <v>918</v>
      </c>
      <c r="J3580" s="33">
        <v>72015</v>
      </c>
      <c r="K3580" s="33" t="s">
        <v>4686</v>
      </c>
      <c r="L3580" s="33" t="s">
        <v>13621</v>
      </c>
      <c r="M3580" s="33" t="s">
        <v>21</v>
      </c>
      <c r="N3580" s="33" t="s">
        <v>23956</v>
      </c>
      <c r="O3580" s="33" t="s">
        <v>372</v>
      </c>
      <c r="P3580" s="33" t="s">
        <v>30089</v>
      </c>
      <c r="Q3580" s="40" t="s">
        <v>23957</v>
      </c>
      <c r="R3580" s="33" t="s">
        <v>23</v>
      </c>
      <c r="S3580" s="33" t="s">
        <v>12</v>
      </c>
      <c r="T3580" s="33" t="s">
        <v>29425</v>
      </c>
      <c r="U3580" s="33" t="s">
        <v>26570</v>
      </c>
      <c r="V3580" s="33" t="s">
        <v>26573</v>
      </c>
      <c r="W3580" s="33" t="s">
        <v>94</v>
      </c>
      <c r="X3580" s="33">
        <v>1953</v>
      </c>
      <c r="Z3580" s="33" t="s">
        <v>42968</v>
      </c>
      <c r="AA3580" s="33">
        <v>4087</v>
      </c>
    </row>
    <row r="3581" spans="1:31" ht="12" customHeight="1" x14ac:dyDescent="0.15">
      <c r="A3581" s="33" t="s">
        <v>23968</v>
      </c>
      <c r="B3581" s="33">
        <v>42</v>
      </c>
      <c r="C3581" s="33" t="s">
        <v>14</v>
      </c>
      <c r="D3581" s="33" t="s">
        <v>31</v>
      </c>
      <c r="E3581" s="33" t="s">
        <v>23969</v>
      </c>
      <c r="F3581" s="67">
        <v>42650</v>
      </c>
      <c r="G3581" s="33" t="s">
        <v>23963</v>
      </c>
      <c r="H3581" s="33" t="s">
        <v>23964</v>
      </c>
      <c r="I3581" s="33" t="s">
        <v>88</v>
      </c>
      <c r="J3581" s="33">
        <v>35645</v>
      </c>
      <c r="K3581" s="33" t="s">
        <v>2538</v>
      </c>
      <c r="L3581" s="33" t="s">
        <v>23965</v>
      </c>
      <c r="M3581" s="33" t="s">
        <v>21</v>
      </c>
      <c r="N3581" s="33" t="s">
        <v>23966</v>
      </c>
      <c r="O3581" s="33" t="s">
        <v>372</v>
      </c>
      <c r="P3581" s="33" t="s">
        <v>30089</v>
      </c>
      <c r="Q3581" s="40" t="s">
        <v>23967</v>
      </c>
      <c r="R3581" s="33" t="s">
        <v>94</v>
      </c>
      <c r="S3581" s="33" t="s">
        <v>22</v>
      </c>
      <c r="T3581" s="33" t="s">
        <v>26781</v>
      </c>
      <c r="U3581" s="33" t="s">
        <v>26572</v>
      </c>
      <c r="V3581" s="33" t="s">
        <v>26573</v>
      </c>
      <c r="W3581" s="33" t="s">
        <v>94</v>
      </c>
      <c r="X3581" s="33">
        <v>1946</v>
      </c>
      <c r="Z3581" s="33" t="s">
        <v>42967</v>
      </c>
      <c r="AA3581" s="33">
        <v>4084</v>
      </c>
    </row>
    <row r="3582" spans="1:31" ht="12" customHeight="1" x14ac:dyDescent="0.15">
      <c r="A3582" s="33" t="s">
        <v>23945</v>
      </c>
      <c r="B3582" s="33">
        <v>46</v>
      </c>
      <c r="C3582" s="33" t="s">
        <v>14</v>
      </c>
      <c r="D3582" s="33" t="s">
        <v>31</v>
      </c>
      <c r="E3582" s="33" t="s">
        <v>23946</v>
      </c>
      <c r="F3582" s="67">
        <v>42649</v>
      </c>
      <c r="G3582" s="33" t="s">
        <v>23947</v>
      </c>
      <c r="H3582" s="33" t="s">
        <v>674</v>
      </c>
      <c r="I3582" s="33" t="s">
        <v>67</v>
      </c>
      <c r="J3582" s="33">
        <v>77030</v>
      </c>
      <c r="K3582" s="33" t="s">
        <v>515</v>
      </c>
      <c r="L3582" s="33" t="s">
        <v>516</v>
      </c>
      <c r="M3582" s="33" t="s">
        <v>21</v>
      </c>
      <c r="N3582" s="33" t="s">
        <v>23948</v>
      </c>
      <c r="O3582" s="33" t="s">
        <v>372</v>
      </c>
      <c r="P3582" s="33" t="s">
        <v>30089</v>
      </c>
      <c r="Q3582" s="40" t="s">
        <v>23949</v>
      </c>
      <c r="R3582" s="33" t="s">
        <v>94</v>
      </c>
      <c r="S3582" s="33" t="s">
        <v>22</v>
      </c>
      <c r="T3582" s="33" t="s">
        <v>26620</v>
      </c>
      <c r="U3582" s="33" t="s">
        <v>26572</v>
      </c>
      <c r="V3582" s="33" t="s">
        <v>26573</v>
      </c>
      <c r="Z3582" s="33" t="s">
        <v>42968</v>
      </c>
      <c r="AA3582" s="33">
        <v>4083</v>
      </c>
    </row>
    <row r="3583" spans="1:31" ht="12" customHeight="1" x14ac:dyDescent="0.15">
      <c r="A3583" s="33" t="s">
        <v>23930</v>
      </c>
      <c r="B3583" s="33">
        <v>28</v>
      </c>
      <c r="C3583" s="33" t="s">
        <v>14</v>
      </c>
      <c r="D3583" s="33" t="s">
        <v>31</v>
      </c>
      <c r="E3583" s="33" t="s">
        <v>23931</v>
      </c>
      <c r="F3583" s="67">
        <v>42648</v>
      </c>
      <c r="G3583" s="33" t="s">
        <v>23932</v>
      </c>
      <c r="H3583" s="33" t="s">
        <v>936</v>
      </c>
      <c r="I3583" s="33" t="s">
        <v>192</v>
      </c>
      <c r="J3583" s="33">
        <v>80309</v>
      </c>
      <c r="K3583" s="33" t="s">
        <v>936</v>
      </c>
      <c r="L3583" s="33" t="s">
        <v>23933</v>
      </c>
      <c r="M3583" s="33" t="s">
        <v>21</v>
      </c>
      <c r="N3583" s="33" t="s">
        <v>23934</v>
      </c>
      <c r="O3583" s="33" t="s">
        <v>372</v>
      </c>
      <c r="P3583" s="33" t="s">
        <v>30089</v>
      </c>
      <c r="Q3583" s="40" t="s">
        <v>23935</v>
      </c>
      <c r="R3583" s="33" t="s">
        <v>512</v>
      </c>
      <c r="S3583" s="33" t="s">
        <v>22</v>
      </c>
      <c r="T3583" s="33" t="s">
        <v>26593</v>
      </c>
      <c r="U3583" s="33" t="s">
        <v>26570</v>
      </c>
      <c r="V3583" s="33" t="s">
        <v>26573</v>
      </c>
      <c r="W3583" s="33" t="s">
        <v>94</v>
      </c>
      <c r="X3583" s="33">
        <v>1937</v>
      </c>
      <c r="Z3583" s="33" t="e">
        <v>#N/A</v>
      </c>
      <c r="AA3583" s="33">
        <v>4081</v>
      </c>
    </row>
    <row r="3584" spans="1:31" ht="12" customHeight="1" x14ac:dyDescent="0.15">
      <c r="A3584" s="33" t="s">
        <v>23939</v>
      </c>
      <c r="B3584" s="33">
        <v>35</v>
      </c>
      <c r="C3584" s="33" t="s">
        <v>14</v>
      </c>
      <c r="D3584" s="33" t="s">
        <v>31</v>
      </c>
      <c r="E3584" s="33" t="s">
        <v>23940</v>
      </c>
      <c r="F3584" s="67">
        <v>42648</v>
      </c>
      <c r="G3584" s="33" t="s">
        <v>23941</v>
      </c>
      <c r="H3584" s="33" t="s">
        <v>23942</v>
      </c>
      <c r="I3584" s="33" t="s">
        <v>26</v>
      </c>
      <c r="J3584" s="33">
        <v>29461</v>
      </c>
      <c r="K3584" s="33" t="s">
        <v>4889</v>
      </c>
      <c r="L3584" s="33" t="s">
        <v>17498</v>
      </c>
      <c r="M3584" s="33" t="s">
        <v>21</v>
      </c>
      <c r="N3584" s="33" t="s">
        <v>23943</v>
      </c>
      <c r="O3584" s="33" t="s">
        <v>372</v>
      </c>
      <c r="P3584" s="33" t="s">
        <v>30089</v>
      </c>
      <c r="Q3584" s="40" t="s">
        <v>23944</v>
      </c>
      <c r="R3584" s="33" t="s">
        <v>94</v>
      </c>
      <c r="S3584" s="33" t="s">
        <v>351</v>
      </c>
      <c r="T3584" s="33" t="s">
        <v>26867</v>
      </c>
      <c r="U3584" s="33" t="s">
        <v>26572</v>
      </c>
      <c r="V3584" s="33" t="s">
        <v>26571</v>
      </c>
      <c r="W3584" s="33" t="s">
        <v>94</v>
      </c>
      <c r="X3584" s="33">
        <v>1939</v>
      </c>
      <c r="Z3584" s="33" t="s">
        <v>42967</v>
      </c>
      <c r="AA3584" s="33">
        <v>4082</v>
      </c>
    </row>
    <row r="3585" spans="1:27" ht="12" customHeight="1" x14ac:dyDescent="0.15">
      <c r="A3585" s="33" t="s">
        <v>23936</v>
      </c>
      <c r="B3585" s="33">
        <v>32</v>
      </c>
      <c r="C3585" s="33" t="s">
        <v>14</v>
      </c>
      <c r="D3585" s="33" t="s">
        <v>24</v>
      </c>
      <c r="F3585" s="67">
        <v>42648</v>
      </c>
      <c r="G3585" s="33" t="s">
        <v>24532</v>
      </c>
      <c r="H3585" s="33" t="s">
        <v>4965</v>
      </c>
      <c r="I3585" s="33" t="s">
        <v>298</v>
      </c>
      <c r="J3585" s="33">
        <v>38343</v>
      </c>
      <c r="K3585" s="33" t="s">
        <v>9725</v>
      </c>
      <c r="L3585" s="33" t="s">
        <v>17432</v>
      </c>
      <c r="M3585" s="33" t="s">
        <v>21</v>
      </c>
      <c r="N3585" s="33" t="s">
        <v>23937</v>
      </c>
      <c r="O3585" s="33" t="s">
        <v>372</v>
      </c>
      <c r="P3585" s="33" t="s">
        <v>30089</v>
      </c>
      <c r="Q3585" s="40" t="s">
        <v>23938</v>
      </c>
      <c r="R3585" s="33" t="s">
        <v>23</v>
      </c>
      <c r="S3585" s="33" t="s">
        <v>22</v>
      </c>
      <c r="T3585" s="33" t="s">
        <v>26781</v>
      </c>
      <c r="U3585" s="33" t="s">
        <v>26575</v>
      </c>
      <c r="V3585" s="33" t="s">
        <v>26573</v>
      </c>
      <c r="Z3585" s="33" t="s">
        <v>42967</v>
      </c>
      <c r="AA3585" s="33">
        <v>4080</v>
      </c>
    </row>
    <row r="3586" spans="1:27" ht="12" customHeight="1" x14ac:dyDescent="0.15">
      <c r="A3586" s="33" t="s">
        <v>23904</v>
      </c>
      <c r="B3586" s="33">
        <v>66</v>
      </c>
      <c r="C3586" s="33" t="s">
        <v>14</v>
      </c>
      <c r="D3586" s="33" t="s">
        <v>31</v>
      </c>
      <c r="E3586" s="33" t="s">
        <v>23905</v>
      </c>
      <c r="F3586" s="67">
        <v>42647</v>
      </c>
      <c r="G3586" s="33" t="s">
        <v>24531</v>
      </c>
      <c r="H3586" s="33" t="s">
        <v>3550</v>
      </c>
      <c r="I3586" s="33" t="s">
        <v>39</v>
      </c>
      <c r="J3586" s="33">
        <v>91506</v>
      </c>
      <c r="K3586" s="33" t="s">
        <v>92</v>
      </c>
      <c r="L3586" s="33" t="s">
        <v>23906</v>
      </c>
      <c r="M3586" s="33" t="s">
        <v>363</v>
      </c>
      <c r="N3586" s="33" t="s">
        <v>23907</v>
      </c>
      <c r="O3586" s="33" t="s">
        <v>372</v>
      </c>
      <c r="P3586" s="33" t="s">
        <v>30089</v>
      </c>
      <c r="Q3586" s="40" t="s">
        <v>23908</v>
      </c>
      <c r="R3586" s="33" t="s">
        <v>23</v>
      </c>
      <c r="S3586" s="33" t="s">
        <v>12</v>
      </c>
      <c r="T3586" s="33" t="s">
        <v>29705</v>
      </c>
      <c r="U3586" s="33" t="s">
        <v>26570</v>
      </c>
      <c r="V3586" s="33" t="s">
        <v>26573</v>
      </c>
      <c r="Z3586" s="33" t="s">
        <v>42966</v>
      </c>
      <c r="AA3586" s="33">
        <v>4079</v>
      </c>
    </row>
    <row r="3587" spans="1:27" ht="12" customHeight="1" x14ac:dyDescent="0.15">
      <c r="A3587" s="33" t="s">
        <v>23909</v>
      </c>
      <c r="B3587" s="33">
        <v>51</v>
      </c>
      <c r="C3587" s="33" t="s">
        <v>14</v>
      </c>
      <c r="D3587" s="33" t="s">
        <v>31</v>
      </c>
      <c r="E3587" s="33" t="s">
        <v>23910</v>
      </c>
      <c r="F3587" s="67">
        <v>42647</v>
      </c>
      <c r="G3587" s="33" t="s">
        <v>23911</v>
      </c>
      <c r="H3587" s="33" t="s">
        <v>23912</v>
      </c>
      <c r="I3587" s="33" t="s">
        <v>51</v>
      </c>
      <c r="J3587" s="33">
        <v>49745</v>
      </c>
      <c r="K3587" s="33" t="s">
        <v>23913</v>
      </c>
      <c r="L3587" s="33" t="s">
        <v>23914</v>
      </c>
      <c r="M3587" s="33" t="s">
        <v>21</v>
      </c>
      <c r="N3587" s="33" t="s">
        <v>23915</v>
      </c>
      <c r="O3587" s="33" t="s">
        <v>372</v>
      </c>
      <c r="P3587" s="33" t="s">
        <v>30089</v>
      </c>
      <c r="Q3587" s="40" t="s">
        <v>23916</v>
      </c>
      <c r="R3587" s="33" t="s">
        <v>512</v>
      </c>
      <c r="S3587" s="33" t="s">
        <v>22</v>
      </c>
      <c r="T3587" s="33" t="s">
        <v>26781</v>
      </c>
      <c r="U3587" s="33" t="s">
        <v>26570</v>
      </c>
      <c r="V3587" s="33" t="s">
        <v>26573</v>
      </c>
      <c r="W3587" s="33" t="s">
        <v>94</v>
      </c>
      <c r="X3587" s="33">
        <v>1938</v>
      </c>
      <c r="Z3587" s="33" t="s">
        <v>42967</v>
      </c>
      <c r="AA3587" s="33">
        <v>4078</v>
      </c>
    </row>
    <row r="3588" spans="1:27" ht="12" customHeight="1" x14ac:dyDescent="0.15">
      <c r="A3588" s="33" t="s">
        <v>23923</v>
      </c>
      <c r="B3588" s="33">
        <v>26</v>
      </c>
      <c r="C3588" s="33" t="s">
        <v>14</v>
      </c>
      <c r="D3588" s="33" t="s">
        <v>31</v>
      </c>
      <c r="E3588" s="33" t="s">
        <v>23924</v>
      </c>
      <c r="F3588" s="67">
        <v>42647</v>
      </c>
      <c r="G3588" s="33" t="s">
        <v>23925</v>
      </c>
      <c r="H3588" s="33" t="s">
        <v>23926</v>
      </c>
      <c r="I3588" s="33" t="s">
        <v>918</v>
      </c>
      <c r="J3588" s="33">
        <v>72764</v>
      </c>
      <c r="K3588" s="33" t="s">
        <v>107</v>
      </c>
      <c r="L3588" s="33" t="s">
        <v>23927</v>
      </c>
      <c r="M3588" s="33" t="s">
        <v>21</v>
      </c>
      <c r="N3588" s="33" t="s">
        <v>23928</v>
      </c>
      <c r="O3588" s="33" t="s">
        <v>372</v>
      </c>
      <c r="P3588" s="33" t="s">
        <v>30089</v>
      </c>
      <c r="Q3588" s="40" t="s">
        <v>23929</v>
      </c>
      <c r="R3588" s="33" t="s">
        <v>23</v>
      </c>
      <c r="S3588" s="33" t="s">
        <v>22</v>
      </c>
      <c r="T3588" s="33" t="s">
        <v>26781</v>
      </c>
      <c r="U3588" s="33" t="s">
        <v>26572</v>
      </c>
      <c r="V3588" s="33" t="s">
        <v>26573</v>
      </c>
      <c r="W3588" s="33" t="s">
        <v>94</v>
      </c>
      <c r="X3588" s="33">
        <v>1936</v>
      </c>
      <c r="Z3588" s="33" t="s">
        <v>42966</v>
      </c>
      <c r="AA3588" s="33">
        <v>4077</v>
      </c>
    </row>
    <row r="3589" spans="1:27" ht="12" customHeight="1" x14ac:dyDescent="0.15">
      <c r="A3589" s="33" t="s">
        <v>23917</v>
      </c>
      <c r="B3589" s="33">
        <v>31</v>
      </c>
      <c r="C3589" s="33" t="s">
        <v>14</v>
      </c>
      <c r="D3589" s="33" t="s">
        <v>42</v>
      </c>
      <c r="E3589" s="33" t="s">
        <v>23918</v>
      </c>
      <c r="F3589" s="67">
        <v>42647</v>
      </c>
      <c r="G3589" s="33" t="s">
        <v>23919</v>
      </c>
      <c r="H3589" s="33" t="s">
        <v>23920</v>
      </c>
      <c r="I3589" s="33" t="s">
        <v>56</v>
      </c>
      <c r="J3589" s="33">
        <v>33578</v>
      </c>
      <c r="K3589" s="33" t="s">
        <v>590</v>
      </c>
      <c r="L3589" s="33" t="s">
        <v>591</v>
      </c>
      <c r="M3589" s="33" t="s">
        <v>21</v>
      </c>
      <c r="N3589" s="33" t="s">
        <v>23921</v>
      </c>
      <c r="O3589" s="33" t="s">
        <v>372</v>
      </c>
      <c r="P3589" s="33" t="s">
        <v>30089</v>
      </c>
      <c r="Q3589" s="40" t="s">
        <v>23922</v>
      </c>
      <c r="R3589" s="33" t="s">
        <v>94</v>
      </c>
      <c r="S3589" s="33" t="s">
        <v>29</v>
      </c>
      <c r="T3589" s="33" t="s">
        <v>26596</v>
      </c>
      <c r="U3589" s="33" t="s">
        <v>26572</v>
      </c>
      <c r="V3589" s="33" t="s">
        <v>26574</v>
      </c>
      <c r="W3589" s="33" t="s">
        <v>94</v>
      </c>
      <c r="X3589" s="33">
        <v>1935</v>
      </c>
      <c r="Z3589" s="33" t="s">
        <v>42968</v>
      </c>
      <c r="AA3589" s="33">
        <v>4076</v>
      </c>
    </row>
    <row r="3590" spans="1:27" ht="12" customHeight="1" x14ac:dyDescent="0.15">
      <c r="A3590" s="33" t="s">
        <v>23894</v>
      </c>
      <c r="B3590" s="33">
        <v>49</v>
      </c>
      <c r="C3590" s="33" t="s">
        <v>14</v>
      </c>
      <c r="D3590" s="33" t="s">
        <v>31</v>
      </c>
      <c r="F3590" s="67">
        <v>42646</v>
      </c>
      <c r="G3590" s="33" t="s">
        <v>24530</v>
      </c>
      <c r="H3590" s="33" t="s">
        <v>23895</v>
      </c>
      <c r="I3590" s="33" t="s">
        <v>75</v>
      </c>
      <c r="J3590" s="33">
        <v>8406</v>
      </c>
      <c r="K3590" s="33" t="s">
        <v>1310</v>
      </c>
      <c r="L3590" s="33" t="s">
        <v>23896</v>
      </c>
      <c r="M3590" s="33" t="s">
        <v>21</v>
      </c>
      <c r="N3590" s="33" t="s">
        <v>23897</v>
      </c>
      <c r="O3590" s="33" t="s">
        <v>372</v>
      </c>
      <c r="P3590" s="33" t="s">
        <v>30089</v>
      </c>
      <c r="Q3590" s="40" t="s">
        <v>23898</v>
      </c>
      <c r="R3590" s="33" t="s">
        <v>23</v>
      </c>
      <c r="S3590" s="33" t="s">
        <v>22</v>
      </c>
      <c r="T3590" s="33" t="s">
        <v>26781</v>
      </c>
      <c r="U3590" s="33" t="s">
        <v>26570</v>
      </c>
      <c r="V3590" s="33" t="s">
        <v>26573</v>
      </c>
      <c r="W3590" s="33" t="s">
        <v>94</v>
      </c>
      <c r="X3590" s="33">
        <v>1933</v>
      </c>
      <c r="Z3590" s="33" t="s">
        <v>42968</v>
      </c>
      <c r="AA3590" s="33">
        <v>4075</v>
      </c>
    </row>
    <row r="3591" spans="1:27" ht="12" customHeight="1" x14ac:dyDescent="0.15">
      <c r="A3591" s="33" t="s">
        <v>23900</v>
      </c>
      <c r="B3591" s="33">
        <v>57</v>
      </c>
      <c r="C3591" s="33" t="s">
        <v>14</v>
      </c>
      <c r="D3591" s="33" t="s">
        <v>31</v>
      </c>
      <c r="F3591" s="67">
        <v>42646</v>
      </c>
      <c r="G3591" s="33" t="s">
        <v>23901</v>
      </c>
      <c r="H3591" s="33" t="s">
        <v>1191</v>
      </c>
      <c r="I3591" s="33" t="s">
        <v>40</v>
      </c>
      <c r="J3591" s="33">
        <v>1902</v>
      </c>
      <c r="K3591" s="33" t="s">
        <v>486</v>
      </c>
      <c r="L3591" s="33" t="s">
        <v>1192</v>
      </c>
      <c r="M3591" s="33" t="s">
        <v>21</v>
      </c>
      <c r="N3591" s="33" t="s">
        <v>23902</v>
      </c>
      <c r="O3591" s="33" t="s">
        <v>372</v>
      </c>
      <c r="P3591" s="33" t="s">
        <v>30089</v>
      </c>
      <c r="Q3591" s="40" t="s">
        <v>23903</v>
      </c>
      <c r="R3591" s="33" t="s">
        <v>94</v>
      </c>
      <c r="S3591" s="33" t="s">
        <v>22</v>
      </c>
      <c r="T3591" s="33" t="s">
        <v>26781</v>
      </c>
      <c r="U3591" s="33" t="s">
        <v>26572</v>
      </c>
      <c r="V3591" s="33" t="s">
        <v>26573</v>
      </c>
      <c r="W3591" s="33" t="s">
        <v>94</v>
      </c>
      <c r="X3591" s="33">
        <v>1932</v>
      </c>
      <c r="Z3591" s="33" t="s">
        <v>42966</v>
      </c>
      <c r="AA3591" s="33">
        <v>4074</v>
      </c>
    </row>
    <row r="3592" spans="1:27" ht="12" customHeight="1" x14ac:dyDescent="0.15">
      <c r="A3592" s="33" t="s">
        <v>23889</v>
      </c>
      <c r="B3592" s="33">
        <v>16</v>
      </c>
      <c r="C3592" s="33" t="s">
        <v>14</v>
      </c>
      <c r="D3592" s="33" t="s">
        <v>42</v>
      </c>
      <c r="F3592" s="67">
        <v>42645</v>
      </c>
      <c r="G3592" s="33" t="s">
        <v>23890</v>
      </c>
      <c r="H3592" s="33" t="s">
        <v>92</v>
      </c>
      <c r="I3592" s="33" t="s">
        <v>39</v>
      </c>
      <c r="J3592" s="33">
        <v>90011</v>
      </c>
      <c r="K3592" s="33" t="s">
        <v>92</v>
      </c>
      <c r="L3592" s="33" t="s">
        <v>93</v>
      </c>
      <c r="M3592" s="33" t="s">
        <v>21</v>
      </c>
      <c r="N3592" s="33" t="s">
        <v>23891</v>
      </c>
      <c r="O3592" s="33" t="s">
        <v>372</v>
      </c>
      <c r="P3592" s="33" t="s">
        <v>30089</v>
      </c>
      <c r="Q3592" s="40" t="s">
        <v>23892</v>
      </c>
      <c r="R3592" s="33" t="s">
        <v>512</v>
      </c>
      <c r="S3592" s="33" t="s">
        <v>12</v>
      </c>
      <c r="T3592" s="33" t="s">
        <v>29425</v>
      </c>
      <c r="U3592" s="33" t="s">
        <v>26572</v>
      </c>
      <c r="V3592" s="33" t="s">
        <v>26573</v>
      </c>
      <c r="W3592" s="33" t="s">
        <v>512</v>
      </c>
      <c r="X3592" s="33">
        <v>1922</v>
      </c>
      <c r="Z3592" s="33" t="s">
        <v>42966</v>
      </c>
      <c r="AA3592" s="33">
        <v>4072</v>
      </c>
    </row>
    <row r="3593" spans="1:27" ht="12" customHeight="1" x14ac:dyDescent="0.15">
      <c r="A3593" s="33" t="s">
        <v>23847</v>
      </c>
      <c r="B3593" s="33">
        <v>36</v>
      </c>
      <c r="C3593" s="33" t="s">
        <v>14</v>
      </c>
      <c r="D3593" s="33" t="s">
        <v>79</v>
      </c>
      <c r="F3593" s="67">
        <v>42645</v>
      </c>
      <c r="G3593" s="33" t="s">
        <v>23791</v>
      </c>
      <c r="H3593" s="33" t="s">
        <v>23792</v>
      </c>
      <c r="I3593" s="33" t="s">
        <v>38</v>
      </c>
      <c r="J3593" s="33">
        <v>60428</v>
      </c>
      <c r="K3593" s="33" t="s">
        <v>82</v>
      </c>
      <c r="L3593" s="33" t="s">
        <v>23793</v>
      </c>
      <c r="M3593" s="33" t="s">
        <v>21</v>
      </c>
      <c r="N3593" s="33" t="s">
        <v>23794</v>
      </c>
      <c r="O3593" s="33" t="s">
        <v>372</v>
      </c>
      <c r="P3593" s="33" t="s">
        <v>30089</v>
      </c>
      <c r="Q3593" s="40" t="s">
        <v>23795</v>
      </c>
      <c r="R3593" s="33" t="s">
        <v>23</v>
      </c>
      <c r="S3593" s="33" t="s">
        <v>29</v>
      </c>
      <c r="T3593" s="33" t="s">
        <v>26576</v>
      </c>
      <c r="U3593" s="33" t="s">
        <v>26570</v>
      </c>
      <c r="V3593" s="33" t="s">
        <v>26573</v>
      </c>
      <c r="W3593" s="33" t="s">
        <v>94</v>
      </c>
      <c r="X3593" s="33">
        <v>1924</v>
      </c>
      <c r="Z3593" s="33" t="s">
        <v>42968</v>
      </c>
      <c r="AA3593" s="33">
        <v>4073</v>
      </c>
    </row>
    <row r="3594" spans="1:27" ht="12" customHeight="1" x14ac:dyDescent="0.15">
      <c r="A3594" s="33" t="s">
        <v>23884</v>
      </c>
      <c r="B3594" s="33">
        <v>63</v>
      </c>
      <c r="C3594" s="33" t="s">
        <v>14</v>
      </c>
      <c r="D3594" s="33" t="s">
        <v>42</v>
      </c>
      <c r="E3594" s="33" t="s">
        <v>23885</v>
      </c>
      <c r="F3594" s="67">
        <v>42645</v>
      </c>
      <c r="G3594" s="33" t="s">
        <v>23886</v>
      </c>
      <c r="H3594" s="33" t="s">
        <v>631</v>
      </c>
      <c r="I3594" s="33" t="s">
        <v>39</v>
      </c>
      <c r="J3594" s="33">
        <v>93304</v>
      </c>
      <c r="K3594" s="33" t="s">
        <v>632</v>
      </c>
      <c r="L3594" s="33" t="s">
        <v>633</v>
      </c>
      <c r="M3594" s="33" t="s">
        <v>2909</v>
      </c>
      <c r="N3594" s="33" t="s">
        <v>23887</v>
      </c>
      <c r="O3594" s="33" t="s">
        <v>372</v>
      </c>
      <c r="P3594" s="33" t="s">
        <v>30089</v>
      </c>
      <c r="Q3594" s="40" t="s">
        <v>23888</v>
      </c>
      <c r="R3594" s="33" t="s">
        <v>23</v>
      </c>
      <c r="S3594" s="33" t="s">
        <v>22</v>
      </c>
      <c r="T3594" s="33" t="s">
        <v>26593</v>
      </c>
      <c r="U3594" s="33" t="s">
        <v>26570</v>
      </c>
      <c r="V3594" s="33" t="s">
        <v>26573</v>
      </c>
      <c r="Z3594" s="33" t="s">
        <v>42966</v>
      </c>
      <c r="AA3594" s="33">
        <v>4071</v>
      </c>
    </row>
    <row r="3595" spans="1:27" ht="12" customHeight="1" x14ac:dyDescent="0.15">
      <c r="A3595" s="33" t="s">
        <v>23796</v>
      </c>
      <c r="B3595" s="33">
        <v>28</v>
      </c>
      <c r="C3595" s="33" t="s">
        <v>14</v>
      </c>
      <c r="D3595" s="33" t="s">
        <v>31</v>
      </c>
      <c r="E3595" s="33" t="s">
        <v>23857</v>
      </c>
      <c r="F3595" s="67">
        <v>42644</v>
      </c>
      <c r="G3595" s="33" t="s">
        <v>23797</v>
      </c>
      <c r="H3595" s="33" t="s">
        <v>23798</v>
      </c>
      <c r="I3595" s="33" t="s">
        <v>139</v>
      </c>
      <c r="J3595" s="33">
        <v>25109</v>
      </c>
      <c r="K3595" s="33" t="s">
        <v>1950</v>
      </c>
      <c r="L3595" s="33" t="s">
        <v>1951</v>
      </c>
      <c r="M3595" s="33" t="s">
        <v>21</v>
      </c>
      <c r="N3595" s="33" t="s">
        <v>23799</v>
      </c>
      <c r="O3595" s="33" t="s">
        <v>372</v>
      </c>
      <c r="P3595" s="33" t="s">
        <v>30089</v>
      </c>
      <c r="Q3595" s="40" t="s">
        <v>23800</v>
      </c>
      <c r="R3595" s="33" t="s">
        <v>23</v>
      </c>
      <c r="S3595" s="33" t="s">
        <v>22</v>
      </c>
      <c r="T3595" s="33" t="s">
        <v>26781</v>
      </c>
      <c r="U3595" s="33" t="s">
        <v>26572</v>
      </c>
      <c r="V3595" s="33" t="s">
        <v>26574</v>
      </c>
      <c r="W3595" s="33" t="s">
        <v>94</v>
      </c>
      <c r="X3595" s="33">
        <v>1923</v>
      </c>
      <c r="Z3595" s="33" t="s">
        <v>42968</v>
      </c>
      <c r="AA3595" s="33">
        <v>4069</v>
      </c>
    </row>
    <row r="3596" spans="1:27" ht="12" customHeight="1" x14ac:dyDescent="0.15">
      <c r="A3596" s="33" t="s">
        <v>23801</v>
      </c>
      <c r="B3596" s="33">
        <v>18</v>
      </c>
      <c r="C3596" s="33" t="s">
        <v>14</v>
      </c>
      <c r="D3596" s="33" t="s">
        <v>79</v>
      </c>
      <c r="F3596" s="67">
        <v>42644</v>
      </c>
      <c r="G3596" s="33" t="s">
        <v>23802</v>
      </c>
      <c r="H3596" s="33" t="s">
        <v>92</v>
      </c>
      <c r="I3596" s="33" t="s">
        <v>39</v>
      </c>
      <c r="J3596" s="33">
        <v>90044</v>
      </c>
      <c r="K3596" s="33" t="s">
        <v>92</v>
      </c>
      <c r="L3596" s="33" t="s">
        <v>93</v>
      </c>
      <c r="M3596" s="33" t="s">
        <v>21</v>
      </c>
      <c r="N3596" s="33" t="s">
        <v>23803</v>
      </c>
      <c r="O3596" s="33" t="s">
        <v>372</v>
      </c>
      <c r="P3596" s="33" t="s">
        <v>30089</v>
      </c>
      <c r="Q3596" s="40" t="s">
        <v>23804</v>
      </c>
      <c r="R3596" s="33" t="s">
        <v>94</v>
      </c>
      <c r="S3596" s="33" t="s">
        <v>22</v>
      </c>
      <c r="T3596" s="33" t="s">
        <v>26781</v>
      </c>
      <c r="U3596" s="33" t="s">
        <v>26575</v>
      </c>
      <c r="V3596" s="33" t="s">
        <v>26574</v>
      </c>
      <c r="W3596" s="33" t="s">
        <v>512</v>
      </c>
      <c r="X3596" s="33">
        <v>1925</v>
      </c>
      <c r="Z3596" s="33" t="s">
        <v>42966</v>
      </c>
      <c r="AA3596" s="33">
        <v>4070</v>
      </c>
    </row>
    <row r="3597" spans="1:27" ht="12" customHeight="1" x14ac:dyDescent="0.15">
      <c r="A3597" s="33" t="s">
        <v>23879</v>
      </c>
      <c r="B3597" s="33">
        <v>36</v>
      </c>
      <c r="C3597" s="33" t="s">
        <v>14</v>
      </c>
      <c r="D3597" s="33" t="s">
        <v>79</v>
      </c>
      <c r="E3597" s="33" t="s">
        <v>23880</v>
      </c>
      <c r="F3597" s="67">
        <v>42643</v>
      </c>
      <c r="G3597" s="33" t="s">
        <v>24529</v>
      </c>
      <c r="H3597" s="33" t="s">
        <v>15398</v>
      </c>
      <c r="I3597" s="33" t="s">
        <v>39</v>
      </c>
      <c r="J3597" s="33">
        <v>91103</v>
      </c>
      <c r="K3597" s="33" t="s">
        <v>92</v>
      </c>
      <c r="L3597" s="33" t="s">
        <v>23881</v>
      </c>
      <c r="M3597" s="33" t="s">
        <v>363</v>
      </c>
      <c r="N3597" s="33" t="s">
        <v>23882</v>
      </c>
      <c r="O3597" s="33" t="s">
        <v>372</v>
      </c>
      <c r="P3597" s="33" t="s">
        <v>30089</v>
      </c>
      <c r="Q3597" s="40" t="s">
        <v>23883</v>
      </c>
      <c r="R3597" s="33" t="s">
        <v>512</v>
      </c>
      <c r="S3597" s="33" t="s">
        <v>22</v>
      </c>
      <c r="T3597" s="33" t="s">
        <v>26774</v>
      </c>
      <c r="U3597" s="33" t="s">
        <v>26572</v>
      </c>
      <c r="V3597" s="33" t="s">
        <v>26573</v>
      </c>
      <c r="Z3597" s="33" t="s">
        <v>42966</v>
      </c>
      <c r="AA3597" s="33">
        <v>4065</v>
      </c>
    </row>
    <row r="3598" spans="1:27" ht="12" customHeight="1" x14ac:dyDescent="0.15">
      <c r="A3598" s="33" t="s">
        <v>23805</v>
      </c>
      <c r="B3598" s="33">
        <v>20</v>
      </c>
      <c r="C3598" s="33" t="s">
        <v>14</v>
      </c>
      <c r="D3598" s="33" t="s">
        <v>79</v>
      </c>
      <c r="F3598" s="67">
        <v>42643</v>
      </c>
      <c r="G3598" s="33" t="s">
        <v>23806</v>
      </c>
      <c r="H3598" s="33" t="s">
        <v>1202</v>
      </c>
      <c r="I3598" s="33" t="s">
        <v>63</v>
      </c>
      <c r="J3598" s="33">
        <v>43232</v>
      </c>
      <c r="K3598" s="33" t="s">
        <v>1203</v>
      </c>
      <c r="L3598" s="33" t="s">
        <v>11441</v>
      </c>
      <c r="M3598" s="33" t="s">
        <v>21</v>
      </c>
      <c r="N3598" s="33" t="s">
        <v>23807</v>
      </c>
      <c r="O3598" s="33" t="s">
        <v>372</v>
      </c>
      <c r="P3598" s="33" t="s">
        <v>30089</v>
      </c>
      <c r="Q3598" s="40" t="s">
        <v>23808</v>
      </c>
      <c r="R3598" s="33" t="s">
        <v>23</v>
      </c>
      <c r="S3598" s="33" t="s">
        <v>22</v>
      </c>
      <c r="T3598" s="33" t="s">
        <v>26781</v>
      </c>
      <c r="U3598" s="33" t="s">
        <v>26570</v>
      </c>
      <c r="V3598" s="33" t="s">
        <v>26574</v>
      </c>
      <c r="W3598" s="33" t="s">
        <v>94</v>
      </c>
      <c r="X3598" s="33">
        <v>1931</v>
      </c>
      <c r="Z3598" s="33" t="s">
        <v>42968</v>
      </c>
      <c r="AA3598" s="33">
        <v>4064</v>
      </c>
    </row>
    <row r="3599" spans="1:27" ht="12" customHeight="1" x14ac:dyDescent="0.15">
      <c r="A3599" s="33" t="s">
        <v>23814</v>
      </c>
      <c r="B3599" s="33">
        <v>37</v>
      </c>
      <c r="C3599" s="33" t="s">
        <v>14</v>
      </c>
      <c r="D3599" s="33" t="s">
        <v>31</v>
      </c>
      <c r="F3599" s="67">
        <v>42643</v>
      </c>
      <c r="G3599" s="33" t="s">
        <v>23859</v>
      </c>
      <c r="H3599" s="33" t="s">
        <v>13970</v>
      </c>
      <c r="I3599" s="33" t="s">
        <v>51</v>
      </c>
      <c r="J3599" s="33">
        <v>48111</v>
      </c>
      <c r="K3599" s="33" t="s">
        <v>1057</v>
      </c>
      <c r="L3599" s="33" t="s">
        <v>3627</v>
      </c>
      <c r="M3599" s="33" t="s">
        <v>21</v>
      </c>
      <c r="N3599" s="33" t="s">
        <v>23815</v>
      </c>
      <c r="O3599" s="33" t="s">
        <v>372</v>
      </c>
      <c r="P3599" s="33" t="s">
        <v>30089</v>
      </c>
      <c r="Q3599" s="40" t="s">
        <v>23816</v>
      </c>
      <c r="R3599" s="33" t="s">
        <v>23</v>
      </c>
      <c r="S3599" s="33" t="s">
        <v>22</v>
      </c>
      <c r="T3599" s="33" t="s">
        <v>26781</v>
      </c>
      <c r="U3599" s="33" t="s">
        <v>26572</v>
      </c>
      <c r="V3599" s="33" t="s">
        <v>19228</v>
      </c>
      <c r="W3599" s="33" t="s">
        <v>94</v>
      </c>
      <c r="X3599" s="33">
        <v>1929</v>
      </c>
      <c r="Z3599" s="33" t="s">
        <v>42968</v>
      </c>
      <c r="AA3599" s="33">
        <v>4063</v>
      </c>
    </row>
    <row r="3600" spans="1:27" ht="12" customHeight="1" x14ac:dyDescent="0.15">
      <c r="A3600" s="33" t="s">
        <v>23817</v>
      </c>
      <c r="B3600" s="33">
        <v>32</v>
      </c>
      <c r="C3600" s="33" t="s">
        <v>14</v>
      </c>
      <c r="D3600" s="33" t="s">
        <v>79</v>
      </c>
      <c r="F3600" s="67">
        <v>42643</v>
      </c>
      <c r="G3600" s="33" t="s">
        <v>23818</v>
      </c>
      <c r="H3600" s="33" t="s">
        <v>23819</v>
      </c>
      <c r="I3600" s="33" t="s">
        <v>26</v>
      </c>
      <c r="J3600" s="33">
        <v>29322</v>
      </c>
      <c r="K3600" s="33" t="s">
        <v>27</v>
      </c>
      <c r="L3600" s="33" t="s">
        <v>28</v>
      </c>
      <c r="M3600" s="33" t="s">
        <v>21</v>
      </c>
      <c r="N3600" s="33" t="s">
        <v>23820</v>
      </c>
      <c r="O3600" s="33" t="s">
        <v>372</v>
      </c>
      <c r="P3600" s="33" t="s">
        <v>30089</v>
      </c>
      <c r="Q3600" s="40" t="s">
        <v>23821</v>
      </c>
      <c r="R3600" s="33" t="s">
        <v>23</v>
      </c>
      <c r="S3600" s="33" t="s">
        <v>22</v>
      </c>
      <c r="T3600" s="33" t="s">
        <v>26781</v>
      </c>
      <c r="U3600" s="33" t="s">
        <v>26572</v>
      </c>
      <c r="V3600" s="33" t="s">
        <v>26574</v>
      </c>
      <c r="W3600" s="33" t="s">
        <v>94</v>
      </c>
      <c r="X3600" s="33">
        <v>1928</v>
      </c>
      <c r="Z3600" s="33" t="s">
        <v>42967</v>
      </c>
      <c r="AA3600" s="33">
        <v>4062</v>
      </c>
    </row>
    <row r="3601" spans="1:27" ht="12" customHeight="1" x14ac:dyDescent="0.15">
      <c r="A3601" s="33" t="s">
        <v>23822</v>
      </c>
      <c r="B3601" s="33">
        <v>38</v>
      </c>
      <c r="C3601" s="33" t="s">
        <v>14</v>
      </c>
      <c r="D3601" s="33" t="s">
        <v>31</v>
      </c>
      <c r="F3601" s="67">
        <v>42643</v>
      </c>
      <c r="G3601" s="33" t="s">
        <v>23823</v>
      </c>
      <c r="H3601" s="33" t="s">
        <v>23824</v>
      </c>
      <c r="I3601" s="33" t="s">
        <v>67</v>
      </c>
      <c r="J3601" s="33">
        <v>75845</v>
      </c>
      <c r="K3601" s="33" t="s">
        <v>14717</v>
      </c>
      <c r="L3601" s="33" t="s">
        <v>14718</v>
      </c>
      <c r="M3601" s="33" t="s">
        <v>21</v>
      </c>
      <c r="N3601" s="33" t="s">
        <v>23825</v>
      </c>
      <c r="O3601" s="33" t="s">
        <v>372</v>
      </c>
      <c r="P3601" s="33" t="s">
        <v>30089</v>
      </c>
      <c r="Q3601" s="40" t="s">
        <v>23826</v>
      </c>
      <c r="R3601" s="33" t="s">
        <v>23</v>
      </c>
      <c r="S3601" s="33" t="s">
        <v>29</v>
      </c>
      <c r="T3601" s="33" t="s">
        <v>26575</v>
      </c>
      <c r="U3601" s="33" t="s">
        <v>26572</v>
      </c>
      <c r="V3601" s="33" t="s">
        <v>26573</v>
      </c>
      <c r="W3601" s="33" t="s">
        <v>94</v>
      </c>
      <c r="X3601" s="33">
        <v>1926</v>
      </c>
      <c r="Z3601" s="33" t="s">
        <v>42967</v>
      </c>
      <c r="AA3601" s="33">
        <v>4066</v>
      </c>
    </row>
    <row r="3602" spans="1:27" ht="12" customHeight="1" x14ac:dyDescent="0.15">
      <c r="A3602" s="33" t="s">
        <v>23813</v>
      </c>
      <c r="B3602" s="33">
        <v>18</v>
      </c>
      <c r="C3602" s="33" t="s">
        <v>14</v>
      </c>
      <c r="D3602" s="33" t="s">
        <v>79</v>
      </c>
      <c r="E3602" s="33" t="s">
        <v>23858</v>
      </c>
      <c r="F3602" s="67">
        <v>42643</v>
      </c>
      <c r="G3602" s="33" t="s">
        <v>23810</v>
      </c>
      <c r="H3602" s="33" t="s">
        <v>485</v>
      </c>
      <c r="I3602" s="33" t="s">
        <v>75</v>
      </c>
      <c r="J3602" s="33">
        <v>7107</v>
      </c>
      <c r="K3602" s="33" t="s">
        <v>486</v>
      </c>
      <c r="L3602" s="33" t="s">
        <v>487</v>
      </c>
      <c r="M3602" s="33" t="s">
        <v>21</v>
      </c>
      <c r="N3602" s="33" t="s">
        <v>23811</v>
      </c>
      <c r="O3602" s="33" t="s">
        <v>372</v>
      </c>
      <c r="P3602" s="33" t="s">
        <v>30089</v>
      </c>
      <c r="Q3602" s="40" t="s">
        <v>23812</v>
      </c>
      <c r="R3602" s="33" t="s">
        <v>94</v>
      </c>
      <c r="S3602" s="33" t="s">
        <v>29</v>
      </c>
      <c r="T3602" s="33" t="s">
        <v>26575</v>
      </c>
      <c r="U3602" s="33" t="s">
        <v>26575</v>
      </c>
      <c r="V3602" s="33" t="s">
        <v>26573</v>
      </c>
      <c r="W3602" s="33" t="s">
        <v>94</v>
      </c>
      <c r="X3602" s="33">
        <v>1927</v>
      </c>
      <c r="Z3602" s="33" t="s">
        <v>42966</v>
      </c>
      <c r="AA3602" s="33">
        <v>4067</v>
      </c>
    </row>
    <row r="3603" spans="1:27" ht="12" customHeight="1" x14ac:dyDescent="0.15">
      <c r="A3603" s="33" t="s">
        <v>23809</v>
      </c>
      <c r="B3603" s="33">
        <v>18</v>
      </c>
      <c r="C3603" s="33" t="s">
        <v>14</v>
      </c>
      <c r="D3603" s="33" t="s">
        <v>79</v>
      </c>
      <c r="E3603" s="33" t="s">
        <v>23858</v>
      </c>
      <c r="F3603" s="67">
        <v>42643</v>
      </c>
      <c r="G3603" s="33" t="s">
        <v>23810</v>
      </c>
      <c r="H3603" s="33" t="s">
        <v>485</v>
      </c>
      <c r="I3603" s="33" t="s">
        <v>75</v>
      </c>
      <c r="J3603" s="33">
        <v>7107</v>
      </c>
      <c r="K3603" s="33" t="s">
        <v>486</v>
      </c>
      <c r="L3603" s="33" t="s">
        <v>487</v>
      </c>
      <c r="M3603" s="33" t="s">
        <v>21</v>
      </c>
      <c r="N3603" s="33" t="s">
        <v>23811</v>
      </c>
      <c r="O3603" s="33" t="s">
        <v>372</v>
      </c>
      <c r="P3603" s="33" t="s">
        <v>30089</v>
      </c>
      <c r="Q3603" s="40" t="s">
        <v>23812</v>
      </c>
      <c r="R3603" s="33" t="s">
        <v>94</v>
      </c>
      <c r="S3603" s="33" t="s">
        <v>29</v>
      </c>
      <c r="T3603" s="33" t="s">
        <v>26575</v>
      </c>
      <c r="U3603" s="33" t="s">
        <v>26575</v>
      </c>
      <c r="V3603" s="33" t="s">
        <v>26573</v>
      </c>
      <c r="W3603" s="33" t="s">
        <v>94</v>
      </c>
      <c r="X3603" s="33">
        <v>1930</v>
      </c>
      <c r="Z3603" s="33" t="s">
        <v>42966</v>
      </c>
      <c r="AA3603" s="33">
        <v>4068</v>
      </c>
    </row>
    <row r="3604" spans="1:27" ht="12" customHeight="1" x14ac:dyDescent="0.15">
      <c r="A3604" s="33" t="s">
        <v>23827</v>
      </c>
      <c r="B3604" s="33">
        <v>53</v>
      </c>
      <c r="C3604" s="33" t="s">
        <v>14</v>
      </c>
      <c r="D3604" s="33" t="s">
        <v>31</v>
      </c>
      <c r="F3604" s="67">
        <v>42642</v>
      </c>
      <c r="G3604" s="33" t="s">
        <v>23828</v>
      </c>
      <c r="H3604" s="33" t="s">
        <v>3413</v>
      </c>
      <c r="I3604" s="33" t="s">
        <v>112</v>
      </c>
      <c r="J3604" s="33">
        <v>86401</v>
      </c>
      <c r="K3604" s="33" t="s">
        <v>5363</v>
      </c>
      <c r="L3604" s="33" t="s">
        <v>22880</v>
      </c>
      <c r="M3604" s="33" t="s">
        <v>21</v>
      </c>
      <c r="N3604" s="33" t="s">
        <v>23829</v>
      </c>
      <c r="O3604" s="33" t="s">
        <v>372</v>
      </c>
      <c r="P3604" s="33" t="s">
        <v>30089</v>
      </c>
      <c r="Q3604" s="40" t="s">
        <v>23830</v>
      </c>
      <c r="R3604" s="33" t="s">
        <v>23</v>
      </c>
      <c r="S3604" s="33" t="s">
        <v>22</v>
      </c>
      <c r="T3604" s="33" t="s">
        <v>26781</v>
      </c>
      <c r="U3604" s="33" t="s">
        <v>26572</v>
      </c>
      <c r="V3604" s="33" t="s">
        <v>26573</v>
      </c>
      <c r="W3604" s="33" t="s">
        <v>512</v>
      </c>
      <c r="X3604" s="33">
        <v>1921</v>
      </c>
      <c r="Z3604" s="33" t="s">
        <v>42968</v>
      </c>
      <c r="AA3604" s="33">
        <v>4061</v>
      </c>
    </row>
    <row r="3605" spans="1:27" ht="12" customHeight="1" x14ac:dyDescent="0.15">
      <c r="A3605" s="33" t="s">
        <v>23835</v>
      </c>
      <c r="B3605" s="33">
        <v>28</v>
      </c>
      <c r="C3605" s="33" t="s">
        <v>14</v>
      </c>
      <c r="D3605" s="33" t="s">
        <v>42</v>
      </c>
      <c r="F3605" s="67">
        <v>42641</v>
      </c>
      <c r="G3605" s="33" t="s">
        <v>23836</v>
      </c>
      <c r="H3605" s="33" t="s">
        <v>2761</v>
      </c>
      <c r="I3605" s="33" t="s">
        <v>160</v>
      </c>
      <c r="J3605" s="33">
        <v>31602</v>
      </c>
      <c r="K3605" s="33" t="s">
        <v>2763</v>
      </c>
      <c r="L3605" s="33" t="s">
        <v>23837</v>
      </c>
      <c r="M3605" s="33" t="s">
        <v>21</v>
      </c>
      <c r="N3605" s="33" t="s">
        <v>23838</v>
      </c>
      <c r="O3605" s="33" t="s">
        <v>372</v>
      </c>
      <c r="P3605" s="33" t="s">
        <v>30089</v>
      </c>
      <c r="Q3605" s="40" t="s">
        <v>23839</v>
      </c>
      <c r="R3605" s="33" t="s">
        <v>23</v>
      </c>
      <c r="S3605" s="33" t="s">
        <v>22</v>
      </c>
      <c r="T3605" s="33" t="s">
        <v>26774</v>
      </c>
      <c r="U3605" s="33" t="s">
        <v>26572</v>
      </c>
      <c r="V3605" s="33" t="s">
        <v>26573</v>
      </c>
      <c r="W3605" s="33" t="s">
        <v>512</v>
      </c>
      <c r="X3605" s="33">
        <v>1920</v>
      </c>
      <c r="Z3605" s="33" t="s">
        <v>42966</v>
      </c>
      <c r="AA3605" s="33">
        <v>4059</v>
      </c>
    </row>
    <row r="3606" spans="1:27" ht="12" customHeight="1" x14ac:dyDescent="0.15">
      <c r="A3606" s="33" t="s">
        <v>23831</v>
      </c>
      <c r="B3606" s="33">
        <v>32</v>
      </c>
      <c r="C3606" s="33" t="s">
        <v>14</v>
      </c>
      <c r="D3606" s="33" t="s">
        <v>79</v>
      </c>
      <c r="F3606" s="67">
        <v>42641</v>
      </c>
      <c r="G3606" s="33" t="s">
        <v>23832</v>
      </c>
      <c r="H3606" s="33" t="s">
        <v>1033</v>
      </c>
      <c r="I3606" s="33" t="s">
        <v>376</v>
      </c>
      <c r="J3606" s="33">
        <v>19143</v>
      </c>
      <c r="K3606" s="33" t="s">
        <v>1033</v>
      </c>
      <c r="L3606" s="33" t="s">
        <v>1034</v>
      </c>
      <c r="M3606" s="33" t="s">
        <v>21</v>
      </c>
      <c r="N3606" s="33" t="s">
        <v>23833</v>
      </c>
      <c r="O3606" s="33" t="s">
        <v>372</v>
      </c>
      <c r="P3606" s="33" t="s">
        <v>30089</v>
      </c>
      <c r="Q3606" s="40" t="s">
        <v>23834</v>
      </c>
      <c r="R3606" s="33" t="s">
        <v>23</v>
      </c>
      <c r="S3606" s="33" t="s">
        <v>29</v>
      </c>
      <c r="T3606" s="33" t="s">
        <v>26575</v>
      </c>
      <c r="U3606" s="33" t="s">
        <v>26572</v>
      </c>
      <c r="V3606" s="33" t="s">
        <v>26573</v>
      </c>
      <c r="W3606" s="33" t="s">
        <v>94</v>
      </c>
      <c r="X3606" s="33">
        <v>1919</v>
      </c>
      <c r="Z3606" s="33" t="s">
        <v>42966</v>
      </c>
      <c r="AA3606" s="33">
        <v>4060</v>
      </c>
    </row>
    <row r="3607" spans="1:27" ht="12" customHeight="1" x14ac:dyDescent="0.15">
      <c r="A3607" s="33" t="s">
        <v>26718</v>
      </c>
      <c r="B3607" s="33">
        <v>26</v>
      </c>
      <c r="C3607" s="33" t="s">
        <v>14</v>
      </c>
      <c r="D3607" s="33" t="s">
        <v>31</v>
      </c>
      <c r="E3607" s="33" t="s">
        <v>29921</v>
      </c>
      <c r="F3607" s="67">
        <v>42640</v>
      </c>
      <c r="G3607" s="33" t="s">
        <v>29922</v>
      </c>
      <c r="H3607" s="33" t="s">
        <v>584</v>
      </c>
      <c r="I3607" s="33" t="s">
        <v>112</v>
      </c>
      <c r="J3607" s="33" t="s">
        <v>12000</v>
      </c>
      <c r="K3607" s="33" t="s">
        <v>585</v>
      </c>
      <c r="L3607" s="33" t="s">
        <v>586</v>
      </c>
      <c r="M3607" s="33" t="s">
        <v>21</v>
      </c>
      <c r="N3607" s="33" t="s">
        <v>29923</v>
      </c>
      <c r="O3607" s="33" t="s">
        <v>372</v>
      </c>
      <c r="P3607" s="33" t="s">
        <v>30089</v>
      </c>
      <c r="Q3607" s="40" t="s">
        <v>29924</v>
      </c>
      <c r="R3607" s="33" t="s">
        <v>94</v>
      </c>
      <c r="S3607" s="33" t="s">
        <v>351</v>
      </c>
      <c r="T3607" s="33" t="s">
        <v>26867</v>
      </c>
      <c r="U3607" s="33" t="s">
        <v>26570</v>
      </c>
      <c r="V3607" s="33" t="s">
        <v>26571</v>
      </c>
      <c r="W3607" s="33" t="s">
        <v>94</v>
      </c>
      <c r="X3607" s="33">
        <v>1941</v>
      </c>
      <c r="Z3607" s="33" t="s">
        <v>42966</v>
      </c>
      <c r="AA3607" s="33">
        <v>4058</v>
      </c>
    </row>
    <row r="3608" spans="1:27" ht="12" customHeight="1" x14ac:dyDescent="0.15">
      <c r="A3608" s="33" t="s">
        <v>23687</v>
      </c>
      <c r="B3608" s="33">
        <v>38</v>
      </c>
      <c r="C3608" s="33" t="s">
        <v>14</v>
      </c>
      <c r="D3608" s="33" t="s">
        <v>79</v>
      </c>
      <c r="F3608" s="67">
        <v>42640</v>
      </c>
      <c r="G3608" s="33" t="s">
        <v>23691</v>
      </c>
      <c r="H3608" s="33" t="s">
        <v>20559</v>
      </c>
      <c r="I3608" s="33" t="s">
        <v>39</v>
      </c>
      <c r="J3608" s="33">
        <v>92021</v>
      </c>
      <c r="K3608" s="33" t="s">
        <v>143</v>
      </c>
      <c r="L3608" s="33" t="s">
        <v>20561</v>
      </c>
      <c r="M3608" s="33" t="s">
        <v>21</v>
      </c>
      <c r="N3608" s="33" t="s">
        <v>23689</v>
      </c>
      <c r="O3608" s="33" t="s">
        <v>372</v>
      </c>
      <c r="P3608" s="33" t="s">
        <v>30089</v>
      </c>
      <c r="Q3608" s="40" t="s">
        <v>23690</v>
      </c>
      <c r="R3608" s="33" t="s">
        <v>512</v>
      </c>
      <c r="S3608" s="33" t="s">
        <v>12</v>
      </c>
      <c r="T3608" s="33" t="s">
        <v>29705</v>
      </c>
      <c r="U3608" s="33" t="s">
        <v>26572</v>
      </c>
      <c r="V3608" s="33" t="s">
        <v>26573</v>
      </c>
      <c r="W3608" s="33" t="s">
        <v>512</v>
      </c>
      <c r="X3608" s="33">
        <v>1918</v>
      </c>
      <c r="Z3608" s="33" t="s">
        <v>42968</v>
      </c>
      <c r="AA3608" s="33">
        <v>4057</v>
      </c>
    </row>
    <row r="3609" spans="1:27" ht="12" customHeight="1" x14ac:dyDescent="0.15">
      <c r="A3609" s="33" t="s">
        <v>23777</v>
      </c>
      <c r="B3609" s="33">
        <v>52</v>
      </c>
      <c r="C3609" s="33" t="s">
        <v>14</v>
      </c>
      <c r="D3609" s="33" t="s">
        <v>31</v>
      </c>
      <c r="F3609" s="67">
        <v>42639</v>
      </c>
      <c r="G3609" s="33" t="s">
        <v>23778</v>
      </c>
      <c r="H3609" s="33" t="s">
        <v>23779</v>
      </c>
      <c r="I3609" s="33" t="s">
        <v>735</v>
      </c>
      <c r="J3609" s="33">
        <v>83714</v>
      </c>
      <c r="K3609" s="33" t="s">
        <v>3903</v>
      </c>
      <c r="L3609" s="33" t="s">
        <v>23780</v>
      </c>
      <c r="M3609" s="33" t="s">
        <v>21</v>
      </c>
      <c r="N3609" s="33" t="s">
        <v>23781</v>
      </c>
      <c r="O3609" s="33" t="s">
        <v>372</v>
      </c>
      <c r="P3609" s="33" t="s">
        <v>30089</v>
      </c>
      <c r="Q3609" s="40" t="s">
        <v>23782</v>
      </c>
      <c r="R3609" s="33" t="s">
        <v>23</v>
      </c>
      <c r="S3609" s="33" t="s">
        <v>22</v>
      </c>
      <c r="T3609" s="33" t="s">
        <v>26781</v>
      </c>
      <c r="U3609" s="33" t="s">
        <v>26572</v>
      </c>
      <c r="V3609" s="33" t="s">
        <v>19228</v>
      </c>
      <c r="W3609" s="33" t="s">
        <v>94</v>
      </c>
      <c r="X3609" s="33">
        <v>1911</v>
      </c>
      <c r="Z3609" s="33" t="s">
        <v>42968</v>
      </c>
      <c r="AA3609" s="33">
        <v>4053</v>
      </c>
    </row>
    <row r="3610" spans="1:27" ht="12" customHeight="1" x14ac:dyDescent="0.15">
      <c r="A3610" s="33" t="s">
        <v>23789</v>
      </c>
      <c r="B3610" s="33">
        <v>32</v>
      </c>
      <c r="C3610" s="33" t="s">
        <v>14</v>
      </c>
      <c r="D3610" s="33" t="s">
        <v>31</v>
      </c>
      <c r="F3610" s="67">
        <v>42639</v>
      </c>
      <c r="G3610" s="33" t="s">
        <v>23773</v>
      </c>
      <c r="H3610" s="33" t="s">
        <v>8861</v>
      </c>
      <c r="I3610" s="33" t="s">
        <v>918</v>
      </c>
      <c r="J3610" s="33">
        <v>72210</v>
      </c>
      <c r="K3610" s="33" t="s">
        <v>2312</v>
      </c>
      <c r="L3610" s="33" t="s">
        <v>23774</v>
      </c>
      <c r="M3610" s="33" t="s">
        <v>21</v>
      </c>
      <c r="N3610" s="33" t="s">
        <v>23775</v>
      </c>
      <c r="O3610" s="33" t="s">
        <v>372</v>
      </c>
      <c r="P3610" s="33" t="s">
        <v>30089</v>
      </c>
      <c r="Q3610" s="40" t="s">
        <v>23776</v>
      </c>
      <c r="R3610" s="33" t="s">
        <v>512</v>
      </c>
      <c r="S3610" s="33" t="s">
        <v>22</v>
      </c>
      <c r="T3610" s="33" t="s">
        <v>26781</v>
      </c>
      <c r="U3610" s="33" t="s">
        <v>26570</v>
      </c>
      <c r="V3610" s="33" t="s">
        <v>26573</v>
      </c>
      <c r="W3610" s="33" t="s">
        <v>94</v>
      </c>
      <c r="X3610" s="33">
        <v>1912</v>
      </c>
      <c r="Z3610" s="33" t="s">
        <v>42968</v>
      </c>
      <c r="AA3610" s="33">
        <v>4054</v>
      </c>
    </row>
    <row r="3611" spans="1:27" ht="12" customHeight="1" x14ac:dyDescent="0.15">
      <c r="A3611" s="33" t="s">
        <v>23790</v>
      </c>
      <c r="B3611" s="33">
        <v>48</v>
      </c>
      <c r="C3611" s="33" t="s">
        <v>14</v>
      </c>
      <c r="D3611" s="33" t="s">
        <v>31</v>
      </c>
      <c r="F3611" s="67">
        <v>42639</v>
      </c>
      <c r="G3611" s="33" t="s">
        <v>23787</v>
      </c>
      <c r="H3611" s="33" t="s">
        <v>19323</v>
      </c>
      <c r="I3611" s="33" t="s">
        <v>122</v>
      </c>
      <c r="J3611" s="33">
        <v>55337</v>
      </c>
      <c r="K3611" s="33" t="s">
        <v>19324</v>
      </c>
      <c r="L3611" s="33" t="s">
        <v>19325</v>
      </c>
      <c r="M3611" s="33" t="s">
        <v>21</v>
      </c>
      <c r="N3611" s="33" t="s">
        <v>23788</v>
      </c>
      <c r="O3611" s="33" t="s">
        <v>372</v>
      </c>
      <c r="P3611" s="33" t="s">
        <v>30089</v>
      </c>
      <c r="Q3611" s="40" t="s">
        <v>23841</v>
      </c>
      <c r="R3611" s="33" t="s">
        <v>512</v>
      </c>
      <c r="S3611" s="33" t="s">
        <v>22</v>
      </c>
      <c r="T3611" s="33" t="s">
        <v>26781</v>
      </c>
      <c r="U3611" s="33" t="s">
        <v>26570</v>
      </c>
      <c r="V3611" s="33" t="s">
        <v>26573</v>
      </c>
      <c r="W3611" s="33" t="s">
        <v>512</v>
      </c>
      <c r="X3611" s="33">
        <v>1917</v>
      </c>
      <c r="Z3611" s="33" t="s">
        <v>42968</v>
      </c>
      <c r="AA3611" s="33">
        <v>4056</v>
      </c>
    </row>
    <row r="3612" spans="1:27" ht="12" customHeight="1" x14ac:dyDescent="0.15">
      <c r="A3612" s="33" t="s">
        <v>23783</v>
      </c>
      <c r="B3612" s="33">
        <v>46</v>
      </c>
      <c r="C3612" s="33" t="s">
        <v>14</v>
      </c>
      <c r="D3612" s="33" t="s">
        <v>15</v>
      </c>
      <c r="F3612" s="67">
        <v>42639</v>
      </c>
      <c r="G3612" s="33" t="s">
        <v>23784</v>
      </c>
      <c r="H3612" s="33" t="s">
        <v>674</v>
      </c>
      <c r="I3612" s="33" t="s">
        <v>67</v>
      </c>
      <c r="J3612" s="33">
        <v>77005</v>
      </c>
      <c r="K3612" s="33" t="s">
        <v>515</v>
      </c>
      <c r="L3612" s="33" t="s">
        <v>675</v>
      </c>
      <c r="M3612" s="33" t="s">
        <v>21</v>
      </c>
      <c r="N3612" s="33" t="s">
        <v>23785</v>
      </c>
      <c r="O3612" s="33" t="s">
        <v>372</v>
      </c>
      <c r="P3612" s="33" t="s">
        <v>30089</v>
      </c>
      <c r="Q3612" s="40" t="s">
        <v>23786</v>
      </c>
      <c r="R3612" s="33" t="s">
        <v>23</v>
      </c>
      <c r="S3612" s="33" t="s">
        <v>22</v>
      </c>
      <c r="T3612" s="33" t="s">
        <v>26781</v>
      </c>
      <c r="U3612" s="33" t="s">
        <v>26572</v>
      </c>
      <c r="V3612" s="33" t="s">
        <v>26573</v>
      </c>
      <c r="W3612" s="33" t="s">
        <v>512</v>
      </c>
      <c r="X3612" s="33">
        <v>1916</v>
      </c>
      <c r="Z3612" s="33" t="s">
        <v>42968</v>
      </c>
      <c r="AA3612" s="33">
        <v>4055</v>
      </c>
    </row>
    <row r="3613" spans="1:27" ht="12" customHeight="1" x14ac:dyDescent="0.15">
      <c r="A3613" s="33" t="s">
        <v>23768</v>
      </c>
      <c r="B3613" s="33">
        <v>25</v>
      </c>
      <c r="C3613" s="33" t="s">
        <v>14</v>
      </c>
      <c r="D3613" s="33" t="s">
        <v>31</v>
      </c>
      <c r="F3613" s="67">
        <v>42638</v>
      </c>
      <c r="G3613" s="33" t="s">
        <v>23769</v>
      </c>
      <c r="H3613" s="33" t="s">
        <v>23770</v>
      </c>
      <c r="I3613" s="33" t="s">
        <v>468</v>
      </c>
      <c r="J3613" s="33">
        <v>3743</v>
      </c>
      <c r="K3613" s="33" t="s">
        <v>2679</v>
      </c>
      <c r="L3613" s="33" t="s">
        <v>23</v>
      </c>
      <c r="M3613" s="33" t="s">
        <v>21</v>
      </c>
      <c r="N3613" s="33" t="s">
        <v>23771</v>
      </c>
      <c r="O3613" s="33" t="s">
        <v>372</v>
      </c>
      <c r="P3613" s="33" t="s">
        <v>30089</v>
      </c>
      <c r="Q3613" s="40" t="s">
        <v>23772</v>
      </c>
      <c r="R3613" s="33" t="s">
        <v>512</v>
      </c>
      <c r="S3613" s="33" t="s">
        <v>22</v>
      </c>
      <c r="T3613" s="33" t="s">
        <v>26781</v>
      </c>
      <c r="U3613" s="33" t="s">
        <v>26570</v>
      </c>
      <c r="V3613" s="33" t="s">
        <v>26573</v>
      </c>
      <c r="W3613" s="33" t="s">
        <v>94</v>
      </c>
      <c r="X3613" s="33">
        <v>1910</v>
      </c>
      <c r="Z3613" s="33" t="s">
        <v>42967</v>
      </c>
      <c r="AA3613" s="33">
        <v>4052</v>
      </c>
    </row>
    <row r="3614" spans="1:27" ht="12" customHeight="1" x14ac:dyDescent="0.15">
      <c r="A3614" s="33" t="s">
        <v>23760</v>
      </c>
      <c r="B3614" s="33">
        <v>41</v>
      </c>
      <c r="C3614" s="33" t="s">
        <v>14</v>
      </c>
      <c r="D3614" s="33" t="s">
        <v>31</v>
      </c>
      <c r="F3614" s="67">
        <v>42636</v>
      </c>
      <c r="G3614" s="33" t="s">
        <v>23761</v>
      </c>
      <c r="H3614" s="33" t="s">
        <v>10328</v>
      </c>
      <c r="I3614" s="33" t="s">
        <v>39</v>
      </c>
      <c r="J3614" s="33">
        <v>95628</v>
      </c>
      <c r="K3614" s="33" t="s">
        <v>1537</v>
      </c>
      <c r="L3614" s="33" t="s">
        <v>22038</v>
      </c>
      <c r="M3614" s="33" t="s">
        <v>21</v>
      </c>
      <c r="N3614" s="33" t="s">
        <v>23762</v>
      </c>
      <c r="O3614" s="33" t="s">
        <v>372</v>
      </c>
      <c r="P3614" s="33" t="s">
        <v>30089</v>
      </c>
      <c r="Q3614" s="40" t="s">
        <v>23763</v>
      </c>
      <c r="R3614" s="33" t="s">
        <v>23</v>
      </c>
      <c r="S3614" s="33" t="s">
        <v>29</v>
      </c>
      <c r="T3614" s="33" t="s">
        <v>26575</v>
      </c>
      <c r="U3614" s="33" t="s">
        <v>26572</v>
      </c>
      <c r="V3614" s="33" t="s">
        <v>26574</v>
      </c>
      <c r="W3614" s="33" t="s">
        <v>94</v>
      </c>
      <c r="X3614" s="33">
        <v>1909</v>
      </c>
      <c r="Z3614" s="33" t="s">
        <v>42968</v>
      </c>
      <c r="AA3614" s="33">
        <v>4050</v>
      </c>
    </row>
    <row r="3615" spans="1:27" ht="12" customHeight="1" x14ac:dyDescent="0.15">
      <c r="A3615" s="33" t="s">
        <v>23683</v>
      </c>
      <c r="B3615" s="33">
        <v>33</v>
      </c>
      <c r="C3615" s="33" t="s">
        <v>14</v>
      </c>
      <c r="D3615" s="33" t="s">
        <v>79</v>
      </c>
      <c r="F3615" s="67">
        <v>42636</v>
      </c>
      <c r="G3615" s="33" t="s">
        <v>23685</v>
      </c>
      <c r="H3615" s="33" t="s">
        <v>23688</v>
      </c>
      <c r="I3615" s="33" t="s">
        <v>46</v>
      </c>
      <c r="J3615" s="33">
        <v>21208</v>
      </c>
      <c r="K3615" s="33" t="s">
        <v>1487</v>
      </c>
      <c r="L3615" s="33" t="s">
        <v>212</v>
      </c>
      <c r="M3615" s="33" t="s">
        <v>21</v>
      </c>
      <c r="N3615" s="33" t="s">
        <v>23684</v>
      </c>
      <c r="O3615" s="33" t="s">
        <v>372</v>
      </c>
      <c r="P3615" s="33" t="s">
        <v>30089</v>
      </c>
      <c r="Q3615" s="40" t="s">
        <v>23686</v>
      </c>
      <c r="R3615" s="33" t="s">
        <v>94</v>
      </c>
      <c r="S3615" s="33" t="s">
        <v>351</v>
      </c>
      <c r="T3615" s="33" t="s">
        <v>26867</v>
      </c>
      <c r="U3615" s="33" t="s">
        <v>26570</v>
      </c>
      <c r="V3615" s="33" t="s">
        <v>26573</v>
      </c>
      <c r="W3615" s="33" t="s">
        <v>512</v>
      </c>
      <c r="X3615" s="33">
        <v>1914</v>
      </c>
      <c r="Z3615" s="33" t="s">
        <v>42968</v>
      </c>
      <c r="AA3615" s="33">
        <v>4051</v>
      </c>
    </row>
    <row r="3616" spans="1:27" ht="12" customHeight="1" x14ac:dyDescent="0.15">
      <c r="A3616" s="33" t="s">
        <v>23764</v>
      </c>
      <c r="B3616" s="33">
        <v>30</v>
      </c>
      <c r="C3616" s="33" t="s">
        <v>14</v>
      </c>
      <c r="D3616" s="33" t="s">
        <v>42</v>
      </c>
      <c r="F3616" s="67">
        <v>42636</v>
      </c>
      <c r="G3616" s="33" t="s">
        <v>23765</v>
      </c>
      <c r="H3616" s="33" t="s">
        <v>532</v>
      </c>
      <c r="I3616" s="33" t="s">
        <v>67</v>
      </c>
      <c r="J3616" s="33">
        <v>78211</v>
      </c>
      <c r="K3616" s="33" t="s">
        <v>533</v>
      </c>
      <c r="L3616" s="33" t="s">
        <v>534</v>
      </c>
      <c r="M3616" s="33" t="s">
        <v>21</v>
      </c>
      <c r="N3616" s="33" t="s">
        <v>23766</v>
      </c>
      <c r="O3616" s="33" t="s">
        <v>372</v>
      </c>
      <c r="P3616" s="33" t="s">
        <v>30089</v>
      </c>
      <c r="Q3616" s="40" t="s">
        <v>23767</v>
      </c>
      <c r="R3616" s="33" t="s">
        <v>23</v>
      </c>
      <c r="S3616" s="33" t="s">
        <v>22</v>
      </c>
      <c r="T3616" s="33" t="s">
        <v>26781</v>
      </c>
      <c r="U3616" s="33" t="s">
        <v>26570</v>
      </c>
      <c r="V3616" s="33" t="s">
        <v>26574</v>
      </c>
      <c r="W3616" s="33" t="s">
        <v>94</v>
      </c>
      <c r="X3616" s="33">
        <v>1915</v>
      </c>
      <c r="Z3616" s="33" t="s">
        <v>42968</v>
      </c>
      <c r="AA3616" s="33">
        <v>4049</v>
      </c>
    </row>
    <row r="3617" spans="1:27" ht="12" customHeight="1" x14ac:dyDescent="0.15">
      <c r="A3617" s="33" t="s">
        <v>23756</v>
      </c>
      <c r="B3617" s="33">
        <v>23</v>
      </c>
      <c r="C3617" s="33" t="s">
        <v>14</v>
      </c>
      <c r="D3617" s="33" t="s">
        <v>31</v>
      </c>
      <c r="F3617" s="67">
        <v>42634</v>
      </c>
      <c r="G3617" s="33" t="s">
        <v>23757</v>
      </c>
      <c r="H3617" s="33" t="s">
        <v>834</v>
      </c>
      <c r="I3617" s="33" t="s">
        <v>432</v>
      </c>
      <c r="J3617" s="33">
        <v>68037</v>
      </c>
      <c r="K3617" s="33" t="s">
        <v>7590</v>
      </c>
      <c r="L3617" s="33" t="s">
        <v>21699</v>
      </c>
      <c r="M3617" s="33" t="s">
        <v>21</v>
      </c>
      <c r="N3617" s="33" t="s">
        <v>23758</v>
      </c>
      <c r="O3617" s="33" t="s">
        <v>372</v>
      </c>
      <c r="P3617" s="33" t="s">
        <v>30089</v>
      </c>
      <c r="Q3617" s="40" t="s">
        <v>23759</v>
      </c>
      <c r="R3617" s="33" t="s">
        <v>23</v>
      </c>
      <c r="S3617" s="33" t="s">
        <v>12</v>
      </c>
      <c r="T3617" s="33" t="s">
        <v>29705</v>
      </c>
      <c r="U3617" s="33" t="s">
        <v>26575</v>
      </c>
      <c r="V3617" s="33" t="s">
        <v>26573</v>
      </c>
      <c r="W3617" s="33" t="s">
        <v>94</v>
      </c>
      <c r="X3617" s="33">
        <v>1908</v>
      </c>
      <c r="Z3617" s="33" t="s">
        <v>42967</v>
      </c>
      <c r="AA3617" s="33">
        <v>4048</v>
      </c>
    </row>
    <row r="3618" spans="1:27" ht="12" customHeight="1" x14ac:dyDescent="0.15">
      <c r="A3618" s="33" t="s">
        <v>23671</v>
      </c>
      <c r="B3618" s="33">
        <v>43</v>
      </c>
      <c r="C3618" s="33" t="s">
        <v>14</v>
      </c>
      <c r="D3618" s="33" t="s">
        <v>79</v>
      </c>
      <c r="F3618" s="67">
        <v>42633</v>
      </c>
      <c r="G3618" s="33" t="s">
        <v>23680</v>
      </c>
      <c r="H3618" s="33" t="s">
        <v>3855</v>
      </c>
      <c r="I3618" s="33" t="s">
        <v>338</v>
      </c>
      <c r="J3618" s="33">
        <v>28213</v>
      </c>
      <c r="K3618" s="33" t="s">
        <v>3857</v>
      </c>
      <c r="L3618" s="33" t="s">
        <v>3858</v>
      </c>
      <c r="M3618" s="33" t="s">
        <v>21</v>
      </c>
      <c r="N3618" s="33" t="s">
        <v>23679</v>
      </c>
      <c r="O3618" s="33" t="s">
        <v>372</v>
      </c>
      <c r="P3618" s="33" t="s">
        <v>30089</v>
      </c>
      <c r="Q3618" s="40" t="s">
        <v>23672</v>
      </c>
      <c r="R3618" s="33" t="s">
        <v>512</v>
      </c>
      <c r="S3618" s="33" t="s">
        <v>29</v>
      </c>
      <c r="T3618" s="33" t="s">
        <v>26781</v>
      </c>
      <c r="U3618" s="33" t="s">
        <v>26570</v>
      </c>
      <c r="V3618" s="33" t="s">
        <v>26573</v>
      </c>
      <c r="W3618" s="33" t="s">
        <v>512</v>
      </c>
      <c r="X3618" s="33">
        <v>1904</v>
      </c>
      <c r="Z3618" s="33" t="s">
        <v>42968</v>
      </c>
      <c r="AA3618" s="33">
        <v>4046</v>
      </c>
    </row>
    <row r="3619" spans="1:27" ht="12" customHeight="1" x14ac:dyDescent="0.15">
      <c r="A3619" s="33" t="s">
        <v>23752</v>
      </c>
      <c r="B3619" s="33">
        <v>49</v>
      </c>
      <c r="C3619" s="33" t="s">
        <v>14</v>
      </c>
      <c r="D3619" s="33" t="s">
        <v>31</v>
      </c>
      <c r="F3619" s="67">
        <v>42633</v>
      </c>
      <c r="G3619" s="33" t="s">
        <v>23753</v>
      </c>
      <c r="H3619" s="33" t="s">
        <v>21113</v>
      </c>
      <c r="I3619" s="33" t="s">
        <v>192</v>
      </c>
      <c r="J3619" s="33">
        <v>80234</v>
      </c>
      <c r="K3619" s="33" t="s">
        <v>1790</v>
      </c>
      <c r="L3619" s="33" t="s">
        <v>21114</v>
      </c>
      <c r="M3619" s="33" t="s">
        <v>21</v>
      </c>
      <c r="N3619" s="33" t="s">
        <v>23754</v>
      </c>
      <c r="O3619" s="33" t="s">
        <v>372</v>
      </c>
      <c r="P3619" s="33" t="s">
        <v>30089</v>
      </c>
      <c r="Q3619" s="40" t="s">
        <v>23755</v>
      </c>
      <c r="R3619" s="33" t="s">
        <v>23</v>
      </c>
      <c r="S3619" s="33" t="s">
        <v>22</v>
      </c>
      <c r="T3619" s="33" t="s">
        <v>26781</v>
      </c>
      <c r="U3619" s="33" t="s">
        <v>26570</v>
      </c>
      <c r="V3619" s="33" t="s">
        <v>26574</v>
      </c>
      <c r="W3619" s="33" t="s">
        <v>94</v>
      </c>
      <c r="X3619" s="33">
        <v>1906</v>
      </c>
      <c r="Z3619" s="33" t="s">
        <v>42968</v>
      </c>
      <c r="AA3619" s="33">
        <v>4045</v>
      </c>
    </row>
    <row r="3620" spans="1:27" ht="12" customHeight="1" x14ac:dyDescent="0.15">
      <c r="A3620" s="33" t="s">
        <v>23737</v>
      </c>
      <c r="B3620" s="33">
        <v>35</v>
      </c>
      <c r="C3620" s="33" t="s">
        <v>14</v>
      </c>
      <c r="D3620" s="33" t="s">
        <v>31</v>
      </c>
      <c r="F3620" s="67">
        <v>42633</v>
      </c>
      <c r="G3620" s="33" t="s">
        <v>23738</v>
      </c>
      <c r="H3620" s="33" t="s">
        <v>23739</v>
      </c>
      <c r="I3620" s="33" t="s">
        <v>298</v>
      </c>
      <c r="J3620" s="33">
        <v>38329</v>
      </c>
      <c r="K3620" s="33" t="s">
        <v>974</v>
      </c>
      <c r="L3620" s="33" t="s">
        <v>975</v>
      </c>
      <c r="M3620" s="33" t="s">
        <v>21</v>
      </c>
      <c r="N3620" s="33" t="s">
        <v>23740</v>
      </c>
      <c r="O3620" s="33" t="s">
        <v>372</v>
      </c>
      <c r="P3620" s="33" t="s">
        <v>30089</v>
      </c>
      <c r="Q3620" s="40" t="s">
        <v>23741</v>
      </c>
      <c r="R3620" s="33" t="s">
        <v>23</v>
      </c>
      <c r="S3620" s="33" t="s">
        <v>22</v>
      </c>
      <c r="T3620" s="33" t="s">
        <v>26781</v>
      </c>
      <c r="U3620" s="33" t="s">
        <v>26570</v>
      </c>
      <c r="V3620" s="33" t="s">
        <v>26571</v>
      </c>
      <c r="W3620" s="33" t="s">
        <v>512</v>
      </c>
      <c r="X3620" s="33">
        <v>1899</v>
      </c>
      <c r="Z3620" s="33" t="s">
        <v>42967</v>
      </c>
      <c r="AA3620" s="33">
        <v>4042</v>
      </c>
    </row>
    <row r="3621" spans="1:27" ht="12" customHeight="1" x14ac:dyDescent="0.15">
      <c r="A3621" s="33" t="s">
        <v>23731</v>
      </c>
      <c r="B3621" s="33">
        <v>22</v>
      </c>
      <c r="C3621" s="33" t="s">
        <v>14</v>
      </c>
      <c r="D3621" s="33" t="s">
        <v>31</v>
      </c>
      <c r="F3621" s="67">
        <v>42633</v>
      </c>
      <c r="G3621" s="33" t="s">
        <v>23732</v>
      </c>
      <c r="H3621" s="33" t="s">
        <v>23733</v>
      </c>
      <c r="I3621" s="33" t="s">
        <v>56</v>
      </c>
      <c r="J3621" s="33">
        <v>34953</v>
      </c>
      <c r="K3621" s="33" t="s">
        <v>2993</v>
      </c>
      <c r="L3621" s="33" t="s">
        <v>23734</v>
      </c>
      <c r="M3621" s="33" t="s">
        <v>21</v>
      </c>
      <c r="N3621" s="33" t="s">
        <v>23735</v>
      </c>
      <c r="O3621" s="33" t="s">
        <v>372</v>
      </c>
      <c r="P3621" s="33" t="s">
        <v>30089</v>
      </c>
      <c r="Q3621" s="40" t="s">
        <v>23736</v>
      </c>
      <c r="R3621" s="33" t="s">
        <v>512</v>
      </c>
      <c r="S3621" s="33" t="s">
        <v>22</v>
      </c>
      <c r="T3621" s="33" t="s">
        <v>26781</v>
      </c>
      <c r="U3621" s="33" t="s">
        <v>26572</v>
      </c>
      <c r="V3621" s="33" t="s">
        <v>26573</v>
      </c>
      <c r="W3621" s="33" t="s">
        <v>94</v>
      </c>
      <c r="X3621" s="33">
        <v>1901</v>
      </c>
      <c r="Z3621" s="33" t="s">
        <v>42968</v>
      </c>
      <c r="AA3621" s="33">
        <v>4043</v>
      </c>
    </row>
    <row r="3622" spans="1:27" ht="12" customHeight="1" x14ac:dyDescent="0.15">
      <c r="A3622" s="33" t="s">
        <v>23748</v>
      </c>
      <c r="B3622" s="33">
        <v>43</v>
      </c>
      <c r="C3622" s="33" t="s">
        <v>14</v>
      </c>
      <c r="D3622" s="33" t="s">
        <v>31</v>
      </c>
      <c r="F3622" s="67">
        <v>42633</v>
      </c>
      <c r="G3622" s="33" t="s">
        <v>23749</v>
      </c>
      <c r="H3622" s="33" t="s">
        <v>1888</v>
      </c>
      <c r="I3622" s="33" t="s">
        <v>298</v>
      </c>
      <c r="J3622" s="33">
        <v>37207</v>
      </c>
      <c r="K3622" s="33" t="s">
        <v>823</v>
      </c>
      <c r="L3622" s="33" t="s">
        <v>824</v>
      </c>
      <c r="M3622" s="33" t="s">
        <v>21</v>
      </c>
      <c r="N3622" s="33" t="s">
        <v>23750</v>
      </c>
      <c r="O3622" s="33" t="s">
        <v>372</v>
      </c>
      <c r="P3622" s="33" t="s">
        <v>30089</v>
      </c>
      <c r="Q3622" s="40" t="s">
        <v>23751</v>
      </c>
      <c r="R3622" s="33" t="s">
        <v>23</v>
      </c>
      <c r="S3622" s="33" t="s">
        <v>22</v>
      </c>
      <c r="T3622" s="33" t="s">
        <v>26781</v>
      </c>
      <c r="U3622" s="33" t="s">
        <v>26572</v>
      </c>
      <c r="V3622" s="33" t="s">
        <v>26573</v>
      </c>
      <c r="W3622" s="33" t="s">
        <v>94</v>
      </c>
      <c r="X3622" s="33">
        <v>1905</v>
      </c>
      <c r="Z3622" s="33" t="s">
        <v>42968</v>
      </c>
      <c r="AA3622" s="33">
        <v>4044</v>
      </c>
    </row>
    <row r="3623" spans="1:27" ht="12" customHeight="1" x14ac:dyDescent="0.15">
      <c r="A3623" s="33" t="s">
        <v>23742</v>
      </c>
      <c r="B3623" s="33">
        <v>23</v>
      </c>
      <c r="C3623" s="33" t="s">
        <v>14</v>
      </c>
      <c r="D3623" s="33" t="s">
        <v>31</v>
      </c>
      <c r="E3623" s="33" t="s">
        <v>23848</v>
      </c>
      <c r="F3623" s="67">
        <v>42633</v>
      </c>
      <c r="G3623" s="33" t="s">
        <v>23743</v>
      </c>
      <c r="H3623" s="33" t="s">
        <v>23744</v>
      </c>
      <c r="I3623" s="33" t="s">
        <v>35</v>
      </c>
      <c r="J3623" s="33">
        <v>6338</v>
      </c>
      <c r="K3623" s="33" t="s">
        <v>6257</v>
      </c>
      <c r="L3623" s="33" t="s">
        <v>23745</v>
      </c>
      <c r="M3623" s="33" t="s">
        <v>21</v>
      </c>
      <c r="N3623" s="33" t="s">
        <v>23746</v>
      </c>
      <c r="O3623" s="33" t="s">
        <v>372</v>
      </c>
      <c r="P3623" s="33" t="s">
        <v>30089</v>
      </c>
      <c r="Q3623" s="40" t="s">
        <v>23747</v>
      </c>
      <c r="R3623" s="33" t="s">
        <v>23</v>
      </c>
      <c r="S3623" s="33" t="s">
        <v>29</v>
      </c>
      <c r="T3623" s="33" t="s">
        <v>26575</v>
      </c>
      <c r="U3623" s="33" t="s">
        <v>26570</v>
      </c>
      <c r="V3623" s="33" t="s">
        <v>26573</v>
      </c>
      <c r="W3623" s="33" t="s">
        <v>94</v>
      </c>
      <c r="X3623" s="33">
        <v>1903</v>
      </c>
      <c r="Z3623" s="33" t="e">
        <v>#N/A</v>
      </c>
      <c r="AA3623" s="33">
        <v>4047</v>
      </c>
    </row>
    <row r="3624" spans="1:27" ht="12" customHeight="1" x14ac:dyDescent="0.15">
      <c r="A3624" s="33" t="s">
        <v>26717</v>
      </c>
      <c r="B3624" s="33">
        <v>56</v>
      </c>
      <c r="C3624" s="33" t="s">
        <v>14</v>
      </c>
      <c r="D3624" s="33" t="s">
        <v>31</v>
      </c>
      <c r="E3624" s="33" t="s">
        <v>29905</v>
      </c>
      <c r="F3624" s="67">
        <v>42632</v>
      </c>
      <c r="G3624" s="33" t="s">
        <v>29906</v>
      </c>
      <c r="H3624" s="33" t="s">
        <v>29907</v>
      </c>
      <c r="I3624" s="33" t="s">
        <v>67</v>
      </c>
      <c r="J3624" s="33" t="s">
        <v>29908</v>
      </c>
      <c r="K3624" s="33" t="s">
        <v>10995</v>
      </c>
      <c r="L3624" s="33" t="s">
        <v>29909</v>
      </c>
      <c r="M3624" s="33" t="s">
        <v>21</v>
      </c>
      <c r="N3624" s="33" t="s">
        <v>29910</v>
      </c>
      <c r="O3624" s="33" t="s">
        <v>372</v>
      </c>
      <c r="P3624" s="33" t="s">
        <v>30089</v>
      </c>
      <c r="Q3624" s="40" t="s">
        <v>29911</v>
      </c>
      <c r="R3624" s="33" t="s">
        <v>512</v>
      </c>
      <c r="S3624" s="33" t="s">
        <v>22</v>
      </c>
      <c r="T3624" s="33" t="s">
        <v>26781</v>
      </c>
      <c r="U3624" s="33" t="s">
        <v>26572</v>
      </c>
      <c r="V3624" s="33" t="s">
        <v>26573</v>
      </c>
      <c r="W3624" s="33" t="s">
        <v>94</v>
      </c>
      <c r="X3624" s="33">
        <v>1907</v>
      </c>
      <c r="Z3624" s="33" t="s">
        <v>42967</v>
      </c>
      <c r="AA3624" s="33">
        <v>4040</v>
      </c>
    </row>
    <row r="3625" spans="1:27" ht="12" customHeight="1" x14ac:dyDescent="0.15">
      <c r="A3625" s="33" t="s">
        <v>23725</v>
      </c>
      <c r="B3625" s="33">
        <v>46</v>
      </c>
      <c r="C3625" s="33" t="s">
        <v>103</v>
      </c>
      <c r="D3625" s="33" t="s">
        <v>31</v>
      </c>
      <c r="F3625" s="67">
        <v>42632</v>
      </c>
      <c r="G3625" s="33" t="s">
        <v>23726</v>
      </c>
      <c r="H3625" s="33" t="s">
        <v>23727</v>
      </c>
      <c r="I3625" s="33" t="s">
        <v>67</v>
      </c>
      <c r="J3625" s="33">
        <v>77373</v>
      </c>
      <c r="K3625" s="33" t="s">
        <v>515</v>
      </c>
      <c r="L3625" s="33" t="s">
        <v>23728</v>
      </c>
      <c r="M3625" s="33" t="s">
        <v>21</v>
      </c>
      <c r="N3625" s="33" t="s">
        <v>23729</v>
      </c>
      <c r="O3625" s="33" t="s">
        <v>372</v>
      </c>
      <c r="P3625" s="33" t="s">
        <v>30089</v>
      </c>
      <c r="Q3625" s="40" t="s">
        <v>23730</v>
      </c>
      <c r="R3625" s="33" t="s">
        <v>512</v>
      </c>
      <c r="S3625" s="33" t="s">
        <v>22</v>
      </c>
      <c r="T3625" s="33" t="s">
        <v>26781</v>
      </c>
      <c r="U3625" s="33" t="s">
        <v>26572</v>
      </c>
      <c r="V3625" s="33" t="s">
        <v>26573</v>
      </c>
      <c r="W3625" s="33" t="s">
        <v>512</v>
      </c>
      <c r="X3625" s="33">
        <v>1900</v>
      </c>
      <c r="Z3625" s="33" t="s">
        <v>42968</v>
      </c>
      <c r="AA3625" s="33">
        <v>4039</v>
      </c>
    </row>
    <row r="3626" spans="1:27" ht="12" customHeight="1" x14ac:dyDescent="0.15">
      <c r="A3626" s="33" t="s">
        <v>23721</v>
      </c>
      <c r="B3626" s="33">
        <v>30</v>
      </c>
      <c r="C3626" s="33" t="s">
        <v>14</v>
      </c>
      <c r="D3626" s="33" t="s">
        <v>31</v>
      </c>
      <c r="F3626" s="67">
        <v>42632</v>
      </c>
      <c r="H3626" s="33" t="s">
        <v>930</v>
      </c>
      <c r="I3626" s="33" t="s">
        <v>221</v>
      </c>
      <c r="J3626" s="33">
        <v>84321</v>
      </c>
      <c r="K3626" s="33" t="s">
        <v>931</v>
      </c>
      <c r="L3626" s="33" t="s">
        <v>23722</v>
      </c>
      <c r="M3626" s="33" t="s">
        <v>21</v>
      </c>
      <c r="N3626" s="33" t="s">
        <v>23723</v>
      </c>
      <c r="O3626" s="33" t="s">
        <v>372</v>
      </c>
      <c r="P3626" s="33" t="s">
        <v>30089</v>
      </c>
      <c r="Q3626" s="40" t="s">
        <v>23724</v>
      </c>
      <c r="R3626" s="33" t="s">
        <v>512</v>
      </c>
      <c r="S3626" s="33" t="s">
        <v>29</v>
      </c>
      <c r="T3626" s="33" t="s">
        <v>26576</v>
      </c>
      <c r="U3626" s="33" t="s">
        <v>26570</v>
      </c>
      <c r="V3626" s="33" t="s">
        <v>26573</v>
      </c>
      <c r="W3626" s="33" t="s">
        <v>94</v>
      </c>
      <c r="X3626" s="33">
        <v>1902</v>
      </c>
      <c r="Z3626" s="33" t="s">
        <v>42968</v>
      </c>
      <c r="AA3626" s="33">
        <v>4041</v>
      </c>
    </row>
    <row r="3627" spans="1:27" ht="12" customHeight="1" x14ac:dyDescent="0.15">
      <c r="A3627" s="33" t="s">
        <v>23717</v>
      </c>
      <c r="B3627" s="33">
        <v>61</v>
      </c>
      <c r="C3627" s="33" t="s">
        <v>14</v>
      </c>
      <c r="D3627" s="33" t="s">
        <v>79</v>
      </c>
      <c r="F3627" s="67">
        <v>42631</v>
      </c>
      <c r="G3627" s="33" t="s">
        <v>23718</v>
      </c>
      <c r="H3627" s="33" t="s">
        <v>187</v>
      </c>
      <c r="I3627" s="33" t="s">
        <v>63</v>
      </c>
      <c r="J3627" s="33">
        <v>44314</v>
      </c>
      <c r="K3627" s="33" t="s">
        <v>3180</v>
      </c>
      <c r="L3627" s="33" t="s">
        <v>188</v>
      </c>
      <c r="M3627" s="33" t="s">
        <v>21</v>
      </c>
      <c r="N3627" s="33" t="s">
        <v>23719</v>
      </c>
      <c r="O3627" s="33" t="s">
        <v>372</v>
      </c>
      <c r="P3627" s="33" t="s">
        <v>30089</v>
      </c>
      <c r="Q3627" s="40" t="s">
        <v>23720</v>
      </c>
      <c r="R3627" s="33" t="s">
        <v>23</v>
      </c>
      <c r="S3627" s="33" t="s">
        <v>22</v>
      </c>
      <c r="T3627" s="33" t="s">
        <v>26781</v>
      </c>
      <c r="U3627" s="33" t="s">
        <v>26570</v>
      </c>
      <c r="V3627" s="33" t="s">
        <v>26573</v>
      </c>
      <c r="W3627" s="33" t="s">
        <v>94</v>
      </c>
      <c r="X3627" s="33">
        <v>1891</v>
      </c>
      <c r="Z3627" s="33" t="s">
        <v>42966</v>
      </c>
      <c r="AA3627" s="33">
        <v>4038</v>
      </c>
    </row>
    <row r="3628" spans="1:27" ht="12" customHeight="1" x14ac:dyDescent="0.15">
      <c r="A3628" s="33" t="s">
        <v>23703</v>
      </c>
      <c r="B3628" s="33">
        <v>45</v>
      </c>
      <c r="C3628" s="33" t="s">
        <v>14</v>
      </c>
      <c r="D3628" s="33" t="s">
        <v>31</v>
      </c>
      <c r="F3628" s="67">
        <v>42630</v>
      </c>
      <c r="G3628" s="33" t="s">
        <v>23704</v>
      </c>
      <c r="H3628" s="33" t="s">
        <v>2012</v>
      </c>
      <c r="I3628" s="33" t="s">
        <v>88</v>
      </c>
      <c r="J3628" s="33">
        <v>35802</v>
      </c>
      <c r="K3628" s="33" t="s">
        <v>2014</v>
      </c>
      <c r="L3628" s="33" t="s">
        <v>2015</v>
      </c>
      <c r="M3628" s="33" t="s">
        <v>21</v>
      </c>
      <c r="N3628" s="33" t="s">
        <v>23705</v>
      </c>
      <c r="O3628" s="33" t="s">
        <v>372</v>
      </c>
      <c r="P3628" s="33" t="s">
        <v>30089</v>
      </c>
      <c r="Q3628" s="40" t="s">
        <v>23706</v>
      </c>
      <c r="R3628" s="33" t="s">
        <v>23</v>
      </c>
      <c r="S3628" s="33" t="s">
        <v>12</v>
      </c>
      <c r="T3628" s="33" t="s">
        <v>29425</v>
      </c>
      <c r="U3628" s="33" t="s">
        <v>26572</v>
      </c>
      <c r="V3628" s="33" t="s">
        <v>19228</v>
      </c>
      <c r="W3628" s="33" t="s">
        <v>512</v>
      </c>
      <c r="X3628" s="33">
        <v>1895</v>
      </c>
      <c r="Z3628" s="33" t="s">
        <v>42968</v>
      </c>
      <c r="AA3628" s="33">
        <v>4036</v>
      </c>
    </row>
    <row r="3629" spans="1:27" ht="12" customHeight="1" x14ac:dyDescent="0.15">
      <c r="A3629" s="33" t="s">
        <v>23707</v>
      </c>
      <c r="B3629" s="33">
        <v>55</v>
      </c>
      <c r="C3629" s="33" t="s">
        <v>14</v>
      </c>
      <c r="D3629" s="33" t="s">
        <v>31</v>
      </c>
      <c r="F3629" s="67">
        <v>42630</v>
      </c>
      <c r="G3629" s="33" t="s">
        <v>23708</v>
      </c>
      <c r="H3629" s="33" t="s">
        <v>23709</v>
      </c>
      <c r="I3629" s="33" t="s">
        <v>338</v>
      </c>
      <c r="J3629" s="33">
        <v>28139</v>
      </c>
      <c r="K3629" s="33" t="s">
        <v>6568</v>
      </c>
      <c r="L3629" s="33" t="s">
        <v>23710</v>
      </c>
      <c r="M3629" s="33" t="s">
        <v>21</v>
      </c>
      <c r="N3629" s="33" t="s">
        <v>23711</v>
      </c>
      <c r="O3629" s="33" t="s">
        <v>372</v>
      </c>
      <c r="P3629" s="33" t="s">
        <v>30089</v>
      </c>
      <c r="Q3629" s="40" t="s">
        <v>23712</v>
      </c>
      <c r="R3629" s="33" t="s">
        <v>512</v>
      </c>
      <c r="S3629" s="33" t="s">
        <v>22</v>
      </c>
      <c r="T3629" s="33" t="s">
        <v>26781</v>
      </c>
      <c r="U3629" s="33" t="s">
        <v>26572</v>
      </c>
      <c r="V3629" s="33" t="s">
        <v>26573</v>
      </c>
      <c r="W3629" s="33" t="s">
        <v>94</v>
      </c>
      <c r="X3629" s="33">
        <v>1896</v>
      </c>
      <c r="Z3629" s="33" t="s">
        <v>42967</v>
      </c>
      <c r="AA3629" s="33">
        <v>4033</v>
      </c>
    </row>
    <row r="3630" spans="1:27" ht="12" customHeight="1" x14ac:dyDescent="0.15">
      <c r="A3630" s="33" t="s">
        <v>23713</v>
      </c>
      <c r="B3630" s="33">
        <v>42</v>
      </c>
      <c r="C3630" s="33" t="s">
        <v>14</v>
      </c>
      <c r="D3630" s="33" t="s">
        <v>31</v>
      </c>
      <c r="E3630" s="33" t="s">
        <v>23846</v>
      </c>
      <c r="F3630" s="67">
        <v>42630</v>
      </c>
      <c r="G3630" s="33" t="s">
        <v>23714</v>
      </c>
      <c r="H3630" s="33" t="s">
        <v>8137</v>
      </c>
      <c r="I3630" s="33" t="s">
        <v>39</v>
      </c>
      <c r="J3630" s="33">
        <v>92223</v>
      </c>
      <c r="K3630" s="33" t="s">
        <v>728</v>
      </c>
      <c r="L3630" s="33" t="s">
        <v>8139</v>
      </c>
      <c r="M3630" s="33" t="s">
        <v>21</v>
      </c>
      <c r="N3630" s="33" t="s">
        <v>23715</v>
      </c>
      <c r="O3630" s="33" t="s">
        <v>372</v>
      </c>
      <c r="P3630" s="33" t="s">
        <v>30089</v>
      </c>
      <c r="Q3630" s="40" t="s">
        <v>23716</v>
      </c>
      <c r="R3630" s="33" t="s">
        <v>23</v>
      </c>
      <c r="S3630" s="33" t="s">
        <v>22</v>
      </c>
      <c r="T3630" s="33" t="s">
        <v>26585</v>
      </c>
      <c r="U3630" s="33" t="s">
        <v>26570</v>
      </c>
      <c r="V3630" s="33" t="s">
        <v>26573</v>
      </c>
      <c r="W3630" s="33" t="s">
        <v>94</v>
      </c>
      <c r="X3630" s="33">
        <v>1890</v>
      </c>
      <c r="Z3630" s="33" t="s">
        <v>42968</v>
      </c>
      <c r="AA3630" s="33">
        <v>4034</v>
      </c>
    </row>
    <row r="3631" spans="1:27" ht="12" customHeight="1" x14ac:dyDescent="0.15">
      <c r="A3631" s="33" t="s">
        <v>23673</v>
      </c>
      <c r="B3631" s="33">
        <v>25</v>
      </c>
      <c r="C3631" s="33" t="s">
        <v>14</v>
      </c>
      <c r="D3631" s="33" t="s">
        <v>79</v>
      </c>
      <c r="F3631" s="67">
        <v>42630</v>
      </c>
      <c r="G3631" s="33" t="s">
        <v>23674</v>
      </c>
      <c r="H3631" s="33" t="s">
        <v>1033</v>
      </c>
      <c r="I3631" s="33" t="s">
        <v>376</v>
      </c>
      <c r="J3631" s="33">
        <v>19139</v>
      </c>
      <c r="K3631" s="33" t="s">
        <v>1033</v>
      </c>
      <c r="L3631" s="33" t="s">
        <v>1034</v>
      </c>
      <c r="M3631" s="33" t="s">
        <v>21</v>
      </c>
      <c r="N3631" s="33" t="s">
        <v>23675</v>
      </c>
      <c r="O3631" s="33" t="s">
        <v>372</v>
      </c>
      <c r="P3631" s="33" t="s">
        <v>30089</v>
      </c>
      <c r="Q3631" s="40" t="s">
        <v>23676</v>
      </c>
      <c r="R3631" s="33" t="s">
        <v>94</v>
      </c>
      <c r="S3631" s="33" t="s">
        <v>22</v>
      </c>
      <c r="T3631" s="33" t="s">
        <v>26781</v>
      </c>
      <c r="U3631" s="33" t="s">
        <v>26572</v>
      </c>
      <c r="V3631" s="33" t="s">
        <v>26574</v>
      </c>
      <c r="W3631" s="33" t="s">
        <v>94</v>
      </c>
      <c r="X3631" s="33">
        <v>1894</v>
      </c>
      <c r="Z3631" s="33" t="s">
        <v>42966</v>
      </c>
      <c r="AA3631" s="33">
        <v>4032</v>
      </c>
    </row>
    <row r="3632" spans="1:27" ht="12" customHeight="1" x14ac:dyDescent="0.15">
      <c r="A3632" s="33" t="s">
        <v>23664</v>
      </c>
      <c r="B3632" s="33">
        <v>22</v>
      </c>
      <c r="C3632" s="33" t="s">
        <v>14</v>
      </c>
      <c r="D3632" s="33" t="s">
        <v>79</v>
      </c>
      <c r="F3632" s="67">
        <v>42630</v>
      </c>
      <c r="G3632" s="33" t="s">
        <v>23668</v>
      </c>
      <c r="H3632" s="33" t="s">
        <v>13954</v>
      </c>
      <c r="I3632" s="33" t="s">
        <v>122</v>
      </c>
      <c r="J3632" s="33">
        <v>56301</v>
      </c>
      <c r="K3632" s="33" t="s">
        <v>23669</v>
      </c>
      <c r="L3632" s="33" t="s">
        <v>23665</v>
      </c>
      <c r="M3632" s="33" t="s">
        <v>21</v>
      </c>
      <c r="N3632" s="33" t="s">
        <v>23666</v>
      </c>
      <c r="O3632" s="33" t="s">
        <v>372</v>
      </c>
      <c r="P3632" s="33" t="s">
        <v>30089</v>
      </c>
      <c r="Q3632" s="40" t="s">
        <v>23667</v>
      </c>
      <c r="R3632" s="33" t="s">
        <v>23</v>
      </c>
      <c r="S3632" s="33" t="s">
        <v>22</v>
      </c>
      <c r="T3632" s="33" t="s">
        <v>26774</v>
      </c>
      <c r="U3632" s="33" t="s">
        <v>26572</v>
      </c>
      <c r="V3632" s="33" t="s">
        <v>26573</v>
      </c>
      <c r="W3632" s="33" t="s">
        <v>94</v>
      </c>
      <c r="X3632" s="33">
        <v>1898</v>
      </c>
      <c r="Y3632" s="33" t="s">
        <v>42476</v>
      </c>
      <c r="Z3632" s="33" t="s">
        <v>42966</v>
      </c>
      <c r="AA3632" s="33">
        <v>4035</v>
      </c>
    </row>
    <row r="3633" spans="1:27" ht="12" customHeight="1" x14ac:dyDescent="0.15">
      <c r="A3633" s="33" t="s">
        <v>23677</v>
      </c>
      <c r="B3633" s="33">
        <v>21</v>
      </c>
      <c r="C3633" s="33" t="s">
        <v>14</v>
      </c>
      <c r="D3633" s="33" t="s">
        <v>79</v>
      </c>
      <c r="F3633" s="67">
        <v>42630</v>
      </c>
      <c r="G3633" s="33" t="s">
        <v>23682</v>
      </c>
      <c r="H3633" s="33" t="s">
        <v>18639</v>
      </c>
      <c r="I3633" s="33" t="s">
        <v>46</v>
      </c>
      <c r="J3633" s="33">
        <v>21220</v>
      </c>
      <c r="K3633" s="33" t="s">
        <v>1487</v>
      </c>
      <c r="L3633" s="33" t="s">
        <v>212</v>
      </c>
      <c r="M3633" s="33" t="s">
        <v>21</v>
      </c>
      <c r="N3633" s="33" t="s">
        <v>23678</v>
      </c>
      <c r="O3633" s="33" t="s">
        <v>372</v>
      </c>
      <c r="P3633" s="33" t="s">
        <v>30089</v>
      </c>
      <c r="Q3633" s="40" t="s">
        <v>23681</v>
      </c>
      <c r="R3633" s="33" t="s">
        <v>94</v>
      </c>
      <c r="S3633" s="33" t="s">
        <v>12</v>
      </c>
      <c r="T3633" s="33" t="s">
        <v>29705</v>
      </c>
      <c r="U3633" s="33" t="s">
        <v>26570</v>
      </c>
      <c r="V3633" s="33" t="s">
        <v>26573</v>
      </c>
      <c r="Z3633" s="33" t="s">
        <v>42968</v>
      </c>
      <c r="AA3633" s="33">
        <v>4037</v>
      </c>
    </row>
    <row r="3634" spans="1:27" ht="12" customHeight="1" x14ac:dyDescent="0.15">
      <c r="A3634" s="33" t="s">
        <v>22640</v>
      </c>
      <c r="B3634" s="33">
        <v>46</v>
      </c>
      <c r="C3634" s="33" t="s">
        <v>14</v>
      </c>
      <c r="D3634" s="33" t="s">
        <v>31</v>
      </c>
      <c r="F3634" s="67">
        <v>42629</v>
      </c>
      <c r="G3634" s="33" t="s">
        <v>22641</v>
      </c>
      <c r="H3634" s="33" t="s">
        <v>22642</v>
      </c>
      <c r="I3634" s="33" t="s">
        <v>402</v>
      </c>
      <c r="J3634" s="33">
        <v>65672</v>
      </c>
      <c r="K3634" s="33" t="s">
        <v>22643</v>
      </c>
      <c r="L3634" s="33" t="s">
        <v>22644</v>
      </c>
      <c r="M3634" s="33" t="s">
        <v>21</v>
      </c>
      <c r="N3634" s="33" t="s">
        <v>22645</v>
      </c>
      <c r="O3634" s="33" t="s">
        <v>372</v>
      </c>
      <c r="P3634" s="33" t="s">
        <v>30089</v>
      </c>
      <c r="Q3634" s="40" t="s">
        <v>22646</v>
      </c>
      <c r="R3634" s="33" t="s">
        <v>94</v>
      </c>
      <c r="S3634" s="33" t="s">
        <v>22</v>
      </c>
      <c r="T3634" s="33" t="s">
        <v>26781</v>
      </c>
      <c r="U3634" s="33" t="s">
        <v>26572</v>
      </c>
      <c r="V3634" s="33" t="s">
        <v>26573</v>
      </c>
      <c r="W3634" s="33" t="s">
        <v>94</v>
      </c>
      <c r="X3634" s="33">
        <v>1887</v>
      </c>
      <c r="Z3634" s="33" t="s">
        <v>42967</v>
      </c>
      <c r="AA3634" s="33">
        <v>4028</v>
      </c>
    </row>
    <row r="3635" spans="1:27" ht="12" customHeight="1" x14ac:dyDescent="0.15">
      <c r="A3635" s="33" t="s">
        <v>23692</v>
      </c>
      <c r="B3635" s="33">
        <v>29</v>
      </c>
      <c r="C3635" s="33" t="s">
        <v>14</v>
      </c>
      <c r="D3635" s="33" t="s">
        <v>128</v>
      </c>
      <c r="F3635" s="67">
        <v>42629</v>
      </c>
      <c r="G3635" s="33" t="s">
        <v>23693</v>
      </c>
      <c r="H3635" s="33" t="s">
        <v>23694</v>
      </c>
      <c r="I3635" s="33" t="s">
        <v>9710</v>
      </c>
      <c r="J3635" s="33">
        <v>5404</v>
      </c>
      <c r="K3635" s="33" t="s">
        <v>1203</v>
      </c>
      <c r="L3635" s="33" t="s">
        <v>21096</v>
      </c>
      <c r="M3635" s="33" t="s">
        <v>21</v>
      </c>
      <c r="N3635" s="33" t="s">
        <v>23695</v>
      </c>
      <c r="O3635" s="33" t="s">
        <v>372</v>
      </c>
      <c r="P3635" s="33" t="s">
        <v>30089</v>
      </c>
      <c r="Q3635" s="40" t="s">
        <v>23696</v>
      </c>
      <c r="R3635" s="33" t="s">
        <v>23</v>
      </c>
      <c r="S3635" s="33" t="s">
        <v>12</v>
      </c>
      <c r="T3635" s="33" t="s">
        <v>29705</v>
      </c>
      <c r="U3635" s="33" t="s">
        <v>26575</v>
      </c>
      <c r="V3635" s="33" t="s">
        <v>26574</v>
      </c>
      <c r="W3635" s="33" t="s">
        <v>512</v>
      </c>
      <c r="X3635" s="33">
        <v>1889</v>
      </c>
      <c r="Z3635" s="33" t="s">
        <v>42968</v>
      </c>
      <c r="AA3635" s="33">
        <v>4030</v>
      </c>
    </row>
    <row r="3636" spans="1:27" ht="12" customHeight="1" x14ac:dyDescent="0.15">
      <c r="A3636" s="33" t="s">
        <v>23660</v>
      </c>
      <c r="B3636" s="33">
        <v>40</v>
      </c>
      <c r="C3636" s="33" t="s">
        <v>14</v>
      </c>
      <c r="D3636" s="33" t="s">
        <v>79</v>
      </c>
      <c r="E3636" s="33" t="s">
        <v>23670</v>
      </c>
      <c r="F3636" s="67">
        <v>42629</v>
      </c>
      <c r="G3636" s="33" t="s">
        <v>23663</v>
      </c>
      <c r="H3636" s="33" t="s">
        <v>2307</v>
      </c>
      <c r="I3636" s="33" t="s">
        <v>367</v>
      </c>
      <c r="J3636" s="33">
        <v>74110</v>
      </c>
      <c r="K3636" s="33" t="s">
        <v>2307</v>
      </c>
      <c r="L3636" s="33" t="s">
        <v>3108</v>
      </c>
      <c r="M3636" s="33" t="s">
        <v>4966</v>
      </c>
      <c r="N3636" s="33" t="s">
        <v>23661</v>
      </c>
      <c r="O3636" s="33" t="s">
        <v>372</v>
      </c>
      <c r="P3636" s="33" t="s">
        <v>30089</v>
      </c>
      <c r="Q3636" s="40" t="s">
        <v>23662</v>
      </c>
      <c r="R3636" s="33" t="s">
        <v>94</v>
      </c>
      <c r="S3636" s="33" t="s">
        <v>12</v>
      </c>
      <c r="T3636" s="33" t="s">
        <v>29705</v>
      </c>
      <c r="U3636" s="33" t="s">
        <v>26575</v>
      </c>
      <c r="V3636" s="33" t="s">
        <v>26573</v>
      </c>
      <c r="W3636" s="33" t="s">
        <v>94</v>
      </c>
      <c r="X3636" s="33">
        <v>1888</v>
      </c>
      <c r="Z3636" s="33" t="s">
        <v>42966</v>
      </c>
      <c r="AA3636" s="33">
        <v>4031</v>
      </c>
    </row>
    <row r="3637" spans="1:27" ht="12" customHeight="1" x14ac:dyDescent="0.15">
      <c r="A3637" s="33" t="s">
        <v>23697</v>
      </c>
      <c r="B3637" s="33">
        <v>29</v>
      </c>
      <c r="C3637" s="33" t="s">
        <v>14</v>
      </c>
      <c r="D3637" s="33" t="s">
        <v>31</v>
      </c>
      <c r="F3637" s="67">
        <v>42629</v>
      </c>
      <c r="G3637" s="33" t="s">
        <v>23698</v>
      </c>
      <c r="H3637" s="33" t="s">
        <v>2057</v>
      </c>
      <c r="I3637" s="33" t="s">
        <v>294</v>
      </c>
      <c r="J3637" s="33">
        <v>42301</v>
      </c>
      <c r="K3637" s="33" t="s">
        <v>23699</v>
      </c>
      <c r="L3637" s="33" t="s">
        <v>23700</v>
      </c>
      <c r="M3637" s="33" t="s">
        <v>21</v>
      </c>
      <c r="N3637" s="33" t="s">
        <v>23701</v>
      </c>
      <c r="O3637" s="33" t="s">
        <v>372</v>
      </c>
      <c r="P3637" s="33" t="s">
        <v>30089</v>
      </c>
      <c r="Q3637" s="40" t="s">
        <v>23702</v>
      </c>
      <c r="R3637" s="33" t="s">
        <v>23</v>
      </c>
      <c r="S3637" s="33" t="s">
        <v>22</v>
      </c>
      <c r="T3637" s="33" t="s">
        <v>26774</v>
      </c>
      <c r="U3637" s="33" t="s">
        <v>26572</v>
      </c>
      <c r="V3637" s="33" t="s">
        <v>26573</v>
      </c>
      <c r="W3637" s="33" t="s">
        <v>94</v>
      </c>
      <c r="X3637" s="33">
        <v>1893</v>
      </c>
      <c r="Z3637" s="33" t="s">
        <v>42968</v>
      </c>
      <c r="AA3637" s="33">
        <v>4029</v>
      </c>
    </row>
    <row r="3638" spans="1:27" ht="12" customHeight="1" x14ac:dyDescent="0.15">
      <c r="A3638" s="33" t="s">
        <v>22647</v>
      </c>
      <c r="B3638" s="33">
        <v>32</v>
      </c>
      <c r="C3638" s="33" t="s">
        <v>14</v>
      </c>
      <c r="D3638" s="33" t="s">
        <v>42</v>
      </c>
      <c r="F3638" s="67">
        <v>42628</v>
      </c>
      <c r="G3638" s="33" t="s">
        <v>22648</v>
      </c>
      <c r="H3638" s="33" t="s">
        <v>584</v>
      </c>
      <c r="I3638" s="33" t="s">
        <v>112</v>
      </c>
      <c r="J3638" s="33">
        <v>85034</v>
      </c>
      <c r="K3638" s="33" t="s">
        <v>585</v>
      </c>
      <c r="L3638" s="33" t="s">
        <v>586</v>
      </c>
      <c r="M3638" s="33" t="s">
        <v>21</v>
      </c>
      <c r="N3638" s="33" t="s">
        <v>22649</v>
      </c>
      <c r="O3638" s="33" t="s">
        <v>372</v>
      </c>
      <c r="P3638" s="33" t="s">
        <v>30089</v>
      </c>
      <c r="Q3638" s="40" t="s">
        <v>22650</v>
      </c>
      <c r="R3638" s="33" t="s">
        <v>94</v>
      </c>
      <c r="S3638" s="33" t="s">
        <v>22</v>
      </c>
      <c r="T3638" s="33" t="s">
        <v>26781</v>
      </c>
      <c r="U3638" s="33" t="s">
        <v>26570</v>
      </c>
      <c r="V3638" s="33" t="s">
        <v>19228</v>
      </c>
      <c r="W3638" s="33" t="s">
        <v>94</v>
      </c>
      <c r="X3638" s="33">
        <v>1884</v>
      </c>
      <c r="Z3638" s="33" t="s">
        <v>42966</v>
      </c>
      <c r="AA3638" s="33">
        <v>4025</v>
      </c>
    </row>
    <row r="3639" spans="1:27" ht="12" customHeight="1" x14ac:dyDescent="0.15">
      <c r="A3639" s="33" t="s">
        <v>22651</v>
      </c>
      <c r="B3639" s="33">
        <v>34</v>
      </c>
      <c r="C3639" s="33" t="s">
        <v>14</v>
      </c>
      <c r="D3639" s="33" t="s">
        <v>31</v>
      </c>
      <c r="F3639" s="67">
        <v>42628</v>
      </c>
      <c r="G3639" s="33" t="s">
        <v>22652</v>
      </c>
      <c r="H3639" s="33" t="s">
        <v>1227</v>
      </c>
      <c r="I3639" s="33" t="s">
        <v>67</v>
      </c>
      <c r="J3639" s="33">
        <v>78749</v>
      </c>
      <c r="K3639" s="33" t="s">
        <v>1228</v>
      </c>
      <c r="L3639" s="33" t="s">
        <v>1229</v>
      </c>
      <c r="M3639" s="33" t="s">
        <v>4966</v>
      </c>
      <c r="N3639" s="33" t="s">
        <v>22653</v>
      </c>
      <c r="O3639" s="33" t="s">
        <v>372</v>
      </c>
      <c r="P3639" s="33" t="s">
        <v>30089</v>
      </c>
      <c r="Q3639" s="40" t="s">
        <v>22654</v>
      </c>
      <c r="R3639" s="33" t="s">
        <v>23</v>
      </c>
      <c r="S3639" s="33" t="s">
        <v>22</v>
      </c>
      <c r="T3639" s="33" t="s">
        <v>26781</v>
      </c>
      <c r="U3639" s="33" t="s">
        <v>26572</v>
      </c>
      <c r="V3639" s="33" t="s">
        <v>26574</v>
      </c>
      <c r="W3639" s="33" t="s">
        <v>94</v>
      </c>
      <c r="X3639" s="33">
        <v>1885</v>
      </c>
      <c r="Z3639" s="33" t="s">
        <v>42968</v>
      </c>
      <c r="AA3639" s="33">
        <v>4027</v>
      </c>
    </row>
    <row r="3640" spans="1:27" ht="12" customHeight="1" x14ac:dyDescent="0.15">
      <c r="A3640" s="33" t="s">
        <v>22655</v>
      </c>
      <c r="B3640" s="33">
        <v>69</v>
      </c>
      <c r="C3640" s="33" t="s">
        <v>14</v>
      </c>
      <c r="D3640" s="33" t="s">
        <v>31</v>
      </c>
      <c r="F3640" s="67">
        <v>42628</v>
      </c>
      <c r="G3640" s="33" t="s">
        <v>22656</v>
      </c>
      <c r="H3640" s="33" t="s">
        <v>22657</v>
      </c>
      <c r="I3640" s="33" t="s">
        <v>56</v>
      </c>
      <c r="J3640" s="33">
        <v>34613</v>
      </c>
      <c r="K3640" s="33" t="s">
        <v>8841</v>
      </c>
      <c r="L3640" s="33" t="s">
        <v>8842</v>
      </c>
      <c r="M3640" s="33" t="s">
        <v>21</v>
      </c>
      <c r="N3640" s="33" t="s">
        <v>22658</v>
      </c>
      <c r="O3640" s="33" t="s">
        <v>372</v>
      </c>
      <c r="P3640" s="33" t="s">
        <v>30089</v>
      </c>
      <c r="Q3640" s="40" t="s">
        <v>22659</v>
      </c>
      <c r="R3640" s="33" t="s">
        <v>512</v>
      </c>
      <c r="S3640" s="33" t="s">
        <v>22</v>
      </c>
      <c r="T3640" s="33" t="s">
        <v>26781</v>
      </c>
      <c r="U3640" s="33" t="s">
        <v>26570</v>
      </c>
      <c r="V3640" s="33" t="s">
        <v>26573</v>
      </c>
      <c r="W3640" s="33" t="s">
        <v>94</v>
      </c>
      <c r="X3640" s="33">
        <v>1886</v>
      </c>
      <c r="Z3640" s="33" t="s">
        <v>42968</v>
      </c>
      <c r="AA3640" s="33">
        <v>4026</v>
      </c>
    </row>
    <row r="3641" spans="1:27" ht="12" customHeight="1" x14ac:dyDescent="0.15">
      <c r="A3641" s="33" t="s">
        <v>22660</v>
      </c>
      <c r="B3641" s="33">
        <v>13</v>
      </c>
      <c r="C3641" s="33" t="s">
        <v>14</v>
      </c>
      <c r="D3641" s="33" t="s">
        <v>79</v>
      </c>
      <c r="F3641" s="67">
        <v>42627</v>
      </c>
      <c r="G3641" s="33" t="s">
        <v>22661</v>
      </c>
      <c r="H3641" s="33" t="s">
        <v>1202</v>
      </c>
      <c r="I3641" s="33" t="s">
        <v>63</v>
      </c>
      <c r="J3641" s="33">
        <v>43205</v>
      </c>
      <c r="K3641" s="33" t="s">
        <v>1203</v>
      </c>
      <c r="L3641" s="33" t="s">
        <v>11441</v>
      </c>
      <c r="M3641" s="33" t="s">
        <v>21</v>
      </c>
      <c r="N3641" s="33" t="s">
        <v>22662</v>
      </c>
      <c r="O3641" s="33" t="s">
        <v>372</v>
      </c>
      <c r="P3641" s="33" t="s">
        <v>30089</v>
      </c>
      <c r="Q3641" s="40" t="s">
        <v>22663</v>
      </c>
      <c r="R3641" s="33" t="s">
        <v>94</v>
      </c>
      <c r="S3641" s="33" t="s">
        <v>12</v>
      </c>
      <c r="T3641" s="33" t="s">
        <v>29425</v>
      </c>
      <c r="U3641" s="33" t="s">
        <v>26570</v>
      </c>
      <c r="V3641" s="33" t="s">
        <v>26574</v>
      </c>
      <c r="W3641" s="33" t="s">
        <v>94</v>
      </c>
      <c r="X3641" s="33">
        <v>1883</v>
      </c>
      <c r="Z3641" s="33" t="s">
        <v>42966</v>
      </c>
      <c r="AA3641" s="33">
        <v>4024</v>
      </c>
    </row>
    <row r="3642" spans="1:27" ht="12" customHeight="1" x14ac:dyDescent="0.15">
      <c r="A3642" s="33" t="s">
        <v>22672</v>
      </c>
      <c r="B3642" s="33">
        <v>25</v>
      </c>
      <c r="C3642" s="33" t="s">
        <v>14</v>
      </c>
      <c r="D3642" s="33" t="s">
        <v>79</v>
      </c>
      <c r="F3642" s="67">
        <v>42625</v>
      </c>
      <c r="G3642" s="33" t="s">
        <v>22673</v>
      </c>
      <c r="H3642" s="33" t="s">
        <v>17097</v>
      </c>
      <c r="I3642" s="33" t="s">
        <v>342</v>
      </c>
      <c r="J3642" s="33">
        <v>52405</v>
      </c>
      <c r="K3642" s="33" t="s">
        <v>18277</v>
      </c>
      <c r="L3642" s="33" t="s">
        <v>17098</v>
      </c>
      <c r="M3642" s="33" t="s">
        <v>21</v>
      </c>
      <c r="N3642" s="33" t="s">
        <v>22674</v>
      </c>
      <c r="O3642" s="33" t="s">
        <v>372</v>
      </c>
      <c r="P3642" s="33" t="s">
        <v>30089</v>
      </c>
      <c r="Q3642" s="40" t="s">
        <v>22675</v>
      </c>
      <c r="R3642" s="33" t="s">
        <v>23</v>
      </c>
      <c r="S3642" s="33" t="s">
        <v>22</v>
      </c>
      <c r="T3642" s="33" t="s">
        <v>26774</v>
      </c>
      <c r="U3642" s="33" t="s">
        <v>26572</v>
      </c>
      <c r="V3642" s="33" t="s">
        <v>26573</v>
      </c>
      <c r="W3642" s="33" t="s">
        <v>94</v>
      </c>
      <c r="X3642" s="33">
        <v>1881</v>
      </c>
      <c r="Z3642" s="33" t="s">
        <v>42968</v>
      </c>
      <c r="AA3642" s="33">
        <v>4022</v>
      </c>
    </row>
    <row r="3643" spans="1:27" ht="12" customHeight="1" x14ac:dyDescent="0.15">
      <c r="A3643" s="33" t="s">
        <v>22665</v>
      </c>
      <c r="B3643" s="33">
        <v>86</v>
      </c>
      <c r="C3643" s="33" t="s">
        <v>14</v>
      </c>
      <c r="D3643" s="33" t="s">
        <v>24</v>
      </c>
      <c r="F3643" s="67">
        <v>42625</v>
      </c>
      <c r="G3643" s="33" t="s">
        <v>22666</v>
      </c>
      <c r="H3643" s="33" t="s">
        <v>6491</v>
      </c>
      <c r="I3643" s="33" t="s">
        <v>39</v>
      </c>
      <c r="J3643" s="33">
        <v>95070</v>
      </c>
      <c r="K3643" s="33" t="s">
        <v>561</v>
      </c>
      <c r="L3643" s="33" t="s">
        <v>18994</v>
      </c>
      <c r="M3643" s="33" t="s">
        <v>21</v>
      </c>
      <c r="N3643" s="33" t="s">
        <v>22667</v>
      </c>
      <c r="O3643" s="33" t="s">
        <v>372</v>
      </c>
      <c r="P3643" s="33" t="s">
        <v>30089</v>
      </c>
      <c r="Q3643" s="40" t="s">
        <v>22668</v>
      </c>
      <c r="R3643" s="33" t="s">
        <v>23</v>
      </c>
      <c r="S3643" s="33" t="s">
        <v>22</v>
      </c>
      <c r="T3643" s="33" t="s">
        <v>26781</v>
      </c>
      <c r="U3643" s="33" t="s">
        <v>26570</v>
      </c>
      <c r="V3643" s="33" t="s">
        <v>26573</v>
      </c>
      <c r="W3643" s="33" t="s">
        <v>94</v>
      </c>
      <c r="X3643" s="33">
        <v>1880</v>
      </c>
      <c r="Z3643" s="33" t="s">
        <v>42968</v>
      </c>
      <c r="AA3643" s="33">
        <v>4021</v>
      </c>
    </row>
    <row r="3644" spans="1:27" ht="12" customHeight="1" x14ac:dyDescent="0.15">
      <c r="A3644" s="33" t="s">
        <v>25166</v>
      </c>
      <c r="B3644" s="33">
        <v>25</v>
      </c>
      <c r="C3644" s="33" t="s">
        <v>14</v>
      </c>
      <c r="D3644" s="33" t="s">
        <v>42</v>
      </c>
      <c r="F3644" s="67">
        <v>42625</v>
      </c>
      <c r="G3644" s="33" t="s">
        <v>22669</v>
      </c>
      <c r="H3644" s="33" t="s">
        <v>3917</v>
      </c>
      <c r="I3644" s="33" t="s">
        <v>39</v>
      </c>
      <c r="J3644" s="33">
        <v>92324</v>
      </c>
      <c r="K3644" s="33" t="s">
        <v>288</v>
      </c>
      <c r="L3644" s="33" t="s">
        <v>8392</v>
      </c>
      <c r="M3644" s="33" t="s">
        <v>21</v>
      </c>
      <c r="N3644" s="33" t="s">
        <v>22670</v>
      </c>
      <c r="O3644" s="33" t="s">
        <v>372</v>
      </c>
      <c r="P3644" s="33" t="s">
        <v>30089</v>
      </c>
      <c r="Q3644" s="40" t="s">
        <v>22671</v>
      </c>
      <c r="R3644" s="33" t="s">
        <v>94</v>
      </c>
      <c r="S3644" s="33" t="s">
        <v>29</v>
      </c>
      <c r="T3644" s="33" t="s">
        <v>26575</v>
      </c>
      <c r="U3644" s="33" t="s">
        <v>26575</v>
      </c>
      <c r="V3644" s="33" t="s">
        <v>26571</v>
      </c>
      <c r="W3644" s="33" t="s">
        <v>94</v>
      </c>
      <c r="X3644" s="33">
        <v>1882</v>
      </c>
      <c r="Z3644" s="33" t="s">
        <v>42968</v>
      </c>
      <c r="AA3644" s="33">
        <v>4023</v>
      </c>
    </row>
    <row r="3645" spans="1:27" ht="12" customHeight="1" x14ac:dyDescent="0.15">
      <c r="A3645" s="33" t="s">
        <v>22676</v>
      </c>
      <c r="B3645" s="33">
        <v>31</v>
      </c>
      <c r="C3645" s="33" t="s">
        <v>14</v>
      </c>
      <c r="D3645" s="33" t="s">
        <v>79</v>
      </c>
      <c r="F3645" s="67">
        <v>42624</v>
      </c>
      <c r="G3645" s="33" t="s">
        <v>22677</v>
      </c>
      <c r="H3645" s="33" t="s">
        <v>107</v>
      </c>
      <c r="I3645" s="33" t="s">
        <v>3357</v>
      </c>
      <c r="J3645" s="33">
        <v>20001</v>
      </c>
      <c r="K3645" s="33" t="s">
        <v>3359</v>
      </c>
      <c r="L3645" s="33" t="s">
        <v>17581</v>
      </c>
      <c r="M3645" s="33" t="s">
        <v>21</v>
      </c>
      <c r="N3645" s="33" t="s">
        <v>22678</v>
      </c>
      <c r="O3645" s="33" t="s">
        <v>372</v>
      </c>
      <c r="P3645" s="33" t="s">
        <v>30089</v>
      </c>
      <c r="Q3645" s="40" t="s">
        <v>22679</v>
      </c>
      <c r="R3645" s="33" t="s">
        <v>23</v>
      </c>
      <c r="S3645" s="33" t="s">
        <v>29</v>
      </c>
      <c r="T3645" s="33" t="s">
        <v>26597</v>
      </c>
      <c r="U3645" s="33" t="s">
        <v>26572</v>
      </c>
      <c r="V3645" s="33" t="s">
        <v>19228</v>
      </c>
      <c r="W3645" s="33" t="s">
        <v>94</v>
      </c>
      <c r="X3645" s="33">
        <v>1875</v>
      </c>
      <c r="Z3645" s="33" t="s">
        <v>42966</v>
      </c>
      <c r="AA3645" s="33">
        <v>4020</v>
      </c>
    </row>
    <row r="3646" spans="1:27" ht="12" customHeight="1" x14ac:dyDescent="0.15">
      <c r="A3646" s="33" t="s">
        <v>22680</v>
      </c>
      <c r="B3646" s="33">
        <v>69</v>
      </c>
      <c r="C3646" s="33" t="s">
        <v>14</v>
      </c>
      <c r="D3646" s="33" t="s">
        <v>31</v>
      </c>
      <c r="F3646" s="67">
        <v>42623</v>
      </c>
      <c r="G3646" s="33" t="s">
        <v>22681</v>
      </c>
      <c r="H3646" s="33" t="s">
        <v>52</v>
      </c>
      <c r="I3646" s="33" t="s">
        <v>139</v>
      </c>
      <c r="J3646" s="33">
        <v>24701</v>
      </c>
      <c r="K3646" s="33" t="s">
        <v>2675</v>
      </c>
      <c r="L3646" s="33" t="s">
        <v>16725</v>
      </c>
      <c r="M3646" s="33" t="s">
        <v>21</v>
      </c>
      <c r="N3646" s="33" t="s">
        <v>22682</v>
      </c>
      <c r="O3646" s="33" t="s">
        <v>372</v>
      </c>
      <c r="P3646" s="33" t="s">
        <v>30089</v>
      </c>
      <c r="Q3646" s="40" t="s">
        <v>22683</v>
      </c>
      <c r="R3646" s="33" t="s">
        <v>512</v>
      </c>
      <c r="S3646" s="33" t="s">
        <v>12</v>
      </c>
      <c r="T3646" s="33" t="s">
        <v>29425</v>
      </c>
      <c r="U3646" s="33" t="s">
        <v>26570</v>
      </c>
      <c r="V3646" s="33" t="s">
        <v>26573</v>
      </c>
      <c r="W3646" s="33" t="s">
        <v>512</v>
      </c>
      <c r="X3646" s="33">
        <v>1877</v>
      </c>
      <c r="Z3646" s="33" t="s">
        <v>42966</v>
      </c>
      <c r="AA3646" s="33">
        <v>4019</v>
      </c>
    </row>
    <row r="3647" spans="1:27" ht="12" customHeight="1" x14ac:dyDescent="0.15">
      <c r="A3647" s="33" t="s">
        <v>26716</v>
      </c>
      <c r="B3647" s="33">
        <v>37</v>
      </c>
      <c r="C3647" s="33" t="s">
        <v>14</v>
      </c>
      <c r="D3647" s="33" t="s">
        <v>31</v>
      </c>
      <c r="E3647" s="33" t="s">
        <v>29912</v>
      </c>
      <c r="F3647" s="67">
        <v>42623</v>
      </c>
      <c r="G3647" s="33" t="s">
        <v>29913</v>
      </c>
      <c r="H3647" s="33" t="s">
        <v>11253</v>
      </c>
      <c r="I3647" s="33" t="s">
        <v>192</v>
      </c>
      <c r="J3647" s="33" t="s">
        <v>11254</v>
      </c>
      <c r="K3647" s="33" t="s">
        <v>936</v>
      </c>
      <c r="L3647" s="33" t="s">
        <v>2485</v>
      </c>
      <c r="M3647" s="33" t="s">
        <v>21</v>
      </c>
      <c r="N3647" s="33" t="s">
        <v>29914</v>
      </c>
      <c r="O3647" s="33" t="s">
        <v>372</v>
      </c>
      <c r="P3647" s="33" t="s">
        <v>30089</v>
      </c>
      <c r="Q3647" s="40" t="s">
        <v>29915</v>
      </c>
      <c r="R3647" s="33" t="s">
        <v>94</v>
      </c>
      <c r="S3647" s="33" t="s">
        <v>22</v>
      </c>
      <c r="T3647" s="33" t="s">
        <v>26781</v>
      </c>
      <c r="U3647" s="33" t="s">
        <v>26572</v>
      </c>
      <c r="V3647" s="33" t="s">
        <v>26573</v>
      </c>
      <c r="W3647" s="33" t="s">
        <v>512</v>
      </c>
      <c r="X3647" s="33">
        <v>1897</v>
      </c>
      <c r="Z3647" s="33" t="s">
        <v>42968</v>
      </c>
      <c r="AA3647" s="33">
        <v>4018</v>
      </c>
    </row>
    <row r="3648" spans="1:27" ht="12" customHeight="1" x14ac:dyDescent="0.15">
      <c r="A3648" s="33" t="s">
        <v>22684</v>
      </c>
      <c r="B3648" s="33">
        <v>55</v>
      </c>
      <c r="C3648" s="33" t="s">
        <v>14</v>
      </c>
      <c r="D3648" s="33" t="s">
        <v>79</v>
      </c>
      <c r="E3648" s="33" t="s">
        <v>22685</v>
      </c>
      <c r="F3648" s="67">
        <v>42622</v>
      </c>
      <c r="G3648" s="33" t="s">
        <v>22686</v>
      </c>
      <c r="H3648" s="33" t="s">
        <v>1690</v>
      </c>
      <c r="I3648" s="33" t="s">
        <v>56</v>
      </c>
      <c r="J3648" s="33">
        <v>33060</v>
      </c>
      <c r="K3648" s="33" t="s">
        <v>1052</v>
      </c>
      <c r="L3648" s="33" t="s">
        <v>4045</v>
      </c>
      <c r="M3648" s="33" t="s">
        <v>21</v>
      </c>
      <c r="N3648" s="33" t="s">
        <v>22687</v>
      </c>
      <c r="O3648" s="33" t="s">
        <v>372</v>
      </c>
      <c r="P3648" s="33" t="s">
        <v>30089</v>
      </c>
      <c r="Q3648" s="40" t="s">
        <v>22688</v>
      </c>
      <c r="R3648" s="33" t="s">
        <v>23</v>
      </c>
      <c r="S3648" s="33" t="s">
        <v>22</v>
      </c>
      <c r="T3648" s="33" t="s">
        <v>26774</v>
      </c>
      <c r="U3648" s="33" t="s">
        <v>26570</v>
      </c>
      <c r="V3648" s="33" t="s">
        <v>26573</v>
      </c>
      <c r="W3648" s="33" t="s">
        <v>94</v>
      </c>
      <c r="X3648" s="33">
        <v>1879</v>
      </c>
      <c r="Z3648" s="33" t="s">
        <v>42968</v>
      </c>
      <c r="AA3648" s="33">
        <v>4016</v>
      </c>
    </row>
    <row r="3649" spans="1:27" ht="12" customHeight="1" x14ac:dyDescent="0.15">
      <c r="A3649" s="33" t="s">
        <v>22689</v>
      </c>
      <c r="B3649" s="33">
        <v>32</v>
      </c>
      <c r="C3649" s="33" t="s">
        <v>14</v>
      </c>
      <c r="D3649" s="33" t="s">
        <v>42</v>
      </c>
      <c r="E3649" s="33" t="s">
        <v>22690</v>
      </c>
      <c r="F3649" s="67">
        <v>42622</v>
      </c>
      <c r="G3649" s="33" t="s">
        <v>22691</v>
      </c>
      <c r="H3649" s="33" t="s">
        <v>22692</v>
      </c>
      <c r="I3649" s="33" t="s">
        <v>918</v>
      </c>
      <c r="J3649" s="33">
        <v>72301</v>
      </c>
      <c r="K3649" s="33" t="s">
        <v>5233</v>
      </c>
      <c r="L3649" s="33" t="s">
        <v>22474</v>
      </c>
      <c r="M3649" s="33" t="s">
        <v>21</v>
      </c>
      <c r="N3649" s="33" t="s">
        <v>36675</v>
      </c>
      <c r="O3649" s="33" t="s">
        <v>372</v>
      </c>
      <c r="P3649" s="33" t="s">
        <v>30089</v>
      </c>
      <c r="Q3649" s="40" t="s">
        <v>22693</v>
      </c>
      <c r="R3649" s="33" t="s">
        <v>94</v>
      </c>
      <c r="S3649" s="33" t="s">
        <v>22</v>
      </c>
      <c r="T3649" s="33" t="s">
        <v>26781</v>
      </c>
      <c r="U3649" s="33" t="s">
        <v>26572</v>
      </c>
      <c r="V3649" s="33" t="s">
        <v>26573</v>
      </c>
      <c r="W3649" s="33" t="s">
        <v>94</v>
      </c>
      <c r="X3649" s="33">
        <v>1874</v>
      </c>
      <c r="Z3649" s="33" t="s">
        <v>42968</v>
      </c>
      <c r="AA3649" s="33">
        <v>4015</v>
      </c>
    </row>
    <row r="3650" spans="1:27" ht="12" customHeight="1" x14ac:dyDescent="0.15">
      <c r="A3650" s="33" t="s">
        <v>22694</v>
      </c>
      <c r="B3650" s="33">
        <v>64</v>
      </c>
      <c r="C3650" s="33" t="s">
        <v>14</v>
      </c>
      <c r="D3650" s="33" t="s">
        <v>31</v>
      </c>
      <c r="F3650" s="67">
        <v>42622</v>
      </c>
      <c r="G3650" s="33" t="s">
        <v>22695</v>
      </c>
      <c r="H3650" s="33" t="s">
        <v>4932</v>
      </c>
      <c r="I3650" s="33" t="s">
        <v>282</v>
      </c>
      <c r="J3650" s="33">
        <v>98002</v>
      </c>
      <c r="K3650" s="33" t="s">
        <v>1133</v>
      </c>
      <c r="L3650" s="33" t="s">
        <v>28123</v>
      </c>
      <c r="M3650" s="33" t="s">
        <v>21</v>
      </c>
      <c r="N3650" s="33" t="s">
        <v>22696</v>
      </c>
      <c r="O3650" s="33" t="s">
        <v>372</v>
      </c>
      <c r="P3650" s="33" t="s">
        <v>30089</v>
      </c>
      <c r="Q3650" s="40" t="s">
        <v>22697</v>
      </c>
      <c r="R3650" s="33" t="s">
        <v>512</v>
      </c>
      <c r="S3650" s="33" t="s">
        <v>29</v>
      </c>
      <c r="T3650" s="33" t="s">
        <v>26576</v>
      </c>
      <c r="U3650" s="33" t="s">
        <v>26570</v>
      </c>
      <c r="V3650" s="33" t="s">
        <v>26573</v>
      </c>
      <c r="W3650" s="33" t="s">
        <v>94</v>
      </c>
      <c r="X3650" s="33">
        <v>1876</v>
      </c>
      <c r="Z3650" s="33" t="s">
        <v>42968</v>
      </c>
      <c r="AA3650" s="33">
        <v>4017</v>
      </c>
    </row>
    <row r="3651" spans="1:27" ht="12" customHeight="1" x14ac:dyDescent="0.15">
      <c r="A3651" s="33" t="s">
        <v>22698</v>
      </c>
      <c r="B3651" s="33">
        <v>38</v>
      </c>
      <c r="C3651" s="33" t="s">
        <v>14</v>
      </c>
      <c r="D3651" s="33" t="s">
        <v>42</v>
      </c>
      <c r="F3651" s="67">
        <v>42621</v>
      </c>
      <c r="G3651" s="33" t="s">
        <v>26657</v>
      </c>
      <c r="H3651" s="33" t="s">
        <v>22699</v>
      </c>
      <c r="I3651" s="33" t="s">
        <v>39</v>
      </c>
      <c r="J3651" s="33">
        <v>95315</v>
      </c>
      <c r="K3651" s="33" t="s">
        <v>1332</v>
      </c>
      <c r="L3651" s="33" t="s">
        <v>32423</v>
      </c>
      <c r="M3651" s="33" t="s">
        <v>21</v>
      </c>
      <c r="N3651" s="33" t="s">
        <v>22700</v>
      </c>
      <c r="O3651" s="33" t="s">
        <v>372</v>
      </c>
      <c r="P3651" s="33" t="s">
        <v>30089</v>
      </c>
      <c r="Q3651" s="40" t="s">
        <v>22701</v>
      </c>
      <c r="R3651" s="33" t="s">
        <v>94</v>
      </c>
      <c r="S3651" s="33" t="s">
        <v>12</v>
      </c>
      <c r="T3651" s="33" t="s">
        <v>29425</v>
      </c>
      <c r="U3651" s="33" t="s">
        <v>26572</v>
      </c>
      <c r="V3651" s="33" t="s">
        <v>26573</v>
      </c>
      <c r="W3651" s="33" t="s">
        <v>94</v>
      </c>
      <c r="X3651" s="33">
        <v>1873</v>
      </c>
      <c r="Z3651" s="33" t="s">
        <v>42968</v>
      </c>
      <c r="AA3651" s="33">
        <v>4014</v>
      </c>
    </row>
    <row r="3652" spans="1:27" ht="12" customHeight="1" x14ac:dyDescent="0.15">
      <c r="A3652" s="33" t="s">
        <v>22708</v>
      </c>
      <c r="B3652" s="33">
        <v>32</v>
      </c>
      <c r="C3652" s="33" t="s">
        <v>14</v>
      </c>
      <c r="D3652" s="33" t="s">
        <v>31</v>
      </c>
      <c r="E3652" s="33" t="s">
        <v>22709</v>
      </c>
      <c r="F3652" s="67">
        <v>42621</v>
      </c>
      <c r="G3652" s="33" t="s">
        <v>26656</v>
      </c>
      <c r="H3652" s="33" t="s">
        <v>3692</v>
      </c>
      <c r="I3652" s="33" t="s">
        <v>56</v>
      </c>
      <c r="J3652" s="33">
        <v>33801</v>
      </c>
      <c r="K3652" s="33" t="s">
        <v>1736</v>
      </c>
      <c r="L3652" s="33" t="s">
        <v>238</v>
      </c>
      <c r="M3652" s="33" t="s">
        <v>21</v>
      </c>
      <c r="N3652" s="33" t="s">
        <v>22710</v>
      </c>
      <c r="O3652" s="33" t="s">
        <v>372</v>
      </c>
      <c r="P3652" s="33" t="s">
        <v>30089</v>
      </c>
      <c r="Q3652" s="40" t="s">
        <v>22711</v>
      </c>
      <c r="R3652" s="33" t="s">
        <v>94</v>
      </c>
      <c r="S3652" s="33" t="s">
        <v>22</v>
      </c>
      <c r="T3652" s="33" t="s">
        <v>26781</v>
      </c>
      <c r="U3652" s="33" t="s">
        <v>26572</v>
      </c>
      <c r="V3652" s="33" t="s">
        <v>26573</v>
      </c>
      <c r="W3652" s="33" t="s">
        <v>94</v>
      </c>
      <c r="X3652" s="33">
        <v>1872</v>
      </c>
      <c r="Z3652" s="33" t="s">
        <v>42968</v>
      </c>
      <c r="AA3652" s="33">
        <v>4013</v>
      </c>
    </row>
    <row r="3653" spans="1:27" ht="12" customHeight="1" x14ac:dyDescent="0.15">
      <c r="A3653" s="33" t="s">
        <v>22702</v>
      </c>
      <c r="B3653" s="33">
        <v>25</v>
      </c>
      <c r="C3653" s="33" t="s">
        <v>14</v>
      </c>
      <c r="D3653" s="33" t="s">
        <v>79</v>
      </c>
      <c r="E3653" s="33" t="s">
        <v>22703</v>
      </c>
      <c r="F3653" s="67">
        <v>42620</v>
      </c>
      <c r="G3653" s="33" t="s">
        <v>22704</v>
      </c>
      <c r="H3653" s="33" t="s">
        <v>4092</v>
      </c>
      <c r="I3653" s="33" t="s">
        <v>51</v>
      </c>
      <c r="J3653" s="33">
        <v>49508</v>
      </c>
      <c r="K3653" s="33" t="s">
        <v>2350</v>
      </c>
      <c r="L3653" s="33" t="s">
        <v>22705</v>
      </c>
      <c r="M3653" s="33" t="s">
        <v>21</v>
      </c>
      <c r="N3653" s="33" t="s">
        <v>22706</v>
      </c>
      <c r="O3653" s="33" t="s">
        <v>372</v>
      </c>
      <c r="P3653" s="33" t="s">
        <v>30089</v>
      </c>
      <c r="Q3653" s="40" t="s">
        <v>22707</v>
      </c>
      <c r="R3653" s="33" t="s">
        <v>23</v>
      </c>
      <c r="S3653" s="33" t="s">
        <v>22</v>
      </c>
      <c r="T3653" s="33" t="s">
        <v>26781</v>
      </c>
      <c r="U3653" s="33" t="s">
        <v>26572</v>
      </c>
      <c r="V3653" s="33" t="s">
        <v>26573</v>
      </c>
      <c r="W3653" s="33" t="s">
        <v>94</v>
      </c>
      <c r="X3653" s="33">
        <v>1871</v>
      </c>
      <c r="Z3653" s="33" t="s">
        <v>42968</v>
      </c>
      <c r="AA3653" s="33">
        <v>4009</v>
      </c>
    </row>
    <row r="3654" spans="1:27" ht="12" customHeight="1" x14ac:dyDescent="0.15">
      <c r="A3654" s="33" t="s">
        <v>22712</v>
      </c>
      <c r="B3654" s="33">
        <v>35</v>
      </c>
      <c r="C3654" s="33" t="s">
        <v>14</v>
      </c>
      <c r="D3654" s="33" t="s">
        <v>31</v>
      </c>
      <c r="E3654" s="33" t="s">
        <v>22713</v>
      </c>
      <c r="F3654" s="67">
        <v>42620</v>
      </c>
      <c r="G3654" s="33" t="s">
        <v>22714</v>
      </c>
      <c r="H3654" s="33" t="s">
        <v>11839</v>
      </c>
      <c r="I3654" s="33" t="s">
        <v>56</v>
      </c>
      <c r="J3654" s="33">
        <v>32780</v>
      </c>
      <c r="K3654" s="33" t="s">
        <v>1654</v>
      </c>
      <c r="L3654" s="33" t="s">
        <v>11841</v>
      </c>
      <c r="M3654" s="33" t="s">
        <v>21</v>
      </c>
      <c r="N3654" s="33" t="s">
        <v>22715</v>
      </c>
      <c r="O3654" s="33" t="s">
        <v>372</v>
      </c>
      <c r="P3654" s="33" t="s">
        <v>30089</v>
      </c>
      <c r="Q3654" s="40" t="s">
        <v>22716</v>
      </c>
      <c r="R3654" s="33" t="s">
        <v>94</v>
      </c>
      <c r="S3654" s="33" t="s">
        <v>29</v>
      </c>
      <c r="T3654" s="33" t="s">
        <v>26575</v>
      </c>
      <c r="U3654" s="33" t="s">
        <v>26575</v>
      </c>
      <c r="V3654" s="33" t="s">
        <v>26573</v>
      </c>
      <c r="W3654" s="33" t="s">
        <v>94</v>
      </c>
      <c r="X3654" s="33">
        <v>1869</v>
      </c>
      <c r="Z3654" s="33" t="s">
        <v>42968</v>
      </c>
      <c r="AA3654" s="33">
        <v>4012</v>
      </c>
    </row>
    <row r="3655" spans="1:27" ht="12" customHeight="1" x14ac:dyDescent="0.15">
      <c r="A3655" s="33" t="s">
        <v>22717</v>
      </c>
      <c r="B3655" s="33">
        <v>58</v>
      </c>
      <c r="C3655" s="33" t="s">
        <v>14</v>
      </c>
      <c r="D3655" s="33" t="s">
        <v>31</v>
      </c>
      <c r="E3655" s="33" t="s">
        <v>22718</v>
      </c>
      <c r="F3655" s="67">
        <v>42620</v>
      </c>
      <c r="G3655" s="33" t="s">
        <v>22719</v>
      </c>
      <c r="H3655" s="33" t="s">
        <v>22720</v>
      </c>
      <c r="I3655" s="33" t="s">
        <v>56</v>
      </c>
      <c r="J3655" s="33">
        <v>34677</v>
      </c>
      <c r="K3655" s="33" t="s">
        <v>2152</v>
      </c>
      <c r="L3655" s="33" t="s">
        <v>8931</v>
      </c>
      <c r="M3655" s="33" t="s">
        <v>363</v>
      </c>
      <c r="N3655" s="33" t="s">
        <v>22721</v>
      </c>
      <c r="O3655" s="33" t="s">
        <v>372</v>
      </c>
      <c r="P3655" s="33" t="s">
        <v>30089</v>
      </c>
      <c r="Q3655" s="40" t="s">
        <v>22722</v>
      </c>
      <c r="R3655" s="33" t="s">
        <v>512</v>
      </c>
      <c r="S3655" s="33" t="s">
        <v>22</v>
      </c>
      <c r="T3655" s="33" t="s">
        <v>26781</v>
      </c>
      <c r="U3655" s="33" t="s">
        <v>26570</v>
      </c>
      <c r="V3655" s="33" t="s">
        <v>26573</v>
      </c>
      <c r="Z3655" s="33" t="s">
        <v>42968</v>
      </c>
      <c r="AA3655" s="33">
        <v>4010</v>
      </c>
    </row>
    <row r="3656" spans="1:27" ht="12" customHeight="1" x14ac:dyDescent="0.15">
      <c r="A3656" s="33" t="s">
        <v>22723</v>
      </c>
      <c r="B3656" s="33">
        <v>55</v>
      </c>
      <c r="C3656" s="33" t="s">
        <v>14</v>
      </c>
      <c r="D3656" s="33" t="s">
        <v>79</v>
      </c>
      <c r="F3656" s="67">
        <v>42620</v>
      </c>
      <c r="G3656" s="33" t="s">
        <v>22724</v>
      </c>
      <c r="H3656" s="33" t="s">
        <v>2870</v>
      </c>
      <c r="I3656" s="33" t="s">
        <v>160</v>
      </c>
      <c r="J3656" s="33">
        <v>31701</v>
      </c>
      <c r="K3656" s="33" t="s">
        <v>22725</v>
      </c>
      <c r="L3656" s="33" t="s">
        <v>22726</v>
      </c>
      <c r="M3656" s="33" t="s">
        <v>21</v>
      </c>
      <c r="N3656" s="33" t="s">
        <v>22727</v>
      </c>
      <c r="O3656" s="33" t="s">
        <v>372</v>
      </c>
      <c r="P3656" s="33" t="s">
        <v>30089</v>
      </c>
      <c r="Q3656" s="40" t="s">
        <v>22728</v>
      </c>
      <c r="R3656" s="33" t="s">
        <v>23</v>
      </c>
      <c r="S3656" s="33" t="s">
        <v>22</v>
      </c>
      <c r="T3656" s="33" t="s">
        <v>26774</v>
      </c>
      <c r="U3656" s="33" t="s">
        <v>26572</v>
      </c>
      <c r="V3656" s="33" t="s">
        <v>26573</v>
      </c>
      <c r="W3656" s="33" t="s">
        <v>94</v>
      </c>
      <c r="X3656" s="33">
        <v>1867</v>
      </c>
      <c r="Z3656" s="33" t="s">
        <v>42968</v>
      </c>
      <c r="AA3656" s="33">
        <v>4011</v>
      </c>
    </row>
    <row r="3657" spans="1:27" ht="12" customHeight="1" x14ac:dyDescent="0.15">
      <c r="A3657" s="33" t="s">
        <v>22729</v>
      </c>
      <c r="B3657" s="33">
        <v>70</v>
      </c>
      <c r="C3657" s="33" t="s">
        <v>14</v>
      </c>
      <c r="D3657" s="33" t="s">
        <v>31</v>
      </c>
      <c r="F3657" s="67">
        <v>42619</v>
      </c>
      <c r="G3657" s="33" t="s">
        <v>22730</v>
      </c>
      <c r="H3657" s="33" t="s">
        <v>13019</v>
      </c>
      <c r="I3657" s="33" t="s">
        <v>298</v>
      </c>
      <c r="J3657" s="33">
        <v>37615</v>
      </c>
      <c r="K3657" s="33" t="s">
        <v>107</v>
      </c>
      <c r="L3657" s="33" t="s">
        <v>108</v>
      </c>
      <c r="M3657" s="33" t="s">
        <v>21</v>
      </c>
      <c r="N3657" s="33" t="s">
        <v>22731</v>
      </c>
      <c r="O3657" s="33" t="s">
        <v>372</v>
      </c>
      <c r="P3657" s="33" t="s">
        <v>30089</v>
      </c>
      <c r="Q3657" s="40" t="s">
        <v>22732</v>
      </c>
      <c r="R3657" s="33" t="s">
        <v>94</v>
      </c>
      <c r="S3657" s="33" t="s">
        <v>22</v>
      </c>
      <c r="T3657" s="33" t="s">
        <v>26781</v>
      </c>
      <c r="U3657" s="33" t="s">
        <v>26570</v>
      </c>
      <c r="V3657" s="33" t="s">
        <v>26573</v>
      </c>
      <c r="W3657" s="33" t="s">
        <v>512</v>
      </c>
      <c r="X3657" s="33">
        <v>1865</v>
      </c>
      <c r="Z3657" s="33" t="s">
        <v>42968</v>
      </c>
      <c r="AA3657" s="33">
        <v>4005</v>
      </c>
    </row>
    <row r="3658" spans="1:27" ht="12" customHeight="1" x14ac:dyDescent="0.15">
      <c r="A3658" s="33" t="s">
        <v>22733</v>
      </c>
      <c r="B3658" s="33">
        <v>65</v>
      </c>
      <c r="C3658" s="33" t="s">
        <v>14</v>
      </c>
      <c r="D3658" s="33" t="s">
        <v>31</v>
      </c>
      <c r="F3658" s="67">
        <v>42619</v>
      </c>
      <c r="G3658" s="33" t="s">
        <v>22734</v>
      </c>
      <c r="H3658" s="33" t="s">
        <v>22735</v>
      </c>
      <c r="I3658" s="33" t="s">
        <v>139</v>
      </c>
      <c r="J3658" s="33">
        <v>25276</v>
      </c>
      <c r="K3658" s="33" t="s">
        <v>7106</v>
      </c>
      <c r="L3658" s="33" t="s">
        <v>141</v>
      </c>
      <c r="M3658" s="33" t="s">
        <v>21</v>
      </c>
      <c r="N3658" s="33" t="s">
        <v>22736</v>
      </c>
      <c r="O3658" s="33" t="s">
        <v>372</v>
      </c>
      <c r="P3658" s="33" t="s">
        <v>30089</v>
      </c>
      <c r="Q3658" s="40" t="s">
        <v>22737</v>
      </c>
      <c r="R3658" s="33" t="s">
        <v>512</v>
      </c>
      <c r="S3658" s="33" t="s">
        <v>22</v>
      </c>
      <c r="T3658" s="33" t="s">
        <v>26781</v>
      </c>
      <c r="U3658" s="33" t="s">
        <v>26572</v>
      </c>
      <c r="V3658" s="33" t="s">
        <v>26571</v>
      </c>
      <c r="W3658" s="33" t="s">
        <v>94</v>
      </c>
      <c r="X3658" s="33">
        <v>1863</v>
      </c>
      <c r="Z3658" s="33" t="s">
        <v>42967</v>
      </c>
      <c r="AA3658" s="33">
        <v>4004</v>
      </c>
    </row>
    <row r="3659" spans="1:27" ht="12" customHeight="1" x14ac:dyDescent="0.15">
      <c r="A3659" s="33" t="s">
        <v>22738</v>
      </c>
      <c r="B3659" s="33">
        <v>25</v>
      </c>
      <c r="C3659" s="33" t="s">
        <v>14</v>
      </c>
      <c r="D3659" s="33" t="s">
        <v>79</v>
      </c>
      <c r="E3659" s="33" t="s">
        <v>22739</v>
      </c>
      <c r="F3659" s="67">
        <v>42619</v>
      </c>
      <c r="G3659" s="33" t="s">
        <v>22740</v>
      </c>
      <c r="H3659" s="33" t="s">
        <v>584</v>
      </c>
      <c r="I3659" s="33" t="s">
        <v>112</v>
      </c>
      <c r="J3659" s="33">
        <v>85008</v>
      </c>
      <c r="K3659" s="33" t="s">
        <v>585</v>
      </c>
      <c r="L3659" s="33" t="s">
        <v>586</v>
      </c>
      <c r="M3659" s="33" t="s">
        <v>21</v>
      </c>
      <c r="N3659" s="33" t="s">
        <v>22741</v>
      </c>
      <c r="O3659" s="33" t="s">
        <v>372</v>
      </c>
      <c r="P3659" s="33" t="s">
        <v>30089</v>
      </c>
      <c r="Q3659" s="40" t="s">
        <v>22742</v>
      </c>
      <c r="R3659" s="33" t="s">
        <v>512</v>
      </c>
      <c r="S3659" s="33" t="s">
        <v>22</v>
      </c>
      <c r="T3659" s="33" t="s">
        <v>28239</v>
      </c>
      <c r="U3659" s="33" t="s">
        <v>26572</v>
      </c>
      <c r="V3659" s="33" t="s">
        <v>26573</v>
      </c>
      <c r="W3659" s="33" t="s">
        <v>94</v>
      </c>
      <c r="X3659" s="33">
        <v>1868</v>
      </c>
      <c r="Z3659" s="33" t="s">
        <v>42968</v>
      </c>
      <c r="AA3659" s="33">
        <v>4006</v>
      </c>
    </row>
    <row r="3660" spans="1:27" ht="12" customHeight="1" x14ac:dyDescent="0.15">
      <c r="A3660" s="33" t="s">
        <v>22743</v>
      </c>
      <c r="B3660" s="33">
        <v>31</v>
      </c>
      <c r="C3660" s="33" t="s">
        <v>14</v>
      </c>
      <c r="D3660" s="33" t="s">
        <v>42</v>
      </c>
      <c r="E3660" s="33" t="s">
        <v>22744</v>
      </c>
      <c r="F3660" s="67">
        <v>42619</v>
      </c>
      <c r="G3660" s="33" t="s">
        <v>22745</v>
      </c>
      <c r="H3660" s="33" t="s">
        <v>3585</v>
      </c>
      <c r="I3660" s="33" t="s">
        <v>112</v>
      </c>
      <c r="J3660" s="33">
        <v>85283</v>
      </c>
      <c r="K3660" s="33" t="s">
        <v>585</v>
      </c>
      <c r="L3660" s="33" t="s">
        <v>586</v>
      </c>
      <c r="M3660" s="33" t="s">
        <v>21</v>
      </c>
      <c r="N3660" s="33" t="s">
        <v>22746</v>
      </c>
      <c r="O3660" s="33" t="s">
        <v>372</v>
      </c>
      <c r="P3660" s="33" t="s">
        <v>30089</v>
      </c>
      <c r="Q3660" s="40" t="s">
        <v>22747</v>
      </c>
      <c r="R3660" s="33" t="s">
        <v>94</v>
      </c>
      <c r="S3660" s="33" t="s">
        <v>29</v>
      </c>
      <c r="T3660" s="33" t="s">
        <v>26575</v>
      </c>
      <c r="U3660" s="33" t="s">
        <v>26575</v>
      </c>
      <c r="V3660" s="33" t="s">
        <v>26571</v>
      </c>
      <c r="W3660" s="33" t="s">
        <v>94</v>
      </c>
      <c r="X3660" s="33">
        <v>1864</v>
      </c>
      <c r="Z3660" s="33" t="s">
        <v>42966</v>
      </c>
      <c r="AA3660" s="33">
        <v>4007</v>
      </c>
    </row>
    <row r="3661" spans="1:27" ht="12" customHeight="1" x14ac:dyDescent="0.15">
      <c r="A3661" s="33" t="s">
        <v>22748</v>
      </c>
      <c r="B3661" s="33">
        <v>25</v>
      </c>
      <c r="C3661" s="33" t="s">
        <v>14</v>
      </c>
      <c r="D3661" s="33" t="s">
        <v>31</v>
      </c>
      <c r="F3661" s="67">
        <v>42619</v>
      </c>
      <c r="G3661" s="33" t="s">
        <v>22749</v>
      </c>
      <c r="H3661" s="33" t="s">
        <v>1522</v>
      </c>
      <c r="I3661" s="33" t="s">
        <v>432</v>
      </c>
      <c r="J3661" s="33">
        <v>68107</v>
      </c>
      <c r="K3661" s="33" t="s">
        <v>882</v>
      </c>
      <c r="L3661" s="33" t="s">
        <v>1524</v>
      </c>
      <c r="M3661" s="33" t="s">
        <v>21</v>
      </c>
      <c r="N3661" s="33" t="s">
        <v>22750</v>
      </c>
      <c r="O3661" s="33" t="s">
        <v>372</v>
      </c>
      <c r="P3661" s="33" t="s">
        <v>30089</v>
      </c>
      <c r="Q3661" s="40" t="s">
        <v>22751</v>
      </c>
      <c r="R3661" s="33" t="s">
        <v>94</v>
      </c>
      <c r="S3661" s="33" t="s">
        <v>351</v>
      </c>
      <c r="T3661" s="33" t="s">
        <v>26867</v>
      </c>
      <c r="U3661" s="33" t="s">
        <v>26570</v>
      </c>
      <c r="V3661" s="33" t="s">
        <v>19228</v>
      </c>
      <c r="W3661" s="33" t="s">
        <v>94</v>
      </c>
      <c r="X3661" s="33">
        <v>1862</v>
      </c>
      <c r="Z3661" s="33" t="s">
        <v>42966</v>
      </c>
      <c r="AA3661" s="33">
        <v>4008</v>
      </c>
    </row>
    <row r="3662" spans="1:27" ht="12" customHeight="1" x14ac:dyDescent="0.15">
      <c r="A3662" s="33" t="s">
        <v>22752</v>
      </c>
      <c r="B3662" s="33">
        <v>35</v>
      </c>
      <c r="C3662" s="33" t="s">
        <v>14</v>
      </c>
      <c r="D3662" s="33" t="s">
        <v>42</v>
      </c>
      <c r="F3662" s="67">
        <v>42618</v>
      </c>
      <c r="G3662" s="33" t="s">
        <v>26658</v>
      </c>
      <c r="H3662" s="33" t="s">
        <v>1227</v>
      </c>
      <c r="I3662" s="33" t="s">
        <v>67</v>
      </c>
      <c r="J3662" s="33" t="s">
        <v>19502</v>
      </c>
      <c r="K3662" s="33" t="s">
        <v>1228</v>
      </c>
      <c r="L3662" s="33" t="s">
        <v>1229</v>
      </c>
      <c r="M3662" s="33" t="s">
        <v>21</v>
      </c>
      <c r="N3662" s="33" t="s">
        <v>22753</v>
      </c>
      <c r="O3662" s="33" t="s">
        <v>372</v>
      </c>
      <c r="P3662" s="33" t="s">
        <v>30089</v>
      </c>
      <c r="Q3662" s="40" t="s">
        <v>22754</v>
      </c>
      <c r="R3662" s="33" t="s">
        <v>94</v>
      </c>
      <c r="S3662" s="33" t="s">
        <v>22</v>
      </c>
      <c r="T3662" s="33" t="s">
        <v>26781</v>
      </c>
      <c r="U3662" s="33" t="s">
        <v>26570</v>
      </c>
      <c r="V3662" s="33" t="s">
        <v>26573</v>
      </c>
      <c r="W3662" s="33" t="s">
        <v>94</v>
      </c>
      <c r="X3662" s="33">
        <v>1858</v>
      </c>
      <c r="Z3662" s="33" t="s">
        <v>42968</v>
      </c>
      <c r="AA3662" s="33">
        <v>4002</v>
      </c>
    </row>
    <row r="3663" spans="1:27" ht="12" customHeight="1" x14ac:dyDescent="0.15">
      <c r="A3663" s="33" t="s">
        <v>22755</v>
      </c>
      <c r="B3663" s="33">
        <v>36</v>
      </c>
      <c r="C3663" s="33" t="s">
        <v>14</v>
      </c>
      <c r="D3663" s="33" t="s">
        <v>79</v>
      </c>
      <c r="F3663" s="67">
        <v>42618</v>
      </c>
      <c r="G3663" s="33" t="s">
        <v>22756</v>
      </c>
      <c r="H3663" s="33" t="s">
        <v>22757</v>
      </c>
      <c r="I3663" s="33" t="s">
        <v>67</v>
      </c>
      <c r="J3663" s="33" t="s">
        <v>22758</v>
      </c>
      <c r="K3663" s="33" t="s">
        <v>1840</v>
      </c>
      <c r="L3663" s="33" t="s">
        <v>22759</v>
      </c>
      <c r="M3663" s="33" t="s">
        <v>21</v>
      </c>
      <c r="N3663" s="33" t="s">
        <v>22760</v>
      </c>
      <c r="O3663" s="33" t="s">
        <v>372</v>
      </c>
      <c r="P3663" s="33" t="s">
        <v>30089</v>
      </c>
      <c r="Q3663" s="40" t="s">
        <v>22761</v>
      </c>
      <c r="R3663" s="33" t="s">
        <v>94</v>
      </c>
      <c r="S3663" s="33" t="s">
        <v>351</v>
      </c>
      <c r="T3663" s="33" t="s">
        <v>26867</v>
      </c>
      <c r="U3663" s="33" t="s">
        <v>26572</v>
      </c>
      <c r="V3663" s="33" t="s">
        <v>26571</v>
      </c>
      <c r="W3663" s="33" t="s">
        <v>94</v>
      </c>
      <c r="X3663" s="33">
        <v>1851</v>
      </c>
      <c r="Z3663" s="33" t="s">
        <v>42968</v>
      </c>
      <c r="AA3663" s="33">
        <v>4003</v>
      </c>
    </row>
    <row r="3664" spans="1:27" ht="12" customHeight="1" x14ac:dyDescent="0.15">
      <c r="A3664" s="33" t="s">
        <v>22782</v>
      </c>
      <c r="B3664" s="33" t="s">
        <v>23</v>
      </c>
      <c r="C3664" s="33" t="s">
        <v>14</v>
      </c>
      <c r="D3664" s="33" t="s">
        <v>42</v>
      </c>
      <c r="F3664" s="67">
        <v>42617</v>
      </c>
      <c r="G3664" s="33" t="s">
        <v>22783</v>
      </c>
      <c r="H3664" s="33" t="s">
        <v>451</v>
      </c>
      <c r="I3664" s="33" t="s">
        <v>39</v>
      </c>
      <c r="J3664" s="33" t="s">
        <v>1930</v>
      </c>
      <c r="K3664" s="33" t="s">
        <v>92</v>
      </c>
      <c r="L3664" s="33" t="s">
        <v>452</v>
      </c>
      <c r="M3664" s="33" t="s">
        <v>21</v>
      </c>
      <c r="N3664" s="33" t="s">
        <v>22784</v>
      </c>
      <c r="O3664" s="33" t="s">
        <v>372</v>
      </c>
      <c r="P3664" s="33" t="s">
        <v>30089</v>
      </c>
      <c r="Q3664" s="40" t="s">
        <v>22785</v>
      </c>
      <c r="R3664" s="33" t="s">
        <v>512</v>
      </c>
      <c r="S3664" s="33" t="s">
        <v>22</v>
      </c>
      <c r="T3664" s="33" t="s">
        <v>26774</v>
      </c>
      <c r="U3664" s="33" t="s">
        <v>26570</v>
      </c>
      <c r="V3664" s="33" t="s">
        <v>26573</v>
      </c>
      <c r="W3664" s="33" t="s">
        <v>94</v>
      </c>
      <c r="X3664" s="33">
        <v>1852</v>
      </c>
      <c r="Z3664" s="33" t="s">
        <v>42966</v>
      </c>
      <c r="AA3664" s="33">
        <v>4000</v>
      </c>
    </row>
    <row r="3665" spans="1:27" ht="12" customHeight="1" x14ac:dyDescent="0.15">
      <c r="A3665" s="33" t="s">
        <v>22762</v>
      </c>
      <c r="B3665" s="33">
        <v>44</v>
      </c>
      <c r="C3665" s="33" t="s">
        <v>14</v>
      </c>
      <c r="D3665" s="33" t="s">
        <v>42</v>
      </c>
      <c r="F3665" s="67">
        <v>42617</v>
      </c>
      <c r="G3665" s="33" t="s">
        <v>22763</v>
      </c>
      <c r="H3665" s="33" t="s">
        <v>2129</v>
      </c>
      <c r="I3665" s="33" t="s">
        <v>192</v>
      </c>
      <c r="J3665" s="33" t="s">
        <v>2130</v>
      </c>
      <c r="K3665" s="33" t="s">
        <v>1337</v>
      </c>
      <c r="L3665" s="33" t="s">
        <v>2131</v>
      </c>
      <c r="M3665" s="33" t="s">
        <v>21</v>
      </c>
      <c r="N3665" s="33" t="s">
        <v>22764</v>
      </c>
      <c r="O3665" s="33" t="s">
        <v>372</v>
      </c>
      <c r="P3665" s="33" t="s">
        <v>30089</v>
      </c>
      <c r="Q3665" s="40" t="s">
        <v>22765</v>
      </c>
      <c r="R3665" s="33" t="s">
        <v>512</v>
      </c>
      <c r="S3665" s="33" t="s">
        <v>22</v>
      </c>
      <c r="T3665" s="33" t="s">
        <v>26774</v>
      </c>
      <c r="U3665" s="33" t="s">
        <v>26570</v>
      </c>
      <c r="V3665" s="33" t="s">
        <v>26573</v>
      </c>
      <c r="W3665" s="33" t="s">
        <v>94</v>
      </c>
      <c r="X3665" s="33">
        <v>1859</v>
      </c>
      <c r="Z3665" s="33" t="s">
        <v>42966</v>
      </c>
      <c r="AA3665" s="33">
        <v>4001</v>
      </c>
    </row>
    <row r="3666" spans="1:27" ht="12" customHeight="1" x14ac:dyDescent="0.15">
      <c r="A3666" s="33" t="s">
        <v>22786</v>
      </c>
      <c r="B3666" s="33">
        <v>25</v>
      </c>
      <c r="C3666" s="33" t="s">
        <v>14</v>
      </c>
      <c r="D3666" s="33" t="s">
        <v>31</v>
      </c>
      <c r="E3666" s="33" t="s">
        <v>23840</v>
      </c>
      <c r="F3666" s="67">
        <v>42616</v>
      </c>
      <c r="G3666" s="33" t="s">
        <v>22787</v>
      </c>
      <c r="H3666" s="33" t="s">
        <v>22788</v>
      </c>
      <c r="I3666" s="33" t="s">
        <v>282</v>
      </c>
      <c r="J3666" s="33" t="s">
        <v>11454</v>
      </c>
      <c r="K3666" s="33" t="s">
        <v>882</v>
      </c>
      <c r="L3666" s="33" t="s">
        <v>22789</v>
      </c>
      <c r="M3666" s="33" t="s">
        <v>21</v>
      </c>
      <c r="N3666" s="33" t="s">
        <v>22790</v>
      </c>
      <c r="O3666" s="33" t="s">
        <v>372</v>
      </c>
      <c r="P3666" s="33" t="s">
        <v>30089</v>
      </c>
      <c r="Q3666" s="40" t="s">
        <v>22791</v>
      </c>
      <c r="R3666" s="33" t="s">
        <v>94</v>
      </c>
      <c r="S3666" s="33" t="s">
        <v>29</v>
      </c>
      <c r="T3666" s="33" t="s">
        <v>26575</v>
      </c>
      <c r="U3666" s="33" t="s">
        <v>26575</v>
      </c>
      <c r="V3666" s="33" t="s">
        <v>26573</v>
      </c>
      <c r="W3666" s="33" t="s">
        <v>94</v>
      </c>
      <c r="X3666" s="33">
        <v>1855</v>
      </c>
      <c r="Z3666" s="33" t="s">
        <v>42967</v>
      </c>
      <c r="AA3666" s="33">
        <v>3999</v>
      </c>
    </row>
    <row r="3667" spans="1:27" ht="12" customHeight="1" x14ac:dyDescent="0.15">
      <c r="A3667" s="33" t="s">
        <v>22766</v>
      </c>
      <c r="B3667" s="33">
        <v>25</v>
      </c>
      <c r="C3667" s="33" t="s">
        <v>14</v>
      </c>
      <c r="D3667" s="33" t="s">
        <v>79</v>
      </c>
      <c r="F3667" s="67">
        <v>42616</v>
      </c>
      <c r="G3667" s="33" t="s">
        <v>22767</v>
      </c>
      <c r="H3667" s="33" t="s">
        <v>1309</v>
      </c>
      <c r="I3667" s="33" t="s">
        <v>75</v>
      </c>
      <c r="J3667" s="33" t="s">
        <v>6681</v>
      </c>
      <c r="K3667" s="33" t="s">
        <v>1310</v>
      </c>
      <c r="L3667" s="33" t="s">
        <v>1311</v>
      </c>
      <c r="M3667" s="33" t="s">
        <v>21</v>
      </c>
      <c r="N3667" s="33" t="s">
        <v>22768</v>
      </c>
      <c r="O3667" s="33" t="s">
        <v>372</v>
      </c>
      <c r="P3667" s="33" t="s">
        <v>30089</v>
      </c>
      <c r="Q3667" s="40" t="s">
        <v>22769</v>
      </c>
      <c r="R3667" s="33" t="s">
        <v>94</v>
      </c>
      <c r="S3667" s="33" t="s">
        <v>29</v>
      </c>
      <c r="T3667" s="33" t="s">
        <v>26575</v>
      </c>
      <c r="U3667" s="33" t="s">
        <v>26575</v>
      </c>
      <c r="V3667" s="33" t="s">
        <v>26574</v>
      </c>
      <c r="W3667" s="33" t="s">
        <v>94</v>
      </c>
      <c r="X3667" s="33">
        <v>1854</v>
      </c>
      <c r="Z3667" s="33" t="s">
        <v>42966</v>
      </c>
      <c r="AA3667" s="33">
        <v>3998</v>
      </c>
    </row>
    <row r="3668" spans="1:27" ht="12" customHeight="1" x14ac:dyDescent="0.15">
      <c r="A3668" s="33" t="s">
        <v>22775</v>
      </c>
      <c r="B3668" s="33">
        <v>27</v>
      </c>
      <c r="C3668" s="33" t="s">
        <v>14</v>
      </c>
      <c r="D3668" s="33" t="s">
        <v>42</v>
      </c>
      <c r="F3668" s="67">
        <v>42616</v>
      </c>
      <c r="G3668" s="33" t="s">
        <v>22776</v>
      </c>
      <c r="H3668" s="33" t="s">
        <v>22777</v>
      </c>
      <c r="I3668" s="33" t="s">
        <v>67</v>
      </c>
      <c r="J3668" s="33" t="s">
        <v>22778</v>
      </c>
      <c r="K3668" s="33" t="s">
        <v>7728</v>
      </c>
      <c r="L3668" s="33" t="s">
        <v>22779</v>
      </c>
      <c r="M3668" s="33" t="s">
        <v>21</v>
      </c>
      <c r="N3668" s="33" t="s">
        <v>22780</v>
      </c>
      <c r="O3668" s="33" t="s">
        <v>372</v>
      </c>
      <c r="P3668" s="33" t="s">
        <v>30089</v>
      </c>
      <c r="Q3668" s="40" t="s">
        <v>22781</v>
      </c>
      <c r="R3668" s="33" t="s">
        <v>94</v>
      </c>
      <c r="S3668" s="33" t="s">
        <v>22</v>
      </c>
      <c r="T3668" s="33" t="s">
        <v>26781</v>
      </c>
      <c r="U3668" s="33" t="s">
        <v>26572</v>
      </c>
      <c r="V3668" s="33" t="s">
        <v>26571</v>
      </c>
      <c r="W3668" s="33" t="s">
        <v>94</v>
      </c>
      <c r="X3668" s="33">
        <v>1861</v>
      </c>
      <c r="Z3668" s="33" t="s">
        <v>42968</v>
      </c>
      <c r="AA3668" s="33">
        <v>3997</v>
      </c>
    </row>
    <row r="3669" spans="1:27" ht="12" customHeight="1" x14ac:dyDescent="0.15">
      <c r="A3669" s="33" t="s">
        <v>22770</v>
      </c>
      <c r="B3669" s="33">
        <v>36</v>
      </c>
      <c r="C3669" s="33" t="s">
        <v>14</v>
      </c>
      <c r="D3669" s="33" t="s">
        <v>31</v>
      </c>
      <c r="F3669" s="67">
        <v>42616</v>
      </c>
      <c r="G3669" s="33" t="s">
        <v>22771</v>
      </c>
      <c r="H3669" s="33" t="s">
        <v>22772</v>
      </c>
      <c r="I3669" s="33" t="s">
        <v>38</v>
      </c>
      <c r="J3669" s="33" t="s">
        <v>2880</v>
      </c>
      <c r="K3669" s="33" t="s">
        <v>2881</v>
      </c>
      <c r="L3669" s="33" t="s">
        <v>20024</v>
      </c>
      <c r="M3669" s="33" t="s">
        <v>21</v>
      </c>
      <c r="N3669" s="33" t="s">
        <v>22773</v>
      </c>
      <c r="O3669" s="33" t="s">
        <v>372</v>
      </c>
      <c r="P3669" s="33" t="s">
        <v>30089</v>
      </c>
      <c r="Q3669" s="40" t="s">
        <v>22774</v>
      </c>
      <c r="R3669" s="33" t="s">
        <v>94</v>
      </c>
      <c r="S3669" s="33" t="s">
        <v>22</v>
      </c>
      <c r="T3669" s="33" t="s">
        <v>26781</v>
      </c>
      <c r="U3669" s="33" t="s">
        <v>26575</v>
      </c>
      <c r="V3669" s="33" t="s">
        <v>19228</v>
      </c>
      <c r="W3669" s="33" t="s">
        <v>94</v>
      </c>
      <c r="X3669" s="33">
        <v>1860</v>
      </c>
      <c r="Z3669" s="33" t="s">
        <v>42967</v>
      </c>
      <c r="AA3669" s="33">
        <v>3996</v>
      </c>
    </row>
    <row r="3670" spans="1:27" ht="12" customHeight="1" x14ac:dyDescent="0.15">
      <c r="A3670" s="33" t="s">
        <v>22808</v>
      </c>
      <c r="B3670" s="33">
        <v>22</v>
      </c>
      <c r="C3670" s="33" t="s">
        <v>14</v>
      </c>
      <c r="D3670" s="33" t="s">
        <v>31</v>
      </c>
      <c r="F3670" s="67">
        <v>42615</v>
      </c>
      <c r="G3670" s="33" t="s">
        <v>26659</v>
      </c>
      <c r="H3670" s="33" t="s">
        <v>22809</v>
      </c>
      <c r="I3670" s="33" t="s">
        <v>38</v>
      </c>
      <c r="J3670" s="33" t="s">
        <v>22810</v>
      </c>
      <c r="K3670" s="33" t="s">
        <v>1179</v>
      </c>
      <c r="L3670" s="33" t="s">
        <v>22811</v>
      </c>
      <c r="M3670" s="33" t="s">
        <v>21</v>
      </c>
      <c r="N3670" s="33" t="s">
        <v>22812</v>
      </c>
      <c r="O3670" s="33" t="s">
        <v>372</v>
      </c>
      <c r="P3670" s="33" t="s">
        <v>30089</v>
      </c>
      <c r="Q3670" s="40" t="s">
        <v>22813</v>
      </c>
      <c r="R3670" s="33" t="s">
        <v>23</v>
      </c>
      <c r="S3670" s="33" t="s">
        <v>22</v>
      </c>
      <c r="T3670" s="33" t="s">
        <v>26598</v>
      </c>
      <c r="U3670" s="33" t="s">
        <v>26570</v>
      </c>
      <c r="V3670" s="33" t="s">
        <v>26573</v>
      </c>
      <c r="W3670" s="33" t="s">
        <v>94</v>
      </c>
      <c r="X3670" s="33">
        <v>1853</v>
      </c>
      <c r="Z3670" s="33" t="s">
        <v>42968</v>
      </c>
      <c r="AA3670" s="33">
        <v>3992</v>
      </c>
    </row>
    <row r="3671" spans="1:27" ht="12" customHeight="1" x14ac:dyDescent="0.15">
      <c r="A3671" s="33" t="s">
        <v>14814</v>
      </c>
      <c r="B3671" s="33">
        <v>38</v>
      </c>
      <c r="C3671" s="33" t="s">
        <v>14</v>
      </c>
      <c r="D3671" s="33" t="s">
        <v>42</v>
      </c>
      <c r="E3671" s="33" t="s">
        <v>22796</v>
      </c>
      <c r="F3671" s="67">
        <v>42615</v>
      </c>
      <c r="G3671" s="33" t="s">
        <v>22797</v>
      </c>
      <c r="H3671" s="33" t="s">
        <v>22798</v>
      </c>
      <c r="I3671" s="33" t="s">
        <v>178</v>
      </c>
      <c r="J3671" s="33" t="s">
        <v>22799</v>
      </c>
      <c r="K3671" s="33" t="s">
        <v>6147</v>
      </c>
      <c r="L3671" s="33" t="s">
        <v>22800</v>
      </c>
      <c r="M3671" s="33" t="s">
        <v>21</v>
      </c>
      <c r="N3671" s="33" t="s">
        <v>22801</v>
      </c>
      <c r="O3671" s="33" t="s">
        <v>372</v>
      </c>
      <c r="P3671" s="33" t="s">
        <v>30089</v>
      </c>
      <c r="Q3671" s="40" t="s">
        <v>22802</v>
      </c>
      <c r="R3671" s="33" t="s">
        <v>94</v>
      </c>
      <c r="S3671" s="33" t="s">
        <v>22</v>
      </c>
      <c r="T3671" s="33" t="s">
        <v>26781</v>
      </c>
      <c r="U3671" s="33" t="s">
        <v>26572</v>
      </c>
      <c r="V3671" s="33" t="s">
        <v>26574</v>
      </c>
      <c r="W3671" s="33" t="s">
        <v>512</v>
      </c>
      <c r="X3671" s="33">
        <v>1849</v>
      </c>
      <c r="Z3671" s="33" t="s">
        <v>42968</v>
      </c>
      <c r="AA3671" s="33">
        <v>3993</v>
      </c>
    </row>
    <row r="3672" spans="1:27" ht="12" customHeight="1" x14ac:dyDescent="0.15">
      <c r="A3672" s="33" t="s">
        <v>22803</v>
      </c>
      <c r="B3672" s="33">
        <v>40</v>
      </c>
      <c r="C3672" s="33" t="s">
        <v>14</v>
      </c>
      <c r="D3672" s="33" t="s">
        <v>31</v>
      </c>
      <c r="F3672" s="67">
        <v>42615</v>
      </c>
      <c r="G3672" s="33" t="s">
        <v>22804</v>
      </c>
      <c r="H3672" s="33" t="s">
        <v>1517</v>
      </c>
      <c r="I3672" s="33" t="s">
        <v>192</v>
      </c>
      <c r="J3672" s="33" t="s">
        <v>22805</v>
      </c>
      <c r="K3672" s="33" t="s">
        <v>882</v>
      </c>
      <c r="L3672" s="33" t="s">
        <v>1524</v>
      </c>
      <c r="M3672" s="33" t="s">
        <v>21</v>
      </c>
      <c r="N3672" s="33" t="s">
        <v>22806</v>
      </c>
      <c r="O3672" s="33" t="s">
        <v>372</v>
      </c>
      <c r="P3672" s="33" t="s">
        <v>30089</v>
      </c>
      <c r="Q3672" s="40" t="s">
        <v>22807</v>
      </c>
      <c r="R3672" s="33" t="s">
        <v>512</v>
      </c>
      <c r="S3672" s="33" t="s">
        <v>22</v>
      </c>
      <c r="T3672" s="33" t="s">
        <v>26781</v>
      </c>
      <c r="U3672" s="33" t="s">
        <v>26572</v>
      </c>
      <c r="V3672" s="33" t="s">
        <v>26571</v>
      </c>
      <c r="W3672" s="33" t="s">
        <v>512</v>
      </c>
      <c r="X3672" s="33">
        <v>1850</v>
      </c>
      <c r="Z3672" s="33" t="s">
        <v>42968</v>
      </c>
      <c r="AA3672" s="33">
        <v>3994</v>
      </c>
    </row>
    <row r="3673" spans="1:27" ht="12" customHeight="1" x14ac:dyDescent="0.15">
      <c r="A3673" s="33" t="s">
        <v>22792</v>
      </c>
      <c r="B3673" s="33">
        <v>38</v>
      </c>
      <c r="C3673" s="33" t="s">
        <v>14</v>
      </c>
      <c r="D3673" s="33" t="s">
        <v>79</v>
      </c>
      <c r="F3673" s="67">
        <v>42615</v>
      </c>
      <c r="G3673" s="33" t="s">
        <v>22793</v>
      </c>
      <c r="H3673" s="33" t="s">
        <v>661</v>
      </c>
      <c r="I3673" s="33" t="s">
        <v>402</v>
      </c>
      <c r="J3673" s="33" t="s">
        <v>7081</v>
      </c>
      <c r="K3673" s="33" t="s">
        <v>661</v>
      </c>
      <c r="L3673" s="33" t="s">
        <v>4162</v>
      </c>
      <c r="M3673" s="33" t="s">
        <v>21</v>
      </c>
      <c r="N3673" s="33" t="s">
        <v>22794</v>
      </c>
      <c r="O3673" s="33" t="s">
        <v>372</v>
      </c>
      <c r="P3673" s="33" t="s">
        <v>30089</v>
      </c>
      <c r="Q3673" s="40" t="s">
        <v>22795</v>
      </c>
      <c r="R3673" s="33" t="s">
        <v>94</v>
      </c>
      <c r="S3673" s="33" t="s">
        <v>22</v>
      </c>
      <c r="T3673" s="33" t="s">
        <v>26781</v>
      </c>
      <c r="U3673" s="33" t="s">
        <v>26572</v>
      </c>
      <c r="V3673" s="33" t="s">
        <v>19228</v>
      </c>
      <c r="W3673" s="33" t="s">
        <v>94</v>
      </c>
      <c r="X3673" s="33">
        <v>1856</v>
      </c>
      <c r="Z3673" s="33" t="s">
        <v>42966</v>
      </c>
      <c r="AA3673" s="33">
        <v>3995</v>
      </c>
    </row>
    <row r="3674" spans="1:27" ht="12" customHeight="1" x14ac:dyDescent="0.15">
      <c r="A3674" s="33" t="s">
        <v>3002</v>
      </c>
      <c r="B3674" s="33" t="s">
        <v>23</v>
      </c>
      <c r="C3674" s="33" t="s">
        <v>14</v>
      </c>
      <c r="D3674" s="33" t="s">
        <v>42</v>
      </c>
      <c r="F3674" s="67">
        <v>42614</v>
      </c>
      <c r="G3674" s="33" t="s">
        <v>22823</v>
      </c>
      <c r="H3674" s="33" t="s">
        <v>22824</v>
      </c>
      <c r="I3674" s="33" t="s">
        <v>39</v>
      </c>
      <c r="J3674" s="33" t="s">
        <v>22825</v>
      </c>
      <c r="K3674" s="33" t="s">
        <v>92</v>
      </c>
      <c r="L3674" s="33" t="s">
        <v>22826</v>
      </c>
      <c r="M3674" s="33" t="s">
        <v>4966</v>
      </c>
      <c r="N3674" s="33" t="s">
        <v>22827</v>
      </c>
      <c r="O3674" s="33" t="s">
        <v>372</v>
      </c>
      <c r="P3674" s="33" t="s">
        <v>30089</v>
      </c>
      <c r="Q3674" s="40" t="s">
        <v>22828</v>
      </c>
      <c r="R3674" s="33" t="s">
        <v>23</v>
      </c>
      <c r="S3674" s="33" t="s">
        <v>22</v>
      </c>
      <c r="T3674" s="33" t="s">
        <v>26579</v>
      </c>
      <c r="U3674" s="33" t="s">
        <v>26570</v>
      </c>
      <c r="V3674" s="33" t="s">
        <v>26573</v>
      </c>
      <c r="W3674" s="33" t="s">
        <v>94</v>
      </c>
      <c r="X3674" s="33">
        <v>1848</v>
      </c>
      <c r="Z3674" s="33" t="s">
        <v>42966</v>
      </c>
      <c r="AA3674" s="33">
        <v>3990</v>
      </c>
    </row>
    <row r="3675" spans="1:27" ht="12" customHeight="1" x14ac:dyDescent="0.15">
      <c r="A3675" s="33" t="s">
        <v>22817</v>
      </c>
      <c r="B3675" s="33">
        <v>18</v>
      </c>
      <c r="C3675" s="33" t="s">
        <v>14</v>
      </c>
      <c r="D3675" s="33" t="s">
        <v>31</v>
      </c>
      <c r="F3675" s="67">
        <v>42614</v>
      </c>
      <c r="G3675" s="33" t="s">
        <v>22818</v>
      </c>
      <c r="H3675" s="33" t="s">
        <v>635</v>
      </c>
      <c r="I3675" s="33" t="s">
        <v>337</v>
      </c>
      <c r="J3675" s="33" t="s">
        <v>22819</v>
      </c>
      <c r="K3675" s="33" t="s">
        <v>636</v>
      </c>
      <c r="L3675" s="33" t="s">
        <v>22820</v>
      </c>
      <c r="M3675" s="33" t="s">
        <v>21</v>
      </c>
      <c r="N3675" s="33" t="s">
        <v>22821</v>
      </c>
      <c r="O3675" s="33" t="s">
        <v>372</v>
      </c>
      <c r="P3675" s="33" t="s">
        <v>30089</v>
      </c>
      <c r="Q3675" s="40" t="s">
        <v>22822</v>
      </c>
      <c r="R3675" s="33" t="s">
        <v>904</v>
      </c>
      <c r="S3675" s="33" t="s">
        <v>22</v>
      </c>
      <c r="T3675" s="33" t="s">
        <v>26781</v>
      </c>
      <c r="U3675" s="33" t="s">
        <v>26570</v>
      </c>
      <c r="V3675" s="33" t="s">
        <v>26571</v>
      </c>
      <c r="W3675" s="33" t="s">
        <v>512</v>
      </c>
      <c r="X3675" s="33">
        <v>1843</v>
      </c>
      <c r="Z3675" s="33" t="s">
        <v>42968</v>
      </c>
      <c r="AA3675" s="33">
        <v>3988</v>
      </c>
    </row>
    <row r="3676" spans="1:27" ht="12" customHeight="1" x14ac:dyDescent="0.15">
      <c r="A3676" s="33" t="s">
        <v>22814</v>
      </c>
      <c r="B3676" s="33">
        <v>23</v>
      </c>
      <c r="C3676" s="33" t="s">
        <v>14</v>
      </c>
      <c r="D3676" s="33" t="s">
        <v>42</v>
      </c>
      <c r="F3676" s="67">
        <v>42614</v>
      </c>
      <c r="G3676" s="33" t="s">
        <v>26660</v>
      </c>
      <c r="H3676" s="33" t="s">
        <v>92</v>
      </c>
      <c r="I3676" s="33" t="s">
        <v>39</v>
      </c>
      <c r="J3676" s="33" t="s">
        <v>15013</v>
      </c>
      <c r="K3676" s="33" t="s">
        <v>92</v>
      </c>
      <c r="L3676" s="33" t="s">
        <v>386</v>
      </c>
      <c r="M3676" s="33" t="s">
        <v>21</v>
      </c>
      <c r="N3676" s="33" t="s">
        <v>22815</v>
      </c>
      <c r="O3676" s="33" t="s">
        <v>372</v>
      </c>
      <c r="P3676" s="33" t="s">
        <v>30089</v>
      </c>
      <c r="Q3676" s="40" t="s">
        <v>22816</v>
      </c>
      <c r="R3676" s="33" t="s">
        <v>94</v>
      </c>
      <c r="S3676" s="33" t="s">
        <v>22</v>
      </c>
      <c r="T3676" s="33" t="s">
        <v>26781</v>
      </c>
      <c r="U3676" s="33" t="s">
        <v>26570</v>
      </c>
      <c r="V3676" s="33" t="s">
        <v>26574</v>
      </c>
      <c r="W3676" s="33" t="s">
        <v>94</v>
      </c>
      <c r="X3676" s="33">
        <v>1847</v>
      </c>
      <c r="Z3676" s="33" t="s">
        <v>42966</v>
      </c>
      <c r="AA3676" s="33">
        <v>3989</v>
      </c>
    </row>
    <row r="3677" spans="1:27" ht="12" customHeight="1" x14ac:dyDescent="0.15">
      <c r="A3677" s="33" t="s">
        <v>22829</v>
      </c>
      <c r="B3677" s="33">
        <v>60</v>
      </c>
      <c r="C3677" s="33" t="s">
        <v>14</v>
      </c>
      <c r="D3677" s="33" t="s">
        <v>31</v>
      </c>
      <c r="F3677" s="67">
        <v>42614</v>
      </c>
      <c r="G3677" s="33" t="s">
        <v>22830</v>
      </c>
      <c r="H3677" s="33" t="s">
        <v>720</v>
      </c>
      <c r="I3677" s="33" t="s">
        <v>63</v>
      </c>
      <c r="J3677" s="33" t="s">
        <v>22831</v>
      </c>
      <c r="K3677" s="33" t="s">
        <v>721</v>
      </c>
      <c r="L3677" s="33" t="s">
        <v>22832</v>
      </c>
      <c r="M3677" s="33" t="s">
        <v>21</v>
      </c>
      <c r="N3677" s="33" t="s">
        <v>22833</v>
      </c>
      <c r="O3677" s="33" t="s">
        <v>372</v>
      </c>
      <c r="P3677" s="33" t="s">
        <v>30089</v>
      </c>
      <c r="Q3677" s="40" t="s">
        <v>22834</v>
      </c>
      <c r="R3677" s="33" t="s">
        <v>512</v>
      </c>
      <c r="S3677" s="33" t="s">
        <v>351</v>
      </c>
      <c r="T3677" s="33" t="s">
        <v>26867</v>
      </c>
      <c r="U3677" s="33" t="s">
        <v>26570</v>
      </c>
      <c r="V3677" s="33" t="s">
        <v>26573</v>
      </c>
      <c r="W3677" s="33" t="s">
        <v>94</v>
      </c>
      <c r="X3677" s="33">
        <v>1839</v>
      </c>
      <c r="Z3677" s="33" t="s">
        <v>42966</v>
      </c>
      <c r="AA3677" s="33">
        <v>3991</v>
      </c>
    </row>
    <row r="3678" spans="1:27" ht="12" customHeight="1" x14ac:dyDescent="0.15">
      <c r="A3678" s="33" t="s">
        <v>22835</v>
      </c>
      <c r="B3678" s="33">
        <v>21</v>
      </c>
      <c r="C3678" s="33" t="s">
        <v>14</v>
      </c>
      <c r="D3678" s="33" t="s">
        <v>31</v>
      </c>
      <c r="E3678" s="33" t="s">
        <v>22836</v>
      </c>
      <c r="F3678" s="67">
        <v>42613</v>
      </c>
      <c r="G3678" s="33" t="s">
        <v>26661</v>
      </c>
      <c r="H3678" s="33" t="s">
        <v>1212</v>
      </c>
      <c r="I3678" s="33" t="s">
        <v>192</v>
      </c>
      <c r="J3678" s="33" t="s">
        <v>22837</v>
      </c>
      <c r="K3678" s="33" t="s">
        <v>1212</v>
      </c>
      <c r="L3678" s="33" t="s">
        <v>1213</v>
      </c>
      <c r="M3678" s="33" t="s">
        <v>21</v>
      </c>
      <c r="N3678" s="33" t="s">
        <v>22838</v>
      </c>
      <c r="O3678" s="33" t="s">
        <v>372</v>
      </c>
      <c r="P3678" s="33" t="s">
        <v>30089</v>
      </c>
      <c r="Q3678" s="40" t="s">
        <v>22839</v>
      </c>
      <c r="R3678" s="33" t="s">
        <v>94</v>
      </c>
      <c r="S3678" s="33" t="s">
        <v>12</v>
      </c>
      <c r="T3678" s="33" t="s">
        <v>29705</v>
      </c>
      <c r="U3678" s="33" t="s">
        <v>26572</v>
      </c>
      <c r="V3678" s="33" t="s">
        <v>26574</v>
      </c>
      <c r="W3678" s="33" t="s">
        <v>94</v>
      </c>
      <c r="X3678" s="33">
        <v>1841</v>
      </c>
      <c r="Z3678" s="33" t="s">
        <v>42968</v>
      </c>
      <c r="AA3678" s="33">
        <v>3986</v>
      </c>
    </row>
    <row r="3679" spans="1:27" ht="12" customHeight="1" x14ac:dyDescent="0.15">
      <c r="A3679" s="33" t="s">
        <v>22840</v>
      </c>
      <c r="B3679" s="33">
        <v>38</v>
      </c>
      <c r="C3679" s="33" t="s">
        <v>14</v>
      </c>
      <c r="D3679" s="33" t="s">
        <v>31</v>
      </c>
      <c r="F3679" s="67">
        <v>42613</v>
      </c>
      <c r="G3679" s="33" t="s">
        <v>22841</v>
      </c>
      <c r="H3679" s="33" t="s">
        <v>9567</v>
      </c>
      <c r="I3679" s="33" t="s">
        <v>402</v>
      </c>
      <c r="J3679" s="33">
        <v>65769</v>
      </c>
      <c r="K3679" s="33" t="s">
        <v>8400</v>
      </c>
      <c r="L3679" s="33" t="s">
        <v>28124</v>
      </c>
      <c r="M3679" s="33" t="s">
        <v>21</v>
      </c>
      <c r="N3679" s="33" t="s">
        <v>22842</v>
      </c>
      <c r="O3679" s="33" t="s">
        <v>372</v>
      </c>
      <c r="P3679" s="33" t="s">
        <v>30089</v>
      </c>
      <c r="Q3679" s="40" t="s">
        <v>22843</v>
      </c>
      <c r="R3679" s="33" t="s">
        <v>94</v>
      </c>
      <c r="S3679" s="33" t="s">
        <v>351</v>
      </c>
      <c r="T3679" s="33" t="s">
        <v>26867</v>
      </c>
      <c r="U3679" s="33" t="s">
        <v>26570</v>
      </c>
      <c r="V3679" s="33" t="s">
        <v>26571</v>
      </c>
      <c r="W3679" s="33" t="s">
        <v>94</v>
      </c>
      <c r="X3679" s="33">
        <v>1870</v>
      </c>
      <c r="Z3679" s="33" t="s">
        <v>42967</v>
      </c>
      <c r="AA3679" s="33">
        <v>3987</v>
      </c>
    </row>
    <row r="3680" spans="1:27" ht="12" customHeight="1" x14ac:dyDescent="0.15">
      <c r="A3680" s="33" t="s">
        <v>22856</v>
      </c>
      <c r="B3680" s="33">
        <v>22</v>
      </c>
      <c r="C3680" s="33" t="s">
        <v>14</v>
      </c>
      <c r="D3680" s="33" t="s">
        <v>79</v>
      </c>
      <c r="E3680" s="33" t="s">
        <v>22857</v>
      </c>
      <c r="F3680" s="67">
        <v>42612</v>
      </c>
      <c r="G3680" s="33" t="s">
        <v>22858</v>
      </c>
      <c r="H3680" s="33" t="s">
        <v>1463</v>
      </c>
      <c r="I3680" s="33" t="s">
        <v>56</v>
      </c>
      <c r="J3680" s="33" t="s">
        <v>22859</v>
      </c>
      <c r="K3680" s="33" t="s">
        <v>590</v>
      </c>
      <c r="L3680" s="33" t="s">
        <v>591</v>
      </c>
      <c r="M3680" s="33" t="s">
        <v>21</v>
      </c>
      <c r="N3680" s="33" t="s">
        <v>22860</v>
      </c>
      <c r="O3680" s="33" t="s">
        <v>372</v>
      </c>
      <c r="P3680" s="33" t="s">
        <v>30089</v>
      </c>
      <c r="Q3680" s="40" t="s">
        <v>22861</v>
      </c>
      <c r="R3680" s="33" t="s">
        <v>94</v>
      </c>
      <c r="S3680" s="33" t="s">
        <v>12</v>
      </c>
      <c r="T3680" s="33" t="s">
        <v>29705</v>
      </c>
      <c r="U3680" s="33" t="s">
        <v>26575</v>
      </c>
      <c r="V3680" s="33" t="s">
        <v>26573</v>
      </c>
      <c r="W3680" s="33" t="s">
        <v>94</v>
      </c>
      <c r="X3680" s="33">
        <v>1827</v>
      </c>
      <c r="Z3680" s="33" t="s">
        <v>42968</v>
      </c>
      <c r="AA3680" s="33">
        <v>3985</v>
      </c>
    </row>
    <row r="3681" spans="1:27" ht="12" customHeight="1" x14ac:dyDescent="0.15">
      <c r="A3681" s="33" t="s">
        <v>22867</v>
      </c>
      <c r="B3681" s="33">
        <v>59</v>
      </c>
      <c r="C3681" s="33" t="s">
        <v>14</v>
      </c>
      <c r="D3681" s="33" t="s">
        <v>31</v>
      </c>
      <c r="F3681" s="67">
        <v>42612</v>
      </c>
      <c r="G3681" s="33" t="s">
        <v>26662</v>
      </c>
      <c r="H3681" s="33" t="s">
        <v>22868</v>
      </c>
      <c r="I3681" s="33" t="s">
        <v>67</v>
      </c>
      <c r="J3681" s="33" t="s">
        <v>22869</v>
      </c>
      <c r="K3681" s="33" t="s">
        <v>7728</v>
      </c>
      <c r="L3681" s="33" t="s">
        <v>22870</v>
      </c>
      <c r="M3681" s="33" t="s">
        <v>21</v>
      </c>
      <c r="N3681" s="33" t="s">
        <v>22871</v>
      </c>
      <c r="O3681" s="33" t="s">
        <v>372</v>
      </c>
      <c r="P3681" s="33" t="s">
        <v>30089</v>
      </c>
      <c r="Q3681" s="40" t="s">
        <v>22872</v>
      </c>
      <c r="R3681" s="33" t="s">
        <v>94</v>
      </c>
      <c r="S3681" s="33" t="s">
        <v>22</v>
      </c>
      <c r="T3681" s="33" t="s">
        <v>26781</v>
      </c>
      <c r="U3681" s="33" t="s">
        <v>26572</v>
      </c>
      <c r="V3681" s="33" t="s">
        <v>19228</v>
      </c>
      <c r="W3681" s="33" t="s">
        <v>94</v>
      </c>
      <c r="X3681" s="33">
        <v>1828</v>
      </c>
      <c r="Z3681" s="33" t="s">
        <v>42968</v>
      </c>
      <c r="AA3681" s="33">
        <v>3983</v>
      </c>
    </row>
    <row r="3682" spans="1:27" ht="12" customHeight="1" x14ac:dyDescent="0.15">
      <c r="A3682" s="33" t="s">
        <v>22851</v>
      </c>
      <c r="B3682" s="33">
        <v>36</v>
      </c>
      <c r="C3682" s="33" t="s">
        <v>14</v>
      </c>
      <c r="D3682" s="33" t="s">
        <v>31</v>
      </c>
      <c r="E3682" s="33" t="s">
        <v>22852</v>
      </c>
      <c r="F3682" s="67">
        <v>42612</v>
      </c>
      <c r="G3682" s="33" t="s">
        <v>22853</v>
      </c>
      <c r="H3682" s="33" t="s">
        <v>1515</v>
      </c>
      <c r="I3682" s="33" t="s">
        <v>67</v>
      </c>
      <c r="J3682" s="33" t="s">
        <v>20822</v>
      </c>
      <c r="K3682" s="33" t="s">
        <v>1517</v>
      </c>
      <c r="L3682" s="33" t="s">
        <v>1518</v>
      </c>
      <c r="M3682" s="33" t="s">
        <v>4966</v>
      </c>
      <c r="N3682" s="33" t="s">
        <v>22854</v>
      </c>
      <c r="O3682" s="33" t="s">
        <v>372</v>
      </c>
      <c r="P3682" s="33" t="s">
        <v>30089</v>
      </c>
      <c r="Q3682" s="40" t="s">
        <v>22855</v>
      </c>
      <c r="R3682" s="33" t="s">
        <v>94</v>
      </c>
      <c r="S3682" s="33" t="s">
        <v>22</v>
      </c>
      <c r="T3682" s="33" t="s">
        <v>26774</v>
      </c>
      <c r="U3682" s="33" t="s">
        <v>26570</v>
      </c>
      <c r="V3682" s="33" t="s">
        <v>26573</v>
      </c>
      <c r="W3682" s="33" t="s">
        <v>94</v>
      </c>
      <c r="X3682" s="33">
        <v>1830</v>
      </c>
      <c r="Z3682" s="33" t="s">
        <v>42967</v>
      </c>
      <c r="AA3682" s="33">
        <v>3984</v>
      </c>
    </row>
    <row r="3683" spans="1:27" ht="12" customHeight="1" x14ac:dyDescent="0.15">
      <c r="A3683" s="33" t="s">
        <v>22862</v>
      </c>
      <c r="B3683" s="33">
        <v>36</v>
      </c>
      <c r="C3683" s="33" t="s">
        <v>14</v>
      </c>
      <c r="D3683" s="33" t="s">
        <v>31</v>
      </c>
      <c r="F3683" s="67">
        <v>42612</v>
      </c>
      <c r="G3683" s="33" t="s">
        <v>22863</v>
      </c>
      <c r="H3683" s="33" t="s">
        <v>22864</v>
      </c>
      <c r="I3683" s="33" t="s">
        <v>282</v>
      </c>
      <c r="J3683" s="33" t="s">
        <v>22865</v>
      </c>
      <c r="K3683" s="33" t="s">
        <v>827</v>
      </c>
      <c r="L3683" s="33" t="s">
        <v>9926</v>
      </c>
      <c r="M3683" s="33" t="s">
        <v>4966</v>
      </c>
      <c r="N3683" s="33" t="s">
        <v>36676</v>
      </c>
      <c r="O3683" s="33" t="s">
        <v>372</v>
      </c>
      <c r="P3683" s="33" t="s">
        <v>30089</v>
      </c>
      <c r="Q3683" s="40" t="s">
        <v>22866</v>
      </c>
      <c r="R3683" s="33" t="s">
        <v>512</v>
      </c>
      <c r="S3683" s="33" t="s">
        <v>22</v>
      </c>
      <c r="T3683" s="33" t="s">
        <v>26599</v>
      </c>
      <c r="U3683" s="33" t="s">
        <v>26572</v>
      </c>
      <c r="V3683" s="33" t="s">
        <v>26573</v>
      </c>
      <c r="W3683" s="33" t="s">
        <v>94</v>
      </c>
      <c r="X3683" s="33">
        <v>1825</v>
      </c>
      <c r="Z3683" s="33" t="s">
        <v>42968</v>
      </c>
      <c r="AA3683" s="33">
        <v>3982</v>
      </c>
    </row>
    <row r="3684" spans="1:27" ht="12" customHeight="1" x14ac:dyDescent="0.15">
      <c r="A3684" s="33" t="s">
        <v>22878</v>
      </c>
      <c r="B3684" s="33">
        <v>35</v>
      </c>
      <c r="C3684" s="33" t="s">
        <v>103</v>
      </c>
      <c r="D3684" s="33" t="s">
        <v>31</v>
      </c>
      <c r="E3684" s="33" t="s">
        <v>23845</v>
      </c>
      <c r="F3684" s="67">
        <v>42611</v>
      </c>
      <c r="G3684" s="33" t="s">
        <v>22879</v>
      </c>
      <c r="H3684" s="33" t="s">
        <v>3413</v>
      </c>
      <c r="I3684" s="33" t="s">
        <v>112</v>
      </c>
      <c r="J3684" s="33" t="s">
        <v>3414</v>
      </c>
      <c r="K3684" s="33" t="s">
        <v>5363</v>
      </c>
      <c r="L3684" s="33" t="s">
        <v>22880</v>
      </c>
      <c r="M3684" s="33" t="s">
        <v>21</v>
      </c>
      <c r="N3684" s="33" t="s">
        <v>22881</v>
      </c>
      <c r="O3684" s="33" t="s">
        <v>372</v>
      </c>
      <c r="P3684" s="33" t="s">
        <v>30089</v>
      </c>
      <c r="Q3684" s="40" t="s">
        <v>22882</v>
      </c>
      <c r="R3684" s="33" t="s">
        <v>94</v>
      </c>
      <c r="S3684" s="33" t="s">
        <v>22</v>
      </c>
      <c r="T3684" s="33" t="s">
        <v>26781</v>
      </c>
      <c r="U3684" s="33" t="s">
        <v>26572</v>
      </c>
      <c r="V3684" s="33" t="s">
        <v>26573</v>
      </c>
      <c r="W3684" s="33" t="s">
        <v>94</v>
      </c>
      <c r="X3684" s="33">
        <v>1826</v>
      </c>
      <c r="Z3684" s="33" t="s">
        <v>42968</v>
      </c>
      <c r="AA3684" s="33">
        <v>3979</v>
      </c>
    </row>
    <row r="3685" spans="1:27" ht="12" customHeight="1" x14ac:dyDescent="0.15">
      <c r="A3685" s="33" t="s">
        <v>22844</v>
      </c>
      <c r="B3685" s="33">
        <v>28</v>
      </c>
      <c r="C3685" s="33" t="s">
        <v>14</v>
      </c>
      <c r="D3685" s="33" t="s">
        <v>31</v>
      </c>
      <c r="E3685" s="33" t="s">
        <v>22845</v>
      </c>
      <c r="F3685" s="67">
        <v>42611</v>
      </c>
      <c r="G3685" s="33" t="s">
        <v>22846</v>
      </c>
      <c r="H3685" s="33" t="s">
        <v>308</v>
      </c>
      <c r="I3685" s="33" t="s">
        <v>309</v>
      </c>
      <c r="J3685" s="33" t="s">
        <v>22847</v>
      </c>
      <c r="K3685" s="33" t="s">
        <v>18138</v>
      </c>
      <c r="L3685" s="33" t="s">
        <v>22848</v>
      </c>
      <c r="M3685" s="33" t="s">
        <v>4966</v>
      </c>
      <c r="N3685" s="33" t="s">
        <v>22849</v>
      </c>
      <c r="O3685" s="33" t="s">
        <v>372</v>
      </c>
      <c r="P3685" s="33" t="s">
        <v>30089</v>
      </c>
      <c r="Q3685" s="40" t="s">
        <v>22850</v>
      </c>
      <c r="R3685" s="33" t="s">
        <v>23</v>
      </c>
      <c r="S3685" s="33" t="s">
        <v>22</v>
      </c>
      <c r="T3685" s="33" t="s">
        <v>26781</v>
      </c>
      <c r="U3685" s="33" t="s">
        <v>26572</v>
      </c>
      <c r="V3685" s="33" t="s">
        <v>26574</v>
      </c>
      <c r="W3685" s="33" t="s">
        <v>512</v>
      </c>
      <c r="X3685" s="33">
        <v>1829</v>
      </c>
      <c r="Z3685" s="33" t="s">
        <v>42968</v>
      </c>
      <c r="AA3685" s="33">
        <v>3980</v>
      </c>
    </row>
    <row r="3686" spans="1:27" ht="12" customHeight="1" x14ac:dyDescent="0.15">
      <c r="A3686" s="33" t="s">
        <v>22873</v>
      </c>
      <c r="B3686" s="33">
        <v>24</v>
      </c>
      <c r="C3686" s="33" t="s">
        <v>14</v>
      </c>
      <c r="D3686" s="33" t="s">
        <v>79</v>
      </c>
      <c r="E3686" s="33" t="s">
        <v>22874</v>
      </c>
      <c r="F3686" s="67">
        <v>42611</v>
      </c>
      <c r="G3686" s="33" t="s">
        <v>22875</v>
      </c>
      <c r="H3686" s="33" t="s">
        <v>140</v>
      </c>
      <c r="I3686" s="33" t="s">
        <v>338</v>
      </c>
      <c r="J3686" s="33">
        <v>27610</v>
      </c>
      <c r="K3686" s="33" t="s">
        <v>642</v>
      </c>
      <c r="L3686" s="33" t="s">
        <v>15661</v>
      </c>
      <c r="M3686" s="33" t="s">
        <v>21</v>
      </c>
      <c r="N3686" s="33" t="s">
        <v>22876</v>
      </c>
      <c r="O3686" s="33" t="s">
        <v>372</v>
      </c>
      <c r="P3686" s="33" t="s">
        <v>30089</v>
      </c>
      <c r="Q3686" s="40" t="s">
        <v>22877</v>
      </c>
      <c r="R3686" s="33" t="s">
        <v>94</v>
      </c>
      <c r="S3686" s="33" t="s">
        <v>22</v>
      </c>
      <c r="T3686" s="33" t="s">
        <v>26781</v>
      </c>
      <c r="U3686" s="33" t="s">
        <v>26572</v>
      </c>
      <c r="V3686" s="33" t="s">
        <v>26574</v>
      </c>
      <c r="W3686" s="33" t="s">
        <v>94</v>
      </c>
      <c r="X3686" s="33">
        <v>1823</v>
      </c>
      <c r="Z3686" s="33" t="s">
        <v>42968</v>
      </c>
      <c r="AA3686" s="33">
        <v>3978</v>
      </c>
    </row>
    <row r="3687" spans="1:27" ht="12" customHeight="1" x14ac:dyDescent="0.15">
      <c r="A3687" s="33" t="s">
        <v>22883</v>
      </c>
      <c r="B3687" s="33">
        <v>56</v>
      </c>
      <c r="C3687" s="33" t="s">
        <v>14</v>
      </c>
      <c r="D3687" s="33" t="s">
        <v>31</v>
      </c>
      <c r="E3687" s="33" t="s">
        <v>22884</v>
      </c>
      <c r="F3687" s="67">
        <v>42611</v>
      </c>
      <c r="G3687" s="33" t="s">
        <v>22885</v>
      </c>
      <c r="H3687" s="33" t="s">
        <v>288</v>
      </c>
      <c r="I3687" s="33" t="s">
        <v>39</v>
      </c>
      <c r="J3687" s="33">
        <v>92411</v>
      </c>
      <c r="K3687" s="33" t="s">
        <v>288</v>
      </c>
      <c r="L3687" s="33" t="s">
        <v>3983</v>
      </c>
      <c r="M3687" s="33" t="s">
        <v>4966</v>
      </c>
      <c r="N3687" s="33" t="s">
        <v>22886</v>
      </c>
      <c r="O3687" s="33" t="s">
        <v>372</v>
      </c>
      <c r="P3687" s="33" t="s">
        <v>30089</v>
      </c>
      <c r="Q3687" s="40" t="s">
        <v>22887</v>
      </c>
      <c r="R3687" s="33" t="s">
        <v>94</v>
      </c>
      <c r="S3687" s="33" t="s">
        <v>22</v>
      </c>
      <c r="T3687" s="33" t="s">
        <v>26774</v>
      </c>
      <c r="U3687" s="33" t="s">
        <v>26572</v>
      </c>
      <c r="V3687" s="33" t="s">
        <v>26573</v>
      </c>
      <c r="W3687" s="33" t="s">
        <v>94</v>
      </c>
      <c r="X3687" s="33">
        <v>1824</v>
      </c>
      <c r="Z3687" s="33" t="s">
        <v>42966</v>
      </c>
      <c r="AA3687" s="33">
        <v>3981</v>
      </c>
    </row>
    <row r="3688" spans="1:27" ht="12" customHeight="1" x14ac:dyDescent="0.15">
      <c r="A3688" s="33" t="s">
        <v>22888</v>
      </c>
      <c r="B3688" s="33">
        <v>37</v>
      </c>
      <c r="C3688" s="33" t="s">
        <v>14</v>
      </c>
      <c r="D3688" s="33" t="s">
        <v>31</v>
      </c>
      <c r="F3688" s="67">
        <v>42610</v>
      </c>
      <c r="G3688" s="33" t="s">
        <v>26663</v>
      </c>
      <c r="H3688" s="33" t="s">
        <v>22889</v>
      </c>
      <c r="I3688" s="33" t="s">
        <v>122</v>
      </c>
      <c r="J3688" s="33">
        <v>55123</v>
      </c>
      <c r="K3688" s="33" t="s">
        <v>19324</v>
      </c>
      <c r="L3688" s="33" t="s">
        <v>22890</v>
      </c>
      <c r="M3688" s="33" t="s">
        <v>21</v>
      </c>
      <c r="N3688" s="33" t="s">
        <v>22891</v>
      </c>
      <c r="O3688" s="33" t="s">
        <v>372</v>
      </c>
      <c r="P3688" s="33" t="s">
        <v>30089</v>
      </c>
      <c r="Q3688" s="40" t="s">
        <v>22892</v>
      </c>
      <c r="R3688" s="33" t="s">
        <v>512</v>
      </c>
      <c r="S3688" s="33" t="s">
        <v>22</v>
      </c>
      <c r="T3688" s="33" t="s">
        <v>26781</v>
      </c>
      <c r="U3688" s="33" t="s">
        <v>26572</v>
      </c>
      <c r="V3688" s="33" t="s">
        <v>26573</v>
      </c>
      <c r="W3688" s="33" t="s">
        <v>94</v>
      </c>
      <c r="X3688" s="33">
        <v>1818</v>
      </c>
      <c r="Z3688" s="33" t="s">
        <v>42968</v>
      </c>
      <c r="AA3688" s="33">
        <v>3977</v>
      </c>
    </row>
    <row r="3689" spans="1:27" ht="12" customHeight="1" x14ac:dyDescent="0.15">
      <c r="A3689" s="33" t="s">
        <v>22893</v>
      </c>
      <c r="B3689" s="33">
        <v>82</v>
      </c>
      <c r="C3689" s="33" t="s">
        <v>14</v>
      </c>
      <c r="D3689" s="33" t="s">
        <v>31</v>
      </c>
      <c r="E3689" s="33" t="s">
        <v>22894</v>
      </c>
      <c r="F3689" s="67">
        <v>42609</v>
      </c>
      <c r="G3689" s="33" t="s">
        <v>22895</v>
      </c>
      <c r="H3689" s="33" t="s">
        <v>1800</v>
      </c>
      <c r="I3689" s="33" t="s">
        <v>139</v>
      </c>
      <c r="J3689" s="33">
        <v>26501</v>
      </c>
      <c r="K3689" s="33" t="s">
        <v>1802</v>
      </c>
      <c r="L3689" s="33" t="s">
        <v>22896</v>
      </c>
      <c r="M3689" s="33" t="s">
        <v>21</v>
      </c>
      <c r="N3689" s="33" t="s">
        <v>22897</v>
      </c>
      <c r="O3689" s="33" t="s">
        <v>372</v>
      </c>
      <c r="P3689" s="33" t="s">
        <v>30089</v>
      </c>
      <c r="Q3689" s="40" t="s">
        <v>22898</v>
      </c>
      <c r="R3689" s="33" t="s">
        <v>23</v>
      </c>
      <c r="S3689" s="33" t="s">
        <v>22</v>
      </c>
      <c r="T3689" s="33" t="s">
        <v>26781</v>
      </c>
      <c r="U3689" s="33" t="s">
        <v>26572</v>
      </c>
      <c r="V3689" s="33" t="s">
        <v>26573</v>
      </c>
      <c r="W3689" s="33" t="s">
        <v>512</v>
      </c>
      <c r="X3689" s="33">
        <v>1822</v>
      </c>
      <c r="Z3689" s="33" t="s">
        <v>42968</v>
      </c>
      <c r="AA3689" s="33">
        <v>3973</v>
      </c>
    </row>
    <row r="3690" spans="1:27" ht="12" customHeight="1" x14ac:dyDescent="0.15">
      <c r="A3690" s="33" t="s">
        <v>22910</v>
      </c>
      <c r="B3690" s="33">
        <v>26</v>
      </c>
      <c r="C3690" s="33" t="s">
        <v>14</v>
      </c>
      <c r="D3690" s="33" t="s">
        <v>42</v>
      </c>
      <c r="E3690" s="33" t="s">
        <v>22911</v>
      </c>
      <c r="F3690" s="67">
        <v>42609</v>
      </c>
      <c r="G3690" s="33" t="s">
        <v>22912</v>
      </c>
      <c r="H3690" s="33" t="s">
        <v>584</v>
      </c>
      <c r="I3690" s="33" t="s">
        <v>112</v>
      </c>
      <c r="J3690" s="33">
        <v>85031</v>
      </c>
      <c r="K3690" s="33" t="s">
        <v>585</v>
      </c>
      <c r="L3690" s="33" t="s">
        <v>586</v>
      </c>
      <c r="M3690" s="33" t="s">
        <v>21</v>
      </c>
      <c r="N3690" s="33" t="s">
        <v>22913</v>
      </c>
      <c r="O3690" s="33" t="s">
        <v>372</v>
      </c>
      <c r="P3690" s="33" t="s">
        <v>30089</v>
      </c>
      <c r="Q3690" s="40" t="s">
        <v>22914</v>
      </c>
      <c r="R3690" s="33" t="s">
        <v>904</v>
      </c>
      <c r="S3690" s="33" t="s">
        <v>12</v>
      </c>
      <c r="T3690" s="33" t="s">
        <v>29425</v>
      </c>
      <c r="U3690" s="33" t="s">
        <v>26572</v>
      </c>
      <c r="V3690" s="33" t="s">
        <v>26573</v>
      </c>
      <c r="W3690" s="33" t="s">
        <v>94</v>
      </c>
      <c r="X3690" s="33">
        <v>1820</v>
      </c>
      <c r="Z3690" s="33" t="s">
        <v>42966</v>
      </c>
      <c r="AA3690" s="33">
        <v>3975</v>
      </c>
    </row>
    <row r="3691" spans="1:27" ht="12" customHeight="1" x14ac:dyDescent="0.15">
      <c r="A3691" s="33" t="s">
        <v>22899</v>
      </c>
      <c r="B3691" s="33">
        <v>49</v>
      </c>
      <c r="C3691" s="33" t="s">
        <v>14</v>
      </c>
      <c r="D3691" s="33" t="s">
        <v>42</v>
      </c>
      <c r="E3691" s="33" t="s">
        <v>22900</v>
      </c>
      <c r="F3691" s="67">
        <v>42609</v>
      </c>
      <c r="G3691" s="33" t="s">
        <v>22901</v>
      </c>
      <c r="H3691" s="33" t="s">
        <v>1212</v>
      </c>
      <c r="I3691" s="33" t="s">
        <v>192</v>
      </c>
      <c r="J3691" s="33">
        <v>80223</v>
      </c>
      <c r="K3691" s="33" t="s">
        <v>1212</v>
      </c>
      <c r="L3691" s="33" t="s">
        <v>1213</v>
      </c>
      <c r="M3691" s="33" t="s">
        <v>4966</v>
      </c>
      <c r="N3691" s="33" t="s">
        <v>22902</v>
      </c>
      <c r="O3691" s="33" t="s">
        <v>372</v>
      </c>
      <c r="P3691" s="33" t="s">
        <v>30089</v>
      </c>
      <c r="Q3691" s="40" t="s">
        <v>22903</v>
      </c>
      <c r="R3691" s="33" t="s">
        <v>94</v>
      </c>
      <c r="S3691" s="33" t="s">
        <v>22</v>
      </c>
      <c r="T3691" s="33" t="s">
        <v>26774</v>
      </c>
      <c r="U3691" s="33" t="s">
        <v>26570</v>
      </c>
      <c r="V3691" s="33" t="s">
        <v>26573</v>
      </c>
      <c r="W3691" s="33" t="s">
        <v>94</v>
      </c>
      <c r="X3691" s="33">
        <v>1821</v>
      </c>
      <c r="Z3691" s="33" t="s">
        <v>42966</v>
      </c>
      <c r="AA3691" s="33">
        <v>3974</v>
      </c>
    </row>
    <row r="3692" spans="1:27" ht="12" customHeight="1" x14ac:dyDescent="0.15">
      <c r="A3692" s="33" t="s">
        <v>22904</v>
      </c>
      <c r="B3692" s="33">
        <v>34</v>
      </c>
      <c r="C3692" s="33" t="s">
        <v>14</v>
      </c>
      <c r="D3692" s="33" t="s">
        <v>79</v>
      </c>
      <c r="E3692" s="33" t="s">
        <v>22905</v>
      </c>
      <c r="F3692" s="67">
        <v>42609</v>
      </c>
      <c r="G3692" s="33" t="s">
        <v>22906</v>
      </c>
      <c r="H3692" s="33" t="s">
        <v>1956</v>
      </c>
      <c r="I3692" s="33" t="s">
        <v>75</v>
      </c>
      <c r="J3692" s="33" t="s">
        <v>22907</v>
      </c>
      <c r="K3692" s="33" t="s">
        <v>2675</v>
      </c>
      <c r="L3692" s="33" t="s">
        <v>1958</v>
      </c>
      <c r="M3692" s="33" t="s">
        <v>21</v>
      </c>
      <c r="N3692" s="33" t="s">
        <v>22908</v>
      </c>
      <c r="O3692" s="33" t="s">
        <v>372</v>
      </c>
      <c r="P3692" s="33" t="s">
        <v>30089</v>
      </c>
      <c r="Q3692" s="40" t="s">
        <v>22909</v>
      </c>
      <c r="R3692" s="33" t="s">
        <v>94</v>
      </c>
      <c r="S3692" s="33" t="s">
        <v>29</v>
      </c>
      <c r="T3692" s="33" t="s">
        <v>41840</v>
      </c>
      <c r="U3692" s="33" t="s">
        <v>26572</v>
      </c>
      <c r="V3692" s="33" t="s">
        <v>26573</v>
      </c>
      <c r="Y3692" s="33" t="s">
        <v>42476</v>
      </c>
      <c r="Z3692" s="33" t="s">
        <v>42968</v>
      </c>
      <c r="AA3692" s="33">
        <v>3976</v>
      </c>
    </row>
    <row r="3693" spans="1:27" ht="12" customHeight="1" x14ac:dyDescent="0.15">
      <c r="A3693" s="33" t="s">
        <v>22915</v>
      </c>
      <c r="B3693" s="33">
        <v>41</v>
      </c>
      <c r="C3693" s="33" t="s">
        <v>14</v>
      </c>
      <c r="D3693" s="33" t="s">
        <v>31</v>
      </c>
      <c r="F3693" s="67">
        <v>42608</v>
      </c>
      <c r="G3693" s="33" t="s">
        <v>22916</v>
      </c>
      <c r="H3693" s="33" t="s">
        <v>607</v>
      </c>
      <c r="I3693" s="33" t="s">
        <v>250</v>
      </c>
      <c r="J3693" s="33">
        <v>89104</v>
      </c>
      <c r="K3693" s="33" t="s">
        <v>527</v>
      </c>
      <c r="L3693" s="33" t="s">
        <v>5796</v>
      </c>
      <c r="M3693" s="33" t="s">
        <v>21</v>
      </c>
      <c r="N3693" s="33" t="s">
        <v>22917</v>
      </c>
      <c r="O3693" s="33" t="s">
        <v>372</v>
      </c>
      <c r="P3693" s="33" t="s">
        <v>30089</v>
      </c>
      <c r="Q3693" s="40" t="s">
        <v>22918</v>
      </c>
      <c r="R3693" s="33" t="s">
        <v>94</v>
      </c>
      <c r="S3693" s="33" t="s">
        <v>22</v>
      </c>
      <c r="T3693" s="33" t="s">
        <v>26781</v>
      </c>
      <c r="U3693" s="33" t="s">
        <v>26572</v>
      </c>
      <c r="V3693" s="33" t="s">
        <v>26574</v>
      </c>
      <c r="W3693" s="33" t="s">
        <v>94</v>
      </c>
      <c r="X3693" s="33">
        <v>1817</v>
      </c>
      <c r="Z3693" s="33" t="s">
        <v>42966</v>
      </c>
      <c r="AA3693" s="33">
        <v>3972</v>
      </c>
    </row>
    <row r="3694" spans="1:27" ht="12" customHeight="1" x14ac:dyDescent="0.15">
      <c r="A3694" s="33" t="s">
        <v>22932</v>
      </c>
      <c r="B3694" s="33">
        <v>32</v>
      </c>
      <c r="C3694" s="33" t="s">
        <v>14</v>
      </c>
      <c r="D3694" s="33" t="s">
        <v>42</v>
      </c>
      <c r="E3694" s="33" t="s">
        <v>22933</v>
      </c>
      <c r="F3694" s="67">
        <v>42607</v>
      </c>
      <c r="G3694" s="33" t="s">
        <v>22934</v>
      </c>
      <c r="H3694" s="33" t="s">
        <v>4767</v>
      </c>
      <c r="I3694" s="33" t="s">
        <v>39</v>
      </c>
      <c r="J3694" s="33">
        <v>90221</v>
      </c>
      <c r="K3694" s="33" t="s">
        <v>92</v>
      </c>
      <c r="L3694" s="33" t="s">
        <v>377</v>
      </c>
      <c r="M3694" s="33" t="s">
        <v>21</v>
      </c>
      <c r="N3694" s="33" t="s">
        <v>22935</v>
      </c>
      <c r="O3694" s="33" t="s">
        <v>372</v>
      </c>
      <c r="P3694" s="33" t="s">
        <v>30089</v>
      </c>
      <c r="Q3694" s="40" t="s">
        <v>22936</v>
      </c>
      <c r="R3694" s="33" t="s">
        <v>94</v>
      </c>
      <c r="S3694" s="33" t="s">
        <v>29</v>
      </c>
      <c r="T3694" s="33" t="s">
        <v>26575</v>
      </c>
      <c r="U3694" s="33" t="s">
        <v>26575</v>
      </c>
      <c r="V3694" s="33" t="s">
        <v>26573</v>
      </c>
      <c r="W3694" s="33" t="s">
        <v>94</v>
      </c>
      <c r="X3694" s="33">
        <v>2144</v>
      </c>
      <c r="Z3694" s="33" t="s">
        <v>42968</v>
      </c>
      <c r="AA3694" s="33">
        <v>3971</v>
      </c>
    </row>
    <row r="3695" spans="1:27" ht="12" customHeight="1" x14ac:dyDescent="0.15">
      <c r="A3695" s="33" t="s">
        <v>22923</v>
      </c>
      <c r="B3695" s="33">
        <v>63</v>
      </c>
      <c r="C3695" s="33" t="s">
        <v>14</v>
      </c>
      <c r="D3695" s="33" t="s">
        <v>24</v>
      </c>
      <c r="F3695" s="67">
        <v>42607</v>
      </c>
      <c r="G3695" s="33" t="s">
        <v>26664</v>
      </c>
      <c r="H3695" s="33" t="s">
        <v>1096</v>
      </c>
      <c r="I3695" s="33" t="s">
        <v>192</v>
      </c>
      <c r="J3695" s="33">
        <v>80524</v>
      </c>
      <c r="K3695" s="33" t="s">
        <v>510</v>
      </c>
      <c r="L3695" s="33" t="s">
        <v>22924</v>
      </c>
      <c r="M3695" s="33" t="s">
        <v>4966</v>
      </c>
      <c r="N3695" s="33" t="s">
        <v>22925</v>
      </c>
      <c r="O3695" s="33" t="s">
        <v>372</v>
      </c>
      <c r="P3695" s="33" t="s">
        <v>30089</v>
      </c>
      <c r="Q3695" s="40" t="s">
        <v>22926</v>
      </c>
      <c r="R3695" s="33" t="s">
        <v>23</v>
      </c>
      <c r="S3695" s="33" t="s">
        <v>22</v>
      </c>
      <c r="T3695" s="33" t="s">
        <v>26774</v>
      </c>
      <c r="U3695" s="33" t="s">
        <v>26570</v>
      </c>
      <c r="V3695" s="33" t="s">
        <v>26573</v>
      </c>
      <c r="W3695" s="33" t="s">
        <v>512</v>
      </c>
      <c r="X3695" s="33">
        <v>1815</v>
      </c>
      <c r="Z3695" s="33" t="s">
        <v>42966</v>
      </c>
      <c r="AA3695" s="33">
        <v>3970</v>
      </c>
    </row>
    <row r="3696" spans="1:27" ht="12" customHeight="1" x14ac:dyDescent="0.15">
      <c r="A3696" s="33" t="s">
        <v>22927</v>
      </c>
      <c r="B3696" s="33">
        <v>31</v>
      </c>
      <c r="C3696" s="33" t="s">
        <v>14</v>
      </c>
      <c r="D3696" s="33" t="s">
        <v>79</v>
      </c>
      <c r="E3696" s="33" t="s">
        <v>22928</v>
      </c>
      <c r="F3696" s="67">
        <v>42607</v>
      </c>
      <c r="G3696" s="33" t="s">
        <v>22929</v>
      </c>
      <c r="H3696" s="33" t="s">
        <v>4767</v>
      </c>
      <c r="I3696" s="33" t="s">
        <v>39</v>
      </c>
      <c r="J3696" s="33">
        <v>90220</v>
      </c>
      <c r="K3696" s="33" t="s">
        <v>92</v>
      </c>
      <c r="L3696" s="33" t="s">
        <v>386</v>
      </c>
      <c r="M3696" s="33" t="s">
        <v>21</v>
      </c>
      <c r="N3696" s="33" t="s">
        <v>22930</v>
      </c>
      <c r="O3696" s="33" t="s">
        <v>372</v>
      </c>
      <c r="P3696" s="33" t="s">
        <v>30089</v>
      </c>
      <c r="Q3696" s="40" t="s">
        <v>22931</v>
      </c>
      <c r="R3696" s="33" t="s">
        <v>94</v>
      </c>
      <c r="S3696" s="33" t="s">
        <v>22</v>
      </c>
      <c r="T3696" s="33" t="s">
        <v>26781</v>
      </c>
      <c r="U3696" s="33" t="s">
        <v>26572</v>
      </c>
      <c r="V3696" s="33" t="s">
        <v>26574</v>
      </c>
      <c r="W3696" s="33" t="s">
        <v>94</v>
      </c>
      <c r="X3696" s="33">
        <v>1816</v>
      </c>
      <c r="Z3696" s="33" t="s">
        <v>42968</v>
      </c>
      <c r="AA3696" s="33">
        <v>3968</v>
      </c>
    </row>
    <row r="3697" spans="1:27" ht="12" customHeight="1" x14ac:dyDescent="0.15">
      <c r="A3697" s="33" t="s">
        <v>22919</v>
      </c>
      <c r="B3697" s="33">
        <v>63</v>
      </c>
      <c r="C3697" s="33" t="s">
        <v>14</v>
      </c>
      <c r="D3697" s="33" t="s">
        <v>31</v>
      </c>
      <c r="E3697" s="33" t="s">
        <v>22920</v>
      </c>
      <c r="F3697" s="67">
        <v>42607</v>
      </c>
      <c r="G3697" s="33" t="s">
        <v>22921</v>
      </c>
      <c r="H3697" s="33" t="s">
        <v>14150</v>
      </c>
      <c r="I3697" s="33" t="s">
        <v>106</v>
      </c>
      <c r="J3697" s="33">
        <v>97756</v>
      </c>
      <c r="K3697" s="33" t="s">
        <v>11726</v>
      </c>
      <c r="L3697" s="33" t="s">
        <v>22922</v>
      </c>
      <c r="M3697" s="33" t="s">
        <v>351</v>
      </c>
      <c r="N3697" s="33" t="s">
        <v>42498</v>
      </c>
      <c r="O3697" s="33" t="s">
        <v>372</v>
      </c>
      <c r="P3697" s="33" t="s">
        <v>30089</v>
      </c>
      <c r="Q3697" s="42" t="s">
        <v>42499</v>
      </c>
      <c r="R3697" s="33" t="s">
        <v>512</v>
      </c>
      <c r="S3697" s="33" t="s">
        <v>22</v>
      </c>
      <c r="T3697" s="33" t="s">
        <v>26781</v>
      </c>
      <c r="U3697" s="33" t="s">
        <v>26572</v>
      </c>
      <c r="V3697" s="33" t="s">
        <v>26573</v>
      </c>
      <c r="Z3697" s="33" t="s">
        <v>42966</v>
      </c>
      <c r="AA3697" s="33">
        <v>3969</v>
      </c>
    </row>
    <row r="3698" spans="1:27" ht="12" customHeight="1" x14ac:dyDescent="0.15">
      <c r="A3698" s="33" t="s">
        <v>22941</v>
      </c>
      <c r="B3698" s="33">
        <v>36</v>
      </c>
      <c r="C3698" s="33" t="s">
        <v>14</v>
      </c>
      <c r="D3698" s="33" t="s">
        <v>42</v>
      </c>
      <c r="F3698" s="67">
        <v>42606</v>
      </c>
      <c r="G3698" s="33" t="s">
        <v>22942</v>
      </c>
      <c r="H3698" s="33" t="s">
        <v>266</v>
      </c>
      <c r="I3698" s="33" t="s">
        <v>67</v>
      </c>
      <c r="J3698" s="33">
        <v>75211</v>
      </c>
      <c r="K3698" s="33" t="s">
        <v>266</v>
      </c>
      <c r="L3698" s="33" t="s">
        <v>267</v>
      </c>
      <c r="M3698" s="33" t="s">
        <v>21</v>
      </c>
      <c r="N3698" s="33" t="s">
        <v>22943</v>
      </c>
      <c r="O3698" s="33" t="s">
        <v>372</v>
      </c>
      <c r="P3698" s="33" t="s">
        <v>30089</v>
      </c>
      <c r="Q3698" s="40" t="s">
        <v>22944</v>
      </c>
      <c r="R3698" s="33" t="s">
        <v>94</v>
      </c>
      <c r="S3698" s="33" t="s">
        <v>22</v>
      </c>
      <c r="T3698" s="33" t="s">
        <v>26781</v>
      </c>
      <c r="U3698" s="33" t="s">
        <v>26572</v>
      </c>
      <c r="V3698" s="33" t="s">
        <v>26574</v>
      </c>
      <c r="W3698" s="33" t="s">
        <v>94</v>
      </c>
      <c r="X3698" s="33">
        <v>1811</v>
      </c>
      <c r="Z3698" s="33" t="s">
        <v>42966</v>
      </c>
      <c r="AA3698" s="33">
        <v>3965</v>
      </c>
    </row>
    <row r="3699" spans="1:27" ht="12" customHeight="1" x14ac:dyDescent="0.15">
      <c r="A3699" s="33" t="s">
        <v>22945</v>
      </c>
      <c r="B3699" s="33">
        <v>53</v>
      </c>
      <c r="C3699" s="33" t="s">
        <v>14</v>
      </c>
      <c r="D3699" s="33" t="s">
        <v>31</v>
      </c>
      <c r="E3699" s="33" t="s">
        <v>22946</v>
      </c>
      <c r="F3699" s="67">
        <v>42606</v>
      </c>
      <c r="G3699" s="33" t="s">
        <v>22947</v>
      </c>
      <c r="H3699" s="33" t="s">
        <v>270</v>
      </c>
      <c r="I3699" s="33" t="s">
        <v>298</v>
      </c>
      <c r="J3699" s="33">
        <v>37160</v>
      </c>
      <c r="K3699" s="33" t="s">
        <v>4849</v>
      </c>
      <c r="L3699" s="33" t="s">
        <v>22948</v>
      </c>
      <c r="M3699" s="33" t="s">
        <v>21</v>
      </c>
      <c r="N3699" s="33" t="s">
        <v>22949</v>
      </c>
      <c r="O3699" s="33" t="s">
        <v>372</v>
      </c>
      <c r="P3699" s="33" t="s">
        <v>30089</v>
      </c>
      <c r="Q3699" s="40" t="s">
        <v>22950</v>
      </c>
      <c r="R3699" s="33" t="s">
        <v>94</v>
      </c>
      <c r="S3699" s="33" t="s">
        <v>22</v>
      </c>
      <c r="T3699" s="33" t="s">
        <v>26781</v>
      </c>
      <c r="U3699" s="33" t="s">
        <v>26572</v>
      </c>
      <c r="V3699" s="33" t="s">
        <v>26573</v>
      </c>
      <c r="W3699" s="33" t="s">
        <v>94</v>
      </c>
      <c r="X3699" s="33">
        <v>1814</v>
      </c>
      <c r="Z3699" s="33" t="s">
        <v>42968</v>
      </c>
      <c r="AA3699" s="33">
        <v>3967</v>
      </c>
    </row>
    <row r="3700" spans="1:27" ht="12" customHeight="1" x14ac:dyDescent="0.15">
      <c r="A3700" s="33" t="s">
        <v>22937</v>
      </c>
      <c r="B3700" s="33">
        <v>43</v>
      </c>
      <c r="C3700" s="33" t="s">
        <v>14</v>
      </c>
      <c r="D3700" s="33" t="s">
        <v>31</v>
      </c>
      <c r="F3700" s="67">
        <v>42606</v>
      </c>
      <c r="G3700" s="33" t="s">
        <v>22938</v>
      </c>
      <c r="H3700" s="33" t="s">
        <v>997</v>
      </c>
      <c r="I3700" s="33" t="s">
        <v>56</v>
      </c>
      <c r="J3700" s="33">
        <v>32828</v>
      </c>
      <c r="K3700" s="33" t="s">
        <v>998</v>
      </c>
      <c r="L3700" s="33" t="s">
        <v>4077</v>
      </c>
      <c r="M3700" s="33" t="s">
        <v>21</v>
      </c>
      <c r="N3700" s="33" t="s">
        <v>22939</v>
      </c>
      <c r="O3700" s="33" t="s">
        <v>372</v>
      </c>
      <c r="P3700" s="33" t="s">
        <v>30089</v>
      </c>
      <c r="Q3700" s="40" t="s">
        <v>22940</v>
      </c>
      <c r="R3700" s="33" t="s">
        <v>512</v>
      </c>
      <c r="S3700" s="33" t="s">
        <v>22</v>
      </c>
      <c r="T3700" s="33" t="s">
        <v>26781</v>
      </c>
      <c r="U3700" s="33" t="s">
        <v>26570</v>
      </c>
      <c r="V3700" s="33" t="s">
        <v>26573</v>
      </c>
      <c r="W3700" s="33" t="s">
        <v>94</v>
      </c>
      <c r="X3700" s="33">
        <v>1813</v>
      </c>
      <c r="Z3700" s="33" t="s">
        <v>42968</v>
      </c>
      <c r="AA3700" s="33">
        <v>3966</v>
      </c>
    </row>
    <row r="3701" spans="1:27" ht="12" customHeight="1" x14ac:dyDescent="0.15">
      <c r="A3701" s="33" t="s">
        <v>22951</v>
      </c>
      <c r="B3701" s="33">
        <v>49</v>
      </c>
      <c r="C3701" s="33" t="s">
        <v>14</v>
      </c>
      <c r="D3701" s="33" t="s">
        <v>31</v>
      </c>
      <c r="E3701" s="33" t="s">
        <v>22952</v>
      </c>
      <c r="F3701" s="67">
        <v>42605</v>
      </c>
      <c r="G3701" s="33" t="s">
        <v>22953</v>
      </c>
      <c r="H3701" s="33" t="s">
        <v>22954</v>
      </c>
      <c r="I3701" s="33" t="s">
        <v>67</v>
      </c>
      <c r="J3701" s="33">
        <v>76253</v>
      </c>
      <c r="K3701" s="33" t="s">
        <v>22955</v>
      </c>
      <c r="L3701" s="33" t="s">
        <v>22956</v>
      </c>
      <c r="M3701" s="33" t="s">
        <v>21</v>
      </c>
      <c r="N3701" s="33" t="s">
        <v>22957</v>
      </c>
      <c r="O3701" s="33" t="s">
        <v>372</v>
      </c>
      <c r="P3701" s="33" t="s">
        <v>30089</v>
      </c>
      <c r="Q3701" s="40" t="s">
        <v>22958</v>
      </c>
      <c r="R3701" s="33" t="s">
        <v>94</v>
      </c>
      <c r="S3701" s="33" t="s">
        <v>22</v>
      </c>
      <c r="T3701" s="33" t="s">
        <v>26781</v>
      </c>
      <c r="U3701" s="33" t="s">
        <v>26570</v>
      </c>
      <c r="V3701" s="33" t="s">
        <v>26571</v>
      </c>
      <c r="W3701" s="33" t="s">
        <v>94</v>
      </c>
      <c r="X3701" s="33">
        <v>1812</v>
      </c>
      <c r="Z3701" s="33" t="e">
        <v>#N/A</v>
      </c>
      <c r="AA3701" s="33">
        <v>3964</v>
      </c>
    </row>
    <row r="3702" spans="1:27" ht="12" customHeight="1" x14ac:dyDescent="0.15">
      <c r="A3702" s="33" t="s">
        <v>22959</v>
      </c>
      <c r="B3702" s="33">
        <v>34</v>
      </c>
      <c r="C3702" s="33" t="s">
        <v>14</v>
      </c>
      <c r="D3702" s="33" t="s">
        <v>79</v>
      </c>
      <c r="E3702" s="33" t="s">
        <v>22960</v>
      </c>
      <c r="F3702" s="67">
        <v>42604</v>
      </c>
      <c r="G3702" s="33" t="s">
        <v>22961</v>
      </c>
      <c r="H3702" s="33" t="s">
        <v>505</v>
      </c>
      <c r="I3702" s="33" t="s">
        <v>63</v>
      </c>
      <c r="J3702" s="33">
        <v>45011</v>
      </c>
      <c r="K3702" s="33" t="s">
        <v>5063</v>
      </c>
      <c r="L3702" s="33" t="s">
        <v>2676</v>
      </c>
      <c r="M3702" s="33" t="s">
        <v>21</v>
      </c>
      <c r="N3702" s="33" t="s">
        <v>22962</v>
      </c>
      <c r="O3702" s="33" t="s">
        <v>372</v>
      </c>
      <c r="P3702" s="33" t="s">
        <v>30089</v>
      </c>
      <c r="Q3702" s="40" t="s">
        <v>22963</v>
      </c>
      <c r="R3702" s="33" t="s">
        <v>94</v>
      </c>
      <c r="S3702" s="33" t="s">
        <v>22</v>
      </c>
      <c r="T3702" s="33" t="s">
        <v>26774</v>
      </c>
      <c r="U3702" s="33" t="s">
        <v>26572</v>
      </c>
      <c r="V3702" s="33" t="s">
        <v>26573</v>
      </c>
      <c r="W3702" s="33" t="s">
        <v>94</v>
      </c>
      <c r="X3702" s="33">
        <v>1802</v>
      </c>
      <c r="Z3702" s="33" t="s">
        <v>42968</v>
      </c>
      <c r="AA3702" s="33">
        <v>3963</v>
      </c>
    </row>
    <row r="3703" spans="1:27" ht="12" customHeight="1" x14ac:dyDescent="0.15">
      <c r="A3703" s="33" t="s">
        <v>22971</v>
      </c>
      <c r="B3703" s="33">
        <v>25</v>
      </c>
      <c r="C3703" s="33" t="s">
        <v>14</v>
      </c>
      <c r="D3703" s="33" t="s">
        <v>79</v>
      </c>
      <c r="E3703" s="33" t="s">
        <v>22972</v>
      </c>
      <c r="F3703" s="67">
        <v>42603</v>
      </c>
      <c r="G3703" s="33" t="s">
        <v>22973</v>
      </c>
      <c r="H3703" s="33" t="s">
        <v>22974</v>
      </c>
      <c r="I3703" s="33" t="s">
        <v>225</v>
      </c>
      <c r="J3703" s="33">
        <v>23841</v>
      </c>
      <c r="K3703" s="33" t="s">
        <v>22974</v>
      </c>
      <c r="L3703" s="33" t="s">
        <v>22975</v>
      </c>
      <c r="M3703" s="33" t="s">
        <v>21</v>
      </c>
      <c r="N3703" s="33" t="s">
        <v>22976</v>
      </c>
      <c r="O3703" s="33" t="s">
        <v>22385</v>
      </c>
      <c r="P3703" s="33" t="s">
        <v>1084</v>
      </c>
      <c r="Q3703" s="40" t="s">
        <v>22977</v>
      </c>
      <c r="R3703" s="33" t="s">
        <v>94</v>
      </c>
      <c r="S3703" s="33" t="s">
        <v>29</v>
      </c>
      <c r="T3703" s="33" t="s">
        <v>26575</v>
      </c>
      <c r="U3703" s="33" t="s">
        <v>26570</v>
      </c>
      <c r="V3703" s="33" t="s">
        <v>26573</v>
      </c>
      <c r="Y3703" s="33" t="s">
        <v>42476</v>
      </c>
      <c r="Z3703" s="33" t="s">
        <v>42967</v>
      </c>
      <c r="AA3703" s="33">
        <v>3962</v>
      </c>
    </row>
    <row r="3704" spans="1:27" ht="12" customHeight="1" x14ac:dyDescent="0.15">
      <c r="A3704" s="33" t="s">
        <v>22968</v>
      </c>
      <c r="B3704" s="33">
        <v>36</v>
      </c>
      <c r="C3704" s="33" t="s">
        <v>14</v>
      </c>
      <c r="D3704" s="33" t="s">
        <v>42</v>
      </c>
      <c r="F3704" s="67">
        <v>42603</v>
      </c>
      <c r="G3704" s="33" t="s">
        <v>26665</v>
      </c>
      <c r="H3704" s="33" t="s">
        <v>911</v>
      </c>
      <c r="I3704" s="33" t="s">
        <v>178</v>
      </c>
      <c r="J3704" s="33">
        <v>88001</v>
      </c>
      <c r="K3704" s="33" t="s">
        <v>912</v>
      </c>
      <c r="L3704" s="33" t="s">
        <v>6512</v>
      </c>
      <c r="M3704" s="33" t="s">
        <v>21</v>
      </c>
      <c r="N3704" s="33" t="s">
        <v>22969</v>
      </c>
      <c r="O3704" s="33" t="s">
        <v>372</v>
      </c>
      <c r="P3704" s="33" t="s">
        <v>30089</v>
      </c>
      <c r="Q3704" s="40" t="s">
        <v>22970</v>
      </c>
      <c r="R3704" s="33" t="s">
        <v>23</v>
      </c>
      <c r="S3704" s="33" t="s">
        <v>22</v>
      </c>
      <c r="T3704" s="33" t="s">
        <v>26774</v>
      </c>
      <c r="U3704" s="33" t="s">
        <v>26570</v>
      </c>
      <c r="V3704" s="33" t="s">
        <v>26573</v>
      </c>
      <c r="W3704" s="33" t="s">
        <v>512</v>
      </c>
      <c r="X3704" s="33">
        <v>1804</v>
      </c>
      <c r="Z3704" s="33" t="s">
        <v>42968</v>
      </c>
      <c r="AA3704" s="33">
        <v>3961</v>
      </c>
    </row>
    <row r="3705" spans="1:27" ht="12" customHeight="1" x14ac:dyDescent="0.15">
      <c r="A3705" s="33" t="s">
        <v>22964</v>
      </c>
      <c r="B3705" s="33">
        <v>37</v>
      </c>
      <c r="C3705" s="33" t="s">
        <v>14</v>
      </c>
      <c r="D3705" s="33" t="s">
        <v>79</v>
      </c>
      <c r="E3705" s="33" t="s">
        <v>25167</v>
      </c>
      <c r="F3705" s="67">
        <v>42603</v>
      </c>
      <c r="G3705" s="33" t="s">
        <v>22965</v>
      </c>
      <c r="H3705" s="33" t="s">
        <v>979</v>
      </c>
      <c r="I3705" s="33" t="s">
        <v>19</v>
      </c>
      <c r="J3705" s="33">
        <v>70119</v>
      </c>
      <c r="K3705" s="33" t="s">
        <v>2393</v>
      </c>
      <c r="L3705" s="33" t="s">
        <v>980</v>
      </c>
      <c r="M3705" s="33" t="s">
        <v>21</v>
      </c>
      <c r="N3705" s="33" t="s">
        <v>22966</v>
      </c>
      <c r="O3705" s="33" t="s">
        <v>372</v>
      </c>
      <c r="P3705" s="33" t="s">
        <v>30089</v>
      </c>
      <c r="Q3705" s="40" t="s">
        <v>22967</v>
      </c>
      <c r="R3705" s="33" t="s">
        <v>94</v>
      </c>
      <c r="S3705" s="33" t="s">
        <v>22</v>
      </c>
      <c r="T3705" s="33" t="s">
        <v>26781</v>
      </c>
      <c r="U3705" s="33" t="s">
        <v>26572</v>
      </c>
      <c r="V3705" s="33" t="s">
        <v>26574</v>
      </c>
      <c r="Z3705" s="33" t="s">
        <v>42966</v>
      </c>
      <c r="AA3705" s="33">
        <v>3960</v>
      </c>
    </row>
    <row r="3706" spans="1:27" ht="12" customHeight="1" x14ac:dyDescent="0.15">
      <c r="A3706" s="33" t="s">
        <v>22978</v>
      </c>
      <c r="B3706" s="33">
        <v>71</v>
      </c>
      <c r="C3706" s="33" t="s">
        <v>14</v>
      </c>
      <c r="D3706" s="33" t="s">
        <v>42</v>
      </c>
      <c r="F3706" s="67">
        <v>42602</v>
      </c>
      <c r="G3706" s="33" t="s">
        <v>22979</v>
      </c>
      <c r="H3706" s="33" t="s">
        <v>5782</v>
      </c>
      <c r="I3706" s="33" t="s">
        <v>39</v>
      </c>
      <c r="J3706" s="33">
        <v>92201</v>
      </c>
      <c r="K3706" s="33" t="s">
        <v>728</v>
      </c>
      <c r="L3706" s="33" t="s">
        <v>5784</v>
      </c>
      <c r="M3706" s="33" t="s">
        <v>21</v>
      </c>
      <c r="N3706" s="33" t="s">
        <v>22980</v>
      </c>
      <c r="O3706" s="33" t="s">
        <v>372</v>
      </c>
      <c r="P3706" s="33" t="s">
        <v>30089</v>
      </c>
      <c r="Q3706" s="40" t="s">
        <v>22981</v>
      </c>
      <c r="R3706" s="33" t="s">
        <v>23</v>
      </c>
      <c r="S3706" s="33" t="s">
        <v>22</v>
      </c>
      <c r="T3706" s="33" t="s">
        <v>26774</v>
      </c>
      <c r="U3706" s="33" t="s">
        <v>26570</v>
      </c>
      <c r="V3706" s="33" t="s">
        <v>26573</v>
      </c>
      <c r="W3706" s="33" t="s">
        <v>512</v>
      </c>
      <c r="X3706" s="33">
        <v>1803</v>
      </c>
      <c r="Z3706" s="33" t="s">
        <v>42968</v>
      </c>
      <c r="AA3706" s="33">
        <v>3959</v>
      </c>
    </row>
    <row r="3707" spans="1:27" ht="12" customHeight="1" x14ac:dyDescent="0.15">
      <c r="A3707" s="33" t="s">
        <v>22995</v>
      </c>
      <c r="B3707" s="33">
        <v>47</v>
      </c>
      <c r="C3707" s="33" t="s">
        <v>14</v>
      </c>
      <c r="D3707" s="33" t="s">
        <v>42</v>
      </c>
      <c r="E3707" s="33" t="s">
        <v>22996</v>
      </c>
      <c r="F3707" s="67">
        <v>42601</v>
      </c>
      <c r="G3707" s="33" t="s">
        <v>22997</v>
      </c>
      <c r="H3707" s="33" t="s">
        <v>92</v>
      </c>
      <c r="I3707" s="33" t="s">
        <v>39</v>
      </c>
      <c r="J3707" s="33">
        <v>90027</v>
      </c>
      <c r="K3707" s="33" t="s">
        <v>92</v>
      </c>
      <c r="L3707" s="33" t="s">
        <v>93</v>
      </c>
      <c r="M3707" s="33" t="s">
        <v>21</v>
      </c>
      <c r="N3707" s="33" t="s">
        <v>22998</v>
      </c>
      <c r="O3707" s="33" t="s">
        <v>372</v>
      </c>
      <c r="P3707" s="33" t="s">
        <v>30089</v>
      </c>
      <c r="Q3707" s="40" t="s">
        <v>22999</v>
      </c>
      <c r="R3707" s="33" t="s">
        <v>512</v>
      </c>
      <c r="S3707" s="33" t="s">
        <v>22</v>
      </c>
      <c r="T3707" s="33" t="s">
        <v>26600</v>
      </c>
      <c r="U3707" s="33" t="s">
        <v>26575</v>
      </c>
      <c r="V3707" s="33" t="s">
        <v>26573</v>
      </c>
      <c r="W3707" s="33" t="s">
        <v>94</v>
      </c>
      <c r="X3707" s="33">
        <v>1799</v>
      </c>
      <c r="Z3707" s="33" t="s">
        <v>42966</v>
      </c>
      <c r="AA3707" s="33">
        <v>3954</v>
      </c>
    </row>
    <row r="3708" spans="1:27" ht="12" customHeight="1" x14ac:dyDescent="0.15">
      <c r="A3708" s="33" t="s">
        <v>22986</v>
      </c>
      <c r="B3708" s="33">
        <v>22</v>
      </c>
      <c r="C3708" s="33" t="s">
        <v>14</v>
      </c>
      <c r="D3708" s="33" t="s">
        <v>42</v>
      </c>
      <c r="F3708" s="67">
        <v>42601</v>
      </c>
      <c r="G3708" s="33" t="s">
        <v>22987</v>
      </c>
      <c r="H3708" s="33" t="s">
        <v>584</v>
      </c>
      <c r="I3708" s="33" t="s">
        <v>112</v>
      </c>
      <c r="J3708" s="33">
        <v>85006</v>
      </c>
      <c r="K3708" s="33" t="s">
        <v>585</v>
      </c>
      <c r="L3708" s="33" t="s">
        <v>586</v>
      </c>
      <c r="M3708" s="33" t="s">
        <v>21</v>
      </c>
      <c r="N3708" s="33" t="s">
        <v>22988</v>
      </c>
      <c r="O3708" s="33" t="s">
        <v>372</v>
      </c>
      <c r="P3708" s="33" t="s">
        <v>30089</v>
      </c>
      <c r="Q3708" s="40" t="s">
        <v>22989</v>
      </c>
      <c r="R3708" s="33" t="s">
        <v>94</v>
      </c>
      <c r="S3708" s="33" t="s">
        <v>12</v>
      </c>
      <c r="T3708" s="33" t="s">
        <v>29705</v>
      </c>
      <c r="U3708" s="33" t="s">
        <v>26572</v>
      </c>
      <c r="V3708" s="33" t="s">
        <v>26573</v>
      </c>
      <c r="W3708" s="33" t="s">
        <v>94</v>
      </c>
      <c r="X3708" s="33">
        <v>1800</v>
      </c>
      <c r="Z3708" s="33" t="s">
        <v>42966</v>
      </c>
      <c r="AA3708" s="33">
        <v>3957</v>
      </c>
    </row>
    <row r="3709" spans="1:27" ht="12" customHeight="1" x14ac:dyDescent="0.15">
      <c r="A3709" s="33" t="s">
        <v>22982</v>
      </c>
      <c r="B3709" s="33">
        <v>54</v>
      </c>
      <c r="C3709" s="33" t="s">
        <v>14</v>
      </c>
      <c r="D3709" s="33" t="s">
        <v>31</v>
      </c>
      <c r="F3709" s="67">
        <v>42601</v>
      </c>
      <c r="G3709" s="33" t="s">
        <v>22983</v>
      </c>
      <c r="H3709" s="33" t="s">
        <v>1138</v>
      </c>
      <c r="I3709" s="33" t="s">
        <v>298</v>
      </c>
      <c r="J3709" s="33">
        <v>37412</v>
      </c>
      <c r="K3709" s="33" t="s">
        <v>505</v>
      </c>
      <c r="L3709" s="33" t="s">
        <v>22984</v>
      </c>
      <c r="M3709" s="33" t="s">
        <v>21</v>
      </c>
      <c r="N3709" s="33" t="s">
        <v>36677</v>
      </c>
      <c r="O3709" s="33" t="s">
        <v>372</v>
      </c>
      <c r="P3709" s="33" t="s">
        <v>30089</v>
      </c>
      <c r="Q3709" s="40" t="s">
        <v>22985</v>
      </c>
      <c r="R3709" s="33" t="s">
        <v>94</v>
      </c>
      <c r="S3709" s="33" t="s">
        <v>22</v>
      </c>
      <c r="T3709" s="33" t="s">
        <v>26774</v>
      </c>
      <c r="U3709" s="33" t="s">
        <v>26570</v>
      </c>
      <c r="V3709" s="33" t="s">
        <v>26573</v>
      </c>
      <c r="W3709" s="33" t="s">
        <v>94</v>
      </c>
      <c r="X3709" s="33">
        <v>1810</v>
      </c>
      <c r="Z3709" s="33" t="s">
        <v>42968</v>
      </c>
      <c r="AA3709" s="33">
        <v>3955</v>
      </c>
    </row>
    <row r="3710" spans="1:27" ht="12" customHeight="1" x14ac:dyDescent="0.15">
      <c r="A3710" s="33" t="s">
        <v>23000</v>
      </c>
      <c r="B3710" s="33">
        <v>29</v>
      </c>
      <c r="C3710" s="33" t="s">
        <v>14</v>
      </c>
      <c r="D3710" s="33" t="s">
        <v>31</v>
      </c>
      <c r="F3710" s="67">
        <v>42601</v>
      </c>
      <c r="G3710" s="33" t="s">
        <v>23001</v>
      </c>
      <c r="H3710" s="33" t="s">
        <v>1506</v>
      </c>
      <c r="I3710" s="33" t="s">
        <v>250</v>
      </c>
      <c r="J3710" s="33">
        <v>89506</v>
      </c>
      <c r="K3710" s="33" t="s">
        <v>5732</v>
      </c>
      <c r="L3710" s="33" t="s">
        <v>14658</v>
      </c>
      <c r="M3710" s="33" t="s">
        <v>21</v>
      </c>
      <c r="N3710" s="33" t="s">
        <v>23002</v>
      </c>
      <c r="O3710" s="33" t="s">
        <v>372</v>
      </c>
      <c r="P3710" s="33" t="s">
        <v>30089</v>
      </c>
      <c r="Q3710" s="40" t="s">
        <v>23003</v>
      </c>
      <c r="R3710" s="33" t="s">
        <v>94</v>
      </c>
      <c r="S3710" s="33" t="s">
        <v>29</v>
      </c>
      <c r="T3710" s="33" t="s">
        <v>26575</v>
      </c>
      <c r="U3710" s="33" t="s">
        <v>26575</v>
      </c>
      <c r="V3710" s="33" t="s">
        <v>26571</v>
      </c>
      <c r="W3710" s="33" t="s">
        <v>94</v>
      </c>
      <c r="X3710" s="33">
        <v>1808</v>
      </c>
      <c r="Z3710" s="33" t="s">
        <v>42968</v>
      </c>
      <c r="AA3710" s="33">
        <v>3958</v>
      </c>
    </row>
    <row r="3711" spans="1:27" ht="12" customHeight="1" x14ac:dyDescent="0.15">
      <c r="A3711" s="33" t="s">
        <v>22990</v>
      </c>
      <c r="B3711" s="33">
        <v>31</v>
      </c>
      <c r="C3711" s="33" t="s">
        <v>14</v>
      </c>
      <c r="D3711" s="33" t="s">
        <v>31</v>
      </c>
      <c r="F3711" s="67">
        <v>42601</v>
      </c>
      <c r="G3711" s="33" t="s">
        <v>22991</v>
      </c>
      <c r="H3711" s="33" t="s">
        <v>6257</v>
      </c>
      <c r="I3711" s="33" t="s">
        <v>409</v>
      </c>
      <c r="J3711" s="33">
        <v>54961</v>
      </c>
      <c r="K3711" s="33" t="s">
        <v>22992</v>
      </c>
      <c r="L3711" s="33" t="s">
        <v>6259</v>
      </c>
      <c r="M3711" s="33" t="s">
        <v>21</v>
      </c>
      <c r="N3711" s="33" t="s">
        <v>22993</v>
      </c>
      <c r="O3711" s="33" t="s">
        <v>372</v>
      </c>
      <c r="P3711" s="33" t="s">
        <v>30089</v>
      </c>
      <c r="Q3711" s="40" t="s">
        <v>22994</v>
      </c>
      <c r="R3711" s="33" t="s">
        <v>512</v>
      </c>
      <c r="S3711" s="33" t="s">
        <v>12</v>
      </c>
      <c r="T3711" s="33" t="s">
        <v>29425</v>
      </c>
      <c r="U3711" s="33" t="s">
        <v>26572</v>
      </c>
      <c r="V3711" s="33" t="s">
        <v>26573</v>
      </c>
      <c r="W3711" s="33" t="s">
        <v>512</v>
      </c>
      <c r="X3711" s="33">
        <v>1806</v>
      </c>
      <c r="Z3711" s="33" t="s">
        <v>42967</v>
      </c>
      <c r="AA3711" s="33">
        <v>3956</v>
      </c>
    </row>
    <row r="3712" spans="1:27" ht="12" customHeight="1" x14ac:dyDescent="0.15">
      <c r="A3712" s="33" t="s">
        <v>23004</v>
      </c>
      <c r="B3712" s="33">
        <v>37</v>
      </c>
      <c r="C3712" s="33" t="s">
        <v>14</v>
      </c>
      <c r="D3712" s="33" t="s">
        <v>42</v>
      </c>
      <c r="E3712" s="33" t="s">
        <v>23005</v>
      </c>
      <c r="F3712" s="67">
        <v>42600</v>
      </c>
      <c r="G3712" s="33" t="s">
        <v>26666</v>
      </c>
      <c r="H3712" s="33" t="s">
        <v>631</v>
      </c>
      <c r="I3712" s="33" t="s">
        <v>39</v>
      </c>
      <c r="J3712" s="33">
        <v>93307</v>
      </c>
      <c r="K3712" s="33" t="s">
        <v>632</v>
      </c>
      <c r="L3712" s="33" t="s">
        <v>633</v>
      </c>
      <c r="M3712" s="33" t="s">
        <v>21</v>
      </c>
      <c r="N3712" s="33" t="s">
        <v>23006</v>
      </c>
      <c r="O3712" s="33" t="s">
        <v>372</v>
      </c>
      <c r="P3712" s="33" t="s">
        <v>30089</v>
      </c>
      <c r="Q3712" s="40" t="s">
        <v>23007</v>
      </c>
      <c r="R3712" s="33" t="s">
        <v>94</v>
      </c>
      <c r="S3712" s="33" t="s">
        <v>22</v>
      </c>
      <c r="T3712" s="33" t="s">
        <v>26781</v>
      </c>
      <c r="U3712" s="33" t="s">
        <v>26572</v>
      </c>
      <c r="V3712" s="33" t="s">
        <v>26571</v>
      </c>
      <c r="W3712" s="33" t="s">
        <v>94</v>
      </c>
      <c r="X3712" s="33">
        <v>1794</v>
      </c>
      <c r="Z3712" s="33" t="s">
        <v>42968</v>
      </c>
      <c r="AA3712" s="33">
        <v>3946</v>
      </c>
    </row>
    <row r="3713" spans="1:27" ht="12" customHeight="1" x14ac:dyDescent="0.15">
      <c r="A3713" s="33" t="s">
        <v>23037</v>
      </c>
      <c r="B3713" s="33">
        <v>36</v>
      </c>
      <c r="C3713" s="33" t="s">
        <v>14</v>
      </c>
      <c r="D3713" s="33" t="s">
        <v>31</v>
      </c>
      <c r="E3713" s="33" t="s">
        <v>23038</v>
      </c>
      <c r="F3713" s="67">
        <v>42600</v>
      </c>
      <c r="G3713" s="33" t="s">
        <v>26667</v>
      </c>
      <c r="H3713" s="33" t="s">
        <v>11615</v>
      </c>
      <c r="I3713" s="33" t="s">
        <v>337</v>
      </c>
      <c r="J3713" s="33">
        <v>67601</v>
      </c>
      <c r="K3713" s="33" t="s">
        <v>1840</v>
      </c>
      <c r="L3713" s="33" t="s">
        <v>23039</v>
      </c>
      <c r="M3713" s="33" t="s">
        <v>21</v>
      </c>
      <c r="N3713" s="33" t="s">
        <v>36680</v>
      </c>
      <c r="O3713" s="33" t="s">
        <v>372</v>
      </c>
      <c r="P3713" s="33" t="s">
        <v>30089</v>
      </c>
      <c r="Q3713" s="40" t="s">
        <v>23040</v>
      </c>
      <c r="R3713" s="33" t="s">
        <v>94</v>
      </c>
      <c r="S3713" s="33" t="s">
        <v>29</v>
      </c>
      <c r="T3713" s="33" t="s">
        <v>26575</v>
      </c>
      <c r="U3713" s="33" t="s">
        <v>26570</v>
      </c>
      <c r="V3713" s="33" t="s">
        <v>26571</v>
      </c>
      <c r="W3713" s="33" t="s">
        <v>94</v>
      </c>
      <c r="X3713" s="33">
        <v>1798</v>
      </c>
      <c r="Z3713" s="33" t="s">
        <v>42968</v>
      </c>
      <c r="AA3713" s="33">
        <v>3953</v>
      </c>
    </row>
    <row r="3714" spans="1:27" ht="12" customHeight="1" x14ac:dyDescent="0.15">
      <c r="A3714" s="33" t="s">
        <v>23019</v>
      </c>
      <c r="B3714" s="33">
        <v>46</v>
      </c>
      <c r="C3714" s="33" t="s">
        <v>14</v>
      </c>
      <c r="D3714" s="33" t="s">
        <v>15</v>
      </c>
      <c r="F3714" s="67">
        <v>42600</v>
      </c>
      <c r="G3714" s="33" t="s">
        <v>23020</v>
      </c>
      <c r="H3714" s="33" t="s">
        <v>23021</v>
      </c>
      <c r="I3714" s="33" t="s">
        <v>39</v>
      </c>
      <c r="J3714" s="33">
        <v>94904</v>
      </c>
      <c r="K3714" s="33" t="s">
        <v>23022</v>
      </c>
      <c r="L3714" s="33" t="s">
        <v>23023</v>
      </c>
      <c r="M3714" s="33" t="s">
        <v>2909</v>
      </c>
      <c r="N3714" s="33" t="s">
        <v>23024</v>
      </c>
      <c r="O3714" s="33" t="s">
        <v>372</v>
      </c>
      <c r="P3714" s="33" t="s">
        <v>30089</v>
      </c>
      <c r="Q3714" s="40" t="s">
        <v>23025</v>
      </c>
      <c r="R3714" s="33" t="s">
        <v>512</v>
      </c>
      <c r="S3714" s="33" t="s">
        <v>12</v>
      </c>
      <c r="T3714" s="33" t="s">
        <v>29705</v>
      </c>
      <c r="U3714" s="33" t="s">
        <v>26570</v>
      </c>
      <c r="V3714" s="33" t="s">
        <v>26573</v>
      </c>
      <c r="Z3714" s="33" t="s">
        <v>42968</v>
      </c>
      <c r="AA3714" s="33">
        <v>3951</v>
      </c>
    </row>
    <row r="3715" spans="1:27" ht="12" customHeight="1" x14ac:dyDescent="0.15">
      <c r="A3715" s="33" t="s">
        <v>23012</v>
      </c>
      <c r="B3715" s="33">
        <v>59</v>
      </c>
      <c r="C3715" s="33" t="s">
        <v>14</v>
      </c>
      <c r="D3715" s="33" t="s">
        <v>31</v>
      </c>
      <c r="F3715" s="67">
        <v>42600</v>
      </c>
      <c r="G3715" s="33" t="s">
        <v>23013</v>
      </c>
      <c r="H3715" s="33" t="s">
        <v>23014</v>
      </c>
      <c r="I3715" s="33" t="s">
        <v>39</v>
      </c>
      <c r="J3715" s="33">
        <v>95519</v>
      </c>
      <c r="K3715" s="33" t="s">
        <v>4965</v>
      </c>
      <c r="L3715" s="33" t="s">
        <v>12271</v>
      </c>
      <c r="M3715" s="33" t="s">
        <v>21</v>
      </c>
      <c r="N3715" s="33" t="s">
        <v>36679</v>
      </c>
      <c r="O3715" s="33" t="s">
        <v>372</v>
      </c>
      <c r="P3715" s="33" t="s">
        <v>30089</v>
      </c>
      <c r="Q3715" s="40" t="s">
        <v>23015</v>
      </c>
      <c r="R3715" s="33" t="s">
        <v>512</v>
      </c>
      <c r="S3715" s="33" t="s">
        <v>22</v>
      </c>
      <c r="T3715" s="33" t="s">
        <v>26781</v>
      </c>
      <c r="U3715" s="33" t="s">
        <v>26572</v>
      </c>
      <c r="V3715" s="33" t="s">
        <v>26573</v>
      </c>
      <c r="W3715" s="33" t="s">
        <v>94</v>
      </c>
      <c r="X3715" s="33">
        <v>1831</v>
      </c>
      <c r="Z3715" s="33" t="s">
        <v>42968</v>
      </c>
      <c r="AA3715" s="33">
        <v>3949</v>
      </c>
    </row>
    <row r="3716" spans="1:27" ht="12" customHeight="1" x14ac:dyDescent="0.15">
      <c r="A3716" s="33" t="s">
        <v>23008</v>
      </c>
      <c r="B3716" s="33">
        <v>29</v>
      </c>
      <c r="C3716" s="33" t="s">
        <v>14</v>
      </c>
      <c r="D3716" s="33" t="s">
        <v>31</v>
      </c>
      <c r="F3716" s="67">
        <v>42600</v>
      </c>
      <c r="G3716" s="33" t="s">
        <v>23009</v>
      </c>
      <c r="H3716" s="33" t="s">
        <v>2157</v>
      </c>
      <c r="I3716" s="33" t="s">
        <v>178</v>
      </c>
      <c r="J3716" s="33">
        <v>88345</v>
      </c>
      <c r="K3716" s="33" t="s">
        <v>2159</v>
      </c>
      <c r="L3716" s="33" t="s">
        <v>2160</v>
      </c>
      <c r="M3716" s="33" t="s">
        <v>21</v>
      </c>
      <c r="N3716" s="33" t="s">
        <v>23010</v>
      </c>
      <c r="O3716" s="33" t="s">
        <v>372</v>
      </c>
      <c r="P3716" s="33" t="s">
        <v>30089</v>
      </c>
      <c r="Q3716" s="40" t="s">
        <v>23011</v>
      </c>
      <c r="R3716" s="33" t="s">
        <v>904</v>
      </c>
      <c r="S3716" s="33" t="s">
        <v>22</v>
      </c>
      <c r="T3716" s="33" t="s">
        <v>26781</v>
      </c>
      <c r="U3716" s="33" t="s">
        <v>26570</v>
      </c>
      <c r="V3716" s="33" t="s">
        <v>26573</v>
      </c>
      <c r="W3716" s="33" t="s">
        <v>94</v>
      </c>
      <c r="X3716" s="33">
        <v>1807</v>
      </c>
      <c r="Z3716" s="33" t="s">
        <v>42968</v>
      </c>
      <c r="AA3716" s="33">
        <v>3948</v>
      </c>
    </row>
    <row r="3717" spans="1:27" ht="12" customHeight="1" x14ac:dyDescent="0.15">
      <c r="A3717" s="33" t="s">
        <v>23016</v>
      </c>
      <c r="B3717" s="33">
        <v>40</v>
      </c>
      <c r="C3717" s="33" t="s">
        <v>14</v>
      </c>
      <c r="D3717" s="33" t="s">
        <v>31</v>
      </c>
      <c r="F3717" s="67">
        <v>42600</v>
      </c>
      <c r="G3717" s="33" t="s">
        <v>23017</v>
      </c>
      <c r="H3717" s="33" t="s">
        <v>1535</v>
      </c>
      <c r="I3717" s="33" t="s">
        <v>39</v>
      </c>
      <c r="J3717" s="33">
        <v>95621</v>
      </c>
      <c r="K3717" s="33" t="s">
        <v>1537</v>
      </c>
      <c r="L3717" s="33" t="s">
        <v>22038</v>
      </c>
      <c r="M3717" s="33" t="s">
        <v>21</v>
      </c>
      <c r="N3717" s="33" t="s">
        <v>36678</v>
      </c>
      <c r="O3717" s="33" t="s">
        <v>372</v>
      </c>
      <c r="P3717" s="33" t="s">
        <v>30089</v>
      </c>
      <c r="Q3717" s="40" t="s">
        <v>23018</v>
      </c>
      <c r="R3717" s="33" t="s">
        <v>94</v>
      </c>
      <c r="S3717" s="33" t="s">
        <v>22</v>
      </c>
      <c r="T3717" s="33" t="s">
        <v>26774</v>
      </c>
      <c r="U3717" s="33" t="s">
        <v>26570</v>
      </c>
      <c r="V3717" s="33" t="s">
        <v>26573</v>
      </c>
      <c r="W3717" s="33" t="s">
        <v>94</v>
      </c>
      <c r="X3717" s="33">
        <v>1797</v>
      </c>
      <c r="Z3717" s="33" t="s">
        <v>42966</v>
      </c>
      <c r="AA3717" s="33">
        <v>3950</v>
      </c>
    </row>
    <row r="3718" spans="1:27" ht="12" customHeight="1" x14ac:dyDescent="0.15">
      <c r="A3718" s="33" t="s">
        <v>23026</v>
      </c>
      <c r="B3718" s="33">
        <v>38</v>
      </c>
      <c r="C3718" s="33" t="s">
        <v>14</v>
      </c>
      <c r="D3718" s="33" t="s">
        <v>31</v>
      </c>
      <c r="E3718" s="33" t="s">
        <v>23027</v>
      </c>
      <c r="F3718" s="67">
        <v>42600</v>
      </c>
      <c r="G3718" s="33" t="s">
        <v>23028</v>
      </c>
      <c r="H3718" s="33" t="s">
        <v>23029</v>
      </c>
      <c r="I3718" s="33" t="s">
        <v>39</v>
      </c>
      <c r="J3718" s="33">
        <v>92064</v>
      </c>
      <c r="K3718" s="33" t="s">
        <v>143</v>
      </c>
      <c r="L3718" s="33" t="s">
        <v>1970</v>
      </c>
      <c r="M3718" s="33" t="s">
        <v>21</v>
      </c>
      <c r="N3718" s="33" t="s">
        <v>23030</v>
      </c>
      <c r="O3718" s="33" t="s">
        <v>372</v>
      </c>
      <c r="P3718" s="33" t="s">
        <v>30089</v>
      </c>
      <c r="Q3718" s="40" t="s">
        <v>23031</v>
      </c>
      <c r="R3718" s="33" t="s">
        <v>94</v>
      </c>
      <c r="S3718" s="33" t="s">
        <v>22</v>
      </c>
      <c r="T3718" s="33" t="s">
        <v>26781</v>
      </c>
      <c r="U3718" s="33" t="s">
        <v>26572</v>
      </c>
      <c r="V3718" s="33" t="s">
        <v>26571</v>
      </c>
      <c r="W3718" s="33" t="s">
        <v>94</v>
      </c>
      <c r="X3718" s="33">
        <v>1801</v>
      </c>
      <c r="Z3718" s="33" t="s">
        <v>42968</v>
      </c>
      <c r="AA3718" s="33">
        <v>3947</v>
      </c>
    </row>
    <row r="3719" spans="1:27" ht="12" customHeight="1" x14ac:dyDescent="0.15">
      <c r="A3719" s="33" t="s">
        <v>23032</v>
      </c>
      <c r="B3719" s="33">
        <v>29</v>
      </c>
      <c r="C3719" s="33" t="s">
        <v>14</v>
      </c>
      <c r="D3719" s="33" t="s">
        <v>31</v>
      </c>
      <c r="E3719" s="33" t="s">
        <v>23033</v>
      </c>
      <c r="F3719" s="67">
        <v>42600</v>
      </c>
      <c r="G3719" s="33" t="s">
        <v>23034</v>
      </c>
      <c r="H3719" s="33" t="s">
        <v>3855</v>
      </c>
      <c r="I3719" s="33" t="s">
        <v>338</v>
      </c>
      <c r="J3719" s="33">
        <v>28215</v>
      </c>
      <c r="K3719" s="33" t="s">
        <v>3857</v>
      </c>
      <c r="L3719" s="33" t="s">
        <v>14794</v>
      </c>
      <c r="M3719" s="33" t="s">
        <v>21</v>
      </c>
      <c r="N3719" s="33" t="s">
        <v>23035</v>
      </c>
      <c r="O3719" s="33" t="s">
        <v>372</v>
      </c>
      <c r="P3719" s="33" t="s">
        <v>30089</v>
      </c>
      <c r="Q3719" s="40" t="s">
        <v>23036</v>
      </c>
      <c r="R3719" s="33" t="s">
        <v>94</v>
      </c>
      <c r="S3719" s="33" t="s">
        <v>12</v>
      </c>
      <c r="T3719" s="33" t="s">
        <v>29705</v>
      </c>
      <c r="U3719" s="33" t="s">
        <v>26570</v>
      </c>
      <c r="V3719" s="33" t="s">
        <v>26571</v>
      </c>
      <c r="W3719" s="33" t="s">
        <v>512</v>
      </c>
      <c r="X3719" s="33">
        <v>1796</v>
      </c>
      <c r="Z3719" s="33" t="s">
        <v>42968</v>
      </c>
      <c r="AA3719" s="33">
        <v>3952</v>
      </c>
    </row>
    <row r="3720" spans="1:27" ht="12" customHeight="1" x14ac:dyDescent="0.15">
      <c r="A3720" s="33" t="s">
        <v>23041</v>
      </c>
      <c r="B3720" s="33">
        <v>27</v>
      </c>
      <c r="C3720" s="33" t="s">
        <v>14</v>
      </c>
      <c r="D3720" s="33" t="s">
        <v>79</v>
      </c>
      <c r="F3720" s="67">
        <v>42599</v>
      </c>
      <c r="G3720" s="33" t="s">
        <v>23042</v>
      </c>
      <c r="H3720" s="33" t="s">
        <v>15140</v>
      </c>
      <c r="I3720" s="33" t="s">
        <v>282</v>
      </c>
      <c r="J3720" s="33">
        <v>98626</v>
      </c>
      <c r="K3720" s="33" t="s">
        <v>1780</v>
      </c>
      <c r="L3720" s="33" t="s">
        <v>15142</v>
      </c>
      <c r="M3720" s="33" t="s">
        <v>21</v>
      </c>
      <c r="N3720" s="33" t="s">
        <v>26729</v>
      </c>
      <c r="O3720" s="33" t="s">
        <v>372</v>
      </c>
      <c r="P3720" s="33" t="s">
        <v>30089</v>
      </c>
      <c r="Q3720" s="40" t="s">
        <v>23043</v>
      </c>
      <c r="R3720" s="33" t="s">
        <v>23</v>
      </c>
      <c r="S3720" s="33" t="s">
        <v>29</v>
      </c>
      <c r="T3720" s="33" t="s">
        <v>26582</v>
      </c>
      <c r="U3720" s="33" t="s">
        <v>26572</v>
      </c>
      <c r="V3720" s="33" t="s">
        <v>26573</v>
      </c>
      <c r="W3720" s="33" t="s">
        <v>94</v>
      </c>
      <c r="X3720" s="33">
        <v>1793</v>
      </c>
      <c r="Z3720" s="33" t="s">
        <v>42967</v>
      </c>
      <c r="AA3720" s="33">
        <v>3945</v>
      </c>
    </row>
    <row r="3721" spans="1:27" ht="12" customHeight="1" x14ac:dyDescent="0.15">
      <c r="A3721" s="33" t="s">
        <v>23066</v>
      </c>
      <c r="B3721" s="33">
        <v>55</v>
      </c>
      <c r="C3721" s="33" t="s">
        <v>14</v>
      </c>
      <c r="D3721" s="33" t="s">
        <v>31</v>
      </c>
      <c r="F3721" s="67">
        <v>42598</v>
      </c>
      <c r="G3721" s="33" t="s">
        <v>23067</v>
      </c>
      <c r="H3721" s="33" t="s">
        <v>1542</v>
      </c>
      <c r="I3721" s="33" t="s">
        <v>139</v>
      </c>
      <c r="J3721" s="33">
        <v>26704</v>
      </c>
      <c r="K3721" s="33" t="s">
        <v>23068</v>
      </c>
      <c r="L3721" s="33" t="s">
        <v>23069</v>
      </c>
      <c r="M3721" s="33" t="s">
        <v>21</v>
      </c>
      <c r="N3721" s="33" t="s">
        <v>36681</v>
      </c>
      <c r="O3721" s="33" t="s">
        <v>372</v>
      </c>
      <c r="P3721" s="33" t="s">
        <v>30089</v>
      </c>
      <c r="Q3721" s="40" t="s">
        <v>23070</v>
      </c>
      <c r="R3721" s="33" t="s">
        <v>94</v>
      </c>
      <c r="S3721" s="33" t="s">
        <v>12</v>
      </c>
      <c r="T3721" s="33" t="s">
        <v>29705</v>
      </c>
      <c r="U3721" s="33" t="s">
        <v>26570</v>
      </c>
      <c r="V3721" s="33" t="s">
        <v>26573</v>
      </c>
      <c r="W3721" s="33" t="s">
        <v>94</v>
      </c>
      <c r="X3721" s="33">
        <v>2145</v>
      </c>
      <c r="Z3721" s="33" t="s">
        <v>42967</v>
      </c>
      <c r="AA3721" s="33">
        <v>3944</v>
      </c>
    </row>
    <row r="3722" spans="1:27" ht="12" customHeight="1" x14ac:dyDescent="0.15">
      <c r="A3722" s="33" t="s">
        <v>23071</v>
      </c>
      <c r="B3722" s="33">
        <v>53</v>
      </c>
      <c r="C3722" s="33" t="s">
        <v>14</v>
      </c>
      <c r="D3722" s="33" t="s">
        <v>31</v>
      </c>
      <c r="F3722" s="67">
        <v>42598</v>
      </c>
      <c r="G3722" s="33" t="s">
        <v>23072</v>
      </c>
      <c r="H3722" s="33" t="s">
        <v>15526</v>
      </c>
      <c r="I3722" s="33" t="s">
        <v>112</v>
      </c>
      <c r="J3722" s="33">
        <v>85120</v>
      </c>
      <c r="K3722" s="33" t="s">
        <v>2223</v>
      </c>
      <c r="L3722" s="33" t="s">
        <v>1765</v>
      </c>
      <c r="M3722" s="33" t="s">
        <v>21</v>
      </c>
      <c r="N3722" s="33" t="s">
        <v>23073</v>
      </c>
      <c r="O3722" s="33" t="s">
        <v>372</v>
      </c>
      <c r="P3722" s="33" t="s">
        <v>30089</v>
      </c>
      <c r="Q3722" s="40" t="s">
        <v>23074</v>
      </c>
      <c r="R3722" s="33" t="s">
        <v>94</v>
      </c>
      <c r="S3722" s="33" t="s">
        <v>12</v>
      </c>
      <c r="T3722" s="33" t="s">
        <v>29425</v>
      </c>
      <c r="U3722" s="33" t="s">
        <v>26570</v>
      </c>
      <c r="V3722" s="33" t="s">
        <v>26573</v>
      </c>
      <c r="W3722" s="33" t="s">
        <v>94</v>
      </c>
      <c r="X3722" s="33">
        <v>1790</v>
      </c>
      <c r="Z3722" s="33" t="s">
        <v>42968</v>
      </c>
      <c r="AA3722" s="33">
        <v>3942</v>
      </c>
    </row>
    <row r="3723" spans="1:27" ht="12" customHeight="1" x14ac:dyDescent="0.15">
      <c r="A3723" s="33" t="s">
        <v>23075</v>
      </c>
      <c r="B3723" s="33">
        <v>18</v>
      </c>
      <c r="C3723" s="33" t="s">
        <v>14</v>
      </c>
      <c r="D3723" s="33" t="s">
        <v>79</v>
      </c>
      <c r="F3723" s="67">
        <v>42598</v>
      </c>
      <c r="G3723" s="33" t="s">
        <v>26668</v>
      </c>
      <c r="H3723" s="33" t="s">
        <v>92</v>
      </c>
      <c r="I3723" s="33" t="s">
        <v>39</v>
      </c>
      <c r="J3723" s="33">
        <v>90003</v>
      </c>
      <c r="K3723" s="33" t="s">
        <v>92</v>
      </c>
      <c r="L3723" s="33" t="s">
        <v>93</v>
      </c>
      <c r="M3723" s="33" t="s">
        <v>21</v>
      </c>
      <c r="N3723" s="33" t="s">
        <v>23076</v>
      </c>
      <c r="O3723" s="33" t="s">
        <v>372</v>
      </c>
      <c r="P3723" s="33" t="s">
        <v>30089</v>
      </c>
      <c r="Q3723" s="40" t="s">
        <v>23077</v>
      </c>
      <c r="R3723" s="33" t="s">
        <v>94</v>
      </c>
      <c r="S3723" s="33" t="s">
        <v>22</v>
      </c>
      <c r="T3723" s="33" t="s">
        <v>26781</v>
      </c>
      <c r="U3723" s="33" t="s">
        <v>26570</v>
      </c>
      <c r="V3723" s="33" t="s">
        <v>26574</v>
      </c>
      <c r="W3723" s="33" t="s">
        <v>94</v>
      </c>
      <c r="X3723" s="33">
        <v>1795</v>
      </c>
      <c r="Z3723" s="33" t="s">
        <v>42966</v>
      </c>
      <c r="AA3723" s="33">
        <v>3941</v>
      </c>
    </row>
    <row r="3724" spans="1:27" ht="12" customHeight="1" x14ac:dyDescent="0.15">
      <c r="A3724" s="33" t="s">
        <v>23055</v>
      </c>
      <c r="B3724" s="33">
        <v>36</v>
      </c>
      <c r="C3724" s="33" t="s">
        <v>14</v>
      </c>
      <c r="D3724" s="33" t="s">
        <v>31</v>
      </c>
      <c r="F3724" s="67">
        <v>42598</v>
      </c>
      <c r="G3724" s="33" t="s">
        <v>23056</v>
      </c>
      <c r="H3724" s="33" t="s">
        <v>3237</v>
      </c>
      <c r="I3724" s="33" t="s">
        <v>63</v>
      </c>
      <c r="J3724" s="33">
        <v>44085</v>
      </c>
      <c r="K3724" s="33" t="s">
        <v>23057</v>
      </c>
      <c r="L3724" s="33" t="s">
        <v>23058</v>
      </c>
      <c r="M3724" s="33" t="s">
        <v>21</v>
      </c>
      <c r="N3724" s="33" t="s">
        <v>23059</v>
      </c>
      <c r="O3724" s="33" t="s">
        <v>372</v>
      </c>
      <c r="P3724" s="33" t="s">
        <v>30089</v>
      </c>
      <c r="Q3724" s="40" t="s">
        <v>23060</v>
      </c>
      <c r="R3724" s="33" t="s">
        <v>23</v>
      </c>
      <c r="S3724" s="33" t="s">
        <v>22</v>
      </c>
      <c r="T3724" s="33" t="s">
        <v>26781</v>
      </c>
      <c r="U3724" s="33" t="s">
        <v>26570</v>
      </c>
      <c r="V3724" s="33" t="s">
        <v>26571</v>
      </c>
      <c r="W3724" s="33" t="s">
        <v>94</v>
      </c>
      <c r="X3724" s="33">
        <v>1787</v>
      </c>
      <c r="Z3724" s="33" t="s">
        <v>42967</v>
      </c>
      <c r="AA3724" s="33">
        <v>3938</v>
      </c>
    </row>
    <row r="3725" spans="1:27" ht="12" customHeight="1" x14ac:dyDescent="0.15">
      <c r="A3725" s="33" t="s">
        <v>23044</v>
      </c>
      <c r="B3725" s="33">
        <v>30</v>
      </c>
      <c r="C3725" s="33" t="s">
        <v>14</v>
      </c>
      <c r="D3725" s="33" t="s">
        <v>79</v>
      </c>
      <c r="E3725" s="33" t="s">
        <v>23045</v>
      </c>
      <c r="F3725" s="67">
        <v>42598</v>
      </c>
      <c r="G3725" s="33" t="s">
        <v>23046</v>
      </c>
      <c r="H3725" s="33" t="s">
        <v>1645</v>
      </c>
      <c r="I3725" s="33" t="s">
        <v>39</v>
      </c>
      <c r="J3725" s="33">
        <v>95207</v>
      </c>
      <c r="K3725" s="33" t="s">
        <v>1647</v>
      </c>
      <c r="L3725" s="33" t="s">
        <v>1648</v>
      </c>
      <c r="M3725" s="33" t="s">
        <v>21</v>
      </c>
      <c r="N3725" s="33" t="s">
        <v>23047</v>
      </c>
      <c r="O3725" s="33" t="s">
        <v>372</v>
      </c>
      <c r="P3725" s="33" t="s">
        <v>30089</v>
      </c>
      <c r="Q3725" s="40" t="s">
        <v>23048</v>
      </c>
      <c r="R3725" s="33" t="s">
        <v>94</v>
      </c>
      <c r="S3725" s="33" t="s">
        <v>22</v>
      </c>
      <c r="T3725" s="33" t="s">
        <v>26781</v>
      </c>
      <c r="U3725" s="33" t="s">
        <v>26570</v>
      </c>
      <c r="V3725" s="33" t="s">
        <v>26574</v>
      </c>
      <c r="W3725" s="33" t="s">
        <v>512</v>
      </c>
      <c r="X3725" s="33">
        <v>1791</v>
      </c>
      <c r="Z3725" s="33" t="s">
        <v>42966</v>
      </c>
      <c r="AA3725" s="33">
        <v>3940</v>
      </c>
    </row>
    <row r="3726" spans="1:27" ht="12" customHeight="1" x14ac:dyDescent="0.15">
      <c r="A3726" s="33" t="s">
        <v>23061</v>
      </c>
      <c r="B3726" s="33">
        <v>25</v>
      </c>
      <c r="C3726" s="33" t="s">
        <v>14</v>
      </c>
      <c r="D3726" s="33" t="s">
        <v>42</v>
      </c>
      <c r="F3726" s="67">
        <v>42598</v>
      </c>
      <c r="G3726" s="33" t="s">
        <v>23062</v>
      </c>
      <c r="H3726" s="33" t="s">
        <v>518</v>
      </c>
      <c r="I3726" s="33" t="s">
        <v>112</v>
      </c>
      <c r="J3726" s="33">
        <v>85735</v>
      </c>
      <c r="K3726" s="33" t="s">
        <v>519</v>
      </c>
      <c r="L3726" s="33" t="s">
        <v>23063</v>
      </c>
      <c r="M3726" s="33" t="s">
        <v>21</v>
      </c>
      <c r="N3726" s="33" t="s">
        <v>23064</v>
      </c>
      <c r="O3726" s="33" t="s">
        <v>372</v>
      </c>
      <c r="P3726" s="33" t="s">
        <v>30089</v>
      </c>
      <c r="Q3726" s="40" t="s">
        <v>23065</v>
      </c>
      <c r="R3726" s="33" t="s">
        <v>94</v>
      </c>
      <c r="S3726" s="33" t="s">
        <v>12</v>
      </c>
      <c r="T3726" s="33" t="s">
        <v>29705</v>
      </c>
      <c r="U3726" s="33" t="s">
        <v>26572</v>
      </c>
      <c r="V3726" s="33" t="s">
        <v>26573</v>
      </c>
      <c r="W3726" s="33" t="s">
        <v>94</v>
      </c>
      <c r="X3726" s="33">
        <v>1792</v>
      </c>
      <c r="Z3726" s="33" t="s">
        <v>42967</v>
      </c>
      <c r="AA3726" s="33">
        <v>3943</v>
      </c>
    </row>
    <row r="3727" spans="1:27" ht="12" customHeight="1" x14ac:dyDescent="0.15">
      <c r="A3727" s="33" t="s">
        <v>23049</v>
      </c>
      <c r="B3727" s="33">
        <v>32</v>
      </c>
      <c r="C3727" s="33" t="s">
        <v>14</v>
      </c>
      <c r="D3727" s="33" t="s">
        <v>31</v>
      </c>
      <c r="E3727" s="33" t="s">
        <v>23050</v>
      </c>
      <c r="F3727" s="67">
        <v>42598</v>
      </c>
      <c r="G3727" s="33" t="s">
        <v>23051</v>
      </c>
      <c r="H3727" s="33" t="s">
        <v>19413</v>
      </c>
      <c r="I3727" s="33" t="s">
        <v>338</v>
      </c>
      <c r="J3727" s="33">
        <v>28645</v>
      </c>
      <c r="K3727" s="33" t="s">
        <v>7861</v>
      </c>
      <c r="L3727" s="33" t="s">
        <v>23052</v>
      </c>
      <c r="M3727" s="33" t="s">
        <v>21</v>
      </c>
      <c r="N3727" s="33" t="s">
        <v>23053</v>
      </c>
      <c r="O3727" s="33" t="s">
        <v>372</v>
      </c>
      <c r="P3727" s="33" t="s">
        <v>30089</v>
      </c>
      <c r="Q3727" s="40" t="s">
        <v>23054</v>
      </c>
      <c r="R3727" s="33" t="s">
        <v>94</v>
      </c>
      <c r="S3727" s="33" t="s">
        <v>22</v>
      </c>
      <c r="T3727" s="33" t="s">
        <v>26781</v>
      </c>
      <c r="U3727" s="33" t="s">
        <v>26572</v>
      </c>
      <c r="V3727" s="33" t="s">
        <v>26574</v>
      </c>
      <c r="W3727" s="33" t="s">
        <v>512</v>
      </c>
      <c r="X3727" s="33">
        <v>1789</v>
      </c>
      <c r="Z3727" s="33" t="s">
        <v>42967</v>
      </c>
      <c r="AA3727" s="33">
        <v>3939</v>
      </c>
    </row>
    <row r="3728" spans="1:27" ht="12" customHeight="1" x14ac:dyDescent="0.15">
      <c r="A3728" s="33" t="s">
        <v>23078</v>
      </c>
      <c r="B3728" s="33">
        <v>42</v>
      </c>
      <c r="C3728" s="33" t="s">
        <v>14</v>
      </c>
      <c r="D3728" s="33" t="s">
        <v>31</v>
      </c>
      <c r="E3728" s="33" t="s">
        <v>23079</v>
      </c>
      <c r="F3728" s="67">
        <v>42597</v>
      </c>
      <c r="G3728" s="33" t="s">
        <v>23080</v>
      </c>
      <c r="H3728" s="33" t="s">
        <v>23081</v>
      </c>
      <c r="I3728" s="33" t="s">
        <v>298</v>
      </c>
      <c r="J3728" s="33">
        <v>38326</v>
      </c>
      <c r="K3728" s="33" t="s">
        <v>1316</v>
      </c>
      <c r="L3728" s="33" t="s">
        <v>5161</v>
      </c>
      <c r="M3728" s="33" t="s">
        <v>21</v>
      </c>
      <c r="N3728" s="33" t="s">
        <v>23082</v>
      </c>
      <c r="O3728" s="33" t="s">
        <v>372</v>
      </c>
      <c r="P3728" s="33" t="s">
        <v>30089</v>
      </c>
      <c r="Q3728" s="40" t="s">
        <v>23083</v>
      </c>
      <c r="R3728" s="33" t="s">
        <v>23</v>
      </c>
      <c r="S3728" s="33" t="s">
        <v>22</v>
      </c>
      <c r="T3728" s="33" t="s">
        <v>26781</v>
      </c>
      <c r="U3728" s="33" t="s">
        <v>26572</v>
      </c>
      <c r="V3728" s="33" t="s">
        <v>19228</v>
      </c>
      <c r="W3728" s="33" t="s">
        <v>94</v>
      </c>
      <c r="X3728" s="33">
        <v>1788</v>
      </c>
      <c r="Z3728" s="33" t="s">
        <v>42967</v>
      </c>
      <c r="AA3728" s="33">
        <v>3936</v>
      </c>
    </row>
    <row r="3729" spans="1:27" ht="12" customHeight="1" x14ac:dyDescent="0.15">
      <c r="A3729" s="33" t="s">
        <v>23084</v>
      </c>
      <c r="B3729" s="33">
        <v>29</v>
      </c>
      <c r="C3729" s="33" t="s">
        <v>14</v>
      </c>
      <c r="D3729" s="33" t="s">
        <v>42</v>
      </c>
      <c r="F3729" s="67">
        <v>42597</v>
      </c>
      <c r="G3729" s="33" t="s">
        <v>23085</v>
      </c>
      <c r="H3729" s="33" t="s">
        <v>23086</v>
      </c>
      <c r="I3729" s="33" t="s">
        <v>225</v>
      </c>
      <c r="J3729" s="33">
        <v>22042</v>
      </c>
      <c r="K3729" s="33" t="s">
        <v>4065</v>
      </c>
      <c r="L3729" s="33" t="s">
        <v>4066</v>
      </c>
      <c r="M3729" s="33" t="s">
        <v>21</v>
      </c>
      <c r="N3729" s="33" t="s">
        <v>23087</v>
      </c>
      <c r="O3729" s="33" t="s">
        <v>372</v>
      </c>
      <c r="P3729" s="33" t="s">
        <v>30089</v>
      </c>
      <c r="Q3729" s="40" t="s">
        <v>23088</v>
      </c>
      <c r="R3729" s="33" t="s">
        <v>512</v>
      </c>
      <c r="S3729" s="33" t="s">
        <v>22</v>
      </c>
      <c r="T3729" s="33" t="s">
        <v>26601</v>
      </c>
      <c r="U3729" s="33" t="s">
        <v>26570</v>
      </c>
      <c r="V3729" s="33" t="s">
        <v>26573</v>
      </c>
      <c r="W3729" s="33" t="s">
        <v>94</v>
      </c>
      <c r="X3729" s="33">
        <v>1786</v>
      </c>
      <c r="Z3729" s="33" t="s">
        <v>42968</v>
      </c>
      <c r="AA3729" s="33">
        <v>3937</v>
      </c>
    </row>
    <row r="3730" spans="1:27" ht="12" customHeight="1" x14ac:dyDescent="0.15">
      <c r="A3730" s="33" t="s">
        <v>23098</v>
      </c>
      <c r="B3730" s="33">
        <v>38</v>
      </c>
      <c r="C3730" s="33" t="s">
        <v>14</v>
      </c>
      <c r="D3730" s="33" t="s">
        <v>42</v>
      </c>
      <c r="F3730" s="67">
        <v>42595</v>
      </c>
      <c r="G3730" s="33" t="s">
        <v>23099</v>
      </c>
      <c r="H3730" s="33" t="s">
        <v>584</v>
      </c>
      <c r="I3730" s="33" t="s">
        <v>112</v>
      </c>
      <c r="J3730" s="33">
        <v>85031</v>
      </c>
      <c r="K3730" s="33" t="s">
        <v>585</v>
      </c>
      <c r="L3730" s="33" t="s">
        <v>586</v>
      </c>
      <c r="M3730" s="33" t="s">
        <v>21</v>
      </c>
      <c r="N3730" s="33" t="s">
        <v>23100</v>
      </c>
      <c r="O3730" s="33" t="s">
        <v>372</v>
      </c>
      <c r="P3730" s="33" t="s">
        <v>30089</v>
      </c>
      <c r="Q3730" s="40" t="s">
        <v>23101</v>
      </c>
      <c r="R3730" s="33" t="s">
        <v>512</v>
      </c>
      <c r="S3730" s="33" t="s">
        <v>22</v>
      </c>
      <c r="T3730" s="33" t="s">
        <v>26774</v>
      </c>
      <c r="U3730" s="33" t="s">
        <v>26572</v>
      </c>
      <c r="V3730" s="33" t="s">
        <v>26573</v>
      </c>
      <c r="W3730" s="33" t="s">
        <v>94</v>
      </c>
      <c r="X3730" s="33">
        <v>1781</v>
      </c>
      <c r="Z3730" s="33" t="s">
        <v>42966</v>
      </c>
      <c r="AA3730" s="33">
        <v>3933</v>
      </c>
    </row>
    <row r="3731" spans="1:27" ht="12" customHeight="1" x14ac:dyDescent="0.15">
      <c r="A3731" s="33" t="s">
        <v>23089</v>
      </c>
      <c r="B3731" s="33">
        <v>23</v>
      </c>
      <c r="C3731" s="33" t="s">
        <v>14</v>
      </c>
      <c r="D3731" s="33" t="s">
        <v>79</v>
      </c>
      <c r="E3731" s="33" t="s">
        <v>23090</v>
      </c>
      <c r="F3731" s="67">
        <v>42595</v>
      </c>
      <c r="G3731" s="33" t="s">
        <v>23091</v>
      </c>
      <c r="H3731" s="33" t="s">
        <v>831</v>
      </c>
      <c r="I3731" s="33" t="s">
        <v>409</v>
      </c>
      <c r="J3731" s="33">
        <v>53216</v>
      </c>
      <c r="K3731" s="33" t="s">
        <v>831</v>
      </c>
      <c r="L3731" s="33" t="s">
        <v>3545</v>
      </c>
      <c r="M3731" s="33" t="s">
        <v>21</v>
      </c>
      <c r="N3731" s="33" t="s">
        <v>23092</v>
      </c>
      <c r="O3731" s="33" t="s">
        <v>27755</v>
      </c>
      <c r="P3731" s="33" t="s">
        <v>18576</v>
      </c>
      <c r="Q3731" s="40" t="s">
        <v>23093</v>
      </c>
      <c r="R3731" s="33" t="s">
        <v>94</v>
      </c>
      <c r="S3731" s="33" t="s">
        <v>22</v>
      </c>
      <c r="T3731" s="33" t="s">
        <v>26781</v>
      </c>
      <c r="U3731" s="33" t="s">
        <v>26570</v>
      </c>
      <c r="V3731" s="33" t="s">
        <v>26574</v>
      </c>
      <c r="W3731" s="33" t="s">
        <v>512</v>
      </c>
      <c r="X3731" s="33">
        <v>1780</v>
      </c>
      <c r="Z3731" s="33" t="s">
        <v>42966</v>
      </c>
      <c r="AA3731" s="33">
        <v>3931</v>
      </c>
    </row>
    <row r="3732" spans="1:27" ht="12" customHeight="1" x14ac:dyDescent="0.15">
      <c r="A3732" s="33" t="s">
        <v>23094</v>
      </c>
      <c r="B3732" s="33">
        <v>53</v>
      </c>
      <c r="C3732" s="33" t="s">
        <v>14</v>
      </c>
      <c r="D3732" s="33" t="s">
        <v>31</v>
      </c>
      <c r="F3732" s="67">
        <v>42595</v>
      </c>
      <c r="G3732" s="33" t="s">
        <v>23095</v>
      </c>
      <c r="H3732" s="33" t="s">
        <v>1342</v>
      </c>
      <c r="I3732" s="33" t="s">
        <v>192</v>
      </c>
      <c r="J3732" s="33">
        <v>80226</v>
      </c>
      <c r="K3732" s="33" t="s">
        <v>1659</v>
      </c>
      <c r="L3732" s="33" t="s">
        <v>23</v>
      </c>
      <c r="M3732" s="33" t="s">
        <v>21</v>
      </c>
      <c r="N3732" s="33" t="s">
        <v>23096</v>
      </c>
      <c r="O3732" s="33" t="s">
        <v>372</v>
      </c>
      <c r="P3732" s="33" t="s">
        <v>30089</v>
      </c>
      <c r="Q3732" s="40" t="s">
        <v>23097</v>
      </c>
      <c r="R3732" s="33" t="s">
        <v>94</v>
      </c>
      <c r="S3732" s="33" t="s">
        <v>22</v>
      </c>
      <c r="T3732" s="33" t="s">
        <v>26781</v>
      </c>
      <c r="U3732" s="33" t="s">
        <v>26570</v>
      </c>
      <c r="V3732" s="33" t="s">
        <v>26573</v>
      </c>
      <c r="W3732" s="33" t="s">
        <v>94</v>
      </c>
      <c r="X3732" s="33">
        <v>1784</v>
      </c>
      <c r="Z3732" s="33" t="s">
        <v>42968</v>
      </c>
      <c r="AA3732" s="33">
        <v>3932</v>
      </c>
    </row>
    <row r="3733" spans="1:27" ht="12" customHeight="1" x14ac:dyDescent="0.15">
      <c r="A3733" s="33" t="s">
        <v>23108</v>
      </c>
      <c r="B3733" s="33">
        <v>36</v>
      </c>
      <c r="C3733" s="33" t="s">
        <v>14</v>
      </c>
      <c r="D3733" s="33" t="s">
        <v>42</v>
      </c>
      <c r="F3733" s="67">
        <v>42595</v>
      </c>
      <c r="G3733" s="33" t="s">
        <v>23109</v>
      </c>
      <c r="H3733" s="33" t="s">
        <v>7928</v>
      </c>
      <c r="I3733" s="33" t="s">
        <v>39</v>
      </c>
      <c r="J3733" s="33">
        <v>94544</v>
      </c>
      <c r="K3733" s="33" t="s">
        <v>558</v>
      </c>
      <c r="L3733" s="33" t="s">
        <v>7930</v>
      </c>
      <c r="M3733" s="33" t="s">
        <v>21</v>
      </c>
      <c r="N3733" s="33" t="s">
        <v>23110</v>
      </c>
      <c r="O3733" s="33" t="s">
        <v>372</v>
      </c>
      <c r="P3733" s="33" t="s">
        <v>30089</v>
      </c>
      <c r="Q3733" s="40" t="s">
        <v>23111</v>
      </c>
      <c r="R3733" s="33" t="s">
        <v>94</v>
      </c>
      <c r="S3733" s="33" t="s">
        <v>351</v>
      </c>
      <c r="T3733" s="33" t="s">
        <v>26867</v>
      </c>
      <c r="U3733" s="33" t="s">
        <v>26570</v>
      </c>
      <c r="V3733" s="33" t="s">
        <v>26571</v>
      </c>
      <c r="W3733" s="33" t="s">
        <v>94</v>
      </c>
      <c r="X3733" s="33">
        <v>1832</v>
      </c>
      <c r="Z3733" s="33" t="s">
        <v>42968</v>
      </c>
      <c r="AA3733" s="33">
        <v>3935</v>
      </c>
    </row>
    <row r="3734" spans="1:27" ht="12" customHeight="1" x14ac:dyDescent="0.15">
      <c r="A3734" s="33" t="s">
        <v>6770</v>
      </c>
      <c r="B3734" s="33">
        <v>18</v>
      </c>
      <c r="C3734" s="33" t="s">
        <v>14</v>
      </c>
      <c r="D3734" s="33" t="s">
        <v>79</v>
      </c>
      <c r="F3734" s="67">
        <v>42595</v>
      </c>
      <c r="G3734" s="33" t="s">
        <v>23102</v>
      </c>
      <c r="H3734" s="33" t="s">
        <v>23103</v>
      </c>
      <c r="I3734" s="33" t="s">
        <v>918</v>
      </c>
      <c r="J3734" s="33">
        <v>71655</v>
      </c>
      <c r="K3734" s="33" t="s">
        <v>23104</v>
      </c>
      <c r="L3734" s="33" t="s">
        <v>23105</v>
      </c>
      <c r="M3734" s="33" t="s">
        <v>363</v>
      </c>
      <c r="N3734" s="33" t="s">
        <v>23106</v>
      </c>
      <c r="O3734" s="33" t="s">
        <v>372</v>
      </c>
      <c r="P3734" s="33" t="s">
        <v>30089</v>
      </c>
      <c r="Q3734" s="40" t="s">
        <v>23107</v>
      </c>
      <c r="R3734" s="33" t="s">
        <v>23</v>
      </c>
      <c r="S3734" s="33" t="s">
        <v>12</v>
      </c>
      <c r="T3734" s="33" t="s">
        <v>29705</v>
      </c>
      <c r="U3734" s="33" t="s">
        <v>26575</v>
      </c>
      <c r="V3734" s="33" t="s">
        <v>26573</v>
      </c>
      <c r="Z3734" s="33" t="s">
        <v>42967</v>
      </c>
      <c r="AA3734" s="33">
        <v>3934</v>
      </c>
    </row>
    <row r="3735" spans="1:27" ht="12" customHeight="1" x14ac:dyDescent="0.15">
      <c r="A3735" s="33" t="s">
        <v>23124</v>
      </c>
      <c r="B3735" s="33">
        <v>22</v>
      </c>
      <c r="C3735" s="33" t="s">
        <v>14</v>
      </c>
      <c r="D3735" s="33" t="s">
        <v>42</v>
      </c>
      <c r="F3735" s="67">
        <v>42594</v>
      </c>
      <c r="G3735" s="33" t="s">
        <v>23125</v>
      </c>
      <c r="H3735" s="33" t="s">
        <v>1337</v>
      </c>
      <c r="I3735" s="33" t="s">
        <v>112</v>
      </c>
      <c r="J3735" s="33">
        <v>85201</v>
      </c>
      <c r="K3735" s="33" t="s">
        <v>585</v>
      </c>
      <c r="L3735" s="33" t="s">
        <v>1338</v>
      </c>
      <c r="M3735" s="33" t="s">
        <v>21</v>
      </c>
      <c r="N3735" s="33" t="s">
        <v>23126</v>
      </c>
      <c r="O3735" s="33" t="s">
        <v>372</v>
      </c>
      <c r="P3735" s="33" t="s">
        <v>30089</v>
      </c>
      <c r="Q3735" s="40" t="s">
        <v>23127</v>
      </c>
      <c r="R3735" s="33" t="s">
        <v>94</v>
      </c>
      <c r="S3735" s="33" t="s">
        <v>29</v>
      </c>
      <c r="T3735" s="33" t="s">
        <v>26575</v>
      </c>
      <c r="U3735" s="33" t="s">
        <v>26570</v>
      </c>
      <c r="V3735" s="33" t="s">
        <v>26571</v>
      </c>
      <c r="W3735" s="33" t="s">
        <v>94</v>
      </c>
      <c r="X3735" s="33">
        <v>1782</v>
      </c>
      <c r="Z3735" s="33" t="s">
        <v>42968</v>
      </c>
      <c r="AA3735" s="33">
        <v>3930</v>
      </c>
    </row>
    <row r="3736" spans="1:27" ht="12" customHeight="1" x14ac:dyDescent="0.15">
      <c r="A3736" s="33" t="s">
        <v>23119</v>
      </c>
      <c r="B3736" s="33">
        <v>49</v>
      </c>
      <c r="C3736" s="33" t="s">
        <v>14</v>
      </c>
      <c r="D3736" s="33" t="s">
        <v>31</v>
      </c>
      <c r="E3736" s="33" t="s">
        <v>23120</v>
      </c>
      <c r="F3736" s="67">
        <v>42594</v>
      </c>
      <c r="G3736" s="33" t="s">
        <v>23121</v>
      </c>
      <c r="H3736" s="33" t="s">
        <v>1468</v>
      </c>
      <c r="I3736" s="33" t="s">
        <v>367</v>
      </c>
      <c r="J3736" s="33">
        <v>74464</v>
      </c>
      <c r="K3736" s="33" t="s">
        <v>1470</v>
      </c>
      <c r="L3736" s="33" t="s">
        <v>1471</v>
      </c>
      <c r="M3736" s="33" t="s">
        <v>4966</v>
      </c>
      <c r="N3736" s="33" t="s">
        <v>23122</v>
      </c>
      <c r="O3736" s="33" t="s">
        <v>372</v>
      </c>
      <c r="P3736" s="33" t="s">
        <v>30089</v>
      </c>
      <c r="Q3736" s="40" t="s">
        <v>23123</v>
      </c>
      <c r="R3736" s="33" t="s">
        <v>512</v>
      </c>
      <c r="S3736" s="33" t="s">
        <v>22</v>
      </c>
      <c r="T3736" s="33" t="s">
        <v>26594</v>
      </c>
      <c r="U3736" s="33" t="s">
        <v>26570</v>
      </c>
      <c r="V3736" s="33" t="s">
        <v>26573</v>
      </c>
      <c r="W3736" s="33" t="s">
        <v>512</v>
      </c>
      <c r="X3736" s="33">
        <v>1783</v>
      </c>
      <c r="Z3736" s="33" t="s">
        <v>42967</v>
      </c>
      <c r="AA3736" s="33">
        <v>3928</v>
      </c>
    </row>
    <row r="3737" spans="1:27" ht="12" customHeight="1" x14ac:dyDescent="0.15">
      <c r="A3737" s="33" t="s">
        <v>23112</v>
      </c>
      <c r="B3737" s="33">
        <v>33</v>
      </c>
      <c r="C3737" s="33" t="s">
        <v>103</v>
      </c>
      <c r="D3737" s="33" t="s">
        <v>31</v>
      </c>
      <c r="E3737" s="33" t="s">
        <v>23113</v>
      </c>
      <c r="F3737" s="67">
        <v>42594</v>
      </c>
      <c r="G3737" s="33" t="s">
        <v>23114</v>
      </c>
      <c r="H3737" s="33" t="s">
        <v>23115</v>
      </c>
      <c r="I3737" s="33" t="s">
        <v>56</v>
      </c>
      <c r="J3737" s="33">
        <v>34744</v>
      </c>
      <c r="K3737" s="33" t="s">
        <v>1175</v>
      </c>
      <c r="L3737" s="33" t="s">
        <v>15469</v>
      </c>
      <c r="M3737" s="33" t="s">
        <v>21</v>
      </c>
      <c r="N3737" s="33" t="s">
        <v>36682</v>
      </c>
      <c r="O3737" s="33" t="s">
        <v>23116</v>
      </c>
      <c r="P3737" s="33" t="s">
        <v>30089</v>
      </c>
      <c r="Q3737" s="40" t="s">
        <v>23117</v>
      </c>
      <c r="R3737" s="33" t="s">
        <v>94</v>
      </c>
      <c r="S3737" s="33" t="s">
        <v>12</v>
      </c>
      <c r="T3737" s="33" t="s">
        <v>29705</v>
      </c>
      <c r="U3737" s="33" t="s">
        <v>26570</v>
      </c>
      <c r="V3737" s="33" t="s">
        <v>26573</v>
      </c>
      <c r="Y3737" s="33" t="s">
        <v>42476</v>
      </c>
      <c r="Z3737" s="33" t="s">
        <v>42968</v>
      </c>
      <c r="AA3737" s="33">
        <v>3929</v>
      </c>
    </row>
    <row r="3738" spans="1:27" ht="12" customHeight="1" x14ac:dyDescent="0.15">
      <c r="A3738" s="33" t="s">
        <v>23132</v>
      </c>
      <c r="B3738" s="33">
        <v>33</v>
      </c>
      <c r="C3738" s="33" t="s">
        <v>14</v>
      </c>
      <c r="D3738" s="33" t="s">
        <v>42</v>
      </c>
      <c r="E3738" s="33" t="s">
        <v>23133</v>
      </c>
      <c r="F3738" s="67">
        <v>42593</v>
      </c>
      <c r="G3738" s="33" t="s">
        <v>23134</v>
      </c>
      <c r="H3738" s="33" t="s">
        <v>10722</v>
      </c>
      <c r="I3738" s="33" t="s">
        <v>39</v>
      </c>
      <c r="J3738" s="33">
        <v>92083</v>
      </c>
      <c r="K3738" s="33" t="s">
        <v>143</v>
      </c>
      <c r="L3738" s="33" t="s">
        <v>1970</v>
      </c>
      <c r="M3738" s="33" t="s">
        <v>21</v>
      </c>
      <c r="N3738" s="33" t="s">
        <v>23135</v>
      </c>
      <c r="O3738" s="33" t="s">
        <v>372</v>
      </c>
      <c r="P3738" s="33" t="s">
        <v>30089</v>
      </c>
      <c r="Q3738" s="40" t="s">
        <v>23136</v>
      </c>
      <c r="R3738" s="33" t="s">
        <v>94</v>
      </c>
      <c r="S3738" s="33" t="s">
        <v>22</v>
      </c>
      <c r="T3738" s="33" t="s">
        <v>26774</v>
      </c>
      <c r="U3738" s="33" t="s">
        <v>26575</v>
      </c>
      <c r="V3738" s="33" t="s">
        <v>19228</v>
      </c>
      <c r="W3738" s="33" t="s">
        <v>94</v>
      </c>
      <c r="X3738" s="33">
        <v>1785</v>
      </c>
      <c r="Z3738" s="33" t="s">
        <v>42968</v>
      </c>
      <c r="AA3738" s="33">
        <v>3926</v>
      </c>
    </row>
    <row r="3739" spans="1:27" ht="12" customHeight="1" x14ac:dyDescent="0.15">
      <c r="A3739" s="33" t="s">
        <v>23128</v>
      </c>
      <c r="B3739" s="33">
        <v>59</v>
      </c>
      <c r="C3739" s="33" t="s">
        <v>14</v>
      </c>
      <c r="D3739" s="33" t="s">
        <v>31</v>
      </c>
      <c r="F3739" s="67">
        <v>42593</v>
      </c>
      <c r="G3739" s="33" t="s">
        <v>23129</v>
      </c>
      <c r="H3739" s="33" t="s">
        <v>11523</v>
      </c>
      <c r="I3739" s="33" t="s">
        <v>282</v>
      </c>
      <c r="J3739" s="33">
        <v>98188</v>
      </c>
      <c r="K3739" s="33" t="s">
        <v>1133</v>
      </c>
      <c r="L3739" s="33" t="s">
        <v>11525</v>
      </c>
      <c r="M3739" s="33" t="s">
        <v>21</v>
      </c>
      <c r="N3739" s="33" t="s">
        <v>23130</v>
      </c>
      <c r="O3739" s="33" t="s">
        <v>372</v>
      </c>
      <c r="P3739" s="33" t="s">
        <v>30089</v>
      </c>
      <c r="Q3739" s="40" t="s">
        <v>23131</v>
      </c>
      <c r="R3739" s="33" t="s">
        <v>512</v>
      </c>
      <c r="S3739" s="33" t="s">
        <v>22</v>
      </c>
      <c r="T3739" s="33" t="s">
        <v>26781</v>
      </c>
      <c r="U3739" s="33" t="s">
        <v>26572</v>
      </c>
      <c r="V3739" s="33" t="s">
        <v>26573</v>
      </c>
      <c r="W3739" s="33" t="s">
        <v>94</v>
      </c>
      <c r="X3739" s="33">
        <v>1778</v>
      </c>
      <c r="Z3739" s="33" t="s">
        <v>42968</v>
      </c>
      <c r="AA3739" s="33">
        <v>3924</v>
      </c>
    </row>
    <row r="3740" spans="1:27" ht="12" customHeight="1" x14ac:dyDescent="0.15">
      <c r="A3740" s="33" t="s">
        <v>26715</v>
      </c>
      <c r="B3740" s="33">
        <v>54</v>
      </c>
      <c r="C3740" s="33" t="s">
        <v>14</v>
      </c>
      <c r="D3740" s="33" t="s">
        <v>31</v>
      </c>
      <c r="F3740" s="67">
        <v>42593</v>
      </c>
      <c r="G3740" s="33" t="s">
        <v>30053</v>
      </c>
      <c r="H3740" s="33" t="s">
        <v>5983</v>
      </c>
      <c r="I3740" s="33" t="s">
        <v>19</v>
      </c>
      <c r="J3740" s="33" t="s">
        <v>5984</v>
      </c>
      <c r="K3740" s="33" t="s">
        <v>5985</v>
      </c>
      <c r="L3740" s="33" t="s">
        <v>5986</v>
      </c>
      <c r="M3740" s="33" t="s">
        <v>21</v>
      </c>
      <c r="N3740" s="33" t="s">
        <v>30052</v>
      </c>
      <c r="O3740" s="33" t="s">
        <v>372</v>
      </c>
      <c r="P3740" s="33" t="s">
        <v>30089</v>
      </c>
      <c r="Q3740" s="40" t="s">
        <v>29875</v>
      </c>
      <c r="R3740" s="33" t="s">
        <v>94</v>
      </c>
      <c r="S3740" s="33" t="s">
        <v>22</v>
      </c>
      <c r="T3740" s="33" t="s">
        <v>26781</v>
      </c>
      <c r="U3740" s="33" t="s">
        <v>26572</v>
      </c>
      <c r="V3740" s="33" t="s">
        <v>26573</v>
      </c>
      <c r="W3740" s="33" t="s">
        <v>94</v>
      </c>
      <c r="X3740" s="33">
        <v>2149</v>
      </c>
      <c r="Z3740" s="33" t="s">
        <v>42967</v>
      </c>
      <c r="AA3740" s="33">
        <v>3925</v>
      </c>
    </row>
    <row r="3741" spans="1:27" ht="12" customHeight="1" x14ac:dyDescent="0.15">
      <c r="A3741" s="33" t="s">
        <v>23137</v>
      </c>
      <c r="B3741" s="33">
        <v>39</v>
      </c>
      <c r="C3741" s="33" t="s">
        <v>14</v>
      </c>
      <c r="D3741" s="33" t="s">
        <v>31</v>
      </c>
      <c r="E3741" s="33" t="s">
        <v>23138</v>
      </c>
      <c r="F3741" s="67">
        <v>42593</v>
      </c>
      <c r="G3741" s="33" t="s">
        <v>23139</v>
      </c>
      <c r="H3741" s="33" t="s">
        <v>23140</v>
      </c>
      <c r="I3741" s="33" t="s">
        <v>294</v>
      </c>
      <c r="J3741" s="33">
        <v>40831</v>
      </c>
      <c r="K3741" s="33" t="s">
        <v>23140</v>
      </c>
      <c r="L3741" s="33" t="s">
        <v>14279</v>
      </c>
      <c r="M3741" s="33" t="s">
        <v>21</v>
      </c>
      <c r="N3741" s="33" t="s">
        <v>23141</v>
      </c>
      <c r="O3741" s="33" t="s">
        <v>372</v>
      </c>
      <c r="P3741" s="33" t="s">
        <v>30089</v>
      </c>
      <c r="Q3741" s="40" t="s">
        <v>23142</v>
      </c>
      <c r="R3741" s="33" t="s">
        <v>94</v>
      </c>
      <c r="S3741" s="33" t="s">
        <v>29</v>
      </c>
      <c r="T3741" s="33" t="s">
        <v>26575</v>
      </c>
      <c r="U3741" s="33" t="s">
        <v>26570</v>
      </c>
      <c r="V3741" s="33" t="s">
        <v>26574</v>
      </c>
      <c r="Z3741" s="33" t="s">
        <v>42967</v>
      </c>
      <c r="AA3741" s="33">
        <v>3927</v>
      </c>
    </row>
    <row r="3742" spans="1:27" ht="12" customHeight="1" x14ac:dyDescent="0.15">
      <c r="A3742" s="33" t="s">
        <v>36370</v>
      </c>
      <c r="B3742" s="33">
        <v>32</v>
      </c>
      <c r="C3742" s="33" t="s">
        <v>14</v>
      </c>
      <c r="D3742" s="33" t="s">
        <v>31</v>
      </c>
      <c r="E3742" s="35" t="s">
        <v>36376</v>
      </c>
      <c r="F3742" s="67">
        <v>42592</v>
      </c>
      <c r="G3742" s="33" t="s">
        <v>36375</v>
      </c>
      <c r="H3742" s="33" t="s">
        <v>266</v>
      </c>
      <c r="I3742" s="33" t="s">
        <v>67</v>
      </c>
      <c r="K3742" s="33" t="s">
        <v>266</v>
      </c>
      <c r="L3742" s="33" t="s">
        <v>267</v>
      </c>
      <c r="M3742" s="33" t="s">
        <v>2134</v>
      </c>
      <c r="N3742" s="33" t="s">
        <v>36371</v>
      </c>
      <c r="O3742" s="33" t="s">
        <v>36372</v>
      </c>
      <c r="P3742" s="33" t="s">
        <v>36374</v>
      </c>
      <c r="Q3742" s="35" t="s">
        <v>36373</v>
      </c>
      <c r="R3742" s="33" t="s">
        <v>512</v>
      </c>
      <c r="S3742" s="33" t="s">
        <v>12</v>
      </c>
      <c r="T3742" s="33" t="s">
        <v>29705</v>
      </c>
      <c r="U3742" s="33" t="s">
        <v>26570</v>
      </c>
      <c r="V3742" s="33" t="s">
        <v>26573</v>
      </c>
      <c r="W3742" s="33" t="s">
        <v>512</v>
      </c>
      <c r="Z3742" s="33" t="e">
        <v>#N/A</v>
      </c>
      <c r="AA3742" s="33">
        <v>3923</v>
      </c>
    </row>
    <row r="3743" spans="1:27" ht="12" customHeight="1" x14ac:dyDescent="0.15">
      <c r="A3743" s="33" t="s">
        <v>23153</v>
      </c>
      <c r="B3743" s="33">
        <v>45</v>
      </c>
      <c r="C3743" s="33" t="s">
        <v>14</v>
      </c>
      <c r="D3743" s="33" t="s">
        <v>31</v>
      </c>
      <c r="E3743" s="33" t="s">
        <v>23154</v>
      </c>
      <c r="F3743" s="67">
        <v>42591</v>
      </c>
      <c r="G3743" s="33" t="s">
        <v>23155</v>
      </c>
      <c r="H3743" s="33" t="s">
        <v>23156</v>
      </c>
      <c r="I3743" s="33" t="s">
        <v>63</v>
      </c>
      <c r="J3743" s="33">
        <v>43143</v>
      </c>
      <c r="K3743" s="33" t="s">
        <v>2014</v>
      </c>
      <c r="L3743" s="33" t="s">
        <v>23157</v>
      </c>
      <c r="M3743" s="33" t="s">
        <v>21</v>
      </c>
      <c r="N3743" s="33" t="s">
        <v>36683</v>
      </c>
      <c r="O3743" s="33" t="s">
        <v>372</v>
      </c>
      <c r="P3743" s="33" t="s">
        <v>30089</v>
      </c>
      <c r="Q3743" s="40" t="s">
        <v>23158</v>
      </c>
      <c r="R3743" s="33" t="s">
        <v>512</v>
      </c>
      <c r="S3743" s="33" t="s">
        <v>22</v>
      </c>
      <c r="T3743" s="33" t="s">
        <v>26781</v>
      </c>
      <c r="U3743" s="33" t="s">
        <v>26570</v>
      </c>
      <c r="V3743" s="33" t="s">
        <v>26573</v>
      </c>
      <c r="W3743" s="33" t="s">
        <v>94</v>
      </c>
      <c r="X3743" s="33">
        <v>1775</v>
      </c>
      <c r="Z3743" s="33" t="s">
        <v>42967</v>
      </c>
      <c r="AA3743" s="33">
        <v>3919</v>
      </c>
    </row>
    <row r="3744" spans="1:27" ht="12" customHeight="1" x14ac:dyDescent="0.15">
      <c r="A3744" s="33" t="s">
        <v>23159</v>
      </c>
      <c r="B3744" s="33">
        <v>73</v>
      </c>
      <c r="C3744" s="33" t="s">
        <v>103</v>
      </c>
      <c r="D3744" s="33" t="s">
        <v>31</v>
      </c>
      <c r="E3744" s="33" t="s">
        <v>23160</v>
      </c>
      <c r="F3744" s="67">
        <v>42591</v>
      </c>
      <c r="G3744" s="33" t="s">
        <v>23161</v>
      </c>
      <c r="H3744" s="33" t="s">
        <v>9578</v>
      </c>
      <c r="I3744" s="33" t="s">
        <v>56</v>
      </c>
      <c r="J3744" s="33">
        <v>33950</v>
      </c>
      <c r="K3744" s="33" t="s">
        <v>3855</v>
      </c>
      <c r="L3744" s="33" t="s">
        <v>23162</v>
      </c>
      <c r="M3744" s="33" t="s">
        <v>21</v>
      </c>
      <c r="N3744" s="33" t="s">
        <v>23163</v>
      </c>
      <c r="O3744" s="33" t="s">
        <v>23118</v>
      </c>
      <c r="P3744" s="33" t="s">
        <v>1084</v>
      </c>
      <c r="Q3744" s="40" t="s">
        <v>23164</v>
      </c>
      <c r="R3744" s="33" t="s">
        <v>94</v>
      </c>
      <c r="S3744" s="33" t="s">
        <v>12</v>
      </c>
      <c r="T3744" s="33" t="s">
        <v>29705</v>
      </c>
      <c r="U3744" s="33" t="s">
        <v>26570</v>
      </c>
      <c r="V3744" s="33" t="s">
        <v>26573</v>
      </c>
      <c r="Z3744" s="33" t="s">
        <v>42966</v>
      </c>
      <c r="AA3744" s="33">
        <v>3921</v>
      </c>
    </row>
    <row r="3745" spans="1:27" ht="12" customHeight="1" x14ac:dyDescent="0.15">
      <c r="A3745" s="33" t="s">
        <v>23148</v>
      </c>
      <c r="B3745" s="33">
        <v>14</v>
      </c>
      <c r="C3745" s="33" t="s">
        <v>14</v>
      </c>
      <c r="D3745" s="33" t="s">
        <v>42</v>
      </c>
      <c r="E3745" s="33" t="s">
        <v>23149</v>
      </c>
      <c r="F3745" s="67">
        <v>42591</v>
      </c>
      <c r="G3745" s="33" t="s">
        <v>23150</v>
      </c>
      <c r="H3745" s="33" t="s">
        <v>92</v>
      </c>
      <c r="I3745" s="33" t="s">
        <v>39</v>
      </c>
      <c r="J3745" s="33">
        <v>90033</v>
      </c>
      <c r="K3745" s="33" t="s">
        <v>92</v>
      </c>
      <c r="L3745" s="33" t="s">
        <v>93</v>
      </c>
      <c r="M3745" s="33" t="s">
        <v>21</v>
      </c>
      <c r="N3745" s="33" t="s">
        <v>23151</v>
      </c>
      <c r="O3745" s="33" t="s">
        <v>372</v>
      </c>
      <c r="P3745" s="33" t="s">
        <v>30089</v>
      </c>
      <c r="Q3745" s="40" t="s">
        <v>23152</v>
      </c>
      <c r="R3745" s="33" t="s">
        <v>94</v>
      </c>
      <c r="S3745" s="33" t="s">
        <v>22</v>
      </c>
      <c r="T3745" s="33" t="s">
        <v>26781</v>
      </c>
      <c r="U3745" s="33" t="s">
        <v>26572</v>
      </c>
      <c r="V3745" s="33" t="s">
        <v>26574</v>
      </c>
      <c r="W3745" s="33" t="s">
        <v>512</v>
      </c>
      <c r="X3745" s="33">
        <v>1776</v>
      </c>
      <c r="Z3745" s="33" t="s">
        <v>42966</v>
      </c>
      <c r="AA3745" s="33">
        <v>3920</v>
      </c>
    </row>
    <row r="3746" spans="1:27" ht="12" customHeight="1" x14ac:dyDescent="0.15">
      <c r="A3746" s="33" t="s">
        <v>23143</v>
      </c>
      <c r="B3746" s="33">
        <v>44</v>
      </c>
      <c r="C3746" s="33" t="s">
        <v>14</v>
      </c>
      <c r="D3746" s="33" t="s">
        <v>31</v>
      </c>
      <c r="E3746" s="33" t="s">
        <v>23144</v>
      </c>
      <c r="F3746" s="67">
        <v>42591</v>
      </c>
      <c r="G3746" s="33" t="s">
        <v>23145</v>
      </c>
      <c r="H3746" s="33" t="s">
        <v>8576</v>
      </c>
      <c r="I3746" s="33" t="s">
        <v>26</v>
      </c>
      <c r="J3746" s="33">
        <v>29673</v>
      </c>
      <c r="K3746" s="33" t="s">
        <v>27</v>
      </c>
      <c r="L3746" s="33" t="s">
        <v>5227</v>
      </c>
      <c r="M3746" s="33" t="s">
        <v>21</v>
      </c>
      <c r="N3746" s="33" t="s">
        <v>23146</v>
      </c>
      <c r="O3746" s="33" t="s">
        <v>372</v>
      </c>
      <c r="P3746" s="33" t="s">
        <v>30089</v>
      </c>
      <c r="Q3746" s="40" t="s">
        <v>23147</v>
      </c>
      <c r="R3746" s="33" t="s">
        <v>94</v>
      </c>
      <c r="S3746" s="33" t="s">
        <v>29</v>
      </c>
      <c r="T3746" s="33" t="s">
        <v>26575</v>
      </c>
      <c r="U3746" s="33" t="s">
        <v>26570</v>
      </c>
      <c r="V3746" s="33" t="s">
        <v>26573</v>
      </c>
      <c r="W3746" s="33" t="s">
        <v>94</v>
      </c>
      <c r="X3746" s="33">
        <v>1777</v>
      </c>
      <c r="Z3746" s="33" t="s">
        <v>42968</v>
      </c>
      <c r="AA3746" s="33">
        <v>3922</v>
      </c>
    </row>
    <row r="3747" spans="1:27" ht="12" customHeight="1" x14ac:dyDescent="0.15">
      <c r="A3747" s="33" t="s">
        <v>23165</v>
      </c>
      <c r="B3747" s="33">
        <v>56</v>
      </c>
      <c r="C3747" s="33" t="s">
        <v>14</v>
      </c>
      <c r="D3747" s="33" t="s">
        <v>31</v>
      </c>
      <c r="F3747" s="67">
        <v>42590</v>
      </c>
      <c r="G3747" s="33" t="s">
        <v>26669</v>
      </c>
      <c r="H3747" s="33" t="s">
        <v>1535</v>
      </c>
      <c r="I3747" s="33" t="s">
        <v>39</v>
      </c>
      <c r="J3747" s="33">
        <v>95621</v>
      </c>
      <c r="K3747" s="33" t="s">
        <v>1537</v>
      </c>
      <c r="L3747" s="33" t="s">
        <v>1538</v>
      </c>
      <c r="M3747" s="33" t="s">
        <v>21</v>
      </c>
      <c r="N3747" s="33" t="s">
        <v>23166</v>
      </c>
      <c r="O3747" s="33" t="s">
        <v>372</v>
      </c>
      <c r="P3747" s="33" t="s">
        <v>30089</v>
      </c>
      <c r="Q3747" s="40" t="s">
        <v>23167</v>
      </c>
      <c r="R3747" s="33" t="s">
        <v>23</v>
      </c>
      <c r="S3747" s="33" t="s">
        <v>22</v>
      </c>
      <c r="T3747" s="33" t="s">
        <v>26781</v>
      </c>
      <c r="U3747" s="33" t="s">
        <v>26572</v>
      </c>
      <c r="V3747" s="33" t="s">
        <v>26573</v>
      </c>
      <c r="W3747" s="33" t="s">
        <v>94</v>
      </c>
      <c r="X3747" s="33">
        <v>1771</v>
      </c>
      <c r="Z3747" s="33" t="s">
        <v>42966</v>
      </c>
      <c r="AA3747" s="33">
        <v>3914</v>
      </c>
    </row>
    <row r="3748" spans="1:27" ht="12" customHeight="1" x14ac:dyDescent="0.15">
      <c r="A3748" s="33" t="s">
        <v>23175</v>
      </c>
      <c r="B3748" s="33">
        <v>69</v>
      </c>
      <c r="C3748" s="33" t="s">
        <v>14</v>
      </c>
      <c r="D3748" s="33" t="s">
        <v>31</v>
      </c>
      <c r="F3748" s="67">
        <v>42590</v>
      </c>
      <c r="G3748" s="33" t="s">
        <v>23176</v>
      </c>
      <c r="H3748" s="33" t="s">
        <v>23177</v>
      </c>
      <c r="I3748" s="33" t="s">
        <v>26</v>
      </c>
      <c r="J3748" s="33" t="s">
        <v>23178</v>
      </c>
      <c r="K3748" s="33" t="s">
        <v>23179</v>
      </c>
      <c r="L3748" s="33" t="s">
        <v>10058</v>
      </c>
      <c r="M3748" s="33" t="s">
        <v>21</v>
      </c>
      <c r="N3748" s="33" t="s">
        <v>23180</v>
      </c>
      <c r="O3748" s="33" t="s">
        <v>372</v>
      </c>
      <c r="P3748" s="33" t="s">
        <v>30089</v>
      </c>
      <c r="Q3748" s="40" t="s">
        <v>23181</v>
      </c>
      <c r="R3748" s="33" t="s">
        <v>512</v>
      </c>
      <c r="S3748" s="33" t="s">
        <v>22</v>
      </c>
      <c r="T3748" s="33" t="s">
        <v>26781</v>
      </c>
      <c r="U3748" s="33" t="s">
        <v>26572</v>
      </c>
      <c r="V3748" s="33" t="s">
        <v>26573</v>
      </c>
      <c r="W3748" s="33" t="s">
        <v>94</v>
      </c>
      <c r="X3748" s="33">
        <v>1833</v>
      </c>
      <c r="Z3748" s="33" t="s">
        <v>42967</v>
      </c>
      <c r="AA3748" s="33">
        <v>3916</v>
      </c>
    </row>
    <row r="3749" spans="1:27" ht="12" customHeight="1" x14ac:dyDescent="0.15">
      <c r="A3749" s="33" t="s">
        <v>23186</v>
      </c>
      <c r="B3749" s="33">
        <v>34</v>
      </c>
      <c r="C3749" s="33" t="s">
        <v>14</v>
      </c>
      <c r="D3749" s="33" t="s">
        <v>42</v>
      </c>
      <c r="F3749" s="67">
        <v>42590</v>
      </c>
      <c r="G3749" s="33" t="s">
        <v>23187</v>
      </c>
      <c r="H3749" s="33" t="s">
        <v>7825</v>
      </c>
      <c r="I3749" s="33" t="s">
        <v>294</v>
      </c>
      <c r="J3749" s="33" t="s">
        <v>9259</v>
      </c>
      <c r="K3749" s="33" t="s">
        <v>23188</v>
      </c>
      <c r="L3749" s="33" t="s">
        <v>18258</v>
      </c>
      <c r="M3749" s="33" t="s">
        <v>21</v>
      </c>
      <c r="N3749" s="33" t="s">
        <v>23189</v>
      </c>
      <c r="O3749" s="33" t="s">
        <v>372</v>
      </c>
      <c r="P3749" s="33" t="s">
        <v>30089</v>
      </c>
      <c r="Q3749" s="40" t="s">
        <v>23190</v>
      </c>
      <c r="R3749" s="33" t="s">
        <v>94</v>
      </c>
      <c r="S3749" s="33" t="s">
        <v>29</v>
      </c>
      <c r="T3749" s="33" t="s">
        <v>26575</v>
      </c>
      <c r="U3749" s="33" t="s">
        <v>26572</v>
      </c>
      <c r="V3749" s="33" t="s">
        <v>19228</v>
      </c>
      <c r="W3749" s="33" t="s">
        <v>94</v>
      </c>
      <c r="X3749" s="33">
        <v>1774</v>
      </c>
      <c r="Z3749" s="33" t="s">
        <v>42968</v>
      </c>
      <c r="AA3749" s="33">
        <v>3918</v>
      </c>
    </row>
    <row r="3750" spans="1:27" ht="12" customHeight="1" x14ac:dyDescent="0.15">
      <c r="A3750" s="33" t="s">
        <v>23182</v>
      </c>
      <c r="B3750" s="33">
        <v>57</v>
      </c>
      <c r="C3750" s="33" t="s">
        <v>14</v>
      </c>
      <c r="D3750" s="33" t="s">
        <v>79</v>
      </c>
      <c r="E3750" s="33" t="s">
        <v>23183</v>
      </c>
      <c r="F3750" s="67">
        <v>42590</v>
      </c>
      <c r="G3750" s="33" t="s">
        <v>26670</v>
      </c>
      <c r="H3750" s="33" t="s">
        <v>834</v>
      </c>
      <c r="I3750" s="33" t="s">
        <v>294</v>
      </c>
      <c r="J3750" s="33" t="s">
        <v>9796</v>
      </c>
      <c r="K3750" s="33" t="s">
        <v>1659</v>
      </c>
      <c r="L3750" s="33" t="s">
        <v>835</v>
      </c>
      <c r="M3750" s="33" t="s">
        <v>21</v>
      </c>
      <c r="N3750" s="33" t="s">
        <v>23184</v>
      </c>
      <c r="O3750" s="33" t="s">
        <v>372</v>
      </c>
      <c r="P3750" s="33" t="s">
        <v>30089</v>
      </c>
      <c r="Q3750" s="40" t="s">
        <v>23185</v>
      </c>
      <c r="R3750" s="33" t="s">
        <v>94</v>
      </c>
      <c r="S3750" s="33" t="s">
        <v>22</v>
      </c>
      <c r="T3750" s="33" t="s">
        <v>26774</v>
      </c>
      <c r="U3750" s="33" t="s">
        <v>26570</v>
      </c>
      <c r="V3750" s="33" t="s">
        <v>26573</v>
      </c>
      <c r="W3750" s="33" t="s">
        <v>512</v>
      </c>
      <c r="X3750" s="33">
        <v>1766</v>
      </c>
      <c r="Z3750" s="33" t="s">
        <v>42968</v>
      </c>
      <c r="AA3750" s="33">
        <v>3917</v>
      </c>
    </row>
    <row r="3751" spans="1:27" ht="12" customHeight="1" x14ac:dyDescent="0.15">
      <c r="A3751" s="33" t="s">
        <v>23168</v>
      </c>
      <c r="B3751" s="33">
        <v>64</v>
      </c>
      <c r="C3751" s="33" t="s">
        <v>14</v>
      </c>
      <c r="D3751" s="33" t="s">
        <v>31</v>
      </c>
      <c r="F3751" s="67">
        <v>42590</v>
      </c>
      <c r="G3751" s="33" t="s">
        <v>23169</v>
      </c>
      <c r="H3751" s="33" t="s">
        <v>23170</v>
      </c>
      <c r="I3751" s="33" t="s">
        <v>338</v>
      </c>
      <c r="J3751" s="33" t="s">
        <v>23171</v>
      </c>
      <c r="K3751" s="33" t="s">
        <v>23172</v>
      </c>
      <c r="L3751" s="33" t="s">
        <v>1551</v>
      </c>
      <c r="M3751" s="33" t="s">
        <v>21</v>
      </c>
      <c r="N3751" s="33" t="s">
        <v>23173</v>
      </c>
      <c r="O3751" s="33" t="s">
        <v>372</v>
      </c>
      <c r="P3751" s="33" t="s">
        <v>30089</v>
      </c>
      <c r="Q3751" s="40" t="s">
        <v>23174</v>
      </c>
      <c r="R3751" s="33" t="s">
        <v>23</v>
      </c>
      <c r="S3751" s="33" t="s">
        <v>22</v>
      </c>
      <c r="T3751" s="33" t="s">
        <v>26781</v>
      </c>
      <c r="U3751" s="33" t="s">
        <v>26572</v>
      </c>
      <c r="V3751" s="33" t="s">
        <v>26573</v>
      </c>
      <c r="W3751" s="33" t="s">
        <v>94</v>
      </c>
      <c r="X3751" s="33">
        <v>1773</v>
      </c>
      <c r="Z3751" s="33" t="s">
        <v>42967</v>
      </c>
      <c r="AA3751" s="33">
        <v>3915</v>
      </c>
    </row>
    <row r="3752" spans="1:27" ht="12" customHeight="1" x14ac:dyDescent="0.15">
      <c r="A3752" s="33" t="s">
        <v>23196</v>
      </c>
      <c r="B3752" s="33">
        <v>20</v>
      </c>
      <c r="C3752" s="33" t="s">
        <v>14</v>
      </c>
      <c r="D3752" s="33" t="s">
        <v>79</v>
      </c>
      <c r="E3752" s="33" t="s">
        <v>23197</v>
      </c>
      <c r="F3752" s="67">
        <v>42589</v>
      </c>
      <c r="G3752" s="33" t="s">
        <v>23198</v>
      </c>
      <c r="H3752" s="33" t="s">
        <v>11218</v>
      </c>
      <c r="I3752" s="33" t="s">
        <v>376</v>
      </c>
      <c r="J3752" s="33" t="s">
        <v>11219</v>
      </c>
      <c r="K3752" s="33" t="s">
        <v>4183</v>
      </c>
      <c r="L3752" s="33" t="s">
        <v>11220</v>
      </c>
      <c r="M3752" s="33" t="s">
        <v>21</v>
      </c>
      <c r="N3752" s="33" t="s">
        <v>23199</v>
      </c>
      <c r="O3752" s="33" t="s">
        <v>372</v>
      </c>
      <c r="P3752" s="33" t="s">
        <v>30089</v>
      </c>
      <c r="Q3752" s="40" t="s">
        <v>23200</v>
      </c>
      <c r="R3752" s="33" t="s">
        <v>512</v>
      </c>
      <c r="S3752" s="33" t="s">
        <v>22</v>
      </c>
      <c r="T3752" s="33" t="s">
        <v>26774</v>
      </c>
      <c r="U3752" s="33" t="s">
        <v>26570</v>
      </c>
      <c r="V3752" s="33" t="s">
        <v>26573</v>
      </c>
      <c r="W3752" s="33" t="s">
        <v>94</v>
      </c>
      <c r="X3752" s="33">
        <v>1764</v>
      </c>
      <c r="Z3752" s="33" t="s">
        <v>42968</v>
      </c>
      <c r="AA3752" s="33">
        <v>3913</v>
      </c>
    </row>
    <row r="3753" spans="1:27" ht="12" customHeight="1" x14ac:dyDescent="0.15">
      <c r="A3753" s="33" t="s">
        <v>23191</v>
      </c>
      <c r="B3753" s="33">
        <v>25</v>
      </c>
      <c r="C3753" s="33" t="s">
        <v>14</v>
      </c>
      <c r="D3753" s="33" t="s">
        <v>79</v>
      </c>
      <c r="E3753" s="33" t="s">
        <v>23192</v>
      </c>
      <c r="F3753" s="67">
        <v>42589</v>
      </c>
      <c r="G3753" s="33" t="s">
        <v>23193</v>
      </c>
      <c r="H3753" s="33" t="s">
        <v>504</v>
      </c>
      <c r="I3753" s="33" t="s">
        <v>63</v>
      </c>
      <c r="J3753" s="33" t="s">
        <v>17833</v>
      </c>
      <c r="K3753" s="33" t="s">
        <v>505</v>
      </c>
      <c r="L3753" s="33" t="s">
        <v>506</v>
      </c>
      <c r="M3753" s="33" t="s">
        <v>21</v>
      </c>
      <c r="N3753" s="33" t="s">
        <v>23194</v>
      </c>
      <c r="O3753" s="33" t="s">
        <v>507</v>
      </c>
      <c r="P3753" s="33" t="s">
        <v>30089</v>
      </c>
      <c r="Q3753" s="40" t="s">
        <v>23195</v>
      </c>
      <c r="R3753" s="33" t="s">
        <v>512</v>
      </c>
      <c r="S3753" s="33" t="s">
        <v>22</v>
      </c>
      <c r="T3753" s="33" t="s">
        <v>26774</v>
      </c>
      <c r="U3753" s="33" t="s">
        <v>26572</v>
      </c>
      <c r="V3753" s="33" t="s">
        <v>26573</v>
      </c>
      <c r="W3753" s="33" t="s">
        <v>94</v>
      </c>
      <c r="X3753" s="33">
        <v>1763</v>
      </c>
      <c r="Z3753" s="33" t="s">
        <v>42966</v>
      </c>
      <c r="AA3753" s="33">
        <v>3912</v>
      </c>
    </row>
    <row r="3754" spans="1:27" ht="12" customHeight="1" x14ac:dyDescent="0.15">
      <c r="A3754" s="33" t="s">
        <v>23218</v>
      </c>
      <c r="B3754" s="33">
        <v>30</v>
      </c>
      <c r="C3754" s="33" t="s">
        <v>14</v>
      </c>
      <c r="D3754" s="33" t="s">
        <v>31</v>
      </c>
      <c r="E3754" s="33" t="s">
        <v>23219</v>
      </c>
      <c r="F3754" s="67">
        <v>42587</v>
      </c>
      <c r="G3754" s="33" t="s">
        <v>23220</v>
      </c>
      <c r="H3754" s="33" t="s">
        <v>23221</v>
      </c>
      <c r="I3754" s="33" t="s">
        <v>56</v>
      </c>
      <c r="J3754" s="33" t="s">
        <v>23222</v>
      </c>
      <c r="K3754" s="33" t="s">
        <v>4016</v>
      </c>
      <c r="L3754" s="33" t="s">
        <v>4955</v>
      </c>
      <c r="M3754" s="33" t="s">
        <v>21</v>
      </c>
      <c r="N3754" s="33" t="s">
        <v>23223</v>
      </c>
      <c r="O3754" s="33" t="s">
        <v>372</v>
      </c>
      <c r="P3754" s="33" t="s">
        <v>30089</v>
      </c>
      <c r="Q3754" s="40" t="s">
        <v>23224</v>
      </c>
      <c r="R3754" s="33" t="s">
        <v>23</v>
      </c>
      <c r="S3754" s="33" t="s">
        <v>12</v>
      </c>
      <c r="T3754" s="33" t="s">
        <v>29705</v>
      </c>
      <c r="U3754" s="33" t="s">
        <v>26572</v>
      </c>
      <c r="V3754" s="33" t="s">
        <v>26571</v>
      </c>
      <c r="Z3754" s="33" t="s">
        <v>42967</v>
      </c>
      <c r="AA3754" s="33">
        <v>3911</v>
      </c>
    </row>
    <row r="3755" spans="1:27" ht="12" customHeight="1" x14ac:dyDescent="0.15">
      <c r="A3755" s="33" t="s">
        <v>23225</v>
      </c>
      <c r="B3755" s="33">
        <v>31</v>
      </c>
      <c r="C3755" s="33" t="s">
        <v>14</v>
      </c>
      <c r="D3755" s="33" t="s">
        <v>42</v>
      </c>
      <c r="F3755" s="67">
        <v>42587</v>
      </c>
      <c r="G3755" s="33" t="s">
        <v>26671</v>
      </c>
      <c r="H3755" s="33" t="s">
        <v>23226</v>
      </c>
      <c r="I3755" s="33" t="s">
        <v>39</v>
      </c>
      <c r="J3755" s="33" t="s">
        <v>23227</v>
      </c>
      <c r="K3755" s="33" t="s">
        <v>143</v>
      </c>
      <c r="L3755" s="33" t="s">
        <v>1970</v>
      </c>
      <c r="M3755" s="33" t="s">
        <v>21</v>
      </c>
      <c r="N3755" s="33" t="s">
        <v>23228</v>
      </c>
      <c r="O3755" s="33" t="s">
        <v>372</v>
      </c>
      <c r="P3755" s="33" t="s">
        <v>30089</v>
      </c>
      <c r="Q3755" s="40" t="s">
        <v>23229</v>
      </c>
      <c r="R3755" s="33" t="s">
        <v>512</v>
      </c>
      <c r="S3755" s="33" t="s">
        <v>22</v>
      </c>
      <c r="T3755" s="33" t="s">
        <v>26587</v>
      </c>
      <c r="U3755" s="33" t="s">
        <v>26572</v>
      </c>
      <c r="V3755" s="33" t="s">
        <v>26573</v>
      </c>
      <c r="W3755" s="33" t="s">
        <v>94</v>
      </c>
      <c r="X3755" s="33">
        <v>1769</v>
      </c>
      <c r="Z3755" s="33" t="s">
        <v>42968</v>
      </c>
      <c r="AA3755" s="33">
        <v>3907</v>
      </c>
    </row>
    <row r="3756" spans="1:27" ht="12" customHeight="1" x14ac:dyDescent="0.15">
      <c r="A3756" s="33" t="s">
        <v>23213</v>
      </c>
      <c r="B3756" s="33">
        <v>58</v>
      </c>
      <c r="C3756" s="33" t="s">
        <v>14</v>
      </c>
      <c r="D3756" s="33" t="s">
        <v>31</v>
      </c>
      <c r="F3756" s="67">
        <v>42587</v>
      </c>
      <c r="G3756" s="33" t="s">
        <v>26672</v>
      </c>
      <c r="H3756" s="33" t="s">
        <v>23214</v>
      </c>
      <c r="I3756" s="33" t="s">
        <v>225</v>
      </c>
      <c r="J3756" s="33" t="s">
        <v>23215</v>
      </c>
      <c r="K3756" s="33" t="s">
        <v>8751</v>
      </c>
      <c r="L3756" s="33" t="s">
        <v>14807</v>
      </c>
      <c r="M3756" s="33" t="s">
        <v>21</v>
      </c>
      <c r="N3756" s="33" t="s">
        <v>23216</v>
      </c>
      <c r="O3756" s="33" t="s">
        <v>372</v>
      </c>
      <c r="P3756" s="33" t="s">
        <v>30089</v>
      </c>
      <c r="Q3756" s="40" t="s">
        <v>23217</v>
      </c>
      <c r="R3756" s="33" t="s">
        <v>512</v>
      </c>
      <c r="S3756" s="33" t="s">
        <v>22</v>
      </c>
      <c r="T3756" s="33" t="s">
        <v>26774</v>
      </c>
      <c r="U3756" s="33" t="s">
        <v>26570</v>
      </c>
      <c r="V3756" s="33" t="s">
        <v>26573</v>
      </c>
      <c r="W3756" s="33" t="s">
        <v>94</v>
      </c>
      <c r="X3756" s="33">
        <v>1762</v>
      </c>
      <c r="Z3756" s="33" t="s">
        <v>42968</v>
      </c>
      <c r="AA3756" s="33">
        <v>3910</v>
      </c>
    </row>
    <row r="3757" spans="1:27" ht="12" customHeight="1" x14ac:dyDescent="0.15">
      <c r="A3757" s="33" t="s">
        <v>23206</v>
      </c>
      <c r="B3757" s="33">
        <v>59</v>
      </c>
      <c r="C3757" s="33" t="s">
        <v>14</v>
      </c>
      <c r="D3757" s="33" t="s">
        <v>31</v>
      </c>
      <c r="F3757" s="67">
        <v>42587</v>
      </c>
      <c r="G3757" s="33" t="s">
        <v>23207</v>
      </c>
      <c r="H3757" s="33" t="s">
        <v>23208</v>
      </c>
      <c r="I3757" s="33" t="s">
        <v>409</v>
      </c>
      <c r="J3757" s="33" t="s">
        <v>23209</v>
      </c>
      <c r="K3757" s="33" t="s">
        <v>23210</v>
      </c>
      <c r="L3757" s="33" t="s">
        <v>36684</v>
      </c>
      <c r="M3757" s="33" t="s">
        <v>21</v>
      </c>
      <c r="N3757" s="33" t="s">
        <v>23211</v>
      </c>
      <c r="O3757" s="33" t="s">
        <v>372</v>
      </c>
      <c r="P3757" s="33" t="s">
        <v>30089</v>
      </c>
      <c r="Q3757" s="40" t="s">
        <v>23212</v>
      </c>
      <c r="R3757" s="33" t="s">
        <v>512</v>
      </c>
      <c r="S3757" s="33" t="s">
        <v>22</v>
      </c>
      <c r="T3757" s="33" t="s">
        <v>26781</v>
      </c>
      <c r="U3757" s="33" t="s">
        <v>26572</v>
      </c>
      <c r="V3757" s="33" t="s">
        <v>26573</v>
      </c>
      <c r="W3757" s="33" t="s">
        <v>94</v>
      </c>
      <c r="X3757" s="33">
        <v>1770</v>
      </c>
      <c r="Z3757" s="33" t="s">
        <v>42967</v>
      </c>
      <c r="AA3757" s="33">
        <v>3909</v>
      </c>
    </row>
    <row r="3758" spans="1:27" ht="12" customHeight="1" x14ac:dyDescent="0.15">
      <c r="A3758" s="33" t="s">
        <v>23201</v>
      </c>
      <c r="B3758" s="33">
        <v>26</v>
      </c>
      <c r="C3758" s="33" t="s">
        <v>14</v>
      </c>
      <c r="D3758" s="33" t="s">
        <v>79</v>
      </c>
      <c r="E3758" s="33" t="s">
        <v>23202</v>
      </c>
      <c r="F3758" s="67">
        <v>42587</v>
      </c>
      <c r="G3758" s="33" t="s">
        <v>23203</v>
      </c>
      <c r="H3758" s="33" t="s">
        <v>7481</v>
      </c>
      <c r="I3758" s="33" t="s">
        <v>160</v>
      </c>
      <c r="J3758" s="33" t="s">
        <v>9587</v>
      </c>
      <c r="K3758" s="33" t="s">
        <v>1454</v>
      </c>
      <c r="L3758" s="33" t="s">
        <v>5161</v>
      </c>
      <c r="M3758" s="33" t="s">
        <v>21</v>
      </c>
      <c r="N3758" s="33" t="s">
        <v>23204</v>
      </c>
      <c r="O3758" s="33" t="s">
        <v>372</v>
      </c>
      <c r="P3758" s="33" t="s">
        <v>30089</v>
      </c>
      <c r="Q3758" s="40" t="s">
        <v>23205</v>
      </c>
      <c r="R3758" s="33" t="s">
        <v>512</v>
      </c>
      <c r="S3758" s="33" t="s">
        <v>22</v>
      </c>
      <c r="T3758" s="33" t="s">
        <v>26781</v>
      </c>
      <c r="U3758" s="33" t="s">
        <v>26572</v>
      </c>
      <c r="V3758" s="33" t="s">
        <v>26573</v>
      </c>
      <c r="W3758" s="33" t="s">
        <v>94</v>
      </c>
      <c r="X3758" s="33">
        <v>1767</v>
      </c>
      <c r="Z3758" s="33" t="s">
        <v>42968</v>
      </c>
      <c r="AA3758" s="33">
        <v>3908</v>
      </c>
    </row>
    <row r="3759" spans="1:27" ht="12" customHeight="1" x14ac:dyDescent="0.15">
      <c r="A3759" s="33" t="s">
        <v>23236</v>
      </c>
      <c r="B3759" s="33">
        <v>22</v>
      </c>
      <c r="C3759" s="33" t="s">
        <v>14</v>
      </c>
      <c r="D3759" s="33" t="s">
        <v>42</v>
      </c>
      <c r="E3759" s="33" t="s">
        <v>23237</v>
      </c>
      <c r="F3759" s="67">
        <v>42586</v>
      </c>
      <c r="G3759" s="33" t="s">
        <v>23238</v>
      </c>
      <c r="H3759" s="33" t="s">
        <v>8861</v>
      </c>
      <c r="I3759" s="33" t="s">
        <v>918</v>
      </c>
      <c r="J3759" s="33" t="s">
        <v>23239</v>
      </c>
      <c r="K3759" s="33" t="s">
        <v>2312</v>
      </c>
      <c r="L3759" s="33" t="s">
        <v>8863</v>
      </c>
      <c r="M3759" s="33" t="s">
        <v>2909</v>
      </c>
      <c r="N3759" s="33" t="s">
        <v>23240</v>
      </c>
      <c r="O3759" s="33" t="s">
        <v>372</v>
      </c>
      <c r="P3759" s="33" t="s">
        <v>30089</v>
      </c>
      <c r="Q3759" s="40" t="s">
        <v>23241</v>
      </c>
      <c r="R3759" s="33" t="s">
        <v>94</v>
      </c>
      <c r="S3759" s="33" t="s">
        <v>12</v>
      </c>
      <c r="T3759" s="33" t="s">
        <v>29705</v>
      </c>
      <c r="U3759" s="33" t="s">
        <v>26572</v>
      </c>
      <c r="V3759" s="33" t="s">
        <v>26573</v>
      </c>
      <c r="Z3759" s="33" t="s">
        <v>42968</v>
      </c>
      <c r="AA3759" s="33">
        <v>3906</v>
      </c>
    </row>
    <row r="3760" spans="1:27" ht="12" customHeight="1" x14ac:dyDescent="0.15">
      <c r="A3760" s="33" t="s">
        <v>23243</v>
      </c>
      <c r="B3760" s="33">
        <v>31</v>
      </c>
      <c r="C3760" s="33" t="s">
        <v>14</v>
      </c>
      <c r="D3760" s="33" t="s">
        <v>31</v>
      </c>
      <c r="E3760" s="33" t="s">
        <v>23244</v>
      </c>
      <c r="F3760" s="67">
        <v>42585</v>
      </c>
      <c r="G3760" s="33" t="s">
        <v>23245</v>
      </c>
      <c r="H3760" s="33" t="s">
        <v>23246</v>
      </c>
      <c r="I3760" s="33" t="s">
        <v>221</v>
      </c>
      <c r="J3760" s="33" t="s">
        <v>23247</v>
      </c>
      <c r="K3760" s="33" t="s">
        <v>4602</v>
      </c>
      <c r="L3760" s="33" t="s">
        <v>23248</v>
      </c>
      <c r="M3760" s="33" t="s">
        <v>21</v>
      </c>
      <c r="N3760" s="33" t="s">
        <v>23249</v>
      </c>
      <c r="O3760" s="33" t="s">
        <v>372</v>
      </c>
      <c r="P3760" s="33" t="s">
        <v>30089</v>
      </c>
      <c r="Q3760" s="40" t="s">
        <v>23250</v>
      </c>
      <c r="R3760" s="33" t="s">
        <v>94</v>
      </c>
      <c r="S3760" s="33" t="s">
        <v>22</v>
      </c>
      <c r="T3760" s="33" t="s">
        <v>26781</v>
      </c>
      <c r="U3760" s="33" t="s">
        <v>26572</v>
      </c>
      <c r="V3760" s="33" t="s">
        <v>26574</v>
      </c>
      <c r="W3760" s="33" t="s">
        <v>94</v>
      </c>
      <c r="X3760" s="33">
        <v>1755</v>
      </c>
      <c r="Z3760" s="33" t="s">
        <v>42968</v>
      </c>
      <c r="AA3760" s="33">
        <v>3903</v>
      </c>
    </row>
    <row r="3761" spans="1:27" ht="12" customHeight="1" x14ac:dyDescent="0.15">
      <c r="A3761" s="33" t="s">
        <v>23230</v>
      </c>
      <c r="B3761" s="33">
        <v>69</v>
      </c>
      <c r="C3761" s="33" t="s">
        <v>14</v>
      </c>
      <c r="D3761" s="33" t="s">
        <v>31</v>
      </c>
      <c r="F3761" s="67">
        <v>42585</v>
      </c>
      <c r="G3761" s="33" t="s">
        <v>23231</v>
      </c>
      <c r="H3761" s="33" t="s">
        <v>23232</v>
      </c>
      <c r="I3761" s="33" t="s">
        <v>225</v>
      </c>
      <c r="J3761" s="33" t="s">
        <v>23233</v>
      </c>
      <c r="K3761" s="33" t="s">
        <v>6440</v>
      </c>
      <c r="L3761" s="33" t="s">
        <v>32174</v>
      </c>
      <c r="M3761" s="33" t="s">
        <v>21</v>
      </c>
      <c r="N3761" s="33" t="s">
        <v>23234</v>
      </c>
      <c r="O3761" s="33" t="s">
        <v>372</v>
      </c>
      <c r="P3761" s="33" t="s">
        <v>30089</v>
      </c>
      <c r="Q3761" s="40" t="s">
        <v>23235</v>
      </c>
      <c r="R3761" s="33" t="s">
        <v>904</v>
      </c>
      <c r="S3761" s="33" t="s">
        <v>22</v>
      </c>
      <c r="T3761" s="33" t="s">
        <v>26781</v>
      </c>
      <c r="U3761" s="33" t="s">
        <v>26570</v>
      </c>
      <c r="V3761" s="33" t="s">
        <v>26571</v>
      </c>
      <c r="W3761" s="33" t="s">
        <v>94</v>
      </c>
      <c r="X3761" s="33">
        <v>1761</v>
      </c>
      <c r="Z3761" s="33" t="s">
        <v>42967</v>
      </c>
      <c r="AA3761" s="33">
        <v>3904</v>
      </c>
    </row>
    <row r="3762" spans="1:27" ht="12" customHeight="1" x14ac:dyDescent="0.15">
      <c r="A3762" s="33" t="s">
        <v>23251</v>
      </c>
      <c r="B3762" s="33">
        <v>54</v>
      </c>
      <c r="C3762" s="33" t="s">
        <v>14</v>
      </c>
      <c r="D3762" s="33" t="s">
        <v>31</v>
      </c>
      <c r="E3762" s="33" t="s">
        <v>23252</v>
      </c>
      <c r="F3762" s="67">
        <v>42585</v>
      </c>
      <c r="G3762" s="33" t="s">
        <v>23253</v>
      </c>
      <c r="H3762" s="33" t="s">
        <v>415</v>
      </c>
      <c r="I3762" s="33" t="s">
        <v>51</v>
      </c>
      <c r="J3762" s="33" t="s">
        <v>23254</v>
      </c>
      <c r="K3762" s="33" t="s">
        <v>1057</v>
      </c>
      <c r="L3762" s="33" t="s">
        <v>23255</v>
      </c>
      <c r="M3762" s="33" t="s">
        <v>21</v>
      </c>
      <c r="N3762" s="33" t="s">
        <v>23256</v>
      </c>
      <c r="O3762" s="33" t="s">
        <v>372</v>
      </c>
      <c r="P3762" s="33" t="s">
        <v>30089</v>
      </c>
      <c r="Q3762" s="40" t="s">
        <v>23257</v>
      </c>
      <c r="R3762" s="33" t="s">
        <v>94</v>
      </c>
      <c r="S3762" s="33" t="s">
        <v>22</v>
      </c>
      <c r="T3762" s="33" t="s">
        <v>26774</v>
      </c>
      <c r="U3762" s="33" t="s">
        <v>26572</v>
      </c>
      <c r="V3762" s="33" t="s">
        <v>26573</v>
      </c>
      <c r="W3762" s="33" t="s">
        <v>94</v>
      </c>
      <c r="X3762" s="33">
        <v>1756</v>
      </c>
      <c r="Z3762" s="33" t="s">
        <v>42966</v>
      </c>
      <c r="AA3762" s="33">
        <v>3905</v>
      </c>
    </row>
    <row r="3763" spans="1:27" ht="12" customHeight="1" x14ac:dyDescent="0.15">
      <c r="A3763" s="33" t="s">
        <v>23282</v>
      </c>
      <c r="B3763" s="33">
        <v>51</v>
      </c>
      <c r="C3763" s="33" t="s">
        <v>14</v>
      </c>
      <c r="D3763" s="33" t="s">
        <v>31</v>
      </c>
      <c r="E3763" s="33" t="s">
        <v>23283</v>
      </c>
      <c r="F3763" s="67">
        <v>42584</v>
      </c>
      <c r="G3763" s="33" t="s">
        <v>26674</v>
      </c>
      <c r="H3763" s="33" t="s">
        <v>12560</v>
      </c>
      <c r="I3763" s="33" t="s">
        <v>39</v>
      </c>
      <c r="J3763" s="33" t="s">
        <v>12561</v>
      </c>
      <c r="K3763" s="33" t="s">
        <v>92</v>
      </c>
      <c r="L3763" s="33" t="s">
        <v>386</v>
      </c>
      <c r="M3763" s="33" t="s">
        <v>21</v>
      </c>
      <c r="N3763" s="33" t="s">
        <v>23284</v>
      </c>
      <c r="O3763" s="33" t="s">
        <v>372</v>
      </c>
      <c r="P3763" s="33" t="s">
        <v>30089</v>
      </c>
      <c r="Q3763" s="40" t="s">
        <v>23285</v>
      </c>
      <c r="R3763" s="33" t="s">
        <v>904</v>
      </c>
      <c r="S3763" s="33" t="s">
        <v>29</v>
      </c>
      <c r="T3763" s="33" t="s">
        <v>26575</v>
      </c>
      <c r="U3763" s="33" t="s">
        <v>26570</v>
      </c>
      <c r="V3763" s="33" t="s">
        <v>26574</v>
      </c>
      <c r="W3763" s="33" t="s">
        <v>94</v>
      </c>
      <c r="X3763" s="33">
        <v>1760</v>
      </c>
      <c r="Z3763" s="33" t="s">
        <v>42968</v>
      </c>
      <c r="AA3763" s="33">
        <v>3902</v>
      </c>
    </row>
    <row r="3764" spans="1:27" ht="12" customHeight="1" x14ac:dyDescent="0.15">
      <c r="A3764" s="33" t="s">
        <v>23263</v>
      </c>
      <c r="B3764" s="33">
        <v>34</v>
      </c>
      <c r="C3764" s="33" t="s">
        <v>14</v>
      </c>
      <c r="D3764" s="33" t="s">
        <v>31</v>
      </c>
      <c r="E3764" s="33" t="s">
        <v>23264</v>
      </c>
      <c r="F3764" s="67">
        <v>42584</v>
      </c>
      <c r="G3764" s="33" t="s">
        <v>23265</v>
      </c>
      <c r="H3764" s="33" t="s">
        <v>23266</v>
      </c>
      <c r="I3764" s="33" t="s">
        <v>735</v>
      </c>
      <c r="J3764" s="33" t="s">
        <v>23267</v>
      </c>
      <c r="K3764" s="33" t="s">
        <v>3736</v>
      </c>
      <c r="L3764" s="33" t="s">
        <v>23268</v>
      </c>
      <c r="M3764" s="33" t="s">
        <v>21</v>
      </c>
      <c r="N3764" s="33" t="s">
        <v>23269</v>
      </c>
      <c r="O3764" s="33" t="s">
        <v>372</v>
      </c>
      <c r="P3764" s="33" t="s">
        <v>30089</v>
      </c>
      <c r="Q3764" s="40" t="s">
        <v>23270</v>
      </c>
      <c r="R3764" s="33" t="s">
        <v>512</v>
      </c>
      <c r="S3764" s="33" t="s">
        <v>22</v>
      </c>
      <c r="T3764" s="33" t="s">
        <v>26781</v>
      </c>
      <c r="U3764" s="33" t="s">
        <v>26572</v>
      </c>
      <c r="V3764" s="33" t="s">
        <v>26571</v>
      </c>
      <c r="W3764" s="33" t="s">
        <v>94</v>
      </c>
      <c r="X3764" s="33">
        <v>1759</v>
      </c>
      <c r="Z3764" s="33" t="s">
        <v>42967</v>
      </c>
      <c r="AA3764" s="33">
        <v>3900</v>
      </c>
    </row>
    <row r="3765" spans="1:27" ht="12" customHeight="1" x14ac:dyDescent="0.15">
      <c r="A3765" s="33" t="s">
        <v>23277</v>
      </c>
      <c r="B3765" s="33">
        <v>31</v>
      </c>
      <c r="C3765" s="33" t="s">
        <v>14</v>
      </c>
      <c r="D3765" s="33" t="s">
        <v>31</v>
      </c>
      <c r="E3765" s="33" t="s">
        <v>23278</v>
      </c>
      <c r="F3765" s="67">
        <v>42584</v>
      </c>
      <c r="G3765" s="33" t="s">
        <v>26673</v>
      </c>
      <c r="H3765" s="33" t="s">
        <v>315</v>
      </c>
      <c r="I3765" s="33" t="s">
        <v>122</v>
      </c>
      <c r="J3765" s="33" t="s">
        <v>23279</v>
      </c>
      <c r="K3765" s="33" t="s">
        <v>882</v>
      </c>
      <c r="L3765" s="33" t="s">
        <v>4522</v>
      </c>
      <c r="M3765" s="33" t="s">
        <v>21</v>
      </c>
      <c r="N3765" s="33" t="s">
        <v>23280</v>
      </c>
      <c r="O3765" s="33" t="s">
        <v>372</v>
      </c>
      <c r="P3765" s="33" t="s">
        <v>30089</v>
      </c>
      <c r="Q3765" s="40" t="s">
        <v>23281</v>
      </c>
      <c r="R3765" s="33" t="s">
        <v>94</v>
      </c>
      <c r="S3765" s="33" t="s">
        <v>22</v>
      </c>
      <c r="T3765" s="33" t="s">
        <v>26774</v>
      </c>
      <c r="U3765" s="33" t="s">
        <v>26570</v>
      </c>
      <c r="V3765" s="33" t="s">
        <v>26573</v>
      </c>
      <c r="W3765" s="33" t="s">
        <v>94</v>
      </c>
      <c r="X3765" s="33">
        <v>1757</v>
      </c>
      <c r="Z3765" s="33" t="s">
        <v>42967</v>
      </c>
      <c r="AA3765" s="33">
        <v>3901</v>
      </c>
    </row>
    <row r="3766" spans="1:27" ht="12" customHeight="1" x14ac:dyDescent="0.15">
      <c r="A3766" s="33" t="s">
        <v>23258</v>
      </c>
      <c r="B3766" s="33">
        <v>43</v>
      </c>
      <c r="C3766" s="33" t="s">
        <v>14</v>
      </c>
      <c r="D3766" s="33" t="s">
        <v>79</v>
      </c>
      <c r="E3766" s="33" t="s">
        <v>23259</v>
      </c>
      <c r="F3766" s="67">
        <v>42584</v>
      </c>
      <c r="G3766" s="33" t="s">
        <v>23260</v>
      </c>
      <c r="H3766" s="33" t="s">
        <v>3780</v>
      </c>
      <c r="I3766" s="33" t="s">
        <v>56</v>
      </c>
      <c r="J3766" s="33" t="s">
        <v>3781</v>
      </c>
      <c r="K3766" s="33" t="s">
        <v>1654</v>
      </c>
      <c r="L3766" s="33" t="s">
        <v>3782</v>
      </c>
      <c r="M3766" s="33" t="s">
        <v>21</v>
      </c>
      <c r="N3766" s="33" t="s">
        <v>23261</v>
      </c>
      <c r="O3766" s="33" t="s">
        <v>372</v>
      </c>
      <c r="P3766" s="33" t="s">
        <v>30089</v>
      </c>
      <c r="Q3766" s="40" t="s">
        <v>23262</v>
      </c>
      <c r="R3766" s="33" t="s">
        <v>512</v>
      </c>
      <c r="S3766" s="33" t="s">
        <v>22</v>
      </c>
      <c r="T3766" s="33" t="s">
        <v>26781</v>
      </c>
      <c r="U3766" s="33" t="s">
        <v>26572</v>
      </c>
      <c r="V3766" s="33" t="s">
        <v>26573</v>
      </c>
      <c r="W3766" s="33" t="s">
        <v>94</v>
      </c>
      <c r="X3766" s="33">
        <v>1758</v>
      </c>
      <c r="Z3766" s="33" t="s">
        <v>42968</v>
      </c>
      <c r="AA3766" s="33">
        <v>3899</v>
      </c>
    </row>
    <row r="3767" spans="1:27" ht="12" customHeight="1" x14ac:dyDescent="0.15">
      <c r="A3767" s="33" t="s">
        <v>23271</v>
      </c>
      <c r="B3767" s="33">
        <v>22</v>
      </c>
      <c r="C3767" s="33" t="s">
        <v>14</v>
      </c>
      <c r="D3767" s="33" t="s">
        <v>31</v>
      </c>
      <c r="E3767" s="33" t="s">
        <v>23272</v>
      </c>
      <c r="F3767" s="67">
        <v>42584</v>
      </c>
      <c r="G3767" s="33" t="s">
        <v>23273</v>
      </c>
      <c r="H3767" s="33" t="s">
        <v>6993</v>
      </c>
      <c r="I3767" s="33" t="s">
        <v>26</v>
      </c>
      <c r="J3767" s="33" t="s">
        <v>23274</v>
      </c>
      <c r="K3767" s="33" t="s">
        <v>3040</v>
      </c>
      <c r="L3767" s="33" t="s">
        <v>10072</v>
      </c>
      <c r="M3767" s="33" t="s">
        <v>21</v>
      </c>
      <c r="N3767" s="33" t="s">
        <v>23275</v>
      </c>
      <c r="O3767" s="33" t="s">
        <v>372</v>
      </c>
      <c r="P3767" s="33" t="s">
        <v>30089</v>
      </c>
      <c r="Q3767" s="40" t="s">
        <v>23276</v>
      </c>
      <c r="R3767" s="33" t="s">
        <v>94</v>
      </c>
      <c r="S3767" s="33" t="s">
        <v>22</v>
      </c>
      <c r="T3767" s="33" t="s">
        <v>26781</v>
      </c>
      <c r="U3767" s="33" t="s">
        <v>26572</v>
      </c>
      <c r="V3767" s="33" t="s">
        <v>26571</v>
      </c>
      <c r="W3767" s="33" t="s">
        <v>94</v>
      </c>
      <c r="X3767" s="33">
        <v>1754</v>
      </c>
      <c r="Z3767" s="33" t="s">
        <v>42967</v>
      </c>
      <c r="AA3767" s="33">
        <v>3898</v>
      </c>
    </row>
    <row r="3768" spans="1:27" ht="12" customHeight="1" x14ac:dyDescent="0.15">
      <c r="A3768" s="33" t="s">
        <v>23301</v>
      </c>
      <c r="B3768" s="33">
        <v>26</v>
      </c>
      <c r="C3768" s="33" t="s">
        <v>14</v>
      </c>
      <c r="D3768" s="33" t="s">
        <v>42</v>
      </c>
      <c r="E3768" s="33" t="s">
        <v>23302</v>
      </c>
      <c r="F3768" s="67">
        <v>42583</v>
      </c>
      <c r="G3768" s="33" t="s">
        <v>23303</v>
      </c>
      <c r="H3768" s="33" t="s">
        <v>7234</v>
      </c>
      <c r="I3768" s="33" t="s">
        <v>67</v>
      </c>
      <c r="J3768" s="33" t="s">
        <v>23304</v>
      </c>
      <c r="K3768" s="33" t="s">
        <v>1659</v>
      </c>
      <c r="L3768" s="33" t="s">
        <v>7235</v>
      </c>
      <c r="M3768" s="33" t="s">
        <v>363</v>
      </c>
      <c r="N3768" s="33" t="s">
        <v>23305</v>
      </c>
      <c r="O3768" s="33" t="s">
        <v>372</v>
      </c>
      <c r="P3768" s="33" t="s">
        <v>30089</v>
      </c>
      <c r="Q3768" s="40" t="s">
        <v>23306</v>
      </c>
      <c r="R3768" s="33" t="s">
        <v>512</v>
      </c>
      <c r="S3768" s="33" t="s">
        <v>12</v>
      </c>
      <c r="T3768" s="33" t="s">
        <v>29705</v>
      </c>
      <c r="U3768" s="33" t="s">
        <v>26570</v>
      </c>
      <c r="V3768" s="33" t="s">
        <v>26573</v>
      </c>
      <c r="Z3768" s="33" t="s">
        <v>42966</v>
      </c>
      <c r="AA3768" s="33">
        <v>3895</v>
      </c>
    </row>
    <row r="3769" spans="1:27" ht="12" customHeight="1" x14ac:dyDescent="0.15">
      <c r="A3769" s="33" t="s">
        <v>23307</v>
      </c>
      <c r="B3769" s="33">
        <v>43</v>
      </c>
      <c r="C3769" s="33" t="s">
        <v>14</v>
      </c>
      <c r="D3769" s="33" t="s">
        <v>31</v>
      </c>
      <c r="F3769" s="67">
        <v>42583</v>
      </c>
      <c r="G3769" s="33" t="s">
        <v>26676</v>
      </c>
      <c r="H3769" s="33" t="s">
        <v>947</v>
      </c>
      <c r="I3769" s="33" t="s">
        <v>26</v>
      </c>
      <c r="J3769" s="33">
        <v>29073</v>
      </c>
      <c r="K3769" s="33" t="s">
        <v>947</v>
      </c>
      <c r="L3769" s="33" t="s">
        <v>2514</v>
      </c>
      <c r="M3769" s="33" t="s">
        <v>21</v>
      </c>
      <c r="N3769" s="33" t="s">
        <v>23308</v>
      </c>
      <c r="O3769" s="33" t="s">
        <v>372</v>
      </c>
      <c r="P3769" s="33" t="s">
        <v>30089</v>
      </c>
      <c r="Q3769" s="40" t="s">
        <v>23309</v>
      </c>
      <c r="R3769" s="33" t="s">
        <v>94</v>
      </c>
      <c r="S3769" s="33" t="s">
        <v>351</v>
      </c>
      <c r="T3769" s="33" t="s">
        <v>26867</v>
      </c>
      <c r="U3769" s="33" t="s">
        <v>26572</v>
      </c>
      <c r="V3769" s="33" t="s">
        <v>26571</v>
      </c>
      <c r="W3769" s="33" t="s">
        <v>94</v>
      </c>
      <c r="X3769" s="33">
        <v>1751</v>
      </c>
      <c r="Z3769" s="33" t="s">
        <v>42968</v>
      </c>
      <c r="AA3769" s="33">
        <v>3897</v>
      </c>
    </row>
    <row r="3770" spans="1:27" ht="12" customHeight="1" x14ac:dyDescent="0.15">
      <c r="A3770" s="33" t="s">
        <v>23286</v>
      </c>
      <c r="B3770" s="33">
        <v>23</v>
      </c>
      <c r="C3770" s="33" t="s">
        <v>103</v>
      </c>
      <c r="D3770" s="33" t="s">
        <v>79</v>
      </c>
      <c r="E3770" s="33" t="s">
        <v>23287</v>
      </c>
      <c r="F3770" s="67">
        <v>42583</v>
      </c>
      <c r="G3770" s="33" t="s">
        <v>26675</v>
      </c>
      <c r="H3770" s="33" t="s">
        <v>4212</v>
      </c>
      <c r="I3770" s="33" t="s">
        <v>46</v>
      </c>
      <c r="J3770" s="33">
        <v>21133</v>
      </c>
      <c r="K3770" s="33" t="s">
        <v>1487</v>
      </c>
      <c r="L3770" s="33" t="s">
        <v>212</v>
      </c>
      <c r="M3770" s="33" t="s">
        <v>21</v>
      </c>
      <c r="N3770" s="33" t="s">
        <v>23288</v>
      </c>
      <c r="O3770" s="33" t="s">
        <v>372</v>
      </c>
      <c r="P3770" s="33" t="s">
        <v>30089</v>
      </c>
      <c r="Q3770" s="40" t="s">
        <v>23289</v>
      </c>
      <c r="R3770" s="33" t="s">
        <v>94</v>
      </c>
      <c r="S3770" s="33" t="s">
        <v>22</v>
      </c>
      <c r="T3770" s="33" t="s">
        <v>26781</v>
      </c>
      <c r="U3770" s="33" t="s">
        <v>26572</v>
      </c>
      <c r="V3770" s="33" t="s">
        <v>26573</v>
      </c>
      <c r="W3770" s="33" t="s">
        <v>94</v>
      </c>
      <c r="X3770" s="33">
        <v>1750</v>
      </c>
      <c r="Z3770" s="33" t="s">
        <v>42968</v>
      </c>
      <c r="AA3770" s="33">
        <v>3893</v>
      </c>
    </row>
    <row r="3771" spans="1:27" ht="12" customHeight="1" x14ac:dyDescent="0.15">
      <c r="A3771" s="33" t="s">
        <v>23290</v>
      </c>
      <c r="B3771" s="33">
        <v>67</v>
      </c>
      <c r="C3771" s="33" t="s">
        <v>14</v>
      </c>
      <c r="D3771" s="33" t="s">
        <v>31</v>
      </c>
      <c r="E3771" s="33" t="s">
        <v>23291</v>
      </c>
      <c r="F3771" s="67">
        <v>42583</v>
      </c>
      <c r="G3771" s="33" t="s">
        <v>23292</v>
      </c>
      <c r="H3771" s="33" t="s">
        <v>20686</v>
      </c>
      <c r="I3771" s="33" t="s">
        <v>225</v>
      </c>
      <c r="J3771" s="33" t="s">
        <v>23293</v>
      </c>
      <c r="K3771" s="33" t="s">
        <v>15548</v>
      </c>
      <c r="L3771" s="33" t="s">
        <v>23294</v>
      </c>
      <c r="M3771" s="33" t="s">
        <v>21</v>
      </c>
      <c r="N3771" s="33" t="s">
        <v>23295</v>
      </c>
      <c r="O3771" s="33" t="s">
        <v>372</v>
      </c>
      <c r="P3771" s="33" t="s">
        <v>30089</v>
      </c>
      <c r="Q3771" s="40" t="s">
        <v>23296</v>
      </c>
      <c r="R3771" s="33" t="s">
        <v>94</v>
      </c>
      <c r="S3771" s="33" t="s">
        <v>22</v>
      </c>
      <c r="T3771" s="33" t="s">
        <v>26781</v>
      </c>
      <c r="U3771" s="33" t="s">
        <v>26572</v>
      </c>
      <c r="V3771" s="33" t="s">
        <v>26573</v>
      </c>
      <c r="W3771" s="33" t="s">
        <v>94</v>
      </c>
      <c r="X3771" s="33">
        <v>1753</v>
      </c>
      <c r="Z3771" s="33" t="s">
        <v>42968</v>
      </c>
      <c r="AA3771" s="33">
        <v>3894</v>
      </c>
    </row>
    <row r="3772" spans="1:27" ht="12" customHeight="1" x14ac:dyDescent="0.15">
      <c r="A3772" s="33" t="s">
        <v>23297</v>
      </c>
      <c r="B3772" s="33">
        <v>32</v>
      </c>
      <c r="C3772" s="33" t="s">
        <v>14</v>
      </c>
      <c r="D3772" s="33" t="s">
        <v>79</v>
      </c>
      <c r="F3772" s="67">
        <v>42583</v>
      </c>
      <c r="G3772" s="33" t="s">
        <v>23298</v>
      </c>
      <c r="H3772" s="33" t="s">
        <v>3383</v>
      </c>
      <c r="I3772" s="33" t="s">
        <v>39</v>
      </c>
      <c r="J3772" s="33" t="s">
        <v>3384</v>
      </c>
      <c r="K3772" s="33" t="s">
        <v>998</v>
      </c>
      <c r="L3772" s="33" t="s">
        <v>3385</v>
      </c>
      <c r="M3772" s="33" t="s">
        <v>21</v>
      </c>
      <c r="N3772" s="33" t="s">
        <v>23299</v>
      </c>
      <c r="O3772" s="33" t="s">
        <v>372</v>
      </c>
      <c r="P3772" s="33" t="s">
        <v>30089</v>
      </c>
      <c r="Q3772" s="40" t="s">
        <v>23300</v>
      </c>
      <c r="R3772" s="33" t="s">
        <v>23</v>
      </c>
      <c r="S3772" s="33" t="s">
        <v>29</v>
      </c>
      <c r="T3772" s="33" t="s">
        <v>26575</v>
      </c>
      <c r="U3772" s="33" t="s">
        <v>26575</v>
      </c>
      <c r="V3772" s="33" t="s">
        <v>26573</v>
      </c>
      <c r="W3772" s="33" t="s">
        <v>94</v>
      </c>
      <c r="X3772" s="33">
        <v>2148</v>
      </c>
      <c r="Z3772" s="33" t="s">
        <v>42966</v>
      </c>
      <c r="AA3772" s="33">
        <v>3896</v>
      </c>
    </row>
    <row r="3773" spans="1:27" ht="12" customHeight="1" x14ac:dyDescent="0.15">
      <c r="A3773" s="33" t="s">
        <v>23323</v>
      </c>
      <c r="B3773" s="33">
        <v>38</v>
      </c>
      <c r="C3773" s="33" t="s">
        <v>14</v>
      </c>
      <c r="D3773" s="33" t="s">
        <v>42</v>
      </c>
      <c r="F3773" s="67">
        <v>42582</v>
      </c>
      <c r="G3773" s="33" t="s">
        <v>23823</v>
      </c>
      <c r="H3773" s="33" t="s">
        <v>7845</v>
      </c>
      <c r="I3773" s="33" t="s">
        <v>282</v>
      </c>
      <c r="J3773" s="33">
        <v>98951</v>
      </c>
      <c r="K3773" s="33" t="s">
        <v>5737</v>
      </c>
      <c r="L3773" s="33" t="s">
        <v>23324</v>
      </c>
      <c r="M3773" s="33" t="s">
        <v>21</v>
      </c>
      <c r="N3773" s="33" t="s">
        <v>23325</v>
      </c>
      <c r="O3773" s="33" t="s">
        <v>372</v>
      </c>
      <c r="P3773" s="33" t="s">
        <v>30089</v>
      </c>
      <c r="Q3773" s="40" t="s">
        <v>23326</v>
      </c>
      <c r="R3773" s="33" t="s">
        <v>94</v>
      </c>
      <c r="S3773" s="33" t="s">
        <v>29</v>
      </c>
      <c r="T3773" s="33" t="s">
        <v>26575</v>
      </c>
      <c r="U3773" s="33" t="s">
        <v>26575</v>
      </c>
      <c r="V3773" s="33" t="s">
        <v>26573</v>
      </c>
      <c r="W3773" s="33" t="s">
        <v>94</v>
      </c>
      <c r="X3773" s="33">
        <v>1749</v>
      </c>
      <c r="Z3773" s="33" t="s">
        <v>42967</v>
      </c>
      <c r="AA3773" s="33">
        <v>3892</v>
      </c>
    </row>
    <row r="3774" spans="1:27" ht="12" customHeight="1" x14ac:dyDescent="0.15">
      <c r="A3774" s="33" t="s">
        <v>23310</v>
      </c>
      <c r="B3774" s="33">
        <v>18</v>
      </c>
      <c r="C3774" s="33" t="s">
        <v>14</v>
      </c>
      <c r="D3774" s="33" t="s">
        <v>79</v>
      </c>
      <c r="F3774" s="67">
        <v>42582</v>
      </c>
      <c r="G3774" s="33" t="s">
        <v>23311</v>
      </c>
      <c r="H3774" s="33" t="s">
        <v>23312</v>
      </c>
      <c r="I3774" s="33" t="s">
        <v>75</v>
      </c>
      <c r="J3774" s="33" t="s">
        <v>23313</v>
      </c>
      <c r="K3774" s="33" t="s">
        <v>595</v>
      </c>
      <c r="L3774" s="33" t="s">
        <v>23314</v>
      </c>
      <c r="M3774" s="33" t="s">
        <v>21</v>
      </c>
      <c r="N3774" s="33" t="s">
        <v>23315</v>
      </c>
      <c r="O3774" s="33" t="s">
        <v>372</v>
      </c>
      <c r="P3774" s="33" t="s">
        <v>30089</v>
      </c>
      <c r="Q3774" s="40" t="s">
        <v>23316</v>
      </c>
      <c r="R3774" s="33" t="s">
        <v>512</v>
      </c>
      <c r="S3774" s="33" t="s">
        <v>22</v>
      </c>
      <c r="T3774" s="33" t="s">
        <v>26774</v>
      </c>
      <c r="U3774" s="33" t="s">
        <v>26570</v>
      </c>
      <c r="V3774" s="33" t="s">
        <v>26573</v>
      </c>
      <c r="W3774" s="33" t="s">
        <v>512</v>
      </c>
      <c r="X3774" s="33">
        <v>1752</v>
      </c>
      <c r="Z3774" s="33" t="s">
        <v>42968</v>
      </c>
      <c r="AA3774" s="33">
        <v>3890</v>
      </c>
    </row>
    <row r="3775" spans="1:27" ht="12" customHeight="1" x14ac:dyDescent="0.15">
      <c r="A3775" s="33" t="s">
        <v>23317</v>
      </c>
      <c r="B3775" s="33">
        <v>32</v>
      </c>
      <c r="C3775" s="33" t="s">
        <v>14</v>
      </c>
      <c r="D3775" s="33" t="s">
        <v>31</v>
      </c>
      <c r="E3775" s="33" t="s">
        <v>23318</v>
      </c>
      <c r="F3775" s="67">
        <v>42582</v>
      </c>
      <c r="G3775" s="33" t="s">
        <v>23319</v>
      </c>
      <c r="H3775" s="33" t="s">
        <v>23320</v>
      </c>
      <c r="I3775" s="33" t="s">
        <v>294</v>
      </c>
      <c r="J3775" s="33">
        <v>41553</v>
      </c>
      <c r="K3775" s="33" t="s">
        <v>2973</v>
      </c>
      <c r="L3775" s="33" t="s">
        <v>18258</v>
      </c>
      <c r="M3775" s="33" t="s">
        <v>21</v>
      </c>
      <c r="N3775" s="33" t="s">
        <v>23321</v>
      </c>
      <c r="O3775" s="33" t="s">
        <v>372</v>
      </c>
      <c r="P3775" s="33" t="s">
        <v>30089</v>
      </c>
      <c r="Q3775" s="40" t="s">
        <v>23322</v>
      </c>
      <c r="R3775" s="33" t="s">
        <v>94</v>
      </c>
      <c r="S3775" s="33" t="s">
        <v>29</v>
      </c>
      <c r="T3775" s="33" t="s">
        <v>26590</v>
      </c>
      <c r="U3775" s="33" t="s">
        <v>26572</v>
      </c>
      <c r="V3775" s="33" t="s">
        <v>26574</v>
      </c>
      <c r="W3775" s="33" t="s">
        <v>94</v>
      </c>
      <c r="X3775" s="33">
        <v>1748</v>
      </c>
      <c r="Z3775" s="33" t="s">
        <v>42967</v>
      </c>
      <c r="AA3775" s="33">
        <v>3891</v>
      </c>
    </row>
    <row r="3776" spans="1:27" ht="12" customHeight="1" x14ac:dyDescent="0.15">
      <c r="A3776" s="33" t="s">
        <v>23332</v>
      </c>
      <c r="B3776" s="33">
        <v>59</v>
      </c>
      <c r="C3776" s="33" t="s">
        <v>14</v>
      </c>
      <c r="D3776" s="33" t="s">
        <v>31</v>
      </c>
      <c r="E3776" s="33" t="s">
        <v>23333</v>
      </c>
      <c r="F3776" s="67">
        <v>42580</v>
      </c>
      <c r="G3776" s="33" t="s">
        <v>23334</v>
      </c>
      <c r="H3776" s="33" t="s">
        <v>23335</v>
      </c>
      <c r="I3776" s="33" t="s">
        <v>338</v>
      </c>
      <c r="J3776" s="33">
        <v>27866</v>
      </c>
      <c r="K3776" s="33" t="s">
        <v>5967</v>
      </c>
      <c r="L3776" s="33" t="s">
        <v>23336</v>
      </c>
      <c r="M3776" s="33" t="s">
        <v>21</v>
      </c>
      <c r="N3776" s="33" t="s">
        <v>23337</v>
      </c>
      <c r="O3776" s="33" t="s">
        <v>372</v>
      </c>
      <c r="P3776" s="33" t="s">
        <v>30089</v>
      </c>
      <c r="Q3776" s="40" t="s">
        <v>23338</v>
      </c>
      <c r="R3776" s="33" t="s">
        <v>94</v>
      </c>
      <c r="S3776" s="33" t="s">
        <v>22</v>
      </c>
      <c r="T3776" s="33" t="s">
        <v>26781</v>
      </c>
      <c r="U3776" s="33" t="s">
        <v>26572</v>
      </c>
      <c r="V3776" s="33" t="s">
        <v>26573</v>
      </c>
      <c r="W3776" s="33" t="s">
        <v>94</v>
      </c>
      <c r="X3776" s="33">
        <v>1834</v>
      </c>
      <c r="Z3776" s="33" t="s">
        <v>42967</v>
      </c>
      <c r="AA3776" s="33">
        <v>3889</v>
      </c>
    </row>
    <row r="3777" spans="1:27" ht="12" customHeight="1" x14ac:dyDescent="0.15">
      <c r="A3777" s="33" t="s">
        <v>23327</v>
      </c>
      <c r="B3777" s="33">
        <v>40</v>
      </c>
      <c r="C3777" s="33" t="s">
        <v>103</v>
      </c>
      <c r="D3777" s="33" t="s">
        <v>31</v>
      </c>
      <c r="E3777" s="33" t="s">
        <v>23328</v>
      </c>
      <c r="F3777" s="67">
        <v>42580</v>
      </c>
      <c r="G3777" s="33" t="s">
        <v>23329</v>
      </c>
      <c r="H3777" s="33" t="s">
        <v>16441</v>
      </c>
      <c r="I3777" s="33" t="s">
        <v>88</v>
      </c>
      <c r="J3777" s="33">
        <v>35209</v>
      </c>
      <c r="K3777" s="33" t="s">
        <v>1659</v>
      </c>
      <c r="L3777" s="33" t="s">
        <v>3811</v>
      </c>
      <c r="M3777" s="33" t="s">
        <v>21</v>
      </c>
      <c r="N3777" s="33" t="s">
        <v>23330</v>
      </c>
      <c r="O3777" s="33" t="s">
        <v>372</v>
      </c>
      <c r="P3777" s="33" t="s">
        <v>30089</v>
      </c>
      <c r="Q3777" s="40" t="s">
        <v>23331</v>
      </c>
      <c r="R3777" s="33" t="s">
        <v>94</v>
      </c>
      <c r="S3777" s="33" t="s">
        <v>22</v>
      </c>
      <c r="T3777" s="33" t="s">
        <v>26781</v>
      </c>
      <c r="U3777" s="33" t="s">
        <v>26572</v>
      </c>
      <c r="V3777" s="33" t="s">
        <v>26573</v>
      </c>
      <c r="W3777" s="33" t="s">
        <v>94</v>
      </c>
      <c r="X3777" s="33">
        <v>1747</v>
      </c>
      <c r="Z3777" s="33" t="s">
        <v>42968</v>
      </c>
      <c r="AA3777" s="33">
        <v>3888</v>
      </c>
    </row>
    <row r="3778" spans="1:27" ht="12" customHeight="1" x14ac:dyDescent="0.15">
      <c r="A3778" s="33" t="s">
        <v>23345</v>
      </c>
      <c r="B3778" s="33">
        <v>36</v>
      </c>
      <c r="C3778" s="33" t="s">
        <v>14</v>
      </c>
      <c r="D3778" s="33" t="s">
        <v>42</v>
      </c>
      <c r="F3778" s="67">
        <v>42579</v>
      </c>
      <c r="G3778" s="33" t="s">
        <v>23346</v>
      </c>
      <c r="H3778" s="33" t="s">
        <v>92</v>
      </c>
      <c r="I3778" s="33" t="s">
        <v>39</v>
      </c>
      <c r="J3778" s="33">
        <v>90063</v>
      </c>
      <c r="K3778" s="33" t="s">
        <v>92</v>
      </c>
      <c r="L3778" s="33" t="s">
        <v>93</v>
      </c>
      <c r="M3778" s="33" t="s">
        <v>21</v>
      </c>
      <c r="N3778" s="33" t="s">
        <v>23347</v>
      </c>
      <c r="O3778" s="33" t="s">
        <v>372</v>
      </c>
      <c r="P3778" s="33" t="s">
        <v>30089</v>
      </c>
      <c r="Q3778" s="40" t="s">
        <v>23348</v>
      </c>
      <c r="R3778" s="33" t="s">
        <v>94</v>
      </c>
      <c r="S3778" s="33" t="s">
        <v>29</v>
      </c>
      <c r="T3778" s="33" t="s">
        <v>26575</v>
      </c>
      <c r="U3778" s="33" t="s">
        <v>26570</v>
      </c>
      <c r="V3778" s="33" t="s">
        <v>26571</v>
      </c>
      <c r="W3778" s="33" t="s">
        <v>512</v>
      </c>
      <c r="X3778" s="33">
        <v>1745</v>
      </c>
      <c r="Z3778" s="33" t="s">
        <v>42966</v>
      </c>
      <c r="AA3778" s="33">
        <v>3886</v>
      </c>
    </row>
    <row r="3779" spans="1:27" ht="12" customHeight="1" x14ac:dyDescent="0.15">
      <c r="A3779" s="33" t="s">
        <v>23353</v>
      </c>
      <c r="B3779" s="33">
        <v>27</v>
      </c>
      <c r="C3779" s="33" t="s">
        <v>14</v>
      </c>
      <c r="D3779" s="33" t="s">
        <v>79</v>
      </c>
      <c r="F3779" s="67">
        <v>42579</v>
      </c>
      <c r="G3779" s="33" t="s">
        <v>26677</v>
      </c>
      <c r="H3779" s="33" t="s">
        <v>4767</v>
      </c>
      <c r="I3779" s="33" t="s">
        <v>39</v>
      </c>
      <c r="J3779" s="33">
        <v>90222</v>
      </c>
      <c r="K3779" s="33" t="s">
        <v>92</v>
      </c>
      <c r="L3779" s="33" t="s">
        <v>386</v>
      </c>
      <c r="M3779" s="33" t="s">
        <v>21</v>
      </c>
      <c r="N3779" s="33" t="s">
        <v>23354</v>
      </c>
      <c r="O3779" s="33" t="s">
        <v>372</v>
      </c>
      <c r="P3779" s="33" t="s">
        <v>30089</v>
      </c>
      <c r="Q3779" s="40" t="s">
        <v>23355</v>
      </c>
      <c r="R3779" s="33" t="s">
        <v>94</v>
      </c>
      <c r="S3779" s="33" t="s">
        <v>12</v>
      </c>
      <c r="T3779" s="33" t="s">
        <v>29705</v>
      </c>
      <c r="U3779" s="33" t="s">
        <v>26572</v>
      </c>
      <c r="V3779" s="33" t="s">
        <v>19228</v>
      </c>
      <c r="W3779" s="33" t="s">
        <v>94</v>
      </c>
      <c r="X3779" s="33">
        <v>1744</v>
      </c>
      <c r="Z3779" s="33" t="s">
        <v>42966</v>
      </c>
      <c r="AA3779" s="33">
        <v>3883</v>
      </c>
    </row>
    <row r="3780" spans="1:27" ht="12" customHeight="1" x14ac:dyDescent="0.15">
      <c r="A3780" s="33" t="s">
        <v>36685</v>
      </c>
      <c r="B3780" s="33">
        <v>18</v>
      </c>
      <c r="C3780" s="33" t="s">
        <v>14</v>
      </c>
      <c r="D3780" s="33" t="s">
        <v>79</v>
      </c>
      <c r="E3780" s="33" t="s">
        <v>36686</v>
      </c>
      <c r="F3780" s="67">
        <v>42579</v>
      </c>
      <c r="G3780" s="33" t="s">
        <v>26678</v>
      </c>
      <c r="H3780" s="33" t="s">
        <v>81</v>
      </c>
      <c r="I3780" s="33" t="s">
        <v>38</v>
      </c>
      <c r="J3780" s="33">
        <v>60649</v>
      </c>
      <c r="K3780" s="33" t="s">
        <v>82</v>
      </c>
      <c r="L3780" s="33" t="s">
        <v>83</v>
      </c>
      <c r="M3780" s="33" t="s">
        <v>21</v>
      </c>
      <c r="N3780" s="33" t="s">
        <v>23356</v>
      </c>
      <c r="O3780" s="33" t="s">
        <v>372</v>
      </c>
      <c r="P3780" s="33" t="s">
        <v>30089</v>
      </c>
      <c r="Q3780" s="40" t="s">
        <v>23357</v>
      </c>
      <c r="R3780" s="33" t="s">
        <v>94</v>
      </c>
      <c r="S3780" s="33" t="s">
        <v>351</v>
      </c>
      <c r="T3780" s="33" t="s">
        <v>26867</v>
      </c>
      <c r="U3780" s="33" t="s">
        <v>26570</v>
      </c>
      <c r="V3780" s="33" t="s">
        <v>26571</v>
      </c>
      <c r="W3780" s="33" t="s">
        <v>512</v>
      </c>
      <c r="X3780" s="33">
        <v>1742</v>
      </c>
      <c r="Z3780" s="33" t="s">
        <v>42966</v>
      </c>
      <c r="AA3780" s="33">
        <v>3887</v>
      </c>
    </row>
    <row r="3781" spans="1:27" ht="12" customHeight="1" x14ac:dyDescent="0.15">
      <c r="A3781" s="33" t="s">
        <v>23358</v>
      </c>
      <c r="B3781" s="33">
        <v>47</v>
      </c>
      <c r="C3781" s="33" t="s">
        <v>14</v>
      </c>
      <c r="D3781" s="33" t="s">
        <v>79</v>
      </c>
      <c r="F3781" s="67">
        <v>42579</v>
      </c>
      <c r="G3781" s="33" t="s">
        <v>26679</v>
      </c>
      <c r="H3781" s="33" t="s">
        <v>23359</v>
      </c>
      <c r="I3781" s="33" t="s">
        <v>39</v>
      </c>
      <c r="J3781" s="33">
        <v>92253</v>
      </c>
      <c r="K3781" s="33" t="s">
        <v>728</v>
      </c>
      <c r="L3781" s="33" t="s">
        <v>729</v>
      </c>
      <c r="M3781" s="33" t="s">
        <v>21</v>
      </c>
      <c r="N3781" s="33" t="s">
        <v>23360</v>
      </c>
      <c r="O3781" s="33" t="s">
        <v>372</v>
      </c>
      <c r="P3781" s="33" t="s">
        <v>30089</v>
      </c>
      <c r="Q3781" s="40" t="s">
        <v>23361</v>
      </c>
      <c r="R3781" s="33" t="s">
        <v>94</v>
      </c>
      <c r="S3781" s="33" t="s">
        <v>29</v>
      </c>
      <c r="T3781" s="33" t="s">
        <v>41840</v>
      </c>
      <c r="U3781" s="33" t="s">
        <v>26570</v>
      </c>
      <c r="V3781" s="33" t="s">
        <v>26571</v>
      </c>
      <c r="W3781" s="33" t="s">
        <v>94</v>
      </c>
      <c r="X3781" s="33">
        <v>1741</v>
      </c>
      <c r="Z3781" s="33" t="s">
        <v>42968</v>
      </c>
      <c r="AA3781" s="33">
        <v>3884</v>
      </c>
    </row>
    <row r="3782" spans="1:27" ht="12" customHeight="1" x14ac:dyDescent="0.15">
      <c r="A3782" s="33" t="s">
        <v>23340</v>
      </c>
      <c r="B3782" s="33">
        <v>31</v>
      </c>
      <c r="C3782" s="33" t="s">
        <v>14</v>
      </c>
      <c r="D3782" s="33" t="s">
        <v>42</v>
      </c>
      <c r="E3782" s="33" t="s">
        <v>23341</v>
      </c>
      <c r="F3782" s="67">
        <v>42579</v>
      </c>
      <c r="G3782" s="33" t="s">
        <v>23342</v>
      </c>
      <c r="H3782" s="33" t="s">
        <v>518</v>
      </c>
      <c r="I3782" s="33" t="s">
        <v>112</v>
      </c>
      <c r="J3782" s="33">
        <v>85719</v>
      </c>
      <c r="K3782" s="33" t="s">
        <v>519</v>
      </c>
      <c r="L3782" s="33" t="s">
        <v>520</v>
      </c>
      <c r="M3782" s="33" t="s">
        <v>21</v>
      </c>
      <c r="N3782" s="33" t="s">
        <v>23343</v>
      </c>
      <c r="O3782" s="33" t="s">
        <v>372</v>
      </c>
      <c r="P3782" s="33" t="s">
        <v>30089</v>
      </c>
      <c r="Q3782" s="40" t="s">
        <v>23344</v>
      </c>
      <c r="R3782" s="33" t="s">
        <v>94</v>
      </c>
      <c r="S3782" s="33" t="s">
        <v>22</v>
      </c>
      <c r="T3782" s="33" t="s">
        <v>26781</v>
      </c>
      <c r="U3782" s="33" t="s">
        <v>26572</v>
      </c>
      <c r="V3782" s="33" t="s">
        <v>19228</v>
      </c>
      <c r="W3782" s="33" t="s">
        <v>94</v>
      </c>
      <c r="X3782" s="33">
        <v>1743</v>
      </c>
      <c r="Z3782" s="33" t="s">
        <v>42968</v>
      </c>
      <c r="AA3782" s="33">
        <v>3882</v>
      </c>
    </row>
    <row r="3783" spans="1:27" ht="12" customHeight="1" x14ac:dyDescent="0.15">
      <c r="A3783" s="33" t="s">
        <v>23349</v>
      </c>
      <c r="B3783" s="33">
        <v>41</v>
      </c>
      <c r="C3783" s="33" t="s">
        <v>14</v>
      </c>
      <c r="D3783" s="33" t="s">
        <v>42</v>
      </c>
      <c r="F3783" s="67">
        <v>42579</v>
      </c>
      <c r="G3783" s="33" t="s">
        <v>23350</v>
      </c>
      <c r="H3783" s="33" t="s">
        <v>12493</v>
      </c>
      <c r="I3783" s="33" t="s">
        <v>250</v>
      </c>
      <c r="J3783" s="33">
        <v>89431</v>
      </c>
      <c r="K3783" s="33" t="s">
        <v>5732</v>
      </c>
      <c r="L3783" s="33" t="s">
        <v>12495</v>
      </c>
      <c r="M3783" s="33" t="s">
        <v>21</v>
      </c>
      <c r="N3783" s="33" t="s">
        <v>23351</v>
      </c>
      <c r="O3783" s="33" t="s">
        <v>372</v>
      </c>
      <c r="P3783" s="33" t="s">
        <v>30089</v>
      </c>
      <c r="Q3783" s="40" t="s">
        <v>23352</v>
      </c>
      <c r="R3783" s="33" t="s">
        <v>94</v>
      </c>
      <c r="S3783" s="33" t="s">
        <v>29</v>
      </c>
      <c r="T3783" s="33" t="s">
        <v>26575</v>
      </c>
      <c r="U3783" s="33" t="s">
        <v>26575</v>
      </c>
      <c r="V3783" s="33" t="s">
        <v>26573</v>
      </c>
      <c r="W3783" s="33" t="s">
        <v>94</v>
      </c>
      <c r="X3783" s="33">
        <v>1737</v>
      </c>
      <c r="Z3783" s="33" t="s">
        <v>42968</v>
      </c>
      <c r="AA3783" s="33">
        <v>3885</v>
      </c>
    </row>
    <row r="3784" spans="1:27" ht="12" customHeight="1" x14ac:dyDescent="0.15">
      <c r="A3784" s="33" t="s">
        <v>23365</v>
      </c>
      <c r="B3784" s="33">
        <v>24</v>
      </c>
      <c r="C3784" s="33" t="s">
        <v>14</v>
      </c>
      <c r="D3784" s="33" t="s">
        <v>31</v>
      </c>
      <c r="E3784" s="33" t="s">
        <v>23366</v>
      </c>
      <c r="F3784" s="67">
        <v>42578</v>
      </c>
      <c r="G3784" s="33" t="s">
        <v>23367</v>
      </c>
      <c r="H3784" s="33" t="s">
        <v>639</v>
      </c>
      <c r="I3784" s="33" t="s">
        <v>112</v>
      </c>
      <c r="J3784" s="33">
        <v>85260</v>
      </c>
      <c r="K3784" s="33" t="s">
        <v>585</v>
      </c>
      <c r="L3784" s="33" t="s">
        <v>4494</v>
      </c>
      <c r="M3784" s="33" t="s">
        <v>21</v>
      </c>
      <c r="N3784" s="33" t="s">
        <v>23368</v>
      </c>
      <c r="O3784" s="33" t="s">
        <v>372</v>
      </c>
      <c r="P3784" s="33" t="s">
        <v>30089</v>
      </c>
      <c r="Q3784" s="40" t="s">
        <v>23369</v>
      </c>
      <c r="R3784" s="33" t="s">
        <v>512</v>
      </c>
      <c r="S3784" s="33" t="s">
        <v>22</v>
      </c>
      <c r="T3784" s="33" t="s">
        <v>26774</v>
      </c>
      <c r="U3784" s="33" t="s">
        <v>26570</v>
      </c>
      <c r="V3784" s="33" t="s">
        <v>26574</v>
      </c>
      <c r="W3784" s="33" t="s">
        <v>512</v>
      </c>
      <c r="X3784" s="33">
        <v>1739</v>
      </c>
      <c r="Z3784" s="33" t="s">
        <v>42968</v>
      </c>
      <c r="AA3784" s="33">
        <v>3877</v>
      </c>
    </row>
    <row r="3785" spans="1:27" ht="12" customHeight="1" x14ac:dyDescent="0.15">
      <c r="A3785" s="33" t="s">
        <v>23381</v>
      </c>
      <c r="B3785" s="33">
        <v>19</v>
      </c>
      <c r="C3785" s="33" t="s">
        <v>14</v>
      </c>
      <c r="D3785" s="33" t="s">
        <v>79</v>
      </c>
      <c r="E3785" s="33" t="s">
        <v>23382</v>
      </c>
      <c r="F3785" s="67">
        <v>42578</v>
      </c>
      <c r="G3785" s="33" t="s">
        <v>26682</v>
      </c>
      <c r="H3785" s="33" t="s">
        <v>3585</v>
      </c>
      <c r="I3785" s="33" t="s">
        <v>112</v>
      </c>
      <c r="J3785" s="33">
        <v>85283</v>
      </c>
      <c r="K3785" s="33" t="s">
        <v>585</v>
      </c>
      <c r="L3785" s="33" t="s">
        <v>3587</v>
      </c>
      <c r="M3785" s="33" t="s">
        <v>21</v>
      </c>
      <c r="N3785" s="33" t="s">
        <v>23383</v>
      </c>
      <c r="O3785" s="33" t="s">
        <v>372</v>
      </c>
      <c r="P3785" s="33" t="s">
        <v>30089</v>
      </c>
      <c r="Q3785" s="40" t="s">
        <v>23384</v>
      </c>
      <c r="R3785" s="33" t="s">
        <v>512</v>
      </c>
      <c r="S3785" s="33" t="s">
        <v>12</v>
      </c>
      <c r="T3785" s="33" t="s">
        <v>29705</v>
      </c>
      <c r="U3785" s="33" t="s">
        <v>26572</v>
      </c>
      <c r="V3785" s="33" t="s">
        <v>26574</v>
      </c>
      <c r="W3785" s="33" t="s">
        <v>94</v>
      </c>
      <c r="X3785" s="33">
        <v>1736</v>
      </c>
      <c r="Z3785" s="33" t="s">
        <v>42966</v>
      </c>
      <c r="AA3785" s="33">
        <v>3881</v>
      </c>
    </row>
    <row r="3786" spans="1:27" ht="12" customHeight="1" x14ac:dyDescent="0.15">
      <c r="A3786" s="33" t="s">
        <v>23370</v>
      </c>
      <c r="B3786" s="33">
        <v>20</v>
      </c>
      <c r="C3786" s="33" t="s">
        <v>14</v>
      </c>
      <c r="D3786" s="33" t="s">
        <v>31</v>
      </c>
      <c r="F3786" s="67">
        <v>42578</v>
      </c>
      <c r="G3786" s="33" t="s">
        <v>23371</v>
      </c>
      <c r="H3786" s="33" t="s">
        <v>23372</v>
      </c>
      <c r="I3786" s="33" t="s">
        <v>798</v>
      </c>
      <c r="J3786" s="33">
        <v>59538</v>
      </c>
      <c r="K3786" s="33" t="s">
        <v>23373</v>
      </c>
      <c r="L3786" s="33" t="s">
        <v>23374</v>
      </c>
      <c r="M3786" s="33" t="s">
        <v>21</v>
      </c>
      <c r="N3786" s="33" t="s">
        <v>23375</v>
      </c>
      <c r="O3786" s="33" t="s">
        <v>372</v>
      </c>
      <c r="P3786" s="33" t="s">
        <v>30089</v>
      </c>
      <c r="Q3786" s="40" t="s">
        <v>23376</v>
      </c>
      <c r="R3786" s="33" t="s">
        <v>94</v>
      </c>
      <c r="S3786" s="33" t="s">
        <v>22</v>
      </c>
      <c r="T3786" s="33" t="s">
        <v>26774</v>
      </c>
      <c r="U3786" s="33" t="s">
        <v>26572</v>
      </c>
      <c r="V3786" s="33" t="s">
        <v>26573</v>
      </c>
      <c r="W3786" s="33" t="s">
        <v>94</v>
      </c>
      <c r="X3786" s="33">
        <v>1746</v>
      </c>
      <c r="Z3786" s="33" t="s">
        <v>42967</v>
      </c>
      <c r="AA3786" s="33">
        <v>3879</v>
      </c>
    </row>
    <row r="3787" spans="1:27" ht="12" customHeight="1" x14ac:dyDescent="0.15">
      <c r="A3787" s="33" t="s">
        <v>23385</v>
      </c>
      <c r="B3787" s="33">
        <v>17</v>
      </c>
      <c r="C3787" s="33" t="s">
        <v>14</v>
      </c>
      <c r="D3787" s="33" t="s">
        <v>79</v>
      </c>
      <c r="F3787" s="67">
        <v>42578</v>
      </c>
      <c r="G3787" s="33" t="s">
        <v>23386</v>
      </c>
      <c r="H3787" s="33" t="s">
        <v>8915</v>
      </c>
      <c r="I3787" s="33" t="s">
        <v>19</v>
      </c>
      <c r="J3787" s="33">
        <v>70002</v>
      </c>
      <c r="K3787" s="33" t="s">
        <v>1659</v>
      </c>
      <c r="L3787" s="33" t="s">
        <v>2258</v>
      </c>
      <c r="M3787" s="33" t="s">
        <v>21</v>
      </c>
      <c r="N3787" s="33" t="s">
        <v>23387</v>
      </c>
      <c r="O3787" s="33" t="s">
        <v>372</v>
      </c>
      <c r="P3787" s="33" t="s">
        <v>30089</v>
      </c>
      <c r="Q3787" s="40" t="s">
        <v>23388</v>
      </c>
      <c r="R3787" s="33" t="s">
        <v>94</v>
      </c>
      <c r="S3787" s="33" t="s">
        <v>22</v>
      </c>
      <c r="T3787" s="33" t="s">
        <v>26781</v>
      </c>
      <c r="U3787" s="33" t="s">
        <v>26572</v>
      </c>
      <c r="V3787" s="33" t="s">
        <v>26574</v>
      </c>
      <c r="W3787" s="33" t="s">
        <v>94</v>
      </c>
      <c r="X3787" s="33">
        <v>1735</v>
      </c>
      <c r="Z3787" s="33" t="s">
        <v>42966</v>
      </c>
      <c r="AA3787" s="33">
        <v>3876</v>
      </c>
    </row>
    <row r="3788" spans="1:27" ht="12" customHeight="1" x14ac:dyDescent="0.15">
      <c r="A3788" s="33" t="s">
        <v>23362</v>
      </c>
      <c r="B3788" s="33">
        <v>24</v>
      </c>
      <c r="C3788" s="33" t="s">
        <v>14</v>
      </c>
      <c r="D3788" s="33" t="s">
        <v>42</v>
      </c>
      <c r="F3788" s="67">
        <v>42578</v>
      </c>
      <c r="G3788" s="33" t="s">
        <v>26680</v>
      </c>
      <c r="H3788" s="33" t="s">
        <v>288</v>
      </c>
      <c r="I3788" s="33" t="s">
        <v>39</v>
      </c>
      <c r="J3788" s="33">
        <v>92411</v>
      </c>
      <c r="K3788" s="33" t="s">
        <v>288</v>
      </c>
      <c r="L3788" s="33" t="s">
        <v>3983</v>
      </c>
      <c r="M3788" s="33" t="s">
        <v>21</v>
      </c>
      <c r="N3788" s="33" t="s">
        <v>23363</v>
      </c>
      <c r="O3788" s="33" t="s">
        <v>372</v>
      </c>
      <c r="P3788" s="33" t="s">
        <v>30089</v>
      </c>
      <c r="Q3788" s="40" t="s">
        <v>23364</v>
      </c>
      <c r="R3788" s="33" t="s">
        <v>512</v>
      </c>
      <c r="S3788" s="33" t="s">
        <v>22</v>
      </c>
      <c r="T3788" s="33" t="s">
        <v>26774</v>
      </c>
      <c r="U3788" s="33" t="s">
        <v>26570</v>
      </c>
      <c r="V3788" s="33" t="s">
        <v>26573</v>
      </c>
      <c r="W3788" s="33" t="s">
        <v>94</v>
      </c>
      <c r="X3788" s="33">
        <v>1740</v>
      </c>
      <c r="Z3788" s="33" t="s">
        <v>42966</v>
      </c>
      <c r="AA3788" s="33">
        <v>3878</v>
      </c>
    </row>
    <row r="3789" spans="1:27" ht="12" customHeight="1" x14ac:dyDescent="0.15">
      <c r="A3789" s="33" t="s">
        <v>23377</v>
      </c>
      <c r="B3789" s="33">
        <v>33</v>
      </c>
      <c r="C3789" s="33" t="s">
        <v>14</v>
      </c>
      <c r="D3789" s="33" t="s">
        <v>31</v>
      </c>
      <c r="F3789" s="67">
        <v>42578</v>
      </c>
      <c r="G3789" s="33" t="s">
        <v>26681</v>
      </c>
      <c r="H3789" s="33" t="s">
        <v>23378</v>
      </c>
      <c r="I3789" s="33" t="s">
        <v>298</v>
      </c>
      <c r="J3789" s="33">
        <v>37330</v>
      </c>
      <c r="K3789" s="33" t="s">
        <v>1203</v>
      </c>
      <c r="L3789" s="33" t="s">
        <v>1204</v>
      </c>
      <c r="M3789" s="33" t="s">
        <v>21</v>
      </c>
      <c r="N3789" s="33" t="s">
        <v>23379</v>
      </c>
      <c r="O3789" s="33" t="s">
        <v>372</v>
      </c>
      <c r="P3789" s="33" t="s">
        <v>30089</v>
      </c>
      <c r="Q3789" s="40" t="s">
        <v>23380</v>
      </c>
      <c r="R3789" s="33" t="s">
        <v>94</v>
      </c>
      <c r="S3789" s="33" t="s">
        <v>22</v>
      </c>
      <c r="T3789" s="33" t="s">
        <v>26774</v>
      </c>
      <c r="U3789" s="33" t="s">
        <v>26570</v>
      </c>
      <c r="V3789" s="33" t="s">
        <v>26574</v>
      </c>
      <c r="W3789" s="33" t="s">
        <v>512</v>
      </c>
      <c r="X3789" s="33">
        <v>1835</v>
      </c>
      <c r="Z3789" s="33" t="s">
        <v>42967</v>
      </c>
      <c r="AA3789" s="33">
        <v>3880</v>
      </c>
    </row>
    <row r="3790" spans="1:27" ht="12" customHeight="1" x14ac:dyDescent="0.15">
      <c r="A3790" s="33" t="s">
        <v>23404</v>
      </c>
      <c r="B3790" s="33">
        <v>58</v>
      </c>
      <c r="C3790" s="33" t="s">
        <v>14</v>
      </c>
      <c r="D3790" s="33" t="s">
        <v>31</v>
      </c>
      <c r="F3790" s="67">
        <v>42577</v>
      </c>
      <c r="G3790" s="33" t="s">
        <v>26684</v>
      </c>
      <c r="H3790" s="33" t="s">
        <v>2171</v>
      </c>
      <c r="I3790" s="33" t="s">
        <v>38</v>
      </c>
      <c r="J3790" s="33">
        <v>61103</v>
      </c>
      <c r="K3790" s="33" t="s">
        <v>2173</v>
      </c>
      <c r="L3790" s="33" t="s">
        <v>23405</v>
      </c>
      <c r="M3790" s="33" t="s">
        <v>2909</v>
      </c>
      <c r="N3790" s="33" t="s">
        <v>23406</v>
      </c>
      <c r="O3790" s="33" t="s">
        <v>372</v>
      </c>
      <c r="P3790" s="33" t="s">
        <v>30089</v>
      </c>
      <c r="Q3790" s="40" t="s">
        <v>23407</v>
      </c>
      <c r="R3790" s="33" t="s">
        <v>512</v>
      </c>
      <c r="S3790" s="33" t="s">
        <v>12</v>
      </c>
      <c r="T3790" s="33" t="s">
        <v>29705</v>
      </c>
      <c r="U3790" s="33" t="s">
        <v>26570</v>
      </c>
      <c r="V3790" s="33" t="s">
        <v>26573</v>
      </c>
      <c r="Z3790" s="33" t="s">
        <v>42968</v>
      </c>
      <c r="AA3790" s="33">
        <v>3875</v>
      </c>
    </row>
    <row r="3791" spans="1:27" ht="12" customHeight="1" x14ac:dyDescent="0.15">
      <c r="A3791" s="33" t="s">
        <v>23399</v>
      </c>
      <c r="B3791" s="33">
        <v>32</v>
      </c>
      <c r="C3791" s="33" t="s">
        <v>14</v>
      </c>
      <c r="D3791" s="33" t="s">
        <v>42</v>
      </c>
      <c r="E3791" s="33" t="s">
        <v>23400</v>
      </c>
      <c r="F3791" s="67">
        <v>42577</v>
      </c>
      <c r="G3791" s="33" t="s">
        <v>26683</v>
      </c>
      <c r="H3791" s="33" t="s">
        <v>12903</v>
      </c>
      <c r="I3791" s="33" t="s">
        <v>39</v>
      </c>
      <c r="J3791" s="33">
        <v>94565</v>
      </c>
      <c r="K3791" s="33" t="s">
        <v>4146</v>
      </c>
      <c r="L3791" s="33" t="s">
        <v>23401</v>
      </c>
      <c r="M3791" s="33" t="s">
        <v>2909</v>
      </c>
      <c r="N3791" s="33" t="s">
        <v>23402</v>
      </c>
      <c r="O3791" s="33" t="s">
        <v>372</v>
      </c>
      <c r="P3791" s="33" t="s">
        <v>30089</v>
      </c>
      <c r="Q3791" s="40" t="s">
        <v>23403</v>
      </c>
      <c r="R3791" s="33" t="s">
        <v>94</v>
      </c>
      <c r="S3791" s="33" t="s">
        <v>12</v>
      </c>
      <c r="T3791" s="33" t="s">
        <v>29705</v>
      </c>
      <c r="U3791" s="33" t="s">
        <v>26572</v>
      </c>
      <c r="V3791" s="33" t="s">
        <v>26571</v>
      </c>
      <c r="Z3791" s="33" t="s">
        <v>42968</v>
      </c>
      <c r="AA3791" s="33">
        <v>3874</v>
      </c>
    </row>
    <row r="3792" spans="1:27" ht="12" customHeight="1" x14ac:dyDescent="0.15">
      <c r="A3792" s="33" t="s">
        <v>23394</v>
      </c>
      <c r="B3792" s="33">
        <v>50</v>
      </c>
      <c r="C3792" s="33" t="s">
        <v>14</v>
      </c>
      <c r="D3792" s="33" t="s">
        <v>31</v>
      </c>
      <c r="F3792" s="67">
        <v>42577</v>
      </c>
      <c r="G3792" s="33" t="s">
        <v>23395</v>
      </c>
      <c r="H3792" s="33" t="s">
        <v>23396</v>
      </c>
      <c r="I3792" s="33" t="s">
        <v>409</v>
      </c>
      <c r="J3792" s="33">
        <v>54452</v>
      </c>
      <c r="K3792" s="33" t="s">
        <v>2159</v>
      </c>
      <c r="L3792" s="33" t="s">
        <v>9808</v>
      </c>
      <c r="M3792" s="33" t="s">
        <v>21</v>
      </c>
      <c r="N3792" s="33" t="s">
        <v>23397</v>
      </c>
      <c r="O3792" s="33" t="s">
        <v>372</v>
      </c>
      <c r="P3792" s="33" t="s">
        <v>30089</v>
      </c>
      <c r="Q3792" s="40" t="s">
        <v>23398</v>
      </c>
      <c r="R3792" s="33" t="s">
        <v>94</v>
      </c>
      <c r="S3792" s="33" t="s">
        <v>22</v>
      </c>
      <c r="T3792" s="33" t="s">
        <v>26781</v>
      </c>
      <c r="U3792" s="33" t="s">
        <v>26572</v>
      </c>
      <c r="V3792" s="33" t="s">
        <v>26571</v>
      </c>
      <c r="W3792" s="33" t="s">
        <v>94</v>
      </c>
      <c r="X3792" s="33">
        <v>1733</v>
      </c>
      <c r="Z3792" s="33" t="s">
        <v>42967</v>
      </c>
      <c r="AA3792" s="33">
        <v>3872</v>
      </c>
    </row>
    <row r="3793" spans="1:27" ht="12" customHeight="1" x14ac:dyDescent="0.15">
      <c r="A3793" s="33" t="s">
        <v>23389</v>
      </c>
      <c r="B3793" s="33">
        <v>36</v>
      </c>
      <c r="C3793" s="33" t="s">
        <v>14</v>
      </c>
      <c r="D3793" s="33" t="s">
        <v>42</v>
      </c>
      <c r="F3793" s="67">
        <v>42577</v>
      </c>
      <c r="G3793" s="33" t="s">
        <v>23390</v>
      </c>
      <c r="H3793" s="33" t="s">
        <v>491</v>
      </c>
      <c r="I3793" s="33" t="s">
        <v>178</v>
      </c>
      <c r="J3793" s="33">
        <v>88210</v>
      </c>
      <c r="K3793" s="33" t="s">
        <v>8436</v>
      </c>
      <c r="L3793" s="33" t="s">
        <v>23391</v>
      </c>
      <c r="M3793" s="33" t="s">
        <v>21</v>
      </c>
      <c r="N3793" s="33" t="s">
        <v>23392</v>
      </c>
      <c r="O3793" s="33" t="s">
        <v>372</v>
      </c>
      <c r="P3793" s="33" t="s">
        <v>30089</v>
      </c>
      <c r="Q3793" s="40" t="s">
        <v>23393</v>
      </c>
      <c r="R3793" s="33" t="s">
        <v>94</v>
      </c>
      <c r="S3793" s="33" t="s">
        <v>22</v>
      </c>
      <c r="T3793" s="33" t="s">
        <v>26781</v>
      </c>
      <c r="U3793" s="33" t="s">
        <v>26570</v>
      </c>
      <c r="W3793" s="33" t="s">
        <v>94</v>
      </c>
      <c r="X3793" s="33">
        <v>1734</v>
      </c>
      <c r="Z3793" s="33" t="s">
        <v>42967</v>
      </c>
      <c r="AA3793" s="33">
        <v>3873</v>
      </c>
    </row>
    <row r="3794" spans="1:27" ht="12" customHeight="1" x14ac:dyDescent="0.15">
      <c r="A3794" s="33" t="s">
        <v>23408</v>
      </c>
      <c r="B3794" s="33">
        <v>32</v>
      </c>
      <c r="C3794" s="33" t="s">
        <v>14</v>
      </c>
      <c r="D3794" s="33" t="s">
        <v>79</v>
      </c>
      <c r="E3794" s="33" t="s">
        <v>23409</v>
      </c>
      <c r="F3794" s="67">
        <v>42576</v>
      </c>
      <c r="G3794" s="33" t="s">
        <v>26685</v>
      </c>
      <c r="H3794" s="33" t="s">
        <v>197</v>
      </c>
      <c r="I3794" s="33" t="s">
        <v>198</v>
      </c>
      <c r="J3794" s="33">
        <v>46201</v>
      </c>
      <c r="K3794" s="33" t="s">
        <v>392</v>
      </c>
      <c r="L3794" s="33" t="s">
        <v>199</v>
      </c>
      <c r="M3794" s="33" t="s">
        <v>21</v>
      </c>
      <c r="N3794" s="33" t="s">
        <v>23410</v>
      </c>
      <c r="O3794" s="33" t="s">
        <v>372</v>
      </c>
      <c r="P3794" s="33" t="s">
        <v>30089</v>
      </c>
      <c r="Q3794" s="40" t="s">
        <v>23411</v>
      </c>
      <c r="R3794" s="33" t="s">
        <v>94</v>
      </c>
      <c r="S3794" s="33" t="s">
        <v>22</v>
      </c>
      <c r="T3794" s="33" t="s">
        <v>26781</v>
      </c>
      <c r="U3794" s="33" t="s">
        <v>26572</v>
      </c>
      <c r="V3794" s="33" t="s">
        <v>26571</v>
      </c>
      <c r="W3794" s="33" t="s">
        <v>94</v>
      </c>
      <c r="X3794" s="33">
        <v>1731</v>
      </c>
      <c r="Z3794" s="33" t="s">
        <v>42966</v>
      </c>
      <c r="AA3794" s="33">
        <v>3869</v>
      </c>
    </row>
    <row r="3795" spans="1:27" ht="12" customHeight="1" x14ac:dyDescent="0.15">
      <c r="A3795" s="33" t="s">
        <v>23418</v>
      </c>
      <c r="B3795" s="33">
        <v>18</v>
      </c>
      <c r="C3795" s="33" t="s">
        <v>14</v>
      </c>
      <c r="D3795" s="33" t="s">
        <v>79</v>
      </c>
      <c r="F3795" s="67">
        <v>42576</v>
      </c>
      <c r="G3795" s="33" t="s">
        <v>23419</v>
      </c>
      <c r="H3795" s="33" t="s">
        <v>92</v>
      </c>
      <c r="I3795" s="33" t="s">
        <v>39</v>
      </c>
      <c r="J3795" s="33">
        <v>90059</v>
      </c>
      <c r="K3795" s="33" t="s">
        <v>92</v>
      </c>
      <c r="L3795" s="33" t="s">
        <v>93</v>
      </c>
      <c r="M3795" s="33" t="s">
        <v>21</v>
      </c>
      <c r="N3795" s="33" t="s">
        <v>23420</v>
      </c>
      <c r="O3795" s="33" t="s">
        <v>372</v>
      </c>
      <c r="P3795" s="33" t="s">
        <v>30089</v>
      </c>
      <c r="Q3795" s="40" t="s">
        <v>23421</v>
      </c>
      <c r="R3795" s="33" t="s">
        <v>94</v>
      </c>
      <c r="S3795" s="33" t="s">
        <v>22</v>
      </c>
      <c r="T3795" s="33" t="s">
        <v>26781</v>
      </c>
      <c r="U3795" s="33" t="s">
        <v>26572</v>
      </c>
      <c r="V3795" s="33" t="s">
        <v>26574</v>
      </c>
      <c r="W3795" s="33" t="s">
        <v>94</v>
      </c>
      <c r="X3795" s="33">
        <v>1732</v>
      </c>
      <c r="Z3795" s="33" t="s">
        <v>42966</v>
      </c>
      <c r="AA3795" s="33">
        <v>3870</v>
      </c>
    </row>
    <row r="3796" spans="1:27" ht="12" customHeight="1" x14ac:dyDescent="0.15">
      <c r="A3796" s="33" t="s">
        <v>23412</v>
      </c>
      <c r="B3796" s="33">
        <v>25</v>
      </c>
      <c r="C3796" s="33" t="s">
        <v>14</v>
      </c>
      <c r="D3796" s="33" t="s">
        <v>31</v>
      </c>
      <c r="E3796" s="33" t="s">
        <v>23413</v>
      </c>
      <c r="F3796" s="67">
        <v>42576</v>
      </c>
      <c r="G3796" s="33" t="s">
        <v>23414</v>
      </c>
      <c r="H3796" s="33" t="s">
        <v>23415</v>
      </c>
      <c r="I3796" s="33" t="s">
        <v>298</v>
      </c>
      <c r="J3796" s="33">
        <v>37886</v>
      </c>
      <c r="K3796" s="33" t="s">
        <v>5768</v>
      </c>
      <c r="L3796" s="33" t="s">
        <v>5769</v>
      </c>
      <c r="M3796" s="33" t="s">
        <v>363</v>
      </c>
      <c r="N3796" s="33" t="s">
        <v>23416</v>
      </c>
      <c r="O3796" s="33" t="s">
        <v>372</v>
      </c>
      <c r="P3796" s="33" t="s">
        <v>30089</v>
      </c>
      <c r="Q3796" s="40" t="s">
        <v>23417</v>
      </c>
      <c r="R3796" s="33" t="s">
        <v>94</v>
      </c>
      <c r="S3796" s="33" t="s">
        <v>12</v>
      </c>
      <c r="T3796" s="33" t="s">
        <v>29705</v>
      </c>
      <c r="U3796" s="33" t="s">
        <v>26572</v>
      </c>
      <c r="V3796" s="33" t="s">
        <v>26574</v>
      </c>
      <c r="Z3796" s="33" t="s">
        <v>42967</v>
      </c>
      <c r="AA3796" s="33">
        <v>3871</v>
      </c>
    </row>
    <row r="3797" spans="1:27" ht="12" customHeight="1" x14ac:dyDescent="0.15">
      <c r="A3797" s="33" t="s">
        <v>23426</v>
      </c>
      <c r="B3797" s="33">
        <v>29</v>
      </c>
      <c r="C3797" s="33" t="s">
        <v>14</v>
      </c>
      <c r="D3797" s="33" t="s">
        <v>128</v>
      </c>
      <c r="E3797" s="33" t="s">
        <v>23427</v>
      </c>
      <c r="F3797" s="67">
        <v>42575</v>
      </c>
      <c r="G3797" s="33" t="s">
        <v>26686</v>
      </c>
      <c r="H3797" s="33" t="s">
        <v>23428</v>
      </c>
      <c r="I3797" s="33" t="s">
        <v>178</v>
      </c>
      <c r="J3797" s="33">
        <v>87301</v>
      </c>
      <c r="K3797" s="33" t="s">
        <v>23429</v>
      </c>
      <c r="L3797" s="33" t="s">
        <v>23430</v>
      </c>
      <c r="M3797" s="33" t="s">
        <v>21</v>
      </c>
      <c r="N3797" s="33" t="s">
        <v>23431</v>
      </c>
      <c r="O3797" s="33" t="s">
        <v>372</v>
      </c>
      <c r="P3797" s="33" t="s">
        <v>30089</v>
      </c>
      <c r="Q3797" s="40" t="s">
        <v>23432</v>
      </c>
      <c r="R3797" s="33" t="s">
        <v>512</v>
      </c>
      <c r="S3797" s="33" t="s">
        <v>22</v>
      </c>
      <c r="T3797" s="33" t="s">
        <v>26774</v>
      </c>
      <c r="U3797" s="33" t="s">
        <v>26570</v>
      </c>
      <c r="V3797" s="33" t="s">
        <v>26573</v>
      </c>
      <c r="W3797" s="33" t="s">
        <v>94</v>
      </c>
      <c r="X3797" s="33">
        <v>1730</v>
      </c>
      <c r="Z3797" s="33" t="s">
        <v>42968</v>
      </c>
      <c r="AA3797" s="33">
        <v>3868</v>
      </c>
    </row>
    <row r="3798" spans="1:27" ht="12" customHeight="1" x14ac:dyDescent="0.15">
      <c r="A3798" s="33" t="s">
        <v>23422</v>
      </c>
      <c r="B3798" s="33">
        <v>36</v>
      </c>
      <c r="C3798" s="33" t="s">
        <v>14</v>
      </c>
      <c r="D3798" s="33" t="s">
        <v>31</v>
      </c>
      <c r="F3798" s="67">
        <v>42575</v>
      </c>
      <c r="G3798" s="33" t="s">
        <v>23423</v>
      </c>
      <c r="H3798" s="33" t="s">
        <v>2864</v>
      </c>
      <c r="I3798" s="33" t="s">
        <v>39</v>
      </c>
      <c r="J3798" s="33">
        <v>92545</v>
      </c>
      <c r="K3798" s="33" t="s">
        <v>728</v>
      </c>
      <c r="L3798" s="33" t="s">
        <v>42472</v>
      </c>
      <c r="M3798" s="33" t="s">
        <v>21</v>
      </c>
      <c r="N3798" s="33" t="s">
        <v>23424</v>
      </c>
      <c r="O3798" s="33" t="s">
        <v>372</v>
      </c>
      <c r="P3798" s="33" t="s">
        <v>30089</v>
      </c>
      <c r="Q3798" s="40" t="s">
        <v>23425</v>
      </c>
      <c r="R3798" s="33" t="s">
        <v>512</v>
      </c>
      <c r="S3798" s="33" t="s">
        <v>22</v>
      </c>
      <c r="T3798" s="33" t="s">
        <v>29420</v>
      </c>
      <c r="U3798" s="33" t="s">
        <v>26572</v>
      </c>
      <c r="V3798" s="33" t="s">
        <v>26573</v>
      </c>
      <c r="W3798" s="33" t="s">
        <v>94</v>
      </c>
      <c r="X3798" s="33">
        <v>1729</v>
      </c>
      <c r="Z3798" s="33" t="s">
        <v>42968</v>
      </c>
      <c r="AA3798" s="33">
        <v>3867</v>
      </c>
    </row>
    <row r="3799" spans="1:27" ht="12" customHeight="1" x14ac:dyDescent="0.15">
      <c r="A3799" s="33" t="s">
        <v>23433</v>
      </c>
      <c r="B3799" s="33">
        <v>31</v>
      </c>
      <c r="C3799" s="33" t="s">
        <v>14</v>
      </c>
      <c r="D3799" s="33" t="s">
        <v>79</v>
      </c>
      <c r="F3799" s="67">
        <v>42574</v>
      </c>
      <c r="G3799" s="33" t="s">
        <v>26687</v>
      </c>
      <c r="H3799" s="33" t="s">
        <v>4137</v>
      </c>
      <c r="I3799" s="33" t="s">
        <v>39</v>
      </c>
      <c r="J3799" s="33">
        <v>91710</v>
      </c>
      <c r="K3799" s="33" t="s">
        <v>288</v>
      </c>
      <c r="L3799" s="33" t="s">
        <v>23434</v>
      </c>
      <c r="M3799" s="33" t="s">
        <v>21</v>
      </c>
      <c r="N3799" s="33" t="s">
        <v>23435</v>
      </c>
      <c r="O3799" s="33" t="s">
        <v>372</v>
      </c>
      <c r="P3799" s="33" t="s">
        <v>30089</v>
      </c>
      <c r="Q3799" s="40" t="s">
        <v>23436</v>
      </c>
      <c r="R3799" s="33" t="s">
        <v>94</v>
      </c>
      <c r="S3799" s="33" t="s">
        <v>22</v>
      </c>
      <c r="T3799" s="33" t="s">
        <v>26781</v>
      </c>
      <c r="U3799" s="33" t="s">
        <v>26572</v>
      </c>
      <c r="V3799" s="33" t="s">
        <v>26574</v>
      </c>
      <c r="W3799" s="33" t="s">
        <v>94</v>
      </c>
      <c r="X3799" s="33">
        <v>1727</v>
      </c>
      <c r="Z3799" s="33" t="s">
        <v>42968</v>
      </c>
      <c r="AA3799" s="33">
        <v>3864</v>
      </c>
    </row>
    <row r="3800" spans="1:27" ht="12" customHeight="1" x14ac:dyDescent="0.15">
      <c r="A3800" s="33" t="s">
        <v>23440</v>
      </c>
      <c r="B3800" s="33">
        <v>49</v>
      </c>
      <c r="C3800" s="33" t="s">
        <v>14</v>
      </c>
      <c r="D3800" s="33" t="s">
        <v>79</v>
      </c>
      <c r="F3800" s="67">
        <v>42574</v>
      </c>
      <c r="G3800" s="33" t="s">
        <v>26689</v>
      </c>
      <c r="H3800" s="33" t="s">
        <v>831</v>
      </c>
      <c r="I3800" s="33" t="s">
        <v>409</v>
      </c>
      <c r="J3800" s="33">
        <v>53212</v>
      </c>
      <c r="K3800" s="33" t="s">
        <v>831</v>
      </c>
      <c r="L3800" s="33" t="s">
        <v>3545</v>
      </c>
      <c r="M3800" s="33" t="s">
        <v>21</v>
      </c>
      <c r="N3800" s="33" t="s">
        <v>23441</v>
      </c>
      <c r="O3800" s="33" t="s">
        <v>372</v>
      </c>
      <c r="P3800" s="33" t="s">
        <v>30089</v>
      </c>
      <c r="Q3800" s="40" t="s">
        <v>23442</v>
      </c>
      <c r="R3800" s="33" t="s">
        <v>94</v>
      </c>
      <c r="S3800" s="33" t="s">
        <v>22</v>
      </c>
      <c r="T3800" s="33" t="s">
        <v>26774</v>
      </c>
      <c r="U3800" s="33" t="s">
        <v>26572</v>
      </c>
      <c r="V3800" s="33" t="s">
        <v>26573</v>
      </c>
      <c r="W3800" s="33" t="s">
        <v>94</v>
      </c>
      <c r="X3800" s="33">
        <v>1726</v>
      </c>
      <c r="Z3800" s="33" t="s">
        <v>42966</v>
      </c>
      <c r="AA3800" s="33">
        <v>3866</v>
      </c>
    </row>
    <row r="3801" spans="1:27" ht="12" customHeight="1" x14ac:dyDescent="0.15">
      <c r="A3801" s="33" t="s">
        <v>23437</v>
      </c>
      <c r="B3801" s="33">
        <v>34</v>
      </c>
      <c r="C3801" s="33" t="s">
        <v>14</v>
      </c>
      <c r="D3801" s="33" t="s">
        <v>42</v>
      </c>
      <c r="F3801" s="67">
        <v>42574</v>
      </c>
      <c r="G3801" s="33" t="s">
        <v>26688</v>
      </c>
      <c r="H3801" s="33" t="s">
        <v>532</v>
      </c>
      <c r="I3801" s="33" t="s">
        <v>67</v>
      </c>
      <c r="J3801" s="33">
        <v>78237</v>
      </c>
      <c r="K3801" s="33" t="s">
        <v>533</v>
      </c>
      <c r="L3801" s="33" t="s">
        <v>534</v>
      </c>
      <c r="M3801" s="33" t="s">
        <v>21</v>
      </c>
      <c r="N3801" s="33" t="s">
        <v>23438</v>
      </c>
      <c r="O3801" s="33" t="s">
        <v>372</v>
      </c>
      <c r="P3801" s="33" t="s">
        <v>30089</v>
      </c>
      <c r="Q3801" s="40" t="s">
        <v>23439</v>
      </c>
      <c r="R3801" s="33" t="s">
        <v>94</v>
      </c>
      <c r="S3801" s="33" t="s">
        <v>22</v>
      </c>
      <c r="T3801" s="33" t="s">
        <v>26781</v>
      </c>
      <c r="U3801" s="33" t="s">
        <v>26572</v>
      </c>
      <c r="V3801" s="33" t="s">
        <v>26573</v>
      </c>
      <c r="W3801" s="33" t="s">
        <v>94</v>
      </c>
      <c r="X3801" s="33">
        <v>1836</v>
      </c>
      <c r="Z3801" s="33" t="s">
        <v>42966</v>
      </c>
      <c r="AA3801" s="33">
        <v>3865</v>
      </c>
    </row>
    <row r="3802" spans="1:27" ht="12" customHeight="1" x14ac:dyDescent="0.15">
      <c r="A3802" s="33" t="s">
        <v>23454</v>
      </c>
      <c r="B3802" s="33">
        <v>50</v>
      </c>
      <c r="C3802" s="33" t="s">
        <v>14</v>
      </c>
      <c r="D3802" s="33" t="s">
        <v>31</v>
      </c>
      <c r="F3802" s="67">
        <v>42573</v>
      </c>
      <c r="G3802" s="33" t="s">
        <v>23455</v>
      </c>
      <c r="H3802" s="33" t="s">
        <v>23456</v>
      </c>
      <c r="I3802" s="33" t="s">
        <v>139</v>
      </c>
      <c r="J3802" s="33">
        <v>26201</v>
      </c>
      <c r="K3802" s="33" t="s">
        <v>23457</v>
      </c>
      <c r="L3802" s="33" t="s">
        <v>23458</v>
      </c>
      <c r="M3802" s="33" t="s">
        <v>21</v>
      </c>
      <c r="N3802" s="33" t="s">
        <v>36687</v>
      </c>
      <c r="O3802" s="33" t="s">
        <v>372</v>
      </c>
      <c r="P3802" s="33" t="s">
        <v>30089</v>
      </c>
      <c r="Q3802" s="40" t="s">
        <v>23459</v>
      </c>
      <c r="R3802" s="33" t="s">
        <v>904</v>
      </c>
      <c r="S3802" s="33" t="s">
        <v>22</v>
      </c>
      <c r="T3802" s="33" t="s">
        <v>26781</v>
      </c>
      <c r="U3802" s="33" t="s">
        <v>26572</v>
      </c>
      <c r="W3802" s="33" t="s">
        <v>94</v>
      </c>
      <c r="X3802" s="33">
        <v>1725</v>
      </c>
      <c r="Z3802" s="33" t="s">
        <v>42967</v>
      </c>
      <c r="AA3802" s="33">
        <v>3863</v>
      </c>
    </row>
    <row r="3803" spans="1:27" ht="12" customHeight="1" x14ac:dyDescent="0.15">
      <c r="A3803" s="33" t="s">
        <v>23450</v>
      </c>
      <c r="B3803" s="33">
        <v>50</v>
      </c>
      <c r="C3803" s="33" t="s">
        <v>14</v>
      </c>
      <c r="D3803" s="33" t="s">
        <v>79</v>
      </c>
      <c r="F3803" s="67">
        <v>42572</v>
      </c>
      <c r="G3803" s="33" t="s">
        <v>23451</v>
      </c>
      <c r="H3803" s="33" t="s">
        <v>81</v>
      </c>
      <c r="I3803" s="33" t="s">
        <v>38</v>
      </c>
      <c r="J3803" s="33">
        <v>60616</v>
      </c>
      <c r="K3803" s="33" t="s">
        <v>82</v>
      </c>
      <c r="L3803" s="33" t="s">
        <v>83</v>
      </c>
      <c r="M3803" s="33" t="s">
        <v>21</v>
      </c>
      <c r="N3803" s="33" t="s">
        <v>23452</v>
      </c>
      <c r="O3803" s="33" t="s">
        <v>372</v>
      </c>
      <c r="P3803" s="33" t="s">
        <v>30089</v>
      </c>
      <c r="Q3803" s="40" t="s">
        <v>23453</v>
      </c>
      <c r="R3803" s="33" t="s">
        <v>512</v>
      </c>
      <c r="S3803" s="33" t="s">
        <v>22</v>
      </c>
      <c r="T3803" s="33" t="s">
        <v>26781</v>
      </c>
      <c r="U3803" s="33" t="s">
        <v>26572</v>
      </c>
      <c r="V3803" s="33" t="s">
        <v>26573</v>
      </c>
      <c r="W3803" s="33" t="s">
        <v>94</v>
      </c>
      <c r="X3803" s="33">
        <v>1723</v>
      </c>
      <c r="Z3803" s="33" t="s">
        <v>42966</v>
      </c>
      <c r="AA3803" s="33">
        <v>3861</v>
      </c>
    </row>
    <row r="3804" spans="1:27" ht="12" customHeight="1" x14ac:dyDescent="0.15">
      <c r="A3804" s="33" t="s">
        <v>23443</v>
      </c>
      <c r="B3804" s="33">
        <v>36</v>
      </c>
      <c r="C3804" s="33" t="s">
        <v>14</v>
      </c>
      <c r="D3804" s="33" t="s">
        <v>885</v>
      </c>
      <c r="E3804" s="33" t="s">
        <v>23444</v>
      </c>
      <c r="F3804" s="67">
        <v>42572</v>
      </c>
      <c r="G3804" s="33" t="s">
        <v>23445</v>
      </c>
      <c r="H3804" s="33" t="s">
        <v>23446</v>
      </c>
      <c r="I3804" s="33" t="s">
        <v>814</v>
      </c>
      <c r="J3804" s="33" t="s">
        <v>23447</v>
      </c>
      <c r="K3804" s="33" t="s">
        <v>3619</v>
      </c>
      <c r="L3804" s="33" t="s">
        <v>3620</v>
      </c>
      <c r="M3804" s="33" t="s">
        <v>21</v>
      </c>
      <c r="N3804" s="33" t="s">
        <v>23448</v>
      </c>
      <c r="O3804" s="33" t="s">
        <v>372</v>
      </c>
      <c r="P3804" s="33" t="s">
        <v>30089</v>
      </c>
      <c r="Q3804" s="40" t="s">
        <v>23449</v>
      </c>
      <c r="R3804" s="33" t="s">
        <v>512</v>
      </c>
      <c r="S3804" s="33" t="s">
        <v>22</v>
      </c>
      <c r="T3804" s="33" t="s">
        <v>26781</v>
      </c>
      <c r="U3804" s="33" t="s">
        <v>26572</v>
      </c>
      <c r="V3804" s="33" t="s">
        <v>26573</v>
      </c>
      <c r="W3804" s="33" t="s">
        <v>94</v>
      </c>
      <c r="X3804" s="33">
        <v>1724</v>
      </c>
      <c r="Z3804" s="33" t="s">
        <v>42967</v>
      </c>
      <c r="AA3804" s="33">
        <v>3862</v>
      </c>
    </row>
    <row r="3805" spans="1:27" ht="12" customHeight="1" x14ac:dyDescent="0.15">
      <c r="A3805" s="33" t="s">
        <v>23464</v>
      </c>
      <c r="B3805" s="33">
        <v>39</v>
      </c>
      <c r="C3805" s="33" t="s">
        <v>14</v>
      </c>
      <c r="D3805" s="33" t="s">
        <v>31</v>
      </c>
      <c r="E3805" s="33" t="s">
        <v>23465</v>
      </c>
      <c r="F3805" s="67">
        <v>42571</v>
      </c>
      <c r="G3805" s="33" t="s">
        <v>23466</v>
      </c>
      <c r="H3805" s="33" t="s">
        <v>23467</v>
      </c>
      <c r="I3805" s="33" t="s">
        <v>35</v>
      </c>
      <c r="J3805" s="33" t="s">
        <v>23468</v>
      </c>
      <c r="K3805" s="33" t="s">
        <v>3298</v>
      </c>
      <c r="L3805" s="33" t="s">
        <v>23469</v>
      </c>
      <c r="M3805" s="33" t="s">
        <v>21</v>
      </c>
      <c r="N3805" s="33" t="s">
        <v>23470</v>
      </c>
      <c r="O3805" s="33" t="s">
        <v>23116</v>
      </c>
      <c r="P3805" s="33" t="s">
        <v>30089</v>
      </c>
      <c r="Q3805" s="40" t="s">
        <v>23471</v>
      </c>
      <c r="R3805" s="33" t="s">
        <v>94</v>
      </c>
      <c r="S3805" s="33" t="s">
        <v>29</v>
      </c>
      <c r="T3805" s="33" t="s">
        <v>26575</v>
      </c>
      <c r="U3805" s="33" t="s">
        <v>26570</v>
      </c>
      <c r="V3805" s="33" t="s">
        <v>26573</v>
      </c>
      <c r="Y3805" s="33" t="s">
        <v>42476</v>
      </c>
      <c r="Z3805" s="33" t="s">
        <v>42968</v>
      </c>
      <c r="AA3805" s="33">
        <v>3860</v>
      </c>
    </row>
    <row r="3806" spans="1:27" ht="12" customHeight="1" x14ac:dyDescent="0.15">
      <c r="A3806" s="33" t="s">
        <v>23460</v>
      </c>
      <c r="B3806" s="33">
        <v>31</v>
      </c>
      <c r="C3806" s="33" t="s">
        <v>14</v>
      </c>
      <c r="D3806" s="33" t="s">
        <v>42</v>
      </c>
      <c r="F3806" s="67">
        <v>42571</v>
      </c>
      <c r="G3806" s="33" t="s">
        <v>23461</v>
      </c>
      <c r="H3806" s="33" t="s">
        <v>1817</v>
      </c>
      <c r="I3806" s="33" t="s">
        <v>39</v>
      </c>
      <c r="J3806" s="33">
        <v>93454</v>
      </c>
      <c r="K3806" s="33" t="s">
        <v>1819</v>
      </c>
      <c r="L3806" s="33" t="s">
        <v>1820</v>
      </c>
      <c r="M3806" s="33" t="s">
        <v>21</v>
      </c>
      <c r="N3806" s="33" t="s">
        <v>23462</v>
      </c>
      <c r="O3806" s="33" t="s">
        <v>372</v>
      </c>
      <c r="P3806" s="33" t="s">
        <v>30089</v>
      </c>
      <c r="Q3806" s="40" t="s">
        <v>23463</v>
      </c>
      <c r="R3806" s="33" t="s">
        <v>512</v>
      </c>
      <c r="S3806" s="33" t="s">
        <v>22</v>
      </c>
      <c r="T3806" s="33" t="s">
        <v>26774</v>
      </c>
      <c r="U3806" s="33" t="s">
        <v>26570</v>
      </c>
      <c r="V3806" s="33" t="s">
        <v>26573</v>
      </c>
      <c r="W3806" s="33" t="s">
        <v>94</v>
      </c>
      <c r="X3806" s="33">
        <v>1722</v>
      </c>
      <c r="Z3806" s="33" t="s">
        <v>42968</v>
      </c>
      <c r="AA3806" s="33">
        <v>3859</v>
      </c>
    </row>
    <row r="3807" spans="1:27" ht="12" customHeight="1" x14ac:dyDescent="0.15">
      <c r="A3807" s="33" t="s">
        <v>23472</v>
      </c>
      <c r="B3807" s="33">
        <v>56</v>
      </c>
      <c r="C3807" s="33" t="s">
        <v>14</v>
      </c>
      <c r="D3807" s="33" t="s">
        <v>31</v>
      </c>
      <c r="F3807" s="67">
        <v>42569</v>
      </c>
      <c r="G3807" s="33" t="s">
        <v>26690</v>
      </c>
      <c r="H3807" s="33" t="s">
        <v>2307</v>
      </c>
      <c r="I3807" s="33" t="s">
        <v>367</v>
      </c>
      <c r="J3807" s="33">
        <v>74107</v>
      </c>
      <c r="K3807" s="33" t="s">
        <v>2307</v>
      </c>
      <c r="L3807" s="33" t="s">
        <v>3108</v>
      </c>
      <c r="M3807" s="33" t="s">
        <v>21</v>
      </c>
      <c r="N3807" s="33" t="s">
        <v>36688</v>
      </c>
      <c r="O3807" s="33" t="s">
        <v>372</v>
      </c>
      <c r="P3807" s="33" t="s">
        <v>30089</v>
      </c>
      <c r="Q3807" s="40" t="s">
        <v>23473</v>
      </c>
      <c r="R3807" s="33" t="s">
        <v>512</v>
      </c>
      <c r="S3807" s="33" t="s">
        <v>22</v>
      </c>
      <c r="T3807" s="33" t="s">
        <v>26627</v>
      </c>
      <c r="U3807" s="33" t="s">
        <v>26570</v>
      </c>
      <c r="V3807" s="33" t="s">
        <v>26573</v>
      </c>
      <c r="W3807" s="33" t="s">
        <v>94</v>
      </c>
      <c r="X3807" s="33">
        <v>1721</v>
      </c>
      <c r="Z3807" s="33" t="s">
        <v>42968</v>
      </c>
      <c r="AA3807" s="33">
        <v>3858</v>
      </c>
    </row>
    <row r="3808" spans="1:27" ht="12" customHeight="1" x14ac:dyDescent="0.15">
      <c r="A3808" s="33" t="s">
        <v>23479</v>
      </c>
      <c r="B3808" s="33">
        <v>42</v>
      </c>
      <c r="C3808" s="33" t="s">
        <v>14</v>
      </c>
      <c r="D3808" s="33" t="s">
        <v>79</v>
      </c>
      <c r="F3808" s="67">
        <v>42568</v>
      </c>
      <c r="G3808" s="33" t="s">
        <v>23480</v>
      </c>
      <c r="H3808" s="33" t="s">
        <v>1599</v>
      </c>
      <c r="I3808" s="33" t="s">
        <v>395</v>
      </c>
      <c r="J3808" s="33">
        <v>11211</v>
      </c>
      <c r="K3808" s="33" t="s">
        <v>1601</v>
      </c>
      <c r="L3808" s="33" t="s">
        <v>539</v>
      </c>
      <c r="M3808" s="33" t="s">
        <v>21</v>
      </c>
      <c r="N3808" s="33" t="s">
        <v>36689</v>
      </c>
      <c r="O3808" s="33" t="s">
        <v>372</v>
      </c>
      <c r="P3808" s="33" t="s">
        <v>30089</v>
      </c>
      <c r="Q3808" s="40" t="s">
        <v>23481</v>
      </c>
      <c r="R3808" s="33" t="s">
        <v>23</v>
      </c>
      <c r="S3808" s="33" t="s">
        <v>22</v>
      </c>
      <c r="T3808" s="33" t="s">
        <v>26781</v>
      </c>
      <c r="U3808" s="33" t="s">
        <v>26572</v>
      </c>
      <c r="V3808" s="33" t="s">
        <v>26573</v>
      </c>
      <c r="W3808" s="33" t="s">
        <v>94</v>
      </c>
      <c r="X3808" s="33">
        <v>1717</v>
      </c>
      <c r="Z3808" s="33" t="s">
        <v>42966</v>
      </c>
      <c r="AA3808" s="33">
        <v>3854</v>
      </c>
    </row>
    <row r="3809" spans="1:27" ht="12" customHeight="1" x14ac:dyDescent="0.15">
      <c r="A3809" s="33" t="s">
        <v>23482</v>
      </c>
      <c r="B3809" s="33">
        <v>39</v>
      </c>
      <c r="C3809" s="33" t="s">
        <v>14</v>
      </c>
      <c r="D3809" s="33" t="s">
        <v>31</v>
      </c>
      <c r="F3809" s="67">
        <v>42568</v>
      </c>
      <c r="G3809" s="33" t="s">
        <v>23483</v>
      </c>
      <c r="H3809" s="33" t="s">
        <v>23484</v>
      </c>
      <c r="I3809" s="33" t="s">
        <v>409</v>
      </c>
      <c r="J3809" s="33">
        <v>53081</v>
      </c>
      <c r="K3809" s="33" t="s">
        <v>23484</v>
      </c>
      <c r="L3809" s="33" t="s">
        <v>23485</v>
      </c>
      <c r="M3809" s="33" t="s">
        <v>21</v>
      </c>
      <c r="N3809" s="33" t="s">
        <v>23486</v>
      </c>
      <c r="O3809" s="33" t="s">
        <v>372</v>
      </c>
      <c r="P3809" s="33" t="s">
        <v>30089</v>
      </c>
      <c r="Q3809" s="40" t="s">
        <v>23487</v>
      </c>
      <c r="R3809" s="33" t="s">
        <v>94</v>
      </c>
      <c r="S3809" s="33" t="s">
        <v>22</v>
      </c>
      <c r="T3809" s="33" t="s">
        <v>26781</v>
      </c>
      <c r="U3809" s="33" t="s">
        <v>26570</v>
      </c>
      <c r="V3809" s="33" t="s">
        <v>26573</v>
      </c>
      <c r="W3809" s="33" t="s">
        <v>94</v>
      </c>
      <c r="X3809" s="33">
        <v>1712</v>
      </c>
      <c r="Z3809" s="33" t="s">
        <v>42968</v>
      </c>
      <c r="AA3809" s="33">
        <v>3853</v>
      </c>
    </row>
    <row r="3810" spans="1:27" ht="12" customHeight="1" x14ac:dyDescent="0.15">
      <c r="A3810" s="33" t="s">
        <v>23491</v>
      </c>
      <c r="B3810" s="33">
        <v>50</v>
      </c>
      <c r="C3810" s="33" t="s">
        <v>14</v>
      </c>
      <c r="D3810" s="33" t="s">
        <v>24</v>
      </c>
      <c r="F3810" s="67">
        <v>42568</v>
      </c>
      <c r="G3810" s="33" t="s">
        <v>23492</v>
      </c>
      <c r="H3810" s="33" t="s">
        <v>23493</v>
      </c>
      <c r="I3810" s="33" t="s">
        <v>19</v>
      </c>
      <c r="J3810" s="33">
        <v>70726</v>
      </c>
      <c r="K3810" s="33" t="s">
        <v>3744</v>
      </c>
      <c r="L3810" s="33" t="s">
        <v>13405</v>
      </c>
      <c r="M3810" s="33" t="s">
        <v>363</v>
      </c>
      <c r="N3810" s="33" t="s">
        <v>23494</v>
      </c>
      <c r="O3810" s="33" t="s">
        <v>372</v>
      </c>
      <c r="P3810" s="33" t="s">
        <v>30089</v>
      </c>
      <c r="Q3810" s="40" t="s">
        <v>23495</v>
      </c>
      <c r="R3810" s="33" t="s">
        <v>23</v>
      </c>
      <c r="S3810" s="33" t="s">
        <v>22</v>
      </c>
      <c r="T3810" s="33" t="s">
        <v>28239</v>
      </c>
      <c r="U3810" s="33" t="s">
        <v>26570</v>
      </c>
      <c r="V3810" s="33" t="s">
        <v>26574</v>
      </c>
      <c r="Z3810" s="33" t="s">
        <v>42968</v>
      </c>
      <c r="AA3810" s="33">
        <v>3857</v>
      </c>
    </row>
    <row r="3811" spans="1:27" ht="12" customHeight="1" x14ac:dyDescent="0.15">
      <c r="A3811" s="33" t="s">
        <v>23488</v>
      </c>
      <c r="B3811" s="33">
        <v>43</v>
      </c>
      <c r="C3811" s="33" t="s">
        <v>14</v>
      </c>
      <c r="D3811" s="33" t="s">
        <v>31</v>
      </c>
      <c r="F3811" s="67">
        <v>42568</v>
      </c>
      <c r="G3811" s="33" t="s">
        <v>26691</v>
      </c>
      <c r="H3811" s="33" t="s">
        <v>2307</v>
      </c>
      <c r="I3811" s="33" t="s">
        <v>367</v>
      </c>
      <c r="J3811" s="33">
        <v>74110</v>
      </c>
      <c r="K3811" s="33" t="s">
        <v>2307</v>
      </c>
      <c r="L3811" s="33" t="s">
        <v>3108</v>
      </c>
      <c r="M3811" s="33" t="s">
        <v>4966</v>
      </c>
      <c r="N3811" s="33" t="s">
        <v>23489</v>
      </c>
      <c r="O3811" s="33" t="s">
        <v>372</v>
      </c>
      <c r="P3811" s="33" t="s">
        <v>30089</v>
      </c>
      <c r="Q3811" s="40" t="s">
        <v>23490</v>
      </c>
      <c r="R3811" s="33" t="s">
        <v>23</v>
      </c>
      <c r="S3811" s="33" t="s">
        <v>29</v>
      </c>
      <c r="T3811" s="33" t="s">
        <v>26586</v>
      </c>
      <c r="U3811" s="33" t="s">
        <v>26572</v>
      </c>
      <c r="V3811" s="33" t="s">
        <v>26573</v>
      </c>
      <c r="W3811" s="33" t="s">
        <v>94</v>
      </c>
      <c r="X3811" s="33">
        <v>1714</v>
      </c>
      <c r="Z3811" s="33" t="s">
        <v>42966</v>
      </c>
      <c r="AA3811" s="33">
        <v>3856</v>
      </c>
    </row>
    <row r="3812" spans="1:27" ht="12" customHeight="1" x14ac:dyDescent="0.15">
      <c r="A3812" s="33" t="s">
        <v>23474</v>
      </c>
      <c r="B3812" s="33">
        <v>29</v>
      </c>
      <c r="C3812" s="33" t="s">
        <v>14</v>
      </c>
      <c r="D3812" s="33" t="s">
        <v>79</v>
      </c>
      <c r="E3812" s="33" t="s">
        <v>23475</v>
      </c>
      <c r="F3812" s="67">
        <v>42568</v>
      </c>
      <c r="G3812" s="33" t="s">
        <v>23476</v>
      </c>
      <c r="H3812" s="33" t="s">
        <v>172</v>
      </c>
      <c r="I3812" s="33" t="s">
        <v>19</v>
      </c>
      <c r="J3812" s="33">
        <v>70815</v>
      </c>
      <c r="K3812" s="33" t="s">
        <v>3435</v>
      </c>
      <c r="L3812" s="33" t="s">
        <v>1573</v>
      </c>
      <c r="M3812" s="33" t="s">
        <v>21</v>
      </c>
      <c r="N3812" s="33" t="s">
        <v>23477</v>
      </c>
      <c r="O3812" s="33" t="s">
        <v>372</v>
      </c>
      <c r="P3812" s="33" t="s">
        <v>30089</v>
      </c>
      <c r="Q3812" s="40" t="s">
        <v>23478</v>
      </c>
      <c r="R3812" s="33" t="s">
        <v>512</v>
      </c>
      <c r="S3812" s="33" t="s">
        <v>22</v>
      </c>
      <c r="T3812" s="33" t="s">
        <v>26781</v>
      </c>
      <c r="U3812" s="33" t="s">
        <v>26572</v>
      </c>
      <c r="V3812" s="33" t="s">
        <v>26573</v>
      </c>
      <c r="W3812" s="33" t="s">
        <v>94</v>
      </c>
      <c r="X3812" s="33">
        <v>1718</v>
      </c>
      <c r="Z3812" s="33" t="s">
        <v>42968</v>
      </c>
      <c r="AA3812" s="33">
        <v>3855</v>
      </c>
    </row>
    <row r="3813" spans="1:27" ht="12" customHeight="1" x14ac:dyDescent="0.15">
      <c r="A3813" s="33" t="s">
        <v>23501</v>
      </c>
      <c r="B3813" s="33">
        <v>26</v>
      </c>
      <c r="C3813" s="33" t="s">
        <v>14</v>
      </c>
      <c r="D3813" s="33" t="s">
        <v>31</v>
      </c>
      <c r="E3813" s="33" t="s">
        <v>23502</v>
      </c>
      <c r="F3813" s="67">
        <v>42567</v>
      </c>
      <c r="G3813" s="33" t="s">
        <v>23503</v>
      </c>
      <c r="H3813" s="33" t="s">
        <v>288</v>
      </c>
      <c r="I3813" s="33" t="s">
        <v>39</v>
      </c>
      <c r="J3813" s="33">
        <v>92405</v>
      </c>
      <c r="K3813" s="33" t="s">
        <v>288</v>
      </c>
      <c r="L3813" s="33" t="s">
        <v>3983</v>
      </c>
      <c r="M3813" s="33" t="s">
        <v>4966</v>
      </c>
      <c r="N3813" s="33" t="s">
        <v>23504</v>
      </c>
      <c r="O3813" s="33" t="s">
        <v>372</v>
      </c>
      <c r="P3813" s="33" t="s">
        <v>30089</v>
      </c>
      <c r="Q3813" s="40" t="s">
        <v>23505</v>
      </c>
      <c r="R3813" s="33" t="s">
        <v>94</v>
      </c>
      <c r="S3813" s="33" t="s">
        <v>22</v>
      </c>
      <c r="T3813" s="33" t="s">
        <v>26781</v>
      </c>
      <c r="U3813" s="33" t="s">
        <v>26572</v>
      </c>
      <c r="V3813" s="33" t="s">
        <v>19228</v>
      </c>
      <c r="W3813" s="33" t="s">
        <v>94</v>
      </c>
      <c r="X3813" s="33">
        <v>1719</v>
      </c>
      <c r="Z3813" s="33" t="s">
        <v>42966</v>
      </c>
      <c r="AA3813" s="33">
        <v>3852</v>
      </c>
    </row>
    <row r="3814" spans="1:27" ht="12" customHeight="1" x14ac:dyDescent="0.15">
      <c r="A3814" s="33" t="s">
        <v>23496</v>
      </c>
      <c r="B3814" s="33">
        <v>31</v>
      </c>
      <c r="C3814" s="33" t="s">
        <v>14</v>
      </c>
      <c r="D3814" s="33" t="s">
        <v>31</v>
      </c>
      <c r="F3814" s="67">
        <v>42567</v>
      </c>
      <c r="G3814" s="33" t="s">
        <v>23497</v>
      </c>
      <c r="H3814" s="33" t="s">
        <v>23498</v>
      </c>
      <c r="I3814" s="33" t="s">
        <v>56</v>
      </c>
      <c r="J3814" s="33">
        <v>32043</v>
      </c>
      <c r="K3814" s="33" t="s">
        <v>3117</v>
      </c>
      <c r="L3814" s="33" t="s">
        <v>3118</v>
      </c>
      <c r="M3814" s="33" t="s">
        <v>21</v>
      </c>
      <c r="N3814" s="33" t="s">
        <v>23499</v>
      </c>
      <c r="O3814" s="33" t="s">
        <v>372</v>
      </c>
      <c r="P3814" s="33" t="s">
        <v>30089</v>
      </c>
      <c r="Q3814" s="40" t="s">
        <v>23500</v>
      </c>
      <c r="R3814" s="33" t="s">
        <v>512</v>
      </c>
      <c r="S3814" s="33" t="s">
        <v>22</v>
      </c>
      <c r="T3814" s="33" t="s">
        <v>26781</v>
      </c>
      <c r="U3814" s="33" t="s">
        <v>26572</v>
      </c>
      <c r="V3814" s="33" t="s">
        <v>26573</v>
      </c>
      <c r="W3814" s="33" t="s">
        <v>94</v>
      </c>
      <c r="X3814" s="33">
        <v>1716</v>
      </c>
      <c r="Z3814" s="33" t="s">
        <v>42967</v>
      </c>
      <c r="AA3814" s="33">
        <v>3850</v>
      </c>
    </row>
    <row r="3815" spans="1:27" ht="12" customHeight="1" x14ac:dyDescent="0.15">
      <c r="A3815" s="33" t="s">
        <v>23506</v>
      </c>
      <c r="B3815" s="33">
        <v>57</v>
      </c>
      <c r="C3815" s="33" t="s">
        <v>14</v>
      </c>
      <c r="D3815" s="33" t="s">
        <v>31</v>
      </c>
      <c r="E3815" s="33" t="s">
        <v>23507</v>
      </c>
      <c r="F3815" s="67">
        <v>42567</v>
      </c>
      <c r="G3815" s="33" t="s">
        <v>23508</v>
      </c>
      <c r="H3815" s="33" t="s">
        <v>17404</v>
      </c>
      <c r="I3815" s="33" t="s">
        <v>75</v>
      </c>
      <c r="J3815" s="33" t="s">
        <v>23509</v>
      </c>
      <c r="K3815" s="33" t="s">
        <v>595</v>
      </c>
      <c r="L3815" s="33" t="s">
        <v>23510</v>
      </c>
      <c r="M3815" s="33" t="s">
        <v>21</v>
      </c>
      <c r="N3815" s="33" t="s">
        <v>23511</v>
      </c>
      <c r="O3815" s="33" t="s">
        <v>372</v>
      </c>
      <c r="P3815" s="33" t="s">
        <v>30089</v>
      </c>
      <c r="Q3815" s="40" t="s">
        <v>23512</v>
      </c>
      <c r="R3815" s="33" t="s">
        <v>23</v>
      </c>
      <c r="S3815" s="33" t="s">
        <v>22</v>
      </c>
      <c r="T3815" s="33" t="s">
        <v>26781</v>
      </c>
      <c r="U3815" s="33" t="s">
        <v>26570</v>
      </c>
      <c r="V3815" s="33" t="s">
        <v>26574</v>
      </c>
      <c r="W3815" s="33" t="s">
        <v>94</v>
      </c>
      <c r="X3815" s="33">
        <v>1720</v>
      </c>
      <c r="Z3815" s="33" t="s">
        <v>42968</v>
      </c>
      <c r="AA3815" s="33">
        <v>3851</v>
      </c>
    </row>
    <row r="3816" spans="1:27" ht="12" customHeight="1" x14ac:dyDescent="0.15">
      <c r="A3816" s="33" t="s">
        <v>23513</v>
      </c>
      <c r="B3816" s="33">
        <v>63</v>
      </c>
      <c r="C3816" s="33" t="s">
        <v>14</v>
      </c>
      <c r="D3816" s="33" t="s">
        <v>31</v>
      </c>
      <c r="E3816" s="33" t="s">
        <v>23514</v>
      </c>
      <c r="F3816" s="67">
        <v>42566</v>
      </c>
      <c r="G3816" s="33" t="s">
        <v>23515</v>
      </c>
      <c r="H3816" s="33" t="s">
        <v>23516</v>
      </c>
      <c r="I3816" s="33" t="s">
        <v>338</v>
      </c>
      <c r="J3816" s="33">
        <v>28133</v>
      </c>
      <c r="K3816" s="33" t="s">
        <v>4087</v>
      </c>
      <c r="L3816" s="33" t="s">
        <v>17485</v>
      </c>
      <c r="M3816" s="33" t="s">
        <v>21</v>
      </c>
      <c r="N3816" s="33" t="s">
        <v>36690</v>
      </c>
      <c r="O3816" s="33" t="s">
        <v>372</v>
      </c>
      <c r="P3816" s="33" t="s">
        <v>30089</v>
      </c>
      <c r="Q3816" s="40" t="s">
        <v>23517</v>
      </c>
      <c r="R3816" s="33" t="s">
        <v>512</v>
      </c>
      <c r="S3816" s="33" t="s">
        <v>22</v>
      </c>
      <c r="T3816" s="33" t="s">
        <v>26781</v>
      </c>
      <c r="U3816" s="33" t="s">
        <v>26572</v>
      </c>
      <c r="V3816" s="33" t="s">
        <v>26573</v>
      </c>
      <c r="W3816" s="33" t="s">
        <v>94</v>
      </c>
      <c r="X3816" s="33">
        <v>1713</v>
      </c>
      <c r="Z3816" s="33" t="s">
        <v>42967</v>
      </c>
      <c r="AA3816" s="33">
        <v>3849</v>
      </c>
    </row>
    <row r="3817" spans="1:27" ht="12" customHeight="1" x14ac:dyDescent="0.15">
      <c r="A3817" s="33" t="s">
        <v>23518</v>
      </c>
      <c r="B3817" s="33">
        <v>18</v>
      </c>
      <c r="C3817" s="33" t="s">
        <v>14</v>
      </c>
      <c r="D3817" s="33" t="s">
        <v>79</v>
      </c>
      <c r="E3817" s="33" t="s">
        <v>23519</v>
      </c>
      <c r="F3817" s="67">
        <v>42565</v>
      </c>
      <c r="G3817" s="33" t="s">
        <v>23520</v>
      </c>
      <c r="H3817" s="33" t="s">
        <v>392</v>
      </c>
      <c r="I3817" s="33" t="s">
        <v>198</v>
      </c>
      <c r="J3817" s="33" t="s">
        <v>23521</v>
      </c>
      <c r="K3817" s="33" t="s">
        <v>369</v>
      </c>
      <c r="L3817" s="33" t="s">
        <v>23522</v>
      </c>
      <c r="M3817" s="33" t="s">
        <v>21</v>
      </c>
      <c r="N3817" s="33" t="s">
        <v>36691</v>
      </c>
      <c r="O3817" s="33" t="s">
        <v>372</v>
      </c>
      <c r="P3817" s="33" t="s">
        <v>30089</v>
      </c>
      <c r="Q3817" s="40" t="s">
        <v>23523</v>
      </c>
      <c r="R3817" s="33" t="s">
        <v>94</v>
      </c>
      <c r="S3817" s="33" t="s">
        <v>22</v>
      </c>
      <c r="T3817" s="33" t="s">
        <v>26781</v>
      </c>
      <c r="U3817" s="33" t="s">
        <v>26572</v>
      </c>
      <c r="V3817" s="33" t="s">
        <v>26574</v>
      </c>
      <c r="Z3817" s="33" t="s">
        <v>42966</v>
      </c>
      <c r="AA3817" s="33">
        <v>3848</v>
      </c>
    </row>
    <row r="3818" spans="1:27" ht="12" customHeight="1" x14ac:dyDescent="0.15">
      <c r="A3818" s="33" t="s">
        <v>23524</v>
      </c>
      <c r="B3818" s="33">
        <v>33</v>
      </c>
      <c r="C3818" s="33" t="s">
        <v>14</v>
      </c>
      <c r="D3818" s="33" t="s">
        <v>79</v>
      </c>
      <c r="F3818" s="67">
        <v>42565</v>
      </c>
      <c r="G3818" s="33" t="s">
        <v>26692</v>
      </c>
      <c r="H3818" s="33" t="s">
        <v>1487</v>
      </c>
      <c r="I3818" s="33" t="s">
        <v>46</v>
      </c>
      <c r="J3818" s="33">
        <v>21216</v>
      </c>
      <c r="K3818" s="33" t="s">
        <v>4324</v>
      </c>
      <c r="L3818" s="33" t="s">
        <v>2556</v>
      </c>
      <c r="M3818" s="33" t="s">
        <v>21</v>
      </c>
      <c r="N3818" s="33" t="s">
        <v>23525</v>
      </c>
      <c r="O3818" s="33" t="s">
        <v>372</v>
      </c>
      <c r="P3818" s="33" t="s">
        <v>30089</v>
      </c>
      <c r="Q3818" s="40" t="s">
        <v>23526</v>
      </c>
      <c r="R3818" s="33" t="s">
        <v>94</v>
      </c>
      <c r="S3818" s="33" t="s">
        <v>22</v>
      </c>
      <c r="T3818" s="33" t="s">
        <v>26781</v>
      </c>
      <c r="U3818" s="33" t="s">
        <v>26572</v>
      </c>
      <c r="V3818" s="33" t="s">
        <v>26573</v>
      </c>
      <c r="W3818" s="33" t="s">
        <v>94</v>
      </c>
      <c r="X3818" s="33">
        <v>1710</v>
      </c>
      <c r="Z3818" s="33" t="s">
        <v>42966</v>
      </c>
      <c r="AA3818" s="33">
        <v>3847</v>
      </c>
    </row>
    <row r="3819" spans="1:27" ht="12" customHeight="1" x14ac:dyDescent="0.15">
      <c r="A3819" s="33" t="s">
        <v>23527</v>
      </c>
      <c r="B3819" s="33">
        <v>32</v>
      </c>
      <c r="C3819" s="33" t="s">
        <v>14</v>
      </c>
      <c r="D3819" s="33" t="s">
        <v>31</v>
      </c>
      <c r="F3819" s="67">
        <v>42564</v>
      </c>
      <c r="G3819" s="33" t="s">
        <v>26693</v>
      </c>
      <c r="H3819" s="33" t="s">
        <v>6279</v>
      </c>
      <c r="I3819" s="33" t="s">
        <v>112</v>
      </c>
      <c r="J3819" s="33">
        <v>86001</v>
      </c>
      <c r="K3819" s="33" t="s">
        <v>21652</v>
      </c>
      <c r="L3819" s="33" t="s">
        <v>23528</v>
      </c>
      <c r="M3819" s="33" t="s">
        <v>21</v>
      </c>
      <c r="N3819" s="33" t="s">
        <v>23529</v>
      </c>
      <c r="O3819" s="33" t="s">
        <v>372</v>
      </c>
      <c r="P3819" s="33" t="s">
        <v>30089</v>
      </c>
      <c r="Q3819" s="40" t="s">
        <v>23530</v>
      </c>
      <c r="R3819" s="33" t="s">
        <v>94</v>
      </c>
      <c r="S3819" s="33" t="s">
        <v>22</v>
      </c>
      <c r="T3819" s="33" t="s">
        <v>26781</v>
      </c>
      <c r="U3819" s="33" t="s">
        <v>26575</v>
      </c>
      <c r="V3819" s="33" t="s">
        <v>26574</v>
      </c>
      <c r="W3819" s="33" t="s">
        <v>512</v>
      </c>
      <c r="X3819" s="33">
        <v>1708</v>
      </c>
      <c r="Z3819" s="33" t="s">
        <v>42968</v>
      </c>
      <c r="AA3819" s="33">
        <v>3844</v>
      </c>
    </row>
    <row r="3820" spans="1:27" ht="12" customHeight="1" x14ac:dyDescent="0.15">
      <c r="A3820" s="33" t="s">
        <v>23531</v>
      </c>
      <c r="B3820" s="33">
        <v>35</v>
      </c>
      <c r="C3820" s="33" t="s">
        <v>14</v>
      </c>
      <c r="D3820" s="33" t="s">
        <v>79</v>
      </c>
      <c r="F3820" s="67">
        <v>42564</v>
      </c>
      <c r="G3820" s="33" t="s">
        <v>26694</v>
      </c>
      <c r="H3820" s="33" t="s">
        <v>1027</v>
      </c>
      <c r="I3820" s="33" t="s">
        <v>367</v>
      </c>
      <c r="J3820" s="33">
        <v>73118</v>
      </c>
      <c r="K3820" s="33" t="s">
        <v>1028</v>
      </c>
      <c r="L3820" s="33" t="s">
        <v>1029</v>
      </c>
      <c r="M3820" s="33" t="s">
        <v>363</v>
      </c>
      <c r="N3820" s="33" t="s">
        <v>23532</v>
      </c>
      <c r="O3820" s="33" t="s">
        <v>372</v>
      </c>
      <c r="P3820" s="33" t="s">
        <v>30089</v>
      </c>
      <c r="Q3820" s="40" t="s">
        <v>23533</v>
      </c>
      <c r="R3820" s="33" t="s">
        <v>23</v>
      </c>
      <c r="S3820" s="33" t="s">
        <v>22</v>
      </c>
      <c r="T3820" s="33" t="s">
        <v>29867</v>
      </c>
      <c r="U3820" s="33" t="s">
        <v>26572</v>
      </c>
      <c r="V3820" s="33" t="s">
        <v>26573</v>
      </c>
      <c r="Z3820" s="33" t="s">
        <v>42966</v>
      </c>
      <c r="AA3820" s="33">
        <v>3845</v>
      </c>
    </row>
    <row r="3821" spans="1:27" ht="12" customHeight="1" x14ac:dyDescent="0.15">
      <c r="A3821" s="33" t="s">
        <v>23534</v>
      </c>
      <c r="B3821" s="33">
        <v>56</v>
      </c>
      <c r="C3821" s="33" t="s">
        <v>14</v>
      </c>
      <c r="D3821" s="33" t="s">
        <v>31</v>
      </c>
      <c r="E3821" s="33" t="s">
        <v>23535</v>
      </c>
      <c r="F3821" s="67">
        <v>42564</v>
      </c>
      <c r="G3821" s="33" t="s">
        <v>23536</v>
      </c>
      <c r="H3821" s="33" t="s">
        <v>1979</v>
      </c>
      <c r="I3821" s="33" t="s">
        <v>395</v>
      </c>
      <c r="J3821" s="33">
        <v>10940</v>
      </c>
      <c r="K3821" s="33" t="s">
        <v>998</v>
      </c>
      <c r="L3821" s="33" t="s">
        <v>11766</v>
      </c>
      <c r="M3821" s="33" t="s">
        <v>21</v>
      </c>
      <c r="N3821" s="33" t="s">
        <v>23537</v>
      </c>
      <c r="O3821" s="33" t="s">
        <v>372</v>
      </c>
      <c r="P3821" s="33" t="s">
        <v>30089</v>
      </c>
      <c r="Q3821" s="40" t="s">
        <v>23538</v>
      </c>
      <c r="R3821" s="33" t="s">
        <v>512</v>
      </c>
      <c r="S3821" s="33" t="s">
        <v>12</v>
      </c>
      <c r="T3821" s="33" t="s">
        <v>29425</v>
      </c>
      <c r="U3821" s="33" t="s">
        <v>26572</v>
      </c>
      <c r="V3821" s="33" t="s">
        <v>26573</v>
      </c>
      <c r="W3821" s="33" t="s">
        <v>94</v>
      </c>
      <c r="X3821" s="33">
        <v>1709</v>
      </c>
      <c r="Z3821" s="33" t="s">
        <v>42968</v>
      </c>
      <c r="AA3821" s="33">
        <v>3846</v>
      </c>
    </row>
    <row r="3822" spans="1:27" ht="12" customHeight="1" x14ac:dyDescent="0.15">
      <c r="A3822" s="33" t="s">
        <v>23539</v>
      </c>
      <c r="B3822" s="33">
        <v>36</v>
      </c>
      <c r="C3822" s="33" t="s">
        <v>14</v>
      </c>
      <c r="D3822" s="33" t="s">
        <v>31</v>
      </c>
      <c r="F3822" s="67">
        <v>42563</v>
      </c>
      <c r="G3822" s="33" t="s">
        <v>26695</v>
      </c>
      <c r="H3822" s="33" t="s">
        <v>3809</v>
      </c>
      <c r="I3822" s="33" t="s">
        <v>88</v>
      </c>
      <c r="J3822" s="33">
        <v>35207</v>
      </c>
      <c r="K3822" s="33" t="s">
        <v>1659</v>
      </c>
      <c r="L3822" s="33" t="s">
        <v>3834</v>
      </c>
      <c r="M3822" s="33" t="s">
        <v>363</v>
      </c>
      <c r="N3822" s="33" t="s">
        <v>23540</v>
      </c>
      <c r="O3822" s="33" t="s">
        <v>372</v>
      </c>
      <c r="P3822" s="33" t="s">
        <v>30089</v>
      </c>
      <c r="Q3822" s="40" t="s">
        <v>23541</v>
      </c>
      <c r="R3822" s="33" t="s">
        <v>23</v>
      </c>
      <c r="S3822" s="33" t="s">
        <v>12</v>
      </c>
      <c r="T3822" s="33" t="s">
        <v>29705</v>
      </c>
      <c r="U3822" s="33" t="s">
        <v>26570</v>
      </c>
      <c r="V3822" s="33" t="s">
        <v>26573</v>
      </c>
      <c r="Z3822" s="33" t="s">
        <v>42966</v>
      </c>
      <c r="AA3822" s="33">
        <v>3843</v>
      </c>
    </row>
    <row r="3823" spans="1:27" ht="12" customHeight="1" x14ac:dyDescent="0.15">
      <c r="A3823" s="33" t="s">
        <v>23542</v>
      </c>
      <c r="B3823" s="33">
        <v>23</v>
      </c>
      <c r="C3823" s="33" t="s">
        <v>14</v>
      </c>
      <c r="D3823" s="33" t="s">
        <v>31</v>
      </c>
      <c r="F3823" s="67">
        <v>42563</v>
      </c>
      <c r="G3823" s="33" t="s">
        <v>23543</v>
      </c>
      <c r="H3823" s="33" t="s">
        <v>4070</v>
      </c>
      <c r="I3823" s="33" t="s">
        <v>309</v>
      </c>
      <c r="J3823" s="33">
        <v>99508</v>
      </c>
      <c r="K3823" s="33" t="s">
        <v>4070</v>
      </c>
      <c r="L3823" s="33" t="s">
        <v>4072</v>
      </c>
      <c r="M3823" s="33" t="s">
        <v>21</v>
      </c>
      <c r="N3823" s="33" t="s">
        <v>23544</v>
      </c>
      <c r="O3823" s="33" t="s">
        <v>372</v>
      </c>
      <c r="P3823" s="33" t="s">
        <v>30089</v>
      </c>
      <c r="Q3823" s="40" t="s">
        <v>23545</v>
      </c>
      <c r="R3823" s="33" t="s">
        <v>512</v>
      </c>
      <c r="S3823" s="33" t="s">
        <v>22</v>
      </c>
      <c r="T3823" s="33" t="s">
        <v>26585</v>
      </c>
      <c r="U3823" s="33" t="s">
        <v>26572</v>
      </c>
      <c r="V3823" s="33" t="s">
        <v>26573</v>
      </c>
      <c r="W3823" s="33" t="s">
        <v>94</v>
      </c>
      <c r="X3823" s="33">
        <v>1707</v>
      </c>
      <c r="Z3823" s="33" t="s">
        <v>42968</v>
      </c>
      <c r="AA3823" s="33">
        <v>3842</v>
      </c>
    </row>
    <row r="3824" spans="1:27" ht="12" customHeight="1" x14ac:dyDescent="0.15">
      <c r="A3824" s="33" t="s">
        <v>23563</v>
      </c>
      <c r="B3824" s="33">
        <v>44</v>
      </c>
      <c r="C3824" s="33" t="s">
        <v>14</v>
      </c>
      <c r="D3824" s="33" t="s">
        <v>31</v>
      </c>
      <c r="E3824" s="33" t="s">
        <v>23564</v>
      </c>
      <c r="F3824" s="67">
        <v>42562</v>
      </c>
      <c r="G3824" s="33" t="s">
        <v>23565</v>
      </c>
      <c r="H3824" s="33" t="s">
        <v>10132</v>
      </c>
      <c r="I3824" s="33" t="s">
        <v>51</v>
      </c>
      <c r="J3824" s="33" t="s">
        <v>23566</v>
      </c>
      <c r="K3824" s="33" t="s">
        <v>9185</v>
      </c>
      <c r="L3824" s="33" t="s">
        <v>23567</v>
      </c>
      <c r="M3824" s="33" t="s">
        <v>21</v>
      </c>
      <c r="N3824" s="33" t="s">
        <v>23568</v>
      </c>
      <c r="O3824" s="33" t="s">
        <v>372</v>
      </c>
      <c r="P3824" s="33" t="s">
        <v>30089</v>
      </c>
      <c r="Q3824" s="40" t="s">
        <v>23569</v>
      </c>
      <c r="R3824" s="33" t="s">
        <v>94</v>
      </c>
      <c r="S3824" s="33" t="s">
        <v>22</v>
      </c>
      <c r="T3824" s="33" t="s">
        <v>26781</v>
      </c>
      <c r="U3824" s="33" t="s">
        <v>26572</v>
      </c>
      <c r="V3824" s="33" t="s">
        <v>26573</v>
      </c>
      <c r="W3824" s="33" t="s">
        <v>94</v>
      </c>
      <c r="X3824" s="33">
        <v>1711</v>
      </c>
      <c r="Z3824" s="33" t="s">
        <v>42968</v>
      </c>
      <c r="AA3824" s="33">
        <v>3840</v>
      </c>
    </row>
    <row r="3825" spans="1:27" ht="12" customHeight="1" x14ac:dyDescent="0.15">
      <c r="A3825" s="33" t="s">
        <v>23556</v>
      </c>
      <c r="B3825" s="33">
        <v>41</v>
      </c>
      <c r="C3825" s="33" t="s">
        <v>14</v>
      </c>
      <c r="D3825" s="33" t="s">
        <v>42</v>
      </c>
      <c r="F3825" s="67">
        <v>42562</v>
      </c>
      <c r="G3825" s="33" t="s">
        <v>23557</v>
      </c>
      <c r="H3825" s="33" t="s">
        <v>23558</v>
      </c>
      <c r="I3825" s="33" t="s">
        <v>51</v>
      </c>
      <c r="J3825" s="33" t="s">
        <v>23559</v>
      </c>
      <c r="K3825" s="33" t="s">
        <v>1057</v>
      </c>
      <c r="L3825" s="33" t="s">
        <v>23560</v>
      </c>
      <c r="M3825" s="33" t="s">
        <v>21</v>
      </c>
      <c r="N3825" s="33" t="s">
        <v>23561</v>
      </c>
      <c r="O3825" s="33" t="s">
        <v>372</v>
      </c>
      <c r="P3825" s="33" t="s">
        <v>30089</v>
      </c>
      <c r="Q3825" s="40" t="s">
        <v>23562</v>
      </c>
      <c r="R3825" s="33" t="s">
        <v>94</v>
      </c>
      <c r="S3825" s="33" t="s">
        <v>22</v>
      </c>
      <c r="T3825" s="33" t="s">
        <v>26781</v>
      </c>
      <c r="U3825" s="33" t="s">
        <v>26572</v>
      </c>
      <c r="V3825" s="33" t="s">
        <v>26573</v>
      </c>
      <c r="W3825" s="33" t="s">
        <v>94</v>
      </c>
      <c r="X3825" s="33">
        <v>1705</v>
      </c>
      <c r="Z3825" s="33" t="s">
        <v>42968</v>
      </c>
      <c r="AA3825" s="33">
        <v>3838</v>
      </c>
    </row>
    <row r="3826" spans="1:27" ht="12" customHeight="1" x14ac:dyDescent="0.15">
      <c r="A3826" s="33" t="s">
        <v>23546</v>
      </c>
      <c r="B3826" s="33">
        <v>41</v>
      </c>
      <c r="C3826" s="33" t="s">
        <v>14</v>
      </c>
      <c r="D3826" s="33" t="s">
        <v>79</v>
      </c>
      <c r="F3826" s="67">
        <v>42562</v>
      </c>
      <c r="G3826" s="33" t="s">
        <v>23547</v>
      </c>
      <c r="H3826" s="33" t="s">
        <v>23548</v>
      </c>
      <c r="I3826" s="33" t="s">
        <v>38</v>
      </c>
      <c r="J3826" s="33">
        <v>62201</v>
      </c>
      <c r="K3826" s="33" t="s">
        <v>20220</v>
      </c>
      <c r="L3826" s="33" t="s">
        <v>23549</v>
      </c>
      <c r="M3826" s="33" t="s">
        <v>21</v>
      </c>
      <c r="N3826" s="33" t="s">
        <v>23550</v>
      </c>
      <c r="O3826" s="33" t="s">
        <v>372</v>
      </c>
      <c r="P3826" s="33" t="s">
        <v>30089</v>
      </c>
      <c r="Q3826" s="40" t="s">
        <v>23551</v>
      </c>
      <c r="R3826" s="33" t="s">
        <v>23</v>
      </c>
      <c r="S3826" s="33" t="s">
        <v>22</v>
      </c>
      <c r="T3826" s="33" t="s">
        <v>26781</v>
      </c>
      <c r="U3826" s="33" t="s">
        <v>26572</v>
      </c>
      <c r="V3826" s="33" t="s">
        <v>26573</v>
      </c>
      <c r="W3826" s="33" t="s">
        <v>94</v>
      </c>
      <c r="X3826" s="33">
        <v>1704</v>
      </c>
      <c r="Z3826" s="33" t="s">
        <v>42968</v>
      </c>
      <c r="AA3826" s="33">
        <v>3837</v>
      </c>
    </row>
    <row r="3827" spans="1:27" ht="12" customHeight="1" x14ac:dyDescent="0.15">
      <c r="A3827" s="33" t="s">
        <v>23552</v>
      </c>
      <c r="B3827" s="33">
        <v>39</v>
      </c>
      <c r="C3827" s="33" t="s">
        <v>14</v>
      </c>
      <c r="D3827" s="33" t="s">
        <v>79</v>
      </c>
      <c r="F3827" s="67">
        <v>42562</v>
      </c>
      <c r="G3827" s="33" t="s">
        <v>23553</v>
      </c>
      <c r="H3827" s="33" t="s">
        <v>1599</v>
      </c>
      <c r="I3827" s="33" t="s">
        <v>395</v>
      </c>
      <c r="J3827" s="33">
        <v>11214</v>
      </c>
      <c r="K3827" s="33" t="s">
        <v>1601</v>
      </c>
      <c r="L3827" s="33" t="s">
        <v>539</v>
      </c>
      <c r="M3827" s="33" t="s">
        <v>21</v>
      </c>
      <c r="N3827" s="33" t="s">
        <v>23554</v>
      </c>
      <c r="O3827" s="33" t="s">
        <v>372</v>
      </c>
      <c r="P3827" s="33" t="s">
        <v>30089</v>
      </c>
      <c r="Q3827" s="40" t="s">
        <v>23555</v>
      </c>
      <c r="R3827" s="33" t="s">
        <v>94</v>
      </c>
      <c r="S3827" s="33" t="s">
        <v>22</v>
      </c>
      <c r="T3827" s="33" t="s">
        <v>26781</v>
      </c>
      <c r="U3827" s="33" t="s">
        <v>26572</v>
      </c>
      <c r="V3827" s="33" t="s">
        <v>26574</v>
      </c>
      <c r="W3827" s="33" t="s">
        <v>94</v>
      </c>
      <c r="X3827" s="33">
        <v>1706</v>
      </c>
      <c r="Z3827" s="33" t="s">
        <v>42966</v>
      </c>
      <c r="AA3827" s="33">
        <v>3839</v>
      </c>
    </row>
    <row r="3828" spans="1:27" ht="12" customHeight="1" x14ac:dyDescent="0.15">
      <c r="A3828" s="33" t="s">
        <v>23570</v>
      </c>
      <c r="B3828" s="33">
        <v>50</v>
      </c>
      <c r="C3828" s="33" t="s">
        <v>14</v>
      </c>
      <c r="D3828" s="33" t="s">
        <v>79</v>
      </c>
      <c r="F3828" s="67">
        <v>42562</v>
      </c>
      <c r="G3828" s="33" t="s">
        <v>26696</v>
      </c>
      <c r="H3828" s="33" t="s">
        <v>1537</v>
      </c>
      <c r="I3828" s="33" t="s">
        <v>39</v>
      </c>
      <c r="J3828" s="33">
        <v>95815</v>
      </c>
      <c r="K3828" s="33" t="s">
        <v>1537</v>
      </c>
      <c r="L3828" s="33" t="s">
        <v>2166</v>
      </c>
      <c r="M3828" s="33" t="s">
        <v>21</v>
      </c>
      <c r="N3828" s="33" t="s">
        <v>23571</v>
      </c>
      <c r="O3828" s="33" t="s">
        <v>372</v>
      </c>
      <c r="P3828" s="33" t="s">
        <v>30089</v>
      </c>
      <c r="Q3828" s="40" t="s">
        <v>23572</v>
      </c>
      <c r="R3828" s="33" t="s">
        <v>512</v>
      </c>
      <c r="S3828" s="33" t="s">
        <v>22</v>
      </c>
      <c r="T3828" s="33" t="s">
        <v>26774</v>
      </c>
      <c r="U3828" s="33" t="s">
        <v>26570</v>
      </c>
      <c r="V3828" s="33" t="s">
        <v>26573</v>
      </c>
      <c r="W3828" s="33" t="s">
        <v>512</v>
      </c>
      <c r="X3828" s="33">
        <v>1703</v>
      </c>
      <c r="Z3828" s="33" t="s">
        <v>42966</v>
      </c>
      <c r="AA3828" s="33">
        <v>3841</v>
      </c>
    </row>
    <row r="3829" spans="1:27" ht="12" customHeight="1" x14ac:dyDescent="0.15">
      <c r="A3829" s="33" t="s">
        <v>22635</v>
      </c>
      <c r="B3829" s="33">
        <v>38</v>
      </c>
      <c r="C3829" s="33" t="s">
        <v>14</v>
      </c>
      <c r="D3829" s="33" t="s">
        <v>79</v>
      </c>
      <c r="E3829" s="33" t="s">
        <v>23580</v>
      </c>
      <c r="F3829" s="67">
        <v>42561</v>
      </c>
      <c r="G3829" s="33" t="s">
        <v>23581</v>
      </c>
      <c r="H3829" s="33" t="s">
        <v>674</v>
      </c>
      <c r="I3829" s="33" t="s">
        <v>67</v>
      </c>
      <c r="J3829" s="33">
        <v>77021</v>
      </c>
      <c r="K3829" s="33" t="s">
        <v>515</v>
      </c>
      <c r="L3829" s="33" t="s">
        <v>675</v>
      </c>
      <c r="M3829" s="33" t="s">
        <v>21</v>
      </c>
      <c r="N3829" s="33" t="s">
        <v>23582</v>
      </c>
      <c r="O3829" s="33" t="s">
        <v>372</v>
      </c>
      <c r="P3829" s="33" t="s">
        <v>30089</v>
      </c>
      <c r="Q3829" s="40" t="s">
        <v>23583</v>
      </c>
      <c r="R3829" s="33" t="s">
        <v>94</v>
      </c>
      <c r="S3829" s="33" t="s">
        <v>22</v>
      </c>
      <c r="T3829" s="33" t="s">
        <v>26781</v>
      </c>
      <c r="U3829" s="33" t="s">
        <v>26570</v>
      </c>
      <c r="V3829" s="33" t="s">
        <v>26573</v>
      </c>
      <c r="W3829" s="33" t="s">
        <v>512</v>
      </c>
      <c r="X3829" s="33">
        <v>1702</v>
      </c>
      <c r="Z3829" s="33" t="s">
        <v>42966</v>
      </c>
      <c r="AA3829" s="33">
        <v>3836</v>
      </c>
    </row>
    <row r="3830" spans="1:27" ht="12" customHeight="1" x14ac:dyDescent="0.15">
      <c r="A3830" s="33" t="s">
        <v>23584</v>
      </c>
      <c r="B3830" s="33">
        <v>20</v>
      </c>
      <c r="C3830" s="33" t="s">
        <v>14</v>
      </c>
      <c r="D3830" s="33" t="s">
        <v>79</v>
      </c>
      <c r="E3830" s="33" t="s">
        <v>23585</v>
      </c>
      <c r="F3830" s="67">
        <v>42560</v>
      </c>
      <c r="G3830" s="33" t="s">
        <v>26697</v>
      </c>
      <c r="H3830" s="33" t="s">
        <v>17505</v>
      </c>
      <c r="I3830" s="33" t="s">
        <v>402</v>
      </c>
      <c r="J3830" s="33">
        <v>63123</v>
      </c>
      <c r="K3830" s="33" t="s">
        <v>661</v>
      </c>
      <c r="L3830" s="33" t="s">
        <v>6535</v>
      </c>
      <c r="M3830" s="33" t="s">
        <v>21</v>
      </c>
      <c r="N3830" s="33" t="s">
        <v>23586</v>
      </c>
      <c r="O3830" s="33" t="s">
        <v>372</v>
      </c>
      <c r="P3830" s="33" t="s">
        <v>30089</v>
      </c>
      <c r="Q3830" s="40" t="s">
        <v>23587</v>
      </c>
      <c r="R3830" s="33" t="s">
        <v>512</v>
      </c>
      <c r="S3830" s="33" t="s">
        <v>29</v>
      </c>
      <c r="T3830" s="33" t="s">
        <v>26575</v>
      </c>
      <c r="U3830" s="33" t="s">
        <v>26572</v>
      </c>
      <c r="V3830" s="33" t="s">
        <v>26573</v>
      </c>
      <c r="Z3830" s="33" t="s">
        <v>42968</v>
      </c>
      <c r="AA3830" s="33">
        <v>3835</v>
      </c>
    </row>
    <row r="3831" spans="1:27" ht="12" customHeight="1" x14ac:dyDescent="0.15">
      <c r="A3831" s="33" t="s">
        <v>23573</v>
      </c>
      <c r="B3831" s="33">
        <v>40</v>
      </c>
      <c r="C3831" s="33" t="s">
        <v>14</v>
      </c>
      <c r="D3831" s="33" t="s">
        <v>79</v>
      </c>
      <c r="F3831" s="67">
        <v>42560</v>
      </c>
      <c r="G3831" s="33" t="s">
        <v>23574</v>
      </c>
      <c r="H3831" s="33" t="s">
        <v>23575</v>
      </c>
      <c r="I3831" s="33" t="s">
        <v>367</v>
      </c>
      <c r="J3831" s="33">
        <v>74728</v>
      </c>
      <c r="K3831" s="33" t="s">
        <v>23576</v>
      </c>
      <c r="L3831" s="33" t="s">
        <v>23577</v>
      </c>
      <c r="M3831" s="33" t="s">
        <v>21</v>
      </c>
      <c r="N3831" s="33" t="s">
        <v>23578</v>
      </c>
      <c r="O3831" s="33" t="s">
        <v>372</v>
      </c>
      <c r="P3831" s="33" t="s">
        <v>30089</v>
      </c>
      <c r="Q3831" s="40" t="s">
        <v>23579</v>
      </c>
      <c r="R3831" s="33" t="s">
        <v>94</v>
      </c>
      <c r="S3831" s="33" t="s">
        <v>22</v>
      </c>
      <c r="T3831" s="33" t="s">
        <v>26781</v>
      </c>
      <c r="U3831" s="33" t="s">
        <v>26572</v>
      </c>
      <c r="V3831" s="33" t="s">
        <v>26571</v>
      </c>
      <c r="W3831" s="33" t="s">
        <v>94</v>
      </c>
      <c r="X3831" s="33">
        <v>1701</v>
      </c>
      <c r="Z3831" s="33" t="s">
        <v>42967</v>
      </c>
      <c r="AA3831" s="33">
        <v>3834</v>
      </c>
    </row>
    <row r="3832" spans="1:27" ht="12" customHeight="1" x14ac:dyDescent="0.15">
      <c r="A3832" s="33" t="s">
        <v>23588</v>
      </c>
      <c r="B3832" s="33">
        <v>30</v>
      </c>
      <c r="C3832" s="33" t="s">
        <v>14</v>
      </c>
      <c r="D3832" s="33" t="s">
        <v>31</v>
      </c>
      <c r="F3832" s="67">
        <v>42559</v>
      </c>
      <c r="G3832" s="33" t="s">
        <v>23589</v>
      </c>
      <c r="H3832" s="33" t="s">
        <v>518</v>
      </c>
      <c r="I3832" s="33" t="s">
        <v>112</v>
      </c>
      <c r="J3832" s="33">
        <v>85705</v>
      </c>
      <c r="K3832" s="33" t="s">
        <v>519</v>
      </c>
      <c r="L3832" s="33" t="s">
        <v>520</v>
      </c>
      <c r="M3832" s="33" t="s">
        <v>21</v>
      </c>
      <c r="N3832" s="33" t="s">
        <v>23590</v>
      </c>
      <c r="O3832" s="33" t="s">
        <v>372</v>
      </c>
      <c r="P3832" s="33" t="s">
        <v>30089</v>
      </c>
      <c r="Q3832" s="40" t="s">
        <v>23591</v>
      </c>
      <c r="R3832" s="33" t="s">
        <v>512</v>
      </c>
      <c r="S3832" s="33" t="s">
        <v>22</v>
      </c>
      <c r="T3832" s="33" t="s">
        <v>26774</v>
      </c>
      <c r="U3832" s="33" t="s">
        <v>26570</v>
      </c>
      <c r="V3832" s="33" t="s">
        <v>26573</v>
      </c>
      <c r="W3832" s="33" t="s">
        <v>94</v>
      </c>
      <c r="X3832" s="33">
        <v>1700</v>
      </c>
      <c r="Z3832" s="33" t="s">
        <v>42968</v>
      </c>
      <c r="AA3832" s="33">
        <v>3833</v>
      </c>
    </row>
    <row r="3833" spans="1:27" ht="12" customHeight="1" x14ac:dyDescent="0.15">
      <c r="A3833" s="33" t="s">
        <v>23592</v>
      </c>
      <c r="B3833" s="33">
        <v>25</v>
      </c>
      <c r="C3833" s="33" t="s">
        <v>14</v>
      </c>
      <c r="D3833" s="33" t="s">
        <v>79</v>
      </c>
      <c r="E3833" s="33" t="s">
        <v>23593</v>
      </c>
      <c r="F3833" s="67">
        <v>42558</v>
      </c>
      <c r="G3833" s="33" t="s">
        <v>23594</v>
      </c>
      <c r="H3833" s="33" t="s">
        <v>266</v>
      </c>
      <c r="I3833" s="33" t="s">
        <v>67</v>
      </c>
      <c r="J3833" s="33">
        <v>75202</v>
      </c>
      <c r="K3833" s="33" t="s">
        <v>266</v>
      </c>
      <c r="L3833" s="33" t="s">
        <v>267</v>
      </c>
      <c r="M3833" s="33" t="s">
        <v>26726</v>
      </c>
      <c r="N3833" s="33" t="s">
        <v>23595</v>
      </c>
      <c r="O3833" s="33" t="s">
        <v>372</v>
      </c>
      <c r="P3833" s="33" t="s">
        <v>30089</v>
      </c>
      <c r="Q3833" s="40" t="s">
        <v>23596</v>
      </c>
      <c r="R3833" s="33" t="s">
        <v>23</v>
      </c>
      <c r="S3833" s="33" t="s">
        <v>22</v>
      </c>
      <c r="T3833" s="33" t="s">
        <v>26781</v>
      </c>
      <c r="U3833" s="33" t="s">
        <v>26572</v>
      </c>
      <c r="V3833" s="33" t="s">
        <v>26574</v>
      </c>
      <c r="Z3833" s="33" t="s">
        <v>42966</v>
      </c>
      <c r="AA3833" s="33">
        <v>3829</v>
      </c>
    </row>
    <row r="3834" spans="1:27" ht="12" customHeight="1" x14ac:dyDescent="0.15">
      <c r="A3834" s="33" t="s">
        <v>23601</v>
      </c>
      <c r="B3834" s="33">
        <v>37</v>
      </c>
      <c r="C3834" s="33" t="s">
        <v>14</v>
      </c>
      <c r="D3834" s="33" t="s">
        <v>42</v>
      </c>
      <c r="F3834" s="67">
        <v>42558</v>
      </c>
      <c r="G3834" s="33" t="s">
        <v>23602</v>
      </c>
      <c r="H3834" s="33" t="s">
        <v>7728</v>
      </c>
      <c r="I3834" s="33" t="s">
        <v>39</v>
      </c>
      <c r="J3834" s="33">
        <v>90201</v>
      </c>
      <c r="K3834" s="33" t="s">
        <v>92</v>
      </c>
      <c r="L3834" s="33" t="s">
        <v>23603</v>
      </c>
      <c r="M3834" s="33" t="s">
        <v>21</v>
      </c>
      <c r="N3834" s="33" t="s">
        <v>23604</v>
      </c>
      <c r="O3834" s="33" t="s">
        <v>372</v>
      </c>
      <c r="P3834" s="33" t="s">
        <v>30089</v>
      </c>
      <c r="Q3834" s="40" t="s">
        <v>23605</v>
      </c>
      <c r="R3834" s="33" t="s">
        <v>94</v>
      </c>
      <c r="S3834" s="33" t="s">
        <v>22</v>
      </c>
      <c r="T3834" s="33" t="s">
        <v>26774</v>
      </c>
      <c r="U3834" s="33" t="s">
        <v>26570</v>
      </c>
      <c r="V3834" s="33" t="s">
        <v>26573</v>
      </c>
      <c r="W3834" s="33" t="s">
        <v>94</v>
      </c>
      <c r="X3834" s="33">
        <v>1697</v>
      </c>
      <c r="Z3834" s="33" t="s">
        <v>42966</v>
      </c>
      <c r="AA3834" s="33">
        <v>3831</v>
      </c>
    </row>
    <row r="3835" spans="1:27" ht="12" customHeight="1" x14ac:dyDescent="0.15">
      <c r="A3835" s="33" t="s">
        <v>23597</v>
      </c>
      <c r="B3835" s="33">
        <v>63</v>
      </c>
      <c r="C3835" s="33" t="s">
        <v>14</v>
      </c>
      <c r="D3835" s="33" t="s">
        <v>79</v>
      </c>
      <c r="F3835" s="67">
        <v>42558</v>
      </c>
      <c r="G3835" s="33" t="s">
        <v>23598</v>
      </c>
      <c r="H3835" s="33" t="s">
        <v>11556</v>
      </c>
      <c r="I3835" s="33" t="s">
        <v>88</v>
      </c>
      <c r="J3835" s="33">
        <v>36701</v>
      </c>
      <c r="K3835" s="33" t="s">
        <v>266</v>
      </c>
      <c r="L3835" s="33" t="s">
        <v>11558</v>
      </c>
      <c r="M3835" s="33" t="s">
        <v>21</v>
      </c>
      <c r="N3835" s="33" t="s">
        <v>23599</v>
      </c>
      <c r="O3835" s="33" t="s">
        <v>372</v>
      </c>
      <c r="P3835" s="33" t="s">
        <v>30089</v>
      </c>
      <c r="Q3835" s="40" t="s">
        <v>23600</v>
      </c>
      <c r="R3835" s="33" t="s">
        <v>94</v>
      </c>
      <c r="S3835" s="33" t="s">
        <v>22</v>
      </c>
      <c r="T3835" s="33" t="s">
        <v>26781</v>
      </c>
      <c r="U3835" s="33" t="s">
        <v>26572</v>
      </c>
      <c r="V3835" s="33" t="s">
        <v>26573</v>
      </c>
      <c r="W3835" s="33" t="s">
        <v>512</v>
      </c>
      <c r="X3835" s="33">
        <v>1699</v>
      </c>
      <c r="Z3835" s="33" t="s">
        <v>42968</v>
      </c>
      <c r="AA3835" s="33">
        <v>3830</v>
      </c>
    </row>
    <row r="3836" spans="1:27" ht="12" customHeight="1" x14ac:dyDescent="0.15">
      <c r="A3836" s="33" t="s">
        <v>23606</v>
      </c>
      <c r="B3836" s="33">
        <v>33</v>
      </c>
      <c r="C3836" s="33" t="s">
        <v>14</v>
      </c>
      <c r="D3836" s="33" t="s">
        <v>31</v>
      </c>
      <c r="F3836" s="67">
        <v>42558</v>
      </c>
      <c r="G3836" s="33" t="s">
        <v>23607</v>
      </c>
      <c r="H3836" s="33" t="s">
        <v>9620</v>
      </c>
      <c r="I3836" s="33" t="s">
        <v>39</v>
      </c>
      <c r="J3836" s="33">
        <v>93612</v>
      </c>
      <c r="K3836" s="33" t="s">
        <v>183</v>
      </c>
      <c r="L3836" s="33" t="s">
        <v>23608</v>
      </c>
      <c r="M3836" s="33" t="s">
        <v>21</v>
      </c>
      <c r="N3836" s="33" t="s">
        <v>23609</v>
      </c>
      <c r="O3836" s="33" t="s">
        <v>372</v>
      </c>
      <c r="P3836" s="33" t="s">
        <v>30089</v>
      </c>
      <c r="Q3836" s="40" t="s">
        <v>23610</v>
      </c>
      <c r="R3836" s="33" t="s">
        <v>94</v>
      </c>
      <c r="S3836" s="33" t="s">
        <v>351</v>
      </c>
      <c r="T3836" s="33" t="s">
        <v>26867</v>
      </c>
      <c r="U3836" s="33" t="s">
        <v>26570</v>
      </c>
      <c r="V3836" s="33" t="s">
        <v>26571</v>
      </c>
      <c r="W3836" s="33" t="s">
        <v>94</v>
      </c>
      <c r="X3836" s="33">
        <v>1698</v>
      </c>
      <c r="Z3836" s="33" t="s">
        <v>42968</v>
      </c>
      <c r="AA3836" s="33">
        <v>3832</v>
      </c>
    </row>
    <row r="3837" spans="1:27" ht="12" customHeight="1" x14ac:dyDescent="0.15">
      <c r="A3837" s="33" t="s">
        <v>22501</v>
      </c>
      <c r="B3837" s="33">
        <v>32</v>
      </c>
      <c r="C3837" s="33" t="s">
        <v>14</v>
      </c>
      <c r="D3837" s="33" t="s">
        <v>79</v>
      </c>
      <c r="E3837" s="33" t="s">
        <v>22502</v>
      </c>
      <c r="F3837" s="67">
        <v>42557</v>
      </c>
      <c r="G3837" s="33" t="s">
        <v>22634</v>
      </c>
      <c r="H3837" s="33" t="s">
        <v>23611</v>
      </c>
      <c r="I3837" s="33" t="s">
        <v>122</v>
      </c>
      <c r="J3837" s="33">
        <v>55113</v>
      </c>
      <c r="K3837" s="33" t="s">
        <v>3291</v>
      </c>
      <c r="L3837" s="33" t="s">
        <v>22529</v>
      </c>
      <c r="M3837" s="33" t="s">
        <v>21</v>
      </c>
      <c r="N3837" s="33" t="s">
        <v>22533</v>
      </c>
      <c r="O3837" s="33" t="s">
        <v>27754</v>
      </c>
      <c r="P3837" s="33" t="s">
        <v>18576</v>
      </c>
      <c r="Q3837" s="40" t="s">
        <v>22581</v>
      </c>
      <c r="R3837" s="33" t="s">
        <v>94</v>
      </c>
      <c r="S3837" s="33" t="s">
        <v>22</v>
      </c>
      <c r="T3837" s="33" t="s">
        <v>26781</v>
      </c>
      <c r="U3837" s="33" t="s">
        <v>26570</v>
      </c>
      <c r="V3837" s="33" t="s">
        <v>26573</v>
      </c>
      <c r="W3837" s="33" t="s">
        <v>94</v>
      </c>
      <c r="X3837" s="33">
        <v>1694</v>
      </c>
      <c r="Z3837" s="33" t="s">
        <v>42968</v>
      </c>
      <c r="AA3837" s="33">
        <v>3825</v>
      </c>
    </row>
    <row r="3838" spans="1:27" ht="12" customHeight="1" x14ac:dyDescent="0.15">
      <c r="A3838" s="33" t="s">
        <v>23623</v>
      </c>
      <c r="B3838" s="33">
        <v>65</v>
      </c>
      <c r="C3838" s="33" t="s">
        <v>14</v>
      </c>
      <c r="D3838" s="33" t="s">
        <v>31</v>
      </c>
      <c r="F3838" s="67">
        <v>42557</v>
      </c>
      <c r="G3838" s="33" t="s">
        <v>23624</v>
      </c>
      <c r="H3838" s="33" t="s">
        <v>23625</v>
      </c>
      <c r="I3838" s="33" t="s">
        <v>367</v>
      </c>
      <c r="J3838" s="33">
        <v>73082</v>
      </c>
      <c r="K3838" s="33" t="s">
        <v>2382</v>
      </c>
      <c r="L3838" s="33" t="s">
        <v>23626</v>
      </c>
      <c r="M3838" s="33" t="s">
        <v>21</v>
      </c>
      <c r="N3838" s="33" t="s">
        <v>23627</v>
      </c>
      <c r="O3838" s="33" t="s">
        <v>372</v>
      </c>
      <c r="P3838" s="33" t="s">
        <v>30089</v>
      </c>
      <c r="Q3838" s="40" t="s">
        <v>23628</v>
      </c>
      <c r="R3838" s="33" t="s">
        <v>94</v>
      </c>
      <c r="S3838" s="33" t="s">
        <v>22</v>
      </c>
      <c r="T3838" s="33" t="s">
        <v>26781</v>
      </c>
      <c r="U3838" s="33" t="s">
        <v>26570</v>
      </c>
      <c r="V3838" s="33" t="s">
        <v>26573</v>
      </c>
      <c r="W3838" s="33" t="s">
        <v>512</v>
      </c>
      <c r="X3838" s="33">
        <v>1696</v>
      </c>
      <c r="Z3838" s="33" t="s">
        <v>42967</v>
      </c>
      <c r="AA3838" s="33">
        <v>3826</v>
      </c>
    </row>
    <row r="3839" spans="1:27" ht="12" customHeight="1" x14ac:dyDescent="0.15">
      <c r="A3839" s="33" t="s">
        <v>23612</v>
      </c>
      <c r="B3839" s="33">
        <v>36</v>
      </c>
      <c r="C3839" s="33" t="s">
        <v>14</v>
      </c>
      <c r="D3839" s="33" t="s">
        <v>79</v>
      </c>
      <c r="E3839" s="33" t="s">
        <v>23613</v>
      </c>
      <c r="F3839" s="67">
        <v>42557</v>
      </c>
      <c r="G3839" s="33" t="s">
        <v>23614</v>
      </c>
      <c r="H3839" s="33" t="s">
        <v>23615</v>
      </c>
      <c r="I3839" s="33" t="s">
        <v>621</v>
      </c>
      <c r="J3839" s="33" t="s">
        <v>23616</v>
      </c>
      <c r="K3839" s="33" t="s">
        <v>9141</v>
      </c>
      <c r="L3839" s="33" t="s">
        <v>5161</v>
      </c>
      <c r="M3839" s="33" t="s">
        <v>21</v>
      </c>
      <c r="N3839" s="33" t="s">
        <v>23617</v>
      </c>
      <c r="O3839" s="33" t="s">
        <v>372</v>
      </c>
      <c r="P3839" s="33" t="s">
        <v>30089</v>
      </c>
      <c r="Q3839" s="40" t="s">
        <v>23618</v>
      </c>
      <c r="R3839" s="33" t="s">
        <v>94</v>
      </c>
      <c r="S3839" s="33" t="s">
        <v>22</v>
      </c>
      <c r="T3839" s="33" t="s">
        <v>26781</v>
      </c>
      <c r="U3839" s="33" t="s">
        <v>26572</v>
      </c>
      <c r="V3839" s="33" t="s">
        <v>26573</v>
      </c>
      <c r="Z3839" s="33" t="s">
        <v>42967</v>
      </c>
      <c r="AA3839" s="33">
        <v>3827</v>
      </c>
    </row>
    <row r="3840" spans="1:27" ht="12" customHeight="1" x14ac:dyDescent="0.15">
      <c r="A3840" s="33" t="s">
        <v>23619</v>
      </c>
      <c r="B3840" s="33" t="s">
        <v>23</v>
      </c>
      <c r="C3840" s="33" t="s">
        <v>14</v>
      </c>
      <c r="D3840" s="33" t="s">
        <v>42</v>
      </c>
      <c r="F3840" s="67">
        <v>42557</v>
      </c>
      <c r="G3840" s="33" t="s">
        <v>23620</v>
      </c>
      <c r="H3840" s="33" t="s">
        <v>23621</v>
      </c>
      <c r="I3840" s="33" t="s">
        <v>39</v>
      </c>
      <c r="J3840" s="33">
        <v>91722</v>
      </c>
      <c r="K3840" s="33" t="s">
        <v>92</v>
      </c>
      <c r="L3840" s="33" t="s">
        <v>93</v>
      </c>
      <c r="M3840" s="33" t="s">
        <v>21</v>
      </c>
      <c r="N3840" s="33" t="s">
        <v>36692</v>
      </c>
      <c r="O3840" s="33" t="s">
        <v>372</v>
      </c>
      <c r="P3840" s="33" t="s">
        <v>30089</v>
      </c>
      <c r="Q3840" s="40" t="s">
        <v>23622</v>
      </c>
      <c r="R3840" s="33" t="s">
        <v>94</v>
      </c>
      <c r="S3840" s="33" t="s">
        <v>22</v>
      </c>
      <c r="T3840" s="33" t="s">
        <v>26781</v>
      </c>
      <c r="U3840" s="33" t="s">
        <v>26572</v>
      </c>
      <c r="V3840" s="33" t="s">
        <v>26573</v>
      </c>
      <c r="Y3840" s="33" t="s">
        <v>42476</v>
      </c>
      <c r="Z3840" s="33" t="s">
        <v>42966</v>
      </c>
      <c r="AA3840" s="33">
        <v>3828</v>
      </c>
    </row>
    <row r="3841" spans="1:27" ht="12" customHeight="1" x14ac:dyDescent="0.15">
      <c r="A3841" s="33" t="s">
        <v>23633</v>
      </c>
      <c r="B3841" s="33">
        <v>29</v>
      </c>
      <c r="C3841" s="33" t="s">
        <v>14</v>
      </c>
      <c r="D3841" s="33" t="s">
        <v>31</v>
      </c>
      <c r="E3841" s="33" t="s">
        <v>23634</v>
      </c>
      <c r="F3841" s="67">
        <v>42556</v>
      </c>
      <c r="G3841" s="33" t="s">
        <v>23635</v>
      </c>
      <c r="H3841" s="33" t="s">
        <v>2455</v>
      </c>
      <c r="I3841" s="33" t="s">
        <v>106</v>
      </c>
      <c r="J3841" s="33">
        <v>97304</v>
      </c>
      <c r="K3841" s="33" t="s">
        <v>1736</v>
      </c>
      <c r="L3841" s="33" t="s">
        <v>238</v>
      </c>
      <c r="M3841" s="33" t="s">
        <v>21</v>
      </c>
      <c r="N3841" s="33" t="s">
        <v>23636</v>
      </c>
      <c r="O3841" s="33" t="s">
        <v>372</v>
      </c>
      <c r="P3841" s="33" t="s">
        <v>30089</v>
      </c>
      <c r="Q3841" s="40" t="s">
        <v>23637</v>
      </c>
      <c r="R3841" s="33" t="s">
        <v>94</v>
      </c>
      <c r="S3841" s="33" t="s">
        <v>29</v>
      </c>
      <c r="T3841" s="33" t="s">
        <v>26575</v>
      </c>
      <c r="U3841" s="33" t="s">
        <v>26575</v>
      </c>
      <c r="W3841" s="33" t="s">
        <v>94</v>
      </c>
      <c r="X3841" s="33">
        <v>1692</v>
      </c>
      <c r="Z3841" s="33" t="s">
        <v>42968</v>
      </c>
      <c r="AA3841" s="33">
        <v>3823</v>
      </c>
    </row>
    <row r="3842" spans="1:27" ht="12" customHeight="1" x14ac:dyDescent="0.15">
      <c r="A3842" s="33" t="s">
        <v>23629</v>
      </c>
      <c r="B3842" s="33">
        <v>24</v>
      </c>
      <c r="C3842" s="33" t="s">
        <v>103</v>
      </c>
      <c r="D3842" s="33" t="s">
        <v>42</v>
      </c>
      <c r="F3842" s="67">
        <v>42556</v>
      </c>
      <c r="G3842" s="33" t="s">
        <v>26698</v>
      </c>
      <c r="H3842" s="33" t="s">
        <v>12195</v>
      </c>
      <c r="I3842" s="33" t="s">
        <v>112</v>
      </c>
      <c r="J3842" s="33">
        <v>85364</v>
      </c>
      <c r="K3842" s="33" t="s">
        <v>12195</v>
      </c>
      <c r="L3842" s="33" t="s">
        <v>13978</v>
      </c>
      <c r="M3842" s="33" t="s">
        <v>21</v>
      </c>
      <c r="N3842" s="33" t="s">
        <v>23630</v>
      </c>
      <c r="O3842" s="33" t="s">
        <v>372</v>
      </c>
      <c r="P3842" s="33" t="s">
        <v>30089</v>
      </c>
      <c r="Q3842" s="40" t="s">
        <v>23631</v>
      </c>
      <c r="R3842" s="33" t="s">
        <v>512</v>
      </c>
      <c r="S3842" s="33" t="s">
        <v>22</v>
      </c>
      <c r="T3842" s="33" t="s">
        <v>26774</v>
      </c>
      <c r="U3842" s="33" t="s">
        <v>26570</v>
      </c>
      <c r="V3842" s="33" t="s">
        <v>26573</v>
      </c>
      <c r="W3842" s="33" t="s">
        <v>94</v>
      </c>
      <c r="X3842" s="33">
        <v>1695</v>
      </c>
      <c r="Z3842" s="33" t="s">
        <v>42968</v>
      </c>
      <c r="AA3842" s="33">
        <v>3822</v>
      </c>
    </row>
    <row r="3843" spans="1:27" ht="12" customHeight="1" x14ac:dyDescent="0.15">
      <c r="A3843" s="33" t="s">
        <v>23632</v>
      </c>
      <c r="B3843" s="33">
        <v>49</v>
      </c>
      <c r="C3843" s="33" t="s">
        <v>14</v>
      </c>
      <c r="D3843" s="33" t="s">
        <v>31</v>
      </c>
      <c r="F3843" s="67">
        <v>42556</v>
      </c>
      <c r="G3843" s="33" t="s">
        <v>22522</v>
      </c>
      <c r="H3843" s="33" t="s">
        <v>16293</v>
      </c>
      <c r="I3843" s="33" t="s">
        <v>39</v>
      </c>
      <c r="J3843" s="33">
        <v>92591</v>
      </c>
      <c r="K3843" s="33" t="s">
        <v>728</v>
      </c>
      <c r="L3843" s="33" t="s">
        <v>21423</v>
      </c>
      <c r="M3843" s="33" t="s">
        <v>21</v>
      </c>
      <c r="N3843" s="33" t="s">
        <v>22523</v>
      </c>
      <c r="O3843" s="33" t="s">
        <v>372</v>
      </c>
      <c r="P3843" s="33" t="s">
        <v>30089</v>
      </c>
      <c r="Q3843" s="40" t="s">
        <v>22524</v>
      </c>
      <c r="R3843" s="33" t="s">
        <v>94</v>
      </c>
      <c r="S3843" s="33" t="s">
        <v>29</v>
      </c>
      <c r="T3843" s="33" t="s">
        <v>26575</v>
      </c>
      <c r="U3843" s="33" t="s">
        <v>26570</v>
      </c>
      <c r="V3843" s="33" t="s">
        <v>26571</v>
      </c>
      <c r="W3843" s="33" t="s">
        <v>94</v>
      </c>
      <c r="X3843" s="33">
        <v>1693</v>
      </c>
      <c r="Z3843" s="33" t="s">
        <v>42968</v>
      </c>
      <c r="AA3843" s="33">
        <v>3824</v>
      </c>
    </row>
    <row r="3844" spans="1:27" ht="12" customHeight="1" x14ac:dyDescent="0.15">
      <c r="A3844" s="33" t="s">
        <v>22386</v>
      </c>
      <c r="B3844" s="33">
        <v>37</v>
      </c>
      <c r="C3844" s="33" t="s">
        <v>14</v>
      </c>
      <c r="D3844" s="33" t="s">
        <v>79</v>
      </c>
      <c r="E3844" s="33" t="s">
        <v>22503</v>
      </c>
      <c r="F3844" s="67">
        <v>42556</v>
      </c>
      <c r="G3844" s="33" t="s">
        <v>22387</v>
      </c>
      <c r="H3844" s="33" t="s">
        <v>172</v>
      </c>
      <c r="I3844" s="33" t="s">
        <v>19</v>
      </c>
      <c r="J3844" s="33">
        <v>70806</v>
      </c>
      <c r="K3844" s="33" t="s">
        <v>3435</v>
      </c>
      <c r="L3844" s="33" t="s">
        <v>1573</v>
      </c>
      <c r="M3844" s="33" t="s">
        <v>4966</v>
      </c>
      <c r="N3844" s="33" t="s">
        <v>36693</v>
      </c>
      <c r="O3844" s="33" t="s">
        <v>26765</v>
      </c>
      <c r="P3844" s="33" t="s">
        <v>30089</v>
      </c>
      <c r="Q3844" s="40" t="s">
        <v>22582</v>
      </c>
      <c r="R3844" s="33" t="s">
        <v>94</v>
      </c>
      <c r="S3844" s="33" t="s">
        <v>22</v>
      </c>
      <c r="T3844" s="33" t="s">
        <v>26781</v>
      </c>
      <c r="U3844" s="36" t="s">
        <v>26570</v>
      </c>
      <c r="V3844" s="33" t="s">
        <v>26573</v>
      </c>
      <c r="W3844" s="33" t="s">
        <v>512</v>
      </c>
      <c r="X3844" s="33">
        <v>1680</v>
      </c>
      <c r="Z3844" s="33" t="s">
        <v>42968</v>
      </c>
      <c r="AA3844" s="33">
        <v>3821</v>
      </c>
    </row>
    <row r="3845" spans="1:27" ht="12" customHeight="1" x14ac:dyDescent="0.15">
      <c r="A3845" s="33" t="s">
        <v>22525</v>
      </c>
      <c r="B3845" s="33">
        <v>34</v>
      </c>
      <c r="C3845" s="33" t="s">
        <v>14</v>
      </c>
      <c r="D3845" s="33" t="s">
        <v>31</v>
      </c>
      <c r="E3845" s="33" t="s">
        <v>22505</v>
      </c>
      <c r="F3845" s="67">
        <v>42555</v>
      </c>
      <c r="G3845" s="33" t="s">
        <v>22526</v>
      </c>
      <c r="H3845" s="33" t="s">
        <v>2839</v>
      </c>
      <c r="I3845" s="33" t="s">
        <v>26</v>
      </c>
      <c r="J3845" s="33">
        <v>29406</v>
      </c>
      <c r="K3845" s="33" t="s">
        <v>2064</v>
      </c>
      <c r="L3845" s="33" t="s">
        <v>2087</v>
      </c>
      <c r="M3845" s="33" t="s">
        <v>21</v>
      </c>
      <c r="N3845" s="33" t="s">
        <v>22527</v>
      </c>
      <c r="O3845" s="33" t="s">
        <v>372</v>
      </c>
      <c r="P3845" s="33" t="s">
        <v>30089</v>
      </c>
      <c r="Q3845" s="40" t="s">
        <v>22528</v>
      </c>
      <c r="R3845" s="33" t="s">
        <v>23</v>
      </c>
      <c r="S3845" s="33" t="s">
        <v>22</v>
      </c>
      <c r="T3845" s="33" t="s">
        <v>26781</v>
      </c>
      <c r="U3845" s="33" t="s">
        <v>26572</v>
      </c>
      <c r="V3845" s="33" t="s">
        <v>26573</v>
      </c>
      <c r="W3845" s="33" t="s">
        <v>512</v>
      </c>
      <c r="X3845" s="33">
        <v>1679</v>
      </c>
      <c r="Z3845" s="33" t="s">
        <v>42966</v>
      </c>
      <c r="AA3845" s="33">
        <v>3816</v>
      </c>
    </row>
    <row r="3846" spans="1:27" ht="12" customHeight="1" x14ac:dyDescent="0.15">
      <c r="A3846" s="33" t="s">
        <v>3002</v>
      </c>
      <c r="B3846" s="33">
        <v>29</v>
      </c>
      <c r="C3846" s="33" t="s">
        <v>23</v>
      </c>
      <c r="D3846" s="33" t="s">
        <v>79</v>
      </c>
      <c r="F3846" s="67">
        <v>42555</v>
      </c>
      <c r="G3846" s="33" t="s">
        <v>26701</v>
      </c>
      <c r="H3846" s="33" t="s">
        <v>23641</v>
      </c>
      <c r="I3846" s="33" t="s">
        <v>67</v>
      </c>
      <c r="J3846" s="33">
        <v>75158</v>
      </c>
      <c r="K3846" s="33" t="s">
        <v>15386</v>
      </c>
      <c r="L3846" s="33" t="s">
        <v>25896</v>
      </c>
      <c r="M3846" s="33" t="s">
        <v>21</v>
      </c>
      <c r="N3846" s="33" t="s">
        <v>22536</v>
      </c>
      <c r="O3846" s="33" t="s">
        <v>372</v>
      </c>
      <c r="P3846" s="33" t="s">
        <v>30089</v>
      </c>
      <c r="Q3846" s="40" t="s">
        <v>22585</v>
      </c>
      <c r="R3846" s="33" t="s">
        <v>94</v>
      </c>
      <c r="S3846" s="33" t="s">
        <v>22</v>
      </c>
      <c r="T3846" s="33" t="s">
        <v>26774</v>
      </c>
      <c r="U3846" s="33" t="s">
        <v>26570</v>
      </c>
      <c r="V3846" s="33" t="s">
        <v>26573</v>
      </c>
      <c r="W3846" s="33" t="s">
        <v>512</v>
      </c>
      <c r="X3846" s="33">
        <v>1685</v>
      </c>
      <c r="Z3846" s="33" t="s">
        <v>42967</v>
      </c>
      <c r="AA3846" s="33">
        <v>3819</v>
      </c>
    </row>
    <row r="3847" spans="1:27" ht="12" customHeight="1" x14ac:dyDescent="0.15">
      <c r="A3847" s="33" t="s">
        <v>22389</v>
      </c>
      <c r="B3847" s="33">
        <v>37</v>
      </c>
      <c r="C3847" s="33" t="s">
        <v>14</v>
      </c>
      <c r="D3847" s="33" t="s">
        <v>79</v>
      </c>
      <c r="E3847" s="33" t="s">
        <v>22506</v>
      </c>
      <c r="F3847" s="67">
        <v>42555</v>
      </c>
      <c r="G3847" s="33" t="s">
        <v>23640</v>
      </c>
      <c r="H3847" s="33" t="s">
        <v>1599</v>
      </c>
      <c r="I3847" s="33" t="s">
        <v>395</v>
      </c>
      <c r="J3847" s="33">
        <v>11207</v>
      </c>
      <c r="K3847" s="33" t="s">
        <v>1601</v>
      </c>
      <c r="L3847" s="33" t="s">
        <v>539</v>
      </c>
      <c r="M3847" s="33" t="s">
        <v>21</v>
      </c>
      <c r="N3847" s="33" t="s">
        <v>22535</v>
      </c>
      <c r="O3847" s="33" t="s">
        <v>22385</v>
      </c>
      <c r="P3847" s="33" t="s">
        <v>1084</v>
      </c>
      <c r="Q3847" s="40" t="s">
        <v>22584</v>
      </c>
      <c r="R3847" s="33" t="s">
        <v>94</v>
      </c>
      <c r="S3847" s="33" t="s">
        <v>12</v>
      </c>
      <c r="T3847" s="33" t="s">
        <v>29705</v>
      </c>
      <c r="U3847" s="33" t="s">
        <v>26572</v>
      </c>
      <c r="V3847" s="33" t="s">
        <v>26573</v>
      </c>
      <c r="Y3847" s="33" t="s">
        <v>42476</v>
      </c>
      <c r="Z3847" s="33" t="s">
        <v>42966</v>
      </c>
      <c r="AA3847" s="33">
        <v>3820</v>
      </c>
    </row>
    <row r="3848" spans="1:27" ht="12" customHeight="1" x14ac:dyDescent="0.15">
      <c r="A3848" s="33" t="s">
        <v>22388</v>
      </c>
      <c r="B3848" s="33">
        <v>18</v>
      </c>
      <c r="C3848" s="33" t="s">
        <v>14</v>
      </c>
      <c r="D3848" s="33" t="s">
        <v>42</v>
      </c>
      <c r="E3848" s="33" t="s">
        <v>22504</v>
      </c>
      <c r="F3848" s="67">
        <v>42555</v>
      </c>
      <c r="G3848" s="33" t="s">
        <v>26699</v>
      </c>
      <c r="H3848" s="33" t="s">
        <v>560</v>
      </c>
      <c r="I3848" s="33" t="s">
        <v>39</v>
      </c>
      <c r="J3848" s="33">
        <v>95127</v>
      </c>
      <c r="K3848" s="33" t="s">
        <v>561</v>
      </c>
      <c r="L3848" s="33" t="s">
        <v>678</v>
      </c>
      <c r="M3848" s="33" t="s">
        <v>21</v>
      </c>
      <c r="N3848" s="33" t="s">
        <v>22534</v>
      </c>
      <c r="O3848" s="33" t="s">
        <v>372</v>
      </c>
      <c r="P3848" s="33" t="s">
        <v>30089</v>
      </c>
      <c r="Q3848" s="40" t="s">
        <v>22583</v>
      </c>
      <c r="R3848" s="33" t="s">
        <v>512</v>
      </c>
      <c r="S3848" s="33" t="s">
        <v>22</v>
      </c>
      <c r="T3848" s="33" t="s">
        <v>26781</v>
      </c>
      <c r="U3848" s="33" t="s">
        <v>26570</v>
      </c>
      <c r="V3848" s="33" t="s">
        <v>26573</v>
      </c>
      <c r="W3848" s="33" t="s">
        <v>94</v>
      </c>
      <c r="X3848" s="33">
        <v>1681</v>
      </c>
      <c r="Z3848" s="33" t="s">
        <v>42968</v>
      </c>
      <c r="AA3848" s="33">
        <v>3817</v>
      </c>
    </row>
    <row r="3849" spans="1:27" ht="12" customHeight="1" x14ac:dyDescent="0.15">
      <c r="A3849" s="33" t="s">
        <v>23638</v>
      </c>
      <c r="B3849" s="33">
        <v>21</v>
      </c>
      <c r="C3849" s="33" t="s">
        <v>14</v>
      </c>
      <c r="D3849" s="33" t="s">
        <v>79</v>
      </c>
      <c r="F3849" s="67">
        <v>42555</v>
      </c>
      <c r="G3849" s="33" t="s">
        <v>26700</v>
      </c>
      <c r="H3849" s="33" t="s">
        <v>107</v>
      </c>
      <c r="I3849" s="33" t="s">
        <v>3357</v>
      </c>
      <c r="J3849" s="33">
        <v>20019</v>
      </c>
      <c r="K3849" s="33" t="s">
        <v>3359</v>
      </c>
      <c r="L3849" s="33" t="s">
        <v>23639</v>
      </c>
      <c r="M3849" s="33" t="s">
        <v>21</v>
      </c>
      <c r="N3849" s="33" t="s">
        <v>22537</v>
      </c>
      <c r="O3849" s="33" t="s">
        <v>372</v>
      </c>
      <c r="P3849" s="33" t="s">
        <v>30089</v>
      </c>
      <c r="Q3849" s="40" t="s">
        <v>22586</v>
      </c>
      <c r="R3849" s="33" t="s">
        <v>94</v>
      </c>
      <c r="S3849" s="33" t="s">
        <v>22</v>
      </c>
      <c r="T3849" s="33" t="s">
        <v>26781</v>
      </c>
      <c r="U3849" s="33" t="s">
        <v>26572</v>
      </c>
      <c r="V3849" s="33" t="s">
        <v>26573</v>
      </c>
      <c r="W3849" s="33" t="s">
        <v>94</v>
      </c>
      <c r="X3849" s="33">
        <v>1683</v>
      </c>
      <c r="Z3849" s="33" t="s">
        <v>42966</v>
      </c>
      <c r="AA3849" s="33">
        <v>3818</v>
      </c>
    </row>
    <row r="3850" spans="1:27" ht="12" customHeight="1" x14ac:dyDescent="0.15">
      <c r="A3850" s="33" t="s">
        <v>22392</v>
      </c>
      <c r="B3850" s="33">
        <v>19</v>
      </c>
      <c r="C3850" s="33" t="s">
        <v>14</v>
      </c>
      <c r="D3850" s="33" t="s">
        <v>42</v>
      </c>
      <c r="F3850" s="67">
        <v>42554</v>
      </c>
      <c r="G3850" s="33" t="s">
        <v>26702</v>
      </c>
      <c r="H3850" s="33" t="s">
        <v>14507</v>
      </c>
      <c r="I3850" s="33" t="s">
        <v>39</v>
      </c>
      <c r="J3850" s="33">
        <v>92833</v>
      </c>
      <c r="K3850" s="33" t="s">
        <v>998</v>
      </c>
      <c r="L3850" s="33" t="s">
        <v>897</v>
      </c>
      <c r="M3850" s="33" t="s">
        <v>21</v>
      </c>
      <c r="N3850" s="33" t="s">
        <v>22540</v>
      </c>
      <c r="O3850" s="33" t="s">
        <v>372</v>
      </c>
      <c r="P3850" s="33" t="s">
        <v>30089</v>
      </c>
      <c r="Q3850" s="40" t="s">
        <v>22589</v>
      </c>
      <c r="R3850" s="33" t="s">
        <v>94</v>
      </c>
      <c r="S3850" s="33" t="s">
        <v>351</v>
      </c>
      <c r="T3850" s="33" t="s">
        <v>26867</v>
      </c>
      <c r="U3850" s="33" t="s">
        <v>26570</v>
      </c>
      <c r="V3850" s="33" t="s">
        <v>26571</v>
      </c>
      <c r="W3850" s="33" t="s">
        <v>94</v>
      </c>
      <c r="X3850" s="33">
        <v>1691</v>
      </c>
      <c r="Z3850" s="33" t="s">
        <v>42968</v>
      </c>
      <c r="AA3850" s="33">
        <v>3815</v>
      </c>
    </row>
    <row r="3851" spans="1:27" ht="12" customHeight="1" x14ac:dyDescent="0.15">
      <c r="A3851" s="33" t="s">
        <v>22390</v>
      </c>
      <c r="B3851" s="33">
        <v>40</v>
      </c>
      <c r="C3851" s="33" t="s">
        <v>14</v>
      </c>
      <c r="D3851" s="33" t="s">
        <v>31</v>
      </c>
      <c r="F3851" s="67">
        <v>42554</v>
      </c>
      <c r="G3851" s="33" t="s">
        <v>23642</v>
      </c>
      <c r="H3851" s="33" t="s">
        <v>7836</v>
      </c>
      <c r="I3851" s="33" t="s">
        <v>19</v>
      </c>
      <c r="J3851" s="33">
        <v>70563</v>
      </c>
      <c r="K3851" s="33" t="s">
        <v>7838</v>
      </c>
      <c r="L3851" s="33" t="s">
        <v>7839</v>
      </c>
      <c r="M3851" s="33" t="s">
        <v>21</v>
      </c>
      <c r="N3851" s="33" t="s">
        <v>22538</v>
      </c>
      <c r="O3851" s="33" t="s">
        <v>372</v>
      </c>
      <c r="P3851" s="33" t="s">
        <v>30089</v>
      </c>
      <c r="Q3851" s="40" t="s">
        <v>22587</v>
      </c>
      <c r="R3851" s="33" t="s">
        <v>512</v>
      </c>
      <c r="S3851" s="33" t="s">
        <v>22</v>
      </c>
      <c r="T3851" s="33" t="s">
        <v>26774</v>
      </c>
      <c r="U3851" s="33" t="s">
        <v>26570</v>
      </c>
      <c r="V3851" s="33" t="s">
        <v>26573</v>
      </c>
      <c r="W3851" s="33" t="s">
        <v>94</v>
      </c>
      <c r="X3851" s="33">
        <v>1684</v>
      </c>
      <c r="Z3851" s="33" t="s">
        <v>42968</v>
      </c>
      <c r="AA3851" s="33">
        <v>3813</v>
      </c>
    </row>
    <row r="3852" spans="1:27" ht="12" customHeight="1" x14ac:dyDescent="0.15">
      <c r="A3852" s="33" t="s">
        <v>22391</v>
      </c>
      <c r="B3852" s="33">
        <v>24</v>
      </c>
      <c r="C3852" s="33" t="s">
        <v>14</v>
      </c>
      <c r="D3852" s="33" t="s">
        <v>42</v>
      </c>
      <c r="F3852" s="67">
        <v>42554</v>
      </c>
      <c r="G3852" s="33" t="s">
        <v>23643</v>
      </c>
      <c r="H3852" s="33" t="s">
        <v>1506</v>
      </c>
      <c r="I3852" s="33" t="s">
        <v>250</v>
      </c>
      <c r="J3852" s="33">
        <v>89501</v>
      </c>
      <c r="K3852" s="33" t="s">
        <v>5732</v>
      </c>
      <c r="L3852" s="33" t="s">
        <v>6817</v>
      </c>
      <c r="M3852" s="33" t="s">
        <v>21</v>
      </c>
      <c r="N3852" s="33" t="s">
        <v>22539</v>
      </c>
      <c r="O3852" s="33" t="s">
        <v>372</v>
      </c>
      <c r="P3852" s="33" t="s">
        <v>30089</v>
      </c>
      <c r="Q3852" s="40" t="s">
        <v>22588</v>
      </c>
      <c r="R3852" s="33" t="s">
        <v>23</v>
      </c>
      <c r="S3852" s="33" t="s">
        <v>351</v>
      </c>
      <c r="T3852" s="33" t="s">
        <v>26867</v>
      </c>
      <c r="U3852" s="33" t="s">
        <v>26570</v>
      </c>
      <c r="V3852" s="33" t="s">
        <v>26571</v>
      </c>
      <c r="W3852" s="33" t="s">
        <v>94</v>
      </c>
      <c r="X3852" s="33">
        <v>1690</v>
      </c>
      <c r="Z3852" s="33" t="s">
        <v>42966</v>
      </c>
      <c r="AA3852" s="33">
        <v>3814</v>
      </c>
    </row>
    <row r="3853" spans="1:27" ht="12" customHeight="1" x14ac:dyDescent="0.15">
      <c r="A3853" s="33" t="s">
        <v>23644</v>
      </c>
      <c r="B3853" s="33">
        <v>35</v>
      </c>
      <c r="C3853" s="33" t="s">
        <v>14</v>
      </c>
      <c r="D3853" s="33" t="s">
        <v>79</v>
      </c>
      <c r="E3853" s="33" t="s">
        <v>23645</v>
      </c>
      <c r="F3853" s="67">
        <v>42553</v>
      </c>
      <c r="G3853" s="33" t="s">
        <v>22396</v>
      </c>
      <c r="H3853" s="33" t="s">
        <v>12640</v>
      </c>
      <c r="I3853" s="33" t="s">
        <v>338</v>
      </c>
      <c r="J3853" s="33">
        <v>28806</v>
      </c>
      <c r="K3853" s="33" t="s">
        <v>12526</v>
      </c>
      <c r="L3853" s="33" t="s">
        <v>12642</v>
      </c>
      <c r="M3853" s="33" t="s">
        <v>21</v>
      </c>
      <c r="N3853" s="33" t="s">
        <v>23646</v>
      </c>
      <c r="O3853" s="33" t="s">
        <v>372</v>
      </c>
      <c r="P3853" s="33" t="s">
        <v>30089</v>
      </c>
      <c r="Q3853" s="40" t="s">
        <v>23647</v>
      </c>
      <c r="R3853" s="33" t="s">
        <v>94</v>
      </c>
      <c r="S3853" s="33" t="s">
        <v>22</v>
      </c>
      <c r="T3853" s="33" t="s">
        <v>26781</v>
      </c>
      <c r="U3853" s="33" t="s">
        <v>26570</v>
      </c>
      <c r="V3853" s="33" t="s">
        <v>26571</v>
      </c>
      <c r="W3853" s="33" t="s">
        <v>94</v>
      </c>
      <c r="X3853" s="33">
        <v>1682</v>
      </c>
      <c r="Z3853" s="33" t="s">
        <v>42968</v>
      </c>
      <c r="AA3853" s="33">
        <v>3810</v>
      </c>
    </row>
    <row r="3854" spans="1:27" ht="12" customHeight="1" x14ac:dyDescent="0.15">
      <c r="A3854" s="33" t="s">
        <v>22393</v>
      </c>
      <c r="B3854" s="33">
        <v>50</v>
      </c>
      <c r="C3854" s="33" t="s">
        <v>14</v>
      </c>
      <c r="D3854" s="33" t="s">
        <v>31</v>
      </c>
      <c r="F3854" s="67">
        <v>42553</v>
      </c>
      <c r="G3854" s="33" t="s">
        <v>22394</v>
      </c>
      <c r="H3854" s="33" t="s">
        <v>6020</v>
      </c>
      <c r="I3854" s="33" t="s">
        <v>298</v>
      </c>
      <c r="J3854" s="33">
        <v>37620</v>
      </c>
      <c r="K3854" s="33" t="s">
        <v>2679</v>
      </c>
      <c r="L3854" s="33" t="s">
        <v>22395</v>
      </c>
      <c r="M3854" s="33" t="s">
        <v>21</v>
      </c>
      <c r="N3854" s="33" t="s">
        <v>22541</v>
      </c>
      <c r="O3854" s="33" t="s">
        <v>372</v>
      </c>
      <c r="P3854" s="33" t="s">
        <v>30089</v>
      </c>
      <c r="Q3854" s="40" t="s">
        <v>22590</v>
      </c>
      <c r="R3854" s="33" t="s">
        <v>94</v>
      </c>
      <c r="S3854" s="33" t="s">
        <v>22</v>
      </c>
      <c r="T3854" s="33" t="s">
        <v>26781</v>
      </c>
      <c r="U3854" s="33" t="s">
        <v>26572</v>
      </c>
      <c r="V3854" s="33" t="s">
        <v>26573</v>
      </c>
      <c r="W3854" s="33" t="s">
        <v>94</v>
      </c>
      <c r="X3854" s="33">
        <v>1689</v>
      </c>
      <c r="Z3854" s="33" t="s">
        <v>42968</v>
      </c>
      <c r="AA3854" s="33">
        <v>3811</v>
      </c>
    </row>
    <row r="3855" spans="1:27" ht="12" customHeight="1" x14ac:dyDescent="0.15">
      <c r="A3855" s="33" t="s">
        <v>23648</v>
      </c>
      <c r="B3855" s="33">
        <v>32</v>
      </c>
      <c r="C3855" s="33" t="s">
        <v>14</v>
      </c>
      <c r="D3855" s="33" t="s">
        <v>42</v>
      </c>
      <c r="E3855" s="33" t="s">
        <v>23649</v>
      </c>
      <c r="F3855" s="67">
        <v>42553</v>
      </c>
      <c r="G3855" s="33" t="s">
        <v>23650</v>
      </c>
      <c r="H3855" s="33" t="s">
        <v>1751</v>
      </c>
      <c r="I3855" s="33" t="s">
        <v>39</v>
      </c>
      <c r="J3855" s="33" t="s">
        <v>19877</v>
      </c>
      <c r="K3855" s="33" t="s">
        <v>998</v>
      </c>
      <c r="L3855" s="33" t="s">
        <v>1753</v>
      </c>
      <c r="M3855" s="33" t="s">
        <v>363</v>
      </c>
      <c r="N3855" s="33" t="s">
        <v>23651</v>
      </c>
      <c r="O3855" s="33" t="s">
        <v>372</v>
      </c>
      <c r="P3855" s="33" t="s">
        <v>30089</v>
      </c>
      <c r="Q3855" s="40" t="s">
        <v>23652</v>
      </c>
      <c r="R3855" s="33" t="s">
        <v>23</v>
      </c>
      <c r="S3855" s="33" t="s">
        <v>12</v>
      </c>
      <c r="T3855" s="33" t="s">
        <v>29705</v>
      </c>
      <c r="U3855" s="33" t="s">
        <v>26575</v>
      </c>
      <c r="V3855" s="33" t="s">
        <v>26573</v>
      </c>
      <c r="Z3855" s="33" t="s">
        <v>42966</v>
      </c>
      <c r="AA3855" s="33">
        <v>3812</v>
      </c>
    </row>
    <row r="3856" spans="1:27" ht="12" customHeight="1" x14ac:dyDescent="0.15">
      <c r="A3856" s="33" t="s">
        <v>23658</v>
      </c>
      <c r="B3856" s="33">
        <v>26</v>
      </c>
      <c r="C3856" s="33" t="s">
        <v>14</v>
      </c>
      <c r="D3856" s="33" t="s">
        <v>79</v>
      </c>
      <c r="E3856" s="33" t="s">
        <v>23850</v>
      </c>
      <c r="F3856" s="67">
        <v>42552</v>
      </c>
      <c r="G3856" s="33" t="s">
        <v>23656</v>
      </c>
      <c r="H3856" s="33" t="s">
        <v>81</v>
      </c>
      <c r="I3856" s="33" t="s">
        <v>38</v>
      </c>
      <c r="J3856" s="33" t="s">
        <v>10592</v>
      </c>
      <c r="K3856" s="33" t="s">
        <v>82</v>
      </c>
      <c r="L3856" s="33" t="s">
        <v>83</v>
      </c>
      <c r="M3856" s="33" t="s">
        <v>351</v>
      </c>
      <c r="N3856" s="33" t="s">
        <v>42497</v>
      </c>
      <c r="O3856" s="33" t="s">
        <v>372</v>
      </c>
      <c r="P3856" s="33" t="s">
        <v>30089</v>
      </c>
      <c r="Q3856" s="40" t="s">
        <v>23657</v>
      </c>
      <c r="R3856" s="33" t="s">
        <v>94</v>
      </c>
      <c r="S3856" s="33" t="s">
        <v>351</v>
      </c>
      <c r="T3856" s="33" t="s">
        <v>26575</v>
      </c>
      <c r="U3856" s="33" t="s">
        <v>26572</v>
      </c>
      <c r="V3856" s="33" t="s">
        <v>26571</v>
      </c>
      <c r="Z3856" s="33" t="s">
        <v>42966</v>
      </c>
      <c r="AA3856" s="33">
        <v>3808</v>
      </c>
    </row>
    <row r="3857" spans="1:27" ht="12" customHeight="1" x14ac:dyDescent="0.15">
      <c r="A3857" s="33" t="s">
        <v>23655</v>
      </c>
      <c r="B3857" s="33">
        <v>22</v>
      </c>
      <c r="C3857" s="33" t="s">
        <v>14</v>
      </c>
      <c r="D3857" s="33" t="s">
        <v>79</v>
      </c>
      <c r="E3857" s="33" t="s">
        <v>23849</v>
      </c>
      <c r="F3857" s="67">
        <v>42552</v>
      </c>
      <c r="G3857" s="33" t="s">
        <v>23656</v>
      </c>
      <c r="H3857" s="33" t="s">
        <v>81</v>
      </c>
      <c r="I3857" s="33" t="s">
        <v>38</v>
      </c>
      <c r="J3857" s="33" t="s">
        <v>10592</v>
      </c>
      <c r="K3857" s="33" t="s">
        <v>82</v>
      </c>
      <c r="L3857" s="33" t="s">
        <v>83</v>
      </c>
      <c r="M3857" s="33" t="s">
        <v>351</v>
      </c>
      <c r="N3857" s="33" t="s">
        <v>42497</v>
      </c>
      <c r="O3857" s="33" t="s">
        <v>372</v>
      </c>
      <c r="P3857" s="33" t="s">
        <v>30089</v>
      </c>
      <c r="Q3857" s="40" t="s">
        <v>23657</v>
      </c>
      <c r="R3857" s="33" t="s">
        <v>94</v>
      </c>
      <c r="S3857" s="33" t="s">
        <v>351</v>
      </c>
      <c r="T3857" s="33" t="s">
        <v>26575</v>
      </c>
      <c r="U3857" s="33" t="s">
        <v>26572</v>
      </c>
      <c r="V3857" s="33" t="s">
        <v>26571</v>
      </c>
      <c r="Z3857" s="33" t="s">
        <v>42966</v>
      </c>
      <c r="AA3857" s="33">
        <v>3809</v>
      </c>
    </row>
    <row r="3858" spans="1:27" ht="12" customHeight="1" x14ac:dyDescent="0.15">
      <c r="A3858" s="33" t="s">
        <v>22632</v>
      </c>
      <c r="B3858" s="33">
        <v>58</v>
      </c>
      <c r="C3858" s="33" t="s">
        <v>14</v>
      </c>
      <c r="D3858" s="33" t="s">
        <v>31</v>
      </c>
      <c r="F3858" s="67">
        <v>42552</v>
      </c>
      <c r="G3858" s="33" t="s">
        <v>22633</v>
      </c>
      <c r="H3858" s="33" t="s">
        <v>404</v>
      </c>
      <c r="I3858" s="33" t="s">
        <v>409</v>
      </c>
      <c r="J3858" s="33">
        <v>53037</v>
      </c>
      <c r="K3858" s="33" t="s">
        <v>107</v>
      </c>
      <c r="L3858" s="33" t="s">
        <v>36694</v>
      </c>
      <c r="M3858" s="33" t="s">
        <v>21</v>
      </c>
      <c r="N3858" s="33" t="s">
        <v>22544</v>
      </c>
      <c r="O3858" s="33" t="s">
        <v>372</v>
      </c>
      <c r="P3858" s="33" t="s">
        <v>30089</v>
      </c>
      <c r="Q3858" s="40" t="s">
        <v>22593</v>
      </c>
      <c r="R3858" s="33" t="s">
        <v>94</v>
      </c>
      <c r="S3858" s="33" t="s">
        <v>22</v>
      </c>
      <c r="T3858" s="33" t="s">
        <v>26774</v>
      </c>
      <c r="U3858" s="33" t="s">
        <v>26570</v>
      </c>
      <c r="V3858" s="33" t="s">
        <v>26573</v>
      </c>
      <c r="W3858" s="33" t="s">
        <v>94</v>
      </c>
      <c r="X3858" s="33">
        <v>1688</v>
      </c>
      <c r="Z3858" s="33" t="s">
        <v>42968</v>
      </c>
      <c r="AA3858" s="33">
        <v>3807</v>
      </c>
    </row>
    <row r="3859" spans="1:27" ht="12" customHeight="1" x14ac:dyDescent="0.15">
      <c r="A3859" s="33" t="s">
        <v>22397</v>
      </c>
      <c r="B3859" s="33">
        <v>30</v>
      </c>
      <c r="C3859" s="33" t="s">
        <v>14</v>
      </c>
      <c r="D3859" s="33" t="s">
        <v>31</v>
      </c>
      <c r="F3859" s="67">
        <v>42552</v>
      </c>
      <c r="G3859" s="33" t="s">
        <v>23653</v>
      </c>
      <c r="H3859" s="33" t="s">
        <v>22398</v>
      </c>
      <c r="I3859" s="33" t="s">
        <v>160</v>
      </c>
      <c r="J3859" s="33">
        <v>30120</v>
      </c>
      <c r="K3859" s="33" t="s">
        <v>1046</v>
      </c>
      <c r="L3859" s="33" t="s">
        <v>23654</v>
      </c>
      <c r="M3859" s="33" t="s">
        <v>4966</v>
      </c>
      <c r="N3859" s="33" t="s">
        <v>22542</v>
      </c>
      <c r="O3859" s="33" t="s">
        <v>372</v>
      </c>
      <c r="P3859" s="33" t="s">
        <v>30089</v>
      </c>
      <c r="Q3859" s="40" t="s">
        <v>22591</v>
      </c>
      <c r="R3859" s="33" t="s">
        <v>94</v>
      </c>
      <c r="S3859" s="33" t="s">
        <v>22</v>
      </c>
      <c r="T3859" s="33" t="s">
        <v>26781</v>
      </c>
      <c r="U3859" s="33" t="s">
        <v>26572</v>
      </c>
      <c r="V3859" s="33" t="s">
        <v>26573</v>
      </c>
      <c r="W3859" s="33" t="s">
        <v>94</v>
      </c>
      <c r="X3859" s="33">
        <v>1687</v>
      </c>
      <c r="Z3859" s="33" t="s">
        <v>42968</v>
      </c>
      <c r="AA3859" s="33">
        <v>3806</v>
      </c>
    </row>
    <row r="3860" spans="1:27" ht="12" customHeight="1" x14ac:dyDescent="0.15">
      <c r="A3860" s="33" t="s">
        <v>23659</v>
      </c>
      <c r="B3860" s="33">
        <v>63</v>
      </c>
      <c r="C3860" s="33" t="s">
        <v>14</v>
      </c>
      <c r="D3860" s="33" t="s">
        <v>31</v>
      </c>
      <c r="F3860" s="67">
        <v>42552</v>
      </c>
      <c r="G3860" s="33" t="s">
        <v>26703</v>
      </c>
      <c r="H3860" s="33" t="s">
        <v>22399</v>
      </c>
      <c r="I3860" s="33" t="s">
        <v>26</v>
      </c>
      <c r="J3860" s="33">
        <v>29356</v>
      </c>
      <c r="K3860" s="33" t="s">
        <v>2643</v>
      </c>
      <c r="L3860" s="33" t="s">
        <v>2756</v>
      </c>
      <c r="M3860" s="33" t="s">
        <v>21</v>
      </c>
      <c r="N3860" s="33" t="s">
        <v>22543</v>
      </c>
      <c r="O3860" s="33" t="s">
        <v>372</v>
      </c>
      <c r="P3860" s="33" t="s">
        <v>30089</v>
      </c>
      <c r="Q3860" s="40" t="s">
        <v>22592</v>
      </c>
      <c r="R3860" s="33" t="s">
        <v>94</v>
      </c>
      <c r="S3860" s="33" t="s">
        <v>22</v>
      </c>
      <c r="T3860" s="33" t="s">
        <v>26781</v>
      </c>
      <c r="U3860" s="33" t="s">
        <v>26572</v>
      </c>
      <c r="V3860" s="33" t="s">
        <v>26573</v>
      </c>
      <c r="W3860" s="33" t="s">
        <v>94</v>
      </c>
      <c r="X3860" s="33">
        <v>1686</v>
      </c>
      <c r="Z3860" s="33" t="s">
        <v>42967</v>
      </c>
      <c r="AA3860" s="33">
        <v>3805</v>
      </c>
    </row>
    <row r="3861" spans="1:27" ht="12" customHeight="1" x14ac:dyDescent="0.15">
      <c r="A3861" s="33" t="s">
        <v>22402</v>
      </c>
      <c r="B3861" s="33">
        <v>25</v>
      </c>
      <c r="C3861" s="33" t="s">
        <v>14</v>
      </c>
      <c r="D3861" s="33" t="s">
        <v>79</v>
      </c>
      <c r="F3861" s="67">
        <v>42551</v>
      </c>
      <c r="G3861" s="33" t="s">
        <v>22403</v>
      </c>
      <c r="H3861" s="33" t="s">
        <v>1202</v>
      </c>
      <c r="I3861" s="33" t="s">
        <v>63</v>
      </c>
      <c r="J3861" s="33">
        <v>43207</v>
      </c>
      <c r="K3861" s="33" t="s">
        <v>1203</v>
      </c>
      <c r="L3861" s="33" t="s">
        <v>11441</v>
      </c>
      <c r="M3861" s="33" t="s">
        <v>21</v>
      </c>
      <c r="N3861" s="33" t="s">
        <v>22546</v>
      </c>
      <c r="O3861" s="33" t="s">
        <v>372</v>
      </c>
      <c r="P3861" s="33" t="s">
        <v>30089</v>
      </c>
      <c r="Q3861" s="40" t="s">
        <v>22595</v>
      </c>
      <c r="R3861" s="33" t="s">
        <v>94</v>
      </c>
      <c r="S3861" s="33" t="s">
        <v>22</v>
      </c>
      <c r="T3861" s="33" t="s">
        <v>26781</v>
      </c>
      <c r="U3861" s="33" t="s">
        <v>26575</v>
      </c>
      <c r="W3861" s="33" t="s">
        <v>94</v>
      </c>
      <c r="X3861" s="33">
        <v>1676</v>
      </c>
      <c r="Z3861" s="33" t="s">
        <v>42966</v>
      </c>
      <c r="AA3861" s="33">
        <v>3802</v>
      </c>
    </row>
    <row r="3862" spans="1:27" ht="12" customHeight="1" x14ac:dyDescent="0.15">
      <c r="A3862" s="33" t="s">
        <v>22400</v>
      </c>
      <c r="B3862" s="33">
        <v>44</v>
      </c>
      <c r="C3862" s="33" t="s">
        <v>14</v>
      </c>
      <c r="D3862" s="33" t="s">
        <v>42</v>
      </c>
      <c r="F3862" s="67">
        <v>42551</v>
      </c>
      <c r="G3862" s="33" t="s">
        <v>22401</v>
      </c>
      <c r="H3862" s="33" t="s">
        <v>882</v>
      </c>
      <c r="I3862" s="33" t="s">
        <v>1020</v>
      </c>
      <c r="J3862" s="33">
        <v>82633</v>
      </c>
      <c r="K3862" s="33" t="s">
        <v>1021</v>
      </c>
      <c r="L3862" s="33" t="s">
        <v>5161</v>
      </c>
      <c r="M3862" s="33" t="s">
        <v>21</v>
      </c>
      <c r="N3862" s="33" t="s">
        <v>22545</v>
      </c>
      <c r="O3862" s="33" t="s">
        <v>372</v>
      </c>
      <c r="P3862" s="33" t="s">
        <v>30089</v>
      </c>
      <c r="Q3862" s="40" t="s">
        <v>22594</v>
      </c>
      <c r="R3862" s="33" t="s">
        <v>94</v>
      </c>
      <c r="S3862" s="33" t="s">
        <v>29</v>
      </c>
      <c r="T3862" s="33" t="s">
        <v>26575</v>
      </c>
      <c r="U3862" s="33" t="s">
        <v>26575</v>
      </c>
      <c r="V3862" s="33" t="s">
        <v>26573</v>
      </c>
      <c r="W3862" s="33" t="s">
        <v>94</v>
      </c>
      <c r="X3862" s="33">
        <v>1678</v>
      </c>
      <c r="Z3862" s="33" t="s">
        <v>42967</v>
      </c>
      <c r="AA3862" s="33">
        <v>3804</v>
      </c>
    </row>
    <row r="3863" spans="1:27" ht="12" customHeight="1" x14ac:dyDescent="0.15">
      <c r="A3863" s="33" t="s">
        <v>22406</v>
      </c>
      <c r="B3863" s="33">
        <v>24</v>
      </c>
      <c r="C3863" s="33" t="s">
        <v>14</v>
      </c>
      <c r="D3863" s="33" t="s">
        <v>31</v>
      </c>
      <c r="E3863" s="33" t="s">
        <v>22507</v>
      </c>
      <c r="F3863" s="67">
        <v>42551</v>
      </c>
      <c r="H3863" s="33" t="s">
        <v>22407</v>
      </c>
      <c r="I3863" s="33" t="s">
        <v>192</v>
      </c>
      <c r="J3863" s="33">
        <v>80820</v>
      </c>
      <c r="K3863" s="33" t="s">
        <v>20113</v>
      </c>
      <c r="L3863" s="33" t="s">
        <v>20260</v>
      </c>
      <c r="M3863" s="33" t="s">
        <v>21</v>
      </c>
      <c r="N3863" s="33" t="s">
        <v>22548</v>
      </c>
      <c r="O3863" s="33" t="s">
        <v>372</v>
      </c>
      <c r="P3863" s="33" t="s">
        <v>30089</v>
      </c>
      <c r="Q3863" s="40" t="s">
        <v>22597</v>
      </c>
      <c r="R3863" s="33" t="s">
        <v>94</v>
      </c>
      <c r="S3863" s="33" t="s">
        <v>22</v>
      </c>
      <c r="T3863" s="33" t="s">
        <v>26781</v>
      </c>
      <c r="U3863" s="33" t="s">
        <v>26572</v>
      </c>
      <c r="V3863" s="33" t="s">
        <v>26573</v>
      </c>
      <c r="W3863" s="33" t="s">
        <v>94</v>
      </c>
      <c r="X3863" s="33">
        <v>1677</v>
      </c>
      <c r="Z3863" s="33" t="s">
        <v>42967</v>
      </c>
      <c r="AA3863" s="33">
        <v>3803</v>
      </c>
    </row>
    <row r="3864" spans="1:27" ht="12" customHeight="1" x14ac:dyDescent="0.15">
      <c r="A3864" s="33" t="s">
        <v>22414</v>
      </c>
      <c r="B3864" s="33">
        <v>37</v>
      </c>
      <c r="C3864" s="33" t="s">
        <v>14</v>
      </c>
      <c r="D3864" s="33" t="s">
        <v>79</v>
      </c>
      <c r="F3864" s="67">
        <v>42550</v>
      </c>
      <c r="G3864" s="33" t="s">
        <v>22415</v>
      </c>
      <c r="H3864" s="33" t="s">
        <v>7435</v>
      </c>
      <c r="I3864" s="33" t="s">
        <v>342</v>
      </c>
      <c r="J3864" s="33">
        <v>52627</v>
      </c>
      <c r="K3864" s="33" t="s">
        <v>5086</v>
      </c>
      <c r="L3864" s="33" t="s">
        <v>7437</v>
      </c>
      <c r="M3864" s="33" t="s">
        <v>21</v>
      </c>
      <c r="N3864" s="33" t="s">
        <v>22551</v>
      </c>
      <c r="O3864" s="33" t="s">
        <v>372</v>
      </c>
      <c r="P3864" s="33" t="s">
        <v>30089</v>
      </c>
      <c r="Q3864" s="40" t="s">
        <v>22600</v>
      </c>
      <c r="R3864" s="33" t="s">
        <v>94</v>
      </c>
      <c r="S3864" s="33" t="s">
        <v>22</v>
      </c>
      <c r="T3864" s="33" t="s">
        <v>26781</v>
      </c>
      <c r="U3864" s="33" t="s">
        <v>26572</v>
      </c>
      <c r="V3864" s="33" t="s">
        <v>26574</v>
      </c>
      <c r="W3864" s="33" t="s">
        <v>94</v>
      </c>
      <c r="X3864" s="33">
        <v>1674</v>
      </c>
      <c r="Z3864" s="33" t="s">
        <v>42967</v>
      </c>
      <c r="AA3864" s="33">
        <v>3799</v>
      </c>
    </row>
    <row r="3865" spans="1:27" ht="12" customHeight="1" x14ac:dyDescent="0.15">
      <c r="A3865" s="33" t="s">
        <v>22411</v>
      </c>
      <c r="B3865" s="33">
        <v>50</v>
      </c>
      <c r="C3865" s="33" t="s">
        <v>14</v>
      </c>
      <c r="D3865" s="33" t="s">
        <v>79</v>
      </c>
      <c r="E3865" s="33" t="s">
        <v>22509</v>
      </c>
      <c r="F3865" s="67">
        <v>42550</v>
      </c>
      <c r="G3865" s="33" t="s">
        <v>22412</v>
      </c>
      <c r="H3865" s="33" t="s">
        <v>1037</v>
      </c>
      <c r="I3865" s="33" t="s">
        <v>19</v>
      </c>
      <c r="J3865" s="33">
        <v>71202</v>
      </c>
      <c r="K3865" s="33" t="s">
        <v>5174</v>
      </c>
      <c r="L3865" s="33" t="s">
        <v>22413</v>
      </c>
      <c r="M3865" s="33" t="s">
        <v>21</v>
      </c>
      <c r="N3865" s="33" t="s">
        <v>22550</v>
      </c>
      <c r="O3865" s="33" t="s">
        <v>372</v>
      </c>
      <c r="P3865" s="33" t="s">
        <v>30089</v>
      </c>
      <c r="Q3865" s="40" t="s">
        <v>22599</v>
      </c>
      <c r="R3865" s="33" t="s">
        <v>94</v>
      </c>
      <c r="S3865" s="33" t="s">
        <v>22</v>
      </c>
      <c r="T3865" s="33" t="s">
        <v>26781</v>
      </c>
      <c r="U3865" s="33" t="s">
        <v>26572</v>
      </c>
      <c r="V3865" s="33" t="s">
        <v>26573</v>
      </c>
      <c r="W3865" s="33" t="s">
        <v>94</v>
      </c>
      <c r="X3865" s="33">
        <v>1673</v>
      </c>
      <c r="Z3865" s="33" t="s">
        <v>42968</v>
      </c>
      <c r="AA3865" s="33">
        <v>3798</v>
      </c>
    </row>
    <row r="3866" spans="1:27" ht="12" customHeight="1" x14ac:dyDescent="0.15">
      <c r="A3866" s="33" t="s">
        <v>22408</v>
      </c>
      <c r="B3866" s="33">
        <v>30</v>
      </c>
      <c r="C3866" s="33" t="s">
        <v>14</v>
      </c>
      <c r="D3866" s="33" t="s">
        <v>31</v>
      </c>
      <c r="E3866" s="33" t="s">
        <v>22508</v>
      </c>
      <c r="F3866" s="67">
        <v>42550</v>
      </c>
      <c r="G3866" s="33" t="s">
        <v>22409</v>
      </c>
      <c r="H3866" s="33" t="s">
        <v>22410</v>
      </c>
      <c r="I3866" s="33" t="s">
        <v>294</v>
      </c>
      <c r="J3866" s="33">
        <v>40935</v>
      </c>
      <c r="K3866" s="33" t="s">
        <v>2476</v>
      </c>
      <c r="L3866" s="33" t="s">
        <v>2477</v>
      </c>
      <c r="M3866" s="33" t="s">
        <v>21</v>
      </c>
      <c r="N3866" s="33" t="s">
        <v>22549</v>
      </c>
      <c r="O3866" s="33" t="s">
        <v>372</v>
      </c>
      <c r="P3866" s="33" t="s">
        <v>30089</v>
      </c>
      <c r="Q3866" s="40" t="s">
        <v>22598</v>
      </c>
      <c r="R3866" s="33" t="s">
        <v>904</v>
      </c>
      <c r="S3866" s="33" t="s">
        <v>29</v>
      </c>
      <c r="T3866" s="33" t="s">
        <v>26575</v>
      </c>
      <c r="U3866" s="33" t="s">
        <v>26572</v>
      </c>
      <c r="V3866" s="33" t="s">
        <v>26573</v>
      </c>
      <c r="W3866" s="33" t="s">
        <v>94</v>
      </c>
      <c r="X3866" s="33">
        <v>1672</v>
      </c>
      <c r="Z3866" s="33" t="s">
        <v>42967</v>
      </c>
      <c r="AA3866" s="33">
        <v>3801</v>
      </c>
    </row>
    <row r="3867" spans="1:27" ht="12" customHeight="1" x14ac:dyDescent="0.15">
      <c r="A3867" s="33" t="s">
        <v>22404</v>
      </c>
      <c r="B3867" s="33">
        <v>41</v>
      </c>
      <c r="C3867" s="33" t="s">
        <v>14</v>
      </c>
      <c r="D3867" s="33" t="s">
        <v>31</v>
      </c>
      <c r="F3867" s="67">
        <v>42550</v>
      </c>
      <c r="G3867" s="33" t="s">
        <v>22405</v>
      </c>
      <c r="H3867" s="33" t="s">
        <v>2014</v>
      </c>
      <c r="I3867" s="33" t="s">
        <v>409</v>
      </c>
      <c r="J3867" s="33">
        <v>53703</v>
      </c>
      <c r="K3867" s="33" t="s">
        <v>8880</v>
      </c>
      <c r="L3867" s="33" t="s">
        <v>3519</v>
      </c>
      <c r="M3867" s="33" t="s">
        <v>21</v>
      </c>
      <c r="N3867" s="33" t="s">
        <v>22547</v>
      </c>
      <c r="O3867" s="33" t="s">
        <v>372</v>
      </c>
      <c r="P3867" s="33" t="s">
        <v>30089</v>
      </c>
      <c r="Q3867" s="40" t="s">
        <v>22596</v>
      </c>
      <c r="R3867" s="33" t="s">
        <v>512</v>
      </c>
      <c r="S3867" s="33" t="s">
        <v>22</v>
      </c>
      <c r="T3867" s="33" t="s">
        <v>26602</v>
      </c>
      <c r="U3867" s="33" t="s">
        <v>26570</v>
      </c>
      <c r="V3867" s="33" t="s">
        <v>26573</v>
      </c>
      <c r="W3867" s="33" t="s">
        <v>94</v>
      </c>
      <c r="X3867" s="33">
        <v>1675</v>
      </c>
      <c r="Z3867" s="33" t="s">
        <v>42966</v>
      </c>
      <c r="AA3867" s="33">
        <v>3800</v>
      </c>
    </row>
    <row r="3868" spans="1:27" ht="12" customHeight="1" x14ac:dyDescent="0.15">
      <c r="A3868" s="33" t="s">
        <v>22416</v>
      </c>
      <c r="B3868" s="33">
        <v>61</v>
      </c>
      <c r="C3868" s="33" t="s">
        <v>14</v>
      </c>
      <c r="D3868" s="33" t="s">
        <v>15</v>
      </c>
      <c r="F3868" s="67">
        <v>42549</v>
      </c>
      <c r="G3868" s="33" t="s">
        <v>22417</v>
      </c>
      <c r="H3868" s="33" t="s">
        <v>2196</v>
      </c>
      <c r="I3868" s="33" t="s">
        <v>814</v>
      </c>
      <c r="J3868" s="33">
        <v>96814</v>
      </c>
      <c r="K3868" s="33" t="s">
        <v>2196</v>
      </c>
      <c r="L3868" s="33" t="s">
        <v>3281</v>
      </c>
      <c r="M3868" s="33" t="s">
        <v>21</v>
      </c>
      <c r="N3868" s="33" t="s">
        <v>22552</v>
      </c>
      <c r="O3868" s="33" t="s">
        <v>372</v>
      </c>
      <c r="P3868" s="33" t="s">
        <v>30089</v>
      </c>
      <c r="Q3868" s="40" t="s">
        <v>22601</v>
      </c>
      <c r="R3868" s="33" t="s">
        <v>512</v>
      </c>
      <c r="S3868" s="33" t="s">
        <v>22</v>
      </c>
      <c r="T3868" s="33" t="s">
        <v>26774</v>
      </c>
      <c r="U3868" s="33" t="s">
        <v>26572</v>
      </c>
      <c r="V3868" s="33" t="s">
        <v>26573</v>
      </c>
      <c r="W3868" s="33" t="s">
        <v>94</v>
      </c>
      <c r="X3868" s="33">
        <v>1671</v>
      </c>
      <c r="Z3868" s="33" t="s">
        <v>42966</v>
      </c>
      <c r="AA3868" s="33">
        <v>3797</v>
      </c>
    </row>
    <row r="3869" spans="1:27" ht="12" customHeight="1" x14ac:dyDescent="0.15">
      <c r="A3869" s="33" t="s">
        <v>22418</v>
      </c>
      <c r="B3869" s="33">
        <v>27</v>
      </c>
      <c r="C3869" s="33" t="s">
        <v>14</v>
      </c>
      <c r="D3869" s="33" t="s">
        <v>15</v>
      </c>
      <c r="E3869" s="33" t="s">
        <v>22510</v>
      </c>
      <c r="F3869" s="67">
        <v>42549</v>
      </c>
      <c r="G3869" s="33" t="s">
        <v>22419</v>
      </c>
      <c r="H3869" s="33" t="s">
        <v>451</v>
      </c>
      <c r="I3869" s="33" t="s">
        <v>39</v>
      </c>
      <c r="J3869" s="33">
        <v>90804</v>
      </c>
      <c r="K3869" s="33" t="s">
        <v>92</v>
      </c>
      <c r="L3869" s="33" t="s">
        <v>23</v>
      </c>
      <c r="M3869" s="33" t="s">
        <v>21</v>
      </c>
      <c r="N3869" s="33" t="s">
        <v>36695</v>
      </c>
      <c r="O3869" s="33" t="s">
        <v>372</v>
      </c>
      <c r="P3869" s="33" t="s">
        <v>30089</v>
      </c>
      <c r="Q3869" s="40" t="s">
        <v>22602</v>
      </c>
      <c r="R3869" s="33" t="s">
        <v>23</v>
      </c>
      <c r="S3869" s="33" t="s">
        <v>22</v>
      </c>
      <c r="T3869" s="33" t="s">
        <v>26774</v>
      </c>
      <c r="U3869" s="33" t="s">
        <v>26570</v>
      </c>
      <c r="V3869" s="33" t="s">
        <v>26574</v>
      </c>
      <c r="W3869" s="33" t="s">
        <v>94</v>
      </c>
      <c r="X3869" s="33">
        <v>1670</v>
      </c>
      <c r="Z3869" s="33" t="s">
        <v>42966</v>
      </c>
      <c r="AA3869" s="33">
        <v>3796</v>
      </c>
    </row>
    <row r="3870" spans="1:27" ht="12" customHeight="1" x14ac:dyDescent="0.15">
      <c r="A3870" s="33" t="s">
        <v>22424</v>
      </c>
      <c r="B3870" s="33">
        <v>26</v>
      </c>
      <c r="C3870" s="33" t="s">
        <v>14</v>
      </c>
      <c r="D3870" s="33" t="s">
        <v>31</v>
      </c>
      <c r="E3870" s="33" t="s">
        <v>22511</v>
      </c>
      <c r="F3870" s="67">
        <v>42548</v>
      </c>
      <c r="G3870" s="33" t="s">
        <v>22425</v>
      </c>
      <c r="H3870" s="33" t="s">
        <v>22426</v>
      </c>
      <c r="I3870" s="33" t="s">
        <v>178</v>
      </c>
      <c r="J3870" s="33">
        <v>87026</v>
      </c>
      <c r="K3870" s="33" t="s">
        <v>22531</v>
      </c>
      <c r="L3870" s="33" t="s">
        <v>2847</v>
      </c>
      <c r="M3870" s="33" t="s">
        <v>21</v>
      </c>
      <c r="N3870" s="33" t="s">
        <v>22554</v>
      </c>
      <c r="O3870" s="33" t="s">
        <v>372</v>
      </c>
      <c r="P3870" s="33" t="s">
        <v>30089</v>
      </c>
      <c r="Q3870" s="40" t="s">
        <v>22604</v>
      </c>
      <c r="R3870" s="33" t="s">
        <v>94</v>
      </c>
      <c r="S3870" s="33" t="s">
        <v>22</v>
      </c>
      <c r="T3870" s="33" t="s">
        <v>26781</v>
      </c>
      <c r="U3870" s="33" t="s">
        <v>26572</v>
      </c>
      <c r="V3870" s="33" t="s">
        <v>26573</v>
      </c>
      <c r="W3870" s="33" t="s">
        <v>94</v>
      </c>
      <c r="X3870" s="33">
        <v>1668</v>
      </c>
      <c r="Z3870" s="33" t="s">
        <v>42967</v>
      </c>
      <c r="AA3870" s="33">
        <v>3792</v>
      </c>
    </row>
    <row r="3871" spans="1:27" ht="12" customHeight="1" x14ac:dyDescent="0.15">
      <c r="A3871" s="33" t="s">
        <v>22427</v>
      </c>
      <c r="B3871" s="33">
        <v>28</v>
      </c>
      <c r="C3871" s="33" t="s">
        <v>14</v>
      </c>
      <c r="D3871" s="33" t="s">
        <v>31</v>
      </c>
      <c r="F3871" s="67">
        <v>42548</v>
      </c>
      <c r="G3871" s="33" t="s">
        <v>22428</v>
      </c>
      <c r="H3871" s="33" t="s">
        <v>2634</v>
      </c>
      <c r="I3871" s="33" t="s">
        <v>342</v>
      </c>
      <c r="J3871" s="33">
        <v>50036</v>
      </c>
      <c r="K3871" s="33" t="s">
        <v>2634</v>
      </c>
      <c r="L3871" s="33" t="s">
        <v>22429</v>
      </c>
      <c r="M3871" s="33" t="s">
        <v>21</v>
      </c>
      <c r="N3871" s="33" t="s">
        <v>22555</v>
      </c>
      <c r="O3871" s="33" t="s">
        <v>372</v>
      </c>
      <c r="P3871" s="33" t="s">
        <v>30089</v>
      </c>
      <c r="Q3871" s="40" t="s">
        <v>22605</v>
      </c>
      <c r="R3871" s="33" t="s">
        <v>512</v>
      </c>
      <c r="S3871" s="33" t="s">
        <v>12</v>
      </c>
      <c r="T3871" s="33" t="s">
        <v>29425</v>
      </c>
      <c r="U3871" s="33" t="s">
        <v>26572</v>
      </c>
      <c r="V3871" s="33" t="s">
        <v>26573</v>
      </c>
      <c r="W3871" s="33" t="s">
        <v>94</v>
      </c>
      <c r="X3871" s="33">
        <v>1665</v>
      </c>
      <c r="Z3871" s="33" t="s">
        <v>42967</v>
      </c>
      <c r="AA3871" s="33">
        <v>3793</v>
      </c>
    </row>
    <row r="3872" spans="1:27" ht="12" customHeight="1" x14ac:dyDescent="0.15">
      <c r="A3872" s="33" t="s">
        <v>22420</v>
      </c>
      <c r="B3872" s="33">
        <v>32</v>
      </c>
      <c r="C3872" s="33" t="s">
        <v>14</v>
      </c>
      <c r="D3872" s="33" t="s">
        <v>31</v>
      </c>
      <c r="F3872" s="67">
        <v>42548</v>
      </c>
      <c r="G3872" s="33" t="s">
        <v>22421</v>
      </c>
      <c r="H3872" s="33" t="s">
        <v>22422</v>
      </c>
      <c r="I3872" s="33" t="s">
        <v>160</v>
      </c>
      <c r="J3872" s="33">
        <v>31014</v>
      </c>
      <c r="K3872" s="33" t="s">
        <v>22530</v>
      </c>
      <c r="L3872" s="33" t="s">
        <v>22423</v>
      </c>
      <c r="M3872" s="33" t="s">
        <v>21</v>
      </c>
      <c r="N3872" s="33" t="s">
        <v>22553</v>
      </c>
      <c r="O3872" s="33" t="s">
        <v>372</v>
      </c>
      <c r="P3872" s="33" t="s">
        <v>30089</v>
      </c>
      <c r="Q3872" s="40" t="s">
        <v>22603</v>
      </c>
      <c r="R3872" s="33" t="s">
        <v>94</v>
      </c>
      <c r="S3872" s="33" t="s">
        <v>22</v>
      </c>
      <c r="T3872" s="33" t="s">
        <v>26781</v>
      </c>
      <c r="U3872" s="33" t="s">
        <v>26572</v>
      </c>
      <c r="V3872" s="33" t="s">
        <v>26573</v>
      </c>
      <c r="W3872" s="33" t="s">
        <v>94</v>
      </c>
      <c r="X3872" s="33">
        <v>1667</v>
      </c>
      <c r="Z3872" s="33" t="s">
        <v>42967</v>
      </c>
      <c r="AA3872" s="33">
        <v>3791</v>
      </c>
    </row>
    <row r="3873" spans="1:27" ht="12" customHeight="1" x14ac:dyDescent="0.15">
      <c r="A3873" s="33" t="s">
        <v>22433</v>
      </c>
      <c r="B3873" s="33">
        <v>63</v>
      </c>
      <c r="C3873" s="33" t="s">
        <v>14</v>
      </c>
      <c r="D3873" s="33" t="s">
        <v>79</v>
      </c>
      <c r="F3873" s="67">
        <v>42548</v>
      </c>
      <c r="G3873" s="33" t="s">
        <v>22434</v>
      </c>
      <c r="H3873" s="33" t="s">
        <v>107</v>
      </c>
      <c r="I3873" s="33" t="s">
        <v>3357</v>
      </c>
      <c r="J3873" s="33">
        <v>20019</v>
      </c>
      <c r="K3873" s="33" t="s">
        <v>3359</v>
      </c>
      <c r="L3873" s="33" t="s">
        <v>17581</v>
      </c>
      <c r="M3873" s="33" t="s">
        <v>21</v>
      </c>
      <c r="N3873" s="33" t="s">
        <v>22557</v>
      </c>
      <c r="O3873" s="33" t="s">
        <v>372</v>
      </c>
      <c r="P3873" s="33" t="s">
        <v>30089</v>
      </c>
      <c r="Q3873" s="40" t="s">
        <v>22607</v>
      </c>
      <c r="R3873" s="33" t="s">
        <v>512</v>
      </c>
      <c r="S3873" s="33" t="s">
        <v>12</v>
      </c>
      <c r="T3873" s="33" t="s">
        <v>29425</v>
      </c>
      <c r="U3873" s="33" t="s">
        <v>26572</v>
      </c>
      <c r="V3873" s="33" t="s">
        <v>26573</v>
      </c>
      <c r="W3873" s="33" t="s">
        <v>512</v>
      </c>
      <c r="X3873" s="33">
        <v>1666</v>
      </c>
      <c r="Z3873" s="33" t="s">
        <v>42966</v>
      </c>
      <c r="AA3873" s="33">
        <v>3794</v>
      </c>
    </row>
    <row r="3874" spans="1:27" ht="12" customHeight="1" x14ac:dyDescent="0.15">
      <c r="A3874" s="33" t="s">
        <v>22430</v>
      </c>
      <c r="B3874" s="33">
        <v>25</v>
      </c>
      <c r="C3874" s="33" t="s">
        <v>14</v>
      </c>
      <c r="D3874" s="33" t="s">
        <v>31</v>
      </c>
      <c r="E3874" s="33" t="s">
        <v>22512</v>
      </c>
      <c r="F3874" s="67">
        <v>42548</v>
      </c>
      <c r="G3874" s="33" t="s">
        <v>22431</v>
      </c>
      <c r="H3874" s="33" t="s">
        <v>22432</v>
      </c>
      <c r="I3874" s="33" t="s">
        <v>206</v>
      </c>
      <c r="J3874" s="33">
        <v>19946</v>
      </c>
      <c r="K3874" s="33" t="s">
        <v>2350</v>
      </c>
      <c r="L3874" s="33" t="s">
        <v>5554</v>
      </c>
      <c r="M3874" s="33" t="s">
        <v>21</v>
      </c>
      <c r="N3874" s="33" t="s">
        <v>22556</v>
      </c>
      <c r="O3874" s="33" t="s">
        <v>372</v>
      </c>
      <c r="P3874" s="33" t="s">
        <v>30089</v>
      </c>
      <c r="Q3874" s="40" t="s">
        <v>22606</v>
      </c>
      <c r="R3874" s="33" t="s">
        <v>94</v>
      </c>
      <c r="S3874" s="33" t="s">
        <v>12</v>
      </c>
      <c r="T3874" s="33" t="s">
        <v>29425</v>
      </c>
      <c r="U3874" s="33" t="s">
        <v>26570</v>
      </c>
      <c r="V3874" s="33" t="s">
        <v>26571</v>
      </c>
      <c r="W3874" s="33" t="s">
        <v>94</v>
      </c>
      <c r="X3874" s="33">
        <v>1669</v>
      </c>
      <c r="Z3874" s="33" t="s">
        <v>42967</v>
      </c>
      <c r="AA3874" s="33">
        <v>3795</v>
      </c>
    </row>
    <row r="3875" spans="1:27" ht="12" customHeight="1" x14ac:dyDescent="0.15">
      <c r="A3875" s="33" t="s">
        <v>22435</v>
      </c>
      <c r="B3875" s="33">
        <v>30</v>
      </c>
      <c r="C3875" s="33" t="s">
        <v>14</v>
      </c>
      <c r="D3875" s="33" t="s">
        <v>79</v>
      </c>
      <c r="F3875" s="67">
        <v>42547</v>
      </c>
      <c r="G3875" s="33" t="s">
        <v>22436</v>
      </c>
      <c r="H3875" s="33" t="s">
        <v>7296</v>
      </c>
      <c r="I3875" s="33" t="s">
        <v>38</v>
      </c>
      <c r="J3875" s="33">
        <v>60419</v>
      </c>
      <c r="K3875" s="33" t="s">
        <v>82</v>
      </c>
      <c r="L3875" s="33" t="s">
        <v>22437</v>
      </c>
      <c r="M3875" s="33" t="s">
        <v>21</v>
      </c>
      <c r="N3875" s="33" t="s">
        <v>22559</v>
      </c>
      <c r="O3875" s="33" t="s">
        <v>372</v>
      </c>
      <c r="P3875" s="33" t="s">
        <v>30089</v>
      </c>
      <c r="Q3875" s="40" t="s">
        <v>22609</v>
      </c>
      <c r="R3875" s="33" t="s">
        <v>94</v>
      </c>
      <c r="S3875" s="33" t="s">
        <v>22</v>
      </c>
      <c r="T3875" s="33" t="s">
        <v>26781</v>
      </c>
      <c r="U3875" s="33" t="s">
        <v>26572</v>
      </c>
      <c r="V3875" s="33" t="s">
        <v>26573</v>
      </c>
      <c r="W3875" s="33" t="s">
        <v>94</v>
      </c>
      <c r="X3875" s="33">
        <v>1663</v>
      </c>
      <c r="Z3875" s="33" t="s">
        <v>42968</v>
      </c>
      <c r="AA3875" s="33">
        <v>3789</v>
      </c>
    </row>
    <row r="3876" spans="1:27" ht="12" customHeight="1" x14ac:dyDescent="0.15">
      <c r="A3876" s="33" t="s">
        <v>22438</v>
      </c>
      <c r="B3876" s="33">
        <v>22</v>
      </c>
      <c r="C3876" s="33" t="s">
        <v>14</v>
      </c>
      <c r="D3876" s="33" t="s">
        <v>79</v>
      </c>
      <c r="F3876" s="67">
        <v>42547</v>
      </c>
      <c r="G3876" s="33" t="s">
        <v>22439</v>
      </c>
      <c r="H3876" s="33" t="s">
        <v>2159</v>
      </c>
      <c r="I3876" s="33" t="s">
        <v>432</v>
      </c>
      <c r="J3876" s="33">
        <v>68521</v>
      </c>
      <c r="K3876" s="33" t="s">
        <v>1397</v>
      </c>
      <c r="L3876" s="33" t="s">
        <v>9343</v>
      </c>
      <c r="M3876" s="33" t="s">
        <v>21</v>
      </c>
      <c r="N3876" s="33" t="s">
        <v>22560</v>
      </c>
      <c r="O3876" s="33" t="s">
        <v>372</v>
      </c>
      <c r="P3876" s="33" t="s">
        <v>30089</v>
      </c>
      <c r="Q3876" s="40" t="s">
        <v>22610</v>
      </c>
      <c r="R3876" s="33" t="s">
        <v>94</v>
      </c>
      <c r="S3876" s="33" t="s">
        <v>22</v>
      </c>
      <c r="T3876" s="33" t="s">
        <v>26781</v>
      </c>
      <c r="U3876" s="33" t="s">
        <v>26572</v>
      </c>
      <c r="V3876" s="33" t="s">
        <v>26574</v>
      </c>
      <c r="W3876" s="33" t="s">
        <v>94</v>
      </c>
      <c r="X3876" s="33">
        <v>1659</v>
      </c>
      <c r="Z3876" s="33" t="s">
        <v>42968</v>
      </c>
      <c r="AA3876" s="33">
        <v>3788</v>
      </c>
    </row>
    <row r="3877" spans="1:27" ht="12" customHeight="1" x14ac:dyDescent="0.15">
      <c r="A3877" s="33" t="s">
        <v>22444</v>
      </c>
      <c r="B3877" s="33">
        <v>27</v>
      </c>
      <c r="C3877" s="33" t="s">
        <v>14</v>
      </c>
      <c r="D3877" s="33" t="s">
        <v>42</v>
      </c>
      <c r="F3877" s="67">
        <v>42547</v>
      </c>
      <c r="G3877" s="33" t="s">
        <v>22445</v>
      </c>
      <c r="H3877" s="33" t="s">
        <v>22446</v>
      </c>
      <c r="I3877" s="33" t="s">
        <v>35</v>
      </c>
      <c r="J3877" s="33">
        <v>6787</v>
      </c>
      <c r="K3877" s="33" t="s">
        <v>22532</v>
      </c>
      <c r="L3877" s="33" t="s">
        <v>22447</v>
      </c>
      <c r="M3877" s="33" t="s">
        <v>21</v>
      </c>
      <c r="N3877" s="33" t="s">
        <v>22558</v>
      </c>
      <c r="O3877" s="33" t="s">
        <v>372</v>
      </c>
      <c r="P3877" s="33" t="s">
        <v>30089</v>
      </c>
      <c r="Q3877" s="40" t="s">
        <v>22608</v>
      </c>
      <c r="R3877" s="33" t="s">
        <v>94</v>
      </c>
      <c r="S3877" s="33" t="s">
        <v>22</v>
      </c>
      <c r="T3877" s="33" t="s">
        <v>26774</v>
      </c>
      <c r="U3877" s="33" t="s">
        <v>26570</v>
      </c>
      <c r="V3877" s="33" t="s">
        <v>26573</v>
      </c>
      <c r="W3877" s="33" t="s">
        <v>94</v>
      </c>
      <c r="X3877" s="33">
        <v>1656</v>
      </c>
      <c r="Z3877" s="33" t="s">
        <v>42968</v>
      </c>
      <c r="AA3877" s="33">
        <v>3790</v>
      </c>
    </row>
    <row r="3878" spans="1:27" ht="12" customHeight="1" x14ac:dyDescent="0.15">
      <c r="A3878" s="33" t="s">
        <v>22440</v>
      </c>
      <c r="B3878" s="33">
        <v>51</v>
      </c>
      <c r="C3878" s="33" t="s">
        <v>14</v>
      </c>
      <c r="D3878" s="33" t="s">
        <v>31</v>
      </c>
      <c r="F3878" s="67">
        <v>42547</v>
      </c>
      <c r="G3878" s="33" t="s">
        <v>22441</v>
      </c>
      <c r="H3878" s="33" t="s">
        <v>22442</v>
      </c>
      <c r="I3878" s="33" t="s">
        <v>51</v>
      </c>
      <c r="J3878" s="33">
        <v>49234</v>
      </c>
      <c r="K3878" s="33" t="s">
        <v>404</v>
      </c>
      <c r="L3878" s="33" t="s">
        <v>22443</v>
      </c>
      <c r="M3878" s="33" t="s">
        <v>21</v>
      </c>
      <c r="N3878" s="33" t="s">
        <v>22561</v>
      </c>
      <c r="O3878" s="33" t="s">
        <v>372</v>
      </c>
      <c r="P3878" s="33" t="s">
        <v>30089</v>
      </c>
      <c r="Q3878" s="40" t="s">
        <v>22611</v>
      </c>
      <c r="R3878" s="33" t="s">
        <v>512</v>
      </c>
      <c r="S3878" s="33" t="s">
        <v>22</v>
      </c>
      <c r="T3878" s="33" t="s">
        <v>26580</v>
      </c>
      <c r="U3878" s="33" t="s">
        <v>26572</v>
      </c>
      <c r="V3878" s="33" t="s">
        <v>26573</v>
      </c>
      <c r="W3878" s="33" t="s">
        <v>94</v>
      </c>
      <c r="X3878" s="33">
        <v>1655</v>
      </c>
      <c r="Z3878" s="33" t="s">
        <v>42967</v>
      </c>
      <c r="AA3878" s="33">
        <v>3787</v>
      </c>
    </row>
    <row r="3879" spans="1:27" ht="12" customHeight="1" x14ac:dyDescent="0.15">
      <c r="A3879" s="33" t="s">
        <v>22449</v>
      </c>
      <c r="B3879" s="33">
        <v>59</v>
      </c>
      <c r="C3879" s="33" t="s">
        <v>14</v>
      </c>
      <c r="D3879" s="33" t="s">
        <v>31</v>
      </c>
      <c r="F3879" s="67">
        <v>42546</v>
      </c>
      <c r="G3879" s="33" t="s">
        <v>22450</v>
      </c>
      <c r="H3879" s="33" t="s">
        <v>22451</v>
      </c>
      <c r="I3879" s="33" t="s">
        <v>56</v>
      </c>
      <c r="J3879" s="33">
        <v>33782</v>
      </c>
      <c r="K3879" s="33" t="s">
        <v>2152</v>
      </c>
      <c r="L3879" s="33" t="s">
        <v>22452</v>
      </c>
      <c r="M3879" s="33" t="s">
        <v>21</v>
      </c>
      <c r="N3879" s="33" t="s">
        <v>22563</v>
      </c>
      <c r="O3879" s="33" t="s">
        <v>372</v>
      </c>
      <c r="P3879" s="33" t="s">
        <v>30089</v>
      </c>
      <c r="Q3879" s="40" t="s">
        <v>22613</v>
      </c>
      <c r="R3879" s="33" t="s">
        <v>904</v>
      </c>
      <c r="S3879" s="33" t="s">
        <v>22</v>
      </c>
      <c r="T3879" s="33" t="s">
        <v>26781</v>
      </c>
      <c r="U3879" s="33" t="s">
        <v>26572</v>
      </c>
      <c r="V3879" s="33" t="s">
        <v>26573</v>
      </c>
      <c r="W3879" s="33" t="s">
        <v>94</v>
      </c>
      <c r="X3879" s="33">
        <v>1654</v>
      </c>
      <c r="Z3879" s="33" t="s">
        <v>42968</v>
      </c>
      <c r="AA3879" s="33">
        <v>3783</v>
      </c>
    </row>
    <row r="3880" spans="1:27" ht="12" customHeight="1" x14ac:dyDescent="0.15">
      <c r="A3880" s="33" t="s">
        <v>26714</v>
      </c>
      <c r="B3880" s="33" t="s">
        <v>23</v>
      </c>
      <c r="C3880" s="33" t="s">
        <v>14</v>
      </c>
      <c r="D3880" s="33" t="s">
        <v>31</v>
      </c>
      <c r="E3880" s="33" t="s">
        <v>29898</v>
      </c>
      <c r="F3880" s="67">
        <v>42546</v>
      </c>
      <c r="G3880" s="33" t="s">
        <v>36333</v>
      </c>
      <c r="H3880" s="33" t="s">
        <v>16627</v>
      </c>
      <c r="I3880" s="33" t="s">
        <v>112</v>
      </c>
      <c r="J3880" s="33" t="s">
        <v>29899</v>
      </c>
      <c r="K3880" s="33" t="s">
        <v>585</v>
      </c>
      <c r="L3880" s="33" t="s">
        <v>16628</v>
      </c>
      <c r="M3880" s="33" t="s">
        <v>21</v>
      </c>
      <c r="N3880" s="33" t="s">
        <v>29900</v>
      </c>
      <c r="O3880" s="33" t="s">
        <v>372</v>
      </c>
      <c r="P3880" s="33" t="s">
        <v>30089</v>
      </c>
      <c r="Q3880" s="40" t="s">
        <v>29901</v>
      </c>
      <c r="R3880" s="33" t="s">
        <v>94</v>
      </c>
      <c r="S3880" s="33" t="s">
        <v>22</v>
      </c>
      <c r="T3880" s="33" t="s">
        <v>26781</v>
      </c>
      <c r="U3880" s="33" t="s">
        <v>26572</v>
      </c>
      <c r="V3880" s="33" t="s">
        <v>26573</v>
      </c>
      <c r="W3880" s="33" t="s">
        <v>94</v>
      </c>
      <c r="X3880" s="33">
        <v>1664</v>
      </c>
      <c r="Z3880" s="33" t="s">
        <v>42968</v>
      </c>
      <c r="AA3880" s="33">
        <v>3784</v>
      </c>
    </row>
    <row r="3881" spans="1:27" ht="12" customHeight="1" x14ac:dyDescent="0.15">
      <c r="A3881" s="33" t="s">
        <v>22448</v>
      </c>
      <c r="B3881" s="33">
        <v>36</v>
      </c>
      <c r="C3881" s="33" t="s">
        <v>14</v>
      </c>
      <c r="D3881" s="33" t="s">
        <v>42</v>
      </c>
      <c r="E3881" s="33" t="s">
        <v>22513</v>
      </c>
      <c r="F3881" s="67">
        <v>42546</v>
      </c>
      <c r="H3881" s="33" t="s">
        <v>10316</v>
      </c>
      <c r="I3881" s="33" t="s">
        <v>160</v>
      </c>
      <c r="J3881" s="33">
        <v>30501</v>
      </c>
      <c r="K3881" s="33" t="s">
        <v>18981</v>
      </c>
      <c r="L3881" s="33" t="s">
        <v>17985</v>
      </c>
      <c r="M3881" s="33" t="s">
        <v>4966</v>
      </c>
      <c r="N3881" s="33" t="s">
        <v>22562</v>
      </c>
      <c r="O3881" s="33" t="s">
        <v>372</v>
      </c>
      <c r="P3881" s="33" t="s">
        <v>30089</v>
      </c>
      <c r="Q3881" s="40" t="s">
        <v>22612</v>
      </c>
      <c r="R3881" s="33" t="s">
        <v>94</v>
      </c>
      <c r="S3881" s="33" t="s">
        <v>12</v>
      </c>
      <c r="T3881" s="33" t="s">
        <v>29705</v>
      </c>
      <c r="U3881" s="33" t="s">
        <v>26572</v>
      </c>
      <c r="V3881" s="33" t="s">
        <v>19228</v>
      </c>
      <c r="W3881" s="33" t="s">
        <v>94</v>
      </c>
      <c r="X3881" s="33">
        <v>1661</v>
      </c>
      <c r="Z3881" s="33" t="s">
        <v>42968</v>
      </c>
      <c r="AA3881" s="33">
        <v>3786</v>
      </c>
    </row>
    <row r="3882" spans="1:27" ht="12" customHeight="1" x14ac:dyDescent="0.15">
      <c r="A3882" s="33" t="s">
        <v>22453</v>
      </c>
      <c r="B3882" s="33">
        <v>19</v>
      </c>
      <c r="C3882" s="33" t="s">
        <v>14</v>
      </c>
      <c r="D3882" s="33" t="s">
        <v>42</v>
      </c>
      <c r="E3882" s="33" t="s">
        <v>22514</v>
      </c>
      <c r="F3882" s="67">
        <v>42546</v>
      </c>
      <c r="G3882" s="33" t="s">
        <v>22454</v>
      </c>
      <c r="H3882" s="33" t="s">
        <v>183</v>
      </c>
      <c r="I3882" s="33" t="s">
        <v>39</v>
      </c>
      <c r="J3882" s="33">
        <v>93727</v>
      </c>
      <c r="K3882" s="33" t="s">
        <v>183</v>
      </c>
      <c r="L3882" s="33" t="s">
        <v>184</v>
      </c>
      <c r="M3882" s="33" t="s">
        <v>21</v>
      </c>
      <c r="N3882" s="33" t="s">
        <v>22564</v>
      </c>
      <c r="O3882" s="33" t="s">
        <v>372</v>
      </c>
      <c r="P3882" s="33" t="s">
        <v>30089</v>
      </c>
      <c r="Q3882" s="40" t="s">
        <v>22614</v>
      </c>
      <c r="R3882" s="33" t="s">
        <v>512</v>
      </c>
      <c r="S3882" s="33" t="s">
        <v>12</v>
      </c>
      <c r="T3882" s="33" t="s">
        <v>29705</v>
      </c>
      <c r="U3882" s="33" t="s">
        <v>26570</v>
      </c>
      <c r="V3882" s="33" t="s">
        <v>26571</v>
      </c>
      <c r="W3882" s="33" t="s">
        <v>512</v>
      </c>
      <c r="X3882" s="33">
        <v>1653</v>
      </c>
      <c r="Z3882" s="33" t="s">
        <v>42968</v>
      </c>
      <c r="AA3882" s="33">
        <v>3785</v>
      </c>
    </row>
    <row r="3883" spans="1:27" ht="12" customHeight="1" x14ac:dyDescent="0.15">
      <c r="A3883" s="33" t="s">
        <v>22464</v>
      </c>
      <c r="B3883" s="33">
        <v>50</v>
      </c>
      <c r="C3883" s="33" t="s">
        <v>14</v>
      </c>
      <c r="D3883" s="33" t="s">
        <v>31</v>
      </c>
      <c r="F3883" s="67">
        <v>42545</v>
      </c>
      <c r="G3883" s="33" t="s">
        <v>22465</v>
      </c>
      <c r="H3883" s="33" t="s">
        <v>11426</v>
      </c>
      <c r="I3883" s="33" t="s">
        <v>918</v>
      </c>
      <c r="J3883" s="33">
        <v>72730</v>
      </c>
      <c r="K3883" s="33" t="s">
        <v>107</v>
      </c>
      <c r="L3883" s="33" t="s">
        <v>108</v>
      </c>
      <c r="M3883" s="33" t="s">
        <v>21</v>
      </c>
      <c r="N3883" s="33" t="s">
        <v>36696</v>
      </c>
      <c r="O3883" s="33" t="s">
        <v>372</v>
      </c>
      <c r="P3883" s="33" t="s">
        <v>30089</v>
      </c>
      <c r="Q3883" s="40" t="s">
        <v>22619</v>
      </c>
      <c r="R3883" s="33" t="s">
        <v>23</v>
      </c>
      <c r="S3883" s="33" t="s">
        <v>22</v>
      </c>
      <c r="T3883" s="33" t="s">
        <v>26781</v>
      </c>
      <c r="U3883" s="33" t="s">
        <v>26572</v>
      </c>
      <c r="V3883" s="33" t="s">
        <v>26573</v>
      </c>
      <c r="W3883" s="33" t="s">
        <v>94</v>
      </c>
      <c r="X3883" s="33">
        <v>1657</v>
      </c>
      <c r="Z3883" s="33" t="s">
        <v>42968</v>
      </c>
      <c r="AA3883" s="33">
        <v>3779</v>
      </c>
    </row>
    <row r="3884" spans="1:27" ht="12" customHeight="1" x14ac:dyDescent="0.15">
      <c r="A3884" s="33" t="s">
        <v>22459</v>
      </c>
      <c r="B3884" s="33">
        <v>42</v>
      </c>
      <c r="C3884" s="33" t="s">
        <v>103</v>
      </c>
      <c r="D3884" s="33" t="s">
        <v>31</v>
      </c>
      <c r="F3884" s="67">
        <v>42545</v>
      </c>
      <c r="G3884" s="33" t="s">
        <v>22460</v>
      </c>
      <c r="H3884" s="33" t="s">
        <v>4205</v>
      </c>
      <c r="I3884" s="33" t="s">
        <v>67</v>
      </c>
      <c r="J3884" s="33">
        <v>77494</v>
      </c>
      <c r="K3884" s="33" t="s">
        <v>1296</v>
      </c>
      <c r="L3884" s="33" t="s">
        <v>22461</v>
      </c>
      <c r="M3884" s="33" t="s">
        <v>21</v>
      </c>
      <c r="N3884" s="33" t="s">
        <v>22567</v>
      </c>
      <c r="O3884" s="33" t="s">
        <v>372</v>
      </c>
      <c r="P3884" s="33" t="s">
        <v>30089</v>
      </c>
      <c r="Q3884" s="40" t="s">
        <v>22617</v>
      </c>
      <c r="R3884" s="33" t="s">
        <v>512</v>
      </c>
      <c r="S3884" s="33" t="s">
        <v>22</v>
      </c>
      <c r="T3884" s="33" t="s">
        <v>26781</v>
      </c>
      <c r="U3884" s="33" t="s">
        <v>26572</v>
      </c>
      <c r="V3884" s="33" t="s">
        <v>26573</v>
      </c>
      <c r="W3884" s="33" t="s">
        <v>94</v>
      </c>
      <c r="X3884" s="33">
        <v>1658</v>
      </c>
      <c r="Z3884" s="33" t="s">
        <v>42968</v>
      </c>
      <c r="AA3884" s="33">
        <v>3780</v>
      </c>
    </row>
    <row r="3885" spans="1:27" ht="12" customHeight="1" x14ac:dyDescent="0.15">
      <c r="A3885" s="33" t="s">
        <v>22462</v>
      </c>
      <c r="B3885" s="33">
        <v>42</v>
      </c>
      <c r="C3885" s="33" t="s">
        <v>14</v>
      </c>
      <c r="D3885" s="33" t="s">
        <v>42</v>
      </c>
      <c r="F3885" s="67">
        <v>42545</v>
      </c>
      <c r="G3885" s="33" t="s">
        <v>22463</v>
      </c>
      <c r="H3885" s="33" t="s">
        <v>1027</v>
      </c>
      <c r="I3885" s="33" t="s">
        <v>367</v>
      </c>
      <c r="J3885" s="33">
        <v>73106</v>
      </c>
      <c r="K3885" s="33" t="s">
        <v>1028</v>
      </c>
      <c r="L3885" s="33" t="s">
        <v>1029</v>
      </c>
      <c r="M3885" s="33" t="s">
        <v>21</v>
      </c>
      <c r="N3885" s="33" t="s">
        <v>22568</v>
      </c>
      <c r="O3885" s="33" t="s">
        <v>372</v>
      </c>
      <c r="P3885" s="33" t="s">
        <v>30089</v>
      </c>
      <c r="Q3885" s="40" t="s">
        <v>22618</v>
      </c>
      <c r="R3885" s="33" t="s">
        <v>512</v>
      </c>
      <c r="S3885" s="33" t="s">
        <v>12</v>
      </c>
      <c r="T3885" s="33" t="s">
        <v>29705</v>
      </c>
      <c r="U3885" s="33" t="s">
        <v>26570</v>
      </c>
      <c r="V3885" s="33" t="s">
        <v>19228</v>
      </c>
      <c r="W3885" s="33" t="s">
        <v>94</v>
      </c>
      <c r="X3885" s="33">
        <v>1660</v>
      </c>
      <c r="Z3885" s="33" t="s">
        <v>42966</v>
      </c>
      <c r="AA3885" s="33">
        <v>3782</v>
      </c>
    </row>
    <row r="3886" spans="1:27" ht="12" customHeight="1" x14ac:dyDescent="0.15">
      <c r="A3886" s="33" t="s">
        <v>22455</v>
      </c>
      <c r="B3886" s="33">
        <v>36</v>
      </c>
      <c r="C3886" s="33" t="s">
        <v>14</v>
      </c>
      <c r="D3886" s="33" t="s">
        <v>79</v>
      </c>
      <c r="E3886" s="33" t="s">
        <v>22515</v>
      </c>
      <c r="F3886" s="67">
        <v>42545</v>
      </c>
      <c r="G3886" s="33" t="s">
        <v>22456</v>
      </c>
      <c r="H3886" s="33" t="s">
        <v>11101</v>
      </c>
      <c r="I3886" s="33" t="s">
        <v>75</v>
      </c>
      <c r="J3886" s="33">
        <v>7501</v>
      </c>
      <c r="K3886" s="33" t="s">
        <v>8605</v>
      </c>
      <c r="L3886" s="33" t="s">
        <v>11103</v>
      </c>
      <c r="M3886" s="33" t="s">
        <v>21</v>
      </c>
      <c r="N3886" s="33" t="s">
        <v>22565</v>
      </c>
      <c r="O3886" s="33" t="s">
        <v>372</v>
      </c>
      <c r="P3886" s="33" t="s">
        <v>30089</v>
      </c>
      <c r="Q3886" s="40" t="s">
        <v>22615</v>
      </c>
      <c r="R3886" s="33" t="s">
        <v>94</v>
      </c>
      <c r="S3886" s="33" t="s">
        <v>22</v>
      </c>
      <c r="T3886" s="33" t="s">
        <v>26781</v>
      </c>
      <c r="U3886" s="33" t="s">
        <v>26572</v>
      </c>
      <c r="V3886" s="33" t="s">
        <v>26573</v>
      </c>
      <c r="W3886" s="33" t="s">
        <v>94</v>
      </c>
      <c r="X3886" s="33">
        <v>1650</v>
      </c>
      <c r="Z3886" s="33" t="s">
        <v>42966</v>
      </c>
      <c r="AA3886" s="33">
        <v>3778</v>
      </c>
    </row>
    <row r="3887" spans="1:27" ht="12" customHeight="1" x14ac:dyDescent="0.15">
      <c r="A3887" s="33" t="s">
        <v>26713</v>
      </c>
      <c r="B3887" s="33">
        <v>26</v>
      </c>
      <c r="C3887" s="33" t="s">
        <v>14</v>
      </c>
      <c r="D3887" s="33" t="s">
        <v>42</v>
      </c>
      <c r="F3887" s="67">
        <v>42545</v>
      </c>
      <c r="G3887" s="33" t="s">
        <v>29890</v>
      </c>
      <c r="H3887" s="33" t="s">
        <v>23920</v>
      </c>
      <c r="I3887" s="33" t="s">
        <v>56</v>
      </c>
      <c r="J3887" s="33" t="s">
        <v>29891</v>
      </c>
      <c r="K3887" s="33" t="s">
        <v>590</v>
      </c>
      <c r="L3887" s="33" t="s">
        <v>591</v>
      </c>
      <c r="M3887" s="33" t="s">
        <v>21</v>
      </c>
      <c r="N3887" s="33" t="s">
        <v>29892</v>
      </c>
      <c r="O3887" s="33" t="s">
        <v>372</v>
      </c>
      <c r="P3887" s="33" t="s">
        <v>30089</v>
      </c>
      <c r="Q3887" s="40" t="s">
        <v>29893</v>
      </c>
      <c r="R3887" s="33" t="s">
        <v>94</v>
      </c>
      <c r="S3887" s="33" t="s">
        <v>22</v>
      </c>
      <c r="T3887" s="33" t="s">
        <v>26781</v>
      </c>
      <c r="U3887" s="33" t="s">
        <v>26572</v>
      </c>
      <c r="V3887" s="33" t="s">
        <v>26573</v>
      </c>
      <c r="W3887" s="33" t="s">
        <v>94</v>
      </c>
      <c r="X3887" s="33">
        <v>1728</v>
      </c>
      <c r="Z3887" s="33" t="s">
        <v>42968</v>
      </c>
      <c r="AA3887" s="33">
        <v>3781</v>
      </c>
    </row>
    <row r="3888" spans="1:27" ht="12" customHeight="1" x14ac:dyDescent="0.15">
      <c r="A3888" s="33" t="s">
        <v>22468</v>
      </c>
      <c r="B3888" s="33">
        <v>25</v>
      </c>
      <c r="C3888" s="33" t="s">
        <v>14</v>
      </c>
      <c r="D3888" s="33" t="s">
        <v>79</v>
      </c>
      <c r="E3888" s="33" t="s">
        <v>22517</v>
      </c>
      <c r="F3888" s="67">
        <v>42544</v>
      </c>
      <c r="G3888" s="33" t="s">
        <v>22469</v>
      </c>
      <c r="H3888" s="33" t="s">
        <v>1152</v>
      </c>
      <c r="I3888" s="33" t="s">
        <v>409</v>
      </c>
      <c r="J3888" s="33">
        <v>53225</v>
      </c>
      <c r="K3888" s="33" t="s">
        <v>831</v>
      </c>
      <c r="L3888" s="33" t="s">
        <v>1153</v>
      </c>
      <c r="M3888" s="33" t="s">
        <v>21</v>
      </c>
      <c r="N3888" s="33" t="s">
        <v>22570</v>
      </c>
      <c r="O3888" s="33" t="s">
        <v>372</v>
      </c>
      <c r="P3888" s="33" t="s">
        <v>30089</v>
      </c>
      <c r="Q3888" s="40" t="s">
        <v>22621</v>
      </c>
      <c r="R3888" s="33" t="s">
        <v>94</v>
      </c>
      <c r="S3888" s="33" t="s">
        <v>22</v>
      </c>
      <c r="T3888" s="33" t="s">
        <v>26781</v>
      </c>
      <c r="U3888" s="33" t="s">
        <v>26570</v>
      </c>
      <c r="V3888" s="33" t="s">
        <v>26573</v>
      </c>
      <c r="W3888" s="33" t="s">
        <v>512</v>
      </c>
      <c r="X3888" s="33">
        <v>1648</v>
      </c>
      <c r="Z3888" s="33" t="s">
        <v>42968</v>
      </c>
      <c r="AA3888" s="33">
        <v>3775</v>
      </c>
    </row>
    <row r="3889" spans="1:27" ht="12" customHeight="1" x14ac:dyDescent="0.15">
      <c r="A3889" s="33" t="s">
        <v>22470</v>
      </c>
      <c r="B3889" s="33">
        <v>35</v>
      </c>
      <c r="C3889" s="33" t="s">
        <v>14</v>
      </c>
      <c r="D3889" s="33" t="s">
        <v>79</v>
      </c>
      <c r="E3889" s="33" t="s">
        <v>22518</v>
      </c>
      <c r="F3889" s="67">
        <v>42544</v>
      </c>
      <c r="G3889" s="33" t="s">
        <v>22471</v>
      </c>
      <c r="H3889" s="33" t="s">
        <v>13970</v>
      </c>
      <c r="I3889" s="33" t="s">
        <v>38</v>
      </c>
      <c r="J3889" s="33">
        <v>62226</v>
      </c>
      <c r="K3889" s="33" t="s">
        <v>20220</v>
      </c>
      <c r="L3889" s="33" t="s">
        <v>13972</v>
      </c>
      <c r="M3889" s="33" t="s">
        <v>21</v>
      </c>
      <c r="N3889" s="33" t="s">
        <v>22571</v>
      </c>
      <c r="O3889" s="33" t="s">
        <v>372</v>
      </c>
      <c r="P3889" s="33" t="s">
        <v>30089</v>
      </c>
      <c r="Q3889" s="40" t="s">
        <v>22622</v>
      </c>
      <c r="R3889" s="33" t="s">
        <v>23</v>
      </c>
      <c r="S3889" s="33" t="s">
        <v>22</v>
      </c>
      <c r="T3889" s="33" t="s">
        <v>26781</v>
      </c>
      <c r="U3889" s="33" t="s">
        <v>26572</v>
      </c>
      <c r="V3889" s="33" t="s">
        <v>26574</v>
      </c>
      <c r="W3889" s="33" t="s">
        <v>94</v>
      </c>
      <c r="X3889" s="33">
        <v>1649</v>
      </c>
      <c r="Z3889" s="33" t="s">
        <v>42968</v>
      </c>
      <c r="AA3889" s="33">
        <v>3776</v>
      </c>
    </row>
    <row r="3890" spans="1:27" ht="12" customHeight="1" x14ac:dyDescent="0.15">
      <c r="A3890" s="33" t="s">
        <v>22457</v>
      </c>
      <c r="B3890" s="33">
        <v>29</v>
      </c>
      <c r="C3890" s="33" t="s">
        <v>14</v>
      </c>
      <c r="D3890" s="33" t="s">
        <v>42</v>
      </c>
      <c r="F3890" s="67">
        <v>42544</v>
      </c>
      <c r="G3890" s="33" t="s">
        <v>22458</v>
      </c>
      <c r="H3890" s="33" t="s">
        <v>688</v>
      </c>
      <c r="I3890" s="33" t="s">
        <v>178</v>
      </c>
      <c r="J3890" s="33">
        <v>88041</v>
      </c>
      <c r="K3890" s="33" t="s">
        <v>369</v>
      </c>
      <c r="L3890" s="33" t="s">
        <v>2847</v>
      </c>
      <c r="M3890" s="33" t="s">
        <v>21</v>
      </c>
      <c r="N3890" s="33" t="s">
        <v>22566</v>
      </c>
      <c r="O3890" s="33" t="s">
        <v>372</v>
      </c>
      <c r="P3890" s="33" t="s">
        <v>30089</v>
      </c>
      <c r="Q3890" s="40" t="s">
        <v>22616</v>
      </c>
      <c r="R3890" s="33" t="s">
        <v>94</v>
      </c>
      <c r="S3890" s="33" t="s">
        <v>22</v>
      </c>
      <c r="T3890" s="33" t="s">
        <v>26781</v>
      </c>
      <c r="U3890" s="33" t="s">
        <v>26575</v>
      </c>
      <c r="V3890" s="33" t="s">
        <v>26573</v>
      </c>
      <c r="W3890" s="33" t="s">
        <v>94</v>
      </c>
      <c r="X3890" s="33">
        <v>1662</v>
      </c>
      <c r="Z3890" s="33" t="s">
        <v>42967</v>
      </c>
      <c r="AA3890" s="33">
        <v>3777</v>
      </c>
    </row>
    <row r="3891" spans="1:27" ht="12" customHeight="1" x14ac:dyDescent="0.15">
      <c r="A3891" s="33" t="s">
        <v>22472</v>
      </c>
      <c r="B3891" s="33">
        <v>20</v>
      </c>
      <c r="C3891" s="33" t="s">
        <v>14</v>
      </c>
      <c r="D3891" s="33" t="s">
        <v>79</v>
      </c>
      <c r="E3891" s="33" t="s">
        <v>22519</v>
      </c>
      <c r="F3891" s="67">
        <v>42543</v>
      </c>
      <c r="G3891" s="33" t="s">
        <v>22473</v>
      </c>
      <c r="H3891" s="33" t="s">
        <v>3809</v>
      </c>
      <c r="I3891" s="33" t="s">
        <v>88</v>
      </c>
      <c r="J3891" s="33">
        <v>35210</v>
      </c>
      <c r="K3891" s="33" t="s">
        <v>1659</v>
      </c>
      <c r="L3891" s="33" t="s">
        <v>22474</v>
      </c>
      <c r="M3891" s="33" t="s">
        <v>21</v>
      </c>
      <c r="N3891" s="33" t="s">
        <v>22572</v>
      </c>
      <c r="O3891" s="33" t="s">
        <v>372</v>
      </c>
      <c r="P3891" s="33" t="s">
        <v>30089</v>
      </c>
      <c r="Q3891" s="40" t="s">
        <v>22623</v>
      </c>
      <c r="R3891" s="33" t="s">
        <v>94</v>
      </c>
      <c r="S3891" s="33" t="s">
        <v>351</v>
      </c>
      <c r="T3891" s="33" t="s">
        <v>26867</v>
      </c>
      <c r="U3891" s="33" t="s">
        <v>26572</v>
      </c>
      <c r="V3891" s="33" t="s">
        <v>26571</v>
      </c>
      <c r="W3891" s="33" t="s">
        <v>94</v>
      </c>
      <c r="X3891" s="33">
        <v>1644</v>
      </c>
      <c r="Z3891" s="33" t="s">
        <v>42968</v>
      </c>
      <c r="AA3891" s="33">
        <v>3774</v>
      </c>
    </row>
    <row r="3892" spans="1:27" ht="12" customHeight="1" x14ac:dyDescent="0.15">
      <c r="A3892" s="33" t="s">
        <v>22484</v>
      </c>
      <c r="B3892" s="33">
        <v>46</v>
      </c>
      <c r="C3892" s="33" t="s">
        <v>14</v>
      </c>
      <c r="D3892" s="33" t="s">
        <v>79</v>
      </c>
      <c r="F3892" s="67">
        <v>42543</v>
      </c>
      <c r="G3892" s="33" t="s">
        <v>22485</v>
      </c>
      <c r="H3892" s="33" t="s">
        <v>7981</v>
      </c>
      <c r="I3892" s="33" t="s">
        <v>51</v>
      </c>
      <c r="J3892" s="33">
        <v>48505</v>
      </c>
      <c r="K3892" s="33" t="s">
        <v>7740</v>
      </c>
      <c r="L3892" s="33" t="s">
        <v>22486</v>
      </c>
      <c r="M3892" s="33" t="s">
        <v>363</v>
      </c>
      <c r="N3892" s="33" t="s">
        <v>22576</v>
      </c>
      <c r="O3892" s="33" t="s">
        <v>372</v>
      </c>
      <c r="P3892" s="33" t="s">
        <v>30089</v>
      </c>
      <c r="Q3892" s="40" t="s">
        <v>22627</v>
      </c>
      <c r="R3892" s="33" t="s">
        <v>94</v>
      </c>
      <c r="S3892" s="33" t="s">
        <v>22</v>
      </c>
      <c r="T3892" s="33" t="s">
        <v>26774</v>
      </c>
      <c r="U3892" s="33" t="s">
        <v>26572</v>
      </c>
      <c r="V3892" s="33" t="s">
        <v>26573</v>
      </c>
      <c r="Z3892" s="33" t="s">
        <v>42966</v>
      </c>
      <c r="AA3892" s="33">
        <v>3772</v>
      </c>
    </row>
    <row r="3893" spans="1:27" ht="12" customHeight="1" x14ac:dyDescent="0.15">
      <c r="A3893" s="33" t="s">
        <v>22478</v>
      </c>
      <c r="B3893" s="33">
        <v>25</v>
      </c>
      <c r="C3893" s="33" t="s">
        <v>14</v>
      </c>
      <c r="D3893" s="33" t="s">
        <v>31</v>
      </c>
      <c r="F3893" s="67">
        <v>42543</v>
      </c>
      <c r="G3893" s="33" t="s">
        <v>22479</v>
      </c>
      <c r="H3893" s="33" t="s">
        <v>18214</v>
      </c>
      <c r="I3893" s="33" t="s">
        <v>192</v>
      </c>
      <c r="J3893" s="33">
        <v>80910</v>
      </c>
      <c r="K3893" s="33" t="s">
        <v>801</v>
      </c>
      <c r="L3893" s="33" t="s">
        <v>18216</v>
      </c>
      <c r="M3893" s="33" t="s">
        <v>21</v>
      </c>
      <c r="N3893" s="33" t="s">
        <v>22574</v>
      </c>
      <c r="O3893" s="33" t="s">
        <v>372</v>
      </c>
      <c r="P3893" s="33" t="s">
        <v>30089</v>
      </c>
      <c r="Q3893" s="40" t="s">
        <v>22625</v>
      </c>
      <c r="R3893" s="33" t="s">
        <v>904</v>
      </c>
      <c r="S3893" s="33" t="s">
        <v>22</v>
      </c>
      <c r="T3893" s="33" t="s">
        <v>26781</v>
      </c>
      <c r="U3893" s="33" t="s">
        <v>26572</v>
      </c>
      <c r="V3893" s="33" t="s">
        <v>26573</v>
      </c>
      <c r="W3893" s="33" t="s">
        <v>94</v>
      </c>
      <c r="X3893" s="33">
        <v>1641</v>
      </c>
      <c r="Z3893" s="33" t="s">
        <v>42968</v>
      </c>
      <c r="AA3893" s="33">
        <v>3768</v>
      </c>
    </row>
    <row r="3894" spans="1:27" ht="12" customHeight="1" x14ac:dyDescent="0.15">
      <c r="A3894" s="33" t="s">
        <v>22466</v>
      </c>
      <c r="B3894" s="33">
        <v>22</v>
      </c>
      <c r="C3894" s="33" t="s">
        <v>14</v>
      </c>
      <c r="D3894" s="33" t="s">
        <v>79</v>
      </c>
      <c r="E3894" s="33" t="s">
        <v>22516</v>
      </c>
      <c r="F3894" s="67">
        <v>42543</v>
      </c>
      <c r="G3894" s="33" t="s">
        <v>22467</v>
      </c>
      <c r="H3894" s="33" t="s">
        <v>1786</v>
      </c>
      <c r="I3894" s="33" t="s">
        <v>160</v>
      </c>
      <c r="J3894" s="33">
        <v>30324</v>
      </c>
      <c r="K3894" s="33" t="s">
        <v>1454</v>
      </c>
      <c r="L3894" s="33" t="s">
        <v>2356</v>
      </c>
      <c r="M3894" s="33" t="s">
        <v>21</v>
      </c>
      <c r="N3894" s="33" t="s">
        <v>22569</v>
      </c>
      <c r="O3894" s="33" t="s">
        <v>22637</v>
      </c>
      <c r="P3894" s="33" t="s">
        <v>1084</v>
      </c>
      <c r="Q3894" s="40" t="s">
        <v>22620</v>
      </c>
      <c r="R3894" s="33" t="s">
        <v>94</v>
      </c>
      <c r="S3894" s="33" t="s">
        <v>12</v>
      </c>
      <c r="T3894" s="33" t="s">
        <v>29705</v>
      </c>
      <c r="U3894" s="33" t="s">
        <v>26575</v>
      </c>
      <c r="V3894" s="33" t="s">
        <v>19228</v>
      </c>
      <c r="W3894" s="33" t="s">
        <v>94</v>
      </c>
      <c r="X3894" s="33">
        <v>1647</v>
      </c>
      <c r="Y3894" s="33" t="s">
        <v>42476</v>
      </c>
      <c r="Z3894" s="33" t="s">
        <v>42966</v>
      </c>
      <c r="AA3894" s="33">
        <v>3773</v>
      </c>
    </row>
    <row r="3895" spans="1:27" ht="12" customHeight="1" x14ac:dyDescent="0.15">
      <c r="A3895" s="33" t="s">
        <v>22480</v>
      </c>
      <c r="B3895" s="33">
        <v>44</v>
      </c>
      <c r="C3895" s="33" t="s">
        <v>14</v>
      </c>
      <c r="D3895" s="33" t="s">
        <v>79</v>
      </c>
      <c r="F3895" s="67">
        <v>42543</v>
      </c>
      <c r="G3895" s="33" t="s">
        <v>22481</v>
      </c>
      <c r="H3895" s="33" t="s">
        <v>22482</v>
      </c>
      <c r="I3895" s="33" t="s">
        <v>621</v>
      </c>
      <c r="J3895" s="33">
        <v>38680</v>
      </c>
      <c r="K3895" s="33" t="s">
        <v>1107</v>
      </c>
      <c r="L3895" s="33" t="s">
        <v>22483</v>
      </c>
      <c r="M3895" s="33" t="s">
        <v>21</v>
      </c>
      <c r="N3895" s="33" t="s">
        <v>22575</v>
      </c>
      <c r="O3895" s="33" t="s">
        <v>372</v>
      </c>
      <c r="P3895" s="33" t="s">
        <v>30089</v>
      </c>
      <c r="Q3895" s="40" t="s">
        <v>22626</v>
      </c>
      <c r="R3895" s="33" t="s">
        <v>94</v>
      </c>
      <c r="S3895" s="33" t="s">
        <v>22</v>
      </c>
      <c r="T3895" s="33" t="s">
        <v>26781</v>
      </c>
      <c r="U3895" s="33" t="s">
        <v>26572</v>
      </c>
      <c r="V3895" s="33" t="s">
        <v>26574</v>
      </c>
      <c r="W3895" s="33" t="s">
        <v>94</v>
      </c>
      <c r="X3895" s="33">
        <v>1646</v>
      </c>
      <c r="Z3895" s="33" t="s">
        <v>42967</v>
      </c>
      <c r="AA3895" s="33">
        <v>3769</v>
      </c>
    </row>
    <row r="3896" spans="1:27" ht="12" customHeight="1" x14ac:dyDescent="0.15">
      <c r="A3896" s="33" t="s">
        <v>22487</v>
      </c>
      <c r="B3896" s="33">
        <v>31</v>
      </c>
      <c r="C3896" s="33" t="s">
        <v>14</v>
      </c>
      <c r="D3896" s="33" t="s">
        <v>31</v>
      </c>
      <c r="F3896" s="67">
        <v>42543</v>
      </c>
      <c r="G3896" s="33" t="s">
        <v>22488</v>
      </c>
      <c r="H3896" s="33" t="s">
        <v>22489</v>
      </c>
      <c r="I3896" s="33" t="s">
        <v>67</v>
      </c>
      <c r="J3896" s="33">
        <v>77418</v>
      </c>
      <c r="K3896" s="33" t="s">
        <v>1227</v>
      </c>
      <c r="L3896" s="33" t="s">
        <v>22490</v>
      </c>
      <c r="M3896" s="33" t="s">
        <v>21</v>
      </c>
      <c r="N3896" s="33" t="s">
        <v>22577</v>
      </c>
      <c r="O3896" s="33" t="s">
        <v>372</v>
      </c>
      <c r="P3896" s="33" t="s">
        <v>30089</v>
      </c>
      <c r="Q3896" s="40" t="s">
        <v>22628</v>
      </c>
      <c r="R3896" s="33" t="s">
        <v>94</v>
      </c>
      <c r="S3896" s="33" t="s">
        <v>22</v>
      </c>
      <c r="T3896" s="33" t="s">
        <v>26781</v>
      </c>
      <c r="U3896" s="33" t="s">
        <v>26572</v>
      </c>
      <c r="V3896" s="33" t="s">
        <v>26573</v>
      </c>
      <c r="W3896" s="33" t="s">
        <v>512</v>
      </c>
      <c r="X3896" s="33">
        <v>1651</v>
      </c>
      <c r="Z3896" s="33" t="s">
        <v>42967</v>
      </c>
      <c r="AA3896" s="33">
        <v>3770</v>
      </c>
    </row>
    <row r="3897" spans="1:27" ht="12" customHeight="1" x14ac:dyDescent="0.15">
      <c r="A3897" s="33" t="s">
        <v>22475</v>
      </c>
      <c r="B3897" s="33">
        <v>37</v>
      </c>
      <c r="C3897" s="33" t="s">
        <v>14</v>
      </c>
      <c r="D3897" s="33" t="s">
        <v>42</v>
      </c>
      <c r="F3897" s="67">
        <v>42543</v>
      </c>
      <c r="G3897" s="33" t="s">
        <v>22476</v>
      </c>
      <c r="H3897" s="33" t="s">
        <v>22477</v>
      </c>
      <c r="I3897" s="33" t="s">
        <v>56</v>
      </c>
      <c r="J3897" s="33">
        <v>33414</v>
      </c>
      <c r="K3897" s="33" t="s">
        <v>4878</v>
      </c>
      <c r="L3897" s="33" t="s">
        <v>57</v>
      </c>
      <c r="M3897" s="33" t="s">
        <v>21</v>
      </c>
      <c r="N3897" s="33" t="s">
        <v>22573</v>
      </c>
      <c r="O3897" s="33" t="s">
        <v>372</v>
      </c>
      <c r="P3897" s="33" t="s">
        <v>30089</v>
      </c>
      <c r="Q3897" s="40" t="s">
        <v>22624</v>
      </c>
      <c r="R3897" s="33" t="s">
        <v>94</v>
      </c>
      <c r="S3897" s="33" t="s">
        <v>22</v>
      </c>
      <c r="T3897" s="33" t="s">
        <v>26774</v>
      </c>
      <c r="U3897" s="33" t="s">
        <v>26570</v>
      </c>
      <c r="V3897" s="33" t="s">
        <v>26573</v>
      </c>
      <c r="W3897" s="33" t="s">
        <v>94</v>
      </c>
      <c r="X3897" s="33">
        <v>1645</v>
      </c>
      <c r="Z3897" s="33" t="s">
        <v>42968</v>
      </c>
      <c r="AA3897" s="33">
        <v>3771</v>
      </c>
    </row>
    <row r="3898" spans="1:27" ht="12" customHeight="1" x14ac:dyDescent="0.15">
      <c r="A3898" s="33" t="s">
        <v>22498</v>
      </c>
      <c r="B3898" s="33">
        <v>50</v>
      </c>
      <c r="C3898" s="33" t="s">
        <v>14</v>
      </c>
      <c r="D3898" s="33" t="s">
        <v>31</v>
      </c>
      <c r="F3898" s="67">
        <v>42542</v>
      </c>
      <c r="G3898" s="33" t="s">
        <v>22499</v>
      </c>
      <c r="H3898" s="33" t="s">
        <v>1233</v>
      </c>
      <c r="I3898" s="33" t="s">
        <v>1020</v>
      </c>
      <c r="J3898" s="33">
        <v>82601</v>
      </c>
      <c r="K3898" s="33" t="s">
        <v>1234</v>
      </c>
      <c r="L3898" s="33" t="s">
        <v>22500</v>
      </c>
      <c r="M3898" s="33" t="s">
        <v>21</v>
      </c>
      <c r="N3898" s="33" t="s">
        <v>22580</v>
      </c>
      <c r="O3898" s="33" t="s">
        <v>372</v>
      </c>
      <c r="P3898" s="33" t="s">
        <v>30089</v>
      </c>
      <c r="Q3898" s="40" t="s">
        <v>22631</v>
      </c>
      <c r="R3898" s="33" t="s">
        <v>512</v>
      </c>
      <c r="S3898" s="33" t="s">
        <v>22</v>
      </c>
      <c r="T3898" s="33" t="s">
        <v>26781</v>
      </c>
      <c r="U3898" s="33" t="s">
        <v>26572</v>
      </c>
      <c r="V3898" s="33" t="s">
        <v>26573</v>
      </c>
      <c r="W3898" s="33" t="s">
        <v>94</v>
      </c>
      <c r="X3898" s="33">
        <v>1642</v>
      </c>
      <c r="Z3898" s="33" t="s">
        <v>42968</v>
      </c>
      <c r="AA3898" s="33">
        <v>3765</v>
      </c>
    </row>
    <row r="3899" spans="1:27" ht="12" customHeight="1" x14ac:dyDescent="0.15">
      <c r="A3899" s="33" t="s">
        <v>22494</v>
      </c>
      <c r="B3899" s="33">
        <v>24</v>
      </c>
      <c r="C3899" s="33" t="s">
        <v>14</v>
      </c>
      <c r="D3899" s="33" t="s">
        <v>42</v>
      </c>
      <c r="E3899" s="33" t="s">
        <v>22521</v>
      </c>
      <c r="F3899" s="67">
        <v>42542</v>
      </c>
      <c r="G3899" s="33" t="s">
        <v>22495</v>
      </c>
      <c r="H3899" s="33" t="s">
        <v>22496</v>
      </c>
      <c r="I3899" s="33" t="s">
        <v>338</v>
      </c>
      <c r="J3899" s="33">
        <v>28090</v>
      </c>
      <c r="K3899" s="33" t="s">
        <v>924</v>
      </c>
      <c r="L3899" s="33" t="s">
        <v>22497</v>
      </c>
      <c r="M3899" s="33" t="s">
        <v>21</v>
      </c>
      <c r="N3899" s="33" t="s">
        <v>22579</v>
      </c>
      <c r="O3899" s="33" t="s">
        <v>372</v>
      </c>
      <c r="P3899" s="33" t="s">
        <v>30089</v>
      </c>
      <c r="Q3899" s="40" t="s">
        <v>22630</v>
      </c>
      <c r="R3899" s="33" t="s">
        <v>512</v>
      </c>
      <c r="S3899" s="33" t="s">
        <v>29</v>
      </c>
      <c r="T3899" s="33" t="s">
        <v>26575</v>
      </c>
      <c r="U3899" s="33" t="s">
        <v>26572</v>
      </c>
      <c r="V3899" s="33" t="s">
        <v>26573</v>
      </c>
      <c r="W3899" s="33" t="s">
        <v>94</v>
      </c>
      <c r="X3899" s="33">
        <v>1643</v>
      </c>
      <c r="Z3899" s="33" t="s">
        <v>42967</v>
      </c>
      <c r="AA3899" s="33">
        <v>3767</v>
      </c>
    </row>
    <row r="3900" spans="1:27" ht="12" customHeight="1" x14ac:dyDescent="0.15">
      <c r="A3900" s="33" t="s">
        <v>22491</v>
      </c>
      <c r="B3900" s="33">
        <v>19</v>
      </c>
      <c r="C3900" s="33" t="s">
        <v>14</v>
      </c>
      <c r="D3900" s="33" t="s">
        <v>31</v>
      </c>
      <c r="E3900" s="33" t="s">
        <v>22520</v>
      </c>
      <c r="F3900" s="67">
        <v>42542</v>
      </c>
      <c r="G3900" s="33" t="s">
        <v>22492</v>
      </c>
      <c r="H3900" s="33" t="s">
        <v>22493</v>
      </c>
      <c r="I3900" s="33" t="s">
        <v>468</v>
      </c>
      <c r="J3900" s="33">
        <v>3458</v>
      </c>
      <c r="K3900" s="33" t="s">
        <v>590</v>
      </c>
      <c r="L3900" s="33" t="s">
        <v>36948</v>
      </c>
      <c r="M3900" s="33" t="s">
        <v>21</v>
      </c>
      <c r="N3900" s="33" t="s">
        <v>22578</v>
      </c>
      <c r="O3900" s="33" t="s">
        <v>372</v>
      </c>
      <c r="P3900" s="33" t="s">
        <v>30089</v>
      </c>
      <c r="Q3900" s="40" t="s">
        <v>22629</v>
      </c>
      <c r="R3900" s="33" t="s">
        <v>512</v>
      </c>
      <c r="S3900" s="33" t="s">
        <v>12</v>
      </c>
      <c r="T3900" s="33" t="s">
        <v>29425</v>
      </c>
      <c r="U3900" s="33" t="s">
        <v>26572</v>
      </c>
      <c r="V3900" s="33" t="s">
        <v>26571</v>
      </c>
      <c r="W3900" s="33" t="s">
        <v>94</v>
      </c>
      <c r="X3900" s="33">
        <v>1640</v>
      </c>
      <c r="Z3900" s="33" t="s">
        <v>42967</v>
      </c>
      <c r="AA3900" s="33">
        <v>3766</v>
      </c>
    </row>
    <row r="3901" spans="1:27" ht="12" customHeight="1" x14ac:dyDescent="0.15">
      <c r="A3901" s="33" t="s">
        <v>22072</v>
      </c>
      <c r="B3901" s="33">
        <v>23</v>
      </c>
      <c r="C3901" s="33" t="s">
        <v>14</v>
      </c>
      <c r="D3901" s="33" t="s">
        <v>79</v>
      </c>
      <c r="E3901" s="33" t="s">
        <v>23844</v>
      </c>
      <c r="F3901" s="67">
        <v>42541</v>
      </c>
      <c r="G3901" s="33" t="s">
        <v>22073</v>
      </c>
      <c r="H3901" s="33" t="s">
        <v>22074</v>
      </c>
      <c r="I3901" s="33" t="s">
        <v>26</v>
      </c>
      <c r="J3901" s="33">
        <v>29927</v>
      </c>
      <c r="K3901" s="33" t="s">
        <v>4697</v>
      </c>
      <c r="L3901" s="33" t="s">
        <v>22075</v>
      </c>
      <c r="M3901" s="33" t="s">
        <v>21</v>
      </c>
      <c r="N3901" s="33" t="s">
        <v>22076</v>
      </c>
      <c r="O3901" s="33" t="s">
        <v>372</v>
      </c>
      <c r="P3901" s="33" t="s">
        <v>30089</v>
      </c>
      <c r="Q3901" s="40" t="s">
        <v>22077</v>
      </c>
      <c r="R3901" s="33" t="s">
        <v>94</v>
      </c>
      <c r="S3901" s="33" t="s">
        <v>22</v>
      </c>
      <c r="T3901" s="33" t="s">
        <v>26781</v>
      </c>
      <c r="U3901" s="33" t="s">
        <v>26572</v>
      </c>
      <c r="V3901" s="33" t="s">
        <v>26573</v>
      </c>
      <c r="W3901" s="33" t="s">
        <v>94</v>
      </c>
      <c r="X3901" s="33">
        <v>1632</v>
      </c>
      <c r="Z3901" s="33" t="s">
        <v>42967</v>
      </c>
      <c r="AA3901" s="33">
        <v>3763</v>
      </c>
    </row>
    <row r="3902" spans="1:27" ht="12" customHeight="1" x14ac:dyDescent="0.15">
      <c r="A3902" s="33" t="s">
        <v>22067</v>
      </c>
      <c r="B3902" s="33">
        <v>20</v>
      </c>
      <c r="C3902" s="33" t="s">
        <v>14</v>
      </c>
      <c r="D3902" s="33" t="s">
        <v>31</v>
      </c>
      <c r="E3902" s="33" t="s">
        <v>22068</v>
      </c>
      <c r="F3902" s="67">
        <v>42541</v>
      </c>
      <c r="G3902" s="33" t="s">
        <v>22087</v>
      </c>
      <c r="H3902" s="33" t="s">
        <v>22069</v>
      </c>
      <c r="I3902" s="33" t="s">
        <v>112</v>
      </c>
      <c r="J3902" s="33">
        <v>86403</v>
      </c>
      <c r="K3902" s="33" t="s">
        <v>5363</v>
      </c>
      <c r="L3902" s="33" t="s">
        <v>22070</v>
      </c>
      <c r="M3902" s="33" t="s">
        <v>4966</v>
      </c>
      <c r="N3902" s="33" t="s">
        <v>36697</v>
      </c>
      <c r="O3902" s="33" t="s">
        <v>372</v>
      </c>
      <c r="P3902" s="33" t="s">
        <v>30089</v>
      </c>
      <c r="Q3902" s="40" t="s">
        <v>22071</v>
      </c>
      <c r="R3902" s="33" t="s">
        <v>23</v>
      </c>
      <c r="S3902" s="33" t="s">
        <v>22</v>
      </c>
      <c r="T3902" s="33" t="s">
        <v>26774</v>
      </c>
      <c r="U3902" s="33" t="s">
        <v>26570</v>
      </c>
      <c r="V3902" s="33" t="s">
        <v>26573</v>
      </c>
      <c r="W3902" s="33" t="s">
        <v>512</v>
      </c>
      <c r="X3902" s="33">
        <v>1638</v>
      </c>
      <c r="Z3902" s="33" t="s">
        <v>42966</v>
      </c>
      <c r="AA3902" s="33">
        <v>3764</v>
      </c>
    </row>
    <row r="3903" spans="1:27" ht="12" customHeight="1" x14ac:dyDescent="0.15">
      <c r="A3903" s="33" t="s">
        <v>22057</v>
      </c>
      <c r="B3903" s="33">
        <v>25</v>
      </c>
      <c r="C3903" s="33" t="s">
        <v>14</v>
      </c>
      <c r="D3903" s="33" t="s">
        <v>79</v>
      </c>
      <c r="E3903" s="33" t="s">
        <v>22058</v>
      </c>
      <c r="F3903" s="67">
        <v>42540</v>
      </c>
      <c r="G3903" s="33" t="s">
        <v>22059</v>
      </c>
      <c r="H3903" s="33" t="s">
        <v>1716</v>
      </c>
      <c r="I3903" s="33" t="s">
        <v>395</v>
      </c>
      <c r="J3903" s="33">
        <v>10474</v>
      </c>
      <c r="K3903" s="33" t="s">
        <v>1716</v>
      </c>
      <c r="L3903" s="33" t="s">
        <v>539</v>
      </c>
      <c r="M3903" s="33" t="s">
        <v>21</v>
      </c>
      <c r="N3903" s="33" t="s">
        <v>22060</v>
      </c>
      <c r="O3903" s="33" t="s">
        <v>372</v>
      </c>
      <c r="P3903" s="33" t="s">
        <v>30089</v>
      </c>
      <c r="Q3903" s="40" t="s">
        <v>22061</v>
      </c>
      <c r="R3903" s="33" t="s">
        <v>94</v>
      </c>
      <c r="S3903" s="33" t="s">
        <v>22</v>
      </c>
      <c r="T3903" s="33" t="s">
        <v>26781</v>
      </c>
      <c r="U3903" s="33" t="s">
        <v>26572</v>
      </c>
      <c r="V3903" s="33" t="s">
        <v>26573</v>
      </c>
      <c r="W3903" s="33" t="s">
        <v>94</v>
      </c>
      <c r="X3903" s="33">
        <v>1631</v>
      </c>
      <c r="Z3903" s="33" t="s">
        <v>42966</v>
      </c>
      <c r="AA3903" s="33">
        <v>3759</v>
      </c>
    </row>
    <row r="3904" spans="1:27" ht="12" customHeight="1" x14ac:dyDescent="0.15">
      <c r="A3904" s="33" t="s">
        <v>22052</v>
      </c>
      <c r="B3904" s="33">
        <v>22</v>
      </c>
      <c r="C3904" s="33" t="s">
        <v>14</v>
      </c>
      <c r="D3904" s="33" t="s">
        <v>79</v>
      </c>
      <c r="E3904" s="33" t="s">
        <v>22053</v>
      </c>
      <c r="F3904" s="67">
        <v>42540</v>
      </c>
      <c r="G3904" s="33" t="s">
        <v>22054</v>
      </c>
      <c r="H3904" s="33" t="s">
        <v>3780</v>
      </c>
      <c r="I3904" s="33" t="s">
        <v>56</v>
      </c>
      <c r="J3904" s="33">
        <v>32907</v>
      </c>
      <c r="K3904" s="33" t="s">
        <v>1654</v>
      </c>
      <c r="L3904" s="33" t="s">
        <v>3452</v>
      </c>
      <c r="M3904" s="33" t="s">
        <v>21</v>
      </c>
      <c r="N3904" s="33" t="s">
        <v>22055</v>
      </c>
      <c r="O3904" s="33" t="s">
        <v>22385</v>
      </c>
      <c r="P3904" s="33" t="s">
        <v>1084</v>
      </c>
      <c r="Q3904" s="40" t="s">
        <v>22056</v>
      </c>
      <c r="R3904" s="33" t="s">
        <v>94</v>
      </c>
      <c r="S3904" s="33" t="s">
        <v>29</v>
      </c>
      <c r="T3904" s="33" t="s">
        <v>26575</v>
      </c>
      <c r="U3904" s="33" t="s">
        <v>26575</v>
      </c>
      <c r="V3904" s="33" t="s">
        <v>26573</v>
      </c>
      <c r="Y3904" s="33" t="s">
        <v>42476</v>
      </c>
      <c r="Z3904" s="33" t="s">
        <v>42968</v>
      </c>
      <c r="AA3904" s="33">
        <v>3762</v>
      </c>
    </row>
    <row r="3905" spans="1:27" ht="12" customHeight="1" x14ac:dyDescent="0.15">
      <c r="A3905" s="33" t="s">
        <v>22046</v>
      </c>
      <c r="B3905" s="33">
        <v>30</v>
      </c>
      <c r="C3905" s="33" t="s">
        <v>14</v>
      </c>
      <c r="D3905" s="33" t="s">
        <v>79</v>
      </c>
      <c r="F3905" s="67">
        <v>42540</v>
      </c>
      <c r="G3905" s="33" t="s">
        <v>22047</v>
      </c>
      <c r="H3905" s="33" t="s">
        <v>22048</v>
      </c>
      <c r="I3905" s="33" t="s">
        <v>56</v>
      </c>
      <c r="J3905" s="33">
        <v>32548</v>
      </c>
      <c r="K3905" s="33" t="s">
        <v>11165</v>
      </c>
      <c r="L3905" s="33" t="s">
        <v>22049</v>
      </c>
      <c r="M3905" s="33" t="s">
        <v>21</v>
      </c>
      <c r="N3905" s="33" t="s">
        <v>22050</v>
      </c>
      <c r="O3905" s="33" t="s">
        <v>372</v>
      </c>
      <c r="P3905" s="33" t="s">
        <v>30089</v>
      </c>
      <c r="Q3905" s="40" t="s">
        <v>22051</v>
      </c>
      <c r="R3905" s="33" t="s">
        <v>94</v>
      </c>
      <c r="S3905" s="33" t="s">
        <v>22</v>
      </c>
      <c r="T3905" s="33" t="s">
        <v>26781</v>
      </c>
      <c r="U3905" s="33" t="s">
        <v>26570</v>
      </c>
      <c r="V3905" s="33" t="s">
        <v>26573</v>
      </c>
      <c r="W3905" s="33" t="s">
        <v>94</v>
      </c>
      <c r="X3905" s="33">
        <v>1635</v>
      </c>
      <c r="Z3905" s="33" t="s">
        <v>42968</v>
      </c>
      <c r="AA3905" s="33">
        <v>3760</v>
      </c>
    </row>
    <row r="3906" spans="1:27" ht="12" customHeight="1" x14ac:dyDescent="0.15">
      <c r="A3906" s="33" t="s">
        <v>22062</v>
      </c>
      <c r="B3906" s="33">
        <v>41</v>
      </c>
      <c r="C3906" s="33" t="s">
        <v>14</v>
      </c>
      <c r="D3906" s="33" t="s">
        <v>79</v>
      </c>
      <c r="E3906" s="33" t="s">
        <v>22063</v>
      </c>
      <c r="F3906" s="67">
        <v>42540</v>
      </c>
      <c r="G3906" s="33" t="s">
        <v>22064</v>
      </c>
      <c r="H3906" s="33" t="s">
        <v>4600</v>
      </c>
      <c r="I3906" s="33" t="s">
        <v>395</v>
      </c>
      <c r="J3906" s="33">
        <v>13204</v>
      </c>
      <c r="K3906" s="33" t="s">
        <v>12104</v>
      </c>
      <c r="L3906" s="33" t="s">
        <v>19425</v>
      </c>
      <c r="M3906" s="33" t="s">
        <v>21</v>
      </c>
      <c r="N3906" s="33" t="s">
        <v>22065</v>
      </c>
      <c r="O3906" s="33" t="s">
        <v>372</v>
      </c>
      <c r="P3906" s="33" t="s">
        <v>30089</v>
      </c>
      <c r="Q3906" s="40" t="s">
        <v>22066</v>
      </c>
      <c r="R3906" s="33" t="s">
        <v>94</v>
      </c>
      <c r="S3906" s="33" t="s">
        <v>29</v>
      </c>
      <c r="T3906" s="33" t="s">
        <v>26575</v>
      </c>
      <c r="U3906" s="33" t="s">
        <v>26575</v>
      </c>
      <c r="V3906" s="33" t="s">
        <v>26573</v>
      </c>
      <c r="Z3906" s="33" t="s">
        <v>42966</v>
      </c>
      <c r="AA3906" s="33">
        <v>3761</v>
      </c>
    </row>
    <row r="3907" spans="1:27" ht="12" customHeight="1" x14ac:dyDescent="0.15">
      <c r="A3907" s="33" t="s">
        <v>22037</v>
      </c>
      <c r="B3907" s="33">
        <v>17</v>
      </c>
      <c r="C3907" s="33" t="s">
        <v>14</v>
      </c>
      <c r="D3907" s="33" t="s">
        <v>31</v>
      </c>
      <c r="F3907" s="67">
        <v>42539</v>
      </c>
      <c r="G3907" s="33" t="s">
        <v>22088</v>
      </c>
      <c r="H3907" s="33" t="s">
        <v>16981</v>
      </c>
      <c r="I3907" s="33" t="s">
        <v>39</v>
      </c>
      <c r="J3907" s="33">
        <v>95608</v>
      </c>
      <c r="K3907" s="33" t="s">
        <v>1537</v>
      </c>
      <c r="L3907" s="33" t="s">
        <v>22038</v>
      </c>
      <c r="M3907" s="33" t="s">
        <v>21</v>
      </c>
      <c r="N3907" s="33" t="s">
        <v>22039</v>
      </c>
      <c r="O3907" s="33" t="s">
        <v>372</v>
      </c>
      <c r="P3907" s="33" t="s">
        <v>30089</v>
      </c>
      <c r="Q3907" s="40" t="s">
        <v>22040</v>
      </c>
      <c r="R3907" s="33" t="s">
        <v>94</v>
      </c>
      <c r="S3907" s="33" t="s">
        <v>351</v>
      </c>
      <c r="T3907" s="33" t="s">
        <v>26867</v>
      </c>
      <c r="U3907" s="33" t="s">
        <v>26570</v>
      </c>
      <c r="V3907" s="33" t="s">
        <v>26571</v>
      </c>
      <c r="W3907" s="33" t="s">
        <v>94</v>
      </c>
      <c r="X3907" s="33">
        <v>1634</v>
      </c>
      <c r="Z3907" s="33" t="s">
        <v>42968</v>
      </c>
      <c r="AA3907" s="33">
        <v>3758</v>
      </c>
    </row>
    <row r="3908" spans="1:27" ht="12" customHeight="1" x14ac:dyDescent="0.15">
      <c r="A3908" s="33" t="s">
        <v>22032</v>
      </c>
      <c r="B3908" s="33">
        <v>34</v>
      </c>
      <c r="C3908" s="33" t="s">
        <v>14</v>
      </c>
      <c r="D3908" s="33" t="s">
        <v>31</v>
      </c>
      <c r="E3908" s="33" t="s">
        <v>22033</v>
      </c>
      <c r="F3908" s="67">
        <v>42539</v>
      </c>
      <c r="G3908" s="33" t="s">
        <v>22034</v>
      </c>
      <c r="H3908" s="33" t="s">
        <v>2012</v>
      </c>
      <c r="I3908" s="33" t="s">
        <v>88</v>
      </c>
      <c r="J3908" s="33">
        <v>35816</v>
      </c>
      <c r="K3908" s="33" t="s">
        <v>2014</v>
      </c>
      <c r="L3908" s="33" t="s">
        <v>2015</v>
      </c>
      <c r="M3908" s="33" t="s">
        <v>21</v>
      </c>
      <c r="N3908" s="33" t="s">
        <v>22035</v>
      </c>
      <c r="O3908" s="33" t="s">
        <v>372</v>
      </c>
      <c r="P3908" s="33" t="s">
        <v>30089</v>
      </c>
      <c r="Q3908" s="40" t="s">
        <v>22036</v>
      </c>
      <c r="R3908" s="33" t="s">
        <v>94</v>
      </c>
      <c r="S3908" s="33" t="s">
        <v>12</v>
      </c>
      <c r="T3908" s="33" t="s">
        <v>29425</v>
      </c>
      <c r="U3908" s="33" t="s">
        <v>26572</v>
      </c>
      <c r="V3908" s="33" t="s">
        <v>26573</v>
      </c>
      <c r="W3908" s="33" t="s">
        <v>512</v>
      </c>
      <c r="X3908" s="33">
        <v>1633</v>
      </c>
      <c r="Z3908" s="33" t="s">
        <v>42968</v>
      </c>
      <c r="AA3908" s="33">
        <v>3756</v>
      </c>
    </row>
    <row r="3909" spans="1:27" ht="12" customHeight="1" x14ac:dyDescent="0.15">
      <c r="A3909" s="33" t="s">
        <v>22041</v>
      </c>
      <c r="B3909" s="33">
        <v>37</v>
      </c>
      <c r="C3909" s="33" t="s">
        <v>14</v>
      </c>
      <c r="D3909" s="33" t="s">
        <v>79</v>
      </c>
      <c r="E3909" s="33" t="s">
        <v>22042</v>
      </c>
      <c r="F3909" s="67">
        <v>42539</v>
      </c>
      <c r="G3909" s="33" t="s">
        <v>22043</v>
      </c>
      <c r="H3909" s="33" t="s">
        <v>12994</v>
      </c>
      <c r="I3909" s="33" t="s">
        <v>621</v>
      </c>
      <c r="J3909" s="33">
        <v>38801</v>
      </c>
      <c r="K3909" s="33" t="s">
        <v>5086</v>
      </c>
      <c r="L3909" s="33" t="s">
        <v>21938</v>
      </c>
      <c r="M3909" s="33" t="s">
        <v>21</v>
      </c>
      <c r="N3909" s="33" t="s">
        <v>22044</v>
      </c>
      <c r="O3909" s="33" t="s">
        <v>372</v>
      </c>
      <c r="P3909" s="33" t="s">
        <v>30089</v>
      </c>
      <c r="Q3909" s="40" t="s">
        <v>22045</v>
      </c>
      <c r="R3909" s="33" t="s">
        <v>94</v>
      </c>
      <c r="S3909" s="33" t="s">
        <v>12</v>
      </c>
      <c r="T3909" s="33" t="s">
        <v>29705</v>
      </c>
      <c r="U3909" s="33" t="s">
        <v>26572</v>
      </c>
      <c r="V3909" s="33" t="s">
        <v>26574</v>
      </c>
      <c r="W3909" s="33" t="s">
        <v>94</v>
      </c>
      <c r="X3909" s="33">
        <v>1637</v>
      </c>
      <c r="Z3909" s="33" t="s">
        <v>42966</v>
      </c>
      <c r="AA3909" s="33">
        <v>3757</v>
      </c>
    </row>
    <row r="3910" spans="1:27" ht="12" customHeight="1" x14ac:dyDescent="0.15">
      <c r="A3910" s="33" t="s">
        <v>22020</v>
      </c>
      <c r="B3910" s="33">
        <v>36</v>
      </c>
      <c r="C3910" s="33" t="s">
        <v>14</v>
      </c>
      <c r="D3910" s="33" t="s">
        <v>31</v>
      </c>
      <c r="F3910" s="67">
        <v>42537</v>
      </c>
      <c r="G3910" s="33" t="s">
        <v>22021</v>
      </c>
      <c r="H3910" s="33" t="s">
        <v>4807</v>
      </c>
      <c r="I3910" s="33" t="s">
        <v>798</v>
      </c>
      <c r="J3910" s="33">
        <v>59701</v>
      </c>
      <c r="K3910" s="33" t="s">
        <v>22022</v>
      </c>
      <c r="L3910" s="33" t="s">
        <v>22023</v>
      </c>
      <c r="M3910" s="33" t="s">
        <v>21</v>
      </c>
      <c r="N3910" s="33" t="s">
        <v>22024</v>
      </c>
      <c r="O3910" s="33" t="s">
        <v>372</v>
      </c>
      <c r="P3910" s="33" t="s">
        <v>30089</v>
      </c>
      <c r="Q3910" s="40" t="s">
        <v>22025</v>
      </c>
      <c r="R3910" s="33" t="s">
        <v>904</v>
      </c>
      <c r="S3910" s="33" t="s">
        <v>22</v>
      </c>
      <c r="T3910" s="33" t="s">
        <v>26781</v>
      </c>
      <c r="U3910" s="33" t="s">
        <v>26572</v>
      </c>
      <c r="V3910" s="33" t="s">
        <v>26573</v>
      </c>
      <c r="W3910" s="33" t="s">
        <v>512</v>
      </c>
      <c r="X3910" s="33">
        <v>1628</v>
      </c>
      <c r="Z3910" s="33" t="s">
        <v>42968</v>
      </c>
      <c r="AA3910" s="33">
        <v>3752</v>
      </c>
    </row>
    <row r="3911" spans="1:27" ht="12" customHeight="1" x14ac:dyDescent="0.15">
      <c r="A3911" s="33" t="s">
        <v>22012</v>
      </c>
      <c r="B3911" s="33">
        <v>21</v>
      </c>
      <c r="C3911" s="33" t="s">
        <v>14</v>
      </c>
      <c r="D3911" s="33" t="s">
        <v>42</v>
      </c>
      <c r="E3911" s="33" t="s">
        <v>22013</v>
      </c>
      <c r="F3911" s="67">
        <v>42537</v>
      </c>
      <c r="G3911" s="33" t="s">
        <v>22014</v>
      </c>
      <c r="H3911" s="33" t="s">
        <v>866</v>
      </c>
      <c r="I3911" s="33" t="s">
        <v>178</v>
      </c>
      <c r="J3911" s="33">
        <v>87121</v>
      </c>
      <c r="K3911" s="33" t="s">
        <v>433</v>
      </c>
      <c r="L3911" s="33" t="s">
        <v>4562</v>
      </c>
      <c r="M3911" s="33" t="s">
        <v>21</v>
      </c>
      <c r="N3911" s="33" t="s">
        <v>22015</v>
      </c>
      <c r="O3911" s="33" t="s">
        <v>372</v>
      </c>
      <c r="P3911" s="33" t="s">
        <v>30089</v>
      </c>
      <c r="Q3911" s="40" t="s">
        <v>22016</v>
      </c>
      <c r="R3911" s="33" t="s">
        <v>94</v>
      </c>
      <c r="S3911" s="33" t="s">
        <v>22</v>
      </c>
      <c r="T3911" s="33" t="s">
        <v>26781</v>
      </c>
      <c r="U3911" s="33" t="s">
        <v>26572</v>
      </c>
      <c r="V3911" s="33" t="s">
        <v>26571</v>
      </c>
      <c r="W3911" s="33" t="s">
        <v>94</v>
      </c>
      <c r="X3911" s="33">
        <v>1837</v>
      </c>
      <c r="Z3911" s="33" t="s">
        <v>42968</v>
      </c>
      <c r="AA3911" s="33">
        <v>3754</v>
      </c>
    </row>
    <row r="3912" spans="1:27" ht="12" customHeight="1" x14ac:dyDescent="0.15">
      <c r="A3912" s="33" t="s">
        <v>22084</v>
      </c>
      <c r="B3912" s="33">
        <v>30</v>
      </c>
      <c r="C3912" s="33" t="s">
        <v>14</v>
      </c>
      <c r="D3912" s="33" t="s">
        <v>42</v>
      </c>
      <c r="F3912" s="67">
        <v>42537</v>
      </c>
      <c r="G3912" s="33" t="s">
        <v>22017</v>
      </c>
      <c r="H3912" s="33" t="s">
        <v>10673</v>
      </c>
      <c r="I3912" s="33" t="s">
        <v>192</v>
      </c>
      <c r="J3912" s="33">
        <v>80030</v>
      </c>
      <c r="K3912" s="33" t="s">
        <v>1790</v>
      </c>
      <c r="L3912" s="33" t="s">
        <v>21114</v>
      </c>
      <c r="M3912" s="33" t="s">
        <v>21</v>
      </c>
      <c r="N3912" s="33" t="s">
        <v>22018</v>
      </c>
      <c r="O3912" s="33" t="s">
        <v>372</v>
      </c>
      <c r="P3912" s="33" t="s">
        <v>30089</v>
      </c>
      <c r="Q3912" s="40" t="s">
        <v>22019</v>
      </c>
      <c r="R3912" s="33" t="s">
        <v>94</v>
      </c>
      <c r="S3912" s="33" t="s">
        <v>351</v>
      </c>
      <c r="T3912" s="33" t="s">
        <v>26867</v>
      </c>
      <c r="U3912" s="33" t="s">
        <v>26572</v>
      </c>
      <c r="V3912" s="33" t="s">
        <v>26571</v>
      </c>
      <c r="W3912" s="33" t="s">
        <v>94</v>
      </c>
      <c r="X3912" s="33">
        <v>1629</v>
      </c>
      <c r="Z3912" s="33" t="s">
        <v>42966</v>
      </c>
      <c r="AA3912" s="33">
        <v>3755</v>
      </c>
    </row>
    <row r="3913" spans="1:27" ht="12" customHeight="1" x14ac:dyDescent="0.15">
      <c r="A3913" s="33" t="s">
        <v>22026</v>
      </c>
      <c r="B3913" s="33">
        <v>59</v>
      </c>
      <c r="C3913" s="33" t="s">
        <v>14</v>
      </c>
      <c r="D3913" s="33" t="s">
        <v>31</v>
      </c>
      <c r="F3913" s="67">
        <v>42537</v>
      </c>
      <c r="G3913" s="33" t="s">
        <v>22027</v>
      </c>
      <c r="H3913" s="33" t="s">
        <v>22028</v>
      </c>
      <c r="I3913" s="33" t="s">
        <v>63</v>
      </c>
      <c r="J3913" s="33">
        <v>43543</v>
      </c>
      <c r="K3913" s="33" t="s">
        <v>14314</v>
      </c>
      <c r="L3913" s="33" t="s">
        <v>22029</v>
      </c>
      <c r="M3913" s="33" t="s">
        <v>21</v>
      </c>
      <c r="N3913" s="33" t="s">
        <v>22030</v>
      </c>
      <c r="O3913" s="33" t="s">
        <v>372</v>
      </c>
      <c r="P3913" s="33" t="s">
        <v>30089</v>
      </c>
      <c r="Q3913" s="40" t="s">
        <v>22031</v>
      </c>
      <c r="R3913" s="33" t="s">
        <v>512</v>
      </c>
      <c r="S3913" s="33" t="s">
        <v>22</v>
      </c>
      <c r="T3913" s="33" t="s">
        <v>26781</v>
      </c>
      <c r="U3913" s="33" t="s">
        <v>26570</v>
      </c>
      <c r="V3913" s="33" t="s">
        <v>26573</v>
      </c>
      <c r="W3913" s="33" t="s">
        <v>94</v>
      </c>
      <c r="X3913" s="33">
        <v>1630</v>
      </c>
      <c r="Z3913" s="33" t="s">
        <v>42967</v>
      </c>
      <c r="AA3913" s="33">
        <v>3753</v>
      </c>
    </row>
    <row r="3914" spans="1:27" ht="12" customHeight="1" x14ac:dyDescent="0.15">
      <c r="A3914" s="33" t="s">
        <v>22007</v>
      </c>
      <c r="B3914" s="33">
        <v>38</v>
      </c>
      <c r="C3914" s="33" t="s">
        <v>14</v>
      </c>
      <c r="D3914" s="33" t="s">
        <v>31</v>
      </c>
      <c r="E3914" s="33" t="s">
        <v>23843</v>
      </c>
      <c r="F3914" s="67">
        <v>42536</v>
      </c>
      <c r="G3914" s="33" t="s">
        <v>22008</v>
      </c>
      <c r="H3914" s="33" t="s">
        <v>22009</v>
      </c>
      <c r="I3914" s="33" t="s">
        <v>409</v>
      </c>
      <c r="J3914" s="33">
        <v>54156</v>
      </c>
      <c r="K3914" s="33" t="s">
        <v>14165</v>
      </c>
      <c r="L3914" s="33" t="s">
        <v>14166</v>
      </c>
      <c r="M3914" s="33" t="s">
        <v>21</v>
      </c>
      <c r="N3914" s="33" t="s">
        <v>22010</v>
      </c>
      <c r="O3914" s="33" t="s">
        <v>372</v>
      </c>
      <c r="P3914" s="33" t="s">
        <v>30089</v>
      </c>
      <c r="Q3914" s="40" t="s">
        <v>22011</v>
      </c>
      <c r="R3914" s="33" t="s">
        <v>512</v>
      </c>
      <c r="S3914" s="33" t="s">
        <v>22</v>
      </c>
      <c r="T3914" s="33" t="s">
        <v>26781</v>
      </c>
      <c r="U3914" s="33" t="s">
        <v>26572</v>
      </c>
      <c r="V3914" s="33" t="s">
        <v>26571</v>
      </c>
      <c r="W3914" s="33" t="s">
        <v>94</v>
      </c>
      <c r="X3914" s="33">
        <v>1627</v>
      </c>
      <c r="Z3914" s="33" t="s">
        <v>42967</v>
      </c>
      <c r="AA3914" s="33">
        <v>3750</v>
      </c>
    </row>
    <row r="3915" spans="1:27" ht="12" customHeight="1" x14ac:dyDescent="0.15">
      <c r="A3915" s="33" t="s">
        <v>22003</v>
      </c>
      <c r="B3915" s="33">
        <v>43</v>
      </c>
      <c r="C3915" s="33" t="s">
        <v>14</v>
      </c>
      <c r="D3915" s="33" t="s">
        <v>31</v>
      </c>
      <c r="E3915" s="33" t="s">
        <v>22004</v>
      </c>
      <c r="F3915" s="67">
        <v>42536</v>
      </c>
      <c r="G3915" s="33" t="s">
        <v>22089</v>
      </c>
      <c r="H3915" s="33" t="s">
        <v>2307</v>
      </c>
      <c r="I3915" s="33" t="s">
        <v>367</v>
      </c>
      <c r="J3915" s="33">
        <v>74115</v>
      </c>
      <c r="K3915" s="33" t="s">
        <v>2307</v>
      </c>
      <c r="L3915" s="33" t="s">
        <v>3108</v>
      </c>
      <c r="M3915" s="33" t="s">
        <v>21</v>
      </c>
      <c r="N3915" s="33" t="s">
        <v>22005</v>
      </c>
      <c r="O3915" s="33" t="s">
        <v>372</v>
      </c>
      <c r="P3915" s="33" t="s">
        <v>30089</v>
      </c>
      <c r="Q3915" s="40" t="s">
        <v>22006</v>
      </c>
      <c r="R3915" s="33" t="s">
        <v>94</v>
      </c>
      <c r="S3915" s="33" t="s">
        <v>351</v>
      </c>
      <c r="T3915" s="33" t="s">
        <v>26867</v>
      </c>
      <c r="U3915" s="33" t="s">
        <v>26572</v>
      </c>
      <c r="V3915" s="33" t="s">
        <v>26571</v>
      </c>
      <c r="W3915" s="33" t="s">
        <v>94</v>
      </c>
      <c r="X3915" s="33">
        <v>1626</v>
      </c>
      <c r="Z3915" s="33" t="s">
        <v>42966</v>
      </c>
      <c r="AA3915" s="33">
        <v>3751</v>
      </c>
    </row>
    <row r="3916" spans="1:27" ht="12" customHeight="1" x14ac:dyDescent="0.15">
      <c r="A3916" s="33" t="s">
        <v>21993</v>
      </c>
      <c r="B3916" s="33">
        <v>47</v>
      </c>
      <c r="C3916" s="33" t="s">
        <v>14</v>
      </c>
      <c r="D3916" s="33" t="s">
        <v>31</v>
      </c>
      <c r="F3916" s="67">
        <v>42535</v>
      </c>
      <c r="G3916" s="33" t="s">
        <v>21994</v>
      </c>
      <c r="H3916" s="33" t="s">
        <v>739</v>
      </c>
      <c r="I3916" s="33" t="s">
        <v>402</v>
      </c>
      <c r="J3916" s="33">
        <v>64076</v>
      </c>
      <c r="K3916" s="33" t="s">
        <v>10335</v>
      </c>
      <c r="L3916" s="33" t="s">
        <v>21995</v>
      </c>
      <c r="M3916" s="33" t="s">
        <v>21</v>
      </c>
      <c r="N3916" s="33" t="s">
        <v>21996</v>
      </c>
      <c r="O3916" s="33" t="s">
        <v>372</v>
      </c>
      <c r="P3916" s="33" t="s">
        <v>30089</v>
      </c>
      <c r="Q3916" s="40" t="s">
        <v>21997</v>
      </c>
      <c r="R3916" s="33" t="s">
        <v>94</v>
      </c>
      <c r="S3916" s="33" t="s">
        <v>22</v>
      </c>
      <c r="T3916" s="33" t="s">
        <v>26781</v>
      </c>
      <c r="U3916" s="33" t="s">
        <v>26572</v>
      </c>
      <c r="V3916" s="33" t="s">
        <v>26573</v>
      </c>
      <c r="W3916" s="33" t="s">
        <v>94</v>
      </c>
      <c r="X3916" s="33">
        <v>1622</v>
      </c>
      <c r="Z3916" s="33" t="s">
        <v>42967</v>
      </c>
      <c r="AA3916" s="33">
        <v>3746</v>
      </c>
    </row>
    <row r="3917" spans="1:27" ht="12" customHeight="1" x14ac:dyDescent="0.15">
      <c r="A3917" s="33" t="s">
        <v>21998</v>
      </c>
      <c r="B3917" s="33">
        <v>54</v>
      </c>
      <c r="C3917" s="33" t="s">
        <v>14</v>
      </c>
      <c r="D3917" s="33" t="s">
        <v>79</v>
      </c>
      <c r="E3917" s="33" t="s">
        <v>21999</v>
      </c>
      <c r="F3917" s="67">
        <v>42535</v>
      </c>
      <c r="G3917" s="33" t="s">
        <v>22000</v>
      </c>
      <c r="H3917" s="33" t="s">
        <v>116</v>
      </c>
      <c r="I3917" s="33" t="s">
        <v>67</v>
      </c>
      <c r="J3917" s="33">
        <v>79110</v>
      </c>
      <c r="K3917" s="33" t="s">
        <v>117</v>
      </c>
      <c r="L3917" s="33" t="s">
        <v>14030</v>
      </c>
      <c r="M3917" s="33" t="s">
        <v>21</v>
      </c>
      <c r="N3917" s="33" t="s">
        <v>22001</v>
      </c>
      <c r="O3917" s="33" t="s">
        <v>372</v>
      </c>
      <c r="P3917" s="33" t="s">
        <v>30089</v>
      </c>
      <c r="Q3917" s="40" t="s">
        <v>22002</v>
      </c>
      <c r="R3917" s="33" t="s">
        <v>94</v>
      </c>
      <c r="S3917" s="33" t="s">
        <v>22</v>
      </c>
      <c r="T3917" s="33" t="s">
        <v>26781</v>
      </c>
      <c r="U3917" s="33" t="s">
        <v>26572</v>
      </c>
      <c r="V3917" s="33" t="s">
        <v>26573</v>
      </c>
      <c r="W3917" s="33" t="s">
        <v>94</v>
      </c>
      <c r="X3917" s="33">
        <v>1624</v>
      </c>
      <c r="Z3917" s="33" t="s">
        <v>42968</v>
      </c>
      <c r="AA3917" s="33">
        <v>3747</v>
      </c>
    </row>
    <row r="3918" spans="1:27" ht="12" customHeight="1" x14ac:dyDescent="0.15">
      <c r="A3918" s="33" t="s">
        <v>21984</v>
      </c>
      <c r="B3918" s="33">
        <v>50</v>
      </c>
      <c r="C3918" s="33" t="s">
        <v>14</v>
      </c>
      <c r="D3918" s="33" t="s">
        <v>42</v>
      </c>
      <c r="E3918" s="33" t="s">
        <v>21985</v>
      </c>
      <c r="F3918" s="67">
        <v>42535</v>
      </c>
      <c r="G3918" s="33" t="s">
        <v>21986</v>
      </c>
      <c r="H3918" s="33" t="s">
        <v>3901</v>
      </c>
      <c r="I3918" s="33" t="s">
        <v>735</v>
      </c>
      <c r="J3918" s="33">
        <v>83704</v>
      </c>
      <c r="K3918" s="33" t="s">
        <v>3903</v>
      </c>
      <c r="L3918" s="33" t="s">
        <v>3904</v>
      </c>
      <c r="M3918" s="33" t="s">
        <v>21</v>
      </c>
      <c r="N3918" s="33" t="s">
        <v>36698</v>
      </c>
      <c r="O3918" s="33" t="s">
        <v>372</v>
      </c>
      <c r="P3918" s="33" t="s">
        <v>30089</v>
      </c>
      <c r="Q3918" s="40" t="s">
        <v>21987</v>
      </c>
      <c r="R3918" s="33" t="s">
        <v>904</v>
      </c>
      <c r="S3918" s="33" t="s">
        <v>351</v>
      </c>
      <c r="T3918" s="33" t="s">
        <v>26867</v>
      </c>
      <c r="U3918" s="33" t="s">
        <v>26570</v>
      </c>
      <c r="V3918" s="33" t="s">
        <v>26571</v>
      </c>
      <c r="W3918" s="33" t="s">
        <v>512</v>
      </c>
      <c r="X3918" s="33">
        <v>1618</v>
      </c>
      <c r="Z3918" s="33" t="s">
        <v>42966</v>
      </c>
      <c r="AA3918" s="33">
        <v>3749</v>
      </c>
    </row>
    <row r="3919" spans="1:27" ht="12" customHeight="1" x14ac:dyDescent="0.15">
      <c r="A3919" s="33" t="s">
        <v>21988</v>
      </c>
      <c r="B3919" s="33">
        <v>22</v>
      </c>
      <c r="C3919" s="33" t="s">
        <v>14</v>
      </c>
      <c r="D3919" s="33" t="s">
        <v>42</v>
      </c>
      <c r="F3919" s="67">
        <v>42535</v>
      </c>
      <c r="G3919" s="33" t="s">
        <v>21989</v>
      </c>
      <c r="H3919" s="33" t="s">
        <v>5546</v>
      </c>
      <c r="I3919" s="33" t="s">
        <v>39</v>
      </c>
      <c r="J3919" s="33">
        <v>91914</v>
      </c>
      <c r="K3919" s="33" t="s">
        <v>143</v>
      </c>
      <c r="L3919" s="33" t="s">
        <v>21990</v>
      </c>
      <c r="M3919" s="33" t="s">
        <v>21</v>
      </c>
      <c r="N3919" s="33" t="s">
        <v>21991</v>
      </c>
      <c r="O3919" s="33" t="s">
        <v>372</v>
      </c>
      <c r="P3919" s="33" t="s">
        <v>30089</v>
      </c>
      <c r="Q3919" s="40" t="s">
        <v>21992</v>
      </c>
      <c r="R3919" s="33" t="s">
        <v>94</v>
      </c>
      <c r="S3919" s="33" t="s">
        <v>29</v>
      </c>
      <c r="T3919" s="33" t="s">
        <v>26575</v>
      </c>
      <c r="U3919" s="33" t="s">
        <v>26572</v>
      </c>
      <c r="V3919" s="33" t="s">
        <v>26573</v>
      </c>
      <c r="W3919" s="33" t="s">
        <v>94</v>
      </c>
      <c r="X3919" s="33">
        <v>1625</v>
      </c>
      <c r="Z3919" s="33" t="s">
        <v>42968</v>
      </c>
      <c r="AA3919" s="33">
        <v>3748</v>
      </c>
    </row>
    <row r="3920" spans="1:27" ht="12" customHeight="1" x14ac:dyDescent="0.15">
      <c r="A3920" s="33" t="s">
        <v>21957</v>
      </c>
      <c r="B3920" s="33">
        <v>18</v>
      </c>
      <c r="C3920" s="33" t="s">
        <v>14</v>
      </c>
      <c r="D3920" s="33" t="s">
        <v>79</v>
      </c>
      <c r="F3920" s="67">
        <v>42534</v>
      </c>
      <c r="G3920" s="33" t="s">
        <v>21958</v>
      </c>
      <c r="H3920" s="33" t="s">
        <v>12671</v>
      </c>
      <c r="I3920" s="33" t="s">
        <v>88</v>
      </c>
      <c r="J3920" s="33">
        <v>36617</v>
      </c>
      <c r="K3920" s="33" t="s">
        <v>12671</v>
      </c>
      <c r="L3920" s="33" t="s">
        <v>12949</v>
      </c>
      <c r="M3920" s="33" t="s">
        <v>21</v>
      </c>
      <c r="N3920" s="33" t="s">
        <v>21959</v>
      </c>
      <c r="O3920" s="33" t="s">
        <v>372</v>
      </c>
      <c r="P3920" s="33" t="s">
        <v>30089</v>
      </c>
      <c r="Q3920" s="40" t="s">
        <v>21960</v>
      </c>
      <c r="R3920" s="33" t="s">
        <v>94</v>
      </c>
      <c r="S3920" s="33" t="s">
        <v>22</v>
      </c>
      <c r="T3920" s="33" t="s">
        <v>26781</v>
      </c>
      <c r="U3920" s="33" t="s">
        <v>26570</v>
      </c>
      <c r="V3920" s="33" t="s">
        <v>26573</v>
      </c>
      <c r="W3920" s="33" t="s">
        <v>94</v>
      </c>
      <c r="X3920" s="33">
        <v>1620</v>
      </c>
      <c r="Z3920" s="33" t="s">
        <v>42966</v>
      </c>
      <c r="AA3920" s="33">
        <v>3742</v>
      </c>
    </row>
    <row r="3921" spans="1:27" ht="12" customHeight="1" x14ac:dyDescent="0.15">
      <c r="A3921" s="33" t="s">
        <v>21967</v>
      </c>
      <c r="B3921" s="33">
        <v>33</v>
      </c>
      <c r="C3921" s="33" t="s">
        <v>14</v>
      </c>
      <c r="D3921" s="33" t="s">
        <v>31</v>
      </c>
      <c r="E3921" s="33" t="s">
        <v>21968</v>
      </c>
      <c r="F3921" s="67">
        <v>42534</v>
      </c>
      <c r="G3921" s="33" t="s">
        <v>21969</v>
      </c>
      <c r="H3921" s="33" t="s">
        <v>15286</v>
      </c>
      <c r="I3921" s="33" t="s">
        <v>395</v>
      </c>
      <c r="J3921" s="33">
        <v>12303</v>
      </c>
      <c r="K3921" s="33" t="s">
        <v>15286</v>
      </c>
      <c r="L3921" s="33" t="s">
        <v>15288</v>
      </c>
      <c r="M3921" s="33" t="s">
        <v>21</v>
      </c>
      <c r="N3921" s="33" t="s">
        <v>21970</v>
      </c>
      <c r="O3921" s="33" t="s">
        <v>372</v>
      </c>
      <c r="P3921" s="33" t="s">
        <v>30089</v>
      </c>
      <c r="Q3921" s="40" t="s">
        <v>21971</v>
      </c>
      <c r="R3921" s="33" t="s">
        <v>94</v>
      </c>
      <c r="S3921" s="33" t="s">
        <v>22</v>
      </c>
      <c r="T3921" s="33" t="s">
        <v>26781</v>
      </c>
      <c r="U3921" s="33" t="s">
        <v>26572</v>
      </c>
      <c r="V3921" s="33" t="s">
        <v>26573</v>
      </c>
      <c r="W3921" s="33" t="s">
        <v>94</v>
      </c>
      <c r="X3921" s="33">
        <v>1619</v>
      </c>
      <c r="Z3921" s="33" t="s">
        <v>42968</v>
      </c>
      <c r="AA3921" s="33">
        <v>3741</v>
      </c>
    </row>
    <row r="3922" spans="1:27" ht="12" customHeight="1" x14ac:dyDescent="0.15">
      <c r="A3922" s="33" t="s">
        <v>21972</v>
      </c>
      <c r="B3922" s="33">
        <v>80</v>
      </c>
      <c r="C3922" s="33" t="s">
        <v>14</v>
      </c>
      <c r="D3922" s="33" t="s">
        <v>42</v>
      </c>
      <c r="E3922" s="33" t="s">
        <v>21973</v>
      </c>
      <c r="F3922" s="67">
        <v>42534</v>
      </c>
      <c r="G3922" s="33" t="s">
        <v>21974</v>
      </c>
      <c r="H3922" s="33" t="s">
        <v>21975</v>
      </c>
      <c r="I3922" s="33" t="s">
        <v>435</v>
      </c>
      <c r="J3922" s="33">
        <v>2878</v>
      </c>
      <c r="K3922" s="33" t="s">
        <v>21976</v>
      </c>
      <c r="L3922" s="33" t="s">
        <v>36949</v>
      </c>
      <c r="M3922" s="33" t="s">
        <v>21</v>
      </c>
      <c r="N3922" s="33" t="s">
        <v>21977</v>
      </c>
      <c r="O3922" s="33" t="s">
        <v>372</v>
      </c>
      <c r="P3922" s="33" t="s">
        <v>30089</v>
      </c>
      <c r="Q3922" s="40" t="s">
        <v>21978</v>
      </c>
      <c r="R3922" s="33" t="s">
        <v>94</v>
      </c>
      <c r="S3922" s="33" t="s">
        <v>22</v>
      </c>
      <c r="T3922" s="33" t="s">
        <v>26781</v>
      </c>
      <c r="U3922" s="33" t="s">
        <v>26572</v>
      </c>
      <c r="V3922" s="33" t="s">
        <v>26571</v>
      </c>
      <c r="W3922" s="33" t="s">
        <v>94</v>
      </c>
      <c r="X3922" s="33">
        <v>1621</v>
      </c>
      <c r="Z3922" s="33" t="s">
        <v>42968</v>
      </c>
      <c r="AA3922" s="33">
        <v>3743</v>
      </c>
    </row>
    <row r="3923" spans="1:27" ht="12" customHeight="1" x14ac:dyDescent="0.15">
      <c r="A3923" s="33" t="s">
        <v>21961</v>
      </c>
      <c r="B3923" s="33">
        <v>38</v>
      </c>
      <c r="C3923" s="33" t="s">
        <v>14</v>
      </c>
      <c r="D3923" s="33" t="s">
        <v>79</v>
      </c>
      <c r="E3923" s="33" t="s">
        <v>21962</v>
      </c>
      <c r="F3923" s="67">
        <v>42534</v>
      </c>
      <c r="G3923" s="33" t="s">
        <v>21963</v>
      </c>
      <c r="H3923" s="33" t="s">
        <v>21964</v>
      </c>
      <c r="I3923" s="33" t="s">
        <v>51</v>
      </c>
      <c r="J3923" s="33">
        <v>49508</v>
      </c>
      <c r="K3923" s="33" t="s">
        <v>2350</v>
      </c>
      <c r="L3923" s="33" t="s">
        <v>17094</v>
      </c>
      <c r="M3923" s="33" t="s">
        <v>21</v>
      </c>
      <c r="N3923" s="33" t="s">
        <v>21965</v>
      </c>
      <c r="O3923" s="33" t="s">
        <v>372</v>
      </c>
      <c r="P3923" s="33" t="s">
        <v>30089</v>
      </c>
      <c r="Q3923" s="40" t="s">
        <v>21966</v>
      </c>
      <c r="R3923" s="33" t="s">
        <v>94</v>
      </c>
      <c r="S3923" s="33" t="s">
        <v>22</v>
      </c>
      <c r="T3923" s="33" t="s">
        <v>26781</v>
      </c>
      <c r="U3923" s="33" t="s">
        <v>26572</v>
      </c>
      <c r="V3923" s="33" t="s">
        <v>26573</v>
      </c>
      <c r="Z3923" s="33" t="s">
        <v>42968</v>
      </c>
      <c r="AA3923" s="33">
        <v>3744</v>
      </c>
    </row>
    <row r="3924" spans="1:27" ht="12" customHeight="1" x14ac:dyDescent="0.15">
      <c r="A3924" s="33" t="s">
        <v>21979</v>
      </c>
      <c r="B3924" s="33">
        <v>43</v>
      </c>
      <c r="C3924" s="33" t="s">
        <v>14</v>
      </c>
      <c r="D3924" s="33" t="s">
        <v>31</v>
      </c>
      <c r="E3924" s="33" t="s">
        <v>21980</v>
      </c>
      <c r="F3924" s="67">
        <v>42534</v>
      </c>
      <c r="G3924" s="33" t="s">
        <v>21981</v>
      </c>
      <c r="H3924" s="33" t="s">
        <v>10064</v>
      </c>
      <c r="I3924" s="33" t="s">
        <v>282</v>
      </c>
      <c r="J3924" s="33">
        <v>98642</v>
      </c>
      <c r="K3924" s="33" t="s">
        <v>527</v>
      </c>
      <c r="L3924" s="33" t="s">
        <v>3087</v>
      </c>
      <c r="M3924" s="33" t="s">
        <v>21</v>
      </c>
      <c r="N3924" s="33" t="s">
        <v>21982</v>
      </c>
      <c r="O3924" s="33" t="s">
        <v>372</v>
      </c>
      <c r="P3924" s="33" t="s">
        <v>30089</v>
      </c>
      <c r="Q3924" s="40" t="s">
        <v>21983</v>
      </c>
      <c r="R3924" s="33" t="s">
        <v>94</v>
      </c>
      <c r="S3924" s="33" t="s">
        <v>29</v>
      </c>
      <c r="T3924" s="33" t="s">
        <v>26575</v>
      </c>
      <c r="U3924" s="33" t="s">
        <v>26575</v>
      </c>
      <c r="V3924" s="33" t="s">
        <v>26571</v>
      </c>
      <c r="W3924" s="33" t="s">
        <v>94</v>
      </c>
      <c r="X3924" s="33">
        <v>1623</v>
      </c>
      <c r="Z3924" s="33" t="s">
        <v>42967</v>
      </c>
      <c r="AA3924" s="33">
        <v>3745</v>
      </c>
    </row>
    <row r="3925" spans="1:27" ht="12" customHeight="1" x14ac:dyDescent="0.15">
      <c r="A3925" s="33" t="s">
        <v>21941</v>
      </c>
      <c r="B3925" s="33">
        <v>29</v>
      </c>
      <c r="C3925" s="33" t="s">
        <v>14</v>
      </c>
      <c r="D3925" s="33" t="s">
        <v>15</v>
      </c>
      <c r="E3925" s="33" t="s">
        <v>21942</v>
      </c>
      <c r="F3925" s="67">
        <v>42533</v>
      </c>
      <c r="G3925" s="33" t="s">
        <v>21943</v>
      </c>
      <c r="H3925" s="33" t="s">
        <v>997</v>
      </c>
      <c r="I3925" s="33" t="s">
        <v>56</v>
      </c>
      <c r="J3925" s="33">
        <v>32806</v>
      </c>
      <c r="K3925" s="33" t="s">
        <v>998</v>
      </c>
      <c r="L3925" s="33" t="s">
        <v>999</v>
      </c>
      <c r="M3925" s="33" t="s">
        <v>21</v>
      </c>
      <c r="N3925" s="33" t="s">
        <v>21944</v>
      </c>
      <c r="O3925" s="33" t="s">
        <v>372</v>
      </c>
      <c r="P3925" s="33" t="s">
        <v>30089</v>
      </c>
      <c r="Q3925" s="40" t="s">
        <v>21945</v>
      </c>
      <c r="R3925" s="33" t="s">
        <v>512</v>
      </c>
      <c r="S3925" s="33" t="s">
        <v>22</v>
      </c>
      <c r="T3925" s="33" t="s">
        <v>26781</v>
      </c>
      <c r="U3925" s="33" t="s">
        <v>26572</v>
      </c>
      <c r="V3925" s="33" t="s">
        <v>26573</v>
      </c>
      <c r="W3925" s="33" t="s">
        <v>512</v>
      </c>
      <c r="X3925" s="33">
        <v>1608</v>
      </c>
      <c r="Z3925" s="33" t="s">
        <v>42968</v>
      </c>
      <c r="AA3925" s="33">
        <v>3738</v>
      </c>
    </row>
    <row r="3926" spans="1:27" ht="12" customHeight="1" x14ac:dyDescent="0.15">
      <c r="A3926" s="33" t="s">
        <v>11879</v>
      </c>
      <c r="B3926" s="33">
        <v>61</v>
      </c>
      <c r="C3926" s="33" t="s">
        <v>14</v>
      </c>
      <c r="D3926" s="33" t="s">
        <v>79</v>
      </c>
      <c r="F3926" s="67">
        <v>42533</v>
      </c>
      <c r="G3926" s="33" t="s">
        <v>21951</v>
      </c>
      <c r="H3926" s="33" t="s">
        <v>21952</v>
      </c>
      <c r="I3926" s="33" t="s">
        <v>294</v>
      </c>
      <c r="J3926" s="33">
        <v>42141</v>
      </c>
      <c r="K3926" s="33" t="s">
        <v>21953</v>
      </c>
      <c r="L3926" s="33" t="s">
        <v>21954</v>
      </c>
      <c r="M3926" s="33" t="s">
        <v>21</v>
      </c>
      <c r="N3926" s="33" t="s">
        <v>21955</v>
      </c>
      <c r="O3926" s="33" t="s">
        <v>372</v>
      </c>
      <c r="P3926" s="33" t="s">
        <v>30089</v>
      </c>
      <c r="Q3926" s="40" t="s">
        <v>21956</v>
      </c>
      <c r="R3926" s="33" t="s">
        <v>23</v>
      </c>
      <c r="S3926" s="33" t="s">
        <v>22</v>
      </c>
      <c r="T3926" s="33" t="s">
        <v>26781</v>
      </c>
      <c r="U3926" s="33" t="s">
        <v>26572</v>
      </c>
      <c r="V3926" s="33" t="s">
        <v>26571</v>
      </c>
      <c r="W3926" s="33" t="s">
        <v>94</v>
      </c>
      <c r="X3926" s="33">
        <v>1617</v>
      </c>
      <c r="Z3926" s="33" t="s">
        <v>42967</v>
      </c>
      <c r="AA3926" s="33">
        <v>3739</v>
      </c>
    </row>
    <row r="3927" spans="1:27" ht="12" customHeight="1" x14ac:dyDescent="0.15">
      <c r="A3927" s="33" t="s">
        <v>21946</v>
      </c>
      <c r="B3927" s="33">
        <v>23</v>
      </c>
      <c r="C3927" s="33" t="s">
        <v>14</v>
      </c>
      <c r="D3927" s="33" t="s">
        <v>31</v>
      </c>
      <c r="F3927" s="67">
        <v>42533</v>
      </c>
      <c r="G3927" s="33" t="s">
        <v>21947</v>
      </c>
      <c r="H3927" s="33" t="s">
        <v>21948</v>
      </c>
      <c r="I3927" s="33" t="s">
        <v>221</v>
      </c>
      <c r="J3927" s="33">
        <v>84005</v>
      </c>
      <c r="K3927" s="33" t="s">
        <v>547</v>
      </c>
      <c r="L3927" s="33" t="s">
        <v>21257</v>
      </c>
      <c r="M3927" s="33" t="s">
        <v>21</v>
      </c>
      <c r="N3927" s="33" t="s">
        <v>21949</v>
      </c>
      <c r="O3927" s="33" t="s">
        <v>372</v>
      </c>
      <c r="P3927" s="33" t="s">
        <v>30089</v>
      </c>
      <c r="Q3927" s="40" t="s">
        <v>21950</v>
      </c>
      <c r="R3927" s="33" t="s">
        <v>512</v>
      </c>
      <c r="S3927" s="33" t="s">
        <v>22</v>
      </c>
      <c r="T3927" s="33" t="s">
        <v>26774</v>
      </c>
      <c r="U3927" s="33" t="s">
        <v>26570</v>
      </c>
      <c r="V3927" s="33" t="s">
        <v>26573</v>
      </c>
      <c r="W3927" s="33" t="s">
        <v>94</v>
      </c>
      <c r="X3927" s="33">
        <v>1609</v>
      </c>
      <c r="Z3927" s="33" t="s">
        <v>42968</v>
      </c>
      <c r="AA3927" s="33">
        <v>3740</v>
      </c>
    </row>
    <row r="3928" spans="1:27" ht="12" customHeight="1" x14ac:dyDescent="0.15">
      <c r="A3928" s="33" t="s">
        <v>21933</v>
      </c>
      <c r="B3928" s="33">
        <v>31</v>
      </c>
      <c r="C3928" s="33" t="s">
        <v>14</v>
      </c>
      <c r="D3928" s="33" t="s">
        <v>42</v>
      </c>
      <c r="F3928" s="67">
        <v>42532</v>
      </c>
      <c r="G3928" s="33" t="s">
        <v>22090</v>
      </c>
      <c r="H3928" s="33" t="s">
        <v>5918</v>
      </c>
      <c r="I3928" s="33" t="s">
        <v>39</v>
      </c>
      <c r="J3928" s="33">
        <v>90270</v>
      </c>
      <c r="K3928" s="33" t="s">
        <v>92</v>
      </c>
      <c r="L3928" s="33" t="s">
        <v>386</v>
      </c>
      <c r="M3928" s="33" t="s">
        <v>21</v>
      </c>
      <c r="N3928" s="33" t="s">
        <v>21934</v>
      </c>
      <c r="O3928" s="33" t="s">
        <v>372</v>
      </c>
      <c r="P3928" s="33" t="s">
        <v>30089</v>
      </c>
      <c r="Q3928" s="40" t="s">
        <v>21935</v>
      </c>
      <c r="R3928" s="33" t="s">
        <v>23</v>
      </c>
      <c r="S3928" s="33" t="s">
        <v>22</v>
      </c>
      <c r="T3928" s="33" t="s">
        <v>26603</v>
      </c>
      <c r="U3928" s="33" t="s">
        <v>26570</v>
      </c>
      <c r="V3928" s="33" t="s">
        <v>26573</v>
      </c>
      <c r="W3928" s="33" t="s">
        <v>94</v>
      </c>
      <c r="X3928" s="33">
        <v>1616</v>
      </c>
      <c r="Z3928" s="33" t="s">
        <v>42966</v>
      </c>
      <c r="AA3928" s="33">
        <v>3737</v>
      </c>
    </row>
    <row r="3929" spans="1:27" ht="12" customHeight="1" x14ac:dyDescent="0.15">
      <c r="A3929" s="33" t="s">
        <v>21936</v>
      </c>
      <c r="B3929" s="33">
        <v>27</v>
      </c>
      <c r="C3929" s="33" t="s">
        <v>14</v>
      </c>
      <c r="D3929" s="33" t="s">
        <v>79</v>
      </c>
      <c r="F3929" s="67">
        <v>42532</v>
      </c>
      <c r="G3929" s="33" t="s">
        <v>21937</v>
      </c>
      <c r="H3929" s="33" t="s">
        <v>12994</v>
      </c>
      <c r="I3929" s="33" t="s">
        <v>621</v>
      </c>
      <c r="J3929" s="33">
        <v>38801</v>
      </c>
      <c r="K3929" s="33" t="s">
        <v>5086</v>
      </c>
      <c r="L3929" s="33" t="s">
        <v>21938</v>
      </c>
      <c r="M3929" s="33" t="s">
        <v>21</v>
      </c>
      <c r="N3929" s="33" t="s">
        <v>21939</v>
      </c>
      <c r="O3929" s="33" t="s">
        <v>372</v>
      </c>
      <c r="P3929" s="33" t="s">
        <v>30089</v>
      </c>
      <c r="Q3929" s="40" t="s">
        <v>21940</v>
      </c>
      <c r="R3929" s="33" t="s">
        <v>94</v>
      </c>
      <c r="S3929" s="33" t="s">
        <v>22</v>
      </c>
      <c r="T3929" s="33" t="s">
        <v>26781</v>
      </c>
      <c r="U3929" s="33" t="s">
        <v>26572</v>
      </c>
      <c r="V3929" s="33" t="s">
        <v>26571</v>
      </c>
      <c r="W3929" s="33" t="s">
        <v>94</v>
      </c>
      <c r="X3929" s="33">
        <v>1612</v>
      </c>
      <c r="Z3929" s="33" t="s">
        <v>42966</v>
      </c>
      <c r="AA3929" s="33">
        <v>3736</v>
      </c>
    </row>
    <row r="3930" spans="1:27" ht="12" customHeight="1" x14ac:dyDescent="0.15">
      <c r="A3930" s="33" t="s">
        <v>21922</v>
      </c>
      <c r="B3930" s="33">
        <v>32</v>
      </c>
      <c r="C3930" s="33" t="s">
        <v>14</v>
      </c>
      <c r="D3930" s="33" t="s">
        <v>42</v>
      </c>
      <c r="F3930" s="67">
        <v>42531</v>
      </c>
      <c r="G3930" s="33" t="s">
        <v>22091</v>
      </c>
      <c r="H3930" s="33" t="s">
        <v>4307</v>
      </c>
      <c r="I3930" s="33" t="s">
        <v>192</v>
      </c>
      <c r="J3930" s="33">
        <v>81003</v>
      </c>
      <c r="K3930" s="33" t="s">
        <v>4307</v>
      </c>
      <c r="L3930" s="33" t="s">
        <v>4309</v>
      </c>
      <c r="M3930" s="33" t="s">
        <v>21</v>
      </c>
      <c r="N3930" s="33" t="s">
        <v>21923</v>
      </c>
      <c r="O3930" s="33" t="s">
        <v>372</v>
      </c>
      <c r="P3930" s="33" t="s">
        <v>30089</v>
      </c>
      <c r="Q3930" s="40" t="s">
        <v>21924</v>
      </c>
      <c r="R3930" s="33" t="s">
        <v>94</v>
      </c>
      <c r="S3930" s="33" t="s">
        <v>22</v>
      </c>
      <c r="T3930" s="33" t="s">
        <v>26781</v>
      </c>
      <c r="U3930" s="33" t="s">
        <v>26572</v>
      </c>
      <c r="V3930" s="33" t="s">
        <v>26574</v>
      </c>
      <c r="W3930" s="33" t="s">
        <v>94</v>
      </c>
      <c r="X3930" s="33">
        <v>1613</v>
      </c>
      <c r="Z3930" s="33" t="s">
        <v>42966</v>
      </c>
      <c r="AA3930" s="33">
        <v>3733</v>
      </c>
    </row>
    <row r="3931" spans="1:27" ht="12" customHeight="1" x14ac:dyDescent="0.15">
      <c r="A3931" s="33" t="s">
        <v>26712</v>
      </c>
      <c r="B3931" s="33">
        <v>31</v>
      </c>
      <c r="C3931" s="33" t="s">
        <v>14</v>
      </c>
      <c r="D3931" s="33" t="s">
        <v>79</v>
      </c>
      <c r="F3931" s="67">
        <v>42531</v>
      </c>
      <c r="G3931" s="33" t="s">
        <v>29881</v>
      </c>
      <c r="H3931" s="33" t="s">
        <v>92</v>
      </c>
      <c r="I3931" s="33" t="s">
        <v>39</v>
      </c>
      <c r="J3931" s="33" t="s">
        <v>29882</v>
      </c>
      <c r="K3931" s="33" t="s">
        <v>92</v>
      </c>
      <c r="L3931" s="33" t="s">
        <v>93</v>
      </c>
      <c r="M3931" s="33" t="s">
        <v>21</v>
      </c>
      <c r="N3931" s="33" t="s">
        <v>29883</v>
      </c>
      <c r="O3931" s="33" t="s">
        <v>950</v>
      </c>
      <c r="P3931" s="33" t="s">
        <v>30089</v>
      </c>
      <c r="Q3931" s="40" t="s">
        <v>29884</v>
      </c>
      <c r="R3931" s="33" t="s">
        <v>94</v>
      </c>
      <c r="S3931" s="33" t="s">
        <v>22</v>
      </c>
      <c r="T3931" s="33" t="s">
        <v>26781</v>
      </c>
      <c r="U3931" s="33" t="s">
        <v>26572</v>
      </c>
      <c r="V3931" s="33" t="s">
        <v>26573</v>
      </c>
      <c r="W3931" s="33" t="s">
        <v>94</v>
      </c>
      <c r="X3931" s="33">
        <v>1838</v>
      </c>
      <c r="Z3931" s="33" t="s">
        <v>42966</v>
      </c>
      <c r="AA3931" s="33">
        <v>3735</v>
      </c>
    </row>
    <row r="3932" spans="1:27" ht="12" customHeight="1" x14ac:dyDescent="0.15">
      <c r="A3932" s="33" t="s">
        <v>21925</v>
      </c>
      <c r="B3932" s="33">
        <v>29</v>
      </c>
      <c r="C3932" s="33" t="s">
        <v>14</v>
      </c>
      <c r="D3932" s="33" t="s">
        <v>31</v>
      </c>
      <c r="F3932" s="67">
        <v>42531</v>
      </c>
      <c r="G3932" s="33" t="s">
        <v>21926</v>
      </c>
      <c r="H3932" s="33" t="s">
        <v>5894</v>
      </c>
      <c r="I3932" s="33" t="s">
        <v>338</v>
      </c>
      <c r="J3932" s="33">
        <v>28625</v>
      </c>
      <c r="K3932" s="33" t="s">
        <v>5896</v>
      </c>
      <c r="L3932" s="33" t="s">
        <v>20119</v>
      </c>
      <c r="M3932" s="33" t="s">
        <v>21</v>
      </c>
      <c r="N3932" s="33" t="s">
        <v>21927</v>
      </c>
      <c r="O3932" s="33" t="s">
        <v>372</v>
      </c>
      <c r="P3932" s="33" t="s">
        <v>30089</v>
      </c>
      <c r="Q3932" s="40" t="s">
        <v>21928</v>
      </c>
      <c r="R3932" s="33" t="s">
        <v>94</v>
      </c>
      <c r="S3932" s="33" t="s">
        <v>22</v>
      </c>
      <c r="T3932" s="33" t="s">
        <v>26580</v>
      </c>
      <c r="U3932" s="33" t="s">
        <v>26570</v>
      </c>
      <c r="V3932" s="33" t="s">
        <v>26573</v>
      </c>
      <c r="W3932" s="33" t="s">
        <v>94</v>
      </c>
      <c r="X3932" s="33">
        <v>1611</v>
      </c>
      <c r="Z3932" s="33" t="s">
        <v>42967</v>
      </c>
      <c r="AA3932" s="33">
        <v>3732</v>
      </c>
    </row>
    <row r="3933" spans="1:27" ht="12" customHeight="1" x14ac:dyDescent="0.15">
      <c r="A3933" s="33" t="s">
        <v>21929</v>
      </c>
      <c r="B3933" s="33">
        <v>50</v>
      </c>
      <c r="C3933" s="33" t="s">
        <v>14</v>
      </c>
      <c r="D3933" s="33" t="s">
        <v>42</v>
      </c>
      <c r="F3933" s="67">
        <v>42531</v>
      </c>
      <c r="G3933" s="33" t="s">
        <v>21930</v>
      </c>
      <c r="H3933" s="33" t="s">
        <v>5737</v>
      </c>
      <c r="I3933" s="33" t="s">
        <v>282</v>
      </c>
      <c r="J3933" s="33">
        <v>98903</v>
      </c>
      <c r="K3933" s="33" t="s">
        <v>5737</v>
      </c>
      <c r="L3933" s="33" t="s">
        <v>9555</v>
      </c>
      <c r="M3933" s="33" t="s">
        <v>21</v>
      </c>
      <c r="N3933" s="33" t="s">
        <v>21931</v>
      </c>
      <c r="O3933" s="33" t="s">
        <v>372</v>
      </c>
      <c r="P3933" s="33" t="s">
        <v>30089</v>
      </c>
      <c r="Q3933" s="40" t="s">
        <v>21932</v>
      </c>
      <c r="R3933" s="33" t="s">
        <v>94</v>
      </c>
      <c r="S3933" s="33" t="s">
        <v>22</v>
      </c>
      <c r="T3933" s="33" t="s">
        <v>26781</v>
      </c>
      <c r="U3933" s="33" t="s">
        <v>26572</v>
      </c>
      <c r="V3933" s="33" t="s">
        <v>26573</v>
      </c>
      <c r="W3933" s="33" t="s">
        <v>512</v>
      </c>
      <c r="X3933" s="33">
        <v>1614</v>
      </c>
      <c r="Z3933" s="33" t="s">
        <v>42968</v>
      </c>
      <c r="AA3933" s="33">
        <v>3734</v>
      </c>
    </row>
    <row r="3934" spans="1:27" ht="12" customHeight="1" x14ac:dyDescent="0.15">
      <c r="A3934" s="33" t="s">
        <v>21910</v>
      </c>
      <c r="B3934" s="33">
        <v>38</v>
      </c>
      <c r="C3934" s="33" t="s">
        <v>14</v>
      </c>
      <c r="D3934" s="33" t="s">
        <v>31</v>
      </c>
      <c r="F3934" s="67">
        <v>42530</v>
      </c>
      <c r="G3934" s="33" t="s">
        <v>21911</v>
      </c>
      <c r="H3934" s="33" t="s">
        <v>1499</v>
      </c>
      <c r="I3934" s="33" t="s">
        <v>376</v>
      </c>
      <c r="J3934" s="33">
        <v>17403</v>
      </c>
      <c r="K3934" s="33" t="s">
        <v>1499</v>
      </c>
      <c r="L3934" s="33" t="s">
        <v>10417</v>
      </c>
      <c r="M3934" s="33" t="s">
        <v>21</v>
      </c>
      <c r="N3934" s="33" t="s">
        <v>36701</v>
      </c>
      <c r="O3934" s="33" t="s">
        <v>372</v>
      </c>
      <c r="P3934" s="33" t="s">
        <v>30089</v>
      </c>
      <c r="Q3934" s="40" t="s">
        <v>21912</v>
      </c>
      <c r="R3934" s="33" t="s">
        <v>94</v>
      </c>
      <c r="S3934" s="33" t="s">
        <v>22</v>
      </c>
      <c r="T3934" s="33" t="s">
        <v>26781</v>
      </c>
      <c r="U3934" s="33" t="s">
        <v>26572</v>
      </c>
      <c r="W3934" s="33" t="s">
        <v>94</v>
      </c>
      <c r="X3934" s="33">
        <v>1605</v>
      </c>
      <c r="Z3934" s="33" t="s">
        <v>42968</v>
      </c>
      <c r="AA3934" s="33">
        <v>3728</v>
      </c>
    </row>
    <row r="3935" spans="1:27" ht="12" customHeight="1" x14ac:dyDescent="0.15">
      <c r="A3935" s="33" t="s">
        <v>21913</v>
      </c>
      <c r="B3935" s="33">
        <v>52</v>
      </c>
      <c r="C3935" s="33" t="s">
        <v>14</v>
      </c>
      <c r="D3935" s="33" t="s">
        <v>79</v>
      </c>
      <c r="E3935" s="33" t="s">
        <v>21914</v>
      </c>
      <c r="F3935" s="67">
        <v>42530</v>
      </c>
      <c r="G3935" s="33" t="s">
        <v>21915</v>
      </c>
      <c r="H3935" s="33" t="s">
        <v>7234</v>
      </c>
      <c r="I3935" s="33" t="s">
        <v>67</v>
      </c>
      <c r="J3935" s="33">
        <v>77642</v>
      </c>
      <c r="K3935" s="33" t="s">
        <v>1659</v>
      </c>
      <c r="L3935" s="33" t="s">
        <v>7235</v>
      </c>
      <c r="M3935" s="33" t="s">
        <v>21</v>
      </c>
      <c r="N3935" s="33" t="s">
        <v>21916</v>
      </c>
      <c r="O3935" s="33" t="s">
        <v>372</v>
      </c>
      <c r="P3935" s="33" t="s">
        <v>30089</v>
      </c>
      <c r="Q3935" s="40" t="s">
        <v>21917</v>
      </c>
      <c r="R3935" s="33" t="s">
        <v>94</v>
      </c>
      <c r="S3935" s="33" t="s">
        <v>22</v>
      </c>
      <c r="T3935" s="33" t="s">
        <v>26781</v>
      </c>
      <c r="U3935" s="33" t="s">
        <v>26570</v>
      </c>
      <c r="V3935" s="33" t="s">
        <v>26574</v>
      </c>
      <c r="W3935" s="33" t="s">
        <v>94</v>
      </c>
      <c r="X3935" s="33">
        <v>1606</v>
      </c>
      <c r="Z3935" s="33" t="s">
        <v>42968</v>
      </c>
      <c r="AA3935" s="33">
        <v>3729</v>
      </c>
    </row>
    <row r="3936" spans="1:27" ht="12" customHeight="1" x14ac:dyDescent="0.15">
      <c r="A3936" s="33" t="s">
        <v>21918</v>
      </c>
      <c r="B3936" s="33">
        <v>43</v>
      </c>
      <c r="C3936" s="33" t="s">
        <v>14</v>
      </c>
      <c r="D3936" s="33" t="s">
        <v>79</v>
      </c>
      <c r="E3936" s="33" t="s">
        <v>21919</v>
      </c>
      <c r="F3936" s="67">
        <v>42530</v>
      </c>
      <c r="G3936" s="33" t="s">
        <v>21920</v>
      </c>
      <c r="H3936" s="33" t="s">
        <v>1027</v>
      </c>
      <c r="I3936" s="33" t="s">
        <v>367</v>
      </c>
      <c r="J3936" s="33">
        <v>73106</v>
      </c>
      <c r="K3936" s="33" t="s">
        <v>1028</v>
      </c>
      <c r="L3936" s="33" t="s">
        <v>1029</v>
      </c>
      <c r="M3936" s="33" t="s">
        <v>27767</v>
      </c>
      <c r="N3936" s="33" t="s">
        <v>36699</v>
      </c>
      <c r="O3936" s="33" t="s">
        <v>372</v>
      </c>
      <c r="P3936" s="33" t="s">
        <v>30089</v>
      </c>
      <c r="Q3936" s="40" t="s">
        <v>21921</v>
      </c>
      <c r="R3936" s="33" t="s">
        <v>904</v>
      </c>
      <c r="S3936" s="33" t="s">
        <v>29</v>
      </c>
      <c r="T3936" s="33" t="s">
        <v>26575</v>
      </c>
      <c r="U3936" s="33" t="s">
        <v>26572</v>
      </c>
      <c r="V3936" s="33" t="s">
        <v>26573</v>
      </c>
      <c r="Z3936" s="33" t="s">
        <v>42966</v>
      </c>
      <c r="AA3936" s="33">
        <v>3731</v>
      </c>
    </row>
    <row r="3937" spans="1:27" ht="12" customHeight="1" x14ac:dyDescent="0.15">
      <c r="A3937" s="33" t="s">
        <v>26567</v>
      </c>
      <c r="B3937" s="33">
        <v>68</v>
      </c>
      <c r="C3937" s="33" t="s">
        <v>14</v>
      </c>
      <c r="D3937" s="33" t="s">
        <v>31</v>
      </c>
      <c r="F3937" s="67">
        <v>42530</v>
      </c>
      <c r="G3937" s="33" t="s">
        <v>21904</v>
      </c>
      <c r="H3937" s="33" t="s">
        <v>21905</v>
      </c>
      <c r="I3937" s="33" t="s">
        <v>51</v>
      </c>
      <c r="J3937" s="33">
        <v>49849</v>
      </c>
      <c r="K3937" s="33" t="s">
        <v>21906</v>
      </c>
      <c r="L3937" s="33" t="s">
        <v>21907</v>
      </c>
      <c r="M3937" s="33" t="s">
        <v>21</v>
      </c>
      <c r="N3937" s="33" t="s">
        <v>21908</v>
      </c>
      <c r="O3937" s="33" t="s">
        <v>372</v>
      </c>
      <c r="P3937" s="33" t="s">
        <v>30089</v>
      </c>
      <c r="Q3937" s="40" t="s">
        <v>21909</v>
      </c>
      <c r="R3937" s="33" t="s">
        <v>512</v>
      </c>
      <c r="S3937" s="33" t="s">
        <v>22</v>
      </c>
      <c r="T3937" s="33" t="s">
        <v>26781</v>
      </c>
      <c r="U3937" s="33" t="s">
        <v>26572</v>
      </c>
      <c r="V3937" s="33" t="s">
        <v>26573</v>
      </c>
      <c r="W3937" s="33" t="s">
        <v>512</v>
      </c>
      <c r="X3937" s="33">
        <v>1607</v>
      </c>
      <c r="Z3937" s="33" t="s">
        <v>42967</v>
      </c>
      <c r="AA3937" s="33">
        <v>3730</v>
      </c>
    </row>
    <row r="3938" spans="1:27" ht="12" customHeight="1" x14ac:dyDescent="0.15">
      <c r="A3938" s="33" t="s">
        <v>3002</v>
      </c>
      <c r="B3938" s="33" t="s">
        <v>23</v>
      </c>
      <c r="C3938" s="33" t="s">
        <v>14</v>
      </c>
      <c r="D3938" s="33" t="s">
        <v>24</v>
      </c>
      <c r="F3938" s="67">
        <v>42530</v>
      </c>
      <c r="G3938" s="33" t="s">
        <v>21901</v>
      </c>
      <c r="H3938" s="33" t="s">
        <v>21902</v>
      </c>
      <c r="I3938" s="33" t="s">
        <v>112</v>
      </c>
      <c r="J3938" s="33">
        <v>85364</v>
      </c>
      <c r="K3938" s="33" t="s">
        <v>12195</v>
      </c>
      <c r="L3938" s="33" t="s">
        <v>18262</v>
      </c>
      <c r="M3938" s="33" t="s">
        <v>21</v>
      </c>
      <c r="N3938" s="33" t="s">
        <v>36700</v>
      </c>
      <c r="O3938" s="33" t="s">
        <v>372</v>
      </c>
      <c r="P3938" s="33" t="s">
        <v>30089</v>
      </c>
      <c r="Q3938" s="40" t="s">
        <v>21903</v>
      </c>
      <c r="R3938" s="33" t="s">
        <v>94</v>
      </c>
      <c r="S3938" s="33" t="s">
        <v>22</v>
      </c>
      <c r="T3938" s="33" t="s">
        <v>26592</v>
      </c>
      <c r="U3938" s="33" t="s">
        <v>26572</v>
      </c>
      <c r="V3938" s="33" t="s">
        <v>26573</v>
      </c>
      <c r="W3938" s="33" t="s">
        <v>94</v>
      </c>
      <c r="X3938" s="33">
        <v>1615</v>
      </c>
      <c r="Z3938" s="33" t="s">
        <v>42968</v>
      </c>
      <c r="AA3938" s="33">
        <v>3726</v>
      </c>
    </row>
    <row r="3939" spans="1:27" ht="12" customHeight="1" x14ac:dyDescent="0.15">
      <c r="A3939" s="33" t="s">
        <v>21896</v>
      </c>
      <c r="B3939" s="33">
        <v>34</v>
      </c>
      <c r="C3939" s="33" t="s">
        <v>14</v>
      </c>
      <c r="D3939" s="33" t="s">
        <v>31</v>
      </c>
      <c r="F3939" s="67">
        <v>42530</v>
      </c>
      <c r="G3939" s="33" t="s">
        <v>21897</v>
      </c>
      <c r="H3939" s="33" t="s">
        <v>3809</v>
      </c>
      <c r="I3939" s="33" t="s">
        <v>88</v>
      </c>
      <c r="J3939" s="33">
        <v>35233</v>
      </c>
      <c r="K3939" s="33" t="s">
        <v>1659</v>
      </c>
      <c r="L3939" s="33" t="s">
        <v>21898</v>
      </c>
      <c r="M3939" s="33" t="s">
        <v>21</v>
      </c>
      <c r="N3939" s="33" t="s">
        <v>21899</v>
      </c>
      <c r="O3939" s="33" t="s">
        <v>372</v>
      </c>
      <c r="P3939" s="33" t="s">
        <v>30089</v>
      </c>
      <c r="Q3939" s="40" t="s">
        <v>21900</v>
      </c>
      <c r="R3939" s="33" t="s">
        <v>94</v>
      </c>
      <c r="S3939" s="33" t="s">
        <v>22</v>
      </c>
      <c r="T3939" s="33" t="s">
        <v>26781</v>
      </c>
      <c r="U3939" s="33" t="s">
        <v>26572</v>
      </c>
      <c r="V3939" s="33" t="s">
        <v>26571</v>
      </c>
      <c r="W3939" s="33" t="s">
        <v>94</v>
      </c>
      <c r="X3939" s="33">
        <v>1603</v>
      </c>
      <c r="Z3939" s="33" t="s">
        <v>42966</v>
      </c>
      <c r="AA3939" s="33">
        <v>3727</v>
      </c>
    </row>
    <row r="3940" spans="1:27" ht="12" customHeight="1" x14ac:dyDescent="0.15">
      <c r="A3940" s="33" t="s">
        <v>21891</v>
      </c>
      <c r="B3940" s="33">
        <v>43</v>
      </c>
      <c r="C3940" s="33" t="s">
        <v>14</v>
      </c>
      <c r="D3940" s="33" t="s">
        <v>42</v>
      </c>
      <c r="F3940" s="67">
        <v>42529</v>
      </c>
      <c r="G3940" s="33" t="s">
        <v>21892</v>
      </c>
      <c r="H3940" s="33" t="s">
        <v>401</v>
      </c>
      <c r="I3940" s="33" t="s">
        <v>402</v>
      </c>
      <c r="J3940" s="33">
        <v>64128</v>
      </c>
      <c r="K3940" s="33" t="s">
        <v>404</v>
      </c>
      <c r="L3940" s="33" t="s">
        <v>21893</v>
      </c>
      <c r="M3940" s="33" t="s">
        <v>21</v>
      </c>
      <c r="N3940" s="33" t="s">
        <v>21894</v>
      </c>
      <c r="O3940" s="33" t="s">
        <v>372</v>
      </c>
      <c r="P3940" s="33" t="s">
        <v>30089</v>
      </c>
      <c r="Q3940" s="40" t="s">
        <v>21895</v>
      </c>
      <c r="R3940" s="33" t="s">
        <v>94</v>
      </c>
      <c r="S3940" s="33" t="s">
        <v>22</v>
      </c>
      <c r="T3940" s="33" t="s">
        <v>26781</v>
      </c>
      <c r="U3940" s="33" t="s">
        <v>26572</v>
      </c>
      <c r="V3940" s="33" t="s">
        <v>26573</v>
      </c>
      <c r="W3940" s="33" t="s">
        <v>94</v>
      </c>
      <c r="X3940" s="33">
        <v>1602</v>
      </c>
      <c r="Z3940" s="33" t="s">
        <v>42966</v>
      </c>
      <c r="AA3940" s="33">
        <v>3725</v>
      </c>
    </row>
    <row r="3941" spans="1:27" ht="12" customHeight="1" x14ac:dyDescent="0.15">
      <c r="A3941" s="33" t="s">
        <v>21888</v>
      </c>
      <c r="B3941" s="33">
        <v>49</v>
      </c>
      <c r="C3941" s="33" t="s">
        <v>14</v>
      </c>
      <c r="D3941" s="33" t="s">
        <v>79</v>
      </c>
      <c r="F3941" s="67">
        <v>42528</v>
      </c>
      <c r="G3941" s="33" t="s">
        <v>22092</v>
      </c>
      <c r="H3941" s="33" t="s">
        <v>2928</v>
      </c>
      <c r="I3941" s="33" t="s">
        <v>225</v>
      </c>
      <c r="J3941" s="33">
        <v>22701</v>
      </c>
      <c r="K3941" s="33" t="s">
        <v>2928</v>
      </c>
      <c r="L3941" s="33" t="s">
        <v>21889</v>
      </c>
      <c r="M3941" s="33" t="s">
        <v>21</v>
      </c>
      <c r="N3941" s="33" t="s">
        <v>36702</v>
      </c>
      <c r="O3941" s="33" t="s">
        <v>372</v>
      </c>
      <c r="P3941" s="33" t="s">
        <v>30089</v>
      </c>
      <c r="Q3941" s="40" t="s">
        <v>21890</v>
      </c>
      <c r="R3941" s="33" t="s">
        <v>94</v>
      </c>
      <c r="S3941" s="33" t="s">
        <v>22</v>
      </c>
      <c r="T3941" s="33" t="s">
        <v>26781</v>
      </c>
      <c r="U3941" s="33" t="s">
        <v>26570</v>
      </c>
      <c r="V3941" s="33" t="s">
        <v>26573</v>
      </c>
      <c r="W3941" s="33" t="s">
        <v>94</v>
      </c>
      <c r="X3941" s="33">
        <v>1601</v>
      </c>
      <c r="Z3941" s="33" t="s">
        <v>42967</v>
      </c>
      <c r="AA3941" s="33">
        <v>3721</v>
      </c>
    </row>
    <row r="3942" spans="1:27" ht="12" customHeight="1" x14ac:dyDescent="0.15">
      <c r="A3942" s="33" t="s">
        <v>21874</v>
      </c>
      <c r="B3942" s="33">
        <v>21</v>
      </c>
      <c r="C3942" s="33" t="s">
        <v>14</v>
      </c>
      <c r="D3942" s="33" t="s">
        <v>42</v>
      </c>
      <c r="F3942" s="67">
        <v>42528</v>
      </c>
      <c r="G3942" s="33" t="s">
        <v>21875</v>
      </c>
      <c r="H3942" s="33" t="s">
        <v>8650</v>
      </c>
      <c r="I3942" s="33" t="s">
        <v>39</v>
      </c>
      <c r="J3942" s="33">
        <v>95380</v>
      </c>
      <c r="K3942" s="33" t="s">
        <v>2954</v>
      </c>
      <c r="L3942" s="33" t="s">
        <v>9304</v>
      </c>
      <c r="M3942" s="33" t="s">
        <v>21</v>
      </c>
      <c r="N3942" s="33" t="s">
        <v>21876</v>
      </c>
      <c r="O3942" s="33" t="s">
        <v>372</v>
      </c>
      <c r="P3942" s="33" t="s">
        <v>30089</v>
      </c>
      <c r="Q3942" s="40" t="s">
        <v>21877</v>
      </c>
      <c r="R3942" s="33" t="s">
        <v>94</v>
      </c>
      <c r="S3942" s="33" t="s">
        <v>351</v>
      </c>
      <c r="T3942" s="33" t="s">
        <v>26867</v>
      </c>
      <c r="U3942" s="33" t="s">
        <v>26570</v>
      </c>
      <c r="V3942" s="33" t="s">
        <v>26573</v>
      </c>
      <c r="W3942" s="33" t="s">
        <v>94</v>
      </c>
      <c r="X3942" s="33">
        <v>1599</v>
      </c>
      <c r="Z3942" s="33" t="s">
        <v>42968</v>
      </c>
      <c r="AA3942" s="33">
        <v>3724</v>
      </c>
    </row>
    <row r="3943" spans="1:27" ht="12" customHeight="1" x14ac:dyDescent="0.15">
      <c r="A3943" s="33" t="s">
        <v>21882</v>
      </c>
      <c r="B3943" s="33">
        <v>25</v>
      </c>
      <c r="C3943" s="33" t="s">
        <v>14</v>
      </c>
      <c r="D3943" s="33" t="s">
        <v>31</v>
      </c>
      <c r="F3943" s="67">
        <v>42528</v>
      </c>
      <c r="G3943" s="33" t="s">
        <v>21883</v>
      </c>
      <c r="H3943" s="33" t="s">
        <v>21884</v>
      </c>
      <c r="I3943" s="33" t="s">
        <v>367</v>
      </c>
      <c r="J3943" s="33">
        <v>74467</v>
      </c>
      <c r="K3943" s="33" t="s">
        <v>21884</v>
      </c>
      <c r="L3943" s="33" t="s">
        <v>21885</v>
      </c>
      <c r="M3943" s="33" t="s">
        <v>21</v>
      </c>
      <c r="N3943" s="33" t="s">
        <v>21886</v>
      </c>
      <c r="O3943" s="33" t="s">
        <v>372</v>
      </c>
      <c r="P3943" s="33" t="s">
        <v>30089</v>
      </c>
      <c r="Q3943" s="40" t="s">
        <v>21887</v>
      </c>
      <c r="R3943" s="33" t="s">
        <v>94</v>
      </c>
      <c r="S3943" s="33" t="s">
        <v>12</v>
      </c>
      <c r="T3943" s="33" t="s">
        <v>29705</v>
      </c>
      <c r="U3943" s="33" t="s">
        <v>26570</v>
      </c>
      <c r="V3943" s="33" t="s">
        <v>26571</v>
      </c>
      <c r="W3943" s="33" t="s">
        <v>512</v>
      </c>
      <c r="X3943" s="33">
        <v>1596</v>
      </c>
      <c r="Z3943" s="33" t="s">
        <v>42967</v>
      </c>
      <c r="AA3943" s="33">
        <v>3723</v>
      </c>
    </row>
    <row r="3944" spans="1:27" ht="12" customHeight="1" x14ac:dyDescent="0.15">
      <c r="A3944" s="33" t="s">
        <v>21878</v>
      </c>
      <c r="B3944" s="33">
        <v>63</v>
      </c>
      <c r="C3944" s="33" t="s">
        <v>14</v>
      </c>
      <c r="D3944" s="33" t="s">
        <v>31</v>
      </c>
      <c r="E3944" s="33" t="s">
        <v>21879</v>
      </c>
      <c r="F3944" s="67">
        <v>42528</v>
      </c>
      <c r="G3944" s="33" t="s">
        <v>21880</v>
      </c>
      <c r="H3944" s="33" t="s">
        <v>21581</v>
      </c>
      <c r="I3944" s="33" t="s">
        <v>160</v>
      </c>
      <c r="J3944" s="33">
        <v>30281</v>
      </c>
      <c r="K3944" s="33" t="s">
        <v>7624</v>
      </c>
      <c r="L3944" s="33" t="s">
        <v>7625</v>
      </c>
      <c r="M3944" s="33" t="s">
        <v>21</v>
      </c>
      <c r="N3944" s="33" t="s">
        <v>36703</v>
      </c>
      <c r="O3944" s="33" t="s">
        <v>372</v>
      </c>
      <c r="P3944" s="33" t="s">
        <v>30089</v>
      </c>
      <c r="Q3944" s="40" t="s">
        <v>21881</v>
      </c>
      <c r="R3944" s="33" t="s">
        <v>94</v>
      </c>
      <c r="S3944" s="33" t="s">
        <v>22</v>
      </c>
      <c r="T3944" s="33" t="s">
        <v>26781</v>
      </c>
      <c r="U3944" s="33" t="s">
        <v>26572</v>
      </c>
      <c r="V3944" s="33" t="s">
        <v>26573</v>
      </c>
      <c r="W3944" s="33" t="s">
        <v>94</v>
      </c>
      <c r="X3944" s="33">
        <v>1604</v>
      </c>
      <c r="Z3944" s="33" t="s">
        <v>42968</v>
      </c>
      <c r="AA3944" s="33">
        <v>3722</v>
      </c>
    </row>
    <row r="3945" spans="1:27" ht="12" customHeight="1" x14ac:dyDescent="0.15">
      <c r="A3945" s="33" t="s">
        <v>21865</v>
      </c>
      <c r="B3945" s="33">
        <v>25</v>
      </c>
      <c r="C3945" s="33" t="s">
        <v>14</v>
      </c>
      <c r="D3945" s="33" t="s">
        <v>42</v>
      </c>
      <c r="E3945" s="33" t="s">
        <v>21866</v>
      </c>
      <c r="F3945" s="67">
        <v>42527</v>
      </c>
      <c r="G3945" s="33" t="s">
        <v>21867</v>
      </c>
      <c r="H3945" s="33" t="s">
        <v>19857</v>
      </c>
      <c r="I3945" s="33" t="s">
        <v>814</v>
      </c>
      <c r="J3945" s="33">
        <v>96720</v>
      </c>
      <c r="K3945" s="33" t="s">
        <v>3619</v>
      </c>
      <c r="L3945" s="33" t="s">
        <v>3620</v>
      </c>
      <c r="M3945" s="33" t="s">
        <v>21</v>
      </c>
      <c r="N3945" s="33" t="s">
        <v>21868</v>
      </c>
      <c r="O3945" s="33" t="s">
        <v>372</v>
      </c>
      <c r="P3945" s="33" t="s">
        <v>30089</v>
      </c>
      <c r="Q3945" s="40" t="s">
        <v>21869</v>
      </c>
      <c r="R3945" s="33" t="s">
        <v>94</v>
      </c>
      <c r="S3945" s="33" t="s">
        <v>22</v>
      </c>
      <c r="T3945" s="33" t="s">
        <v>26774</v>
      </c>
      <c r="U3945" s="33" t="s">
        <v>26570</v>
      </c>
      <c r="V3945" s="33" t="s">
        <v>26573</v>
      </c>
      <c r="W3945" s="33" t="s">
        <v>94</v>
      </c>
      <c r="X3945" s="33">
        <v>1597</v>
      </c>
      <c r="Z3945" s="33" t="s">
        <v>42968</v>
      </c>
      <c r="AA3945" s="33">
        <v>3720</v>
      </c>
    </row>
    <row r="3946" spans="1:27" ht="12" customHeight="1" x14ac:dyDescent="0.15">
      <c r="A3946" s="33" t="s">
        <v>21870</v>
      </c>
      <c r="B3946" s="33">
        <v>23</v>
      </c>
      <c r="C3946" s="33" t="s">
        <v>14</v>
      </c>
      <c r="D3946" s="33" t="s">
        <v>79</v>
      </c>
      <c r="F3946" s="67">
        <v>42527</v>
      </c>
      <c r="G3946" s="33" t="s">
        <v>21871</v>
      </c>
      <c r="H3946" s="33" t="s">
        <v>1202</v>
      </c>
      <c r="I3946" s="33" t="s">
        <v>63</v>
      </c>
      <c r="J3946" s="33">
        <v>43211</v>
      </c>
      <c r="K3946" s="33" t="s">
        <v>1203</v>
      </c>
      <c r="L3946" s="33" t="s">
        <v>11441</v>
      </c>
      <c r="M3946" s="33" t="s">
        <v>21</v>
      </c>
      <c r="N3946" s="33" t="s">
        <v>21872</v>
      </c>
      <c r="O3946" s="33" t="s">
        <v>372</v>
      </c>
      <c r="P3946" s="33" t="s">
        <v>30089</v>
      </c>
      <c r="Q3946" s="40" t="s">
        <v>21873</v>
      </c>
      <c r="R3946" s="33" t="s">
        <v>94</v>
      </c>
      <c r="S3946" s="33" t="s">
        <v>22</v>
      </c>
      <c r="T3946" s="33" t="s">
        <v>26781</v>
      </c>
      <c r="U3946" s="33" t="s">
        <v>26572</v>
      </c>
      <c r="V3946" s="33" t="s">
        <v>26573</v>
      </c>
      <c r="W3946" s="33" t="s">
        <v>94</v>
      </c>
      <c r="X3946" s="33">
        <v>1595</v>
      </c>
      <c r="Z3946" s="33" t="s">
        <v>42966</v>
      </c>
      <c r="AA3946" s="33">
        <v>3719</v>
      </c>
    </row>
    <row r="3947" spans="1:27" ht="12" customHeight="1" x14ac:dyDescent="0.15">
      <c r="A3947" s="33" t="s">
        <v>21859</v>
      </c>
      <c r="B3947" s="33">
        <v>38</v>
      </c>
      <c r="C3947" s="33" t="s">
        <v>103</v>
      </c>
      <c r="D3947" s="33" t="s">
        <v>31</v>
      </c>
      <c r="F3947" s="67">
        <v>42526</v>
      </c>
      <c r="G3947" s="33" t="s">
        <v>21860</v>
      </c>
      <c r="H3947" s="33" t="s">
        <v>21861</v>
      </c>
      <c r="I3947" s="33" t="s">
        <v>51</v>
      </c>
      <c r="J3947" s="33">
        <v>49014</v>
      </c>
      <c r="K3947" s="33" t="s">
        <v>5619</v>
      </c>
      <c r="L3947" s="33" t="s">
        <v>21862</v>
      </c>
      <c r="M3947" s="33" t="s">
        <v>21</v>
      </c>
      <c r="N3947" s="33" t="s">
        <v>21863</v>
      </c>
      <c r="O3947" s="33" t="s">
        <v>372</v>
      </c>
      <c r="P3947" s="33" t="s">
        <v>30089</v>
      </c>
      <c r="Q3947" s="40" t="s">
        <v>21864</v>
      </c>
      <c r="R3947" s="33" t="s">
        <v>94</v>
      </c>
      <c r="S3947" s="33" t="s">
        <v>12</v>
      </c>
      <c r="T3947" s="33" t="s">
        <v>29705</v>
      </c>
      <c r="U3947" s="33" t="s">
        <v>26570</v>
      </c>
      <c r="V3947" s="33" t="s">
        <v>26573</v>
      </c>
      <c r="Z3947" s="33" t="s">
        <v>42968</v>
      </c>
      <c r="AA3947" s="33">
        <v>3718</v>
      </c>
    </row>
    <row r="3948" spans="1:27" ht="12" customHeight="1" x14ac:dyDescent="0.15">
      <c r="A3948" s="33" t="s">
        <v>21855</v>
      </c>
      <c r="B3948" s="33">
        <v>31</v>
      </c>
      <c r="C3948" s="33" t="s">
        <v>14</v>
      </c>
      <c r="D3948" s="33" t="s">
        <v>31</v>
      </c>
      <c r="F3948" s="67">
        <v>42526</v>
      </c>
      <c r="G3948" s="33" t="s">
        <v>21856</v>
      </c>
      <c r="H3948" s="33" t="s">
        <v>7050</v>
      </c>
      <c r="I3948" s="33" t="s">
        <v>56</v>
      </c>
      <c r="J3948" s="33">
        <v>33914</v>
      </c>
      <c r="K3948" s="33" t="s">
        <v>5086</v>
      </c>
      <c r="L3948" s="33" t="s">
        <v>14271</v>
      </c>
      <c r="M3948" s="33" t="s">
        <v>21</v>
      </c>
      <c r="N3948" s="33" t="s">
        <v>21857</v>
      </c>
      <c r="O3948" s="33" t="s">
        <v>372</v>
      </c>
      <c r="P3948" s="33" t="s">
        <v>30089</v>
      </c>
      <c r="Q3948" s="40" t="s">
        <v>21858</v>
      </c>
      <c r="R3948" s="33" t="s">
        <v>94</v>
      </c>
      <c r="S3948" s="33" t="s">
        <v>22</v>
      </c>
      <c r="T3948" s="33" t="s">
        <v>26781</v>
      </c>
      <c r="U3948" s="33" t="s">
        <v>26570</v>
      </c>
      <c r="V3948" s="33" t="s">
        <v>26571</v>
      </c>
      <c r="W3948" s="33" t="s">
        <v>94</v>
      </c>
      <c r="X3948" s="33">
        <v>1593</v>
      </c>
      <c r="Z3948" s="33" t="s">
        <v>42968</v>
      </c>
      <c r="AA3948" s="33">
        <v>3717</v>
      </c>
    </row>
    <row r="3949" spans="1:27" ht="12" customHeight="1" x14ac:dyDescent="0.15">
      <c r="A3949" s="33" t="s">
        <v>21842</v>
      </c>
      <c r="B3949" s="33">
        <v>35</v>
      </c>
      <c r="C3949" s="33" t="s">
        <v>14</v>
      </c>
      <c r="D3949" s="33" t="s">
        <v>79</v>
      </c>
      <c r="E3949" s="33" t="s">
        <v>21843</v>
      </c>
      <c r="F3949" s="67">
        <v>42525</v>
      </c>
      <c r="G3949" s="33" t="s">
        <v>21844</v>
      </c>
      <c r="H3949" s="33" t="s">
        <v>12421</v>
      </c>
      <c r="I3949" s="33" t="s">
        <v>88</v>
      </c>
      <c r="J3949" s="33">
        <v>36027</v>
      </c>
      <c r="K3949" s="33" t="s">
        <v>12422</v>
      </c>
      <c r="L3949" s="33" t="s">
        <v>21845</v>
      </c>
      <c r="M3949" s="33" t="s">
        <v>21</v>
      </c>
      <c r="N3949" s="33" t="s">
        <v>21846</v>
      </c>
      <c r="O3949" s="33" t="s">
        <v>372</v>
      </c>
      <c r="P3949" s="33" t="s">
        <v>30089</v>
      </c>
      <c r="Q3949" s="40" t="s">
        <v>21847</v>
      </c>
      <c r="R3949" s="33" t="s">
        <v>94</v>
      </c>
      <c r="S3949" s="33" t="s">
        <v>22</v>
      </c>
      <c r="T3949" s="33" t="s">
        <v>26781</v>
      </c>
      <c r="U3949" s="33" t="s">
        <v>26572</v>
      </c>
      <c r="V3949" s="33" t="s">
        <v>19228</v>
      </c>
      <c r="W3949" s="33" t="s">
        <v>512</v>
      </c>
      <c r="X3949" s="33">
        <v>1594</v>
      </c>
      <c r="Z3949" s="33" t="s">
        <v>42967</v>
      </c>
      <c r="AA3949" s="33">
        <v>3714</v>
      </c>
    </row>
    <row r="3950" spans="1:27" ht="12" customHeight="1" x14ac:dyDescent="0.15">
      <c r="A3950" s="33" t="s">
        <v>21848</v>
      </c>
      <c r="B3950" s="33">
        <v>31</v>
      </c>
      <c r="C3950" s="33" t="s">
        <v>14</v>
      </c>
      <c r="D3950" s="33" t="s">
        <v>24</v>
      </c>
      <c r="F3950" s="67">
        <v>42525</v>
      </c>
      <c r="G3950" s="33" t="s">
        <v>21849</v>
      </c>
      <c r="H3950" s="33" t="s">
        <v>4051</v>
      </c>
      <c r="I3950" s="33" t="s">
        <v>39</v>
      </c>
      <c r="J3950" s="33">
        <v>96064</v>
      </c>
      <c r="K3950" s="33" t="s">
        <v>896</v>
      </c>
      <c r="L3950" s="33" t="s">
        <v>897</v>
      </c>
      <c r="M3950" s="33" t="s">
        <v>21</v>
      </c>
      <c r="N3950" s="33" t="s">
        <v>21850</v>
      </c>
      <c r="O3950" s="33" t="s">
        <v>372</v>
      </c>
      <c r="P3950" s="33" t="s">
        <v>30089</v>
      </c>
      <c r="Q3950" s="40" t="s">
        <v>21851</v>
      </c>
      <c r="R3950" s="33" t="s">
        <v>23</v>
      </c>
      <c r="S3950" s="33" t="s">
        <v>29</v>
      </c>
      <c r="T3950" s="33" t="s">
        <v>26575</v>
      </c>
      <c r="U3950" s="33" t="s">
        <v>26572</v>
      </c>
      <c r="V3950" s="33" t="s">
        <v>26573</v>
      </c>
      <c r="W3950" s="33" t="s">
        <v>94</v>
      </c>
      <c r="X3950" s="33">
        <v>1592</v>
      </c>
      <c r="Z3950" s="33" t="s">
        <v>42967</v>
      </c>
      <c r="AA3950" s="33">
        <v>3716</v>
      </c>
    </row>
    <row r="3951" spans="1:27" ht="12" customHeight="1" x14ac:dyDescent="0.15">
      <c r="A3951" s="33" t="s">
        <v>21852</v>
      </c>
      <c r="B3951" s="33">
        <v>31</v>
      </c>
      <c r="C3951" s="33" t="s">
        <v>14</v>
      </c>
      <c r="D3951" s="33" t="s">
        <v>31</v>
      </c>
      <c r="E3951" s="33" t="s">
        <v>23851</v>
      </c>
      <c r="F3951" s="67">
        <v>42525</v>
      </c>
      <c r="G3951" s="33" t="s">
        <v>22093</v>
      </c>
      <c r="H3951" s="33" t="s">
        <v>849</v>
      </c>
      <c r="I3951" s="33" t="s">
        <v>198</v>
      </c>
      <c r="J3951" s="33">
        <v>47302</v>
      </c>
      <c r="K3951" s="33" t="s">
        <v>850</v>
      </c>
      <c r="L3951" s="33" t="s">
        <v>851</v>
      </c>
      <c r="M3951" s="33" t="s">
        <v>21</v>
      </c>
      <c r="N3951" s="33" t="s">
        <v>21853</v>
      </c>
      <c r="O3951" s="33" t="s">
        <v>372</v>
      </c>
      <c r="P3951" s="33" t="s">
        <v>30089</v>
      </c>
      <c r="Q3951" s="40" t="s">
        <v>21854</v>
      </c>
      <c r="R3951" s="33" t="s">
        <v>512</v>
      </c>
      <c r="S3951" s="33" t="s">
        <v>22</v>
      </c>
      <c r="T3951" s="33" t="s">
        <v>26774</v>
      </c>
      <c r="U3951" s="33" t="s">
        <v>26570</v>
      </c>
      <c r="V3951" s="33" t="s">
        <v>26573</v>
      </c>
      <c r="W3951" s="33" t="s">
        <v>512</v>
      </c>
      <c r="X3951" s="33">
        <v>1598</v>
      </c>
      <c r="Z3951" s="33" t="s">
        <v>42966</v>
      </c>
      <c r="AA3951" s="33">
        <v>3715</v>
      </c>
    </row>
    <row r="3952" spans="1:27" ht="12" customHeight="1" x14ac:dyDescent="0.15">
      <c r="A3952" s="33" t="s">
        <v>21835</v>
      </c>
      <c r="B3952" s="33">
        <v>28</v>
      </c>
      <c r="C3952" s="33" t="s">
        <v>14</v>
      </c>
      <c r="D3952" s="33" t="s">
        <v>128</v>
      </c>
      <c r="F3952" s="67">
        <v>42524</v>
      </c>
      <c r="G3952" s="33" t="s">
        <v>21836</v>
      </c>
      <c r="H3952" s="33" t="s">
        <v>21837</v>
      </c>
      <c r="I3952" s="33" t="s">
        <v>132</v>
      </c>
      <c r="J3952" s="33">
        <v>57770</v>
      </c>
      <c r="K3952" s="33" t="s">
        <v>21838</v>
      </c>
      <c r="L3952" s="33" t="s">
        <v>21839</v>
      </c>
      <c r="M3952" s="33" t="s">
        <v>21</v>
      </c>
      <c r="N3952" s="33" t="s">
        <v>21840</v>
      </c>
      <c r="O3952" s="33" t="s">
        <v>372</v>
      </c>
      <c r="P3952" s="33" t="s">
        <v>30089</v>
      </c>
      <c r="Q3952" s="40" t="s">
        <v>21841</v>
      </c>
      <c r="R3952" s="33" t="s">
        <v>23</v>
      </c>
      <c r="S3952" s="33" t="s">
        <v>22</v>
      </c>
      <c r="T3952" s="33" t="s">
        <v>26774</v>
      </c>
      <c r="U3952" s="33" t="s">
        <v>26572</v>
      </c>
      <c r="V3952" s="33" t="s">
        <v>26573</v>
      </c>
      <c r="Z3952" s="33" t="s">
        <v>42967</v>
      </c>
      <c r="AA3952" s="33">
        <v>3713</v>
      </c>
    </row>
    <row r="3953" spans="1:27" ht="12" customHeight="1" x14ac:dyDescent="0.15">
      <c r="A3953" s="33" t="s">
        <v>21816</v>
      </c>
      <c r="B3953" s="33">
        <v>33</v>
      </c>
      <c r="C3953" s="33" t="s">
        <v>14</v>
      </c>
      <c r="D3953" s="33" t="s">
        <v>31</v>
      </c>
      <c r="F3953" s="67">
        <v>42524</v>
      </c>
      <c r="G3953" s="33" t="s">
        <v>21817</v>
      </c>
      <c r="H3953" s="33" t="s">
        <v>21818</v>
      </c>
      <c r="I3953" s="33" t="s">
        <v>309</v>
      </c>
      <c r="J3953" s="33">
        <v>99645</v>
      </c>
      <c r="K3953" s="33" t="s">
        <v>19800</v>
      </c>
      <c r="L3953" s="33" t="s">
        <v>10186</v>
      </c>
      <c r="M3953" s="33" t="s">
        <v>21</v>
      </c>
      <c r="N3953" s="33" t="s">
        <v>21819</v>
      </c>
      <c r="O3953" s="33" t="s">
        <v>372</v>
      </c>
      <c r="P3953" s="33" t="s">
        <v>30089</v>
      </c>
      <c r="Q3953" s="40" t="s">
        <v>21820</v>
      </c>
      <c r="R3953" s="33" t="s">
        <v>23</v>
      </c>
      <c r="S3953" s="33" t="s">
        <v>22</v>
      </c>
      <c r="T3953" s="33" t="s">
        <v>26774</v>
      </c>
      <c r="U3953" s="33" t="s">
        <v>26570</v>
      </c>
      <c r="V3953" s="33" t="s">
        <v>26573</v>
      </c>
      <c r="W3953" s="33" t="s">
        <v>94</v>
      </c>
      <c r="X3953" s="33">
        <v>1590</v>
      </c>
      <c r="Z3953" s="33" t="s">
        <v>42967</v>
      </c>
      <c r="AA3953" s="33">
        <v>3711</v>
      </c>
    </row>
    <row r="3954" spans="1:27" ht="12" customHeight="1" x14ac:dyDescent="0.15">
      <c r="A3954" s="33" t="s">
        <v>21830</v>
      </c>
      <c r="B3954" s="33">
        <v>34</v>
      </c>
      <c r="C3954" s="33" t="s">
        <v>14</v>
      </c>
      <c r="D3954" s="33" t="s">
        <v>128</v>
      </c>
      <c r="F3954" s="67">
        <v>42524</v>
      </c>
      <c r="G3954" s="33" t="s">
        <v>21831</v>
      </c>
      <c r="H3954" s="33" t="s">
        <v>1517</v>
      </c>
      <c r="I3954" s="33" t="s">
        <v>112</v>
      </c>
      <c r="J3954" s="33">
        <v>85344</v>
      </c>
      <c r="K3954" s="33" t="s">
        <v>3670</v>
      </c>
      <c r="L3954" s="33" t="s">
        <v>21832</v>
      </c>
      <c r="M3954" s="33" t="s">
        <v>21</v>
      </c>
      <c r="N3954" s="33" t="s">
        <v>21833</v>
      </c>
      <c r="O3954" s="33" t="s">
        <v>372</v>
      </c>
      <c r="P3954" s="33" t="s">
        <v>30089</v>
      </c>
      <c r="Q3954" s="40" t="s">
        <v>21834</v>
      </c>
      <c r="R3954" s="33" t="s">
        <v>23</v>
      </c>
      <c r="S3954" s="33" t="s">
        <v>22</v>
      </c>
      <c r="T3954" s="33" t="s">
        <v>26774</v>
      </c>
      <c r="U3954" s="33" t="s">
        <v>26570</v>
      </c>
      <c r="V3954" s="33" t="s">
        <v>26573</v>
      </c>
      <c r="W3954" s="33" t="s">
        <v>94</v>
      </c>
      <c r="X3954" s="33">
        <v>1591</v>
      </c>
      <c r="Z3954" s="33" t="s">
        <v>42967</v>
      </c>
      <c r="AA3954" s="33">
        <v>3712</v>
      </c>
    </row>
    <row r="3955" spans="1:27" ht="12" customHeight="1" x14ac:dyDescent="0.15">
      <c r="A3955" s="33" t="s">
        <v>21825</v>
      </c>
      <c r="B3955" s="33">
        <v>43</v>
      </c>
      <c r="C3955" s="33" t="s">
        <v>14</v>
      </c>
      <c r="D3955" s="33" t="s">
        <v>79</v>
      </c>
      <c r="E3955" s="33" t="s">
        <v>21826</v>
      </c>
      <c r="F3955" s="67">
        <v>42523</v>
      </c>
      <c r="G3955" s="33" t="s">
        <v>21827</v>
      </c>
      <c r="H3955" s="33" t="s">
        <v>3060</v>
      </c>
      <c r="I3955" s="33" t="s">
        <v>225</v>
      </c>
      <c r="J3955" s="33">
        <v>23504</v>
      </c>
      <c r="K3955" s="33" t="s">
        <v>14991</v>
      </c>
      <c r="L3955" s="33" t="s">
        <v>4650</v>
      </c>
      <c r="M3955" s="33" t="s">
        <v>21</v>
      </c>
      <c r="N3955" s="33" t="s">
        <v>21828</v>
      </c>
      <c r="O3955" s="33" t="s">
        <v>372</v>
      </c>
      <c r="P3955" s="33" t="s">
        <v>30089</v>
      </c>
      <c r="Q3955" s="40" t="s">
        <v>21829</v>
      </c>
      <c r="R3955" s="33" t="s">
        <v>512</v>
      </c>
      <c r="S3955" s="33" t="s">
        <v>29</v>
      </c>
      <c r="T3955" s="33" t="s">
        <v>26774</v>
      </c>
      <c r="U3955" s="33" t="s">
        <v>26570</v>
      </c>
      <c r="V3955" s="33" t="s">
        <v>26573</v>
      </c>
      <c r="W3955" s="33" t="s">
        <v>512</v>
      </c>
      <c r="X3955" s="33">
        <v>1588</v>
      </c>
      <c r="Z3955" s="33" t="s">
        <v>42966</v>
      </c>
      <c r="AA3955" s="33">
        <v>3710</v>
      </c>
    </row>
    <row r="3956" spans="1:27" ht="12" customHeight="1" x14ac:dyDescent="0.15">
      <c r="A3956" s="33" t="s">
        <v>21821</v>
      </c>
      <c r="B3956" s="33">
        <v>18</v>
      </c>
      <c r="C3956" s="33" t="s">
        <v>14</v>
      </c>
      <c r="D3956" s="33" t="s">
        <v>79</v>
      </c>
      <c r="F3956" s="67">
        <v>42523</v>
      </c>
      <c r="G3956" s="33" t="s">
        <v>21822</v>
      </c>
      <c r="H3956" s="33" t="s">
        <v>3855</v>
      </c>
      <c r="I3956" s="33" t="s">
        <v>338</v>
      </c>
      <c r="J3956" s="33">
        <v>28262</v>
      </c>
      <c r="K3956" s="33" t="s">
        <v>3857</v>
      </c>
      <c r="L3956" s="33" t="s">
        <v>3858</v>
      </c>
      <c r="M3956" s="33" t="s">
        <v>21</v>
      </c>
      <c r="N3956" s="33" t="s">
        <v>21823</v>
      </c>
      <c r="O3956" s="33" t="s">
        <v>372</v>
      </c>
      <c r="P3956" s="33" t="s">
        <v>30089</v>
      </c>
      <c r="Q3956" s="40" t="s">
        <v>21824</v>
      </c>
      <c r="R3956" s="33" t="s">
        <v>94</v>
      </c>
      <c r="S3956" s="33" t="s">
        <v>22</v>
      </c>
      <c r="T3956" s="33" t="s">
        <v>26781</v>
      </c>
      <c r="U3956" s="33" t="s">
        <v>26570</v>
      </c>
      <c r="V3956" s="33" t="s">
        <v>26573</v>
      </c>
      <c r="W3956" s="33" t="s">
        <v>512</v>
      </c>
      <c r="X3956" s="33">
        <v>1589</v>
      </c>
      <c r="Z3956" s="33" t="s">
        <v>42966</v>
      </c>
      <c r="AA3956" s="33">
        <v>3709</v>
      </c>
    </row>
    <row r="3957" spans="1:27" ht="12" customHeight="1" x14ac:dyDescent="0.15">
      <c r="A3957" s="33" t="s">
        <v>21803</v>
      </c>
      <c r="B3957" s="33">
        <v>21</v>
      </c>
      <c r="C3957" s="33" t="s">
        <v>14</v>
      </c>
      <c r="D3957" s="33" t="s">
        <v>79</v>
      </c>
      <c r="E3957" s="33" t="s">
        <v>21804</v>
      </c>
      <c r="F3957" s="67">
        <v>42522</v>
      </c>
      <c r="G3957" s="33" t="s">
        <v>21805</v>
      </c>
      <c r="H3957" s="33" t="s">
        <v>21806</v>
      </c>
      <c r="I3957" s="33" t="s">
        <v>160</v>
      </c>
      <c r="J3957" s="33">
        <v>30265</v>
      </c>
      <c r="K3957" s="33" t="s">
        <v>20786</v>
      </c>
      <c r="L3957" s="33" t="s">
        <v>21807</v>
      </c>
      <c r="M3957" s="33" t="s">
        <v>21</v>
      </c>
      <c r="N3957" s="33" t="s">
        <v>21808</v>
      </c>
      <c r="O3957" s="33" t="s">
        <v>372</v>
      </c>
      <c r="P3957" s="33" t="s">
        <v>30089</v>
      </c>
      <c r="Q3957" s="40" t="s">
        <v>21809</v>
      </c>
      <c r="R3957" s="33" t="s">
        <v>94</v>
      </c>
      <c r="S3957" s="33" t="s">
        <v>22</v>
      </c>
      <c r="T3957" s="33" t="s">
        <v>26781</v>
      </c>
      <c r="U3957" s="33" t="s">
        <v>26572</v>
      </c>
      <c r="V3957" s="33" t="s">
        <v>26574</v>
      </c>
      <c r="W3957" s="33" t="s">
        <v>512</v>
      </c>
      <c r="X3957" s="33">
        <v>1586</v>
      </c>
      <c r="Z3957" s="33" t="s">
        <v>42968</v>
      </c>
      <c r="AA3957" s="33">
        <v>3707</v>
      </c>
    </row>
    <row r="3958" spans="1:27" ht="12" customHeight="1" x14ac:dyDescent="0.15">
      <c r="A3958" s="33" t="s">
        <v>23852</v>
      </c>
      <c r="B3958" s="33" t="s">
        <v>23</v>
      </c>
      <c r="C3958" s="33" t="s">
        <v>14</v>
      </c>
      <c r="D3958" s="33" t="s">
        <v>31</v>
      </c>
      <c r="E3958" s="33" t="s">
        <v>23853</v>
      </c>
      <c r="F3958" s="67">
        <v>42522</v>
      </c>
      <c r="G3958" s="33" t="s">
        <v>21800</v>
      </c>
      <c r="H3958" s="33" t="s">
        <v>584</v>
      </c>
      <c r="I3958" s="33" t="s">
        <v>112</v>
      </c>
      <c r="J3958" s="33">
        <v>85035</v>
      </c>
      <c r="K3958" s="33" t="s">
        <v>585</v>
      </c>
      <c r="L3958" s="33" t="s">
        <v>586</v>
      </c>
      <c r="M3958" s="33" t="s">
        <v>21</v>
      </c>
      <c r="N3958" s="33" t="s">
        <v>21801</v>
      </c>
      <c r="O3958" s="33" t="s">
        <v>372</v>
      </c>
      <c r="P3958" s="33" t="s">
        <v>30089</v>
      </c>
      <c r="Q3958" s="40" t="s">
        <v>21802</v>
      </c>
      <c r="R3958" s="33" t="s">
        <v>94</v>
      </c>
      <c r="S3958" s="33" t="s">
        <v>22</v>
      </c>
      <c r="T3958" s="33" t="s">
        <v>26781</v>
      </c>
      <c r="U3958" s="33" t="s">
        <v>26572</v>
      </c>
      <c r="V3958" s="33" t="s">
        <v>26573</v>
      </c>
      <c r="W3958" s="33" t="s">
        <v>94</v>
      </c>
      <c r="X3958" s="33">
        <v>1584</v>
      </c>
      <c r="Z3958" s="33" t="s">
        <v>42968</v>
      </c>
      <c r="AA3958" s="33">
        <v>3706</v>
      </c>
    </row>
    <row r="3959" spans="1:27" ht="12" customHeight="1" x14ac:dyDescent="0.15">
      <c r="A3959" s="33" t="s">
        <v>21810</v>
      </c>
      <c r="B3959" s="33">
        <v>51</v>
      </c>
      <c r="C3959" s="33" t="s">
        <v>14</v>
      </c>
      <c r="D3959" s="33" t="s">
        <v>31</v>
      </c>
      <c r="E3959" s="33" t="s">
        <v>21811</v>
      </c>
      <c r="F3959" s="67">
        <v>42522</v>
      </c>
      <c r="G3959" s="33" t="s">
        <v>21812</v>
      </c>
      <c r="H3959" s="33" t="s">
        <v>21813</v>
      </c>
      <c r="I3959" s="33" t="s">
        <v>294</v>
      </c>
      <c r="J3959" s="33">
        <v>40403</v>
      </c>
      <c r="K3959" s="33" t="s">
        <v>2014</v>
      </c>
      <c r="L3959" s="33" t="s">
        <v>6382</v>
      </c>
      <c r="M3959" s="33" t="s">
        <v>21</v>
      </c>
      <c r="N3959" s="33" t="s">
        <v>21814</v>
      </c>
      <c r="O3959" s="33" t="s">
        <v>372</v>
      </c>
      <c r="P3959" s="33" t="s">
        <v>30089</v>
      </c>
      <c r="Q3959" s="40" t="s">
        <v>21815</v>
      </c>
      <c r="R3959" s="33" t="s">
        <v>94</v>
      </c>
      <c r="S3959" s="33" t="s">
        <v>22</v>
      </c>
      <c r="T3959" s="33" t="s">
        <v>26781</v>
      </c>
      <c r="U3959" s="33" t="s">
        <v>26572</v>
      </c>
      <c r="V3959" s="33" t="s">
        <v>26574</v>
      </c>
      <c r="W3959" s="33" t="s">
        <v>94</v>
      </c>
      <c r="X3959" s="33">
        <v>1587</v>
      </c>
      <c r="Z3959" s="33" t="s">
        <v>42967</v>
      </c>
      <c r="AA3959" s="33">
        <v>3708</v>
      </c>
    </row>
    <row r="3960" spans="1:27" ht="12" customHeight="1" x14ac:dyDescent="0.15">
      <c r="A3960" s="33" t="s">
        <v>21795</v>
      </c>
      <c r="B3960" s="33">
        <v>36</v>
      </c>
      <c r="C3960" s="33" t="s">
        <v>14</v>
      </c>
      <c r="D3960" s="33" t="s">
        <v>31</v>
      </c>
      <c r="E3960" s="33" t="s">
        <v>21796</v>
      </c>
      <c r="F3960" s="67">
        <v>42521</v>
      </c>
      <c r="G3960" s="33" t="s">
        <v>21797</v>
      </c>
      <c r="H3960" s="33" t="s">
        <v>11724</v>
      </c>
      <c r="I3960" s="33" t="s">
        <v>106</v>
      </c>
      <c r="J3960" s="33">
        <v>97702</v>
      </c>
      <c r="K3960" s="33" t="s">
        <v>11726</v>
      </c>
      <c r="L3960" s="33" t="s">
        <v>1910</v>
      </c>
      <c r="M3960" s="33" t="s">
        <v>21</v>
      </c>
      <c r="N3960" s="33" t="s">
        <v>21798</v>
      </c>
      <c r="O3960" s="33" t="s">
        <v>372</v>
      </c>
      <c r="P3960" s="33" t="s">
        <v>30089</v>
      </c>
      <c r="Q3960" s="40" t="s">
        <v>21799</v>
      </c>
      <c r="R3960" s="33" t="s">
        <v>23</v>
      </c>
      <c r="S3960" s="33" t="s">
        <v>22</v>
      </c>
      <c r="T3960" s="33" t="s">
        <v>26774</v>
      </c>
      <c r="U3960" s="33" t="s">
        <v>26570</v>
      </c>
      <c r="V3960" s="33" t="s">
        <v>26573</v>
      </c>
      <c r="W3960" s="33" t="s">
        <v>94</v>
      </c>
      <c r="X3960" s="33">
        <v>1585</v>
      </c>
      <c r="Z3960" s="33" t="s">
        <v>42966</v>
      </c>
      <c r="AA3960" s="33">
        <v>3705</v>
      </c>
    </row>
    <row r="3961" spans="1:27" ht="12" customHeight="1" x14ac:dyDescent="0.15">
      <c r="A3961" s="33" t="s">
        <v>21784</v>
      </c>
      <c r="B3961" s="33">
        <v>33</v>
      </c>
      <c r="C3961" s="33" t="s">
        <v>14</v>
      </c>
      <c r="D3961" s="33" t="s">
        <v>79</v>
      </c>
      <c r="E3961" s="33" t="s">
        <v>21785</v>
      </c>
      <c r="F3961" s="67">
        <v>42520</v>
      </c>
      <c r="G3961" s="33" t="s">
        <v>21786</v>
      </c>
      <c r="H3961" s="33" t="s">
        <v>518</v>
      </c>
      <c r="I3961" s="33" t="s">
        <v>112</v>
      </c>
      <c r="J3961" s="33">
        <v>85712</v>
      </c>
      <c r="K3961" s="33" t="s">
        <v>519</v>
      </c>
      <c r="L3961" s="33" t="s">
        <v>520</v>
      </c>
      <c r="M3961" s="33" t="s">
        <v>21</v>
      </c>
      <c r="N3961" s="33" t="s">
        <v>21787</v>
      </c>
      <c r="O3961" s="33" t="s">
        <v>372</v>
      </c>
      <c r="P3961" s="33" t="s">
        <v>30089</v>
      </c>
      <c r="Q3961" s="40" t="s">
        <v>21788</v>
      </c>
      <c r="R3961" s="33" t="s">
        <v>94</v>
      </c>
      <c r="S3961" s="33" t="s">
        <v>22</v>
      </c>
      <c r="T3961" s="33" t="s">
        <v>26781</v>
      </c>
      <c r="U3961" s="33" t="s">
        <v>26572</v>
      </c>
      <c r="V3961" s="33" t="s">
        <v>26573</v>
      </c>
      <c r="W3961" s="33" t="s">
        <v>94</v>
      </c>
      <c r="X3961" s="33">
        <v>1575</v>
      </c>
      <c r="Z3961" s="33" t="s">
        <v>42966</v>
      </c>
      <c r="AA3961" s="33">
        <v>3704</v>
      </c>
    </row>
    <row r="3962" spans="1:27" ht="12" customHeight="1" x14ac:dyDescent="0.15">
      <c r="A3962" s="33" t="s">
        <v>21789</v>
      </c>
      <c r="B3962" s="33">
        <v>70</v>
      </c>
      <c r="C3962" s="33" t="s">
        <v>14</v>
      </c>
      <c r="D3962" s="33" t="s">
        <v>31</v>
      </c>
      <c r="E3962" s="33" t="s">
        <v>21790</v>
      </c>
      <c r="F3962" s="67">
        <v>42520</v>
      </c>
      <c r="G3962" s="33" t="s">
        <v>22094</v>
      </c>
      <c r="H3962" s="33" t="s">
        <v>21791</v>
      </c>
      <c r="I3962" s="33" t="s">
        <v>106</v>
      </c>
      <c r="J3962" s="33">
        <v>97062</v>
      </c>
      <c r="K3962" s="33" t="s">
        <v>107</v>
      </c>
      <c r="L3962" s="33" t="s">
        <v>21792</v>
      </c>
      <c r="M3962" s="33" t="s">
        <v>21</v>
      </c>
      <c r="N3962" s="33" t="s">
        <v>21793</v>
      </c>
      <c r="O3962" s="33" t="s">
        <v>372</v>
      </c>
      <c r="P3962" s="33" t="s">
        <v>30089</v>
      </c>
      <c r="Q3962" s="40" t="s">
        <v>21794</v>
      </c>
      <c r="R3962" s="33" t="s">
        <v>94</v>
      </c>
      <c r="S3962" s="33" t="s">
        <v>22</v>
      </c>
      <c r="T3962" s="33" t="s">
        <v>26781</v>
      </c>
      <c r="U3962" s="33" t="s">
        <v>26572</v>
      </c>
      <c r="V3962" s="33" t="s">
        <v>26573</v>
      </c>
      <c r="W3962" s="33" t="s">
        <v>94</v>
      </c>
      <c r="X3962" s="33">
        <v>1574</v>
      </c>
      <c r="Z3962" s="33" t="s">
        <v>42968</v>
      </c>
      <c r="AA3962" s="33">
        <v>3703</v>
      </c>
    </row>
    <row r="3963" spans="1:27" ht="12" customHeight="1" x14ac:dyDescent="0.15">
      <c r="A3963" s="33" t="s">
        <v>21772</v>
      </c>
      <c r="B3963" s="33">
        <v>38</v>
      </c>
      <c r="C3963" s="33" t="s">
        <v>14</v>
      </c>
      <c r="D3963" s="33" t="s">
        <v>31</v>
      </c>
      <c r="E3963" s="33" t="s">
        <v>21773</v>
      </c>
      <c r="F3963" s="67">
        <v>42519</v>
      </c>
      <c r="G3963" s="33" t="s">
        <v>21774</v>
      </c>
      <c r="H3963" s="33" t="s">
        <v>21775</v>
      </c>
      <c r="I3963" s="33" t="s">
        <v>338</v>
      </c>
      <c r="J3963" s="33">
        <v>27048</v>
      </c>
      <c r="K3963" s="33" t="s">
        <v>4386</v>
      </c>
      <c r="L3963" s="33" t="s">
        <v>21776</v>
      </c>
      <c r="M3963" s="33" t="s">
        <v>4966</v>
      </c>
      <c r="N3963" s="33" t="s">
        <v>21777</v>
      </c>
      <c r="O3963" s="33" t="s">
        <v>372</v>
      </c>
      <c r="P3963" s="33" t="s">
        <v>30089</v>
      </c>
      <c r="Q3963" s="40" t="s">
        <v>21778</v>
      </c>
      <c r="R3963" s="33" t="s">
        <v>94</v>
      </c>
      <c r="S3963" s="33" t="s">
        <v>12</v>
      </c>
      <c r="T3963" s="33" t="s">
        <v>29705</v>
      </c>
      <c r="U3963" s="33" t="s">
        <v>26570</v>
      </c>
      <c r="V3963" s="33" t="s">
        <v>26571</v>
      </c>
      <c r="W3963" s="33" t="s">
        <v>94</v>
      </c>
      <c r="X3963" s="33">
        <v>1579</v>
      </c>
      <c r="Z3963" s="33" t="s">
        <v>42967</v>
      </c>
      <c r="AA3963" s="33">
        <v>3701</v>
      </c>
    </row>
    <row r="3964" spans="1:27" ht="12" customHeight="1" x14ac:dyDescent="0.15">
      <c r="A3964" s="33" t="s">
        <v>21779</v>
      </c>
      <c r="B3964" s="33">
        <v>25</v>
      </c>
      <c r="C3964" s="33" t="s">
        <v>14</v>
      </c>
      <c r="D3964" s="33" t="s">
        <v>42</v>
      </c>
      <c r="E3964" s="33" t="s">
        <v>21780</v>
      </c>
      <c r="F3964" s="67">
        <v>42519</v>
      </c>
      <c r="G3964" s="33" t="s">
        <v>21781</v>
      </c>
      <c r="H3964" s="33" t="s">
        <v>674</v>
      </c>
      <c r="I3964" s="33" t="s">
        <v>67</v>
      </c>
      <c r="J3964" s="33">
        <v>77079</v>
      </c>
      <c r="K3964" s="33" t="s">
        <v>515</v>
      </c>
      <c r="L3964" s="33" t="s">
        <v>675</v>
      </c>
      <c r="M3964" s="33" t="s">
        <v>21</v>
      </c>
      <c r="N3964" s="33" t="s">
        <v>21782</v>
      </c>
      <c r="O3964" s="33" t="s">
        <v>372</v>
      </c>
      <c r="P3964" s="33" t="s">
        <v>30089</v>
      </c>
      <c r="Q3964" s="40" t="s">
        <v>21783</v>
      </c>
      <c r="R3964" s="33" t="s">
        <v>512</v>
      </c>
      <c r="S3964" s="33" t="s">
        <v>22</v>
      </c>
      <c r="T3964" s="33" t="s">
        <v>26781</v>
      </c>
      <c r="U3964" s="33" t="s">
        <v>26572</v>
      </c>
      <c r="V3964" s="33" t="s">
        <v>26573</v>
      </c>
      <c r="W3964" s="33" t="s">
        <v>94</v>
      </c>
      <c r="X3964" s="33">
        <v>1573</v>
      </c>
      <c r="Z3964" s="33" t="s">
        <v>42968</v>
      </c>
      <c r="AA3964" s="33">
        <v>3698</v>
      </c>
    </row>
    <row r="3965" spans="1:27" ht="12" customHeight="1" x14ac:dyDescent="0.15">
      <c r="A3965" s="33" t="s">
        <v>21763</v>
      </c>
      <c r="B3965" s="33">
        <v>32</v>
      </c>
      <c r="C3965" s="33" t="s">
        <v>14</v>
      </c>
      <c r="D3965" s="33" t="s">
        <v>31</v>
      </c>
      <c r="F3965" s="67">
        <v>42519</v>
      </c>
      <c r="G3965" s="33" t="s">
        <v>21764</v>
      </c>
      <c r="H3965" s="33" t="s">
        <v>15193</v>
      </c>
      <c r="I3965" s="33" t="s">
        <v>56</v>
      </c>
      <c r="J3965" s="33">
        <v>32763</v>
      </c>
      <c r="K3965" s="33" t="s">
        <v>3571</v>
      </c>
      <c r="L3965" s="33" t="s">
        <v>242</v>
      </c>
      <c r="M3965" s="33" t="s">
        <v>21</v>
      </c>
      <c r="N3965" s="33" t="s">
        <v>21765</v>
      </c>
      <c r="O3965" s="33" t="s">
        <v>372</v>
      </c>
      <c r="P3965" s="33" t="s">
        <v>30089</v>
      </c>
      <c r="Q3965" s="40" t="s">
        <v>21766</v>
      </c>
      <c r="R3965" s="33" t="s">
        <v>94</v>
      </c>
      <c r="S3965" s="33" t="s">
        <v>22</v>
      </c>
      <c r="T3965" s="33" t="s">
        <v>26774</v>
      </c>
      <c r="U3965" s="33" t="s">
        <v>26570</v>
      </c>
      <c r="V3965" s="33" t="s">
        <v>26573</v>
      </c>
      <c r="W3965" s="33" t="s">
        <v>94</v>
      </c>
      <c r="X3965" s="33">
        <v>1577</v>
      </c>
      <c r="Z3965" s="33" t="s">
        <v>42968</v>
      </c>
      <c r="AA3965" s="33">
        <v>3700</v>
      </c>
    </row>
    <row r="3966" spans="1:27" ht="12" customHeight="1" x14ac:dyDescent="0.15">
      <c r="A3966" s="33" t="s">
        <v>22079</v>
      </c>
      <c r="B3966" s="33">
        <v>30</v>
      </c>
      <c r="C3966" s="33" t="s">
        <v>14</v>
      </c>
      <c r="D3966" s="33" t="s">
        <v>31</v>
      </c>
      <c r="F3966" s="67">
        <v>42519</v>
      </c>
      <c r="G3966" s="33" t="s">
        <v>22080</v>
      </c>
      <c r="H3966" s="33" t="s">
        <v>12414</v>
      </c>
      <c r="I3966" s="33" t="s">
        <v>198</v>
      </c>
      <c r="J3966" s="33">
        <v>46142</v>
      </c>
      <c r="K3966" s="33" t="s">
        <v>3032</v>
      </c>
      <c r="L3966" s="33" t="s">
        <v>22081</v>
      </c>
      <c r="M3966" s="33" t="s">
        <v>363</v>
      </c>
      <c r="N3966" s="33" t="s">
        <v>22083</v>
      </c>
      <c r="O3966" s="33" t="s">
        <v>372</v>
      </c>
      <c r="P3966" s="33" t="s">
        <v>30089</v>
      </c>
      <c r="Q3966" s="40" t="s">
        <v>22082</v>
      </c>
      <c r="R3966" s="33" t="s">
        <v>512</v>
      </c>
      <c r="S3966" s="33" t="s">
        <v>12</v>
      </c>
      <c r="T3966" s="33" t="s">
        <v>29705</v>
      </c>
      <c r="U3966" s="33" t="s">
        <v>26570</v>
      </c>
      <c r="V3966" s="33" t="s">
        <v>26573</v>
      </c>
      <c r="Z3966" s="33" t="s">
        <v>42968</v>
      </c>
      <c r="AA3966" s="33">
        <v>3702</v>
      </c>
    </row>
    <row r="3967" spans="1:27" ht="12" customHeight="1" x14ac:dyDescent="0.15">
      <c r="A3967" s="33" t="s">
        <v>21767</v>
      </c>
      <c r="B3967" s="33">
        <v>53</v>
      </c>
      <c r="C3967" s="33" t="s">
        <v>14</v>
      </c>
      <c r="D3967" s="33" t="s">
        <v>31</v>
      </c>
      <c r="F3967" s="67">
        <v>42519</v>
      </c>
      <c r="G3967" s="33" t="s">
        <v>21768</v>
      </c>
      <c r="H3967" s="33" t="s">
        <v>5836</v>
      </c>
      <c r="I3967" s="33" t="s">
        <v>338</v>
      </c>
      <c r="J3967" s="33">
        <v>28328</v>
      </c>
      <c r="K3967" s="33" t="s">
        <v>2698</v>
      </c>
      <c r="L3967" s="33" t="s">
        <v>21769</v>
      </c>
      <c r="M3967" s="33" t="s">
        <v>21</v>
      </c>
      <c r="N3967" s="33" t="s">
        <v>21770</v>
      </c>
      <c r="O3967" s="33" t="s">
        <v>372</v>
      </c>
      <c r="P3967" s="33" t="s">
        <v>30089</v>
      </c>
      <c r="Q3967" s="40" t="s">
        <v>21771</v>
      </c>
      <c r="R3967" s="33" t="s">
        <v>23</v>
      </c>
      <c r="S3967" s="33" t="s">
        <v>22</v>
      </c>
      <c r="T3967" s="33" t="s">
        <v>26781</v>
      </c>
      <c r="U3967" s="33" t="s">
        <v>26572</v>
      </c>
      <c r="V3967" s="33" t="s">
        <v>26573</v>
      </c>
      <c r="W3967" s="33" t="s">
        <v>512</v>
      </c>
      <c r="X3967" s="33">
        <v>1578</v>
      </c>
      <c r="Z3967" s="33" t="s">
        <v>42967</v>
      </c>
      <c r="AA3967" s="33">
        <v>3699</v>
      </c>
    </row>
    <row r="3968" spans="1:27" ht="12" customHeight="1" x14ac:dyDescent="0.15">
      <c r="A3968" s="33" t="s">
        <v>21752</v>
      </c>
      <c r="B3968" s="33">
        <v>58</v>
      </c>
      <c r="C3968" s="33" t="s">
        <v>14</v>
      </c>
      <c r="D3968" s="33" t="s">
        <v>31</v>
      </c>
      <c r="F3968" s="67">
        <v>42518</v>
      </c>
      <c r="G3968" s="33" t="s">
        <v>22096</v>
      </c>
      <c r="H3968" s="33" t="s">
        <v>866</v>
      </c>
      <c r="I3968" s="33" t="s">
        <v>178</v>
      </c>
      <c r="J3968" s="33">
        <v>87110</v>
      </c>
      <c r="K3968" s="33" t="s">
        <v>433</v>
      </c>
      <c r="L3968" s="33" t="s">
        <v>4562</v>
      </c>
      <c r="M3968" s="33" t="s">
        <v>21</v>
      </c>
      <c r="N3968" s="33" t="s">
        <v>21753</v>
      </c>
      <c r="O3968" s="33" t="s">
        <v>372</v>
      </c>
      <c r="P3968" s="33" t="s">
        <v>30089</v>
      </c>
      <c r="Q3968" s="40" t="s">
        <v>21754</v>
      </c>
      <c r="R3968" s="33" t="s">
        <v>94</v>
      </c>
      <c r="S3968" s="33" t="s">
        <v>22</v>
      </c>
      <c r="T3968" s="33" t="s">
        <v>26781</v>
      </c>
      <c r="U3968" s="33" t="s">
        <v>26572</v>
      </c>
      <c r="V3968" s="33" t="s">
        <v>26573</v>
      </c>
      <c r="W3968" s="33" t="s">
        <v>512</v>
      </c>
      <c r="X3968" s="33">
        <v>1582</v>
      </c>
      <c r="Z3968" s="33" t="s">
        <v>42966</v>
      </c>
      <c r="AA3968" s="33">
        <v>3694</v>
      </c>
    </row>
    <row r="3969" spans="1:27" ht="12" customHeight="1" x14ac:dyDescent="0.15">
      <c r="A3969" s="33" t="s">
        <v>21760</v>
      </c>
      <c r="B3969" s="33">
        <v>41</v>
      </c>
      <c r="C3969" s="33" t="s">
        <v>14</v>
      </c>
      <c r="D3969" s="33" t="s">
        <v>42</v>
      </c>
      <c r="F3969" s="67">
        <v>42518</v>
      </c>
      <c r="G3969" s="33" t="s">
        <v>22095</v>
      </c>
      <c r="H3969" s="33" t="s">
        <v>532</v>
      </c>
      <c r="I3969" s="33" t="s">
        <v>67</v>
      </c>
      <c r="J3969" s="33">
        <v>78211</v>
      </c>
      <c r="K3969" s="33" t="s">
        <v>533</v>
      </c>
      <c r="L3969" s="33" t="s">
        <v>534</v>
      </c>
      <c r="M3969" s="33" t="s">
        <v>363</v>
      </c>
      <c r="N3969" s="33" t="s">
        <v>21761</v>
      </c>
      <c r="O3969" s="33" t="s">
        <v>372</v>
      </c>
      <c r="P3969" s="33" t="s">
        <v>30089</v>
      </c>
      <c r="Q3969" s="40" t="s">
        <v>21762</v>
      </c>
      <c r="R3969" s="33" t="s">
        <v>23</v>
      </c>
      <c r="S3969" s="33" t="s">
        <v>12</v>
      </c>
      <c r="T3969" s="33" t="s">
        <v>29705</v>
      </c>
      <c r="U3969" s="33" t="s">
        <v>26570</v>
      </c>
      <c r="V3969" s="33" t="s">
        <v>26573</v>
      </c>
      <c r="Z3969" s="33" t="s">
        <v>42968</v>
      </c>
      <c r="AA3969" s="33">
        <v>3697</v>
      </c>
    </row>
    <row r="3970" spans="1:27" ht="12" customHeight="1" x14ac:dyDescent="0.15">
      <c r="A3970" s="33" t="s">
        <v>21755</v>
      </c>
      <c r="B3970" s="33">
        <v>64</v>
      </c>
      <c r="C3970" s="33" t="s">
        <v>14</v>
      </c>
      <c r="D3970" s="33" t="s">
        <v>79</v>
      </c>
      <c r="E3970" s="33" t="s">
        <v>21756</v>
      </c>
      <c r="F3970" s="67">
        <v>42518</v>
      </c>
      <c r="G3970" s="33" t="s">
        <v>21757</v>
      </c>
      <c r="H3970" s="33" t="s">
        <v>2307</v>
      </c>
      <c r="I3970" s="33" t="s">
        <v>367</v>
      </c>
      <c r="J3970" s="33">
        <v>74128</v>
      </c>
      <c r="K3970" s="33" t="s">
        <v>2307</v>
      </c>
      <c r="L3970" s="33" t="s">
        <v>3108</v>
      </c>
      <c r="M3970" s="33" t="s">
        <v>363</v>
      </c>
      <c r="N3970" s="33" t="s">
        <v>21758</v>
      </c>
      <c r="O3970" s="33" t="s">
        <v>372</v>
      </c>
      <c r="P3970" s="33" t="s">
        <v>30089</v>
      </c>
      <c r="Q3970" s="40" t="s">
        <v>21759</v>
      </c>
      <c r="R3970" s="33" t="s">
        <v>904</v>
      </c>
      <c r="S3970" s="33" t="s">
        <v>12</v>
      </c>
      <c r="T3970" s="33" t="s">
        <v>29705</v>
      </c>
      <c r="U3970" s="33" t="s">
        <v>26570</v>
      </c>
      <c r="V3970" s="33" t="s">
        <v>26573</v>
      </c>
      <c r="Z3970" s="33" t="s">
        <v>42968</v>
      </c>
      <c r="AA3970" s="33">
        <v>3696</v>
      </c>
    </row>
    <row r="3971" spans="1:27" ht="12" customHeight="1" x14ac:dyDescent="0.15">
      <c r="A3971" s="33" t="s">
        <v>21747</v>
      </c>
      <c r="B3971" s="33">
        <v>50</v>
      </c>
      <c r="C3971" s="33" t="s">
        <v>14</v>
      </c>
      <c r="D3971" s="33" t="s">
        <v>79</v>
      </c>
      <c r="F3971" s="67">
        <v>42518</v>
      </c>
      <c r="G3971" s="33" t="s">
        <v>21748</v>
      </c>
      <c r="H3971" s="33" t="s">
        <v>21749</v>
      </c>
      <c r="I3971" s="33" t="s">
        <v>88</v>
      </c>
      <c r="J3971" s="33">
        <v>36260</v>
      </c>
      <c r="K3971" s="33" t="s">
        <v>5619</v>
      </c>
      <c r="L3971" s="33" t="s">
        <v>28120</v>
      </c>
      <c r="M3971" s="33" t="s">
        <v>21</v>
      </c>
      <c r="N3971" s="33" t="s">
        <v>21750</v>
      </c>
      <c r="O3971" s="33" t="s">
        <v>372</v>
      </c>
      <c r="P3971" s="33" t="s">
        <v>30089</v>
      </c>
      <c r="Q3971" s="40" t="s">
        <v>21751</v>
      </c>
      <c r="R3971" s="33" t="s">
        <v>23</v>
      </c>
      <c r="S3971" s="33" t="s">
        <v>29</v>
      </c>
      <c r="T3971" s="33" t="s">
        <v>26781</v>
      </c>
      <c r="U3971" s="33" t="s">
        <v>26572</v>
      </c>
      <c r="V3971" s="33" t="s">
        <v>26573</v>
      </c>
      <c r="W3971" s="33" t="s">
        <v>94</v>
      </c>
      <c r="X3971" s="33">
        <v>1576</v>
      </c>
      <c r="Z3971" s="33" t="s">
        <v>42968</v>
      </c>
      <c r="AA3971" s="33">
        <v>3695</v>
      </c>
    </row>
    <row r="3972" spans="1:27" ht="12" customHeight="1" x14ac:dyDescent="0.15">
      <c r="A3972" s="33" t="s">
        <v>21744</v>
      </c>
      <c r="B3972" s="33">
        <v>59</v>
      </c>
      <c r="C3972" s="33" t="s">
        <v>14</v>
      </c>
      <c r="D3972" s="33" t="s">
        <v>31</v>
      </c>
      <c r="F3972" s="67">
        <v>42517</v>
      </c>
      <c r="G3972" s="33" t="s">
        <v>22097</v>
      </c>
      <c r="H3972" s="33" t="s">
        <v>197</v>
      </c>
      <c r="I3972" s="33" t="s">
        <v>198</v>
      </c>
      <c r="J3972" s="33">
        <v>46225</v>
      </c>
      <c r="K3972" s="33" t="s">
        <v>392</v>
      </c>
      <c r="L3972" s="33" t="s">
        <v>18119</v>
      </c>
      <c r="M3972" s="33" t="s">
        <v>21</v>
      </c>
      <c r="N3972" s="33" t="s">
        <v>21745</v>
      </c>
      <c r="O3972" s="33" t="s">
        <v>372</v>
      </c>
      <c r="P3972" s="33" t="s">
        <v>30089</v>
      </c>
      <c r="Q3972" s="40" t="s">
        <v>21746</v>
      </c>
      <c r="R3972" s="33" t="s">
        <v>94</v>
      </c>
      <c r="S3972" s="33" t="s">
        <v>22</v>
      </c>
      <c r="T3972" s="33" t="s">
        <v>26781</v>
      </c>
      <c r="U3972" s="33" t="s">
        <v>26572</v>
      </c>
      <c r="V3972" s="33" t="s">
        <v>26573</v>
      </c>
      <c r="W3972" s="33" t="s">
        <v>94</v>
      </c>
      <c r="X3972" s="33">
        <v>1580</v>
      </c>
      <c r="Z3972" s="33" t="s">
        <v>42966</v>
      </c>
      <c r="AA3972" s="33">
        <v>3693</v>
      </c>
    </row>
    <row r="3973" spans="1:27" ht="12" customHeight="1" x14ac:dyDescent="0.15">
      <c r="A3973" s="33" t="s">
        <v>21732</v>
      </c>
      <c r="B3973" s="33">
        <v>43</v>
      </c>
      <c r="C3973" s="33" t="s">
        <v>14</v>
      </c>
      <c r="D3973" s="33" t="s">
        <v>31</v>
      </c>
      <c r="F3973" s="67">
        <v>42516</v>
      </c>
      <c r="G3973" s="33" t="s">
        <v>21733</v>
      </c>
      <c r="H3973" s="33" t="s">
        <v>18838</v>
      </c>
      <c r="I3973" s="33" t="s">
        <v>38</v>
      </c>
      <c r="J3973" s="33">
        <v>60438</v>
      </c>
      <c r="K3973" s="33" t="s">
        <v>82</v>
      </c>
      <c r="L3973" s="33" t="s">
        <v>18841</v>
      </c>
      <c r="M3973" s="33" t="s">
        <v>21</v>
      </c>
      <c r="N3973" s="33" t="s">
        <v>21734</v>
      </c>
      <c r="O3973" s="33" t="s">
        <v>372</v>
      </c>
      <c r="P3973" s="33" t="s">
        <v>30089</v>
      </c>
      <c r="Q3973" s="40" t="s">
        <v>21735</v>
      </c>
      <c r="R3973" s="33" t="s">
        <v>94</v>
      </c>
      <c r="S3973" s="33" t="s">
        <v>22</v>
      </c>
      <c r="T3973" s="33" t="s">
        <v>26781</v>
      </c>
      <c r="U3973" s="33" t="s">
        <v>26572</v>
      </c>
      <c r="V3973" s="33" t="s">
        <v>26574</v>
      </c>
      <c r="W3973" s="33" t="s">
        <v>94</v>
      </c>
      <c r="X3973" s="33">
        <v>1569</v>
      </c>
      <c r="Z3973" s="33" t="s">
        <v>42968</v>
      </c>
      <c r="AA3973" s="33">
        <v>3687</v>
      </c>
    </row>
    <row r="3974" spans="1:27" ht="12" customHeight="1" x14ac:dyDescent="0.15">
      <c r="A3974" s="33" t="s">
        <v>21726</v>
      </c>
      <c r="B3974" s="33">
        <v>21</v>
      </c>
      <c r="C3974" s="33" t="s">
        <v>14</v>
      </c>
      <c r="D3974" s="33" t="s">
        <v>79</v>
      </c>
      <c r="F3974" s="67">
        <v>42516</v>
      </c>
      <c r="G3974" s="33" t="s">
        <v>21727</v>
      </c>
      <c r="H3974" s="33" t="s">
        <v>21728</v>
      </c>
      <c r="I3974" s="33" t="s">
        <v>38</v>
      </c>
      <c r="J3974" s="33">
        <v>62204</v>
      </c>
      <c r="K3974" s="33" t="s">
        <v>6029</v>
      </c>
      <c r="L3974" s="33" t="s">
        <v>21729</v>
      </c>
      <c r="M3974" s="33" t="s">
        <v>21</v>
      </c>
      <c r="N3974" s="33" t="s">
        <v>21730</v>
      </c>
      <c r="O3974" s="33" t="s">
        <v>372</v>
      </c>
      <c r="P3974" s="33" t="s">
        <v>30089</v>
      </c>
      <c r="Q3974" s="40" t="s">
        <v>21731</v>
      </c>
      <c r="R3974" s="33" t="s">
        <v>94</v>
      </c>
      <c r="S3974" s="33" t="s">
        <v>29</v>
      </c>
      <c r="T3974" s="33" t="s">
        <v>26575</v>
      </c>
      <c r="U3974" s="33" t="s">
        <v>26575</v>
      </c>
      <c r="V3974" s="33" t="s">
        <v>26574</v>
      </c>
      <c r="W3974" s="33" t="s">
        <v>94</v>
      </c>
      <c r="X3974" s="33">
        <v>1571</v>
      </c>
      <c r="Z3974" s="33" t="s">
        <v>42968</v>
      </c>
      <c r="AA3974" s="33">
        <v>3692</v>
      </c>
    </row>
    <row r="3975" spans="1:27" ht="12" customHeight="1" x14ac:dyDescent="0.15">
      <c r="A3975" s="33" t="s">
        <v>21736</v>
      </c>
      <c r="B3975" s="33">
        <v>25</v>
      </c>
      <c r="C3975" s="33" t="s">
        <v>14</v>
      </c>
      <c r="D3975" s="33" t="s">
        <v>42</v>
      </c>
      <c r="F3975" s="67">
        <v>42516</v>
      </c>
      <c r="G3975" s="33" t="s">
        <v>21737</v>
      </c>
      <c r="H3975" s="33" t="s">
        <v>21738</v>
      </c>
      <c r="I3975" s="33" t="s">
        <v>178</v>
      </c>
      <c r="J3975" s="33">
        <v>87801</v>
      </c>
      <c r="K3975" s="33" t="s">
        <v>21738</v>
      </c>
      <c r="L3975" s="33" t="s">
        <v>2847</v>
      </c>
      <c r="M3975" s="33" t="s">
        <v>21</v>
      </c>
      <c r="N3975" s="33" t="s">
        <v>21739</v>
      </c>
      <c r="O3975" s="33" t="s">
        <v>372</v>
      </c>
      <c r="P3975" s="33" t="s">
        <v>30089</v>
      </c>
      <c r="Q3975" s="40" t="s">
        <v>21740</v>
      </c>
      <c r="R3975" s="33" t="s">
        <v>94</v>
      </c>
      <c r="S3975" s="33" t="s">
        <v>22</v>
      </c>
      <c r="T3975" s="33" t="s">
        <v>26781</v>
      </c>
      <c r="U3975" s="33" t="s">
        <v>26572</v>
      </c>
      <c r="V3975" s="33" t="s">
        <v>26571</v>
      </c>
      <c r="W3975" s="33" t="s">
        <v>94</v>
      </c>
      <c r="X3975" s="33">
        <v>1583</v>
      </c>
      <c r="Z3975" s="33" t="s">
        <v>42967</v>
      </c>
      <c r="AA3975" s="33">
        <v>3690</v>
      </c>
    </row>
    <row r="3976" spans="1:27" ht="12" customHeight="1" x14ac:dyDescent="0.15">
      <c r="A3976" s="33" t="s">
        <v>21714</v>
      </c>
      <c r="B3976" s="33">
        <v>19</v>
      </c>
      <c r="C3976" s="33" t="s">
        <v>14</v>
      </c>
      <c r="D3976" s="33" t="s">
        <v>42</v>
      </c>
      <c r="F3976" s="67">
        <v>42516</v>
      </c>
      <c r="G3976" s="33" t="s">
        <v>21715</v>
      </c>
      <c r="H3976" s="33" t="s">
        <v>21716</v>
      </c>
      <c r="I3976" s="33" t="s">
        <v>39</v>
      </c>
      <c r="J3976" s="33">
        <v>93463</v>
      </c>
      <c r="K3976" s="33" t="s">
        <v>1819</v>
      </c>
      <c r="L3976" s="33" t="s">
        <v>897</v>
      </c>
      <c r="M3976" s="33" t="s">
        <v>21</v>
      </c>
      <c r="N3976" s="33" t="s">
        <v>21717</v>
      </c>
      <c r="O3976" s="33" t="s">
        <v>372</v>
      </c>
      <c r="P3976" s="33" t="s">
        <v>30089</v>
      </c>
      <c r="Q3976" s="40" t="s">
        <v>21718</v>
      </c>
      <c r="R3976" s="33" t="s">
        <v>94</v>
      </c>
      <c r="S3976" s="33" t="s">
        <v>22</v>
      </c>
      <c r="T3976" s="33" t="s">
        <v>26781</v>
      </c>
      <c r="U3976" s="33" t="s">
        <v>26572</v>
      </c>
      <c r="V3976" s="33" t="s">
        <v>26571</v>
      </c>
      <c r="W3976" s="33" t="s">
        <v>94</v>
      </c>
      <c r="X3976" s="33">
        <v>1572</v>
      </c>
      <c r="Z3976" s="33" t="s">
        <v>42968</v>
      </c>
      <c r="AA3976" s="33">
        <v>3689</v>
      </c>
    </row>
    <row r="3977" spans="1:27" ht="12" customHeight="1" x14ac:dyDescent="0.15">
      <c r="A3977" s="33" t="s">
        <v>21724</v>
      </c>
      <c r="B3977" s="33">
        <v>29</v>
      </c>
      <c r="C3977" s="33" t="s">
        <v>14</v>
      </c>
      <c r="D3977" s="33" t="s">
        <v>31</v>
      </c>
      <c r="F3977" s="67">
        <v>42516</v>
      </c>
      <c r="G3977" s="33" t="s">
        <v>22098</v>
      </c>
      <c r="H3977" s="33" t="s">
        <v>3289</v>
      </c>
      <c r="I3977" s="33" t="s">
        <v>122</v>
      </c>
      <c r="J3977" s="33">
        <v>55119</v>
      </c>
      <c r="K3977" s="33" t="s">
        <v>3291</v>
      </c>
      <c r="L3977" s="33" t="s">
        <v>4522</v>
      </c>
      <c r="M3977" s="33" t="s">
        <v>21</v>
      </c>
      <c r="N3977" s="33" t="s">
        <v>36704</v>
      </c>
      <c r="O3977" s="33" t="s">
        <v>372</v>
      </c>
      <c r="P3977" s="33" t="s">
        <v>30089</v>
      </c>
      <c r="Q3977" s="40" t="s">
        <v>21725</v>
      </c>
      <c r="R3977" s="33" t="s">
        <v>23</v>
      </c>
      <c r="S3977" s="33" t="s">
        <v>22</v>
      </c>
      <c r="T3977" s="33" t="s">
        <v>26781</v>
      </c>
      <c r="U3977" s="33" t="s">
        <v>26572</v>
      </c>
      <c r="V3977" s="33" t="s">
        <v>26573</v>
      </c>
      <c r="W3977" s="33" t="s">
        <v>94</v>
      </c>
      <c r="X3977" s="33">
        <v>1568</v>
      </c>
      <c r="Z3977" s="33" t="s">
        <v>42968</v>
      </c>
      <c r="AA3977" s="33">
        <v>3686</v>
      </c>
    </row>
    <row r="3978" spans="1:27" ht="12" customHeight="1" x14ac:dyDescent="0.15">
      <c r="A3978" s="33" t="s">
        <v>23861</v>
      </c>
      <c r="B3978" s="33">
        <v>48</v>
      </c>
      <c r="C3978" s="33" t="s">
        <v>103</v>
      </c>
      <c r="D3978" s="33" t="s">
        <v>31</v>
      </c>
      <c r="E3978" s="33" t="s">
        <v>23860</v>
      </c>
      <c r="F3978" s="67">
        <v>42516</v>
      </c>
      <c r="G3978" s="33" t="s">
        <v>21719</v>
      </c>
      <c r="H3978" s="33" t="s">
        <v>21720</v>
      </c>
      <c r="I3978" s="33" t="s">
        <v>56</v>
      </c>
      <c r="J3978" s="33">
        <v>32460</v>
      </c>
      <c r="K3978" s="33" t="s">
        <v>404</v>
      </c>
      <c r="L3978" s="33" t="s">
        <v>21721</v>
      </c>
      <c r="M3978" s="33" t="s">
        <v>21</v>
      </c>
      <c r="N3978" s="33" t="s">
        <v>21722</v>
      </c>
      <c r="O3978" s="33" t="s">
        <v>372</v>
      </c>
      <c r="P3978" s="33" t="s">
        <v>30089</v>
      </c>
      <c r="Q3978" s="40" t="s">
        <v>21723</v>
      </c>
      <c r="R3978" s="33" t="s">
        <v>23</v>
      </c>
      <c r="S3978" s="33" t="s">
        <v>22</v>
      </c>
      <c r="T3978" s="33" t="s">
        <v>26774</v>
      </c>
      <c r="U3978" s="33" t="s">
        <v>26570</v>
      </c>
      <c r="V3978" s="33" t="s">
        <v>26573</v>
      </c>
      <c r="W3978" s="33" t="s">
        <v>94</v>
      </c>
      <c r="X3978" s="33">
        <v>1581</v>
      </c>
      <c r="Z3978" s="33" t="s">
        <v>42967</v>
      </c>
      <c r="AA3978" s="33">
        <v>3691</v>
      </c>
    </row>
    <row r="3979" spans="1:27" ht="12" customHeight="1" x14ac:dyDescent="0.15">
      <c r="A3979" s="33" t="s">
        <v>3002</v>
      </c>
      <c r="B3979" s="33">
        <v>44</v>
      </c>
      <c r="C3979" s="33" t="s">
        <v>14</v>
      </c>
      <c r="D3979" s="33" t="s">
        <v>24</v>
      </c>
      <c r="F3979" s="67">
        <v>42516</v>
      </c>
      <c r="G3979" s="33" t="s">
        <v>21741</v>
      </c>
      <c r="H3979" s="33" t="s">
        <v>532</v>
      </c>
      <c r="I3979" s="33" t="s">
        <v>67</v>
      </c>
      <c r="J3979" s="33">
        <v>78227</v>
      </c>
      <c r="K3979" s="33" t="s">
        <v>533</v>
      </c>
      <c r="L3979" s="33" t="s">
        <v>534</v>
      </c>
      <c r="M3979" s="33" t="s">
        <v>21</v>
      </c>
      <c r="N3979" s="33" t="s">
        <v>21742</v>
      </c>
      <c r="O3979" s="33" t="s">
        <v>372</v>
      </c>
      <c r="P3979" s="33" t="s">
        <v>30089</v>
      </c>
      <c r="Q3979" s="40" t="s">
        <v>21743</v>
      </c>
      <c r="R3979" s="33" t="s">
        <v>94</v>
      </c>
      <c r="S3979" s="33" t="s">
        <v>22</v>
      </c>
      <c r="T3979" s="33" t="s">
        <v>26781</v>
      </c>
      <c r="U3979" s="33" t="s">
        <v>26570</v>
      </c>
      <c r="V3979" s="33" t="s">
        <v>26573</v>
      </c>
      <c r="W3979" s="33" t="s">
        <v>94</v>
      </c>
      <c r="X3979" s="33">
        <v>1570</v>
      </c>
      <c r="Z3979" s="33" t="s">
        <v>42968</v>
      </c>
      <c r="AA3979" s="33">
        <v>3688</v>
      </c>
    </row>
    <row r="3980" spans="1:27" ht="12" customHeight="1" x14ac:dyDescent="0.15">
      <c r="A3980" s="33" t="s">
        <v>21710</v>
      </c>
      <c r="B3980" s="33">
        <v>43</v>
      </c>
      <c r="C3980" s="33" t="s">
        <v>14</v>
      </c>
      <c r="D3980" s="33" t="s">
        <v>31</v>
      </c>
      <c r="F3980" s="67">
        <v>42515</v>
      </c>
      <c r="G3980" s="33" t="s">
        <v>21711</v>
      </c>
      <c r="H3980" s="33" t="s">
        <v>1027</v>
      </c>
      <c r="I3980" s="33" t="s">
        <v>367</v>
      </c>
      <c r="J3980" s="33">
        <v>73106</v>
      </c>
      <c r="K3980" s="33" t="s">
        <v>1028</v>
      </c>
      <c r="L3980" s="33" t="s">
        <v>1029</v>
      </c>
      <c r="M3980" s="33" t="s">
        <v>21</v>
      </c>
      <c r="N3980" s="33" t="s">
        <v>21712</v>
      </c>
      <c r="O3980" s="33" t="s">
        <v>372</v>
      </c>
      <c r="P3980" s="33" t="s">
        <v>30089</v>
      </c>
      <c r="Q3980" s="40" t="s">
        <v>21713</v>
      </c>
      <c r="R3980" s="33" t="s">
        <v>512</v>
      </c>
      <c r="S3980" s="33" t="s">
        <v>22</v>
      </c>
      <c r="T3980" s="33" t="s">
        <v>26774</v>
      </c>
      <c r="U3980" s="33" t="s">
        <v>26570</v>
      </c>
      <c r="V3980" s="33" t="s">
        <v>26573</v>
      </c>
      <c r="W3980" s="33" t="s">
        <v>94</v>
      </c>
      <c r="X3980" s="33">
        <v>1565</v>
      </c>
      <c r="Z3980" s="33" t="s">
        <v>42966</v>
      </c>
      <c r="AA3980" s="33">
        <v>3684</v>
      </c>
    </row>
    <row r="3981" spans="1:27" ht="12" customHeight="1" x14ac:dyDescent="0.15">
      <c r="A3981" s="33" t="s">
        <v>21706</v>
      </c>
      <c r="B3981" s="33">
        <v>24</v>
      </c>
      <c r="C3981" s="33" t="s">
        <v>14</v>
      </c>
      <c r="D3981" s="33" t="s">
        <v>79</v>
      </c>
      <c r="E3981" s="33" t="s">
        <v>21707</v>
      </c>
      <c r="F3981" s="67">
        <v>42515</v>
      </c>
      <c r="G3981" s="33" t="s">
        <v>21708</v>
      </c>
      <c r="H3981" s="33" t="s">
        <v>3910</v>
      </c>
      <c r="I3981" s="33" t="s">
        <v>56</v>
      </c>
      <c r="J3981" s="33">
        <v>33056</v>
      </c>
      <c r="K3981" s="33" t="s">
        <v>148</v>
      </c>
      <c r="L3981" s="33" t="s">
        <v>965</v>
      </c>
      <c r="M3981" s="33" t="s">
        <v>21</v>
      </c>
      <c r="N3981" s="33" t="s">
        <v>36705</v>
      </c>
      <c r="O3981" s="33" t="s">
        <v>372</v>
      </c>
      <c r="P3981" s="33" t="s">
        <v>30089</v>
      </c>
      <c r="Q3981" s="40" t="s">
        <v>21709</v>
      </c>
      <c r="R3981" s="33" t="s">
        <v>94</v>
      </c>
      <c r="S3981" s="33" t="s">
        <v>351</v>
      </c>
      <c r="T3981" s="33" t="s">
        <v>26867</v>
      </c>
      <c r="U3981" s="33" t="s">
        <v>26570</v>
      </c>
      <c r="V3981" s="33" t="s">
        <v>26571</v>
      </c>
      <c r="W3981" s="33" t="s">
        <v>94</v>
      </c>
      <c r="X3981" s="33">
        <v>1566</v>
      </c>
      <c r="Z3981" s="33" t="s">
        <v>42968</v>
      </c>
      <c r="AA3981" s="33">
        <v>3685</v>
      </c>
    </row>
    <row r="3982" spans="1:27" ht="12" customHeight="1" x14ac:dyDescent="0.15">
      <c r="A3982" s="33" t="s">
        <v>21696</v>
      </c>
      <c r="B3982" s="33">
        <v>57</v>
      </c>
      <c r="C3982" s="33" t="s">
        <v>14</v>
      </c>
      <c r="D3982" s="33" t="s">
        <v>31</v>
      </c>
      <c r="F3982" s="67">
        <v>42514</v>
      </c>
      <c r="G3982" s="33" t="s">
        <v>21697</v>
      </c>
      <c r="H3982" s="33" t="s">
        <v>21698</v>
      </c>
      <c r="I3982" s="33" t="s">
        <v>402</v>
      </c>
      <c r="J3982" s="33">
        <v>64078</v>
      </c>
      <c r="K3982" s="33" t="s">
        <v>7590</v>
      </c>
      <c r="L3982" s="33" t="s">
        <v>21699</v>
      </c>
      <c r="M3982" s="33" t="s">
        <v>21</v>
      </c>
      <c r="N3982" s="33" t="s">
        <v>21700</v>
      </c>
      <c r="O3982" s="33" t="s">
        <v>372</v>
      </c>
      <c r="P3982" s="33" t="s">
        <v>30089</v>
      </c>
      <c r="Q3982" s="40" t="s">
        <v>21701</v>
      </c>
      <c r="R3982" s="33" t="s">
        <v>94</v>
      </c>
      <c r="S3982" s="33" t="s">
        <v>22</v>
      </c>
      <c r="T3982" s="33" t="s">
        <v>27803</v>
      </c>
      <c r="U3982" s="33" t="s">
        <v>26570</v>
      </c>
      <c r="V3982" s="33" t="s">
        <v>26571</v>
      </c>
      <c r="W3982" s="33" t="s">
        <v>94</v>
      </c>
      <c r="X3982" s="33">
        <v>1564</v>
      </c>
      <c r="Z3982" s="33" t="s">
        <v>42967</v>
      </c>
      <c r="AA3982" s="33">
        <v>3683</v>
      </c>
    </row>
    <row r="3983" spans="1:27" ht="12" customHeight="1" x14ac:dyDescent="0.15">
      <c r="A3983" s="33" t="s">
        <v>21702</v>
      </c>
      <c r="B3983" s="33">
        <v>31</v>
      </c>
      <c r="C3983" s="33" t="s">
        <v>14</v>
      </c>
      <c r="D3983" s="33" t="s">
        <v>42</v>
      </c>
      <c r="F3983" s="67">
        <v>42514</v>
      </c>
      <c r="G3983" s="33" t="s">
        <v>21703</v>
      </c>
      <c r="H3983" s="33" t="s">
        <v>866</v>
      </c>
      <c r="I3983" s="33" t="s">
        <v>178</v>
      </c>
      <c r="J3983" s="33">
        <v>87123</v>
      </c>
      <c r="K3983" s="33" t="s">
        <v>433</v>
      </c>
      <c r="L3983" s="33" t="s">
        <v>5161</v>
      </c>
      <c r="M3983" s="33" t="s">
        <v>21</v>
      </c>
      <c r="N3983" s="33" t="s">
        <v>21704</v>
      </c>
      <c r="O3983" s="33" t="s">
        <v>372</v>
      </c>
      <c r="P3983" s="33" t="s">
        <v>30089</v>
      </c>
      <c r="Q3983" s="40" t="s">
        <v>21705</v>
      </c>
      <c r="R3983" s="33" t="s">
        <v>94</v>
      </c>
      <c r="S3983" s="33" t="s">
        <v>22</v>
      </c>
      <c r="T3983" s="33" t="s">
        <v>26781</v>
      </c>
      <c r="U3983" s="33" t="s">
        <v>26572</v>
      </c>
      <c r="V3983" s="33" t="s">
        <v>26573</v>
      </c>
      <c r="W3983" s="33" t="s">
        <v>94</v>
      </c>
      <c r="X3983" s="33">
        <v>1567</v>
      </c>
      <c r="Z3983" s="33" t="s">
        <v>42968</v>
      </c>
      <c r="AA3983" s="33">
        <v>3681</v>
      </c>
    </row>
    <row r="3984" spans="1:27" ht="12" customHeight="1" x14ac:dyDescent="0.15">
      <c r="A3984" s="33" t="s">
        <v>21690</v>
      </c>
      <c r="B3984" s="33">
        <v>22</v>
      </c>
      <c r="C3984" s="33" t="s">
        <v>14</v>
      </c>
      <c r="D3984" s="33" t="s">
        <v>31</v>
      </c>
      <c r="E3984" s="33" t="s">
        <v>21691</v>
      </c>
      <c r="F3984" s="67">
        <v>42514</v>
      </c>
      <c r="G3984" s="33" t="s">
        <v>22099</v>
      </c>
      <c r="H3984" s="33" t="s">
        <v>21692</v>
      </c>
      <c r="I3984" s="33" t="s">
        <v>106</v>
      </c>
      <c r="J3984" s="33">
        <v>97233</v>
      </c>
      <c r="K3984" s="33" t="s">
        <v>1461</v>
      </c>
      <c r="L3984" s="33" t="s">
        <v>21693</v>
      </c>
      <c r="M3984" s="33" t="s">
        <v>21</v>
      </c>
      <c r="N3984" s="33" t="s">
        <v>21694</v>
      </c>
      <c r="O3984" s="33" t="s">
        <v>372</v>
      </c>
      <c r="P3984" s="33" t="s">
        <v>30089</v>
      </c>
      <c r="Q3984" s="40" t="s">
        <v>21695</v>
      </c>
      <c r="R3984" s="33" t="s">
        <v>94</v>
      </c>
      <c r="S3984" s="33" t="s">
        <v>22</v>
      </c>
      <c r="T3984" s="33" t="s">
        <v>26774</v>
      </c>
      <c r="U3984" s="33" t="s">
        <v>26570</v>
      </c>
      <c r="V3984" s="33" t="s">
        <v>26573</v>
      </c>
      <c r="W3984" s="33" t="s">
        <v>94</v>
      </c>
      <c r="X3984" s="33">
        <v>1561</v>
      </c>
      <c r="Z3984" s="33" t="s">
        <v>42966</v>
      </c>
      <c r="AA3984" s="33">
        <v>3682</v>
      </c>
    </row>
    <row r="3985" spans="1:27" ht="12" customHeight="1" x14ac:dyDescent="0.15">
      <c r="A3985" s="33" t="s">
        <v>21684</v>
      </c>
      <c r="B3985" s="33">
        <v>26</v>
      </c>
      <c r="C3985" s="33" t="s">
        <v>14</v>
      </c>
      <c r="D3985" s="33" t="s">
        <v>128</v>
      </c>
      <c r="E3985" s="33" t="s">
        <v>21685</v>
      </c>
      <c r="F3985" s="67">
        <v>42513</v>
      </c>
      <c r="G3985" s="33" t="s">
        <v>21686</v>
      </c>
      <c r="H3985" s="33" t="s">
        <v>6279</v>
      </c>
      <c r="I3985" s="33" t="s">
        <v>112</v>
      </c>
      <c r="J3985" s="33">
        <v>86001</v>
      </c>
      <c r="K3985" s="33" t="s">
        <v>21652</v>
      </c>
      <c r="L3985" s="33" t="s">
        <v>21687</v>
      </c>
      <c r="M3985" s="33" t="s">
        <v>21</v>
      </c>
      <c r="N3985" s="33" t="s">
        <v>21688</v>
      </c>
      <c r="O3985" s="33" t="s">
        <v>372</v>
      </c>
      <c r="P3985" s="33" t="s">
        <v>30089</v>
      </c>
      <c r="Q3985" s="40" t="s">
        <v>21689</v>
      </c>
      <c r="R3985" s="33" t="s">
        <v>94</v>
      </c>
      <c r="S3985" s="33" t="s">
        <v>22</v>
      </c>
      <c r="T3985" s="33" t="s">
        <v>26781</v>
      </c>
      <c r="U3985" s="33" t="s">
        <v>26572</v>
      </c>
      <c r="V3985" s="33" t="s">
        <v>26574</v>
      </c>
      <c r="W3985" s="33" t="s">
        <v>512</v>
      </c>
      <c r="X3985" s="33">
        <v>1560</v>
      </c>
      <c r="Z3985" s="33" t="s">
        <v>42968</v>
      </c>
      <c r="AA3985" s="33">
        <v>3680</v>
      </c>
    </row>
    <row r="3986" spans="1:27" ht="12" customHeight="1" x14ac:dyDescent="0.15">
      <c r="A3986" s="33" t="s">
        <v>21666</v>
      </c>
      <c r="B3986" s="33">
        <v>28</v>
      </c>
      <c r="C3986" s="33" t="s">
        <v>14</v>
      </c>
      <c r="D3986" s="33" t="s">
        <v>31</v>
      </c>
      <c r="F3986" s="67">
        <v>42512</v>
      </c>
      <c r="G3986" s="33" t="s">
        <v>21667</v>
      </c>
      <c r="H3986" s="33" t="s">
        <v>936</v>
      </c>
      <c r="I3986" s="33" t="s">
        <v>192</v>
      </c>
      <c r="J3986" s="33">
        <v>80302</v>
      </c>
      <c r="K3986" s="33" t="s">
        <v>936</v>
      </c>
      <c r="L3986" s="33" t="s">
        <v>937</v>
      </c>
      <c r="M3986" s="33" t="s">
        <v>21</v>
      </c>
      <c r="N3986" s="33" t="s">
        <v>21668</v>
      </c>
      <c r="O3986" s="33" t="s">
        <v>372</v>
      </c>
      <c r="P3986" s="33" t="s">
        <v>30089</v>
      </c>
      <c r="Q3986" s="40" t="s">
        <v>21669</v>
      </c>
      <c r="R3986" s="33" t="s">
        <v>512</v>
      </c>
      <c r="S3986" s="33" t="s">
        <v>22</v>
      </c>
      <c r="T3986" s="33" t="s">
        <v>26781</v>
      </c>
      <c r="U3986" s="33" t="s">
        <v>26572</v>
      </c>
      <c r="V3986" s="33" t="s">
        <v>26573</v>
      </c>
      <c r="W3986" s="33" t="s">
        <v>94</v>
      </c>
      <c r="X3986" s="33">
        <v>1563</v>
      </c>
      <c r="Z3986" s="33" t="s">
        <v>42968</v>
      </c>
      <c r="AA3986" s="33">
        <v>3677</v>
      </c>
    </row>
    <row r="3987" spans="1:27" ht="12" customHeight="1" x14ac:dyDescent="0.15">
      <c r="A3987" s="33" t="s">
        <v>21680</v>
      </c>
      <c r="B3987" s="33">
        <v>35</v>
      </c>
      <c r="C3987" s="33" t="s">
        <v>14</v>
      </c>
      <c r="D3987" s="33" t="s">
        <v>42</v>
      </c>
      <c r="F3987" s="67">
        <v>42512</v>
      </c>
      <c r="G3987" s="33" t="s">
        <v>21681</v>
      </c>
      <c r="H3987" s="33" t="s">
        <v>7135</v>
      </c>
      <c r="I3987" s="33" t="s">
        <v>40</v>
      </c>
      <c r="J3987" s="33">
        <v>1542</v>
      </c>
      <c r="K3987" s="33" t="s">
        <v>890</v>
      </c>
      <c r="L3987" s="33" t="s">
        <v>10523</v>
      </c>
      <c r="M3987" s="33" t="s">
        <v>21</v>
      </c>
      <c r="N3987" s="33" t="s">
        <v>21682</v>
      </c>
      <c r="O3987" s="33" t="s">
        <v>372</v>
      </c>
      <c r="P3987" s="33" t="s">
        <v>30089</v>
      </c>
      <c r="Q3987" s="40" t="s">
        <v>21683</v>
      </c>
      <c r="R3987" s="33" t="s">
        <v>94</v>
      </c>
      <c r="S3987" s="33" t="s">
        <v>22</v>
      </c>
      <c r="T3987" s="33" t="s">
        <v>26781</v>
      </c>
      <c r="U3987" s="33" t="s">
        <v>26572</v>
      </c>
      <c r="V3987" s="33" t="s">
        <v>26573</v>
      </c>
      <c r="W3987" s="33" t="s">
        <v>94</v>
      </c>
      <c r="X3987" s="33">
        <v>1555</v>
      </c>
      <c r="Z3987" s="33" t="s">
        <v>42968</v>
      </c>
      <c r="AA3987" s="33">
        <v>3676</v>
      </c>
    </row>
    <row r="3988" spans="1:27" ht="12" customHeight="1" x14ac:dyDescent="0.15">
      <c r="A3988" s="33" t="s">
        <v>21675</v>
      </c>
      <c r="B3988" s="33">
        <v>22</v>
      </c>
      <c r="C3988" s="33" t="s">
        <v>14</v>
      </c>
      <c r="D3988" s="33" t="s">
        <v>79</v>
      </c>
      <c r="E3988" s="33" t="s">
        <v>21676</v>
      </c>
      <c r="F3988" s="67">
        <v>42512</v>
      </c>
      <c r="G3988" s="33" t="s">
        <v>21677</v>
      </c>
      <c r="H3988" s="33" t="s">
        <v>603</v>
      </c>
      <c r="I3988" s="33" t="s">
        <v>56</v>
      </c>
      <c r="J3988" s="33">
        <v>32206</v>
      </c>
      <c r="K3988" s="33" t="s">
        <v>604</v>
      </c>
      <c r="L3988" s="33" t="s">
        <v>605</v>
      </c>
      <c r="M3988" s="33" t="s">
        <v>21</v>
      </c>
      <c r="N3988" s="33" t="s">
        <v>21678</v>
      </c>
      <c r="O3988" s="33" t="s">
        <v>372</v>
      </c>
      <c r="P3988" s="33" t="s">
        <v>30089</v>
      </c>
      <c r="Q3988" s="40" t="s">
        <v>21679</v>
      </c>
      <c r="R3988" s="33" t="s">
        <v>94</v>
      </c>
      <c r="S3988" s="33" t="s">
        <v>12</v>
      </c>
      <c r="T3988" s="33" t="s">
        <v>29705</v>
      </c>
      <c r="U3988" s="33" t="s">
        <v>26570</v>
      </c>
      <c r="V3988" s="33" t="s">
        <v>26571</v>
      </c>
      <c r="W3988" s="33" t="s">
        <v>94</v>
      </c>
      <c r="X3988" s="33">
        <v>1562</v>
      </c>
      <c r="Z3988" s="33" t="s">
        <v>42966</v>
      </c>
      <c r="AA3988" s="33">
        <v>3679</v>
      </c>
    </row>
    <row r="3989" spans="1:27" ht="12" customHeight="1" x14ac:dyDescent="0.15">
      <c r="A3989" s="33" t="s">
        <v>21670</v>
      </c>
      <c r="B3989" s="33">
        <v>27</v>
      </c>
      <c r="C3989" s="33" t="s">
        <v>14</v>
      </c>
      <c r="D3989" s="33" t="s">
        <v>79</v>
      </c>
      <c r="E3989" s="33" t="s">
        <v>21671</v>
      </c>
      <c r="F3989" s="67">
        <v>42512</v>
      </c>
      <c r="G3989" s="33" t="s">
        <v>21672</v>
      </c>
      <c r="H3989" s="33" t="s">
        <v>9061</v>
      </c>
      <c r="I3989" s="33" t="s">
        <v>56</v>
      </c>
      <c r="J3989" s="33">
        <v>33009</v>
      </c>
      <c r="K3989" s="33" t="s">
        <v>1052</v>
      </c>
      <c r="L3989" s="33" t="s">
        <v>9063</v>
      </c>
      <c r="M3989" s="33" t="s">
        <v>21</v>
      </c>
      <c r="N3989" s="33" t="s">
        <v>21673</v>
      </c>
      <c r="O3989" s="33" t="s">
        <v>372</v>
      </c>
      <c r="P3989" s="33" t="s">
        <v>30089</v>
      </c>
      <c r="Q3989" s="40" t="s">
        <v>21674</v>
      </c>
      <c r="R3989" s="33" t="s">
        <v>94</v>
      </c>
      <c r="S3989" s="33" t="s">
        <v>12</v>
      </c>
      <c r="T3989" s="33" t="s">
        <v>29705</v>
      </c>
      <c r="U3989" s="33" t="s">
        <v>26570</v>
      </c>
      <c r="V3989" s="33" t="s">
        <v>26571</v>
      </c>
      <c r="W3989" s="33" t="s">
        <v>512</v>
      </c>
      <c r="X3989" s="33">
        <v>1554</v>
      </c>
      <c r="Z3989" s="33" t="s">
        <v>42966</v>
      </c>
      <c r="AA3989" s="33">
        <v>3678</v>
      </c>
    </row>
    <row r="3990" spans="1:27" ht="12" customHeight="1" x14ac:dyDescent="0.15">
      <c r="A3990" s="33" t="s">
        <v>21656</v>
      </c>
      <c r="B3990" s="33">
        <v>38</v>
      </c>
      <c r="C3990" s="33" t="s">
        <v>14</v>
      </c>
      <c r="D3990" s="33" t="s">
        <v>31</v>
      </c>
      <c r="F3990" s="67">
        <v>42511</v>
      </c>
      <c r="G3990" s="33" t="s">
        <v>21657</v>
      </c>
      <c r="H3990" s="33" t="s">
        <v>12003</v>
      </c>
      <c r="I3990" s="33" t="s">
        <v>106</v>
      </c>
      <c r="J3990" s="33">
        <v>97045</v>
      </c>
      <c r="K3990" s="33" t="s">
        <v>3919</v>
      </c>
      <c r="L3990" s="33" t="s">
        <v>21658</v>
      </c>
      <c r="M3990" s="33" t="s">
        <v>21</v>
      </c>
      <c r="N3990" s="33" t="s">
        <v>21659</v>
      </c>
      <c r="O3990" s="33" t="s">
        <v>372</v>
      </c>
      <c r="P3990" s="33" t="s">
        <v>30089</v>
      </c>
      <c r="Q3990" s="40" t="s">
        <v>21660</v>
      </c>
      <c r="R3990" s="33" t="s">
        <v>512</v>
      </c>
      <c r="S3990" s="33" t="s">
        <v>12</v>
      </c>
      <c r="T3990" s="33" t="s">
        <v>29705</v>
      </c>
      <c r="U3990" s="33" t="s">
        <v>26572</v>
      </c>
      <c r="V3990" s="33" t="s">
        <v>26573</v>
      </c>
      <c r="W3990" s="33" t="s">
        <v>94</v>
      </c>
      <c r="X3990" s="33">
        <v>1553</v>
      </c>
      <c r="Z3990" s="33" t="s">
        <v>42968</v>
      </c>
      <c r="AA3990" s="33">
        <v>3675</v>
      </c>
    </row>
    <row r="3991" spans="1:27" ht="12" customHeight="1" x14ac:dyDescent="0.15">
      <c r="A3991" s="33" t="s">
        <v>21650</v>
      </c>
      <c r="B3991" s="33">
        <v>31</v>
      </c>
      <c r="C3991" s="33" t="s">
        <v>14</v>
      </c>
      <c r="D3991" s="33" t="s">
        <v>128</v>
      </c>
      <c r="F3991" s="67">
        <v>42511</v>
      </c>
      <c r="G3991" s="33" t="s">
        <v>21651</v>
      </c>
      <c r="H3991" s="33" t="s">
        <v>6279</v>
      </c>
      <c r="I3991" s="33" t="s">
        <v>112</v>
      </c>
      <c r="J3991" s="33">
        <v>86004</v>
      </c>
      <c r="K3991" s="33" t="s">
        <v>21652</v>
      </c>
      <c r="L3991" s="33" t="s">
        <v>21653</v>
      </c>
      <c r="M3991" s="33" t="s">
        <v>21</v>
      </c>
      <c r="N3991" s="33" t="s">
        <v>21654</v>
      </c>
      <c r="O3991" s="33" t="s">
        <v>372</v>
      </c>
      <c r="P3991" s="33" t="s">
        <v>30089</v>
      </c>
      <c r="Q3991" s="40" t="s">
        <v>21655</v>
      </c>
      <c r="R3991" s="33" t="s">
        <v>512</v>
      </c>
      <c r="S3991" s="33" t="s">
        <v>22</v>
      </c>
      <c r="T3991" s="33" t="s">
        <v>26781</v>
      </c>
      <c r="U3991" s="33" t="s">
        <v>26572</v>
      </c>
      <c r="V3991" s="33" t="s">
        <v>26573</v>
      </c>
      <c r="W3991" s="33" t="s">
        <v>512</v>
      </c>
      <c r="X3991" s="33">
        <v>1556</v>
      </c>
      <c r="Z3991" s="33" t="s">
        <v>42968</v>
      </c>
      <c r="AA3991" s="33">
        <v>3674</v>
      </c>
    </row>
    <row r="3992" spans="1:27" ht="12" customHeight="1" x14ac:dyDescent="0.15">
      <c r="A3992" s="33" t="s">
        <v>21661</v>
      </c>
      <c r="B3992" s="33">
        <v>63</v>
      </c>
      <c r="C3992" s="33" t="s">
        <v>14</v>
      </c>
      <c r="D3992" s="33" t="s">
        <v>31</v>
      </c>
      <c r="F3992" s="67">
        <v>42511</v>
      </c>
      <c r="G3992" s="33" t="s">
        <v>21662</v>
      </c>
      <c r="H3992" s="33" t="s">
        <v>10815</v>
      </c>
      <c r="I3992" s="33" t="s">
        <v>26</v>
      </c>
      <c r="J3992" s="33">
        <v>29709</v>
      </c>
      <c r="K3992" s="33" t="s">
        <v>10815</v>
      </c>
      <c r="L3992" s="33" t="s">
        <v>21663</v>
      </c>
      <c r="M3992" s="33" t="s">
        <v>21</v>
      </c>
      <c r="N3992" s="33" t="s">
        <v>21664</v>
      </c>
      <c r="O3992" s="33" t="s">
        <v>372</v>
      </c>
      <c r="P3992" s="33" t="s">
        <v>30089</v>
      </c>
      <c r="Q3992" s="40" t="s">
        <v>21665</v>
      </c>
      <c r="R3992" s="33" t="s">
        <v>94</v>
      </c>
      <c r="S3992" s="33" t="s">
        <v>22</v>
      </c>
      <c r="T3992" s="33" t="s">
        <v>26781</v>
      </c>
      <c r="U3992" s="33" t="s">
        <v>26572</v>
      </c>
      <c r="V3992" s="33" t="s">
        <v>26573</v>
      </c>
      <c r="W3992" s="33" t="s">
        <v>94</v>
      </c>
      <c r="X3992" s="33">
        <v>1552</v>
      </c>
      <c r="Z3992" s="33" t="s">
        <v>42967</v>
      </c>
      <c r="AA3992" s="33">
        <v>3673</v>
      </c>
    </row>
    <row r="3993" spans="1:27" ht="12" customHeight="1" x14ac:dyDescent="0.15">
      <c r="A3993" s="33" t="s">
        <v>21645</v>
      </c>
      <c r="B3993" s="33">
        <v>31</v>
      </c>
      <c r="C3993" s="33" t="s">
        <v>14</v>
      </c>
      <c r="D3993" s="33" t="s">
        <v>79</v>
      </c>
      <c r="E3993" s="33" t="s">
        <v>21646</v>
      </c>
      <c r="F3993" s="67">
        <v>42510</v>
      </c>
      <c r="G3993" s="33" t="s">
        <v>21647</v>
      </c>
      <c r="H3993" s="33" t="s">
        <v>1522</v>
      </c>
      <c r="I3993" s="33" t="s">
        <v>432</v>
      </c>
      <c r="J3993" s="33">
        <v>68116</v>
      </c>
      <c r="K3993" s="33" t="s">
        <v>882</v>
      </c>
      <c r="L3993" s="33" t="s">
        <v>2101</v>
      </c>
      <c r="M3993" s="33" t="s">
        <v>21</v>
      </c>
      <c r="N3993" s="33" t="s">
        <v>21648</v>
      </c>
      <c r="O3993" s="33" t="s">
        <v>372</v>
      </c>
      <c r="P3993" s="33" t="s">
        <v>30089</v>
      </c>
      <c r="Q3993" s="40" t="s">
        <v>21649</v>
      </c>
      <c r="R3993" s="33" t="s">
        <v>23</v>
      </c>
      <c r="S3993" s="33" t="s">
        <v>22</v>
      </c>
      <c r="T3993" s="33" t="s">
        <v>26774</v>
      </c>
      <c r="U3993" s="33" t="s">
        <v>26570</v>
      </c>
      <c r="V3993" s="33" t="s">
        <v>26574</v>
      </c>
      <c r="W3993" s="33" t="s">
        <v>512</v>
      </c>
      <c r="X3993" s="33">
        <v>1559</v>
      </c>
      <c r="Z3993" s="33" t="s">
        <v>42968</v>
      </c>
      <c r="AA3993" s="33">
        <v>3672</v>
      </c>
    </row>
    <row r="3994" spans="1:27" ht="12" customHeight="1" x14ac:dyDescent="0.15">
      <c r="A3994" s="33" t="s">
        <v>21627</v>
      </c>
      <c r="B3994" s="33">
        <v>35</v>
      </c>
      <c r="C3994" s="33" t="s">
        <v>14</v>
      </c>
      <c r="D3994" s="33" t="s">
        <v>42</v>
      </c>
      <c r="E3994" s="33" t="s">
        <v>21628</v>
      </c>
      <c r="F3994" s="67">
        <v>42509</v>
      </c>
      <c r="G3994" s="33" t="s">
        <v>22100</v>
      </c>
      <c r="H3994" s="33" t="s">
        <v>1535</v>
      </c>
      <c r="I3994" s="33" t="s">
        <v>39</v>
      </c>
      <c r="J3994" s="33">
        <v>95610</v>
      </c>
      <c r="K3994" s="33" t="s">
        <v>1537</v>
      </c>
      <c r="L3994" s="33" t="s">
        <v>1538</v>
      </c>
      <c r="M3994" s="33" t="s">
        <v>21</v>
      </c>
      <c r="N3994" s="33" t="s">
        <v>21629</v>
      </c>
      <c r="O3994" s="33" t="s">
        <v>372</v>
      </c>
      <c r="P3994" s="33" t="s">
        <v>30089</v>
      </c>
      <c r="Q3994" s="40" t="s">
        <v>21630</v>
      </c>
      <c r="R3994" s="33" t="s">
        <v>94</v>
      </c>
      <c r="S3994" s="33" t="s">
        <v>22</v>
      </c>
      <c r="T3994" s="33" t="s">
        <v>26774</v>
      </c>
      <c r="U3994" s="33" t="s">
        <v>26570</v>
      </c>
      <c r="V3994" s="33" t="s">
        <v>26573</v>
      </c>
      <c r="W3994" s="33" t="s">
        <v>512</v>
      </c>
      <c r="X3994" s="33">
        <v>1549</v>
      </c>
      <c r="Z3994" s="33" t="s">
        <v>42968</v>
      </c>
      <c r="AA3994" s="33">
        <v>3669</v>
      </c>
    </row>
    <row r="3995" spans="1:27" ht="12" customHeight="1" x14ac:dyDescent="0.15">
      <c r="A3995" s="33" t="s">
        <v>21631</v>
      </c>
      <c r="B3995" s="33">
        <v>22</v>
      </c>
      <c r="C3995" s="33" t="s">
        <v>14</v>
      </c>
      <c r="D3995" s="33" t="s">
        <v>79</v>
      </c>
      <c r="E3995" s="33" t="s">
        <v>21632</v>
      </c>
      <c r="F3995" s="67">
        <v>42509</v>
      </c>
      <c r="G3995" s="33" t="s">
        <v>21633</v>
      </c>
      <c r="H3995" s="33" t="s">
        <v>196</v>
      </c>
      <c r="I3995" s="33" t="s">
        <v>56</v>
      </c>
      <c r="J3995" s="33">
        <v>33147</v>
      </c>
      <c r="K3995" s="33" t="s">
        <v>148</v>
      </c>
      <c r="L3995" s="33" t="s">
        <v>149</v>
      </c>
      <c r="M3995" s="33" t="s">
        <v>21</v>
      </c>
      <c r="N3995" s="33" t="s">
        <v>36706</v>
      </c>
      <c r="O3995" s="33" t="s">
        <v>372</v>
      </c>
      <c r="P3995" s="33" t="s">
        <v>30089</v>
      </c>
      <c r="Q3995" s="40" t="s">
        <v>21634</v>
      </c>
      <c r="R3995" s="33" t="s">
        <v>94</v>
      </c>
      <c r="S3995" s="33" t="s">
        <v>22</v>
      </c>
      <c r="T3995" s="33" t="s">
        <v>26781</v>
      </c>
      <c r="U3995" s="33" t="s">
        <v>26570</v>
      </c>
      <c r="V3995" s="33" t="s">
        <v>26573</v>
      </c>
      <c r="W3995" s="33" t="s">
        <v>94</v>
      </c>
      <c r="X3995" s="33">
        <v>1551</v>
      </c>
      <c r="Z3995" s="33" t="s">
        <v>42968</v>
      </c>
      <c r="AA3995" s="33">
        <v>3668</v>
      </c>
    </row>
    <row r="3996" spans="1:27" ht="12" customHeight="1" x14ac:dyDescent="0.15">
      <c r="A3996" s="33" t="s">
        <v>21635</v>
      </c>
      <c r="B3996" s="33">
        <v>30</v>
      </c>
      <c r="C3996" s="33" t="s">
        <v>14</v>
      </c>
      <c r="D3996" s="33" t="s">
        <v>42</v>
      </c>
      <c r="E3996" s="33" t="s">
        <v>21636</v>
      </c>
      <c r="F3996" s="67">
        <v>42509</v>
      </c>
      <c r="G3996" s="33" t="s">
        <v>21637</v>
      </c>
      <c r="H3996" s="33" t="s">
        <v>249</v>
      </c>
      <c r="I3996" s="33" t="s">
        <v>250</v>
      </c>
      <c r="J3996" s="33">
        <v>89030</v>
      </c>
      <c r="K3996" s="33" t="s">
        <v>527</v>
      </c>
      <c r="L3996" s="33" t="s">
        <v>528</v>
      </c>
      <c r="M3996" s="33" t="s">
        <v>21</v>
      </c>
      <c r="N3996" s="33" t="s">
        <v>21638</v>
      </c>
      <c r="O3996" s="33" t="s">
        <v>372</v>
      </c>
      <c r="P3996" s="33" t="s">
        <v>30089</v>
      </c>
      <c r="Q3996" s="40" t="s">
        <v>21639</v>
      </c>
      <c r="R3996" s="33" t="s">
        <v>23</v>
      </c>
      <c r="S3996" s="33" t="s">
        <v>12</v>
      </c>
      <c r="T3996" s="33" t="s">
        <v>29705</v>
      </c>
      <c r="U3996" s="33" t="s">
        <v>26572</v>
      </c>
      <c r="V3996" s="33" t="s">
        <v>26573</v>
      </c>
      <c r="W3996" s="33" t="s">
        <v>94</v>
      </c>
      <c r="X3996" s="33">
        <v>1547</v>
      </c>
      <c r="Z3996" s="33" t="s">
        <v>42968</v>
      </c>
      <c r="AA3996" s="33">
        <v>3670</v>
      </c>
    </row>
    <row r="3997" spans="1:27" ht="12" customHeight="1" x14ac:dyDescent="0.15">
      <c r="A3997" s="33" t="s">
        <v>21622</v>
      </c>
      <c r="B3997" s="33">
        <v>29</v>
      </c>
      <c r="C3997" s="33" t="s">
        <v>103</v>
      </c>
      <c r="D3997" s="33" t="s">
        <v>79</v>
      </c>
      <c r="E3997" s="33" t="s">
        <v>21623</v>
      </c>
      <c r="F3997" s="67">
        <v>42509</v>
      </c>
      <c r="G3997" s="33" t="s">
        <v>21624</v>
      </c>
      <c r="H3997" s="33" t="s">
        <v>886</v>
      </c>
      <c r="I3997" s="33" t="s">
        <v>39</v>
      </c>
      <c r="J3997" s="33">
        <v>94124</v>
      </c>
      <c r="K3997" s="33" t="s">
        <v>886</v>
      </c>
      <c r="L3997" s="33" t="s">
        <v>887</v>
      </c>
      <c r="M3997" s="33" t="s">
        <v>21</v>
      </c>
      <c r="N3997" s="33" t="s">
        <v>21625</v>
      </c>
      <c r="O3997" s="33" t="s">
        <v>372</v>
      </c>
      <c r="P3997" s="33" t="s">
        <v>30089</v>
      </c>
      <c r="Q3997" s="40" t="s">
        <v>21626</v>
      </c>
      <c r="R3997" s="33" t="s">
        <v>94</v>
      </c>
      <c r="S3997" s="33" t="s">
        <v>12</v>
      </c>
      <c r="T3997" s="33" t="s">
        <v>29705</v>
      </c>
      <c r="U3997" s="33" t="s">
        <v>26575</v>
      </c>
      <c r="V3997" s="33" t="s">
        <v>26571</v>
      </c>
      <c r="W3997" s="33" t="s">
        <v>94</v>
      </c>
      <c r="X3997" s="33">
        <v>1548</v>
      </c>
      <c r="Z3997" s="33" t="s">
        <v>42966</v>
      </c>
      <c r="AA3997" s="33">
        <v>3671</v>
      </c>
    </row>
    <row r="3998" spans="1:27" ht="12" customHeight="1" x14ac:dyDescent="0.15">
      <c r="A3998" s="33" t="s">
        <v>21640</v>
      </c>
      <c r="B3998" s="33">
        <v>36</v>
      </c>
      <c r="C3998" s="33" t="s">
        <v>14</v>
      </c>
      <c r="D3998" s="33" t="s">
        <v>31</v>
      </c>
      <c r="F3998" s="67">
        <v>42509</v>
      </c>
      <c r="G3998" s="33" t="s">
        <v>21641</v>
      </c>
      <c r="H3998" s="33" t="s">
        <v>21642</v>
      </c>
      <c r="I3998" s="33" t="s">
        <v>294</v>
      </c>
      <c r="J3998" s="33">
        <v>41740</v>
      </c>
      <c r="K3998" s="33" t="s">
        <v>18257</v>
      </c>
      <c r="L3998" s="33" t="s">
        <v>18258</v>
      </c>
      <c r="M3998" s="33" t="s">
        <v>21</v>
      </c>
      <c r="N3998" s="33" t="s">
        <v>21643</v>
      </c>
      <c r="O3998" s="33" t="s">
        <v>372</v>
      </c>
      <c r="P3998" s="33" t="s">
        <v>30089</v>
      </c>
      <c r="Q3998" s="40" t="s">
        <v>21644</v>
      </c>
      <c r="R3998" s="33" t="s">
        <v>904</v>
      </c>
      <c r="S3998" s="33" t="s">
        <v>22</v>
      </c>
      <c r="T3998" s="33" t="s">
        <v>26781</v>
      </c>
      <c r="U3998" s="33" t="s">
        <v>26572</v>
      </c>
      <c r="V3998" s="33" t="s">
        <v>26573</v>
      </c>
      <c r="W3998" s="33" t="s">
        <v>94</v>
      </c>
      <c r="X3998" s="33">
        <v>1550</v>
      </c>
      <c r="Z3998" s="33" t="s">
        <v>42967</v>
      </c>
      <c r="AA3998" s="33">
        <v>3667</v>
      </c>
    </row>
    <row r="3999" spans="1:27" ht="12" customHeight="1" x14ac:dyDescent="0.15">
      <c r="A3999" s="33" t="s">
        <v>21608</v>
      </c>
      <c r="B3999" s="33">
        <v>20</v>
      </c>
      <c r="C3999" s="33" t="s">
        <v>14</v>
      </c>
      <c r="D3999" s="33" t="s">
        <v>42</v>
      </c>
      <c r="E3999" s="33" t="s">
        <v>21609</v>
      </c>
      <c r="F3999" s="67">
        <v>42508</v>
      </c>
      <c r="G3999" s="33" t="s">
        <v>22101</v>
      </c>
      <c r="H3999" s="33" t="s">
        <v>584</v>
      </c>
      <c r="I3999" s="33" t="s">
        <v>112</v>
      </c>
      <c r="J3999" s="33">
        <v>85339</v>
      </c>
      <c r="K3999" s="33" t="s">
        <v>585</v>
      </c>
      <c r="L3999" s="33" t="s">
        <v>586</v>
      </c>
      <c r="M3999" s="33" t="s">
        <v>21</v>
      </c>
      <c r="N3999" s="33" t="s">
        <v>21610</v>
      </c>
      <c r="O3999" s="33" t="s">
        <v>372</v>
      </c>
      <c r="P3999" s="33" t="s">
        <v>30089</v>
      </c>
      <c r="Q3999" s="40" t="s">
        <v>21611</v>
      </c>
      <c r="R3999" s="33" t="s">
        <v>94</v>
      </c>
      <c r="S3999" s="33" t="s">
        <v>22</v>
      </c>
      <c r="T3999" s="33" t="s">
        <v>26781</v>
      </c>
      <c r="U3999" s="33" t="s">
        <v>26572</v>
      </c>
      <c r="V3999" s="33" t="s">
        <v>26573</v>
      </c>
      <c r="W3999" s="33" t="s">
        <v>94</v>
      </c>
      <c r="X3999" s="33">
        <v>1546</v>
      </c>
      <c r="Z3999" s="33" t="s">
        <v>42968</v>
      </c>
      <c r="AA3999" s="33">
        <v>3665</v>
      </c>
    </row>
    <row r="4000" spans="1:27" ht="12" customHeight="1" x14ac:dyDescent="0.15">
      <c r="A4000" s="33" t="s">
        <v>21616</v>
      </c>
      <c r="B4000" s="33">
        <v>44</v>
      </c>
      <c r="C4000" s="33" t="s">
        <v>14</v>
      </c>
      <c r="D4000" s="33" t="s">
        <v>31</v>
      </c>
      <c r="E4000" s="33" t="s">
        <v>21617</v>
      </c>
      <c r="F4000" s="67">
        <v>42508</v>
      </c>
      <c r="G4000" s="33" t="s">
        <v>21618</v>
      </c>
      <c r="H4000" s="33" t="s">
        <v>21619</v>
      </c>
      <c r="I4000" s="33" t="s">
        <v>402</v>
      </c>
      <c r="J4000" s="33">
        <v>65441</v>
      </c>
      <c r="K4000" s="33" t="s">
        <v>10271</v>
      </c>
      <c r="L4000" s="33" t="s">
        <v>8998</v>
      </c>
      <c r="M4000" s="33" t="s">
        <v>21</v>
      </c>
      <c r="N4000" s="33" t="s">
        <v>21620</v>
      </c>
      <c r="O4000" s="33" t="s">
        <v>372</v>
      </c>
      <c r="P4000" s="33" t="s">
        <v>30089</v>
      </c>
      <c r="Q4000" s="40" t="s">
        <v>21621</v>
      </c>
      <c r="R4000" s="33" t="s">
        <v>94</v>
      </c>
      <c r="S4000" s="33" t="s">
        <v>22</v>
      </c>
      <c r="T4000" s="33" t="s">
        <v>26781</v>
      </c>
      <c r="U4000" s="33" t="s">
        <v>26572</v>
      </c>
      <c r="V4000" s="33" t="s">
        <v>19228</v>
      </c>
      <c r="W4000" s="33" t="s">
        <v>94</v>
      </c>
      <c r="X4000" s="33">
        <v>1545</v>
      </c>
      <c r="Z4000" s="33" t="s">
        <v>42967</v>
      </c>
      <c r="AA4000" s="33">
        <v>3664</v>
      </c>
    </row>
    <row r="4001" spans="1:27" ht="12" customHeight="1" x14ac:dyDescent="0.15">
      <c r="A4001" s="33" t="s">
        <v>21612</v>
      </c>
      <c r="B4001" s="33">
        <v>46</v>
      </c>
      <c r="C4001" s="33" t="s">
        <v>14</v>
      </c>
      <c r="D4001" s="33" t="s">
        <v>31</v>
      </c>
      <c r="F4001" s="67">
        <v>42508</v>
      </c>
      <c r="G4001" s="33" t="s">
        <v>21613</v>
      </c>
      <c r="H4001" s="33" t="s">
        <v>700</v>
      </c>
      <c r="I4001" s="33" t="s">
        <v>395</v>
      </c>
      <c r="J4001" s="33">
        <v>10019</v>
      </c>
      <c r="K4001" s="33" t="s">
        <v>700</v>
      </c>
      <c r="L4001" s="33" t="s">
        <v>539</v>
      </c>
      <c r="M4001" s="33" t="s">
        <v>21</v>
      </c>
      <c r="N4001" s="33" t="s">
        <v>21614</v>
      </c>
      <c r="O4001" s="33" t="s">
        <v>372</v>
      </c>
      <c r="P4001" s="33" t="s">
        <v>30089</v>
      </c>
      <c r="Q4001" s="40" t="s">
        <v>21615</v>
      </c>
      <c r="R4001" s="33" t="s">
        <v>512</v>
      </c>
      <c r="S4001" s="33" t="s">
        <v>22</v>
      </c>
      <c r="T4001" s="33" t="s">
        <v>26774</v>
      </c>
      <c r="U4001" s="33" t="s">
        <v>26570</v>
      </c>
      <c r="V4001" s="33" t="s">
        <v>26573</v>
      </c>
      <c r="W4001" s="33" t="s">
        <v>94</v>
      </c>
      <c r="X4001" s="33">
        <v>1543</v>
      </c>
      <c r="Z4001" s="33" t="s">
        <v>42966</v>
      </c>
      <c r="AA4001" s="33">
        <v>3666</v>
      </c>
    </row>
    <row r="4002" spans="1:27" ht="12" customHeight="1" x14ac:dyDescent="0.15">
      <c r="A4002" s="33" t="s">
        <v>21603</v>
      </c>
      <c r="B4002" s="33">
        <v>36</v>
      </c>
      <c r="C4002" s="33" t="s">
        <v>14</v>
      </c>
      <c r="D4002" s="33" t="s">
        <v>31</v>
      </c>
      <c r="F4002" s="67">
        <v>42507</v>
      </c>
      <c r="G4002" s="33" t="s">
        <v>21604</v>
      </c>
      <c r="H4002" s="33" t="s">
        <v>4051</v>
      </c>
      <c r="I4002" s="33" t="s">
        <v>39</v>
      </c>
      <c r="J4002" s="33">
        <v>96064</v>
      </c>
      <c r="K4002" s="33" t="s">
        <v>896</v>
      </c>
      <c r="L4002" s="33" t="s">
        <v>21605</v>
      </c>
      <c r="M4002" s="33" t="s">
        <v>21</v>
      </c>
      <c r="N4002" s="33" t="s">
        <v>21606</v>
      </c>
      <c r="O4002" s="33" t="s">
        <v>372</v>
      </c>
      <c r="P4002" s="33" t="s">
        <v>30089</v>
      </c>
      <c r="Q4002" s="40" t="s">
        <v>21607</v>
      </c>
      <c r="R4002" s="33" t="s">
        <v>512</v>
      </c>
      <c r="S4002" s="33" t="s">
        <v>22</v>
      </c>
      <c r="T4002" s="33" t="s">
        <v>26627</v>
      </c>
      <c r="U4002" s="33" t="s">
        <v>26570</v>
      </c>
      <c r="V4002" s="33" t="s">
        <v>26573</v>
      </c>
      <c r="W4002" s="33" t="s">
        <v>94</v>
      </c>
      <c r="X4002" s="33">
        <v>1544</v>
      </c>
      <c r="Z4002" s="33" t="s">
        <v>42967</v>
      </c>
      <c r="AA4002" s="33">
        <v>3663</v>
      </c>
    </row>
    <row r="4003" spans="1:27" ht="12" customHeight="1" x14ac:dyDescent="0.15">
      <c r="A4003" s="33" t="s">
        <v>21598</v>
      </c>
      <c r="B4003" s="33">
        <v>23</v>
      </c>
      <c r="C4003" s="33" t="s">
        <v>14</v>
      </c>
      <c r="D4003" s="33" t="s">
        <v>79</v>
      </c>
      <c r="E4003" s="33" t="s">
        <v>21599</v>
      </c>
      <c r="F4003" s="67">
        <v>42506</v>
      </c>
      <c r="G4003" s="33" t="s">
        <v>21600</v>
      </c>
      <c r="H4003" s="33" t="s">
        <v>21069</v>
      </c>
      <c r="I4003" s="33" t="s">
        <v>160</v>
      </c>
      <c r="J4003" s="33">
        <v>30296</v>
      </c>
      <c r="K4003" s="33" t="s">
        <v>1669</v>
      </c>
      <c r="L4003" s="33" t="s">
        <v>12258</v>
      </c>
      <c r="M4003" s="33" t="s">
        <v>21</v>
      </c>
      <c r="N4003" s="33" t="s">
        <v>21601</v>
      </c>
      <c r="O4003" s="33" t="s">
        <v>372</v>
      </c>
      <c r="P4003" s="33" t="s">
        <v>30089</v>
      </c>
      <c r="Q4003" s="40" t="s">
        <v>21602</v>
      </c>
      <c r="R4003" s="33" t="s">
        <v>94</v>
      </c>
      <c r="S4003" s="33" t="s">
        <v>22</v>
      </c>
      <c r="T4003" s="33" t="s">
        <v>26781</v>
      </c>
      <c r="U4003" s="33" t="s">
        <v>26572</v>
      </c>
      <c r="V4003" s="33" t="s">
        <v>26574</v>
      </c>
      <c r="W4003" s="33" t="s">
        <v>94</v>
      </c>
      <c r="X4003" s="33">
        <v>1542</v>
      </c>
      <c r="Z4003" s="33" t="s">
        <v>42968</v>
      </c>
      <c r="AA4003" s="33">
        <v>3661</v>
      </c>
    </row>
    <row r="4004" spans="1:27" ht="12" customHeight="1" x14ac:dyDescent="0.15">
      <c r="A4004" s="33" t="s">
        <v>21591</v>
      </c>
      <c r="B4004" s="33">
        <v>48</v>
      </c>
      <c r="C4004" s="33" t="s">
        <v>14</v>
      </c>
      <c r="D4004" s="33" t="s">
        <v>31</v>
      </c>
      <c r="E4004" s="33" t="s">
        <v>21592</v>
      </c>
      <c r="F4004" s="67">
        <v>42506</v>
      </c>
      <c r="G4004" s="33" t="s">
        <v>21593</v>
      </c>
      <c r="H4004" s="33" t="s">
        <v>21594</v>
      </c>
      <c r="I4004" s="33" t="s">
        <v>40</v>
      </c>
      <c r="J4004" s="33">
        <v>2724</v>
      </c>
      <c r="K4004" s="33" t="s">
        <v>6020</v>
      </c>
      <c r="L4004" s="33" t="s">
        <v>21595</v>
      </c>
      <c r="M4004" s="33" t="s">
        <v>363</v>
      </c>
      <c r="N4004" s="33" t="s">
        <v>21596</v>
      </c>
      <c r="O4004" s="33" t="s">
        <v>372</v>
      </c>
      <c r="P4004" s="33" t="s">
        <v>30089</v>
      </c>
      <c r="Q4004" s="40" t="s">
        <v>21597</v>
      </c>
      <c r="R4004" s="33" t="s">
        <v>94</v>
      </c>
      <c r="S4004" s="33" t="s">
        <v>12</v>
      </c>
      <c r="T4004" s="33" t="s">
        <v>29705</v>
      </c>
      <c r="U4004" s="33" t="s">
        <v>26570</v>
      </c>
      <c r="V4004" s="33" t="s">
        <v>26573</v>
      </c>
      <c r="Z4004" s="33" t="s">
        <v>42966</v>
      </c>
      <c r="AA4004" s="33">
        <v>3662</v>
      </c>
    </row>
    <row r="4005" spans="1:27" ht="12" customHeight="1" x14ac:dyDescent="0.15">
      <c r="A4005" s="33" t="s">
        <v>21584</v>
      </c>
      <c r="B4005" s="33">
        <v>35</v>
      </c>
      <c r="C4005" s="33" t="s">
        <v>14</v>
      </c>
      <c r="D4005" s="33" t="s">
        <v>31</v>
      </c>
      <c r="E4005" s="33" t="s">
        <v>21585</v>
      </c>
      <c r="F4005" s="67">
        <v>42505</v>
      </c>
      <c r="G4005" s="33" t="s">
        <v>21586</v>
      </c>
      <c r="H4005" s="33" t="s">
        <v>21587</v>
      </c>
      <c r="I4005" s="33" t="s">
        <v>38</v>
      </c>
      <c r="J4005" s="33">
        <v>62938</v>
      </c>
      <c r="K4005" s="33" t="s">
        <v>5936</v>
      </c>
      <c r="L4005" s="33" t="s">
        <v>21588</v>
      </c>
      <c r="M4005" s="33" t="s">
        <v>21</v>
      </c>
      <c r="N4005" s="33" t="s">
        <v>21589</v>
      </c>
      <c r="O4005" s="33" t="s">
        <v>372</v>
      </c>
      <c r="P4005" s="33" t="s">
        <v>30089</v>
      </c>
      <c r="Q4005" s="40" t="s">
        <v>21590</v>
      </c>
      <c r="R4005" s="33" t="s">
        <v>94</v>
      </c>
      <c r="S4005" s="33" t="s">
        <v>22</v>
      </c>
      <c r="T4005" s="33" t="s">
        <v>26781</v>
      </c>
      <c r="U4005" s="33" t="s">
        <v>26572</v>
      </c>
      <c r="V4005" s="33" t="s">
        <v>26574</v>
      </c>
      <c r="W4005" s="33" t="s">
        <v>94</v>
      </c>
      <c r="X4005" s="33">
        <v>1541</v>
      </c>
      <c r="Z4005" s="33" t="s">
        <v>42967</v>
      </c>
      <c r="AA4005" s="33">
        <v>3660</v>
      </c>
    </row>
    <row r="4006" spans="1:27" ht="12" customHeight="1" x14ac:dyDescent="0.15">
      <c r="A4006" s="33" t="s">
        <v>21574</v>
      </c>
      <c r="B4006" s="33">
        <v>19</v>
      </c>
      <c r="C4006" s="33" t="s">
        <v>14</v>
      </c>
      <c r="D4006" s="33" t="s">
        <v>31</v>
      </c>
      <c r="E4006" s="33" t="s">
        <v>21575</v>
      </c>
      <c r="F4006" s="67">
        <v>42504</v>
      </c>
      <c r="G4006" s="33" t="s">
        <v>21576</v>
      </c>
      <c r="H4006" s="33" t="s">
        <v>603</v>
      </c>
      <c r="I4006" s="33" t="s">
        <v>56</v>
      </c>
      <c r="J4006" s="33">
        <v>32202</v>
      </c>
      <c r="K4006" s="33" t="s">
        <v>604</v>
      </c>
      <c r="L4006" s="33" t="s">
        <v>605</v>
      </c>
      <c r="M4006" s="33" t="s">
        <v>21</v>
      </c>
      <c r="N4006" s="33" t="s">
        <v>21577</v>
      </c>
      <c r="O4006" s="33" t="s">
        <v>372</v>
      </c>
      <c r="P4006" s="33" t="s">
        <v>30089</v>
      </c>
      <c r="Q4006" s="40" t="s">
        <v>21578</v>
      </c>
      <c r="R4006" s="33" t="s">
        <v>512</v>
      </c>
      <c r="S4006" s="33" t="s">
        <v>22</v>
      </c>
      <c r="T4006" s="33" t="s">
        <v>26774</v>
      </c>
      <c r="U4006" s="33" t="s">
        <v>26570</v>
      </c>
      <c r="V4006" s="33" t="s">
        <v>26573</v>
      </c>
      <c r="W4006" s="33" t="s">
        <v>94</v>
      </c>
      <c r="X4006" s="33">
        <v>1536</v>
      </c>
      <c r="Z4006" s="33" t="s">
        <v>42966</v>
      </c>
      <c r="AA4006" s="33">
        <v>3659</v>
      </c>
    </row>
    <row r="4007" spans="1:27" ht="12" customHeight="1" x14ac:dyDescent="0.15">
      <c r="A4007" s="33" t="s">
        <v>21579</v>
      </c>
      <c r="B4007" s="33">
        <v>34</v>
      </c>
      <c r="C4007" s="33" t="s">
        <v>14</v>
      </c>
      <c r="D4007" s="33" t="s">
        <v>31</v>
      </c>
      <c r="E4007" s="33" t="s">
        <v>21580</v>
      </c>
      <c r="F4007" s="67">
        <v>42504</v>
      </c>
      <c r="G4007" s="33" t="s">
        <v>22102</v>
      </c>
      <c r="H4007" s="33" t="s">
        <v>21581</v>
      </c>
      <c r="I4007" s="33" t="s">
        <v>160</v>
      </c>
      <c r="J4007" s="33">
        <v>30281</v>
      </c>
      <c r="K4007" s="33" t="s">
        <v>7624</v>
      </c>
      <c r="L4007" s="33" t="s">
        <v>7625</v>
      </c>
      <c r="M4007" s="33" t="s">
        <v>4966</v>
      </c>
      <c r="N4007" s="33" t="s">
        <v>21582</v>
      </c>
      <c r="O4007" s="33" t="s">
        <v>372</v>
      </c>
      <c r="P4007" s="33" t="s">
        <v>30089</v>
      </c>
      <c r="Q4007" s="40" t="s">
        <v>21583</v>
      </c>
      <c r="R4007" s="33" t="s">
        <v>512</v>
      </c>
      <c r="S4007" s="33" t="s">
        <v>22</v>
      </c>
      <c r="T4007" s="33" t="s">
        <v>26781</v>
      </c>
      <c r="U4007" s="33" t="s">
        <v>26570</v>
      </c>
      <c r="V4007" s="33" t="s">
        <v>26573</v>
      </c>
      <c r="W4007" s="33" t="s">
        <v>94</v>
      </c>
      <c r="X4007" s="33">
        <v>1540</v>
      </c>
      <c r="Z4007" s="33" t="s">
        <v>42968</v>
      </c>
      <c r="AA4007" s="33">
        <v>3658</v>
      </c>
    </row>
    <row r="4008" spans="1:27" ht="12" customHeight="1" x14ac:dyDescent="0.15">
      <c r="A4008" s="33" t="s">
        <v>21565</v>
      </c>
      <c r="B4008" s="33">
        <v>43</v>
      </c>
      <c r="C4008" s="33" t="s">
        <v>14</v>
      </c>
      <c r="D4008" s="33" t="s">
        <v>128</v>
      </c>
      <c r="E4008" s="33" t="s">
        <v>21566</v>
      </c>
      <c r="F4008" s="67">
        <v>42504</v>
      </c>
      <c r="G4008" s="33" t="s">
        <v>21567</v>
      </c>
      <c r="H4008" s="33" t="s">
        <v>584</v>
      </c>
      <c r="I4008" s="33" t="s">
        <v>112</v>
      </c>
      <c r="J4008" s="33">
        <v>85009</v>
      </c>
      <c r="K4008" s="33" t="s">
        <v>585</v>
      </c>
      <c r="L4008" s="33" t="s">
        <v>586</v>
      </c>
      <c r="M4008" s="33" t="s">
        <v>21</v>
      </c>
      <c r="N4008" s="33" t="s">
        <v>21568</v>
      </c>
      <c r="O4008" s="33" t="s">
        <v>372</v>
      </c>
      <c r="P4008" s="33" t="s">
        <v>30089</v>
      </c>
      <c r="Q4008" s="40" t="s">
        <v>21569</v>
      </c>
      <c r="R4008" s="33" t="s">
        <v>94</v>
      </c>
      <c r="S4008" s="33" t="s">
        <v>22</v>
      </c>
      <c r="T4008" s="33" t="s">
        <v>26781</v>
      </c>
      <c r="U4008" s="33" t="s">
        <v>26572</v>
      </c>
      <c r="V4008" s="33" t="s">
        <v>26573</v>
      </c>
      <c r="W4008" s="33" t="s">
        <v>512</v>
      </c>
      <c r="X4008" s="33">
        <v>1537</v>
      </c>
      <c r="Z4008" s="33" t="s">
        <v>42966</v>
      </c>
      <c r="AA4008" s="33">
        <v>3656</v>
      </c>
    </row>
    <row r="4009" spans="1:27" ht="12" customHeight="1" x14ac:dyDescent="0.15">
      <c r="A4009" s="33" t="s">
        <v>21570</v>
      </c>
      <c r="B4009" s="33">
        <v>59</v>
      </c>
      <c r="C4009" s="33" t="s">
        <v>14</v>
      </c>
      <c r="D4009" s="33" t="s">
        <v>31</v>
      </c>
      <c r="F4009" s="67">
        <v>42504</v>
      </c>
      <c r="G4009" s="33" t="s">
        <v>22103</v>
      </c>
      <c r="H4009" s="33" t="s">
        <v>21571</v>
      </c>
      <c r="I4009" s="33" t="s">
        <v>56</v>
      </c>
      <c r="J4009" s="33">
        <v>32764</v>
      </c>
      <c r="K4009" s="33" t="s">
        <v>3571</v>
      </c>
      <c r="L4009" s="33" t="s">
        <v>242</v>
      </c>
      <c r="M4009" s="33" t="s">
        <v>21</v>
      </c>
      <c r="N4009" s="33" t="s">
        <v>21572</v>
      </c>
      <c r="O4009" s="33" t="s">
        <v>372</v>
      </c>
      <c r="P4009" s="33" t="s">
        <v>30089</v>
      </c>
      <c r="Q4009" s="40" t="s">
        <v>21573</v>
      </c>
      <c r="R4009" s="33" t="s">
        <v>94</v>
      </c>
      <c r="S4009" s="33" t="s">
        <v>22</v>
      </c>
      <c r="T4009" s="33" t="s">
        <v>26781</v>
      </c>
      <c r="U4009" s="33" t="s">
        <v>26572</v>
      </c>
      <c r="V4009" s="33" t="s">
        <v>26573</v>
      </c>
      <c r="W4009" s="33" t="s">
        <v>94</v>
      </c>
      <c r="X4009" s="33">
        <v>1538</v>
      </c>
      <c r="Z4009" s="33" t="s">
        <v>42967</v>
      </c>
      <c r="AA4009" s="33">
        <v>3657</v>
      </c>
    </row>
    <row r="4010" spans="1:27" ht="12" customHeight="1" x14ac:dyDescent="0.15">
      <c r="A4010" s="33" t="s">
        <v>21561</v>
      </c>
      <c r="B4010" s="33">
        <v>37</v>
      </c>
      <c r="C4010" s="33" t="s">
        <v>14</v>
      </c>
      <c r="D4010" s="33" t="s">
        <v>31</v>
      </c>
      <c r="E4010" s="33" t="s">
        <v>21562</v>
      </c>
      <c r="F4010" s="67">
        <v>42503</v>
      </c>
      <c r="G4010" s="33" t="s">
        <v>21563</v>
      </c>
      <c r="H4010" s="33" t="s">
        <v>622</v>
      </c>
      <c r="I4010" s="33" t="s">
        <v>75</v>
      </c>
      <c r="J4010" s="33">
        <v>7083</v>
      </c>
      <c r="K4010" s="33" t="s">
        <v>622</v>
      </c>
      <c r="L4010" s="33" t="s">
        <v>487</v>
      </c>
      <c r="M4010" s="33" t="s">
        <v>21</v>
      </c>
      <c r="N4010" s="33" t="s">
        <v>36707</v>
      </c>
      <c r="O4010" s="33" t="s">
        <v>23118</v>
      </c>
      <c r="P4010" s="33" t="s">
        <v>1084</v>
      </c>
      <c r="Q4010" s="40" t="s">
        <v>21564</v>
      </c>
      <c r="R4010" s="33" t="s">
        <v>904</v>
      </c>
      <c r="S4010" s="33" t="s">
        <v>12</v>
      </c>
      <c r="T4010" s="33" t="s">
        <v>29705</v>
      </c>
      <c r="U4010" s="33" t="s">
        <v>26572</v>
      </c>
      <c r="V4010" s="33" t="s">
        <v>26573</v>
      </c>
      <c r="Y4010" s="33" t="s">
        <v>42476</v>
      </c>
      <c r="Z4010" s="33" t="s">
        <v>42966</v>
      </c>
      <c r="AA4010" s="33">
        <v>3654</v>
      </c>
    </row>
    <row r="4011" spans="1:27" ht="12" customHeight="1" x14ac:dyDescent="0.15">
      <c r="A4011" s="33" t="s">
        <v>21553</v>
      </c>
      <c r="B4011" s="33">
        <v>28</v>
      </c>
      <c r="C4011" s="33" t="s">
        <v>14</v>
      </c>
      <c r="D4011" s="33" t="s">
        <v>42</v>
      </c>
      <c r="F4011" s="67">
        <v>42503</v>
      </c>
      <c r="G4011" s="33" t="s">
        <v>22104</v>
      </c>
      <c r="H4011" s="33" t="s">
        <v>92</v>
      </c>
      <c r="I4011" s="33" t="s">
        <v>39</v>
      </c>
      <c r="J4011" s="33">
        <v>90023</v>
      </c>
      <c r="K4011" s="33" t="s">
        <v>92</v>
      </c>
      <c r="L4011" s="33" t="s">
        <v>93</v>
      </c>
      <c r="M4011" s="33" t="s">
        <v>21</v>
      </c>
      <c r="N4011" s="33" t="s">
        <v>21554</v>
      </c>
      <c r="O4011" s="33" t="s">
        <v>372</v>
      </c>
      <c r="P4011" s="33" t="s">
        <v>30089</v>
      </c>
      <c r="Q4011" s="40" t="s">
        <v>21555</v>
      </c>
      <c r="R4011" s="33" t="s">
        <v>94</v>
      </c>
      <c r="S4011" s="33" t="s">
        <v>22</v>
      </c>
      <c r="T4011" s="33" t="s">
        <v>26781</v>
      </c>
      <c r="U4011" s="33" t="s">
        <v>26572</v>
      </c>
      <c r="V4011" s="33" t="s">
        <v>26573</v>
      </c>
      <c r="W4011" s="33" t="s">
        <v>512</v>
      </c>
      <c r="X4011" s="33">
        <v>1539</v>
      </c>
      <c r="Z4011" s="33" t="s">
        <v>42966</v>
      </c>
      <c r="AA4011" s="33">
        <v>3653</v>
      </c>
    </row>
    <row r="4012" spans="1:27" ht="12" customHeight="1" x14ac:dyDescent="0.15">
      <c r="A4012" s="33" t="s">
        <v>21559</v>
      </c>
      <c r="B4012" s="33">
        <v>27</v>
      </c>
      <c r="C4012" s="33" t="s">
        <v>103</v>
      </c>
      <c r="D4012" s="33" t="s">
        <v>42</v>
      </c>
      <c r="E4012" s="33" t="s">
        <v>21560</v>
      </c>
      <c r="F4012" s="67">
        <v>42503</v>
      </c>
      <c r="G4012" s="33" t="s">
        <v>21556</v>
      </c>
      <c r="H4012" s="33" t="s">
        <v>1178</v>
      </c>
      <c r="I4012" s="33" t="s">
        <v>56</v>
      </c>
      <c r="J4012" s="33">
        <v>34753</v>
      </c>
      <c r="K4012" s="33" t="s">
        <v>1179</v>
      </c>
      <c r="L4012" s="33" t="s">
        <v>1180</v>
      </c>
      <c r="M4012" s="33" t="s">
        <v>351</v>
      </c>
      <c r="N4012" s="33" t="s">
        <v>21557</v>
      </c>
      <c r="O4012" s="33" t="s">
        <v>372</v>
      </c>
      <c r="P4012" s="33" t="s">
        <v>30089</v>
      </c>
      <c r="Q4012" s="40" t="s">
        <v>21558</v>
      </c>
      <c r="R4012" s="33" t="s">
        <v>94</v>
      </c>
      <c r="S4012" s="33" t="s">
        <v>351</v>
      </c>
      <c r="T4012" s="33" t="s">
        <v>26867</v>
      </c>
      <c r="U4012" s="33" t="s">
        <v>26570</v>
      </c>
      <c r="V4012" s="33" t="s">
        <v>26571</v>
      </c>
      <c r="Z4012" s="33" t="s">
        <v>42968</v>
      </c>
      <c r="AA4012" s="33">
        <v>3655</v>
      </c>
    </row>
    <row r="4013" spans="1:27" ht="12" customHeight="1" x14ac:dyDescent="0.15">
      <c r="A4013" s="33" t="s">
        <v>21449</v>
      </c>
      <c r="B4013" s="33">
        <v>35</v>
      </c>
      <c r="C4013" s="33" t="s">
        <v>14</v>
      </c>
      <c r="D4013" s="33" t="s">
        <v>31</v>
      </c>
      <c r="F4013" s="67">
        <v>42501</v>
      </c>
      <c r="G4013" s="33" t="s">
        <v>22106</v>
      </c>
      <c r="H4013" s="33" t="s">
        <v>3508</v>
      </c>
      <c r="I4013" s="33" t="s">
        <v>192</v>
      </c>
      <c r="J4013" s="33">
        <v>80015</v>
      </c>
      <c r="K4013" s="33" t="s">
        <v>3510</v>
      </c>
      <c r="L4013" s="33" t="s">
        <v>3511</v>
      </c>
      <c r="M4013" s="33" t="s">
        <v>21</v>
      </c>
      <c r="N4013" s="33" t="s">
        <v>21545</v>
      </c>
      <c r="O4013" s="33" t="s">
        <v>372</v>
      </c>
      <c r="P4013" s="33" t="s">
        <v>30089</v>
      </c>
      <c r="Q4013" s="40" t="s">
        <v>21546</v>
      </c>
      <c r="R4013" s="33" t="s">
        <v>94</v>
      </c>
      <c r="S4013" s="33" t="s">
        <v>22</v>
      </c>
      <c r="T4013" s="33" t="s">
        <v>26781</v>
      </c>
      <c r="U4013" s="33" t="s">
        <v>26572</v>
      </c>
      <c r="V4013" s="33" t="s">
        <v>26571</v>
      </c>
      <c r="W4013" s="33" t="s">
        <v>94</v>
      </c>
      <c r="X4013" s="33">
        <v>1530</v>
      </c>
      <c r="Z4013" s="33" t="s">
        <v>42968</v>
      </c>
      <c r="AA4013" s="33">
        <v>3649</v>
      </c>
    </row>
    <row r="4014" spans="1:27" ht="12" customHeight="1" x14ac:dyDescent="0.15">
      <c r="A4014" s="33" t="s">
        <v>21547</v>
      </c>
      <c r="B4014" s="33">
        <v>24</v>
      </c>
      <c r="C4014" s="33" t="s">
        <v>14</v>
      </c>
      <c r="D4014" s="33" t="s">
        <v>79</v>
      </c>
      <c r="E4014" s="33" t="s">
        <v>21548</v>
      </c>
      <c r="F4014" s="67">
        <v>42501</v>
      </c>
      <c r="G4014" s="33" t="s">
        <v>21442</v>
      </c>
      <c r="H4014" s="33" t="s">
        <v>4711</v>
      </c>
      <c r="I4014" s="33" t="s">
        <v>192</v>
      </c>
      <c r="J4014" s="33">
        <v>80620</v>
      </c>
      <c r="K4014" s="33" t="s">
        <v>1594</v>
      </c>
      <c r="L4014" s="33" t="s">
        <v>1595</v>
      </c>
      <c r="M4014" s="33" t="s">
        <v>21</v>
      </c>
      <c r="N4014" s="33" t="s">
        <v>21549</v>
      </c>
      <c r="O4014" s="33" t="s">
        <v>372</v>
      </c>
      <c r="P4014" s="33" t="s">
        <v>30089</v>
      </c>
      <c r="Q4014" s="40" t="s">
        <v>21550</v>
      </c>
      <c r="R4014" s="33" t="s">
        <v>94</v>
      </c>
      <c r="S4014" s="33" t="s">
        <v>22</v>
      </c>
      <c r="T4014" s="33" t="s">
        <v>26781</v>
      </c>
      <c r="U4014" s="33" t="s">
        <v>26572</v>
      </c>
      <c r="V4014" s="33" t="s">
        <v>26571</v>
      </c>
      <c r="W4014" s="33" t="s">
        <v>94</v>
      </c>
      <c r="X4014" s="33">
        <v>1534</v>
      </c>
      <c r="Z4014" s="33" t="s">
        <v>42968</v>
      </c>
      <c r="AA4014" s="33">
        <v>3650</v>
      </c>
    </row>
    <row r="4015" spans="1:27" ht="12" customHeight="1" x14ac:dyDescent="0.15">
      <c r="A4015" s="33" t="s">
        <v>21443</v>
      </c>
      <c r="B4015" s="33">
        <v>33</v>
      </c>
      <c r="C4015" s="33" t="s">
        <v>14</v>
      </c>
      <c r="D4015" s="33" t="s">
        <v>15</v>
      </c>
      <c r="E4015" s="33" t="s">
        <v>21542</v>
      </c>
      <c r="F4015" s="67">
        <v>42501</v>
      </c>
      <c r="G4015" s="33" t="s">
        <v>22105</v>
      </c>
      <c r="H4015" s="33" t="s">
        <v>143</v>
      </c>
      <c r="I4015" s="33" t="s">
        <v>39</v>
      </c>
      <c r="J4015" s="33">
        <v>92114</v>
      </c>
      <c r="K4015" s="33" t="s">
        <v>143</v>
      </c>
      <c r="L4015" s="33" t="s">
        <v>144</v>
      </c>
      <c r="M4015" s="33" t="s">
        <v>21</v>
      </c>
      <c r="N4015" s="33" t="s">
        <v>21543</v>
      </c>
      <c r="O4015" s="33" t="s">
        <v>372</v>
      </c>
      <c r="P4015" s="33" t="s">
        <v>30089</v>
      </c>
      <c r="Q4015" s="40" t="s">
        <v>21544</v>
      </c>
      <c r="R4015" s="33" t="s">
        <v>94</v>
      </c>
      <c r="S4015" s="33" t="s">
        <v>351</v>
      </c>
      <c r="T4015" s="33" t="s">
        <v>26867</v>
      </c>
      <c r="U4015" s="33" t="s">
        <v>26570</v>
      </c>
      <c r="V4015" s="33" t="s">
        <v>26571</v>
      </c>
      <c r="W4015" s="33" t="s">
        <v>512</v>
      </c>
      <c r="X4015" s="33">
        <v>1533</v>
      </c>
      <c r="Z4015" s="33" t="s">
        <v>42968</v>
      </c>
      <c r="AA4015" s="33">
        <v>3652</v>
      </c>
    </row>
    <row r="4016" spans="1:27" ht="12" customHeight="1" x14ac:dyDescent="0.15">
      <c r="A4016" s="33" t="s">
        <v>21444</v>
      </c>
      <c r="B4016" s="33">
        <v>69</v>
      </c>
      <c r="C4016" s="33" t="s">
        <v>14</v>
      </c>
      <c r="D4016" s="33" t="s">
        <v>31</v>
      </c>
      <c r="F4016" s="67">
        <v>42501</v>
      </c>
      <c r="H4016" s="33" t="s">
        <v>21445</v>
      </c>
      <c r="I4016" s="33" t="s">
        <v>367</v>
      </c>
      <c r="J4016" s="33">
        <v>74820</v>
      </c>
      <c r="K4016" s="33" t="s">
        <v>21448</v>
      </c>
      <c r="L4016" s="33" t="s">
        <v>21446</v>
      </c>
      <c r="M4016" s="33" t="s">
        <v>21</v>
      </c>
      <c r="N4016" s="33" t="s">
        <v>21551</v>
      </c>
      <c r="O4016" s="33" t="s">
        <v>372</v>
      </c>
      <c r="P4016" s="33" t="s">
        <v>30089</v>
      </c>
      <c r="Q4016" s="40" t="s">
        <v>21552</v>
      </c>
      <c r="R4016" s="33" t="s">
        <v>512</v>
      </c>
      <c r="S4016" s="33" t="s">
        <v>22</v>
      </c>
      <c r="T4016" s="33" t="s">
        <v>26781</v>
      </c>
      <c r="U4016" s="33" t="s">
        <v>26572</v>
      </c>
      <c r="V4016" s="33" t="s">
        <v>26571</v>
      </c>
      <c r="W4016" s="33" t="s">
        <v>94</v>
      </c>
      <c r="X4016" s="33">
        <v>1535</v>
      </c>
      <c r="Z4016" s="33" t="s">
        <v>42967</v>
      </c>
      <c r="AA4016" s="33">
        <v>3651</v>
      </c>
    </row>
    <row r="4017" spans="1:27" ht="12" customHeight="1" x14ac:dyDescent="0.15">
      <c r="A4017" s="33" t="s">
        <v>21438</v>
      </c>
      <c r="B4017" s="33">
        <v>28</v>
      </c>
      <c r="C4017" s="33" t="s">
        <v>14</v>
      </c>
      <c r="D4017" s="33" t="s">
        <v>79</v>
      </c>
      <c r="E4017" s="33" t="s">
        <v>21535</v>
      </c>
      <c r="F4017" s="67">
        <v>42500</v>
      </c>
      <c r="G4017" s="33" t="s">
        <v>21439</v>
      </c>
      <c r="H4017" s="33" t="s">
        <v>21440</v>
      </c>
      <c r="I4017" s="33" t="s">
        <v>40</v>
      </c>
      <c r="J4017" s="33">
        <v>2780</v>
      </c>
      <c r="K4017" s="33" t="s">
        <v>6020</v>
      </c>
      <c r="L4017" s="33" t="s">
        <v>21441</v>
      </c>
      <c r="M4017" s="33" t="s">
        <v>21</v>
      </c>
      <c r="N4017" s="33" t="s">
        <v>36708</v>
      </c>
      <c r="O4017" s="33" t="s">
        <v>372</v>
      </c>
      <c r="P4017" s="33" t="s">
        <v>30089</v>
      </c>
      <c r="Q4017" s="40" t="s">
        <v>21536</v>
      </c>
      <c r="R4017" s="33" t="s">
        <v>512</v>
      </c>
      <c r="S4017" s="33" t="s">
        <v>22</v>
      </c>
      <c r="T4017" s="33" t="s">
        <v>26774</v>
      </c>
      <c r="U4017" s="33" t="s">
        <v>26572</v>
      </c>
      <c r="V4017" s="33" t="s">
        <v>26573</v>
      </c>
      <c r="W4017" s="33" t="s">
        <v>94</v>
      </c>
      <c r="X4017" s="33">
        <v>1532</v>
      </c>
      <c r="Y4017" s="33" t="s">
        <v>42476</v>
      </c>
      <c r="Z4017" s="33" t="s">
        <v>42968</v>
      </c>
      <c r="AA4017" s="33">
        <v>3647</v>
      </c>
    </row>
    <row r="4018" spans="1:27" ht="12" customHeight="1" x14ac:dyDescent="0.15">
      <c r="A4018" s="33" t="s">
        <v>21537</v>
      </c>
      <c r="B4018" s="33">
        <v>35</v>
      </c>
      <c r="C4018" s="33" t="s">
        <v>103</v>
      </c>
      <c r="D4018" s="33" t="s">
        <v>31</v>
      </c>
      <c r="F4018" s="67">
        <v>42500</v>
      </c>
      <c r="G4018" s="33" t="s">
        <v>21538</v>
      </c>
      <c r="H4018" s="33" t="s">
        <v>21539</v>
      </c>
      <c r="I4018" s="33" t="s">
        <v>67</v>
      </c>
      <c r="J4018" s="33">
        <v>76140</v>
      </c>
      <c r="K4018" s="33" t="s">
        <v>68</v>
      </c>
      <c r="L4018" s="33" t="s">
        <v>1856</v>
      </c>
      <c r="M4018" s="33" t="s">
        <v>363</v>
      </c>
      <c r="N4018" s="33" t="s">
        <v>21540</v>
      </c>
      <c r="O4018" s="33" t="s">
        <v>372</v>
      </c>
      <c r="P4018" s="33" t="s">
        <v>30089</v>
      </c>
      <c r="Q4018" s="40" t="s">
        <v>21541</v>
      </c>
      <c r="R4018" s="33" t="s">
        <v>512</v>
      </c>
      <c r="S4018" s="33" t="s">
        <v>22</v>
      </c>
      <c r="T4018" s="33" t="s">
        <v>29868</v>
      </c>
      <c r="U4018" s="33" t="s">
        <v>26572</v>
      </c>
      <c r="V4018" s="33" t="s">
        <v>26573</v>
      </c>
      <c r="Z4018" s="33" t="s">
        <v>42968</v>
      </c>
      <c r="AA4018" s="33">
        <v>3648</v>
      </c>
    </row>
    <row r="4019" spans="1:27" ht="12" customHeight="1" x14ac:dyDescent="0.15">
      <c r="A4019" s="33" t="s">
        <v>21522</v>
      </c>
      <c r="B4019" s="33">
        <v>26</v>
      </c>
      <c r="C4019" s="33" t="s">
        <v>14</v>
      </c>
      <c r="D4019" s="33" t="s">
        <v>31</v>
      </c>
      <c r="F4019" s="67">
        <v>42499</v>
      </c>
      <c r="G4019" s="33" t="s">
        <v>22108</v>
      </c>
      <c r="H4019" s="33" t="s">
        <v>81</v>
      </c>
      <c r="I4019" s="33" t="s">
        <v>38</v>
      </c>
      <c r="J4019" s="33">
        <v>60632</v>
      </c>
      <c r="K4019" s="33" t="s">
        <v>82</v>
      </c>
      <c r="L4019" s="33" t="s">
        <v>83</v>
      </c>
      <c r="M4019" s="33" t="s">
        <v>21</v>
      </c>
      <c r="N4019" s="33" t="s">
        <v>21523</v>
      </c>
      <c r="O4019" s="33" t="s">
        <v>372</v>
      </c>
      <c r="P4019" s="33" t="s">
        <v>30089</v>
      </c>
      <c r="Q4019" s="40" t="s">
        <v>21524</v>
      </c>
      <c r="R4019" s="33" t="s">
        <v>94</v>
      </c>
      <c r="S4019" s="33" t="s">
        <v>22</v>
      </c>
      <c r="T4019" s="33" t="s">
        <v>26781</v>
      </c>
      <c r="U4019" s="33" t="s">
        <v>26570</v>
      </c>
      <c r="V4019" s="33" t="s">
        <v>26574</v>
      </c>
      <c r="W4019" s="33" t="s">
        <v>94</v>
      </c>
      <c r="X4019" s="33">
        <v>1526</v>
      </c>
      <c r="Z4019" s="33" t="s">
        <v>42966</v>
      </c>
      <c r="AA4019" s="33">
        <v>3642</v>
      </c>
    </row>
    <row r="4020" spans="1:27" ht="12" customHeight="1" x14ac:dyDescent="0.15">
      <c r="A4020" s="33" t="s">
        <v>21431</v>
      </c>
      <c r="B4020" s="33">
        <v>23</v>
      </c>
      <c r="C4020" s="33" t="s">
        <v>14</v>
      </c>
      <c r="D4020" s="33" t="s">
        <v>31</v>
      </c>
      <c r="E4020" s="33" t="s">
        <v>21519</v>
      </c>
      <c r="F4020" s="67">
        <v>42499</v>
      </c>
      <c r="G4020" s="33" t="s">
        <v>21432</v>
      </c>
      <c r="H4020" s="33" t="s">
        <v>20302</v>
      </c>
      <c r="I4020" s="33" t="s">
        <v>621</v>
      </c>
      <c r="J4020" s="33">
        <v>39532</v>
      </c>
      <c r="K4020" s="33" t="s">
        <v>3687</v>
      </c>
      <c r="L4020" s="33" t="s">
        <v>8407</v>
      </c>
      <c r="M4020" s="33" t="s">
        <v>21</v>
      </c>
      <c r="N4020" s="33" t="s">
        <v>21520</v>
      </c>
      <c r="O4020" s="33" t="s">
        <v>372</v>
      </c>
      <c r="P4020" s="33" t="s">
        <v>30089</v>
      </c>
      <c r="Q4020" s="40" t="s">
        <v>21521</v>
      </c>
      <c r="R4020" s="33" t="s">
        <v>904</v>
      </c>
      <c r="S4020" s="33" t="s">
        <v>12</v>
      </c>
      <c r="T4020" s="33" t="s">
        <v>29705</v>
      </c>
      <c r="U4020" s="33" t="s">
        <v>26572</v>
      </c>
      <c r="V4020" s="33" t="s">
        <v>26573</v>
      </c>
      <c r="W4020" s="33" t="s">
        <v>94</v>
      </c>
      <c r="X4020" s="33">
        <v>1524</v>
      </c>
      <c r="Z4020" s="33" t="s">
        <v>42968</v>
      </c>
      <c r="AA4020" s="33">
        <v>3646</v>
      </c>
    </row>
    <row r="4021" spans="1:27" ht="12" customHeight="1" x14ac:dyDescent="0.15">
      <c r="A4021" s="33" t="s">
        <v>21529</v>
      </c>
      <c r="B4021" s="33">
        <v>29</v>
      </c>
      <c r="C4021" s="33" t="s">
        <v>14</v>
      </c>
      <c r="D4021" s="33" t="s">
        <v>31</v>
      </c>
      <c r="E4021" s="33" t="s">
        <v>21530</v>
      </c>
      <c r="F4021" s="67">
        <v>42499</v>
      </c>
      <c r="G4021" s="33" t="s">
        <v>21531</v>
      </c>
      <c r="H4021" s="33" t="s">
        <v>9350</v>
      </c>
      <c r="I4021" s="33" t="s">
        <v>67</v>
      </c>
      <c r="J4021" s="33">
        <v>75961</v>
      </c>
      <c r="K4021" s="33" t="s">
        <v>9350</v>
      </c>
      <c r="L4021" s="33" t="s">
        <v>21532</v>
      </c>
      <c r="M4021" s="33" t="s">
        <v>21</v>
      </c>
      <c r="N4021" s="33" t="s">
        <v>21533</v>
      </c>
      <c r="O4021" s="33" t="s">
        <v>372</v>
      </c>
      <c r="P4021" s="33" t="s">
        <v>30089</v>
      </c>
      <c r="Q4021" s="40" t="s">
        <v>21534</v>
      </c>
      <c r="R4021" s="33" t="s">
        <v>512</v>
      </c>
      <c r="S4021" s="33" t="s">
        <v>22</v>
      </c>
      <c r="T4021" s="33" t="s">
        <v>26781</v>
      </c>
      <c r="U4021" s="33" t="s">
        <v>26572</v>
      </c>
      <c r="V4021" s="33" t="s">
        <v>19228</v>
      </c>
      <c r="W4021" s="33" t="s">
        <v>94</v>
      </c>
      <c r="X4021" s="33">
        <v>1531</v>
      </c>
      <c r="Z4021" s="33" t="s">
        <v>42968</v>
      </c>
      <c r="AA4021" s="33">
        <v>3644</v>
      </c>
    </row>
    <row r="4022" spans="1:27" ht="12" customHeight="1" x14ac:dyDescent="0.15">
      <c r="A4022" s="33" t="s">
        <v>21525</v>
      </c>
      <c r="B4022" s="33">
        <v>33</v>
      </c>
      <c r="C4022" s="33" t="s">
        <v>14</v>
      </c>
      <c r="D4022" s="33" t="s">
        <v>79</v>
      </c>
      <c r="E4022" s="33" t="s">
        <v>21526</v>
      </c>
      <c r="F4022" s="67">
        <v>42499</v>
      </c>
      <c r="G4022" s="33" t="s">
        <v>21437</v>
      </c>
      <c r="H4022" s="33" t="s">
        <v>801</v>
      </c>
      <c r="I4022" s="33" t="s">
        <v>67</v>
      </c>
      <c r="J4022" s="33">
        <v>79934</v>
      </c>
      <c r="K4022" s="33" t="s">
        <v>801</v>
      </c>
      <c r="L4022" s="33" t="s">
        <v>802</v>
      </c>
      <c r="M4022" s="33" t="s">
        <v>21</v>
      </c>
      <c r="N4022" s="33" t="s">
        <v>21527</v>
      </c>
      <c r="O4022" s="33" t="s">
        <v>372</v>
      </c>
      <c r="P4022" s="33" t="s">
        <v>30089</v>
      </c>
      <c r="Q4022" s="40" t="s">
        <v>21528</v>
      </c>
      <c r="R4022" s="33" t="s">
        <v>94</v>
      </c>
      <c r="S4022" s="33" t="s">
        <v>12</v>
      </c>
      <c r="T4022" s="33" t="s">
        <v>29425</v>
      </c>
      <c r="U4022" s="33" t="s">
        <v>26570</v>
      </c>
      <c r="V4022" s="33" t="s">
        <v>26573</v>
      </c>
      <c r="W4022" s="33" t="s">
        <v>94</v>
      </c>
      <c r="X4022" s="33">
        <v>1844</v>
      </c>
      <c r="Z4022" s="33" t="s">
        <v>42968</v>
      </c>
      <c r="AA4022" s="33">
        <v>3645</v>
      </c>
    </row>
    <row r="4023" spans="1:27" ht="12" customHeight="1" x14ac:dyDescent="0.15">
      <c r="A4023" s="33" t="s">
        <v>21510</v>
      </c>
      <c r="B4023" s="33">
        <v>59</v>
      </c>
      <c r="C4023" s="33" t="s">
        <v>14</v>
      </c>
      <c r="D4023" s="33" t="s">
        <v>24</v>
      </c>
      <c r="F4023" s="67">
        <v>42499</v>
      </c>
      <c r="G4023" s="33" t="s">
        <v>21511</v>
      </c>
      <c r="H4023" s="33" t="s">
        <v>21512</v>
      </c>
      <c r="I4023" s="33" t="s">
        <v>56</v>
      </c>
      <c r="J4023" s="33">
        <v>32134</v>
      </c>
      <c r="K4023" s="33" t="s">
        <v>392</v>
      </c>
      <c r="L4023" s="33" t="s">
        <v>6836</v>
      </c>
      <c r="M4023" s="33" t="s">
        <v>21</v>
      </c>
      <c r="N4023" s="33" t="s">
        <v>36709</v>
      </c>
      <c r="O4023" s="33" t="s">
        <v>372</v>
      </c>
      <c r="P4023" s="33" t="s">
        <v>30089</v>
      </c>
      <c r="Q4023" s="40" t="s">
        <v>21513</v>
      </c>
      <c r="R4023" s="33" t="s">
        <v>94</v>
      </c>
      <c r="S4023" s="33" t="s">
        <v>22</v>
      </c>
      <c r="T4023" s="33" t="s">
        <v>26781</v>
      </c>
      <c r="U4023" s="33" t="s">
        <v>26572</v>
      </c>
      <c r="V4023" s="33" t="s">
        <v>26573</v>
      </c>
      <c r="W4023" s="33" t="s">
        <v>94</v>
      </c>
      <c r="X4023" s="33">
        <v>1528</v>
      </c>
      <c r="Z4023" s="33" t="s">
        <v>42967</v>
      </c>
      <c r="AA4023" s="33">
        <v>3643</v>
      </c>
    </row>
    <row r="4024" spans="1:27" ht="12" customHeight="1" x14ac:dyDescent="0.15">
      <c r="A4024" s="33" t="s">
        <v>21516</v>
      </c>
      <c r="B4024" s="33">
        <v>33</v>
      </c>
      <c r="C4024" s="33" t="s">
        <v>14</v>
      </c>
      <c r="D4024" s="33" t="s">
        <v>79</v>
      </c>
      <c r="F4024" s="67">
        <v>42499</v>
      </c>
      <c r="G4024" s="33" t="s">
        <v>22107</v>
      </c>
      <c r="H4024" s="33" t="s">
        <v>3289</v>
      </c>
      <c r="I4024" s="33" t="s">
        <v>122</v>
      </c>
      <c r="J4024" s="33">
        <v>55117</v>
      </c>
      <c r="K4024" s="33" t="s">
        <v>3291</v>
      </c>
      <c r="L4024" s="33" t="s">
        <v>4522</v>
      </c>
      <c r="M4024" s="33" t="s">
        <v>21</v>
      </c>
      <c r="N4024" s="33" t="s">
        <v>21517</v>
      </c>
      <c r="O4024" s="33" t="s">
        <v>372</v>
      </c>
      <c r="P4024" s="33" t="s">
        <v>30089</v>
      </c>
      <c r="Q4024" s="40" t="s">
        <v>21518</v>
      </c>
      <c r="R4024" s="33" t="s">
        <v>23</v>
      </c>
      <c r="S4024" s="33" t="s">
        <v>22</v>
      </c>
      <c r="T4024" s="33" t="s">
        <v>26781</v>
      </c>
      <c r="U4024" s="33" t="s">
        <v>26572</v>
      </c>
      <c r="V4024" s="33" t="s">
        <v>26573</v>
      </c>
      <c r="W4024" s="33" t="s">
        <v>94</v>
      </c>
      <c r="X4024" s="33">
        <v>1520</v>
      </c>
      <c r="Z4024" s="33" t="s">
        <v>42968</v>
      </c>
      <c r="AA4024" s="33">
        <v>3641</v>
      </c>
    </row>
    <row r="4025" spans="1:27" ht="12" customHeight="1" x14ac:dyDescent="0.15">
      <c r="A4025" s="33" t="s">
        <v>21452</v>
      </c>
      <c r="B4025" s="33">
        <v>44</v>
      </c>
      <c r="C4025" s="33" t="s">
        <v>14</v>
      </c>
      <c r="D4025" s="33" t="s">
        <v>31</v>
      </c>
      <c r="F4025" s="67">
        <v>42498</v>
      </c>
      <c r="G4025" s="33" t="s">
        <v>21506</v>
      </c>
      <c r="H4025" s="33" t="s">
        <v>21507</v>
      </c>
      <c r="I4025" s="33" t="s">
        <v>367</v>
      </c>
      <c r="J4025" s="33">
        <v>74859</v>
      </c>
      <c r="K4025" s="33" t="s">
        <v>14570</v>
      </c>
      <c r="L4025" s="33" t="s">
        <v>1904</v>
      </c>
      <c r="M4025" s="33" t="s">
        <v>351</v>
      </c>
      <c r="N4025" s="33" t="s">
        <v>21508</v>
      </c>
      <c r="O4025" s="33" t="s">
        <v>372</v>
      </c>
      <c r="P4025" s="33" t="s">
        <v>30089</v>
      </c>
      <c r="Q4025" s="40" t="s">
        <v>21509</v>
      </c>
      <c r="R4025" s="33" t="s">
        <v>94</v>
      </c>
      <c r="S4025" s="33" t="s">
        <v>351</v>
      </c>
      <c r="T4025" s="33" t="s">
        <v>26867</v>
      </c>
      <c r="U4025" s="33" t="s">
        <v>26570</v>
      </c>
      <c r="V4025" s="33" t="s">
        <v>26573</v>
      </c>
      <c r="Z4025" s="33" t="s">
        <v>42967</v>
      </c>
      <c r="AA4025" s="33">
        <v>3640</v>
      </c>
    </row>
    <row r="4026" spans="1:27" ht="12" customHeight="1" x14ac:dyDescent="0.15">
      <c r="A4026" s="33" t="s">
        <v>21430</v>
      </c>
      <c r="B4026" s="33">
        <v>21</v>
      </c>
      <c r="C4026" s="33" t="s">
        <v>14</v>
      </c>
      <c r="D4026" s="33" t="s">
        <v>79</v>
      </c>
      <c r="E4026" s="33" t="s">
        <v>21493</v>
      </c>
      <c r="F4026" s="67">
        <v>42498</v>
      </c>
      <c r="G4026" s="33" t="s">
        <v>21494</v>
      </c>
      <c r="H4026" s="33" t="s">
        <v>451</v>
      </c>
      <c r="I4026" s="33" t="s">
        <v>39</v>
      </c>
      <c r="J4026" s="33">
        <v>90806</v>
      </c>
      <c r="K4026" s="33" t="s">
        <v>92</v>
      </c>
      <c r="L4026" s="33" t="s">
        <v>452</v>
      </c>
      <c r="M4026" s="33" t="s">
        <v>21</v>
      </c>
      <c r="N4026" s="33" t="s">
        <v>21495</v>
      </c>
      <c r="O4026" s="33" t="s">
        <v>372</v>
      </c>
      <c r="P4026" s="33" t="s">
        <v>30089</v>
      </c>
      <c r="Q4026" s="40" t="s">
        <v>21496</v>
      </c>
      <c r="R4026" s="33" t="s">
        <v>94</v>
      </c>
      <c r="S4026" s="33" t="s">
        <v>12</v>
      </c>
      <c r="T4026" s="33" t="s">
        <v>29425</v>
      </c>
      <c r="U4026" s="33" t="s">
        <v>26570</v>
      </c>
      <c r="V4026" s="33" t="s">
        <v>26573</v>
      </c>
      <c r="W4026" s="33" t="s">
        <v>94</v>
      </c>
      <c r="X4026" s="33">
        <v>1522</v>
      </c>
      <c r="Z4026" s="33" t="s">
        <v>42966</v>
      </c>
      <c r="AA4026" s="33">
        <v>3639</v>
      </c>
    </row>
    <row r="4027" spans="1:27" ht="12" customHeight="1" x14ac:dyDescent="0.15">
      <c r="A4027" s="33" t="s">
        <v>21433</v>
      </c>
      <c r="B4027" s="33">
        <v>29</v>
      </c>
      <c r="C4027" s="33" t="s">
        <v>14</v>
      </c>
      <c r="D4027" s="33" t="s">
        <v>24</v>
      </c>
      <c r="E4027" s="33" t="s">
        <v>21501</v>
      </c>
      <c r="F4027" s="67">
        <v>42497</v>
      </c>
      <c r="G4027" s="33" t="s">
        <v>21434</v>
      </c>
      <c r="H4027" s="33" t="s">
        <v>21435</v>
      </c>
      <c r="I4027" s="33" t="s">
        <v>4034</v>
      </c>
      <c r="J4027" s="33">
        <v>4769</v>
      </c>
      <c r="K4027" s="33" t="s">
        <v>4036</v>
      </c>
      <c r="L4027" s="33" t="s">
        <v>21436</v>
      </c>
      <c r="M4027" s="33" t="s">
        <v>4966</v>
      </c>
      <c r="N4027" s="33" t="s">
        <v>21502</v>
      </c>
      <c r="O4027" s="33" t="s">
        <v>372</v>
      </c>
      <c r="P4027" s="33" t="s">
        <v>30089</v>
      </c>
      <c r="Q4027" s="40" t="s">
        <v>21503</v>
      </c>
      <c r="R4027" s="33" t="s">
        <v>23</v>
      </c>
      <c r="S4027" s="33" t="s">
        <v>22</v>
      </c>
      <c r="T4027" s="33" t="s">
        <v>26774</v>
      </c>
      <c r="U4027" s="33" t="s">
        <v>26570</v>
      </c>
      <c r="V4027" s="33" t="s">
        <v>26573</v>
      </c>
      <c r="W4027" s="33" t="s">
        <v>94</v>
      </c>
      <c r="X4027" s="33">
        <v>1529</v>
      </c>
      <c r="Z4027" s="33" t="s">
        <v>42967</v>
      </c>
      <c r="AA4027" s="33">
        <v>3638</v>
      </c>
    </row>
    <row r="4028" spans="1:27" ht="12" customHeight="1" x14ac:dyDescent="0.15">
      <c r="A4028" s="33" t="s">
        <v>3002</v>
      </c>
      <c r="B4028" s="33">
        <v>29</v>
      </c>
      <c r="C4028" s="33" t="s">
        <v>14</v>
      </c>
      <c r="D4028" s="33" t="s">
        <v>31</v>
      </c>
      <c r="F4028" s="67">
        <v>42497</v>
      </c>
      <c r="G4028" s="33" t="s">
        <v>21504</v>
      </c>
      <c r="H4028" s="33" t="s">
        <v>15636</v>
      </c>
      <c r="I4028" s="33" t="s">
        <v>282</v>
      </c>
      <c r="J4028" s="33">
        <v>98258</v>
      </c>
      <c r="K4028" s="33" t="s">
        <v>2004</v>
      </c>
      <c r="L4028" s="33" t="s">
        <v>2006</v>
      </c>
      <c r="M4028" s="33" t="s">
        <v>21</v>
      </c>
      <c r="N4028" s="33" t="s">
        <v>36710</v>
      </c>
      <c r="O4028" s="33" t="s">
        <v>372</v>
      </c>
      <c r="P4028" s="33" t="s">
        <v>30089</v>
      </c>
      <c r="Q4028" s="40" t="s">
        <v>21505</v>
      </c>
      <c r="R4028" s="33" t="s">
        <v>512</v>
      </c>
      <c r="S4028" s="33" t="s">
        <v>22</v>
      </c>
      <c r="T4028" s="33" t="s">
        <v>26781</v>
      </c>
      <c r="U4028" s="33" t="s">
        <v>26570</v>
      </c>
      <c r="V4028" s="33" t="s">
        <v>26573</v>
      </c>
      <c r="W4028" s="33" t="s">
        <v>94</v>
      </c>
      <c r="X4028" s="33">
        <v>1523</v>
      </c>
      <c r="Z4028" s="33" t="s">
        <v>42968</v>
      </c>
      <c r="AA4028" s="33">
        <v>3636</v>
      </c>
    </row>
    <row r="4029" spans="1:27" ht="12" customHeight="1" x14ac:dyDescent="0.15">
      <c r="A4029" s="33" t="s">
        <v>21429</v>
      </c>
      <c r="B4029" s="33">
        <v>37</v>
      </c>
      <c r="C4029" s="33" t="s">
        <v>14</v>
      </c>
      <c r="D4029" s="33" t="s">
        <v>79</v>
      </c>
      <c r="E4029" s="33" t="s">
        <v>21497</v>
      </c>
      <c r="F4029" s="67">
        <v>42497</v>
      </c>
      <c r="G4029" s="33" t="s">
        <v>21498</v>
      </c>
      <c r="H4029" s="33" t="s">
        <v>15941</v>
      </c>
      <c r="I4029" s="33" t="s">
        <v>56</v>
      </c>
      <c r="J4029" s="33">
        <v>33712</v>
      </c>
      <c r="K4029" s="33" t="s">
        <v>2152</v>
      </c>
      <c r="L4029" s="33" t="s">
        <v>8931</v>
      </c>
      <c r="M4029" s="33" t="s">
        <v>21</v>
      </c>
      <c r="N4029" s="33" t="s">
        <v>21499</v>
      </c>
      <c r="O4029" s="33" t="s">
        <v>372</v>
      </c>
      <c r="P4029" s="33" t="s">
        <v>30089</v>
      </c>
      <c r="Q4029" s="40" t="s">
        <v>21500</v>
      </c>
      <c r="R4029" s="33" t="s">
        <v>94</v>
      </c>
      <c r="S4029" s="33" t="s">
        <v>22</v>
      </c>
      <c r="T4029" s="33" t="s">
        <v>26781</v>
      </c>
      <c r="U4029" s="33" t="s">
        <v>26572</v>
      </c>
      <c r="V4029" s="33" t="s">
        <v>19228</v>
      </c>
      <c r="W4029" s="33" t="s">
        <v>94</v>
      </c>
      <c r="X4029" s="33">
        <v>1525</v>
      </c>
      <c r="Z4029" s="33" t="s">
        <v>42968</v>
      </c>
      <c r="AA4029" s="33">
        <v>3637</v>
      </c>
    </row>
    <row r="4030" spans="1:27" ht="12" customHeight="1" x14ac:dyDescent="0.15">
      <c r="A4030" s="33" t="s">
        <v>21490</v>
      </c>
      <c r="B4030" s="33">
        <v>23</v>
      </c>
      <c r="C4030" s="33" t="s">
        <v>14</v>
      </c>
      <c r="D4030" s="33" t="s">
        <v>79</v>
      </c>
      <c r="F4030" s="67">
        <v>42496</v>
      </c>
      <c r="G4030" s="33" t="s">
        <v>22109</v>
      </c>
      <c r="H4030" s="33" t="s">
        <v>21427</v>
      </c>
      <c r="I4030" s="33" t="s">
        <v>139</v>
      </c>
      <c r="J4030" s="33">
        <v>26062</v>
      </c>
      <c r="K4030" s="33" t="s">
        <v>1742</v>
      </c>
      <c r="L4030" s="33" t="s">
        <v>21428</v>
      </c>
      <c r="M4030" s="33" t="s">
        <v>21</v>
      </c>
      <c r="N4030" s="33" t="s">
        <v>21491</v>
      </c>
      <c r="O4030" s="33" t="s">
        <v>372</v>
      </c>
      <c r="P4030" s="33" t="s">
        <v>30089</v>
      </c>
      <c r="Q4030" s="40" t="s">
        <v>21492</v>
      </c>
      <c r="R4030" s="33" t="s">
        <v>512</v>
      </c>
      <c r="S4030" s="33" t="s">
        <v>22</v>
      </c>
      <c r="T4030" s="33" t="s">
        <v>26781</v>
      </c>
      <c r="U4030" s="33" t="s">
        <v>26570</v>
      </c>
      <c r="V4030" s="33" t="s">
        <v>26573</v>
      </c>
      <c r="W4030" s="33" t="s">
        <v>94</v>
      </c>
      <c r="X4030" s="33">
        <v>1519</v>
      </c>
      <c r="Z4030" s="33" t="s">
        <v>42968</v>
      </c>
      <c r="AA4030" s="33">
        <v>3635</v>
      </c>
    </row>
    <row r="4031" spans="1:27" ht="12" customHeight="1" x14ac:dyDescent="0.15">
      <c r="A4031" s="33" t="s">
        <v>21488</v>
      </c>
      <c r="B4031" s="33">
        <v>38</v>
      </c>
      <c r="C4031" s="33" t="s">
        <v>14</v>
      </c>
      <c r="D4031" s="33" t="s">
        <v>79</v>
      </c>
      <c r="F4031" s="67">
        <v>42495</v>
      </c>
      <c r="G4031" s="33" t="s">
        <v>21425</v>
      </c>
      <c r="H4031" s="33" t="s">
        <v>831</v>
      </c>
      <c r="I4031" s="33" t="s">
        <v>409</v>
      </c>
      <c r="J4031" s="33">
        <v>53218</v>
      </c>
      <c r="K4031" s="33" t="s">
        <v>831</v>
      </c>
      <c r="L4031" s="33" t="s">
        <v>3545</v>
      </c>
      <c r="M4031" s="33" t="s">
        <v>21</v>
      </c>
      <c r="N4031" s="33" t="s">
        <v>36711</v>
      </c>
      <c r="O4031" s="33" t="s">
        <v>372</v>
      </c>
      <c r="P4031" s="33" t="s">
        <v>30089</v>
      </c>
      <c r="Q4031" s="40" t="s">
        <v>21489</v>
      </c>
      <c r="R4031" s="33" t="s">
        <v>94</v>
      </c>
      <c r="S4031" s="33" t="s">
        <v>22</v>
      </c>
      <c r="T4031" s="33" t="s">
        <v>26781</v>
      </c>
      <c r="U4031" s="33" t="s">
        <v>26572</v>
      </c>
      <c r="V4031" s="33" t="s">
        <v>26574</v>
      </c>
      <c r="W4031" s="33" t="s">
        <v>512</v>
      </c>
      <c r="X4031" s="33">
        <v>1517</v>
      </c>
      <c r="Z4031" s="33" t="s">
        <v>42966</v>
      </c>
      <c r="AA4031" s="33">
        <v>3632</v>
      </c>
    </row>
    <row r="4032" spans="1:27" ht="12" customHeight="1" x14ac:dyDescent="0.15">
      <c r="A4032" s="33" t="s">
        <v>21426</v>
      </c>
      <c r="B4032" s="33">
        <v>36</v>
      </c>
      <c r="C4032" s="33" t="s">
        <v>14</v>
      </c>
      <c r="D4032" s="33" t="s">
        <v>31</v>
      </c>
      <c r="E4032" s="33" t="s">
        <v>21484</v>
      </c>
      <c r="F4032" s="67">
        <v>42495</v>
      </c>
      <c r="G4032" s="33" t="s">
        <v>21485</v>
      </c>
      <c r="H4032" s="33" t="s">
        <v>5840</v>
      </c>
      <c r="I4032" s="33" t="s">
        <v>19</v>
      </c>
      <c r="J4032" s="33">
        <v>70053</v>
      </c>
      <c r="K4032" s="33" t="s">
        <v>1659</v>
      </c>
      <c r="L4032" s="33" t="s">
        <v>5843</v>
      </c>
      <c r="M4032" s="33" t="s">
        <v>21</v>
      </c>
      <c r="N4032" s="33" t="s">
        <v>21486</v>
      </c>
      <c r="O4032" s="33" t="s">
        <v>372</v>
      </c>
      <c r="P4032" s="33" t="s">
        <v>30089</v>
      </c>
      <c r="Q4032" s="40" t="s">
        <v>21487</v>
      </c>
      <c r="R4032" s="33" t="s">
        <v>94</v>
      </c>
      <c r="S4032" s="33" t="s">
        <v>351</v>
      </c>
      <c r="T4032" s="33" t="s">
        <v>26867</v>
      </c>
      <c r="U4032" s="33" t="s">
        <v>26572</v>
      </c>
      <c r="V4032" s="33" t="s">
        <v>26571</v>
      </c>
      <c r="W4032" s="33" t="s">
        <v>94</v>
      </c>
      <c r="X4032" s="33">
        <v>1516</v>
      </c>
      <c r="Z4032" s="33" t="s">
        <v>42968</v>
      </c>
      <c r="AA4032" s="33">
        <v>3634</v>
      </c>
    </row>
    <row r="4033" spans="1:27" ht="12" customHeight="1" x14ac:dyDescent="0.15">
      <c r="A4033" s="33" t="s">
        <v>21424</v>
      </c>
      <c r="B4033" s="33">
        <v>26</v>
      </c>
      <c r="C4033" s="33" t="s">
        <v>103</v>
      </c>
      <c r="D4033" s="33" t="s">
        <v>79</v>
      </c>
      <c r="E4033" s="33" t="s">
        <v>21481</v>
      </c>
      <c r="F4033" s="67">
        <v>42495</v>
      </c>
      <c r="G4033" s="33" t="s">
        <v>22110</v>
      </c>
      <c r="H4033" s="33" t="s">
        <v>997</v>
      </c>
      <c r="I4033" s="33" t="s">
        <v>56</v>
      </c>
      <c r="J4033" s="33">
        <v>32808</v>
      </c>
      <c r="K4033" s="33" t="s">
        <v>998</v>
      </c>
      <c r="L4033" s="33" t="s">
        <v>4077</v>
      </c>
      <c r="M4033" s="33" t="s">
        <v>21</v>
      </c>
      <c r="N4033" s="33" t="s">
        <v>21482</v>
      </c>
      <c r="O4033" s="33" t="s">
        <v>372</v>
      </c>
      <c r="P4033" s="33" t="s">
        <v>30089</v>
      </c>
      <c r="Q4033" s="40" t="s">
        <v>21483</v>
      </c>
      <c r="R4033" s="33" t="s">
        <v>94</v>
      </c>
      <c r="S4033" s="33" t="s">
        <v>22</v>
      </c>
      <c r="T4033" s="33" t="s">
        <v>26781</v>
      </c>
      <c r="U4033" s="33" t="s">
        <v>26572</v>
      </c>
      <c r="V4033" s="33" t="s">
        <v>26573</v>
      </c>
      <c r="W4033" s="33" t="s">
        <v>94</v>
      </c>
      <c r="X4033" s="33">
        <v>1518</v>
      </c>
      <c r="Z4033" s="33" t="s">
        <v>42968</v>
      </c>
      <c r="AA4033" s="33">
        <v>3633</v>
      </c>
    </row>
    <row r="4034" spans="1:27" ht="12" customHeight="1" x14ac:dyDescent="0.15">
      <c r="A4034" s="33" t="s">
        <v>21420</v>
      </c>
      <c r="B4034" s="33">
        <v>52</v>
      </c>
      <c r="C4034" s="33" t="s">
        <v>14</v>
      </c>
      <c r="D4034" s="33" t="s">
        <v>31</v>
      </c>
      <c r="F4034" s="67">
        <v>42494</v>
      </c>
      <c r="G4034" s="33" t="s">
        <v>22111</v>
      </c>
      <c r="H4034" s="33" t="s">
        <v>1033</v>
      </c>
      <c r="I4034" s="33" t="s">
        <v>376</v>
      </c>
      <c r="J4034" s="33">
        <v>19151</v>
      </c>
      <c r="K4034" s="33" t="s">
        <v>1033</v>
      </c>
      <c r="L4034" s="33" t="s">
        <v>1034</v>
      </c>
      <c r="M4034" s="33" t="s">
        <v>21</v>
      </c>
      <c r="N4034" s="33" t="s">
        <v>21479</v>
      </c>
      <c r="O4034" s="33" t="s">
        <v>372</v>
      </c>
      <c r="P4034" s="33" t="s">
        <v>30089</v>
      </c>
      <c r="Q4034" s="40" t="s">
        <v>21480</v>
      </c>
      <c r="R4034" s="33" t="s">
        <v>94</v>
      </c>
      <c r="S4034" s="33" t="s">
        <v>351</v>
      </c>
      <c r="T4034" s="33" t="s">
        <v>26867</v>
      </c>
      <c r="U4034" s="33" t="s">
        <v>26570</v>
      </c>
      <c r="V4034" s="33" t="s">
        <v>26573</v>
      </c>
      <c r="W4034" s="33" t="s">
        <v>94</v>
      </c>
      <c r="X4034" s="33">
        <v>1509</v>
      </c>
      <c r="Z4034" s="33" t="s">
        <v>42966</v>
      </c>
      <c r="AA4034" s="33">
        <v>3631</v>
      </c>
    </row>
    <row r="4035" spans="1:27" ht="12" customHeight="1" x14ac:dyDescent="0.15">
      <c r="A4035" s="33" t="s">
        <v>21470</v>
      </c>
      <c r="B4035" s="33">
        <v>39</v>
      </c>
      <c r="C4035" s="33" t="s">
        <v>14</v>
      </c>
      <c r="D4035" s="33" t="s">
        <v>31</v>
      </c>
      <c r="F4035" s="67">
        <v>42494</v>
      </c>
      <c r="G4035" s="33" t="s">
        <v>21471</v>
      </c>
      <c r="H4035" s="33" t="s">
        <v>7280</v>
      </c>
      <c r="I4035" s="33" t="s">
        <v>282</v>
      </c>
      <c r="J4035" s="33">
        <v>98166</v>
      </c>
      <c r="K4035" s="33" t="s">
        <v>1133</v>
      </c>
      <c r="L4035" s="33" t="s">
        <v>7282</v>
      </c>
      <c r="M4035" s="33" t="s">
        <v>21</v>
      </c>
      <c r="N4035" s="33" t="s">
        <v>21472</v>
      </c>
      <c r="O4035" s="33" t="s">
        <v>372</v>
      </c>
      <c r="P4035" s="33" t="s">
        <v>30089</v>
      </c>
      <c r="Q4035" s="40" t="s">
        <v>21473</v>
      </c>
      <c r="R4035" s="33" t="s">
        <v>94</v>
      </c>
      <c r="S4035" s="33" t="s">
        <v>22</v>
      </c>
      <c r="T4035" s="33" t="s">
        <v>26781</v>
      </c>
      <c r="U4035" s="33" t="s">
        <v>26572</v>
      </c>
      <c r="V4035" s="33" t="s">
        <v>26571</v>
      </c>
      <c r="W4035" s="33" t="s">
        <v>94</v>
      </c>
      <c r="X4035" s="33">
        <v>1511</v>
      </c>
      <c r="Z4035" s="33" t="s">
        <v>42968</v>
      </c>
      <c r="AA4035" s="33">
        <v>3628</v>
      </c>
    </row>
    <row r="4036" spans="1:27" ht="12" customHeight="1" x14ac:dyDescent="0.15">
      <c r="A4036" s="33" t="s">
        <v>21421</v>
      </c>
      <c r="B4036" s="33">
        <v>18</v>
      </c>
      <c r="C4036" s="33" t="s">
        <v>14</v>
      </c>
      <c r="D4036" s="33" t="s">
        <v>24</v>
      </c>
      <c r="F4036" s="67">
        <v>42494</v>
      </c>
      <c r="G4036" s="33" t="s">
        <v>21422</v>
      </c>
      <c r="H4036" s="33" t="s">
        <v>16293</v>
      </c>
      <c r="I4036" s="33" t="s">
        <v>39</v>
      </c>
      <c r="J4036" s="33">
        <v>92592</v>
      </c>
      <c r="K4036" s="33" t="s">
        <v>728</v>
      </c>
      <c r="L4036" s="33" t="s">
        <v>21423</v>
      </c>
      <c r="M4036" s="33" t="s">
        <v>21</v>
      </c>
      <c r="N4036" s="33" t="s">
        <v>21468</v>
      </c>
      <c r="O4036" s="33" t="s">
        <v>372</v>
      </c>
      <c r="P4036" s="33" t="s">
        <v>30089</v>
      </c>
      <c r="Q4036" s="40" t="s">
        <v>21469</v>
      </c>
      <c r="R4036" s="33" t="s">
        <v>23</v>
      </c>
      <c r="S4036" s="33" t="s">
        <v>22</v>
      </c>
      <c r="T4036" s="33" t="s">
        <v>26774</v>
      </c>
      <c r="U4036" s="33" t="s">
        <v>26570</v>
      </c>
      <c r="V4036" s="33" t="s">
        <v>26573</v>
      </c>
      <c r="W4036" s="33" t="s">
        <v>94</v>
      </c>
      <c r="X4036" s="33">
        <v>1512</v>
      </c>
      <c r="Z4036" s="33" t="s">
        <v>42968</v>
      </c>
      <c r="AA4036" s="33">
        <v>3629</v>
      </c>
    </row>
    <row r="4037" spans="1:27" ht="12" customHeight="1" x14ac:dyDescent="0.15">
      <c r="A4037" s="33" t="s">
        <v>21474</v>
      </c>
      <c r="B4037" s="33">
        <v>40</v>
      </c>
      <c r="C4037" s="33" t="s">
        <v>14</v>
      </c>
      <c r="D4037" s="33" t="s">
        <v>31</v>
      </c>
      <c r="F4037" s="67">
        <v>42494</v>
      </c>
      <c r="G4037" s="33" t="s">
        <v>21475</v>
      </c>
      <c r="H4037" s="33" t="s">
        <v>12068</v>
      </c>
      <c r="I4037" s="33" t="s">
        <v>402</v>
      </c>
      <c r="J4037" s="33">
        <v>65622</v>
      </c>
      <c r="K4037" s="33" t="s">
        <v>266</v>
      </c>
      <c r="L4037" s="33" t="s">
        <v>21476</v>
      </c>
      <c r="M4037" s="33" t="s">
        <v>21</v>
      </c>
      <c r="N4037" s="33" t="s">
        <v>21477</v>
      </c>
      <c r="O4037" s="33" t="s">
        <v>372</v>
      </c>
      <c r="P4037" s="33" t="s">
        <v>30089</v>
      </c>
      <c r="Q4037" s="40" t="s">
        <v>21478</v>
      </c>
      <c r="R4037" s="33" t="s">
        <v>23</v>
      </c>
      <c r="S4037" s="33" t="s">
        <v>29</v>
      </c>
      <c r="T4037" s="33" t="s">
        <v>26575</v>
      </c>
      <c r="U4037" s="33" t="s">
        <v>26572</v>
      </c>
      <c r="V4037" s="33" t="s">
        <v>26573</v>
      </c>
      <c r="W4037" s="33" t="s">
        <v>94</v>
      </c>
      <c r="X4037" s="33">
        <v>1513</v>
      </c>
      <c r="Z4037" s="33" t="s">
        <v>42967</v>
      </c>
      <c r="AA4037" s="33">
        <v>3630</v>
      </c>
    </row>
    <row r="4038" spans="1:27" ht="12" customHeight="1" x14ac:dyDescent="0.15">
      <c r="A4038" s="33" t="s">
        <v>21418</v>
      </c>
      <c r="B4038" s="33">
        <v>59</v>
      </c>
      <c r="C4038" s="33" t="s">
        <v>14</v>
      </c>
      <c r="D4038" s="33" t="s">
        <v>31</v>
      </c>
      <c r="F4038" s="67">
        <v>42493</v>
      </c>
      <c r="G4038" s="33" t="s">
        <v>21419</v>
      </c>
      <c r="H4038" s="33" t="s">
        <v>1632</v>
      </c>
      <c r="I4038" s="33" t="s">
        <v>39</v>
      </c>
      <c r="J4038" s="33">
        <v>93292</v>
      </c>
      <c r="K4038" s="33" t="s">
        <v>1088</v>
      </c>
      <c r="L4038" s="33" t="s">
        <v>1634</v>
      </c>
      <c r="M4038" s="33" t="s">
        <v>21</v>
      </c>
      <c r="N4038" s="33" t="s">
        <v>36712</v>
      </c>
      <c r="O4038" s="33" t="s">
        <v>372</v>
      </c>
      <c r="P4038" s="33" t="s">
        <v>30089</v>
      </c>
      <c r="Q4038" s="40" t="s">
        <v>21467</v>
      </c>
      <c r="R4038" s="33" t="s">
        <v>512</v>
      </c>
      <c r="S4038" s="33" t="s">
        <v>22</v>
      </c>
      <c r="T4038" s="33" t="s">
        <v>26774</v>
      </c>
      <c r="U4038" s="33" t="s">
        <v>26570</v>
      </c>
      <c r="V4038" s="33" t="s">
        <v>26573</v>
      </c>
      <c r="W4038" s="33" t="s">
        <v>94</v>
      </c>
      <c r="X4038" s="33">
        <v>1510</v>
      </c>
      <c r="Z4038" s="33" t="s">
        <v>42968</v>
      </c>
      <c r="AA4038" s="33">
        <v>3627</v>
      </c>
    </row>
    <row r="4039" spans="1:27" ht="12" customHeight="1" x14ac:dyDescent="0.15">
      <c r="A4039" s="33" t="s">
        <v>21462</v>
      </c>
      <c r="B4039" s="33">
        <v>52</v>
      </c>
      <c r="C4039" s="33" t="s">
        <v>14</v>
      </c>
      <c r="D4039" s="33" t="s">
        <v>79</v>
      </c>
      <c r="E4039" s="33" t="s">
        <v>21463</v>
      </c>
      <c r="F4039" s="67">
        <v>42492</v>
      </c>
      <c r="G4039" s="33" t="s">
        <v>21464</v>
      </c>
      <c r="H4039" s="33" t="s">
        <v>18494</v>
      </c>
      <c r="I4039" s="33" t="s">
        <v>26</v>
      </c>
      <c r="J4039" s="33">
        <v>29687</v>
      </c>
      <c r="K4039" s="33" t="s">
        <v>27</v>
      </c>
      <c r="L4039" s="33" t="s">
        <v>28</v>
      </c>
      <c r="M4039" s="33" t="s">
        <v>21</v>
      </c>
      <c r="N4039" s="33" t="s">
        <v>21465</v>
      </c>
      <c r="O4039" s="33" t="s">
        <v>372</v>
      </c>
      <c r="P4039" s="33" t="s">
        <v>30089</v>
      </c>
      <c r="Q4039" s="40" t="s">
        <v>21466</v>
      </c>
      <c r="R4039" s="33" t="s">
        <v>94</v>
      </c>
      <c r="S4039" s="33" t="s">
        <v>22</v>
      </c>
      <c r="T4039" s="33" t="s">
        <v>26781</v>
      </c>
      <c r="U4039" s="33" t="s">
        <v>26572</v>
      </c>
      <c r="V4039" s="33" t="s">
        <v>26573</v>
      </c>
      <c r="W4039" s="33" t="s">
        <v>94</v>
      </c>
      <c r="X4039" s="33">
        <v>1842</v>
      </c>
      <c r="Z4039" s="33" t="s">
        <v>42968</v>
      </c>
      <c r="AA4039" s="33">
        <v>3626</v>
      </c>
    </row>
    <row r="4040" spans="1:27" ht="12" customHeight="1" x14ac:dyDescent="0.15">
      <c r="A4040" s="33" t="s">
        <v>21453</v>
      </c>
      <c r="B4040" s="33">
        <v>26</v>
      </c>
      <c r="C4040" s="33" t="s">
        <v>14</v>
      </c>
      <c r="D4040" s="33" t="s">
        <v>79</v>
      </c>
      <c r="E4040" s="33" t="s">
        <v>21457</v>
      </c>
      <c r="F4040" s="67">
        <v>42491</v>
      </c>
      <c r="G4040" s="33" t="s">
        <v>21458</v>
      </c>
      <c r="H4040" s="33" t="s">
        <v>233</v>
      </c>
      <c r="I4040" s="33" t="s">
        <v>26</v>
      </c>
      <c r="J4040" s="33">
        <v>29621</v>
      </c>
      <c r="K4040" s="33" t="s">
        <v>233</v>
      </c>
      <c r="L4040" s="33" t="s">
        <v>11356</v>
      </c>
      <c r="M4040" s="33" t="s">
        <v>363</v>
      </c>
      <c r="N4040" s="33" t="s">
        <v>22078</v>
      </c>
      <c r="O4040" s="33" t="s">
        <v>372</v>
      </c>
      <c r="P4040" s="33" t="s">
        <v>30089</v>
      </c>
      <c r="Q4040" s="40" t="s">
        <v>21454</v>
      </c>
      <c r="R4040" s="33" t="s">
        <v>904</v>
      </c>
      <c r="S4040" s="33" t="s">
        <v>29</v>
      </c>
      <c r="T4040" s="33" t="s">
        <v>26575</v>
      </c>
      <c r="U4040" s="33" t="s">
        <v>26572</v>
      </c>
      <c r="V4040" s="33" t="s">
        <v>26573</v>
      </c>
      <c r="Z4040" s="33" t="s">
        <v>42968</v>
      </c>
      <c r="AA4040" s="33">
        <v>3625</v>
      </c>
    </row>
    <row r="4041" spans="1:27" ht="12" customHeight="1" x14ac:dyDescent="0.15">
      <c r="A4041" s="33" t="s">
        <v>21416</v>
      </c>
      <c r="B4041" s="33">
        <v>28</v>
      </c>
      <c r="C4041" s="33" t="s">
        <v>14</v>
      </c>
      <c r="D4041" s="33" t="s">
        <v>31</v>
      </c>
      <c r="F4041" s="67">
        <v>42491</v>
      </c>
      <c r="G4041" s="33" t="s">
        <v>22113</v>
      </c>
      <c r="H4041" s="33" t="s">
        <v>21417</v>
      </c>
      <c r="I4041" s="33" t="s">
        <v>298</v>
      </c>
      <c r="J4041" s="33">
        <v>38001</v>
      </c>
      <c r="K4041" s="33" t="s">
        <v>21447</v>
      </c>
      <c r="L4041" s="33" t="s">
        <v>21459</v>
      </c>
      <c r="M4041" s="33" t="s">
        <v>21</v>
      </c>
      <c r="N4041" s="33" t="s">
        <v>21460</v>
      </c>
      <c r="O4041" s="33" t="s">
        <v>372</v>
      </c>
      <c r="P4041" s="33" t="s">
        <v>30089</v>
      </c>
      <c r="Q4041" s="40" t="s">
        <v>21461</v>
      </c>
      <c r="R4041" s="33" t="s">
        <v>512</v>
      </c>
      <c r="S4041" s="33" t="s">
        <v>22</v>
      </c>
      <c r="T4041" s="33" t="s">
        <v>26781</v>
      </c>
      <c r="U4041" s="33" t="s">
        <v>26570</v>
      </c>
      <c r="V4041" s="33" t="s">
        <v>26573</v>
      </c>
      <c r="W4041" s="33" t="s">
        <v>94</v>
      </c>
      <c r="X4041" s="33">
        <v>1503</v>
      </c>
      <c r="Z4041" s="33" t="s">
        <v>42967</v>
      </c>
      <c r="AA4041" s="33">
        <v>3623</v>
      </c>
    </row>
    <row r="4042" spans="1:27" ht="12" customHeight="1" x14ac:dyDescent="0.15">
      <c r="A4042" s="33" t="s">
        <v>21415</v>
      </c>
      <c r="B4042" s="33">
        <v>25</v>
      </c>
      <c r="C4042" s="33" t="s">
        <v>14</v>
      </c>
      <c r="D4042" s="33" t="s">
        <v>79</v>
      </c>
      <c r="F4042" s="67">
        <v>42491</v>
      </c>
      <c r="G4042" s="33" t="s">
        <v>22112</v>
      </c>
      <c r="H4042" s="33" t="s">
        <v>997</v>
      </c>
      <c r="I4042" s="33" t="s">
        <v>56</v>
      </c>
      <c r="J4042" s="33">
        <v>32805</v>
      </c>
      <c r="K4042" s="33" t="s">
        <v>998</v>
      </c>
      <c r="L4042" s="33" t="s">
        <v>999</v>
      </c>
      <c r="M4042" s="33" t="s">
        <v>21</v>
      </c>
      <c r="N4042" s="33" t="s">
        <v>21455</v>
      </c>
      <c r="O4042" s="33" t="s">
        <v>372</v>
      </c>
      <c r="P4042" s="33" t="s">
        <v>30089</v>
      </c>
      <c r="Q4042" s="40" t="s">
        <v>21456</v>
      </c>
      <c r="R4042" s="33" t="s">
        <v>94</v>
      </c>
      <c r="S4042" s="33" t="s">
        <v>12</v>
      </c>
      <c r="T4042" s="33" t="s">
        <v>29425</v>
      </c>
      <c r="U4042" s="33" t="s">
        <v>26572</v>
      </c>
      <c r="V4042" s="33" t="s">
        <v>26573</v>
      </c>
      <c r="W4042" s="33" t="s">
        <v>94</v>
      </c>
      <c r="X4042" s="33">
        <v>1502</v>
      </c>
      <c r="Z4042" s="33" t="s">
        <v>42966</v>
      </c>
      <c r="AA4042" s="33">
        <v>3624</v>
      </c>
    </row>
    <row r="4043" spans="1:27" ht="12" customHeight="1" x14ac:dyDescent="0.15">
      <c r="A4043" s="33" t="s">
        <v>21245</v>
      </c>
      <c r="B4043" s="33">
        <v>55</v>
      </c>
      <c r="C4043" s="33" t="s">
        <v>14</v>
      </c>
      <c r="D4043" s="33" t="s">
        <v>31</v>
      </c>
      <c r="F4043" s="67">
        <v>42490</v>
      </c>
      <c r="G4043" s="33" t="s">
        <v>21246</v>
      </c>
      <c r="H4043" s="33" t="s">
        <v>21247</v>
      </c>
      <c r="I4043" s="33" t="s">
        <v>112</v>
      </c>
      <c r="J4043" s="33">
        <v>85143</v>
      </c>
      <c r="K4043" s="33" t="s">
        <v>2223</v>
      </c>
      <c r="L4043" s="33" t="s">
        <v>21248</v>
      </c>
      <c r="M4043" s="33" t="s">
        <v>21</v>
      </c>
      <c r="N4043" s="33" t="s">
        <v>21249</v>
      </c>
      <c r="O4043" s="33" t="s">
        <v>372</v>
      </c>
      <c r="P4043" s="33" t="s">
        <v>30089</v>
      </c>
      <c r="Q4043" s="40" t="s">
        <v>21250</v>
      </c>
      <c r="R4043" s="33" t="s">
        <v>94</v>
      </c>
      <c r="S4043" s="33" t="s">
        <v>351</v>
      </c>
      <c r="T4043" s="33" t="s">
        <v>26867</v>
      </c>
      <c r="U4043" s="33" t="s">
        <v>26572</v>
      </c>
      <c r="V4043" s="33" t="s">
        <v>26571</v>
      </c>
      <c r="W4043" s="33" t="s">
        <v>94</v>
      </c>
      <c r="X4043" s="33">
        <v>1507</v>
      </c>
      <c r="Z4043" s="33" t="s">
        <v>42968</v>
      </c>
      <c r="AA4043" s="33">
        <v>3622</v>
      </c>
    </row>
    <row r="4044" spans="1:27" ht="12" customHeight="1" x14ac:dyDescent="0.15">
      <c r="A4044" s="33" t="s">
        <v>21368</v>
      </c>
      <c r="B4044" s="33">
        <v>28</v>
      </c>
      <c r="C4044" s="33" t="s">
        <v>14</v>
      </c>
      <c r="D4044" s="33" t="s">
        <v>42</v>
      </c>
      <c r="F4044" s="67">
        <v>42490</v>
      </c>
      <c r="G4044" s="33" t="s">
        <v>21266</v>
      </c>
      <c r="H4044" s="33" t="s">
        <v>92</v>
      </c>
      <c r="I4044" s="33" t="s">
        <v>39</v>
      </c>
      <c r="J4044" s="33">
        <v>91343</v>
      </c>
      <c r="K4044" s="33" t="s">
        <v>92</v>
      </c>
      <c r="L4044" s="33" t="s">
        <v>93</v>
      </c>
      <c r="M4044" s="33" t="s">
        <v>21</v>
      </c>
      <c r="N4044" s="33" t="s">
        <v>21265</v>
      </c>
      <c r="O4044" s="33" t="s">
        <v>372</v>
      </c>
      <c r="P4044" s="33" t="s">
        <v>30089</v>
      </c>
      <c r="Q4044" s="40" t="s">
        <v>21267</v>
      </c>
      <c r="R4044" s="33" t="s">
        <v>94</v>
      </c>
      <c r="S4044" s="33" t="s">
        <v>22</v>
      </c>
      <c r="T4044" s="33" t="s">
        <v>26774</v>
      </c>
      <c r="U4044" s="33" t="s">
        <v>26570</v>
      </c>
      <c r="V4044" s="33" t="s">
        <v>26573</v>
      </c>
      <c r="W4044" s="33" t="s">
        <v>512</v>
      </c>
      <c r="X4044" s="33">
        <v>1508</v>
      </c>
      <c r="Z4044" s="33" t="s">
        <v>42966</v>
      </c>
      <c r="AA4044" s="33">
        <v>3621</v>
      </c>
    </row>
    <row r="4045" spans="1:27" ht="12" customHeight="1" x14ac:dyDescent="0.15">
      <c r="A4045" s="33" t="s">
        <v>21255</v>
      </c>
      <c r="B4045" s="33">
        <v>33</v>
      </c>
      <c r="C4045" s="33" t="s">
        <v>14</v>
      </c>
      <c r="D4045" s="33" t="s">
        <v>31</v>
      </c>
      <c r="F4045" s="67">
        <v>42490</v>
      </c>
      <c r="G4045" s="33" t="s">
        <v>21256</v>
      </c>
      <c r="H4045" s="33" t="s">
        <v>546</v>
      </c>
      <c r="I4045" s="33" t="s">
        <v>221</v>
      </c>
      <c r="J4045" s="33">
        <v>84660</v>
      </c>
      <c r="K4045" s="33" t="s">
        <v>547</v>
      </c>
      <c r="L4045" s="33" t="s">
        <v>21257</v>
      </c>
      <c r="M4045" s="33" t="s">
        <v>21</v>
      </c>
      <c r="N4045" s="33" t="s">
        <v>21258</v>
      </c>
      <c r="O4045" s="33" t="s">
        <v>372</v>
      </c>
      <c r="P4045" s="33" t="s">
        <v>30089</v>
      </c>
      <c r="Q4045" s="40" t="s">
        <v>21259</v>
      </c>
      <c r="R4045" s="33" t="s">
        <v>94</v>
      </c>
      <c r="S4045" s="33" t="s">
        <v>22</v>
      </c>
      <c r="T4045" s="33" t="s">
        <v>26774</v>
      </c>
      <c r="U4045" s="33" t="s">
        <v>26570</v>
      </c>
      <c r="V4045" s="33" t="s">
        <v>26574</v>
      </c>
      <c r="W4045" s="33" t="s">
        <v>94</v>
      </c>
      <c r="X4045" s="33">
        <v>1505</v>
      </c>
      <c r="Z4045" s="33" t="s">
        <v>42968</v>
      </c>
      <c r="AA4045" s="33">
        <v>3620</v>
      </c>
    </row>
    <row r="4046" spans="1:27" ht="12" customHeight="1" x14ac:dyDescent="0.15">
      <c r="A4046" s="33" t="s">
        <v>21327</v>
      </c>
      <c r="B4046" s="33">
        <v>42</v>
      </c>
      <c r="C4046" s="33" t="s">
        <v>14</v>
      </c>
      <c r="D4046" s="33" t="s">
        <v>31</v>
      </c>
      <c r="F4046" s="67">
        <v>42490</v>
      </c>
      <c r="G4046" s="33" t="s">
        <v>21262</v>
      </c>
      <c r="H4046" s="33" t="s">
        <v>21263</v>
      </c>
      <c r="I4046" s="33" t="s">
        <v>409</v>
      </c>
      <c r="J4046" s="33">
        <v>54403</v>
      </c>
      <c r="K4046" s="33" t="s">
        <v>21328</v>
      </c>
      <c r="L4046" s="33" t="s">
        <v>21261</v>
      </c>
      <c r="M4046" s="33" t="s">
        <v>21</v>
      </c>
      <c r="N4046" s="33" t="s">
        <v>21260</v>
      </c>
      <c r="O4046" s="33" t="s">
        <v>372</v>
      </c>
      <c r="P4046" s="33" t="s">
        <v>30089</v>
      </c>
      <c r="Q4046" s="40" t="s">
        <v>21264</v>
      </c>
      <c r="R4046" s="33" t="s">
        <v>94</v>
      </c>
      <c r="S4046" s="33" t="s">
        <v>22</v>
      </c>
      <c r="T4046" s="33" t="s">
        <v>26774</v>
      </c>
      <c r="U4046" s="33" t="s">
        <v>26570</v>
      </c>
      <c r="V4046" s="33" t="s">
        <v>26573</v>
      </c>
      <c r="W4046" s="33" t="s">
        <v>94</v>
      </c>
      <c r="X4046" s="33">
        <v>1504</v>
      </c>
      <c r="Z4046" s="33" t="s">
        <v>42968</v>
      </c>
      <c r="AA4046" s="33">
        <v>3619</v>
      </c>
    </row>
    <row r="4047" spans="1:27" ht="12" customHeight="1" x14ac:dyDescent="0.15">
      <c r="A4047" s="33" t="s">
        <v>21251</v>
      </c>
      <c r="B4047" s="33">
        <v>48</v>
      </c>
      <c r="C4047" s="33" t="s">
        <v>14</v>
      </c>
      <c r="D4047" s="33" t="s">
        <v>31</v>
      </c>
      <c r="E4047" s="33" t="s">
        <v>21362</v>
      </c>
      <c r="F4047" s="67">
        <v>42489</v>
      </c>
      <c r="G4047" s="33" t="s">
        <v>21253</v>
      </c>
      <c r="H4047" s="33" t="s">
        <v>404</v>
      </c>
      <c r="I4047" s="33" t="s">
        <v>402</v>
      </c>
      <c r="J4047" s="33">
        <v>63755</v>
      </c>
      <c r="K4047" s="33" t="s">
        <v>21329</v>
      </c>
      <c r="L4047" s="33" t="s">
        <v>8998</v>
      </c>
      <c r="M4047" s="33" t="s">
        <v>21</v>
      </c>
      <c r="N4047" s="33" t="s">
        <v>21252</v>
      </c>
      <c r="O4047" s="33" t="s">
        <v>372</v>
      </c>
      <c r="P4047" s="33" t="s">
        <v>30089</v>
      </c>
      <c r="Q4047" s="40" t="s">
        <v>21254</v>
      </c>
      <c r="R4047" s="33" t="s">
        <v>94</v>
      </c>
      <c r="S4047" s="33" t="s">
        <v>351</v>
      </c>
      <c r="T4047" s="33" t="s">
        <v>26867</v>
      </c>
      <c r="U4047" s="33" t="s">
        <v>26572</v>
      </c>
      <c r="V4047" s="33" t="s">
        <v>26571</v>
      </c>
      <c r="W4047" s="33" t="s">
        <v>94</v>
      </c>
      <c r="X4047" s="33">
        <v>1506</v>
      </c>
      <c r="Z4047" s="33" t="s">
        <v>42967</v>
      </c>
      <c r="AA4047" s="33">
        <v>3618</v>
      </c>
    </row>
    <row r="4048" spans="1:27" ht="12" customHeight="1" x14ac:dyDescent="0.15">
      <c r="A4048" s="33" t="s">
        <v>21269</v>
      </c>
      <c r="B4048" s="33">
        <v>53</v>
      </c>
      <c r="C4048" s="33" t="s">
        <v>14</v>
      </c>
      <c r="D4048" s="33" t="s">
        <v>31</v>
      </c>
      <c r="E4048" s="33" t="s">
        <v>21361</v>
      </c>
      <c r="F4048" s="67">
        <v>42488</v>
      </c>
      <c r="G4048" s="33" t="s">
        <v>21110</v>
      </c>
      <c r="H4048" s="33" t="s">
        <v>3901</v>
      </c>
      <c r="I4048" s="33" t="s">
        <v>735</v>
      </c>
      <c r="J4048" s="33">
        <v>83709</v>
      </c>
      <c r="K4048" s="33" t="s">
        <v>3903</v>
      </c>
      <c r="L4048" s="33" t="s">
        <v>21111</v>
      </c>
      <c r="M4048" s="33" t="s">
        <v>21</v>
      </c>
      <c r="N4048" s="33" t="s">
        <v>21273</v>
      </c>
      <c r="O4048" s="33" t="s">
        <v>372</v>
      </c>
      <c r="P4048" s="33" t="s">
        <v>30089</v>
      </c>
      <c r="Q4048" s="40" t="s">
        <v>21274</v>
      </c>
      <c r="R4048" s="33" t="s">
        <v>512</v>
      </c>
      <c r="S4048" s="33" t="s">
        <v>22</v>
      </c>
      <c r="T4048" s="33" t="s">
        <v>26781</v>
      </c>
      <c r="U4048" s="33" t="s">
        <v>26572</v>
      </c>
      <c r="V4048" s="33" t="s">
        <v>26573</v>
      </c>
      <c r="W4048" s="33" t="s">
        <v>512</v>
      </c>
      <c r="X4048" s="33">
        <v>1499</v>
      </c>
      <c r="Z4048" s="33" t="s">
        <v>42968</v>
      </c>
      <c r="AA4048" s="33">
        <v>3614</v>
      </c>
    </row>
    <row r="4049" spans="1:27" ht="12" customHeight="1" x14ac:dyDescent="0.15">
      <c r="A4049" s="33" t="s">
        <v>21359</v>
      </c>
      <c r="B4049" s="33">
        <v>24</v>
      </c>
      <c r="C4049" s="33" t="s">
        <v>14</v>
      </c>
      <c r="D4049" s="33" t="s">
        <v>79</v>
      </c>
      <c r="E4049" s="33" t="s">
        <v>21360</v>
      </c>
      <c r="F4049" s="67">
        <v>42488</v>
      </c>
      <c r="G4049" s="33" t="s">
        <v>21107</v>
      </c>
      <c r="H4049" s="33" t="s">
        <v>674</v>
      </c>
      <c r="I4049" s="33" t="s">
        <v>67</v>
      </c>
      <c r="J4049" s="33">
        <v>77049</v>
      </c>
      <c r="K4049" s="33" t="s">
        <v>515</v>
      </c>
      <c r="L4049" s="33" t="s">
        <v>21108</v>
      </c>
      <c r="M4049" s="33" t="s">
        <v>21</v>
      </c>
      <c r="N4049" s="33" t="s">
        <v>21319</v>
      </c>
      <c r="O4049" s="33" t="s">
        <v>372</v>
      </c>
      <c r="P4049" s="33" t="s">
        <v>30089</v>
      </c>
      <c r="Q4049" s="40" t="s">
        <v>21320</v>
      </c>
      <c r="R4049" s="33" t="s">
        <v>94</v>
      </c>
      <c r="S4049" s="33" t="s">
        <v>351</v>
      </c>
      <c r="T4049" s="33" t="s">
        <v>26867</v>
      </c>
      <c r="U4049" s="33" t="s">
        <v>26570</v>
      </c>
      <c r="V4049" s="33" t="s">
        <v>26571</v>
      </c>
      <c r="W4049" s="33" t="s">
        <v>94</v>
      </c>
      <c r="X4049" s="33">
        <v>1501</v>
      </c>
      <c r="Z4049" s="33" t="s">
        <v>42968</v>
      </c>
      <c r="AA4049" s="33">
        <v>3617</v>
      </c>
    </row>
    <row r="4050" spans="1:27" ht="12" customHeight="1" x14ac:dyDescent="0.15">
      <c r="A4050" s="33" t="s">
        <v>21358</v>
      </c>
      <c r="B4050" s="33">
        <v>37</v>
      </c>
      <c r="C4050" s="33" t="s">
        <v>14</v>
      </c>
      <c r="D4050" s="33" t="s">
        <v>42</v>
      </c>
      <c r="F4050" s="67">
        <v>42488</v>
      </c>
      <c r="G4050" s="33" t="s">
        <v>21106</v>
      </c>
      <c r="H4050" s="33" t="s">
        <v>196</v>
      </c>
      <c r="I4050" s="33" t="s">
        <v>56</v>
      </c>
      <c r="J4050" s="33">
        <v>33128</v>
      </c>
      <c r="K4050" s="33" t="s">
        <v>148</v>
      </c>
      <c r="L4050" s="33" t="s">
        <v>427</v>
      </c>
      <c r="M4050" s="33" t="s">
        <v>21</v>
      </c>
      <c r="N4050" s="33" t="s">
        <v>21318</v>
      </c>
      <c r="O4050" s="33" t="s">
        <v>372</v>
      </c>
      <c r="P4050" s="33" t="s">
        <v>30089</v>
      </c>
      <c r="Q4050" s="40" t="s">
        <v>21323</v>
      </c>
      <c r="R4050" s="33" t="s">
        <v>23</v>
      </c>
      <c r="S4050" s="33" t="s">
        <v>22</v>
      </c>
      <c r="T4050" s="33" t="s">
        <v>26774</v>
      </c>
      <c r="U4050" s="33" t="s">
        <v>26572</v>
      </c>
      <c r="V4050" s="33" t="s">
        <v>26573</v>
      </c>
      <c r="W4050" s="33" t="s">
        <v>94</v>
      </c>
      <c r="X4050" s="33">
        <v>1498</v>
      </c>
      <c r="Z4050" s="33" t="s">
        <v>42966</v>
      </c>
      <c r="AA4050" s="33">
        <v>3615</v>
      </c>
    </row>
    <row r="4051" spans="1:27" ht="12" customHeight="1" x14ac:dyDescent="0.15">
      <c r="A4051" s="33" t="s">
        <v>21268</v>
      </c>
      <c r="B4051" s="33">
        <v>45</v>
      </c>
      <c r="C4051" s="33" t="s">
        <v>14</v>
      </c>
      <c r="D4051" s="33" t="s">
        <v>31</v>
      </c>
      <c r="F4051" s="67">
        <v>42488</v>
      </c>
      <c r="G4051" s="33" t="s">
        <v>21109</v>
      </c>
      <c r="H4051" s="33" t="s">
        <v>782</v>
      </c>
      <c r="I4051" s="33" t="s">
        <v>282</v>
      </c>
      <c r="J4051" s="33">
        <v>99201</v>
      </c>
      <c r="K4051" s="33" t="s">
        <v>782</v>
      </c>
      <c r="L4051" s="33" t="s">
        <v>783</v>
      </c>
      <c r="M4051" s="33" t="s">
        <v>4966</v>
      </c>
      <c r="N4051" s="33" t="s">
        <v>21271</v>
      </c>
      <c r="O4051" s="33" t="s">
        <v>372</v>
      </c>
      <c r="P4051" s="33" t="s">
        <v>30089</v>
      </c>
      <c r="Q4051" s="40" t="s">
        <v>21272</v>
      </c>
      <c r="R4051" s="33" t="s">
        <v>512</v>
      </c>
      <c r="S4051" s="33" t="s">
        <v>22</v>
      </c>
      <c r="T4051" s="33" t="s">
        <v>26774</v>
      </c>
      <c r="U4051" s="33" t="s">
        <v>26570</v>
      </c>
      <c r="V4051" s="33" t="s">
        <v>26573</v>
      </c>
      <c r="W4051" s="33" t="s">
        <v>512</v>
      </c>
      <c r="X4051" s="33">
        <v>1500</v>
      </c>
      <c r="Z4051" s="33" t="s">
        <v>42966</v>
      </c>
      <c r="AA4051" s="33">
        <v>3616</v>
      </c>
    </row>
    <row r="4052" spans="1:27" ht="12" customHeight="1" x14ac:dyDescent="0.15">
      <c r="A4052" s="33" t="s">
        <v>26711</v>
      </c>
      <c r="B4052" s="33">
        <v>36</v>
      </c>
      <c r="C4052" s="33" t="s">
        <v>14</v>
      </c>
      <c r="D4052" s="33" t="s">
        <v>31</v>
      </c>
      <c r="F4052" s="67">
        <v>42487</v>
      </c>
      <c r="G4052" s="33" t="s">
        <v>29874</v>
      </c>
      <c r="H4052" s="33" t="s">
        <v>26710</v>
      </c>
      <c r="I4052" s="33" t="s">
        <v>221</v>
      </c>
      <c r="J4052" s="33">
        <v>84109</v>
      </c>
      <c r="K4052" s="33" t="s">
        <v>564</v>
      </c>
      <c r="L4052" s="33" t="s">
        <v>5929</v>
      </c>
      <c r="M4052" s="33" t="s">
        <v>21</v>
      </c>
      <c r="N4052" s="33" t="s">
        <v>29873</v>
      </c>
      <c r="O4052" s="33" t="s">
        <v>372</v>
      </c>
      <c r="P4052" s="33" t="s">
        <v>30089</v>
      </c>
      <c r="Q4052" s="40" t="s">
        <v>29872</v>
      </c>
      <c r="R4052" s="33" t="s">
        <v>94</v>
      </c>
      <c r="S4052" s="33" t="s">
        <v>22</v>
      </c>
      <c r="T4052" s="33" t="s">
        <v>26781</v>
      </c>
      <c r="U4052" s="33" t="s">
        <v>26572</v>
      </c>
      <c r="V4052" s="33" t="s">
        <v>26573</v>
      </c>
      <c r="W4052" s="33" t="s">
        <v>94</v>
      </c>
      <c r="X4052" s="33">
        <v>1840</v>
      </c>
      <c r="Z4052" s="33" t="s">
        <v>42968</v>
      </c>
      <c r="AA4052" s="33">
        <v>3612</v>
      </c>
    </row>
    <row r="4053" spans="1:27" ht="12" customHeight="1" x14ac:dyDescent="0.15">
      <c r="A4053" s="33" t="s">
        <v>21270</v>
      </c>
      <c r="B4053" s="33">
        <v>34</v>
      </c>
      <c r="C4053" s="33" t="s">
        <v>14</v>
      </c>
      <c r="D4053" s="33" t="s">
        <v>15</v>
      </c>
      <c r="E4053" s="33" t="s">
        <v>21363</v>
      </c>
      <c r="F4053" s="67">
        <v>42487</v>
      </c>
      <c r="G4053" s="33" t="s">
        <v>21115</v>
      </c>
      <c r="H4053" s="33" t="s">
        <v>1786</v>
      </c>
      <c r="I4053" s="33" t="s">
        <v>160</v>
      </c>
      <c r="J4053" s="33">
        <v>30345</v>
      </c>
      <c r="K4053" s="33" t="s">
        <v>805</v>
      </c>
      <c r="L4053" s="33" t="s">
        <v>806</v>
      </c>
      <c r="M4053" s="33" t="s">
        <v>21</v>
      </c>
      <c r="N4053" s="33" t="s">
        <v>21278</v>
      </c>
      <c r="O4053" s="33" t="s">
        <v>372</v>
      </c>
      <c r="P4053" s="33" t="s">
        <v>30089</v>
      </c>
      <c r="Q4053" s="40" t="s">
        <v>21279</v>
      </c>
      <c r="R4053" s="33" t="s">
        <v>512</v>
      </c>
      <c r="S4053" s="33" t="s">
        <v>22</v>
      </c>
      <c r="T4053" s="33" t="s">
        <v>26593</v>
      </c>
      <c r="U4053" s="33" t="s">
        <v>26570</v>
      </c>
      <c r="V4053" s="33" t="s">
        <v>26573</v>
      </c>
      <c r="W4053" s="33" t="s">
        <v>94</v>
      </c>
      <c r="X4053" s="33">
        <v>1494</v>
      </c>
      <c r="Z4053" s="33" t="s">
        <v>42968</v>
      </c>
      <c r="AA4053" s="33">
        <v>3613</v>
      </c>
    </row>
    <row r="4054" spans="1:27" ht="12" customHeight="1" x14ac:dyDescent="0.15">
      <c r="A4054" s="33" t="s">
        <v>21357</v>
      </c>
      <c r="B4054" s="33">
        <v>21</v>
      </c>
      <c r="C4054" s="33" t="s">
        <v>14</v>
      </c>
      <c r="D4054" s="33" t="s">
        <v>31</v>
      </c>
      <c r="F4054" s="67">
        <v>42487</v>
      </c>
      <c r="G4054" s="33" t="s">
        <v>21112</v>
      </c>
      <c r="H4054" s="33" t="s">
        <v>21113</v>
      </c>
      <c r="I4054" s="33" t="s">
        <v>192</v>
      </c>
      <c r="J4054" s="33">
        <v>80030</v>
      </c>
      <c r="K4054" s="33" t="s">
        <v>1659</v>
      </c>
      <c r="L4054" s="33" t="s">
        <v>21114</v>
      </c>
      <c r="M4054" s="33" t="s">
        <v>21</v>
      </c>
      <c r="N4054" s="33" t="s">
        <v>21321</v>
      </c>
      <c r="O4054" s="33" t="s">
        <v>372</v>
      </c>
      <c r="P4054" s="33" t="s">
        <v>30089</v>
      </c>
      <c r="Q4054" s="40" t="s">
        <v>21322</v>
      </c>
      <c r="R4054" s="33" t="s">
        <v>94</v>
      </c>
      <c r="S4054" s="33" t="s">
        <v>22</v>
      </c>
      <c r="T4054" s="33" t="s">
        <v>26781</v>
      </c>
      <c r="U4054" s="33" t="s">
        <v>26572</v>
      </c>
      <c r="V4054" s="33" t="s">
        <v>26573</v>
      </c>
      <c r="W4054" s="33" t="s">
        <v>94</v>
      </c>
      <c r="X4054" s="33">
        <v>1495</v>
      </c>
      <c r="Z4054" s="33" t="s">
        <v>42966</v>
      </c>
      <c r="AA4054" s="33">
        <v>3611</v>
      </c>
    </row>
    <row r="4055" spans="1:27" ht="12" customHeight="1" x14ac:dyDescent="0.15">
      <c r="A4055" s="33" t="s">
        <v>21060</v>
      </c>
      <c r="B4055" s="33">
        <v>26</v>
      </c>
      <c r="C4055" s="33" t="s">
        <v>14</v>
      </c>
      <c r="D4055" s="33" t="s">
        <v>79</v>
      </c>
      <c r="E4055" s="33" t="s">
        <v>21365</v>
      </c>
      <c r="F4055" s="67">
        <v>42486</v>
      </c>
      <c r="G4055" s="33" t="s">
        <v>21061</v>
      </c>
      <c r="H4055" s="33" t="s">
        <v>4479</v>
      </c>
      <c r="I4055" s="33" t="s">
        <v>225</v>
      </c>
      <c r="J4055" s="33">
        <v>23325</v>
      </c>
      <c r="K4055" s="33" t="s">
        <v>21062</v>
      </c>
      <c r="L4055" s="33" t="s">
        <v>4481</v>
      </c>
      <c r="M4055" s="33" t="s">
        <v>21</v>
      </c>
      <c r="N4055" s="33" t="s">
        <v>21063</v>
      </c>
      <c r="O4055" s="33" t="s">
        <v>372</v>
      </c>
      <c r="P4055" s="33" t="s">
        <v>30089</v>
      </c>
      <c r="Q4055" s="40" t="s">
        <v>21064</v>
      </c>
      <c r="R4055" s="33" t="s">
        <v>512</v>
      </c>
      <c r="S4055" s="33" t="s">
        <v>22</v>
      </c>
      <c r="T4055" s="33" t="s">
        <v>26781</v>
      </c>
      <c r="U4055" s="33" t="s">
        <v>26572</v>
      </c>
      <c r="V4055" s="33" t="s">
        <v>26573</v>
      </c>
      <c r="W4055" s="33" t="s">
        <v>512</v>
      </c>
      <c r="X4055" s="33">
        <v>1491</v>
      </c>
      <c r="Z4055" s="33" t="s">
        <v>42968</v>
      </c>
      <c r="AA4055" s="33">
        <v>3608</v>
      </c>
    </row>
    <row r="4056" spans="1:27" ht="12" customHeight="1" x14ac:dyDescent="0.15">
      <c r="A4056" s="33" t="s">
        <v>21132</v>
      </c>
      <c r="B4056" s="33">
        <v>24</v>
      </c>
      <c r="C4056" s="33" t="s">
        <v>103</v>
      </c>
      <c r="D4056" s="33" t="s">
        <v>31</v>
      </c>
      <c r="E4056" s="33" t="s">
        <v>21366</v>
      </c>
      <c r="F4056" s="67">
        <v>42486</v>
      </c>
      <c r="G4056" s="33" t="s">
        <v>21133</v>
      </c>
      <c r="H4056" s="33" t="s">
        <v>866</v>
      </c>
      <c r="I4056" s="33" t="s">
        <v>178</v>
      </c>
      <c r="J4056" s="33">
        <v>87111</v>
      </c>
      <c r="K4056" s="33" t="s">
        <v>433</v>
      </c>
      <c r="L4056" s="33" t="s">
        <v>7415</v>
      </c>
      <c r="M4056" s="33" t="s">
        <v>21</v>
      </c>
      <c r="N4056" s="33" t="s">
        <v>21282</v>
      </c>
      <c r="O4056" s="33" t="s">
        <v>372</v>
      </c>
      <c r="P4056" s="33" t="s">
        <v>30089</v>
      </c>
      <c r="Q4056" s="40" t="s">
        <v>21283</v>
      </c>
      <c r="R4056" s="33" t="s">
        <v>512</v>
      </c>
      <c r="S4056" s="33" t="s">
        <v>22</v>
      </c>
      <c r="T4056" s="33" t="s">
        <v>26781</v>
      </c>
      <c r="U4056" s="33" t="s">
        <v>26572</v>
      </c>
      <c r="V4056" s="33" t="s">
        <v>26571</v>
      </c>
      <c r="W4056" s="33" t="s">
        <v>94</v>
      </c>
      <c r="X4056" s="33">
        <v>1492</v>
      </c>
      <c r="Z4056" s="33" t="s">
        <v>42968</v>
      </c>
      <c r="AA4056" s="33">
        <v>3609</v>
      </c>
    </row>
    <row r="4057" spans="1:27" ht="12" customHeight="1" x14ac:dyDescent="0.15">
      <c r="A4057" s="33" t="s">
        <v>21275</v>
      </c>
      <c r="B4057" s="33">
        <v>28</v>
      </c>
      <c r="C4057" s="33" t="s">
        <v>14</v>
      </c>
      <c r="D4057" s="33" t="s">
        <v>31</v>
      </c>
      <c r="E4057" s="33" t="s">
        <v>21367</v>
      </c>
      <c r="F4057" s="67">
        <v>42486</v>
      </c>
      <c r="G4057" s="33" t="s">
        <v>21116</v>
      </c>
      <c r="H4057" s="33" t="s">
        <v>1342</v>
      </c>
      <c r="I4057" s="33" t="s">
        <v>192</v>
      </c>
      <c r="J4057" s="33">
        <v>80226</v>
      </c>
      <c r="K4057" s="33" t="s">
        <v>1659</v>
      </c>
      <c r="L4057" s="33" t="s">
        <v>2530</v>
      </c>
      <c r="M4057" s="33" t="s">
        <v>21</v>
      </c>
      <c r="N4057" s="33" t="s">
        <v>21276</v>
      </c>
      <c r="O4057" s="33" t="s">
        <v>372</v>
      </c>
      <c r="P4057" s="33" t="s">
        <v>30089</v>
      </c>
      <c r="Q4057" s="40" t="s">
        <v>21277</v>
      </c>
      <c r="R4057" s="33" t="s">
        <v>94</v>
      </c>
      <c r="S4057" s="33" t="s">
        <v>22</v>
      </c>
      <c r="T4057" s="33" t="s">
        <v>26781</v>
      </c>
      <c r="U4057" s="33" t="s">
        <v>26572</v>
      </c>
      <c r="V4057" s="33" t="s">
        <v>26574</v>
      </c>
      <c r="W4057" s="33" t="s">
        <v>94</v>
      </c>
      <c r="X4057" s="33">
        <v>1490</v>
      </c>
      <c r="Z4057" s="33" t="s">
        <v>42968</v>
      </c>
      <c r="AA4057" s="33">
        <v>3607</v>
      </c>
    </row>
    <row r="4058" spans="1:27" ht="12" customHeight="1" x14ac:dyDescent="0.15">
      <c r="A4058" s="33" t="s">
        <v>21134</v>
      </c>
      <c r="B4058" s="33">
        <v>44</v>
      </c>
      <c r="C4058" s="33" t="s">
        <v>14</v>
      </c>
      <c r="D4058" s="33" t="s">
        <v>31</v>
      </c>
      <c r="E4058" s="33" t="s">
        <v>21364</v>
      </c>
      <c r="F4058" s="67">
        <v>42486</v>
      </c>
      <c r="G4058" s="33" t="s">
        <v>21135</v>
      </c>
      <c r="H4058" s="33" t="s">
        <v>21136</v>
      </c>
      <c r="I4058" s="33" t="s">
        <v>67</v>
      </c>
      <c r="J4058" s="33">
        <v>78638</v>
      </c>
      <c r="K4058" s="33" t="s">
        <v>6128</v>
      </c>
      <c r="L4058" s="33" t="s">
        <v>21137</v>
      </c>
      <c r="M4058" s="33" t="s">
        <v>21</v>
      </c>
      <c r="N4058" s="33" t="s">
        <v>21280</v>
      </c>
      <c r="O4058" s="33" t="s">
        <v>372</v>
      </c>
      <c r="P4058" s="33" t="s">
        <v>30089</v>
      </c>
      <c r="Q4058" s="40" t="s">
        <v>21281</v>
      </c>
      <c r="R4058" s="33" t="s">
        <v>94</v>
      </c>
      <c r="S4058" s="33" t="s">
        <v>22</v>
      </c>
      <c r="T4058" s="33" t="s">
        <v>26781</v>
      </c>
      <c r="U4058" s="33" t="s">
        <v>26570</v>
      </c>
      <c r="V4058" s="33" t="s">
        <v>19228</v>
      </c>
      <c r="W4058" s="33" t="s">
        <v>94</v>
      </c>
      <c r="X4058" s="33">
        <v>1493</v>
      </c>
      <c r="Z4058" s="33" t="s">
        <v>42967</v>
      </c>
      <c r="AA4058" s="33">
        <v>3610</v>
      </c>
    </row>
    <row r="4059" spans="1:27" ht="12" customHeight="1" x14ac:dyDescent="0.15">
      <c r="A4059" s="33" t="s">
        <v>21117</v>
      </c>
      <c r="B4059" s="33">
        <v>60</v>
      </c>
      <c r="C4059" s="33" t="s">
        <v>103</v>
      </c>
      <c r="D4059" s="33" t="s">
        <v>31</v>
      </c>
      <c r="F4059" s="67">
        <v>42485</v>
      </c>
      <c r="G4059" s="33" t="s">
        <v>21118</v>
      </c>
      <c r="H4059" s="33" t="s">
        <v>21119</v>
      </c>
      <c r="I4059" s="33" t="s">
        <v>338</v>
      </c>
      <c r="J4059" s="33">
        <v>28726</v>
      </c>
      <c r="K4059" s="33" t="s">
        <v>1194</v>
      </c>
      <c r="L4059" s="33" t="s">
        <v>1195</v>
      </c>
      <c r="M4059" s="33" t="s">
        <v>21</v>
      </c>
      <c r="N4059" s="33" t="s">
        <v>21330</v>
      </c>
      <c r="O4059" s="33" t="s">
        <v>372</v>
      </c>
      <c r="P4059" s="33" t="s">
        <v>30089</v>
      </c>
      <c r="Q4059" s="40" t="s">
        <v>21301</v>
      </c>
      <c r="R4059" s="33" t="s">
        <v>512</v>
      </c>
      <c r="S4059" s="33" t="s">
        <v>22</v>
      </c>
      <c r="T4059" s="33" t="s">
        <v>26781</v>
      </c>
      <c r="U4059" s="33" t="s">
        <v>26572</v>
      </c>
      <c r="V4059" s="33" t="s">
        <v>26573</v>
      </c>
      <c r="W4059" s="33" t="s">
        <v>94</v>
      </c>
      <c r="X4059" s="33">
        <v>1489</v>
      </c>
      <c r="Z4059" s="33" t="s">
        <v>42968</v>
      </c>
      <c r="AA4059" s="33">
        <v>3606</v>
      </c>
    </row>
    <row r="4060" spans="1:27" ht="12" customHeight="1" x14ac:dyDescent="0.15">
      <c r="A4060" s="33" t="s">
        <v>21138</v>
      </c>
      <c r="B4060" s="33">
        <v>53</v>
      </c>
      <c r="C4060" s="33" t="s">
        <v>14</v>
      </c>
      <c r="D4060" s="33" t="s">
        <v>31</v>
      </c>
      <c r="F4060" s="67">
        <v>42484</v>
      </c>
      <c r="G4060" s="33" t="s">
        <v>21139</v>
      </c>
      <c r="H4060" s="33" t="s">
        <v>3685</v>
      </c>
      <c r="I4060" s="33" t="s">
        <v>621</v>
      </c>
      <c r="J4060" s="33">
        <v>39501</v>
      </c>
      <c r="K4060" s="33" t="s">
        <v>3687</v>
      </c>
      <c r="L4060" s="33" t="s">
        <v>3688</v>
      </c>
      <c r="M4060" s="33" t="s">
        <v>363</v>
      </c>
      <c r="N4060" s="33" t="s">
        <v>21284</v>
      </c>
      <c r="O4060" s="33" t="s">
        <v>372</v>
      </c>
      <c r="P4060" s="33" t="s">
        <v>30089</v>
      </c>
      <c r="Q4060" s="40" t="s">
        <v>21325</v>
      </c>
      <c r="R4060" s="33" t="s">
        <v>23</v>
      </c>
      <c r="S4060" s="33" t="s">
        <v>12</v>
      </c>
      <c r="T4060" s="33" t="s">
        <v>29705</v>
      </c>
      <c r="U4060" s="33" t="s">
        <v>26575</v>
      </c>
      <c r="V4060" s="33" t="s">
        <v>26573</v>
      </c>
      <c r="Z4060" s="33" t="s">
        <v>42968</v>
      </c>
      <c r="AA4060" s="33">
        <v>3605</v>
      </c>
    </row>
    <row r="4061" spans="1:27" ht="12" customHeight="1" x14ac:dyDescent="0.15">
      <c r="A4061" s="33" t="s">
        <v>21450</v>
      </c>
      <c r="B4061" s="33">
        <v>33</v>
      </c>
      <c r="C4061" s="33" t="s">
        <v>14</v>
      </c>
      <c r="D4061" s="33" t="s">
        <v>79</v>
      </c>
      <c r="F4061" s="67">
        <v>42483</v>
      </c>
      <c r="G4061" s="33" t="s">
        <v>22085</v>
      </c>
      <c r="H4061" s="33" t="s">
        <v>5472</v>
      </c>
      <c r="I4061" s="33" t="s">
        <v>918</v>
      </c>
      <c r="J4061" s="33">
        <v>72703</v>
      </c>
      <c r="K4061" s="33" t="s">
        <v>107</v>
      </c>
      <c r="L4061" s="33" t="s">
        <v>5474</v>
      </c>
      <c r="M4061" s="33" t="s">
        <v>4966</v>
      </c>
      <c r="N4061" s="33" t="s">
        <v>22086</v>
      </c>
      <c r="O4061" s="33" t="s">
        <v>372</v>
      </c>
      <c r="P4061" s="33" t="s">
        <v>30089</v>
      </c>
      <c r="Q4061" s="40" t="s">
        <v>21451</v>
      </c>
      <c r="R4061" s="33" t="s">
        <v>23</v>
      </c>
      <c r="S4061" s="33" t="s">
        <v>351</v>
      </c>
      <c r="T4061" s="33" t="s">
        <v>26867</v>
      </c>
      <c r="U4061" s="33" t="s">
        <v>26570</v>
      </c>
      <c r="V4061" s="33" t="s">
        <v>26571</v>
      </c>
      <c r="W4061" s="33" t="s">
        <v>512</v>
      </c>
      <c r="X4061" s="33">
        <v>1527</v>
      </c>
      <c r="Z4061" s="33" t="s">
        <v>42966</v>
      </c>
      <c r="AA4061" s="33">
        <v>3604</v>
      </c>
    </row>
    <row r="4062" spans="1:27" ht="12" customHeight="1" x14ac:dyDescent="0.15">
      <c r="A4062" s="33" t="s">
        <v>21049</v>
      </c>
      <c r="B4062" s="33">
        <v>21</v>
      </c>
      <c r="C4062" s="33" t="s">
        <v>14</v>
      </c>
      <c r="D4062" s="33" t="s">
        <v>79</v>
      </c>
      <c r="E4062" s="33" t="s">
        <v>21206</v>
      </c>
      <c r="F4062" s="67">
        <v>42483</v>
      </c>
      <c r="G4062" s="33" t="s">
        <v>21050</v>
      </c>
      <c r="H4062" s="33" t="s">
        <v>2991</v>
      </c>
      <c r="I4062" s="33" t="s">
        <v>56</v>
      </c>
      <c r="J4062" s="33">
        <v>34950</v>
      </c>
      <c r="K4062" s="33" t="s">
        <v>2993</v>
      </c>
      <c r="L4062" s="33" t="s">
        <v>17292</v>
      </c>
      <c r="M4062" s="33" t="s">
        <v>21</v>
      </c>
      <c r="N4062" s="33" t="s">
        <v>21051</v>
      </c>
      <c r="O4062" s="33" t="s">
        <v>372</v>
      </c>
      <c r="P4062" s="33" t="s">
        <v>30089</v>
      </c>
      <c r="Q4062" s="40" t="s">
        <v>21291</v>
      </c>
      <c r="R4062" s="33" t="s">
        <v>94</v>
      </c>
      <c r="S4062" s="33" t="s">
        <v>351</v>
      </c>
      <c r="T4062" s="33" t="s">
        <v>26867</v>
      </c>
      <c r="U4062" s="33" t="s">
        <v>26572</v>
      </c>
      <c r="V4062" s="33" t="s">
        <v>26571</v>
      </c>
      <c r="W4062" s="33" t="s">
        <v>94</v>
      </c>
      <c r="X4062" s="33">
        <v>1483</v>
      </c>
      <c r="Z4062" s="33" t="s">
        <v>42968</v>
      </c>
      <c r="AA4062" s="33">
        <v>3603</v>
      </c>
    </row>
    <row r="4063" spans="1:27" ht="12" customHeight="1" x14ac:dyDescent="0.15">
      <c r="A4063" s="33" t="s">
        <v>21140</v>
      </c>
      <c r="B4063" s="33">
        <v>24</v>
      </c>
      <c r="C4063" s="33" t="s">
        <v>14</v>
      </c>
      <c r="D4063" s="33" t="s">
        <v>31</v>
      </c>
      <c r="E4063" s="33" t="s">
        <v>21204</v>
      </c>
      <c r="F4063" s="67">
        <v>42483</v>
      </c>
      <c r="G4063" s="33" t="s">
        <v>21141</v>
      </c>
      <c r="H4063" s="33" t="s">
        <v>4703</v>
      </c>
      <c r="I4063" s="33" t="s">
        <v>112</v>
      </c>
      <c r="J4063" s="33">
        <v>85286</v>
      </c>
      <c r="K4063" s="33" t="s">
        <v>585</v>
      </c>
      <c r="L4063" s="33" t="s">
        <v>4705</v>
      </c>
      <c r="M4063" s="33" t="s">
        <v>21</v>
      </c>
      <c r="N4063" s="33" t="s">
        <v>21227</v>
      </c>
      <c r="O4063" s="33" t="s">
        <v>372</v>
      </c>
      <c r="P4063" s="33" t="s">
        <v>30089</v>
      </c>
      <c r="Q4063" s="40" t="s">
        <v>21286</v>
      </c>
      <c r="R4063" s="33" t="s">
        <v>512</v>
      </c>
      <c r="S4063" s="33" t="s">
        <v>22</v>
      </c>
      <c r="T4063" s="33" t="s">
        <v>26781</v>
      </c>
      <c r="U4063" s="33" t="s">
        <v>26572</v>
      </c>
      <c r="V4063" s="33" t="s">
        <v>26573</v>
      </c>
      <c r="W4063" s="33" t="s">
        <v>94</v>
      </c>
      <c r="X4063" s="33">
        <v>1486</v>
      </c>
      <c r="Z4063" s="33" t="s">
        <v>42968</v>
      </c>
      <c r="AA4063" s="33">
        <v>3599</v>
      </c>
    </row>
    <row r="4064" spans="1:27" ht="12" customHeight="1" x14ac:dyDescent="0.15">
      <c r="A4064" s="33" t="s">
        <v>21146</v>
      </c>
      <c r="B4064" s="33">
        <v>30</v>
      </c>
      <c r="C4064" s="33" t="s">
        <v>14</v>
      </c>
      <c r="D4064" s="33" t="s">
        <v>31</v>
      </c>
      <c r="F4064" s="67">
        <v>42483</v>
      </c>
      <c r="G4064" s="33" t="s">
        <v>21147</v>
      </c>
      <c r="H4064" s="33" t="s">
        <v>3060</v>
      </c>
      <c r="I4064" s="33" t="s">
        <v>225</v>
      </c>
      <c r="J4064" s="33">
        <v>23504</v>
      </c>
      <c r="K4064" s="33" t="s">
        <v>14991</v>
      </c>
      <c r="L4064" s="33" t="s">
        <v>4650</v>
      </c>
      <c r="M4064" s="33" t="s">
        <v>21</v>
      </c>
      <c r="N4064" s="33" t="s">
        <v>21243</v>
      </c>
      <c r="O4064" s="33" t="s">
        <v>372</v>
      </c>
      <c r="P4064" s="33" t="s">
        <v>30089</v>
      </c>
      <c r="Q4064" s="40" t="s">
        <v>21312</v>
      </c>
      <c r="R4064" s="33" t="s">
        <v>512</v>
      </c>
      <c r="S4064" s="33" t="s">
        <v>22</v>
      </c>
      <c r="T4064" s="33" t="s">
        <v>26781</v>
      </c>
      <c r="U4064" s="33" t="s">
        <v>26572</v>
      </c>
      <c r="V4064" s="33" t="s">
        <v>26573</v>
      </c>
      <c r="W4064" s="33" t="s">
        <v>94</v>
      </c>
      <c r="X4064" s="33">
        <v>1488</v>
      </c>
      <c r="Z4064" s="33" t="s">
        <v>42966</v>
      </c>
      <c r="AA4064" s="33">
        <v>3601</v>
      </c>
    </row>
    <row r="4065" spans="1:27" ht="12" customHeight="1" x14ac:dyDescent="0.15">
      <c r="A4065" s="33" t="s">
        <v>21142</v>
      </c>
      <c r="B4065" s="33">
        <v>18</v>
      </c>
      <c r="C4065" s="33" t="s">
        <v>14</v>
      </c>
      <c r="D4065" s="33" t="s">
        <v>31</v>
      </c>
      <c r="E4065" s="33" t="s">
        <v>21221</v>
      </c>
      <c r="F4065" s="67">
        <v>42483</v>
      </c>
      <c r="G4065" s="33" t="s">
        <v>21143</v>
      </c>
      <c r="H4065" s="33" t="s">
        <v>21144</v>
      </c>
      <c r="I4065" s="33" t="s">
        <v>409</v>
      </c>
      <c r="J4065" s="33">
        <v>54409</v>
      </c>
      <c r="K4065" s="33" t="s">
        <v>21225</v>
      </c>
      <c r="L4065" s="33" t="s">
        <v>21145</v>
      </c>
      <c r="M4065" s="33" t="s">
        <v>21</v>
      </c>
      <c r="N4065" s="33" t="s">
        <v>21244</v>
      </c>
      <c r="O4065" s="33" t="s">
        <v>372</v>
      </c>
      <c r="P4065" s="33" t="s">
        <v>30089</v>
      </c>
      <c r="Q4065" s="40" t="s">
        <v>21313</v>
      </c>
      <c r="R4065" s="33" t="s">
        <v>94</v>
      </c>
      <c r="S4065" s="33" t="s">
        <v>22</v>
      </c>
      <c r="T4065" s="33" t="s">
        <v>26781</v>
      </c>
      <c r="U4065" s="33" t="s">
        <v>26572</v>
      </c>
      <c r="V4065" s="33" t="s">
        <v>26573</v>
      </c>
      <c r="W4065" s="33" t="s">
        <v>94</v>
      </c>
      <c r="X4065" s="33">
        <v>1487</v>
      </c>
      <c r="Z4065" s="33" t="s">
        <v>42967</v>
      </c>
      <c r="AA4065" s="33">
        <v>3600</v>
      </c>
    </row>
    <row r="4066" spans="1:27" ht="12" customHeight="1" x14ac:dyDescent="0.15">
      <c r="A4066" s="33" t="s">
        <v>21198</v>
      </c>
      <c r="B4066" s="33">
        <v>28</v>
      </c>
      <c r="C4066" s="33" t="s">
        <v>14</v>
      </c>
      <c r="D4066" s="33" t="s">
        <v>79</v>
      </c>
      <c r="E4066" s="33" t="s">
        <v>21199</v>
      </c>
      <c r="F4066" s="67">
        <v>42483</v>
      </c>
      <c r="G4066" s="33" t="s">
        <v>21200</v>
      </c>
      <c r="H4066" s="33" t="s">
        <v>2574</v>
      </c>
      <c r="I4066" s="33" t="s">
        <v>337</v>
      </c>
      <c r="J4066" s="33">
        <v>66609</v>
      </c>
      <c r="K4066" s="33" t="s">
        <v>2576</v>
      </c>
      <c r="L4066" s="33" t="s">
        <v>5161</v>
      </c>
      <c r="M4066" s="33" t="s">
        <v>21</v>
      </c>
      <c r="N4066" s="33" t="s">
        <v>21201</v>
      </c>
      <c r="O4066" s="33" t="s">
        <v>372</v>
      </c>
      <c r="P4066" s="33" t="s">
        <v>30089</v>
      </c>
      <c r="Q4066" s="40" t="s">
        <v>21202</v>
      </c>
      <c r="R4066" s="33" t="s">
        <v>94</v>
      </c>
      <c r="S4066" s="33" t="s">
        <v>22</v>
      </c>
      <c r="T4066" s="33" t="s">
        <v>26781</v>
      </c>
      <c r="U4066" s="33" t="s">
        <v>26572</v>
      </c>
      <c r="V4066" s="33" t="s">
        <v>26573</v>
      </c>
      <c r="Z4066" s="33" t="s">
        <v>42966</v>
      </c>
      <c r="AA4066" s="33">
        <v>3602</v>
      </c>
    </row>
    <row r="4067" spans="1:27" ht="12" customHeight="1" x14ac:dyDescent="0.15">
      <c r="A4067" s="33" t="s">
        <v>21148</v>
      </c>
      <c r="B4067" s="33">
        <v>29</v>
      </c>
      <c r="C4067" s="33" t="s">
        <v>14</v>
      </c>
      <c r="D4067" s="33" t="s">
        <v>31</v>
      </c>
      <c r="E4067" s="33" t="s">
        <v>21219</v>
      </c>
      <c r="F4067" s="67">
        <v>42482</v>
      </c>
      <c r="G4067" s="33" t="s">
        <v>21149</v>
      </c>
      <c r="H4067" s="33" t="s">
        <v>1227</v>
      </c>
      <c r="I4067" s="33" t="s">
        <v>67</v>
      </c>
      <c r="J4067" s="33">
        <v>78739</v>
      </c>
      <c r="K4067" s="33" t="s">
        <v>1228</v>
      </c>
      <c r="L4067" s="33" t="s">
        <v>1229</v>
      </c>
      <c r="M4067" s="33" t="s">
        <v>21</v>
      </c>
      <c r="N4067" s="33" t="s">
        <v>21240</v>
      </c>
      <c r="O4067" s="33" t="s">
        <v>372</v>
      </c>
      <c r="P4067" s="33" t="s">
        <v>30089</v>
      </c>
      <c r="Q4067" s="40" t="s">
        <v>21309</v>
      </c>
      <c r="R4067" s="33" t="s">
        <v>512</v>
      </c>
      <c r="S4067" s="33" t="s">
        <v>22</v>
      </c>
      <c r="T4067" s="33" t="s">
        <v>26774</v>
      </c>
      <c r="U4067" s="33" t="s">
        <v>26572</v>
      </c>
      <c r="V4067" s="33" t="s">
        <v>26573</v>
      </c>
      <c r="W4067" s="33" t="s">
        <v>94</v>
      </c>
      <c r="X4067" s="33">
        <v>1484</v>
      </c>
      <c r="Z4067" s="33" t="s">
        <v>42968</v>
      </c>
      <c r="AA4067" s="33">
        <v>3597</v>
      </c>
    </row>
    <row r="4068" spans="1:27" ht="12" customHeight="1" x14ac:dyDescent="0.15">
      <c r="A4068" s="33" t="s">
        <v>21150</v>
      </c>
      <c r="B4068" s="33">
        <v>51</v>
      </c>
      <c r="C4068" s="33" t="s">
        <v>14</v>
      </c>
      <c r="D4068" s="33" t="s">
        <v>31</v>
      </c>
      <c r="E4068" s="33" t="s">
        <v>21215</v>
      </c>
      <c r="F4068" s="67">
        <v>42482</v>
      </c>
      <c r="G4068" s="33" t="s">
        <v>21151</v>
      </c>
      <c r="H4068" s="33" t="s">
        <v>21152</v>
      </c>
      <c r="I4068" s="33" t="s">
        <v>395</v>
      </c>
      <c r="J4068" s="33">
        <v>12023</v>
      </c>
      <c r="K4068" s="33" t="s">
        <v>2870</v>
      </c>
      <c r="L4068" s="33" t="s">
        <v>20831</v>
      </c>
      <c r="M4068" s="33" t="s">
        <v>21</v>
      </c>
      <c r="N4068" s="33" t="s">
        <v>21237</v>
      </c>
      <c r="O4068" s="33" t="s">
        <v>372</v>
      </c>
      <c r="P4068" s="33" t="s">
        <v>30089</v>
      </c>
      <c r="Q4068" s="40" t="s">
        <v>21304</v>
      </c>
      <c r="R4068" s="33" t="s">
        <v>512</v>
      </c>
      <c r="S4068" s="33" t="s">
        <v>22</v>
      </c>
      <c r="T4068" s="33" t="s">
        <v>26774</v>
      </c>
      <c r="U4068" s="33" t="s">
        <v>26572</v>
      </c>
      <c r="V4068" s="33" t="s">
        <v>26573</v>
      </c>
      <c r="W4068" s="33" t="s">
        <v>94</v>
      </c>
      <c r="X4068" s="33">
        <v>1485</v>
      </c>
      <c r="Z4068" s="33" t="s">
        <v>42967</v>
      </c>
      <c r="AA4068" s="33">
        <v>3598</v>
      </c>
    </row>
    <row r="4069" spans="1:27" ht="12" customHeight="1" x14ac:dyDescent="0.15">
      <c r="A4069" s="33" t="s">
        <v>21332</v>
      </c>
      <c r="B4069" s="33">
        <v>31</v>
      </c>
      <c r="C4069" s="33" t="s">
        <v>103</v>
      </c>
      <c r="D4069" s="33" t="s">
        <v>31</v>
      </c>
      <c r="F4069" s="67">
        <v>42481</v>
      </c>
      <c r="G4069" s="33" t="s">
        <v>21333</v>
      </c>
      <c r="H4069" s="33" t="s">
        <v>21334</v>
      </c>
      <c r="I4069" s="33" t="s">
        <v>178</v>
      </c>
      <c r="J4069" s="33">
        <v>88061</v>
      </c>
      <c r="K4069" s="33" t="s">
        <v>369</v>
      </c>
      <c r="L4069" s="33" t="s">
        <v>21335</v>
      </c>
      <c r="M4069" s="33" t="s">
        <v>21</v>
      </c>
      <c r="N4069" s="33" t="s">
        <v>21336</v>
      </c>
      <c r="O4069" s="33" t="s">
        <v>372</v>
      </c>
      <c r="P4069" s="33" t="s">
        <v>30089</v>
      </c>
      <c r="Q4069" s="40" t="s">
        <v>21337</v>
      </c>
      <c r="R4069" s="33" t="s">
        <v>94</v>
      </c>
      <c r="S4069" s="33" t="s">
        <v>12</v>
      </c>
      <c r="T4069" s="33" t="s">
        <v>29705</v>
      </c>
      <c r="U4069" s="33" t="s">
        <v>26570</v>
      </c>
      <c r="V4069" s="33" t="s">
        <v>26573</v>
      </c>
      <c r="Y4069" s="33" t="s">
        <v>42476</v>
      </c>
      <c r="Z4069" s="33" t="s">
        <v>42967</v>
      </c>
      <c r="AA4069" s="33">
        <v>3596</v>
      </c>
    </row>
    <row r="4070" spans="1:27" ht="12" customHeight="1" x14ac:dyDescent="0.15">
      <c r="A4070" s="33" t="s">
        <v>17007</v>
      </c>
      <c r="B4070" s="33">
        <v>48</v>
      </c>
      <c r="C4070" s="33" t="s">
        <v>14</v>
      </c>
      <c r="D4070" s="33" t="s">
        <v>42</v>
      </c>
      <c r="E4070" s="33" t="s">
        <v>21211</v>
      </c>
      <c r="F4070" s="67">
        <v>42481</v>
      </c>
      <c r="G4070" s="33" t="s">
        <v>21093</v>
      </c>
      <c r="H4070" s="33" t="s">
        <v>15131</v>
      </c>
      <c r="I4070" s="33" t="s">
        <v>40</v>
      </c>
      <c r="J4070" s="33" t="s">
        <v>21222</v>
      </c>
      <c r="K4070" s="33" t="s">
        <v>36</v>
      </c>
      <c r="L4070" s="33" t="s">
        <v>21094</v>
      </c>
      <c r="M4070" s="33" t="s">
        <v>21</v>
      </c>
      <c r="N4070" s="33" t="s">
        <v>21235</v>
      </c>
      <c r="O4070" s="33" t="s">
        <v>372</v>
      </c>
      <c r="P4070" s="33" t="s">
        <v>30089</v>
      </c>
      <c r="Q4070" s="40" t="s">
        <v>21298</v>
      </c>
      <c r="R4070" s="33" t="s">
        <v>512</v>
      </c>
      <c r="S4070" s="33" t="s">
        <v>22</v>
      </c>
      <c r="T4070" s="33" t="s">
        <v>26774</v>
      </c>
      <c r="U4070" s="33" t="s">
        <v>26570</v>
      </c>
      <c r="V4070" s="33" t="s">
        <v>26573</v>
      </c>
      <c r="W4070" s="33" t="s">
        <v>94</v>
      </c>
      <c r="X4070" s="33">
        <v>1482</v>
      </c>
      <c r="Z4070" s="33" t="s">
        <v>42966</v>
      </c>
      <c r="AA4070" s="33">
        <v>3595</v>
      </c>
    </row>
    <row r="4071" spans="1:27" ht="12" customHeight="1" x14ac:dyDescent="0.15">
      <c r="A4071" s="33" t="s">
        <v>21122</v>
      </c>
      <c r="B4071" s="33">
        <v>52</v>
      </c>
      <c r="C4071" s="33" t="s">
        <v>14</v>
      </c>
      <c r="D4071" s="33" t="s">
        <v>31</v>
      </c>
      <c r="F4071" s="67">
        <v>42480</v>
      </c>
      <c r="G4071" s="33" t="s">
        <v>21123</v>
      </c>
      <c r="H4071" s="33" t="s">
        <v>21124</v>
      </c>
      <c r="I4071" s="33" t="s">
        <v>918</v>
      </c>
      <c r="J4071" s="33">
        <v>72126</v>
      </c>
      <c r="K4071" s="33" t="s">
        <v>3032</v>
      </c>
      <c r="L4071" s="33" t="s">
        <v>13908</v>
      </c>
      <c r="M4071" s="33" t="s">
        <v>21</v>
      </c>
      <c r="N4071" s="33" t="s">
        <v>21317</v>
      </c>
      <c r="O4071" s="33" t="s">
        <v>372</v>
      </c>
      <c r="P4071" s="33" t="s">
        <v>30089</v>
      </c>
      <c r="Q4071" s="40" t="s">
        <v>21324</v>
      </c>
      <c r="R4071" s="33" t="s">
        <v>23</v>
      </c>
      <c r="S4071" s="33" t="s">
        <v>29</v>
      </c>
      <c r="T4071" s="33" t="s">
        <v>26575</v>
      </c>
      <c r="U4071" s="33" t="s">
        <v>26570</v>
      </c>
      <c r="V4071" s="33" t="s">
        <v>26573</v>
      </c>
      <c r="W4071" s="33" t="s">
        <v>94</v>
      </c>
      <c r="X4071" s="33">
        <v>1481</v>
      </c>
      <c r="Z4071" s="33" t="s">
        <v>42967</v>
      </c>
      <c r="AA4071" s="33">
        <v>3594</v>
      </c>
    </row>
    <row r="4072" spans="1:27" ht="12" customHeight="1" x14ac:dyDescent="0.15">
      <c r="A4072" s="33" t="s">
        <v>21120</v>
      </c>
      <c r="B4072" s="33">
        <v>41</v>
      </c>
      <c r="C4072" s="33" t="s">
        <v>14</v>
      </c>
      <c r="D4072" s="33" t="s">
        <v>31</v>
      </c>
      <c r="E4072" s="33" t="s">
        <v>21207</v>
      </c>
      <c r="F4072" s="67">
        <v>42480</v>
      </c>
      <c r="G4072" s="33" t="s">
        <v>21121</v>
      </c>
      <c r="H4072" s="33" t="s">
        <v>1148</v>
      </c>
      <c r="I4072" s="33" t="s">
        <v>56</v>
      </c>
      <c r="J4072" s="33">
        <v>33034</v>
      </c>
      <c r="K4072" s="33" t="s">
        <v>148</v>
      </c>
      <c r="L4072" s="33" t="s">
        <v>149</v>
      </c>
      <c r="M4072" s="33" t="s">
        <v>21</v>
      </c>
      <c r="N4072" s="33" t="s">
        <v>21231</v>
      </c>
      <c r="O4072" s="33" t="s">
        <v>372</v>
      </c>
      <c r="P4072" s="33" t="s">
        <v>30089</v>
      </c>
      <c r="Q4072" s="40" t="s">
        <v>21292</v>
      </c>
      <c r="R4072" s="33" t="s">
        <v>94</v>
      </c>
      <c r="S4072" s="33" t="s">
        <v>22</v>
      </c>
      <c r="T4072" s="33" t="s">
        <v>26781</v>
      </c>
      <c r="U4072" s="33" t="s">
        <v>26572</v>
      </c>
      <c r="V4072" s="33" t="s">
        <v>26573</v>
      </c>
      <c r="W4072" s="33" t="s">
        <v>94</v>
      </c>
      <c r="X4072" s="33">
        <v>1480</v>
      </c>
      <c r="Z4072" s="33" t="s">
        <v>42968</v>
      </c>
      <c r="AA4072" s="33">
        <v>3593</v>
      </c>
    </row>
    <row r="4073" spans="1:27" ht="12" customHeight="1" x14ac:dyDescent="0.15">
      <c r="A4073" s="33" t="s">
        <v>21040</v>
      </c>
      <c r="B4073" s="33">
        <v>15</v>
      </c>
      <c r="C4073" s="33" t="s">
        <v>14</v>
      </c>
      <c r="D4073" s="33" t="s">
        <v>79</v>
      </c>
      <c r="E4073" s="33" t="s">
        <v>21213</v>
      </c>
      <c r="F4073" s="67">
        <v>42479</v>
      </c>
      <c r="G4073" s="33" t="s">
        <v>21041</v>
      </c>
      <c r="H4073" s="33" t="s">
        <v>661</v>
      </c>
      <c r="I4073" s="33" t="s">
        <v>402</v>
      </c>
      <c r="J4073" s="33">
        <v>63106</v>
      </c>
      <c r="K4073" s="33" t="s">
        <v>661</v>
      </c>
      <c r="L4073" s="33" t="s">
        <v>4162</v>
      </c>
      <c r="M4073" s="33" t="s">
        <v>21</v>
      </c>
      <c r="N4073" s="33" t="s">
        <v>21042</v>
      </c>
      <c r="O4073" s="33" t="s">
        <v>372</v>
      </c>
      <c r="P4073" s="33" t="s">
        <v>30089</v>
      </c>
      <c r="Q4073" s="40" t="s">
        <v>21300</v>
      </c>
      <c r="R4073" s="33" t="s">
        <v>94</v>
      </c>
      <c r="S4073" s="33" t="s">
        <v>22</v>
      </c>
      <c r="T4073" s="33" t="s">
        <v>26781</v>
      </c>
      <c r="U4073" s="33" t="s">
        <v>26572</v>
      </c>
      <c r="V4073" s="33" t="s">
        <v>19228</v>
      </c>
      <c r="W4073" s="33" t="s">
        <v>94</v>
      </c>
      <c r="X4073" s="33">
        <v>1477</v>
      </c>
      <c r="Z4073" s="33" t="s">
        <v>42966</v>
      </c>
      <c r="AA4073" s="33">
        <v>3591</v>
      </c>
    </row>
    <row r="4074" spans="1:27" ht="12" customHeight="1" x14ac:dyDescent="0.15">
      <c r="A4074" s="33" t="s">
        <v>21153</v>
      </c>
      <c r="B4074" s="33">
        <v>38</v>
      </c>
      <c r="C4074" s="33" t="s">
        <v>14</v>
      </c>
      <c r="D4074" s="33" t="s">
        <v>31</v>
      </c>
      <c r="E4074" s="33" t="s">
        <v>21203</v>
      </c>
      <c r="F4074" s="67">
        <v>42479</v>
      </c>
      <c r="G4074" s="33" t="s">
        <v>21154</v>
      </c>
      <c r="H4074" s="33" t="s">
        <v>5766</v>
      </c>
      <c r="I4074" s="33" t="s">
        <v>88</v>
      </c>
      <c r="J4074" s="33">
        <v>35031</v>
      </c>
      <c r="K4074" s="33" t="s">
        <v>5768</v>
      </c>
      <c r="L4074" s="33" t="s">
        <v>21155</v>
      </c>
      <c r="M4074" s="33" t="s">
        <v>21</v>
      </c>
      <c r="N4074" s="33" t="s">
        <v>21226</v>
      </c>
      <c r="O4074" s="33" t="s">
        <v>372</v>
      </c>
      <c r="P4074" s="33" t="s">
        <v>30089</v>
      </c>
      <c r="Q4074" s="40" t="s">
        <v>21285</v>
      </c>
      <c r="R4074" s="33" t="s">
        <v>94</v>
      </c>
      <c r="S4074" s="33" t="s">
        <v>22</v>
      </c>
      <c r="T4074" s="33" t="s">
        <v>26781</v>
      </c>
      <c r="U4074" s="33" t="s">
        <v>26572</v>
      </c>
      <c r="V4074" s="33" t="s">
        <v>26571</v>
      </c>
      <c r="W4074" s="33" t="s">
        <v>94</v>
      </c>
      <c r="X4074" s="33">
        <v>1478</v>
      </c>
      <c r="Z4074" s="33" t="s">
        <v>42967</v>
      </c>
      <c r="AA4074" s="33">
        <v>3592</v>
      </c>
    </row>
    <row r="4075" spans="1:27" ht="12" customHeight="1" x14ac:dyDescent="0.15">
      <c r="A4075" s="33" t="s">
        <v>21091</v>
      </c>
      <c r="B4075" s="33">
        <v>41</v>
      </c>
      <c r="C4075" s="33" t="s">
        <v>14</v>
      </c>
      <c r="D4075" s="33" t="s">
        <v>885</v>
      </c>
      <c r="E4075" s="33" t="s">
        <v>21214</v>
      </c>
      <c r="F4075" s="67">
        <v>42479</v>
      </c>
      <c r="G4075" s="33" t="s">
        <v>21092</v>
      </c>
      <c r="H4075" s="33" t="s">
        <v>3855</v>
      </c>
      <c r="I4075" s="33" t="s">
        <v>338</v>
      </c>
      <c r="J4075" s="33">
        <v>28214</v>
      </c>
      <c r="K4075" s="33" t="s">
        <v>3857</v>
      </c>
      <c r="L4075" s="33" t="s">
        <v>3858</v>
      </c>
      <c r="M4075" s="33" t="s">
        <v>21</v>
      </c>
      <c r="N4075" s="33" t="s">
        <v>21236</v>
      </c>
      <c r="O4075" s="33" t="s">
        <v>372</v>
      </c>
      <c r="P4075" s="33" t="s">
        <v>30089</v>
      </c>
      <c r="Q4075" s="40" t="s">
        <v>21302</v>
      </c>
      <c r="R4075" s="33" t="s">
        <v>512</v>
      </c>
      <c r="S4075" s="33" t="s">
        <v>22</v>
      </c>
      <c r="T4075" s="33" t="s">
        <v>26781</v>
      </c>
      <c r="U4075" s="33" t="s">
        <v>26572</v>
      </c>
      <c r="V4075" s="33" t="s">
        <v>26573</v>
      </c>
      <c r="W4075" s="33" t="s">
        <v>94</v>
      </c>
      <c r="X4075" s="33">
        <v>1474</v>
      </c>
      <c r="Z4075" s="33" t="s">
        <v>42968</v>
      </c>
      <c r="AA4075" s="33">
        <v>3590</v>
      </c>
    </row>
    <row r="4076" spans="1:27" ht="12" customHeight="1" x14ac:dyDescent="0.15">
      <c r="A4076" s="33" t="s">
        <v>21035</v>
      </c>
      <c r="B4076" s="33">
        <v>28</v>
      </c>
      <c r="C4076" s="33" t="s">
        <v>14</v>
      </c>
      <c r="D4076" s="33" t="s">
        <v>79</v>
      </c>
      <c r="E4076" s="33" t="s">
        <v>21212</v>
      </c>
      <c r="F4076" s="67">
        <v>42478</v>
      </c>
      <c r="G4076" s="33" t="s">
        <v>21038</v>
      </c>
      <c r="H4076" s="33" t="s">
        <v>21039</v>
      </c>
      <c r="I4076" s="33" t="s">
        <v>46</v>
      </c>
      <c r="J4076" s="33">
        <v>20770</v>
      </c>
      <c r="K4076" s="33" t="s">
        <v>5999</v>
      </c>
      <c r="L4076" s="33" t="s">
        <v>21037</v>
      </c>
      <c r="M4076" s="33" t="s">
        <v>21</v>
      </c>
      <c r="N4076" s="33" t="s">
        <v>21036</v>
      </c>
      <c r="O4076" s="33" t="s">
        <v>372</v>
      </c>
      <c r="P4076" s="33" t="s">
        <v>30089</v>
      </c>
      <c r="Q4076" s="40" t="s">
        <v>21299</v>
      </c>
      <c r="R4076" s="33" t="s">
        <v>94</v>
      </c>
      <c r="S4076" s="33" t="s">
        <v>22</v>
      </c>
      <c r="T4076" s="33" t="s">
        <v>26781</v>
      </c>
      <c r="U4076" s="33" t="s">
        <v>26572</v>
      </c>
      <c r="V4076" s="33" t="s">
        <v>26573</v>
      </c>
      <c r="W4076" s="33" t="s">
        <v>94</v>
      </c>
      <c r="X4076" s="33">
        <v>1475</v>
      </c>
      <c r="Z4076" s="33" t="s">
        <v>42968</v>
      </c>
      <c r="AA4076" s="33">
        <v>3588</v>
      </c>
    </row>
    <row r="4077" spans="1:27" ht="12" customHeight="1" x14ac:dyDescent="0.15">
      <c r="A4077" s="33" t="s">
        <v>21046</v>
      </c>
      <c r="B4077" s="33">
        <v>18</v>
      </c>
      <c r="C4077" s="33" t="s">
        <v>14</v>
      </c>
      <c r="D4077" s="33" t="s">
        <v>79</v>
      </c>
      <c r="E4077" s="33" t="s">
        <v>21208</v>
      </c>
      <c r="F4077" s="67">
        <v>42478</v>
      </c>
      <c r="G4077" s="33" t="s">
        <v>21048</v>
      </c>
      <c r="H4077" s="33" t="s">
        <v>11676</v>
      </c>
      <c r="I4077" s="33" t="s">
        <v>160</v>
      </c>
      <c r="J4077" s="33">
        <v>30126</v>
      </c>
      <c r="K4077" s="33" t="s">
        <v>3052</v>
      </c>
      <c r="L4077" s="33" t="s">
        <v>3053</v>
      </c>
      <c r="M4077" s="33" t="s">
        <v>21</v>
      </c>
      <c r="N4077" s="33" t="s">
        <v>21047</v>
      </c>
      <c r="O4077" s="33" t="s">
        <v>372</v>
      </c>
      <c r="P4077" s="33" t="s">
        <v>30089</v>
      </c>
      <c r="Q4077" s="40" t="s">
        <v>21294</v>
      </c>
      <c r="R4077" s="33" t="s">
        <v>94</v>
      </c>
      <c r="S4077" s="33" t="s">
        <v>22</v>
      </c>
      <c r="T4077" s="33" t="s">
        <v>26781</v>
      </c>
      <c r="U4077" s="33" t="s">
        <v>26572</v>
      </c>
      <c r="V4077" s="33" t="s">
        <v>26573</v>
      </c>
      <c r="W4077" s="33" t="s">
        <v>94</v>
      </c>
      <c r="X4077" s="33">
        <v>1479</v>
      </c>
      <c r="Z4077" s="33" t="s">
        <v>42968</v>
      </c>
      <c r="AA4077" s="33">
        <v>3589</v>
      </c>
    </row>
    <row r="4078" spans="1:27" ht="12" customHeight="1" x14ac:dyDescent="0.15">
      <c r="A4078" s="33" t="s">
        <v>20959</v>
      </c>
      <c r="B4078" s="33">
        <v>35</v>
      </c>
      <c r="C4078" s="33" t="s">
        <v>103</v>
      </c>
      <c r="D4078" s="33" t="s">
        <v>79</v>
      </c>
      <c r="E4078" s="33" t="s">
        <v>21217</v>
      </c>
      <c r="F4078" s="67">
        <v>42477</v>
      </c>
      <c r="G4078" s="33" t="s">
        <v>20964</v>
      </c>
      <c r="H4078" s="33" t="s">
        <v>994</v>
      </c>
      <c r="I4078" s="33" t="s">
        <v>63</v>
      </c>
      <c r="J4078" s="33">
        <v>45417</v>
      </c>
      <c r="K4078" s="33" t="s">
        <v>995</v>
      </c>
      <c r="L4078" s="33" t="s">
        <v>5527</v>
      </c>
      <c r="M4078" s="33" t="s">
        <v>21</v>
      </c>
      <c r="N4078" s="33" t="s">
        <v>20963</v>
      </c>
      <c r="O4078" s="33" t="s">
        <v>372</v>
      </c>
      <c r="P4078" s="33" t="s">
        <v>30089</v>
      </c>
      <c r="Q4078" s="40" t="s">
        <v>21306</v>
      </c>
      <c r="R4078" s="33" t="s">
        <v>94</v>
      </c>
      <c r="S4078" s="33" t="s">
        <v>22</v>
      </c>
      <c r="T4078" s="33" t="s">
        <v>26781</v>
      </c>
      <c r="U4078" s="33" t="s">
        <v>26570</v>
      </c>
      <c r="V4078" s="33" t="s">
        <v>26571</v>
      </c>
      <c r="W4078" s="33" t="s">
        <v>94</v>
      </c>
      <c r="X4078" s="33">
        <v>1464</v>
      </c>
      <c r="Z4078" s="33" t="s">
        <v>42966</v>
      </c>
      <c r="AA4078" s="33">
        <v>3583</v>
      </c>
    </row>
    <row r="4079" spans="1:27" ht="12" customHeight="1" x14ac:dyDescent="0.15">
      <c r="A4079" s="33" t="s">
        <v>20958</v>
      </c>
      <c r="B4079" s="33">
        <v>37</v>
      </c>
      <c r="C4079" s="33" t="s">
        <v>14</v>
      </c>
      <c r="D4079" s="33" t="s">
        <v>79</v>
      </c>
      <c r="E4079" s="33" t="s">
        <v>21216</v>
      </c>
      <c r="F4079" s="67">
        <v>42477</v>
      </c>
      <c r="G4079" s="33" t="s">
        <v>20966</v>
      </c>
      <c r="H4079" s="33" t="s">
        <v>615</v>
      </c>
      <c r="I4079" s="33" t="s">
        <v>395</v>
      </c>
      <c r="J4079" s="33">
        <v>12180</v>
      </c>
      <c r="K4079" s="33" t="s">
        <v>616</v>
      </c>
      <c r="L4079" s="33" t="s">
        <v>617</v>
      </c>
      <c r="M4079" s="33" t="s">
        <v>21</v>
      </c>
      <c r="N4079" s="33" t="s">
        <v>20965</v>
      </c>
      <c r="O4079" s="33" t="s">
        <v>372</v>
      </c>
      <c r="P4079" s="33" t="s">
        <v>30089</v>
      </c>
      <c r="Q4079" s="40" t="s">
        <v>21305</v>
      </c>
      <c r="R4079" s="33" t="s">
        <v>94</v>
      </c>
      <c r="S4079" s="33" t="s">
        <v>351</v>
      </c>
      <c r="T4079" s="33" t="s">
        <v>26867</v>
      </c>
      <c r="U4079" s="33" t="s">
        <v>26572</v>
      </c>
      <c r="V4079" s="33" t="s">
        <v>26571</v>
      </c>
      <c r="W4079" s="33" t="s">
        <v>94</v>
      </c>
      <c r="X4079" s="33">
        <v>1472</v>
      </c>
      <c r="Z4079" s="33" t="s">
        <v>42968</v>
      </c>
      <c r="AA4079" s="33">
        <v>3587</v>
      </c>
    </row>
    <row r="4080" spans="1:27" ht="12" customHeight="1" x14ac:dyDescent="0.15">
      <c r="A4080" s="33" t="s">
        <v>20960</v>
      </c>
      <c r="B4080" s="33">
        <v>31</v>
      </c>
      <c r="C4080" s="33" t="s">
        <v>14</v>
      </c>
      <c r="D4080" s="33" t="s">
        <v>79</v>
      </c>
      <c r="F4080" s="67">
        <v>42477</v>
      </c>
      <c r="G4080" s="33" t="s">
        <v>20961</v>
      </c>
      <c r="H4080" s="33" t="s">
        <v>2905</v>
      </c>
      <c r="I4080" s="33" t="s">
        <v>75</v>
      </c>
      <c r="J4080" s="33" t="s">
        <v>2906</v>
      </c>
      <c r="K4080" s="33" t="s">
        <v>2907</v>
      </c>
      <c r="L4080" s="33" t="s">
        <v>2908</v>
      </c>
      <c r="M4080" s="33" t="s">
        <v>21</v>
      </c>
      <c r="N4080" s="33" t="s">
        <v>20962</v>
      </c>
      <c r="O4080" s="33" t="s">
        <v>372</v>
      </c>
      <c r="P4080" s="33" t="s">
        <v>30089</v>
      </c>
      <c r="Q4080" s="40" t="s">
        <v>21303</v>
      </c>
      <c r="R4080" s="33" t="s">
        <v>94</v>
      </c>
      <c r="S4080" s="33" t="s">
        <v>22</v>
      </c>
      <c r="T4080" s="33" t="s">
        <v>26781</v>
      </c>
      <c r="U4080" s="33" t="s">
        <v>26572</v>
      </c>
      <c r="V4080" s="33" t="s">
        <v>26574</v>
      </c>
      <c r="W4080" s="33" t="s">
        <v>94</v>
      </c>
      <c r="X4080" s="33">
        <v>1467</v>
      </c>
      <c r="Z4080" s="33" t="s">
        <v>42968</v>
      </c>
      <c r="AA4080" s="33">
        <v>3584</v>
      </c>
    </row>
    <row r="4081" spans="1:27" ht="12" customHeight="1" x14ac:dyDescent="0.15">
      <c r="A4081" s="33" t="s">
        <v>21125</v>
      </c>
      <c r="B4081" s="33">
        <v>22</v>
      </c>
      <c r="C4081" s="33" t="s">
        <v>14</v>
      </c>
      <c r="D4081" s="33" t="s">
        <v>31</v>
      </c>
      <c r="F4081" s="67">
        <v>42477</v>
      </c>
      <c r="G4081" s="33" t="s">
        <v>21126</v>
      </c>
      <c r="H4081" s="33" t="s">
        <v>801</v>
      </c>
      <c r="I4081" s="33" t="s">
        <v>67</v>
      </c>
      <c r="J4081" s="33">
        <v>79912</v>
      </c>
      <c r="K4081" s="33" t="s">
        <v>801</v>
      </c>
      <c r="L4081" s="33" t="s">
        <v>802</v>
      </c>
      <c r="M4081" s="33" t="s">
        <v>21</v>
      </c>
      <c r="N4081" s="33" t="s">
        <v>21241</v>
      </c>
      <c r="O4081" s="33" t="s">
        <v>372</v>
      </c>
      <c r="P4081" s="33" t="s">
        <v>30089</v>
      </c>
      <c r="Q4081" s="40" t="s">
        <v>21310</v>
      </c>
      <c r="R4081" s="33" t="s">
        <v>512</v>
      </c>
      <c r="S4081" s="33" t="s">
        <v>12</v>
      </c>
      <c r="T4081" s="33" t="s">
        <v>29705</v>
      </c>
      <c r="U4081" s="33" t="s">
        <v>26570</v>
      </c>
      <c r="V4081" s="33" t="s">
        <v>26573</v>
      </c>
      <c r="W4081" s="33" t="s">
        <v>94</v>
      </c>
      <c r="X4081" s="33">
        <v>1466</v>
      </c>
      <c r="Z4081" s="33" t="s">
        <v>42968</v>
      </c>
      <c r="AA4081" s="33">
        <v>3586</v>
      </c>
    </row>
    <row r="4082" spans="1:27" ht="12" customHeight="1" x14ac:dyDescent="0.15">
      <c r="A4082" s="33" t="s">
        <v>21056</v>
      </c>
      <c r="B4082" s="33">
        <v>32</v>
      </c>
      <c r="C4082" s="33" t="s">
        <v>14</v>
      </c>
      <c r="D4082" s="33" t="s">
        <v>79</v>
      </c>
      <c r="F4082" s="67">
        <v>42477</v>
      </c>
      <c r="G4082" s="33" t="s">
        <v>21057</v>
      </c>
      <c r="H4082" s="33" t="s">
        <v>700</v>
      </c>
      <c r="I4082" s="33" t="s">
        <v>395</v>
      </c>
      <c r="J4082" s="33">
        <v>11420</v>
      </c>
      <c r="K4082" s="33" t="s">
        <v>2474</v>
      </c>
      <c r="L4082" s="33" t="s">
        <v>539</v>
      </c>
      <c r="M4082" s="33" t="s">
        <v>21</v>
      </c>
      <c r="N4082" s="33" t="s">
        <v>21058</v>
      </c>
      <c r="O4082" s="33" t="s">
        <v>372</v>
      </c>
      <c r="P4082" s="33" t="s">
        <v>30089</v>
      </c>
      <c r="Q4082" s="40" t="s">
        <v>21059</v>
      </c>
      <c r="R4082" s="33" t="s">
        <v>94</v>
      </c>
      <c r="S4082" s="33" t="s">
        <v>22</v>
      </c>
      <c r="T4082" s="33" t="s">
        <v>26781</v>
      </c>
      <c r="U4082" s="33" t="s">
        <v>26572</v>
      </c>
      <c r="V4082" s="33" t="s">
        <v>26574</v>
      </c>
      <c r="W4082" s="33" t="s">
        <v>94</v>
      </c>
      <c r="X4082" s="33">
        <v>1470</v>
      </c>
      <c r="Z4082" s="33" t="s">
        <v>42966</v>
      </c>
      <c r="AA4082" s="33">
        <v>3585</v>
      </c>
    </row>
    <row r="4083" spans="1:27" ht="12" customHeight="1" x14ac:dyDescent="0.15">
      <c r="A4083" s="33" t="s">
        <v>21156</v>
      </c>
      <c r="B4083" s="33">
        <v>53</v>
      </c>
      <c r="C4083" s="33" t="s">
        <v>14</v>
      </c>
      <c r="D4083" s="33" t="s">
        <v>31</v>
      </c>
      <c r="E4083" s="33" t="s">
        <v>21209</v>
      </c>
      <c r="F4083" s="67">
        <v>42476</v>
      </c>
      <c r="G4083" s="33" t="s">
        <v>21157</v>
      </c>
      <c r="H4083" s="33" t="s">
        <v>822</v>
      </c>
      <c r="I4083" s="33" t="s">
        <v>38</v>
      </c>
      <c r="J4083" s="33">
        <v>60002</v>
      </c>
      <c r="K4083" s="33" t="s">
        <v>1179</v>
      </c>
      <c r="L4083" s="33" t="s">
        <v>21158</v>
      </c>
      <c r="M4083" s="33" t="s">
        <v>21</v>
      </c>
      <c r="N4083" s="33" t="s">
        <v>21232</v>
      </c>
      <c r="O4083" s="33" t="s">
        <v>372</v>
      </c>
      <c r="P4083" s="33" t="s">
        <v>30089</v>
      </c>
      <c r="Q4083" s="40" t="s">
        <v>21295</v>
      </c>
      <c r="R4083" s="33" t="s">
        <v>94</v>
      </c>
      <c r="S4083" s="33" t="s">
        <v>22</v>
      </c>
      <c r="T4083" s="33" t="s">
        <v>26781</v>
      </c>
      <c r="U4083" s="33" t="s">
        <v>26572</v>
      </c>
      <c r="V4083" s="33" t="s">
        <v>26573</v>
      </c>
      <c r="W4083" s="33" t="s">
        <v>94</v>
      </c>
      <c r="X4083" s="33">
        <v>1473</v>
      </c>
      <c r="Z4083" s="33" t="s">
        <v>42968</v>
      </c>
      <c r="AA4083" s="33">
        <v>3582</v>
      </c>
    </row>
    <row r="4084" spans="1:27" ht="12" customHeight="1" x14ac:dyDescent="0.15">
      <c r="A4084" s="33" t="s">
        <v>21159</v>
      </c>
      <c r="B4084" s="33">
        <v>26</v>
      </c>
      <c r="C4084" s="33" t="s">
        <v>14</v>
      </c>
      <c r="D4084" s="33" t="s">
        <v>31</v>
      </c>
      <c r="E4084" s="33" t="s">
        <v>21210</v>
      </c>
      <c r="F4084" s="67">
        <v>42475</v>
      </c>
      <c r="G4084" s="33" t="s">
        <v>21160</v>
      </c>
      <c r="H4084" s="33" t="s">
        <v>849</v>
      </c>
      <c r="I4084" s="33" t="s">
        <v>198</v>
      </c>
      <c r="J4084" s="33">
        <v>47303</v>
      </c>
      <c r="K4084" s="33" t="s">
        <v>850</v>
      </c>
      <c r="L4084" s="33" t="s">
        <v>851</v>
      </c>
      <c r="M4084" s="33" t="s">
        <v>21</v>
      </c>
      <c r="N4084" s="33" t="s">
        <v>21233</v>
      </c>
      <c r="O4084" s="33" t="s">
        <v>372</v>
      </c>
      <c r="P4084" s="33" t="s">
        <v>30089</v>
      </c>
      <c r="Q4084" s="40" t="s">
        <v>21296</v>
      </c>
      <c r="R4084" s="33" t="s">
        <v>94</v>
      </c>
      <c r="S4084" s="33" t="s">
        <v>29</v>
      </c>
      <c r="T4084" s="33" t="s">
        <v>26575</v>
      </c>
      <c r="U4084" s="33" t="s">
        <v>26572</v>
      </c>
      <c r="V4084" s="33" t="s">
        <v>26574</v>
      </c>
      <c r="W4084" s="33" t="s">
        <v>512</v>
      </c>
      <c r="X4084" s="33">
        <v>1471</v>
      </c>
      <c r="Z4084" s="33" t="s">
        <v>42966</v>
      </c>
      <c r="AA4084" s="33">
        <v>3581</v>
      </c>
    </row>
    <row r="4085" spans="1:27" ht="12" customHeight="1" x14ac:dyDescent="0.15">
      <c r="A4085" s="33" t="s">
        <v>21127</v>
      </c>
      <c r="B4085" s="33">
        <v>38</v>
      </c>
      <c r="C4085" s="33" t="s">
        <v>14</v>
      </c>
      <c r="D4085" s="33" t="s">
        <v>42</v>
      </c>
      <c r="F4085" s="67">
        <v>42475</v>
      </c>
      <c r="G4085" s="33" t="s">
        <v>21128</v>
      </c>
      <c r="H4085" s="33" t="s">
        <v>10945</v>
      </c>
      <c r="I4085" s="33" t="s">
        <v>39</v>
      </c>
      <c r="J4085" s="33">
        <v>92530</v>
      </c>
      <c r="K4085" s="33" t="s">
        <v>728</v>
      </c>
      <c r="L4085" s="33" t="s">
        <v>10947</v>
      </c>
      <c r="M4085" s="33" t="s">
        <v>21</v>
      </c>
      <c r="N4085" s="33" t="s">
        <v>21228</v>
      </c>
      <c r="O4085" s="33" t="s">
        <v>372</v>
      </c>
      <c r="P4085" s="33" t="s">
        <v>30089</v>
      </c>
      <c r="Q4085" s="40" t="s">
        <v>21287</v>
      </c>
      <c r="R4085" s="33" t="s">
        <v>23</v>
      </c>
      <c r="S4085" s="33" t="s">
        <v>22</v>
      </c>
      <c r="T4085" s="33" t="s">
        <v>26580</v>
      </c>
      <c r="U4085" s="33" t="s">
        <v>26570</v>
      </c>
      <c r="V4085" s="33" t="s">
        <v>26573</v>
      </c>
      <c r="W4085" s="33" t="s">
        <v>94</v>
      </c>
      <c r="X4085" s="33">
        <v>1465</v>
      </c>
      <c r="Z4085" s="33" t="s">
        <v>42968</v>
      </c>
      <c r="AA4085" s="33">
        <v>3578</v>
      </c>
    </row>
    <row r="4086" spans="1:27" ht="12" customHeight="1" x14ac:dyDescent="0.15">
      <c r="A4086" s="33" t="s">
        <v>21052</v>
      </c>
      <c r="B4086" s="33">
        <v>44</v>
      </c>
      <c r="C4086" s="33" t="s">
        <v>14</v>
      </c>
      <c r="D4086" s="33" t="s">
        <v>79</v>
      </c>
      <c r="F4086" s="67">
        <v>42475</v>
      </c>
      <c r="G4086" s="33" t="s">
        <v>21054</v>
      </c>
      <c r="H4086" s="33" t="s">
        <v>1487</v>
      </c>
      <c r="I4086" s="33" t="s">
        <v>46</v>
      </c>
      <c r="J4086" s="33">
        <v>21223</v>
      </c>
      <c r="K4086" s="33" t="s">
        <v>4324</v>
      </c>
      <c r="L4086" s="33" t="s">
        <v>2556</v>
      </c>
      <c r="M4086" s="33" t="s">
        <v>21</v>
      </c>
      <c r="N4086" s="33" t="s">
        <v>21053</v>
      </c>
      <c r="O4086" s="33" t="s">
        <v>372</v>
      </c>
      <c r="P4086" s="33" t="s">
        <v>30089</v>
      </c>
      <c r="Q4086" s="40" t="s">
        <v>21055</v>
      </c>
      <c r="R4086" s="33" t="s">
        <v>23</v>
      </c>
      <c r="S4086" s="33" t="s">
        <v>22</v>
      </c>
      <c r="T4086" s="33" t="s">
        <v>29869</v>
      </c>
      <c r="U4086" s="33" t="s">
        <v>26572</v>
      </c>
      <c r="V4086" s="33" t="s">
        <v>26573</v>
      </c>
      <c r="Y4086" s="33" t="s">
        <v>42476</v>
      </c>
      <c r="Z4086" s="33" t="s">
        <v>42966</v>
      </c>
      <c r="AA4086" s="33">
        <v>3580</v>
      </c>
    </row>
    <row r="4087" spans="1:27" ht="12" customHeight="1" x14ac:dyDescent="0.15">
      <c r="A4087" s="33" t="s">
        <v>21161</v>
      </c>
      <c r="B4087" s="33">
        <v>52</v>
      </c>
      <c r="C4087" s="33" t="s">
        <v>14</v>
      </c>
      <c r="D4087" s="33" t="s">
        <v>31</v>
      </c>
      <c r="F4087" s="67">
        <v>42475</v>
      </c>
      <c r="G4087" s="33" t="s">
        <v>21162</v>
      </c>
      <c r="H4087" s="33" t="s">
        <v>931</v>
      </c>
      <c r="I4087" s="33" t="s">
        <v>367</v>
      </c>
      <c r="J4087" s="33">
        <v>73527</v>
      </c>
      <c r="K4087" s="33" t="s">
        <v>10042</v>
      </c>
      <c r="L4087" s="33" t="s">
        <v>21163</v>
      </c>
      <c r="M4087" s="33" t="s">
        <v>21</v>
      </c>
      <c r="N4087" s="33" t="s">
        <v>21316</v>
      </c>
      <c r="O4087" s="33" t="s">
        <v>372</v>
      </c>
      <c r="P4087" s="33" t="s">
        <v>30089</v>
      </c>
      <c r="Q4087" s="40" t="s">
        <v>21326</v>
      </c>
      <c r="R4087" s="33" t="s">
        <v>512</v>
      </c>
      <c r="S4087" s="33" t="s">
        <v>22</v>
      </c>
      <c r="T4087" s="33" t="s">
        <v>26781</v>
      </c>
      <c r="U4087" s="33" t="s">
        <v>26572</v>
      </c>
      <c r="V4087" s="33" t="s">
        <v>26573</v>
      </c>
      <c r="W4087" s="33" t="s">
        <v>94</v>
      </c>
      <c r="X4087" s="33">
        <v>1469</v>
      </c>
      <c r="Z4087" s="33" t="s">
        <v>42967</v>
      </c>
      <c r="AA4087" s="33">
        <v>3579</v>
      </c>
    </row>
    <row r="4088" spans="1:27" ht="12" customHeight="1" x14ac:dyDescent="0.15">
      <c r="A4088" s="33" t="s">
        <v>21197</v>
      </c>
      <c r="B4088" s="33">
        <v>54</v>
      </c>
      <c r="C4088" s="33" t="s">
        <v>14</v>
      </c>
      <c r="D4088" s="33" t="s">
        <v>31</v>
      </c>
      <c r="F4088" s="67">
        <v>42474</v>
      </c>
      <c r="G4088" s="33" t="s">
        <v>21129</v>
      </c>
      <c r="H4088" s="33" t="s">
        <v>8546</v>
      </c>
      <c r="I4088" s="33" t="s">
        <v>337</v>
      </c>
      <c r="J4088" s="33">
        <v>67460</v>
      </c>
      <c r="K4088" s="33" t="s">
        <v>8546</v>
      </c>
      <c r="L4088" s="33" t="s">
        <v>21130</v>
      </c>
      <c r="M4088" s="33" t="s">
        <v>4966</v>
      </c>
      <c r="N4088" s="33" t="s">
        <v>21234</v>
      </c>
      <c r="O4088" s="33" t="s">
        <v>372</v>
      </c>
      <c r="P4088" s="33" t="s">
        <v>30089</v>
      </c>
      <c r="Q4088" s="40" t="s">
        <v>21297</v>
      </c>
      <c r="R4088" s="33" t="s">
        <v>512</v>
      </c>
      <c r="S4088" s="33" t="s">
        <v>12</v>
      </c>
      <c r="T4088" s="33" t="s">
        <v>29705</v>
      </c>
      <c r="U4088" s="33" t="s">
        <v>26572</v>
      </c>
      <c r="V4088" s="33" t="s">
        <v>26573</v>
      </c>
      <c r="W4088" s="33" t="s">
        <v>94</v>
      </c>
      <c r="X4088" s="33">
        <v>1463</v>
      </c>
      <c r="Z4088" s="33" t="s">
        <v>42967</v>
      </c>
      <c r="AA4088" s="33">
        <v>3577</v>
      </c>
    </row>
    <row r="4089" spans="1:27" ht="12" customHeight="1" x14ac:dyDescent="0.15">
      <c r="A4089" s="33" t="s">
        <v>21164</v>
      </c>
      <c r="B4089" s="33">
        <v>52</v>
      </c>
      <c r="C4089" s="33" t="s">
        <v>14</v>
      </c>
      <c r="D4089" s="33" t="s">
        <v>31</v>
      </c>
      <c r="E4089" s="33" t="s">
        <v>21220</v>
      </c>
      <c r="F4089" s="67">
        <v>42473</v>
      </c>
      <c r="G4089" s="33" t="s">
        <v>21165</v>
      </c>
      <c r="H4089" s="33" t="s">
        <v>21166</v>
      </c>
      <c r="I4089" s="33" t="s">
        <v>67</v>
      </c>
      <c r="J4089" s="33">
        <v>78643</v>
      </c>
      <c r="K4089" s="33" t="s">
        <v>21166</v>
      </c>
      <c r="L4089" s="33" t="s">
        <v>21167</v>
      </c>
      <c r="M4089" s="33" t="s">
        <v>21</v>
      </c>
      <c r="N4089" s="33" t="s">
        <v>21242</v>
      </c>
      <c r="O4089" s="33" t="s">
        <v>372</v>
      </c>
      <c r="P4089" s="33" t="s">
        <v>30089</v>
      </c>
      <c r="Q4089" s="40" t="s">
        <v>21311</v>
      </c>
      <c r="R4089" s="33" t="s">
        <v>94</v>
      </c>
      <c r="S4089" s="33" t="s">
        <v>22</v>
      </c>
      <c r="T4089" s="33" t="s">
        <v>26781</v>
      </c>
      <c r="U4089" s="33" t="s">
        <v>26572</v>
      </c>
      <c r="V4089" s="33" t="s">
        <v>26573</v>
      </c>
      <c r="W4089" s="33" t="s">
        <v>94</v>
      </c>
      <c r="X4089" s="33">
        <v>1460</v>
      </c>
      <c r="Z4089" s="33" t="s">
        <v>42967</v>
      </c>
      <c r="AA4089" s="33">
        <v>3574</v>
      </c>
    </row>
    <row r="4090" spans="1:27" ht="12" customHeight="1" x14ac:dyDescent="0.15">
      <c r="A4090" s="33" t="s">
        <v>20955</v>
      </c>
      <c r="B4090" s="33">
        <v>35</v>
      </c>
      <c r="C4090" s="33" t="s">
        <v>14</v>
      </c>
      <c r="D4090" s="33" t="s">
        <v>79</v>
      </c>
      <c r="F4090" s="67">
        <v>42473</v>
      </c>
      <c r="G4090" s="33" t="s">
        <v>20956</v>
      </c>
      <c r="H4090" s="33" t="s">
        <v>1645</v>
      </c>
      <c r="I4090" s="33" t="s">
        <v>39</v>
      </c>
      <c r="J4090" s="33">
        <v>95210</v>
      </c>
      <c r="K4090" s="33" t="s">
        <v>1647</v>
      </c>
      <c r="L4090" s="33" t="s">
        <v>1648</v>
      </c>
      <c r="M4090" s="33" t="s">
        <v>21</v>
      </c>
      <c r="N4090" s="33" t="s">
        <v>20967</v>
      </c>
      <c r="O4090" s="33" t="s">
        <v>372</v>
      </c>
      <c r="P4090" s="33" t="s">
        <v>30089</v>
      </c>
      <c r="Q4090" s="40" t="s">
        <v>20957</v>
      </c>
      <c r="R4090" s="33" t="s">
        <v>94</v>
      </c>
      <c r="S4090" s="33" t="s">
        <v>29</v>
      </c>
      <c r="T4090" s="33" t="s">
        <v>26575</v>
      </c>
      <c r="U4090" s="33" t="s">
        <v>26572</v>
      </c>
      <c r="V4090" s="33" t="s">
        <v>26573</v>
      </c>
      <c r="W4090" s="33" t="s">
        <v>94</v>
      </c>
      <c r="X4090" s="33">
        <v>1459</v>
      </c>
      <c r="Z4090" s="33" t="s">
        <v>42968</v>
      </c>
      <c r="AA4090" s="33">
        <v>3576</v>
      </c>
    </row>
    <row r="4091" spans="1:27" ht="12" customHeight="1" x14ac:dyDescent="0.15">
      <c r="A4091" s="33" t="s">
        <v>21168</v>
      </c>
      <c r="B4091" s="33">
        <v>26</v>
      </c>
      <c r="C4091" s="33" t="s">
        <v>14</v>
      </c>
      <c r="D4091" s="33" t="s">
        <v>31</v>
      </c>
      <c r="E4091" s="33" t="s">
        <v>21218</v>
      </c>
      <c r="F4091" s="67">
        <v>42473</v>
      </c>
      <c r="G4091" s="33" t="s">
        <v>21169</v>
      </c>
      <c r="H4091" s="33" t="s">
        <v>11245</v>
      </c>
      <c r="I4091" s="33" t="s">
        <v>298</v>
      </c>
      <c r="J4091" s="33">
        <v>38583</v>
      </c>
      <c r="K4091" s="33" t="s">
        <v>31</v>
      </c>
      <c r="L4091" s="33" t="s">
        <v>21170</v>
      </c>
      <c r="M4091" s="33" t="s">
        <v>21</v>
      </c>
      <c r="N4091" s="33" t="s">
        <v>21239</v>
      </c>
      <c r="O4091" s="33" t="s">
        <v>372</v>
      </c>
      <c r="P4091" s="33" t="s">
        <v>30089</v>
      </c>
      <c r="Q4091" s="40" t="s">
        <v>21308</v>
      </c>
      <c r="R4091" s="33" t="s">
        <v>94</v>
      </c>
      <c r="S4091" s="33" t="s">
        <v>22</v>
      </c>
      <c r="T4091" s="33" t="s">
        <v>26781</v>
      </c>
      <c r="U4091" s="33" t="s">
        <v>26572</v>
      </c>
      <c r="V4091" s="33" t="s">
        <v>26571</v>
      </c>
      <c r="W4091" s="33" t="s">
        <v>94</v>
      </c>
      <c r="X4091" s="33">
        <v>1462</v>
      </c>
      <c r="Z4091" s="33" t="s">
        <v>42967</v>
      </c>
      <c r="AA4091" s="33">
        <v>3575</v>
      </c>
    </row>
    <row r="4092" spans="1:27" ht="12" customHeight="1" x14ac:dyDescent="0.15">
      <c r="A4092" s="33" t="s">
        <v>21173</v>
      </c>
      <c r="B4092" s="33">
        <v>20</v>
      </c>
      <c r="C4092" s="33" t="s">
        <v>14</v>
      </c>
      <c r="D4092" s="33" t="s">
        <v>31</v>
      </c>
      <c r="F4092" s="67">
        <v>42472</v>
      </c>
      <c r="H4092" s="33" t="s">
        <v>21174</v>
      </c>
      <c r="I4092" s="33" t="s">
        <v>56</v>
      </c>
      <c r="J4092" s="33">
        <v>32425</v>
      </c>
      <c r="K4092" s="33" t="s">
        <v>14278</v>
      </c>
      <c r="L4092" s="33" t="s">
        <v>21175</v>
      </c>
      <c r="M4092" s="33" t="s">
        <v>21</v>
      </c>
      <c r="N4092" s="33" t="s">
        <v>36713</v>
      </c>
      <c r="O4092" s="33" t="s">
        <v>372</v>
      </c>
      <c r="P4092" s="33" t="s">
        <v>30089</v>
      </c>
      <c r="Q4092" s="40" t="s">
        <v>21293</v>
      </c>
      <c r="R4092" s="33" t="s">
        <v>94</v>
      </c>
      <c r="S4092" s="33" t="s">
        <v>351</v>
      </c>
      <c r="T4092" s="33" t="s">
        <v>26867</v>
      </c>
      <c r="U4092" s="33" t="s">
        <v>26570</v>
      </c>
      <c r="V4092" s="33" t="s">
        <v>26571</v>
      </c>
      <c r="W4092" s="33" t="s">
        <v>512</v>
      </c>
      <c r="X4092" s="33">
        <v>1458</v>
      </c>
      <c r="Z4092" s="33" t="s">
        <v>42967</v>
      </c>
      <c r="AA4092" s="33">
        <v>3573</v>
      </c>
    </row>
    <row r="4093" spans="1:27" ht="12" customHeight="1" x14ac:dyDescent="0.15">
      <c r="A4093" s="33" t="s">
        <v>21171</v>
      </c>
      <c r="B4093" s="33">
        <v>40</v>
      </c>
      <c r="C4093" s="33" t="s">
        <v>14</v>
      </c>
      <c r="D4093" s="33" t="s">
        <v>31</v>
      </c>
      <c r="E4093" s="33" t="s">
        <v>21205</v>
      </c>
      <c r="F4093" s="67">
        <v>42472</v>
      </c>
      <c r="G4093" s="33" t="s">
        <v>21172</v>
      </c>
      <c r="H4093" s="33" t="s">
        <v>1212</v>
      </c>
      <c r="I4093" s="33" t="s">
        <v>192</v>
      </c>
      <c r="J4093" s="33">
        <v>80202</v>
      </c>
      <c r="K4093" s="33" t="s">
        <v>1212</v>
      </c>
      <c r="L4093" s="33" t="s">
        <v>1213</v>
      </c>
      <c r="M4093" s="33" t="s">
        <v>21</v>
      </c>
      <c r="N4093" s="33" t="s">
        <v>21230</v>
      </c>
      <c r="O4093" s="33" t="s">
        <v>372</v>
      </c>
      <c r="P4093" s="33" t="s">
        <v>30089</v>
      </c>
      <c r="Q4093" s="40" t="s">
        <v>21290</v>
      </c>
      <c r="R4093" s="33" t="s">
        <v>94</v>
      </c>
      <c r="S4093" s="33" t="s">
        <v>12</v>
      </c>
      <c r="T4093" s="33" t="s">
        <v>29705</v>
      </c>
      <c r="U4093" s="33" t="s">
        <v>26570</v>
      </c>
      <c r="V4093" s="33" t="s">
        <v>26571</v>
      </c>
      <c r="W4093" s="33" t="s">
        <v>94</v>
      </c>
      <c r="X4093" s="33">
        <v>1456</v>
      </c>
      <c r="Z4093" s="33" t="s">
        <v>42966</v>
      </c>
      <c r="AA4093" s="33">
        <v>3572</v>
      </c>
    </row>
    <row r="4094" spans="1:27" ht="12" customHeight="1" x14ac:dyDescent="0.15">
      <c r="A4094" s="33" t="s">
        <v>20952</v>
      </c>
      <c r="B4094" s="33">
        <v>38</v>
      </c>
      <c r="C4094" s="33" t="s">
        <v>14</v>
      </c>
      <c r="D4094" s="33" t="s">
        <v>42</v>
      </c>
      <c r="F4094" s="67">
        <v>42472</v>
      </c>
      <c r="G4094" s="33" t="s">
        <v>21095</v>
      </c>
      <c r="H4094" s="33" t="s">
        <v>2325</v>
      </c>
      <c r="I4094" s="33" t="s">
        <v>38</v>
      </c>
      <c r="J4094" s="33">
        <v>62812</v>
      </c>
      <c r="K4094" s="33" t="s">
        <v>1203</v>
      </c>
      <c r="L4094" s="33" t="s">
        <v>21096</v>
      </c>
      <c r="M4094" s="33" t="s">
        <v>21</v>
      </c>
      <c r="N4094" s="33" t="s">
        <v>20953</v>
      </c>
      <c r="O4094" s="33" t="s">
        <v>372</v>
      </c>
      <c r="P4094" s="33" t="s">
        <v>30089</v>
      </c>
      <c r="Q4094" s="40" t="s">
        <v>20954</v>
      </c>
      <c r="R4094" s="33" t="s">
        <v>94</v>
      </c>
      <c r="S4094" s="33" t="s">
        <v>22</v>
      </c>
      <c r="T4094" s="33" t="s">
        <v>26781</v>
      </c>
      <c r="U4094" s="33" t="s">
        <v>26572</v>
      </c>
      <c r="V4094" s="33" t="s">
        <v>26571</v>
      </c>
      <c r="W4094" s="33" t="s">
        <v>94</v>
      </c>
      <c r="X4094" s="33">
        <v>1457</v>
      </c>
      <c r="Z4094" s="33" t="s">
        <v>42967</v>
      </c>
      <c r="AA4094" s="33">
        <v>3571</v>
      </c>
    </row>
    <row r="4095" spans="1:27" ht="12" customHeight="1" x14ac:dyDescent="0.15">
      <c r="A4095" s="33" t="s">
        <v>20946</v>
      </c>
      <c r="B4095" s="33">
        <v>22</v>
      </c>
      <c r="C4095" s="33" t="s">
        <v>14</v>
      </c>
      <c r="D4095" s="33" t="s">
        <v>42</v>
      </c>
      <c r="F4095" s="67">
        <v>42471</v>
      </c>
      <c r="G4095" s="33" t="s">
        <v>21131</v>
      </c>
      <c r="H4095" s="33" t="s">
        <v>607</v>
      </c>
      <c r="I4095" s="33" t="s">
        <v>250</v>
      </c>
      <c r="J4095" s="33">
        <v>89104</v>
      </c>
      <c r="K4095" s="33" t="s">
        <v>527</v>
      </c>
      <c r="L4095" s="33" t="s">
        <v>528</v>
      </c>
      <c r="M4095" s="33" t="s">
        <v>21</v>
      </c>
      <c r="N4095" s="33" t="s">
        <v>20947</v>
      </c>
      <c r="O4095" s="33" t="s">
        <v>372</v>
      </c>
      <c r="P4095" s="33" t="s">
        <v>30089</v>
      </c>
      <c r="Q4095" s="40" t="s">
        <v>20948</v>
      </c>
      <c r="R4095" s="33" t="s">
        <v>94</v>
      </c>
      <c r="S4095" s="33" t="s">
        <v>22</v>
      </c>
      <c r="T4095" s="33" t="s">
        <v>26781</v>
      </c>
      <c r="U4095" s="33" t="s">
        <v>26572</v>
      </c>
      <c r="V4095" s="33" t="s">
        <v>26573</v>
      </c>
      <c r="W4095" s="33" t="s">
        <v>94</v>
      </c>
      <c r="X4095" s="33">
        <v>1454</v>
      </c>
      <c r="Z4095" s="33" t="s">
        <v>42966</v>
      </c>
      <c r="AA4095" s="33">
        <v>3569</v>
      </c>
    </row>
    <row r="4096" spans="1:27" ht="12" customHeight="1" x14ac:dyDescent="0.15">
      <c r="A4096" s="33" t="s">
        <v>20949</v>
      </c>
      <c r="B4096" s="33">
        <v>16</v>
      </c>
      <c r="C4096" s="33" t="s">
        <v>14</v>
      </c>
      <c r="D4096" s="33" t="s">
        <v>79</v>
      </c>
      <c r="E4096" s="33" t="s">
        <v>20950</v>
      </c>
      <c r="F4096" s="67">
        <v>42471</v>
      </c>
      <c r="G4096" s="33" t="s">
        <v>22114</v>
      </c>
      <c r="H4096" s="33" t="s">
        <v>81</v>
      </c>
      <c r="I4096" s="33" t="s">
        <v>38</v>
      </c>
      <c r="J4096" s="33">
        <v>60624</v>
      </c>
      <c r="K4096" s="33" t="s">
        <v>82</v>
      </c>
      <c r="L4096" s="33" t="s">
        <v>83</v>
      </c>
      <c r="M4096" s="33" t="s">
        <v>21</v>
      </c>
      <c r="N4096" s="33" t="s">
        <v>20968</v>
      </c>
      <c r="O4096" s="33" t="s">
        <v>372</v>
      </c>
      <c r="P4096" s="33" t="s">
        <v>30089</v>
      </c>
      <c r="Q4096" s="40" t="s">
        <v>20951</v>
      </c>
      <c r="R4096" s="33" t="s">
        <v>94</v>
      </c>
      <c r="S4096" s="33" t="s">
        <v>22</v>
      </c>
      <c r="T4096" s="33" t="s">
        <v>26781</v>
      </c>
      <c r="U4096" s="33" t="s">
        <v>26572</v>
      </c>
      <c r="V4096" s="33" t="s">
        <v>26574</v>
      </c>
      <c r="W4096" s="33" t="s">
        <v>94</v>
      </c>
      <c r="X4096" s="33">
        <v>1455</v>
      </c>
      <c r="Z4096" s="33" t="s">
        <v>42966</v>
      </c>
      <c r="AA4096" s="33">
        <v>3570</v>
      </c>
    </row>
    <row r="4097" spans="1:27" ht="12" customHeight="1" x14ac:dyDescent="0.15">
      <c r="A4097" s="33" t="s">
        <v>21176</v>
      </c>
      <c r="B4097" s="33">
        <v>39</v>
      </c>
      <c r="C4097" s="33" t="s">
        <v>14</v>
      </c>
      <c r="D4097" s="33" t="s">
        <v>31</v>
      </c>
      <c r="F4097" s="67">
        <v>42470</v>
      </c>
      <c r="G4097" s="33" t="s">
        <v>21177</v>
      </c>
      <c r="H4097" s="33" t="s">
        <v>9302</v>
      </c>
      <c r="I4097" s="33" t="s">
        <v>39</v>
      </c>
      <c r="J4097" s="33">
        <v>95354</v>
      </c>
      <c r="K4097" s="33" t="s">
        <v>2954</v>
      </c>
      <c r="L4097" s="33" t="s">
        <v>9304</v>
      </c>
      <c r="M4097" s="33" t="s">
        <v>21</v>
      </c>
      <c r="N4097" s="33" t="s">
        <v>21229</v>
      </c>
      <c r="O4097" s="33" t="s">
        <v>372</v>
      </c>
      <c r="P4097" s="33" t="s">
        <v>30089</v>
      </c>
      <c r="Q4097" s="40" t="s">
        <v>21289</v>
      </c>
      <c r="R4097" s="33" t="s">
        <v>94</v>
      </c>
      <c r="S4097" s="33" t="s">
        <v>22</v>
      </c>
      <c r="T4097" s="33" t="s">
        <v>26781</v>
      </c>
      <c r="U4097" s="33" t="s">
        <v>26570</v>
      </c>
      <c r="V4097" s="33" t="s">
        <v>26571</v>
      </c>
      <c r="W4097" s="33" t="s">
        <v>94</v>
      </c>
      <c r="X4097" s="33">
        <v>1449</v>
      </c>
      <c r="Z4097" s="33" t="s">
        <v>42966</v>
      </c>
      <c r="AA4097" s="33">
        <v>3565</v>
      </c>
    </row>
    <row r="4098" spans="1:27" ht="12" customHeight="1" x14ac:dyDescent="0.15">
      <c r="A4098" s="33" t="s">
        <v>21099</v>
      </c>
      <c r="B4098" s="33">
        <v>29</v>
      </c>
      <c r="C4098" s="33" t="s">
        <v>14</v>
      </c>
      <c r="D4098" s="33" t="s">
        <v>42</v>
      </c>
      <c r="F4098" s="67">
        <v>42470</v>
      </c>
      <c r="G4098" s="33" t="s">
        <v>21100</v>
      </c>
      <c r="H4098" s="33" t="s">
        <v>1116</v>
      </c>
      <c r="I4098" s="33" t="s">
        <v>298</v>
      </c>
      <c r="J4098" s="33">
        <v>38111</v>
      </c>
      <c r="K4098" s="33" t="s">
        <v>1117</v>
      </c>
      <c r="L4098" s="33" t="s">
        <v>1118</v>
      </c>
      <c r="M4098" s="33" t="s">
        <v>21</v>
      </c>
      <c r="N4098" s="33" t="s">
        <v>20940</v>
      </c>
      <c r="O4098" s="33" t="s">
        <v>372</v>
      </c>
      <c r="P4098" s="33" t="s">
        <v>30089</v>
      </c>
      <c r="Q4098" s="40" t="s">
        <v>20941</v>
      </c>
      <c r="R4098" s="33" t="s">
        <v>94</v>
      </c>
      <c r="S4098" s="33" t="s">
        <v>29</v>
      </c>
      <c r="T4098" s="33" t="s">
        <v>26575</v>
      </c>
      <c r="U4098" s="33" t="s">
        <v>26575</v>
      </c>
      <c r="V4098" s="33" t="s">
        <v>26573</v>
      </c>
      <c r="Y4098" s="33" t="s">
        <v>42476</v>
      </c>
      <c r="Z4098" s="33" t="s">
        <v>42966</v>
      </c>
      <c r="AA4098" s="33">
        <v>3568</v>
      </c>
    </row>
    <row r="4099" spans="1:27" ht="12" customHeight="1" x14ac:dyDescent="0.15">
      <c r="A4099" s="33" t="s">
        <v>21097</v>
      </c>
      <c r="B4099" s="33">
        <v>28</v>
      </c>
      <c r="C4099" s="33" t="s">
        <v>14</v>
      </c>
      <c r="D4099" s="33" t="s">
        <v>42</v>
      </c>
      <c r="F4099" s="67">
        <v>42470</v>
      </c>
      <c r="G4099" s="33" t="s">
        <v>21098</v>
      </c>
      <c r="H4099" s="33" t="s">
        <v>92</v>
      </c>
      <c r="I4099" s="33" t="s">
        <v>39</v>
      </c>
      <c r="J4099" s="33">
        <v>90033</v>
      </c>
      <c r="K4099" s="33" t="s">
        <v>92</v>
      </c>
      <c r="L4099" s="33" t="s">
        <v>93</v>
      </c>
      <c r="M4099" s="33" t="s">
        <v>21</v>
      </c>
      <c r="N4099" s="33" t="s">
        <v>36714</v>
      </c>
      <c r="O4099" s="33" t="s">
        <v>372</v>
      </c>
      <c r="P4099" s="33" t="s">
        <v>30089</v>
      </c>
      <c r="Q4099" s="40" t="s">
        <v>21288</v>
      </c>
      <c r="R4099" s="33" t="s">
        <v>94</v>
      </c>
      <c r="S4099" s="33" t="s">
        <v>22</v>
      </c>
      <c r="T4099" s="33" t="s">
        <v>26774</v>
      </c>
      <c r="U4099" s="33" t="s">
        <v>26572</v>
      </c>
      <c r="V4099" s="33" t="s">
        <v>26573</v>
      </c>
      <c r="W4099" s="33" t="s">
        <v>94</v>
      </c>
      <c r="X4099" s="33">
        <v>1452</v>
      </c>
      <c r="Z4099" s="33" t="s">
        <v>42966</v>
      </c>
      <c r="AA4099" s="33">
        <v>3567</v>
      </c>
    </row>
    <row r="4100" spans="1:27" ht="12" customHeight="1" x14ac:dyDescent="0.15">
      <c r="A4100" s="33" t="s">
        <v>21178</v>
      </c>
      <c r="B4100" s="33">
        <v>30</v>
      </c>
      <c r="C4100" s="33" t="s">
        <v>14</v>
      </c>
      <c r="D4100" s="33" t="s">
        <v>31</v>
      </c>
      <c r="F4100" s="67">
        <v>42470</v>
      </c>
      <c r="G4100" s="33" t="s">
        <v>21179</v>
      </c>
      <c r="H4100" s="33" t="s">
        <v>20942</v>
      </c>
      <c r="I4100" s="33" t="s">
        <v>395</v>
      </c>
      <c r="J4100" s="33">
        <v>12303</v>
      </c>
      <c r="K4100" s="33" t="s">
        <v>15286</v>
      </c>
      <c r="L4100" s="33" t="s">
        <v>20943</v>
      </c>
      <c r="M4100" s="33" t="s">
        <v>21</v>
      </c>
      <c r="N4100" s="33" t="s">
        <v>20944</v>
      </c>
      <c r="O4100" s="33" t="s">
        <v>507</v>
      </c>
      <c r="P4100" s="33" t="s">
        <v>30089</v>
      </c>
      <c r="Q4100" s="40" t="s">
        <v>20945</v>
      </c>
      <c r="R4100" s="33" t="s">
        <v>512</v>
      </c>
      <c r="S4100" s="33" t="s">
        <v>22</v>
      </c>
      <c r="T4100" s="33" t="s">
        <v>26774</v>
      </c>
      <c r="U4100" s="33" t="s">
        <v>26572</v>
      </c>
      <c r="V4100" s="33" t="s">
        <v>26573</v>
      </c>
      <c r="W4100" s="33" t="s">
        <v>94</v>
      </c>
      <c r="X4100" s="33">
        <v>1451</v>
      </c>
      <c r="Z4100" s="33" t="s">
        <v>42968</v>
      </c>
      <c r="AA4100" s="33">
        <v>3566</v>
      </c>
    </row>
    <row r="4101" spans="1:27" ht="12" customHeight="1" x14ac:dyDescent="0.15">
      <c r="A4101" s="33" t="s">
        <v>20937</v>
      </c>
      <c r="B4101" s="33">
        <v>19</v>
      </c>
      <c r="C4101" s="33" t="s">
        <v>14</v>
      </c>
      <c r="D4101" s="33" t="s">
        <v>79</v>
      </c>
      <c r="F4101" s="67">
        <v>42469</v>
      </c>
      <c r="G4101" s="33" t="s">
        <v>22115</v>
      </c>
      <c r="H4101" s="33" t="s">
        <v>1033</v>
      </c>
      <c r="I4101" s="33" t="s">
        <v>376</v>
      </c>
      <c r="J4101" s="33">
        <v>19141</v>
      </c>
      <c r="K4101" s="33" t="s">
        <v>1033</v>
      </c>
      <c r="L4101" s="33" t="s">
        <v>1034</v>
      </c>
      <c r="M4101" s="33" t="s">
        <v>21</v>
      </c>
      <c r="N4101" s="33" t="s">
        <v>20938</v>
      </c>
      <c r="O4101" s="33" t="s">
        <v>372</v>
      </c>
      <c r="P4101" s="33" t="s">
        <v>30089</v>
      </c>
      <c r="Q4101" s="40" t="s">
        <v>20939</v>
      </c>
      <c r="R4101" s="33" t="s">
        <v>94</v>
      </c>
      <c r="S4101" s="33" t="s">
        <v>22</v>
      </c>
      <c r="T4101" s="33" t="s">
        <v>26781</v>
      </c>
      <c r="U4101" s="33" t="s">
        <v>26572</v>
      </c>
      <c r="V4101" s="33" t="s">
        <v>26574</v>
      </c>
      <c r="W4101" s="33" t="s">
        <v>94</v>
      </c>
      <c r="X4101" s="33">
        <v>1453</v>
      </c>
      <c r="Y4101" s="33" t="s">
        <v>42476</v>
      </c>
      <c r="Z4101" s="33" t="s">
        <v>42966</v>
      </c>
      <c r="AA4101" s="33">
        <v>3564</v>
      </c>
    </row>
    <row r="4102" spans="1:27" ht="12" customHeight="1" x14ac:dyDescent="0.15">
      <c r="A4102" s="33" t="s">
        <v>20930</v>
      </c>
      <c r="B4102" s="33">
        <v>27</v>
      </c>
      <c r="C4102" s="33" t="s">
        <v>14</v>
      </c>
      <c r="D4102" s="33" t="s">
        <v>79</v>
      </c>
      <c r="E4102" s="33" t="s">
        <v>20931</v>
      </c>
      <c r="F4102" s="67">
        <v>42469</v>
      </c>
      <c r="G4102" s="33" t="s">
        <v>20932</v>
      </c>
      <c r="H4102" s="33" t="s">
        <v>20933</v>
      </c>
      <c r="I4102" s="33" t="s">
        <v>75</v>
      </c>
      <c r="J4102" s="33" t="s">
        <v>21224</v>
      </c>
      <c r="K4102" s="33" t="s">
        <v>2043</v>
      </c>
      <c r="L4102" s="33" t="s">
        <v>20934</v>
      </c>
      <c r="M4102" s="33" t="s">
        <v>21</v>
      </c>
      <c r="N4102" s="33" t="s">
        <v>20935</v>
      </c>
      <c r="O4102" s="33" t="s">
        <v>372</v>
      </c>
      <c r="P4102" s="33" t="s">
        <v>30089</v>
      </c>
      <c r="Q4102" s="40" t="s">
        <v>20936</v>
      </c>
      <c r="R4102" s="33" t="s">
        <v>94</v>
      </c>
      <c r="S4102" s="33" t="s">
        <v>22</v>
      </c>
      <c r="T4102" s="33" t="s">
        <v>26781</v>
      </c>
      <c r="U4102" s="33" t="s">
        <v>26572</v>
      </c>
      <c r="V4102" s="33" t="s">
        <v>26574</v>
      </c>
      <c r="W4102" s="33" t="s">
        <v>94</v>
      </c>
      <c r="X4102" s="33">
        <v>1447</v>
      </c>
      <c r="Z4102" s="33" t="s">
        <v>42968</v>
      </c>
      <c r="AA4102" s="33">
        <v>3563</v>
      </c>
    </row>
    <row r="4103" spans="1:27" ht="12" customHeight="1" x14ac:dyDescent="0.15">
      <c r="A4103" s="33" t="s">
        <v>20924</v>
      </c>
      <c r="B4103" s="33">
        <v>43</v>
      </c>
      <c r="C4103" s="33" t="s">
        <v>14</v>
      </c>
      <c r="D4103" s="33" t="s">
        <v>79</v>
      </c>
      <c r="E4103" s="33" t="s">
        <v>20925</v>
      </c>
      <c r="F4103" s="67">
        <v>42468</v>
      </c>
      <c r="G4103" s="33" t="s">
        <v>20926</v>
      </c>
      <c r="H4103" s="33" t="s">
        <v>17093</v>
      </c>
      <c r="I4103" s="33" t="s">
        <v>51</v>
      </c>
      <c r="J4103" s="33">
        <v>49512</v>
      </c>
      <c r="K4103" s="33" t="s">
        <v>2350</v>
      </c>
      <c r="L4103" s="33" t="s">
        <v>17094</v>
      </c>
      <c r="M4103" s="33" t="s">
        <v>21</v>
      </c>
      <c r="N4103" s="33" t="s">
        <v>20969</v>
      </c>
      <c r="O4103" s="33" t="s">
        <v>372</v>
      </c>
      <c r="P4103" s="33" t="s">
        <v>30089</v>
      </c>
      <c r="Q4103" s="40" t="s">
        <v>20927</v>
      </c>
      <c r="R4103" s="33" t="s">
        <v>94</v>
      </c>
      <c r="S4103" s="33" t="s">
        <v>22</v>
      </c>
      <c r="T4103" s="33" t="s">
        <v>26774</v>
      </c>
      <c r="U4103" s="33" t="s">
        <v>26570</v>
      </c>
      <c r="V4103" s="33" t="s">
        <v>26573</v>
      </c>
      <c r="W4103" s="33" t="s">
        <v>512</v>
      </c>
      <c r="X4103" s="33">
        <v>1448</v>
      </c>
      <c r="Z4103" s="33" t="s">
        <v>42968</v>
      </c>
      <c r="AA4103" s="33">
        <v>3562</v>
      </c>
    </row>
    <row r="4104" spans="1:27" ht="12" customHeight="1" x14ac:dyDescent="0.15">
      <c r="A4104" s="33" t="s">
        <v>21180</v>
      </c>
      <c r="B4104" s="33">
        <v>25</v>
      </c>
      <c r="C4104" s="33" t="s">
        <v>103</v>
      </c>
      <c r="D4104" s="33" t="s">
        <v>31</v>
      </c>
      <c r="F4104" s="67">
        <v>42468</v>
      </c>
      <c r="G4104" s="33" t="s">
        <v>21181</v>
      </c>
      <c r="H4104" s="33" t="s">
        <v>21182</v>
      </c>
      <c r="I4104" s="33" t="s">
        <v>409</v>
      </c>
      <c r="J4104" s="33">
        <v>54729</v>
      </c>
      <c r="K4104" s="33" t="s">
        <v>5541</v>
      </c>
      <c r="L4104" s="33" t="s">
        <v>21183</v>
      </c>
      <c r="M4104" s="33" t="s">
        <v>21</v>
      </c>
      <c r="N4104" s="33" t="s">
        <v>20928</v>
      </c>
      <c r="O4104" s="33" t="s">
        <v>507</v>
      </c>
      <c r="P4104" s="33" t="s">
        <v>30089</v>
      </c>
      <c r="Q4104" s="40" t="s">
        <v>20929</v>
      </c>
      <c r="R4104" s="33" t="s">
        <v>512</v>
      </c>
      <c r="S4104" s="33" t="s">
        <v>22</v>
      </c>
      <c r="T4104" s="33" t="s">
        <v>26585</v>
      </c>
      <c r="U4104" s="33" t="s">
        <v>26570</v>
      </c>
      <c r="V4104" s="33" t="s">
        <v>26573</v>
      </c>
      <c r="W4104" s="33" t="s">
        <v>94</v>
      </c>
      <c r="X4104" s="33">
        <v>1446</v>
      </c>
      <c r="Z4104" s="33" t="s">
        <v>42967</v>
      </c>
      <c r="AA4104" s="33">
        <v>3560</v>
      </c>
    </row>
    <row r="4105" spans="1:27" ht="12" customHeight="1" x14ac:dyDescent="0.15">
      <c r="A4105" s="33" t="s">
        <v>20922</v>
      </c>
      <c r="B4105" s="33">
        <v>40</v>
      </c>
      <c r="C4105" s="33" t="s">
        <v>14</v>
      </c>
      <c r="D4105" s="33" t="s">
        <v>79</v>
      </c>
      <c r="F4105" s="67">
        <v>42468</v>
      </c>
      <c r="G4105" s="33" t="s">
        <v>22116</v>
      </c>
      <c r="H4105" s="33" t="s">
        <v>1537</v>
      </c>
      <c r="I4105" s="33" t="s">
        <v>39</v>
      </c>
      <c r="J4105" s="33">
        <v>95823</v>
      </c>
      <c r="K4105" s="33" t="s">
        <v>1537</v>
      </c>
      <c r="L4105" s="33" t="s">
        <v>2166</v>
      </c>
      <c r="M4105" s="33" t="s">
        <v>21</v>
      </c>
      <c r="N4105" s="33" t="s">
        <v>20970</v>
      </c>
      <c r="O4105" s="33" t="s">
        <v>372</v>
      </c>
      <c r="P4105" s="33" t="s">
        <v>30089</v>
      </c>
      <c r="Q4105" s="40" t="s">
        <v>20923</v>
      </c>
      <c r="R4105" s="33" t="s">
        <v>512</v>
      </c>
      <c r="S4105" s="33" t="s">
        <v>22</v>
      </c>
      <c r="T4105" s="33" t="s">
        <v>26774</v>
      </c>
      <c r="U4105" s="33" t="s">
        <v>26570</v>
      </c>
      <c r="V4105" s="33" t="s">
        <v>26574</v>
      </c>
      <c r="W4105" s="33" t="s">
        <v>94</v>
      </c>
      <c r="X4105" s="33">
        <v>1444</v>
      </c>
      <c r="Z4105" s="33" t="s">
        <v>42968</v>
      </c>
      <c r="AA4105" s="33">
        <v>3561</v>
      </c>
    </row>
    <row r="4106" spans="1:27" ht="12" customHeight="1" x14ac:dyDescent="0.15">
      <c r="A4106" s="33" t="s">
        <v>20919</v>
      </c>
      <c r="B4106" s="33">
        <v>45</v>
      </c>
      <c r="C4106" s="33" t="s">
        <v>14</v>
      </c>
      <c r="D4106" s="33" t="s">
        <v>42</v>
      </c>
      <c r="F4106" s="67">
        <v>42467</v>
      </c>
      <c r="G4106" s="33" t="s">
        <v>21101</v>
      </c>
      <c r="H4106" s="33" t="s">
        <v>886</v>
      </c>
      <c r="I4106" s="33" t="s">
        <v>39</v>
      </c>
      <c r="J4106" s="33">
        <v>94110</v>
      </c>
      <c r="K4106" s="33" t="s">
        <v>886</v>
      </c>
      <c r="L4106" s="33" t="s">
        <v>887</v>
      </c>
      <c r="M4106" s="33" t="s">
        <v>21</v>
      </c>
      <c r="N4106" s="33" t="s">
        <v>20920</v>
      </c>
      <c r="O4106" s="33" t="s">
        <v>372</v>
      </c>
      <c r="P4106" s="33" t="s">
        <v>30089</v>
      </c>
      <c r="Q4106" s="40" t="s">
        <v>20921</v>
      </c>
      <c r="R4106" s="33" t="s">
        <v>23</v>
      </c>
      <c r="S4106" s="33" t="s">
        <v>22</v>
      </c>
      <c r="T4106" s="33" t="s">
        <v>26774</v>
      </c>
      <c r="U4106" s="33" t="s">
        <v>26570</v>
      </c>
      <c r="V4106" s="33" t="s">
        <v>26573</v>
      </c>
      <c r="W4106" s="33" t="s">
        <v>94</v>
      </c>
      <c r="X4106" s="33">
        <v>1443</v>
      </c>
      <c r="Z4106" s="33" t="s">
        <v>42966</v>
      </c>
      <c r="AA4106" s="33">
        <v>3558</v>
      </c>
    </row>
    <row r="4107" spans="1:27" ht="12" customHeight="1" x14ac:dyDescent="0.15">
      <c r="A4107" s="33" t="s">
        <v>20916</v>
      </c>
      <c r="B4107" s="33">
        <v>44</v>
      </c>
      <c r="C4107" s="33" t="s">
        <v>14</v>
      </c>
      <c r="D4107" s="33" t="s">
        <v>31</v>
      </c>
      <c r="E4107" s="33" t="s">
        <v>20917</v>
      </c>
      <c r="F4107" s="67">
        <v>42467</v>
      </c>
      <c r="G4107" s="33" t="s">
        <v>21184</v>
      </c>
      <c r="H4107" s="33" t="s">
        <v>1522</v>
      </c>
      <c r="I4107" s="33" t="s">
        <v>432</v>
      </c>
      <c r="J4107" s="33">
        <v>68107</v>
      </c>
      <c r="K4107" s="33" t="s">
        <v>882</v>
      </c>
      <c r="L4107" s="33" t="s">
        <v>2101</v>
      </c>
      <c r="M4107" s="33" t="s">
        <v>21</v>
      </c>
      <c r="N4107" s="33" t="s">
        <v>21331</v>
      </c>
      <c r="O4107" s="33" t="s">
        <v>372</v>
      </c>
      <c r="P4107" s="33" t="s">
        <v>30089</v>
      </c>
      <c r="Q4107" s="40" t="s">
        <v>20918</v>
      </c>
      <c r="R4107" s="33" t="s">
        <v>94</v>
      </c>
      <c r="S4107" s="33" t="s">
        <v>351</v>
      </c>
      <c r="T4107" s="33" t="s">
        <v>26867</v>
      </c>
      <c r="U4107" s="33" t="s">
        <v>26572</v>
      </c>
      <c r="V4107" s="33" t="s">
        <v>26573</v>
      </c>
      <c r="W4107" s="33" t="s">
        <v>94</v>
      </c>
      <c r="X4107" s="33">
        <v>1445</v>
      </c>
      <c r="Z4107" s="33" t="s">
        <v>42966</v>
      </c>
      <c r="AA4107" s="33">
        <v>3559</v>
      </c>
    </row>
    <row r="4108" spans="1:27" ht="12" customHeight="1" x14ac:dyDescent="0.15">
      <c r="A4108" s="33" t="s">
        <v>21189</v>
      </c>
      <c r="B4108" s="33">
        <v>39</v>
      </c>
      <c r="C4108" s="33" t="s">
        <v>14</v>
      </c>
      <c r="D4108" s="33" t="s">
        <v>31</v>
      </c>
      <c r="F4108" s="67">
        <v>42466</v>
      </c>
      <c r="G4108" s="33" t="s">
        <v>21190</v>
      </c>
      <c r="H4108" s="33" t="s">
        <v>3277</v>
      </c>
      <c r="I4108" s="33" t="s">
        <v>56</v>
      </c>
      <c r="J4108" s="33">
        <v>34208</v>
      </c>
      <c r="K4108" s="33" t="s">
        <v>3279</v>
      </c>
      <c r="L4108" s="33" t="s">
        <v>3280</v>
      </c>
      <c r="M4108" s="33" t="s">
        <v>363</v>
      </c>
      <c r="N4108" s="33" t="s">
        <v>21314</v>
      </c>
      <c r="O4108" s="33" t="s">
        <v>372</v>
      </c>
      <c r="P4108" s="33" t="s">
        <v>30089</v>
      </c>
      <c r="Q4108" s="40" t="s">
        <v>21315</v>
      </c>
      <c r="R4108" s="33" t="s">
        <v>23</v>
      </c>
      <c r="S4108" s="33" t="s">
        <v>12</v>
      </c>
      <c r="T4108" s="33" t="s">
        <v>29705</v>
      </c>
      <c r="U4108" s="33" t="s">
        <v>26570</v>
      </c>
      <c r="V4108" s="33" t="s">
        <v>26573</v>
      </c>
      <c r="Z4108" s="33" t="s">
        <v>42968</v>
      </c>
      <c r="AA4108" s="33">
        <v>3557</v>
      </c>
    </row>
    <row r="4109" spans="1:27" ht="12" customHeight="1" x14ac:dyDescent="0.15">
      <c r="A4109" s="33" t="s">
        <v>20901</v>
      </c>
      <c r="B4109" s="33">
        <v>20</v>
      </c>
      <c r="C4109" s="33" t="s">
        <v>14</v>
      </c>
      <c r="D4109" s="33" t="s">
        <v>42</v>
      </c>
      <c r="F4109" s="67">
        <v>42466</v>
      </c>
      <c r="G4109" s="33" t="s">
        <v>21102</v>
      </c>
      <c r="H4109" s="33" t="s">
        <v>92</v>
      </c>
      <c r="I4109" s="33" t="s">
        <v>39</v>
      </c>
      <c r="J4109" s="33">
        <v>91342</v>
      </c>
      <c r="K4109" s="33" t="s">
        <v>92</v>
      </c>
      <c r="L4109" s="33" t="s">
        <v>93</v>
      </c>
      <c r="M4109" s="33" t="s">
        <v>4966</v>
      </c>
      <c r="N4109" s="33" t="s">
        <v>20902</v>
      </c>
      <c r="O4109" s="33" t="s">
        <v>372</v>
      </c>
      <c r="P4109" s="33" t="s">
        <v>30089</v>
      </c>
      <c r="Q4109" s="40" t="s">
        <v>20903</v>
      </c>
      <c r="R4109" s="33" t="s">
        <v>512</v>
      </c>
      <c r="S4109" s="33" t="s">
        <v>22</v>
      </c>
      <c r="T4109" s="33" t="s">
        <v>26774</v>
      </c>
      <c r="U4109" s="33" t="s">
        <v>26572</v>
      </c>
      <c r="V4109" s="33" t="s">
        <v>26573</v>
      </c>
      <c r="W4109" s="33" t="s">
        <v>94</v>
      </c>
      <c r="X4109" s="33">
        <v>1442</v>
      </c>
      <c r="Z4109" s="33" t="s">
        <v>42968</v>
      </c>
      <c r="AA4109" s="33">
        <v>3556</v>
      </c>
    </row>
    <row r="4110" spans="1:27" ht="12" customHeight="1" x14ac:dyDescent="0.15">
      <c r="A4110" s="33" t="s">
        <v>20913</v>
      </c>
      <c r="B4110" s="33">
        <v>40</v>
      </c>
      <c r="C4110" s="33" t="s">
        <v>103</v>
      </c>
      <c r="D4110" s="33" t="s">
        <v>79</v>
      </c>
      <c r="F4110" s="67">
        <v>42466</v>
      </c>
      <c r="G4110" s="33" t="s">
        <v>22117</v>
      </c>
      <c r="H4110" s="33" t="s">
        <v>9569</v>
      </c>
      <c r="I4110" s="33" t="s">
        <v>298</v>
      </c>
      <c r="J4110" s="33">
        <v>37066</v>
      </c>
      <c r="K4110" s="33" t="s">
        <v>572</v>
      </c>
      <c r="L4110" s="33" t="s">
        <v>20914</v>
      </c>
      <c r="M4110" s="33" t="s">
        <v>21</v>
      </c>
      <c r="N4110" s="33" t="s">
        <v>20971</v>
      </c>
      <c r="O4110" s="33" t="s">
        <v>372</v>
      </c>
      <c r="P4110" s="33" t="s">
        <v>30089</v>
      </c>
      <c r="Q4110" s="40" t="s">
        <v>20915</v>
      </c>
      <c r="R4110" s="33" t="s">
        <v>23</v>
      </c>
      <c r="S4110" s="33" t="s">
        <v>22</v>
      </c>
      <c r="T4110" s="33" t="s">
        <v>26627</v>
      </c>
      <c r="U4110" s="33" t="s">
        <v>26572</v>
      </c>
      <c r="V4110" s="33" t="s">
        <v>26573</v>
      </c>
      <c r="W4110" s="33" t="s">
        <v>512</v>
      </c>
      <c r="X4110" s="33">
        <v>1441</v>
      </c>
      <c r="Z4110" s="33" t="s">
        <v>42968</v>
      </c>
      <c r="AA4110" s="33">
        <v>3555</v>
      </c>
    </row>
    <row r="4111" spans="1:27" ht="12" customHeight="1" x14ac:dyDescent="0.15">
      <c r="A4111" s="33" t="s">
        <v>21186</v>
      </c>
      <c r="B4111" s="33">
        <v>60</v>
      </c>
      <c r="C4111" s="33" t="s">
        <v>14</v>
      </c>
      <c r="D4111" s="33" t="s">
        <v>31</v>
      </c>
      <c r="F4111" s="67">
        <v>42466</v>
      </c>
      <c r="G4111" s="33" t="s">
        <v>21187</v>
      </c>
      <c r="H4111" s="33" t="s">
        <v>21188</v>
      </c>
      <c r="I4111" s="33" t="s">
        <v>63</v>
      </c>
      <c r="J4111" s="33">
        <v>45656</v>
      </c>
      <c r="K4111" s="33" t="s">
        <v>404</v>
      </c>
      <c r="L4111" s="33" t="s">
        <v>8407</v>
      </c>
      <c r="M4111" s="33" t="s">
        <v>21</v>
      </c>
      <c r="N4111" s="33" t="s">
        <v>21238</v>
      </c>
      <c r="O4111" s="33" t="s">
        <v>372</v>
      </c>
      <c r="P4111" s="33" t="s">
        <v>30089</v>
      </c>
      <c r="Q4111" s="40" t="s">
        <v>21307</v>
      </c>
      <c r="R4111" s="33" t="s">
        <v>94</v>
      </c>
      <c r="S4111" s="33" t="s">
        <v>22</v>
      </c>
      <c r="T4111" s="33" t="s">
        <v>26627</v>
      </c>
      <c r="U4111" s="33" t="s">
        <v>26570</v>
      </c>
      <c r="V4111" s="33" t="s">
        <v>26573</v>
      </c>
      <c r="W4111" s="33" t="s">
        <v>94</v>
      </c>
      <c r="X4111" s="33">
        <v>1439</v>
      </c>
      <c r="Z4111" s="33" t="s">
        <v>42967</v>
      </c>
      <c r="AA4111" s="33">
        <v>3554</v>
      </c>
    </row>
    <row r="4112" spans="1:27" ht="12" customHeight="1" x14ac:dyDescent="0.15">
      <c r="A4112" s="33" t="s">
        <v>20904</v>
      </c>
      <c r="B4112" s="33">
        <v>44</v>
      </c>
      <c r="C4112" s="33" t="s">
        <v>14</v>
      </c>
      <c r="D4112" s="33" t="s">
        <v>79</v>
      </c>
      <c r="E4112" s="33" t="s">
        <v>20905</v>
      </c>
      <c r="F4112" s="67">
        <v>42465</v>
      </c>
      <c r="G4112" s="33" t="s">
        <v>20906</v>
      </c>
      <c r="H4112" s="33" t="s">
        <v>197</v>
      </c>
      <c r="I4112" s="33" t="s">
        <v>198</v>
      </c>
      <c r="J4112" s="33">
        <v>46201</v>
      </c>
      <c r="K4112" s="33" t="s">
        <v>392</v>
      </c>
      <c r="L4112" s="33" t="s">
        <v>199</v>
      </c>
      <c r="M4112" s="33" t="s">
        <v>21</v>
      </c>
      <c r="N4112" s="33" t="s">
        <v>20972</v>
      </c>
      <c r="O4112" s="33" t="s">
        <v>372</v>
      </c>
      <c r="P4112" s="33" t="s">
        <v>30089</v>
      </c>
      <c r="Q4112" s="40" t="s">
        <v>20907</v>
      </c>
      <c r="R4112" s="33" t="s">
        <v>23</v>
      </c>
      <c r="S4112" s="33" t="s">
        <v>12</v>
      </c>
      <c r="T4112" s="33" t="s">
        <v>29705</v>
      </c>
      <c r="U4112" s="33" t="s">
        <v>26572</v>
      </c>
      <c r="V4112" s="33" t="s">
        <v>26573</v>
      </c>
      <c r="W4112" s="33" t="s">
        <v>512</v>
      </c>
      <c r="X4112" s="33">
        <v>1438</v>
      </c>
      <c r="Z4112" s="33" t="s">
        <v>42966</v>
      </c>
      <c r="AA4112" s="33">
        <v>3553</v>
      </c>
    </row>
    <row r="4113" spans="1:27" ht="12" customHeight="1" x14ac:dyDescent="0.15">
      <c r="A4113" s="33" t="s">
        <v>20908</v>
      </c>
      <c r="B4113" s="33">
        <v>52</v>
      </c>
      <c r="C4113" s="33" t="s">
        <v>14</v>
      </c>
      <c r="D4113" s="33" t="s">
        <v>31</v>
      </c>
      <c r="E4113" s="33" t="s">
        <v>20909</v>
      </c>
      <c r="F4113" s="67">
        <v>42465</v>
      </c>
      <c r="G4113" s="33" t="s">
        <v>21191</v>
      </c>
      <c r="H4113" s="33" t="s">
        <v>20910</v>
      </c>
      <c r="I4113" s="33" t="s">
        <v>40</v>
      </c>
      <c r="J4113" s="33" t="s">
        <v>21223</v>
      </c>
      <c r="K4113" s="33" t="s">
        <v>8092</v>
      </c>
      <c r="L4113" s="33" t="s">
        <v>21192</v>
      </c>
      <c r="M4113" s="33" t="s">
        <v>21</v>
      </c>
      <c r="N4113" s="33" t="s">
        <v>20911</v>
      </c>
      <c r="O4113" s="33" t="s">
        <v>372</v>
      </c>
      <c r="P4113" s="33" t="s">
        <v>30089</v>
      </c>
      <c r="Q4113" s="40" t="s">
        <v>20912</v>
      </c>
      <c r="R4113" s="33" t="s">
        <v>512</v>
      </c>
      <c r="S4113" s="33" t="s">
        <v>22</v>
      </c>
      <c r="T4113" s="33" t="s">
        <v>26774</v>
      </c>
      <c r="U4113" s="33" t="s">
        <v>26570</v>
      </c>
      <c r="V4113" s="33" t="s">
        <v>26573</v>
      </c>
      <c r="W4113" s="33" t="s">
        <v>94</v>
      </c>
      <c r="X4113" s="33">
        <v>1437</v>
      </c>
      <c r="Z4113" s="33" t="s">
        <v>42968</v>
      </c>
      <c r="AA4113" s="33">
        <v>3552</v>
      </c>
    </row>
    <row r="4114" spans="1:27" ht="12" customHeight="1" x14ac:dyDescent="0.15">
      <c r="A4114" s="33" t="s">
        <v>21103</v>
      </c>
      <c r="B4114" s="33">
        <v>50</v>
      </c>
      <c r="C4114" s="33" t="s">
        <v>14</v>
      </c>
      <c r="D4114" s="33" t="s">
        <v>42</v>
      </c>
      <c r="E4114" s="33" t="s">
        <v>20898</v>
      </c>
      <c r="F4114" s="67">
        <v>42464</v>
      </c>
      <c r="G4114" s="33" t="s">
        <v>21104</v>
      </c>
      <c r="H4114" s="33" t="s">
        <v>6191</v>
      </c>
      <c r="I4114" s="33" t="s">
        <v>122</v>
      </c>
      <c r="J4114" s="33">
        <v>55404</v>
      </c>
      <c r="K4114" s="33" t="s">
        <v>1009</v>
      </c>
      <c r="L4114" s="33" t="s">
        <v>15162</v>
      </c>
      <c r="M4114" s="33" t="s">
        <v>21</v>
      </c>
      <c r="N4114" s="33" t="s">
        <v>20899</v>
      </c>
      <c r="O4114" s="33" t="s">
        <v>372</v>
      </c>
      <c r="P4114" s="33" t="s">
        <v>30089</v>
      </c>
      <c r="Q4114" s="40" t="s">
        <v>20900</v>
      </c>
      <c r="R4114" s="33" t="s">
        <v>512</v>
      </c>
      <c r="S4114" s="33" t="s">
        <v>22</v>
      </c>
      <c r="T4114" s="33" t="s">
        <v>26774</v>
      </c>
      <c r="U4114" s="33" t="s">
        <v>26572</v>
      </c>
      <c r="V4114" s="33" t="s">
        <v>26573</v>
      </c>
      <c r="W4114" s="33" t="s">
        <v>94</v>
      </c>
      <c r="X4114" s="33">
        <v>1428</v>
      </c>
      <c r="Z4114" s="33" t="s">
        <v>42966</v>
      </c>
      <c r="AA4114" s="33">
        <v>3551</v>
      </c>
    </row>
    <row r="4115" spans="1:27" ht="12" customHeight="1" x14ac:dyDescent="0.15">
      <c r="A4115" s="33" t="s">
        <v>21194</v>
      </c>
      <c r="B4115" s="33">
        <v>25</v>
      </c>
      <c r="C4115" s="33" t="s">
        <v>14</v>
      </c>
      <c r="D4115" s="33" t="s">
        <v>31</v>
      </c>
      <c r="E4115" s="33" t="s">
        <v>20886</v>
      </c>
      <c r="F4115" s="67">
        <v>42463</v>
      </c>
      <c r="G4115" s="33" t="s">
        <v>21195</v>
      </c>
      <c r="H4115" s="33" t="s">
        <v>1227</v>
      </c>
      <c r="I4115" s="33" t="s">
        <v>67</v>
      </c>
      <c r="J4115" s="33">
        <v>78703</v>
      </c>
      <c r="K4115" s="33" t="s">
        <v>1228</v>
      </c>
      <c r="L4115" s="33" t="s">
        <v>1229</v>
      </c>
      <c r="M4115" s="33" t="s">
        <v>21</v>
      </c>
      <c r="N4115" s="33" t="s">
        <v>20887</v>
      </c>
      <c r="O4115" s="33" t="s">
        <v>372</v>
      </c>
      <c r="P4115" s="33" t="s">
        <v>30089</v>
      </c>
      <c r="Q4115" s="40" t="s">
        <v>20886</v>
      </c>
      <c r="R4115" s="33" t="s">
        <v>23</v>
      </c>
      <c r="S4115" s="33" t="s">
        <v>22</v>
      </c>
      <c r="T4115" s="33" t="s">
        <v>26781</v>
      </c>
      <c r="U4115" s="33" t="s">
        <v>26572</v>
      </c>
      <c r="V4115" s="33" t="s">
        <v>26574</v>
      </c>
      <c r="W4115" s="33" t="s">
        <v>94</v>
      </c>
      <c r="X4115" s="33">
        <v>1431</v>
      </c>
      <c r="Z4115" s="33" t="s">
        <v>42968</v>
      </c>
      <c r="AA4115" s="33">
        <v>3547</v>
      </c>
    </row>
    <row r="4116" spans="1:27" ht="12" customHeight="1" x14ac:dyDescent="0.15">
      <c r="A4116" s="33" t="s">
        <v>20893</v>
      </c>
      <c r="B4116" s="33">
        <v>36</v>
      </c>
      <c r="C4116" s="33" t="s">
        <v>103</v>
      </c>
      <c r="D4116" s="33" t="s">
        <v>31</v>
      </c>
      <c r="E4116" s="33" t="s">
        <v>20894</v>
      </c>
      <c r="F4116" s="67">
        <v>42463</v>
      </c>
      <c r="G4116" s="33" t="s">
        <v>21196</v>
      </c>
      <c r="H4116" s="33" t="s">
        <v>20895</v>
      </c>
      <c r="I4116" s="33" t="s">
        <v>88</v>
      </c>
      <c r="J4116" s="33">
        <v>36866</v>
      </c>
      <c r="K4116" s="33" t="s">
        <v>1447</v>
      </c>
      <c r="L4116" s="33" t="s">
        <v>10523</v>
      </c>
      <c r="M4116" s="33" t="s">
        <v>21</v>
      </c>
      <c r="N4116" s="33" t="s">
        <v>20896</v>
      </c>
      <c r="O4116" s="33" t="s">
        <v>507</v>
      </c>
      <c r="P4116" s="33" t="s">
        <v>30089</v>
      </c>
      <c r="Q4116" s="40" t="s">
        <v>20897</v>
      </c>
      <c r="R4116" s="33" t="s">
        <v>512</v>
      </c>
      <c r="S4116" s="33" t="s">
        <v>29</v>
      </c>
      <c r="T4116" s="33" t="s">
        <v>26576</v>
      </c>
      <c r="U4116" s="33" t="s">
        <v>26570</v>
      </c>
      <c r="V4116" s="33" t="s">
        <v>26573</v>
      </c>
      <c r="W4116" s="33" t="s">
        <v>512</v>
      </c>
      <c r="X4116" s="33">
        <v>1430</v>
      </c>
      <c r="Z4116" s="33" t="s">
        <v>42967</v>
      </c>
      <c r="AA4116" s="33">
        <v>3550</v>
      </c>
    </row>
    <row r="4117" spans="1:27" ht="12" customHeight="1" x14ac:dyDescent="0.15">
      <c r="A4117" s="33" t="s">
        <v>26709</v>
      </c>
      <c r="B4117" s="33">
        <v>48</v>
      </c>
      <c r="C4117" s="33" t="s">
        <v>14</v>
      </c>
      <c r="D4117" s="33" t="s">
        <v>31</v>
      </c>
      <c r="E4117" s="33" t="s">
        <v>29916</v>
      </c>
      <c r="F4117" s="67">
        <v>42463</v>
      </c>
      <c r="G4117" s="33" t="s">
        <v>29917</v>
      </c>
      <c r="H4117" s="33" t="s">
        <v>26708</v>
      </c>
      <c r="I4117" s="33" t="s">
        <v>19</v>
      </c>
      <c r="J4117" s="33" t="s">
        <v>29918</v>
      </c>
      <c r="K4117" s="33" t="s">
        <v>23339</v>
      </c>
      <c r="L4117" s="33" t="s">
        <v>13405</v>
      </c>
      <c r="M4117" s="33" t="s">
        <v>21</v>
      </c>
      <c r="N4117" s="33" t="s">
        <v>29919</v>
      </c>
      <c r="O4117" s="33" t="s">
        <v>950</v>
      </c>
      <c r="P4117" s="33" t="s">
        <v>30089</v>
      </c>
      <c r="Q4117" s="40" t="s">
        <v>29920</v>
      </c>
      <c r="R4117" s="33" t="s">
        <v>94</v>
      </c>
      <c r="S4117" s="33" t="s">
        <v>29</v>
      </c>
      <c r="T4117" s="33" t="s">
        <v>26575</v>
      </c>
      <c r="U4117" s="33" t="s">
        <v>26575</v>
      </c>
      <c r="W4117" s="33" t="s">
        <v>94</v>
      </c>
      <c r="X4117" s="33">
        <v>1845</v>
      </c>
      <c r="Z4117" s="33" t="s">
        <v>42967</v>
      </c>
      <c r="AA4117" s="33">
        <v>3549</v>
      </c>
    </row>
    <row r="4118" spans="1:27" ht="12" customHeight="1" x14ac:dyDescent="0.15">
      <c r="A4118" s="33" t="s">
        <v>21193</v>
      </c>
      <c r="B4118" s="33">
        <v>69</v>
      </c>
      <c r="C4118" s="33" t="s">
        <v>14</v>
      </c>
      <c r="D4118" s="33" t="s">
        <v>31</v>
      </c>
      <c r="F4118" s="67">
        <v>42463</v>
      </c>
      <c r="G4118" s="33" t="s">
        <v>20888</v>
      </c>
      <c r="H4118" s="33" t="s">
        <v>20889</v>
      </c>
      <c r="I4118" s="33" t="s">
        <v>409</v>
      </c>
      <c r="J4118" s="33">
        <v>54703</v>
      </c>
      <c r="K4118" s="33" t="s">
        <v>20889</v>
      </c>
      <c r="L4118" s="33" t="s">
        <v>20890</v>
      </c>
      <c r="M4118" s="33" t="s">
        <v>21</v>
      </c>
      <c r="N4118" s="33" t="s">
        <v>20891</v>
      </c>
      <c r="O4118" s="33" t="s">
        <v>372</v>
      </c>
      <c r="P4118" s="33" t="s">
        <v>30089</v>
      </c>
      <c r="Q4118" s="40" t="s">
        <v>20892</v>
      </c>
      <c r="R4118" s="33" t="s">
        <v>94</v>
      </c>
      <c r="S4118" s="33" t="s">
        <v>22</v>
      </c>
      <c r="T4118" s="33" t="s">
        <v>27803</v>
      </c>
      <c r="U4118" s="33" t="s">
        <v>26572</v>
      </c>
      <c r="V4118" s="33" t="s">
        <v>26573</v>
      </c>
      <c r="W4118" s="33" t="s">
        <v>94</v>
      </c>
      <c r="X4118" s="33">
        <v>1433</v>
      </c>
      <c r="Z4118" s="33" t="s">
        <v>42968</v>
      </c>
      <c r="AA4118" s="33">
        <v>3548</v>
      </c>
    </row>
    <row r="4119" spans="1:27" ht="12" customHeight="1" x14ac:dyDescent="0.15">
      <c r="A4119" s="33" t="s">
        <v>20876</v>
      </c>
      <c r="B4119" s="33">
        <v>30</v>
      </c>
      <c r="C4119" s="33" t="s">
        <v>14</v>
      </c>
      <c r="D4119" s="33" t="s">
        <v>79</v>
      </c>
      <c r="E4119" s="33" t="s">
        <v>20877</v>
      </c>
      <c r="F4119" s="67">
        <v>42462</v>
      </c>
      <c r="G4119" s="33" t="s">
        <v>20878</v>
      </c>
      <c r="H4119" s="33" t="s">
        <v>197</v>
      </c>
      <c r="I4119" s="33" t="s">
        <v>198</v>
      </c>
      <c r="J4119" s="33">
        <v>46222</v>
      </c>
      <c r="K4119" s="33" t="s">
        <v>392</v>
      </c>
      <c r="L4119" s="33" t="s">
        <v>199</v>
      </c>
      <c r="M4119" s="33" t="s">
        <v>21</v>
      </c>
      <c r="N4119" s="33" t="s">
        <v>20973</v>
      </c>
      <c r="O4119" s="33" t="s">
        <v>372</v>
      </c>
      <c r="P4119" s="33" t="s">
        <v>30089</v>
      </c>
      <c r="Q4119" s="40" t="s">
        <v>20879</v>
      </c>
      <c r="R4119" s="33" t="s">
        <v>94</v>
      </c>
      <c r="S4119" s="33" t="s">
        <v>22</v>
      </c>
      <c r="T4119" s="33" t="s">
        <v>26781</v>
      </c>
      <c r="U4119" s="33" t="s">
        <v>26572</v>
      </c>
      <c r="V4119" s="33" t="s">
        <v>26573</v>
      </c>
      <c r="W4119" s="33" t="s">
        <v>94</v>
      </c>
      <c r="X4119" s="33">
        <v>1432</v>
      </c>
      <c r="Z4119" s="33" t="s">
        <v>42966</v>
      </c>
      <c r="AA4119" s="33">
        <v>3546</v>
      </c>
    </row>
    <row r="4120" spans="1:27" ht="12" customHeight="1" x14ac:dyDescent="0.15">
      <c r="A4120" s="33" t="s">
        <v>20873</v>
      </c>
      <c r="B4120" s="33">
        <v>65</v>
      </c>
      <c r="C4120" s="33" t="s">
        <v>14</v>
      </c>
      <c r="D4120" s="33" t="s">
        <v>42</v>
      </c>
      <c r="F4120" s="67">
        <v>42461</v>
      </c>
      <c r="G4120" s="33" t="s">
        <v>21105</v>
      </c>
      <c r="H4120" s="33" t="s">
        <v>20874</v>
      </c>
      <c r="I4120" s="33" t="s">
        <v>67</v>
      </c>
      <c r="J4120" s="33">
        <v>78644</v>
      </c>
      <c r="K4120" s="33" t="s">
        <v>7861</v>
      </c>
      <c r="L4120" s="33" t="s">
        <v>24694</v>
      </c>
      <c r="M4120" s="33" t="s">
        <v>21</v>
      </c>
      <c r="N4120" s="33" t="s">
        <v>36715</v>
      </c>
      <c r="O4120" s="33" t="s">
        <v>372</v>
      </c>
      <c r="P4120" s="33" t="s">
        <v>30089</v>
      </c>
      <c r="Q4120" s="40" t="s">
        <v>20875</v>
      </c>
      <c r="R4120" s="33" t="s">
        <v>512</v>
      </c>
      <c r="S4120" s="33" t="s">
        <v>29</v>
      </c>
      <c r="T4120" s="33" t="s">
        <v>26604</v>
      </c>
      <c r="U4120" s="33" t="s">
        <v>26575</v>
      </c>
      <c r="V4120" s="33" t="s">
        <v>26573</v>
      </c>
      <c r="W4120" s="33" t="s">
        <v>94</v>
      </c>
      <c r="X4120" s="33">
        <v>1427</v>
      </c>
      <c r="Z4120" s="33" t="s">
        <v>42967</v>
      </c>
      <c r="AA4120" s="33">
        <v>3545</v>
      </c>
    </row>
    <row r="4121" spans="1:27" ht="12" customHeight="1" x14ac:dyDescent="0.15">
      <c r="A4121" s="33" t="s">
        <v>20880</v>
      </c>
      <c r="B4121" s="33">
        <v>37</v>
      </c>
      <c r="C4121" s="33" t="s">
        <v>14</v>
      </c>
      <c r="D4121" s="33" t="s">
        <v>42</v>
      </c>
      <c r="E4121" s="33" t="s">
        <v>20881</v>
      </c>
      <c r="F4121" s="67">
        <v>42461</v>
      </c>
      <c r="G4121" s="33" t="s">
        <v>20882</v>
      </c>
      <c r="H4121" s="33" t="s">
        <v>739</v>
      </c>
      <c r="I4121" s="33" t="s">
        <v>67</v>
      </c>
      <c r="J4121" s="33">
        <v>79761</v>
      </c>
      <c r="K4121" s="33" t="s">
        <v>740</v>
      </c>
      <c r="L4121" s="33" t="s">
        <v>20883</v>
      </c>
      <c r="M4121" s="33" t="s">
        <v>21</v>
      </c>
      <c r="N4121" s="33" t="s">
        <v>20884</v>
      </c>
      <c r="O4121" s="33" t="s">
        <v>372</v>
      </c>
      <c r="P4121" s="33" t="s">
        <v>30089</v>
      </c>
      <c r="Q4121" s="40" t="s">
        <v>20885</v>
      </c>
      <c r="R4121" s="33" t="s">
        <v>94</v>
      </c>
      <c r="S4121" s="33" t="s">
        <v>22</v>
      </c>
      <c r="T4121" s="33" t="s">
        <v>26781</v>
      </c>
      <c r="U4121" s="33" t="s">
        <v>26572</v>
      </c>
      <c r="V4121" s="33" t="s">
        <v>26573</v>
      </c>
      <c r="W4121" s="33" t="s">
        <v>94</v>
      </c>
      <c r="X4121" s="33">
        <v>1435</v>
      </c>
      <c r="Z4121" s="33" t="s">
        <v>42966</v>
      </c>
      <c r="AA4121" s="33">
        <v>3544</v>
      </c>
    </row>
    <row r="4122" spans="1:27" ht="12" customHeight="1" x14ac:dyDescent="0.15">
      <c r="A4122" s="33" t="s">
        <v>26707</v>
      </c>
      <c r="B4122" s="33">
        <v>31</v>
      </c>
      <c r="C4122" s="33" t="s">
        <v>14</v>
      </c>
      <c r="D4122" s="33" t="s">
        <v>79</v>
      </c>
      <c r="E4122" s="33" t="s">
        <v>29885</v>
      </c>
      <c r="F4122" s="67">
        <v>42460</v>
      </c>
      <c r="G4122" s="33" t="s">
        <v>29889</v>
      </c>
      <c r="H4122" s="33" t="s">
        <v>607</v>
      </c>
      <c r="I4122" s="33" t="s">
        <v>250</v>
      </c>
      <c r="J4122" s="33" t="s">
        <v>29886</v>
      </c>
      <c r="K4122" s="33" t="s">
        <v>527</v>
      </c>
      <c r="L4122" s="33" t="s">
        <v>528</v>
      </c>
      <c r="M4122" s="33" t="s">
        <v>21</v>
      </c>
      <c r="N4122" s="33" t="s">
        <v>29887</v>
      </c>
      <c r="O4122" s="33" t="s">
        <v>372</v>
      </c>
      <c r="P4122" s="33" t="s">
        <v>30089</v>
      </c>
      <c r="Q4122" s="40" t="s">
        <v>29888</v>
      </c>
      <c r="R4122" s="33" t="s">
        <v>94</v>
      </c>
      <c r="S4122" s="33" t="s">
        <v>22</v>
      </c>
      <c r="T4122" s="33" t="s">
        <v>26781</v>
      </c>
      <c r="U4122" s="33" t="s">
        <v>26572</v>
      </c>
      <c r="V4122" s="33" t="s">
        <v>26574</v>
      </c>
      <c r="W4122" s="33" t="s">
        <v>512</v>
      </c>
      <c r="X4122" s="33">
        <v>1846</v>
      </c>
      <c r="Z4122" s="33" t="s">
        <v>42968</v>
      </c>
      <c r="AA4122" s="33">
        <v>3543</v>
      </c>
    </row>
    <row r="4123" spans="1:27" ht="12" customHeight="1" x14ac:dyDescent="0.15">
      <c r="A4123" s="33" t="s">
        <v>20837</v>
      </c>
      <c r="B4123" s="33">
        <v>18</v>
      </c>
      <c r="C4123" s="33" t="s">
        <v>14</v>
      </c>
      <c r="D4123" s="33" t="s">
        <v>79</v>
      </c>
      <c r="E4123" s="33" t="s">
        <v>20838</v>
      </c>
      <c r="F4123" s="67">
        <v>42460</v>
      </c>
      <c r="G4123" s="33" t="s">
        <v>20836</v>
      </c>
      <c r="H4123" s="33" t="s">
        <v>1487</v>
      </c>
      <c r="I4123" s="33" t="s">
        <v>46</v>
      </c>
      <c r="J4123" s="33">
        <v>21202</v>
      </c>
      <c r="K4123" s="33" t="s">
        <v>4324</v>
      </c>
      <c r="L4123" s="33" t="s">
        <v>2556</v>
      </c>
      <c r="M4123" s="33" t="s">
        <v>21</v>
      </c>
      <c r="N4123" s="33" t="s">
        <v>20834</v>
      </c>
      <c r="O4123" s="33" t="s">
        <v>372</v>
      </c>
      <c r="P4123" s="33" t="s">
        <v>30089</v>
      </c>
      <c r="Q4123" s="40" t="s">
        <v>20835</v>
      </c>
      <c r="R4123" s="33" t="s">
        <v>94</v>
      </c>
      <c r="S4123" s="33" t="s">
        <v>22</v>
      </c>
      <c r="T4123" s="33" t="s">
        <v>26781</v>
      </c>
      <c r="U4123" s="33" t="s">
        <v>26572</v>
      </c>
      <c r="V4123" s="33" t="s">
        <v>26573</v>
      </c>
      <c r="W4123" s="33" t="s">
        <v>94</v>
      </c>
      <c r="X4123" s="33">
        <v>1424</v>
      </c>
      <c r="Z4123" s="33" t="s">
        <v>42966</v>
      </c>
      <c r="AA4123" s="33">
        <v>3540</v>
      </c>
    </row>
    <row r="4124" spans="1:27" ht="12" customHeight="1" x14ac:dyDescent="0.15">
      <c r="A4124" s="33" t="s">
        <v>20839</v>
      </c>
      <c r="B4124" s="33">
        <v>43</v>
      </c>
      <c r="C4124" s="33" t="s">
        <v>14</v>
      </c>
      <c r="D4124" s="33" t="s">
        <v>79</v>
      </c>
      <c r="E4124" s="33" t="s">
        <v>20838</v>
      </c>
      <c r="F4124" s="67">
        <v>42460</v>
      </c>
      <c r="G4124" s="33" t="s">
        <v>20836</v>
      </c>
      <c r="H4124" s="33" t="s">
        <v>1487</v>
      </c>
      <c r="I4124" s="33" t="s">
        <v>46</v>
      </c>
      <c r="J4124" s="33">
        <v>21202</v>
      </c>
      <c r="K4124" s="33" t="s">
        <v>4324</v>
      </c>
      <c r="L4124" s="33" t="s">
        <v>2556</v>
      </c>
      <c r="M4124" s="33" t="s">
        <v>21</v>
      </c>
      <c r="N4124" s="33" t="s">
        <v>20834</v>
      </c>
      <c r="O4124" s="33" t="s">
        <v>372</v>
      </c>
      <c r="P4124" s="33" t="s">
        <v>30089</v>
      </c>
      <c r="Q4124" s="40" t="s">
        <v>20835</v>
      </c>
      <c r="R4124" s="33" t="s">
        <v>94</v>
      </c>
      <c r="S4124" s="33" t="s">
        <v>22</v>
      </c>
      <c r="T4124" s="33" t="s">
        <v>26781</v>
      </c>
      <c r="U4124" s="33" t="s">
        <v>26572</v>
      </c>
      <c r="V4124" s="33" t="s">
        <v>26573</v>
      </c>
      <c r="W4124" s="33" t="s">
        <v>94</v>
      </c>
      <c r="X4124" s="33">
        <v>1425</v>
      </c>
      <c r="Z4124" s="33" t="s">
        <v>42966</v>
      </c>
      <c r="AA4124" s="33">
        <v>3541</v>
      </c>
    </row>
    <row r="4125" spans="1:27" ht="12" customHeight="1" x14ac:dyDescent="0.15">
      <c r="A4125" s="33" t="s">
        <v>525</v>
      </c>
      <c r="B4125" s="33">
        <v>34</v>
      </c>
      <c r="C4125" s="33" t="s">
        <v>14</v>
      </c>
      <c r="D4125" s="33" t="s">
        <v>79</v>
      </c>
      <c r="E4125" s="33" t="s">
        <v>20843</v>
      </c>
      <c r="F4125" s="67">
        <v>42460</v>
      </c>
      <c r="G4125" s="33" t="s">
        <v>20841</v>
      </c>
      <c r="H4125" s="33" t="s">
        <v>818</v>
      </c>
      <c r="I4125" s="33" t="s">
        <v>225</v>
      </c>
      <c r="J4125" s="33">
        <v>21202</v>
      </c>
      <c r="K4125" s="33" t="s">
        <v>17195</v>
      </c>
      <c r="L4125" s="33" t="s">
        <v>3061</v>
      </c>
      <c r="M4125" s="33" t="s">
        <v>21</v>
      </c>
      <c r="N4125" s="33" t="s">
        <v>20840</v>
      </c>
      <c r="O4125" s="33" t="s">
        <v>372</v>
      </c>
      <c r="P4125" s="33" t="s">
        <v>30089</v>
      </c>
      <c r="Q4125" s="40" t="s">
        <v>20842</v>
      </c>
      <c r="R4125" s="33" t="s">
        <v>94</v>
      </c>
      <c r="S4125" s="33" t="s">
        <v>22</v>
      </c>
      <c r="T4125" s="33" t="s">
        <v>26781</v>
      </c>
      <c r="U4125" s="33" t="s">
        <v>26572</v>
      </c>
      <c r="V4125" s="33" t="s">
        <v>26573</v>
      </c>
      <c r="W4125" s="33" t="s">
        <v>94</v>
      </c>
      <c r="X4125" s="33">
        <v>1426</v>
      </c>
      <c r="Z4125" s="33" t="s">
        <v>42966</v>
      </c>
      <c r="AA4125" s="33">
        <v>3542</v>
      </c>
    </row>
    <row r="4126" spans="1:27" ht="12" customHeight="1" x14ac:dyDescent="0.15">
      <c r="A4126" s="33" t="s">
        <v>19861</v>
      </c>
      <c r="B4126" s="33">
        <v>33</v>
      </c>
      <c r="C4126" s="33" t="s">
        <v>14</v>
      </c>
      <c r="D4126" s="33" t="s">
        <v>31</v>
      </c>
      <c r="F4126" s="67">
        <v>42459</v>
      </c>
      <c r="G4126" s="33" t="s">
        <v>19862</v>
      </c>
      <c r="H4126" s="33" t="s">
        <v>5494</v>
      </c>
      <c r="I4126" s="33" t="s">
        <v>39</v>
      </c>
      <c r="J4126" s="33">
        <v>90022</v>
      </c>
      <c r="K4126" s="33" t="s">
        <v>92</v>
      </c>
      <c r="L4126" s="33" t="s">
        <v>386</v>
      </c>
      <c r="M4126" s="33" t="s">
        <v>21</v>
      </c>
      <c r="N4126" s="33" t="s">
        <v>19863</v>
      </c>
      <c r="O4126" s="33" t="s">
        <v>372</v>
      </c>
      <c r="P4126" s="33" t="s">
        <v>30089</v>
      </c>
      <c r="Q4126" s="40" t="s">
        <v>19864</v>
      </c>
      <c r="R4126" s="33" t="s">
        <v>23</v>
      </c>
      <c r="S4126" s="33" t="s">
        <v>22</v>
      </c>
      <c r="T4126" s="33" t="s">
        <v>26781</v>
      </c>
      <c r="U4126" s="33" t="s">
        <v>26572</v>
      </c>
      <c r="V4126" s="33" t="s">
        <v>26574</v>
      </c>
      <c r="W4126" s="33" t="s">
        <v>94</v>
      </c>
      <c r="X4126" s="33">
        <v>1423</v>
      </c>
      <c r="Z4126" s="33" t="s">
        <v>42966</v>
      </c>
      <c r="AA4126" s="33">
        <v>3537</v>
      </c>
    </row>
    <row r="4127" spans="1:27" ht="12" customHeight="1" x14ac:dyDescent="0.15">
      <c r="A4127" s="33" t="s">
        <v>20975</v>
      </c>
      <c r="B4127" s="33">
        <v>25</v>
      </c>
      <c r="C4127" s="33" t="s">
        <v>14</v>
      </c>
      <c r="D4127" s="33" t="s">
        <v>42</v>
      </c>
      <c r="F4127" s="67">
        <v>42459</v>
      </c>
      <c r="G4127" s="33" t="s">
        <v>20986</v>
      </c>
      <c r="H4127" s="33" t="s">
        <v>3067</v>
      </c>
      <c r="I4127" s="33" t="s">
        <v>112</v>
      </c>
      <c r="J4127" s="33">
        <v>85303</v>
      </c>
      <c r="K4127" s="33" t="s">
        <v>585</v>
      </c>
      <c r="L4127" s="33" t="s">
        <v>586</v>
      </c>
      <c r="M4127" s="33" t="s">
        <v>21</v>
      </c>
      <c r="N4127" s="33" t="s">
        <v>20984</v>
      </c>
      <c r="O4127" s="33" t="s">
        <v>372</v>
      </c>
      <c r="P4127" s="33" t="s">
        <v>30089</v>
      </c>
      <c r="Q4127" s="40" t="s">
        <v>20985</v>
      </c>
      <c r="R4127" s="33" t="s">
        <v>94</v>
      </c>
      <c r="S4127" s="33" t="s">
        <v>22</v>
      </c>
      <c r="T4127" s="33" t="s">
        <v>26781</v>
      </c>
      <c r="U4127" s="33" t="s">
        <v>26575</v>
      </c>
      <c r="V4127" s="33" t="s">
        <v>26573</v>
      </c>
      <c r="W4127" s="33" t="s">
        <v>94</v>
      </c>
      <c r="X4127" s="33">
        <v>1436</v>
      </c>
      <c r="Z4127" s="33" t="s">
        <v>42968</v>
      </c>
      <c r="AA4127" s="33">
        <v>3538</v>
      </c>
    </row>
    <row r="4128" spans="1:27" ht="12" customHeight="1" x14ac:dyDescent="0.15">
      <c r="A4128" s="33" t="s">
        <v>21338</v>
      </c>
      <c r="B4128" s="33">
        <v>52</v>
      </c>
      <c r="C4128" s="33" t="s">
        <v>14</v>
      </c>
      <c r="D4128" s="33" t="s">
        <v>31</v>
      </c>
      <c r="F4128" s="67">
        <v>42459</v>
      </c>
      <c r="G4128" s="33" t="s">
        <v>21355</v>
      </c>
      <c r="H4128" s="33" t="s">
        <v>404</v>
      </c>
      <c r="I4128" s="33" t="s">
        <v>160</v>
      </c>
      <c r="J4128" s="33">
        <v>30233</v>
      </c>
      <c r="K4128" s="33" t="s">
        <v>21356</v>
      </c>
      <c r="L4128" s="33" t="s">
        <v>5717</v>
      </c>
      <c r="M4128" s="33" t="s">
        <v>21</v>
      </c>
      <c r="N4128" s="33" t="s">
        <v>21354</v>
      </c>
      <c r="O4128" s="33" t="s">
        <v>372</v>
      </c>
      <c r="P4128" s="33" t="s">
        <v>30089</v>
      </c>
      <c r="Q4128" s="40" t="s">
        <v>21351</v>
      </c>
      <c r="R4128" s="33" t="s">
        <v>94</v>
      </c>
      <c r="S4128" s="33" t="s">
        <v>22</v>
      </c>
      <c r="T4128" s="33" t="s">
        <v>26781</v>
      </c>
      <c r="U4128" s="33" t="s">
        <v>26572</v>
      </c>
      <c r="V4128" s="33" t="s">
        <v>26573</v>
      </c>
      <c r="W4128" s="33" t="s">
        <v>94</v>
      </c>
      <c r="X4128" s="33">
        <v>1514</v>
      </c>
      <c r="Z4128" s="33" t="s">
        <v>42967</v>
      </c>
      <c r="AA4128" s="33">
        <v>3539</v>
      </c>
    </row>
    <row r="4129" spans="1:27" ht="12" customHeight="1" x14ac:dyDescent="0.15">
      <c r="A4129" s="33" t="s">
        <v>20341</v>
      </c>
      <c r="B4129" s="33">
        <v>51</v>
      </c>
      <c r="C4129" s="33" t="s">
        <v>14</v>
      </c>
      <c r="D4129" s="33" t="s">
        <v>31</v>
      </c>
      <c r="F4129" s="67">
        <v>42458</v>
      </c>
      <c r="G4129" s="33" t="s">
        <v>20342</v>
      </c>
      <c r="H4129" s="33" t="s">
        <v>8576</v>
      </c>
      <c r="I4129" s="33" t="s">
        <v>26</v>
      </c>
      <c r="J4129" s="33" t="s">
        <v>8577</v>
      </c>
      <c r="K4129" s="33" t="s">
        <v>27</v>
      </c>
      <c r="L4129" s="33" t="s">
        <v>28</v>
      </c>
      <c r="M4129" s="33" t="s">
        <v>21</v>
      </c>
      <c r="N4129" s="33" t="s">
        <v>20343</v>
      </c>
      <c r="O4129" s="33" t="s">
        <v>372</v>
      </c>
      <c r="P4129" s="33" t="s">
        <v>30089</v>
      </c>
      <c r="Q4129" s="40" t="s">
        <v>20344</v>
      </c>
      <c r="R4129" s="33" t="s">
        <v>512</v>
      </c>
      <c r="S4129" s="33" t="s">
        <v>22</v>
      </c>
      <c r="T4129" s="33" t="s">
        <v>26781</v>
      </c>
      <c r="U4129" s="33" t="s">
        <v>26572</v>
      </c>
      <c r="V4129" s="33" t="s">
        <v>26573</v>
      </c>
      <c r="W4129" s="33" t="s">
        <v>94</v>
      </c>
      <c r="X4129" s="33">
        <v>1421</v>
      </c>
      <c r="Z4129" s="33" t="s">
        <v>42968</v>
      </c>
      <c r="AA4129" s="33">
        <v>3535</v>
      </c>
    </row>
    <row r="4130" spans="1:27" ht="12" customHeight="1" x14ac:dyDescent="0.15">
      <c r="A4130" s="33" t="s">
        <v>20977</v>
      </c>
      <c r="B4130" s="33">
        <v>50</v>
      </c>
      <c r="C4130" s="33" t="s">
        <v>103</v>
      </c>
      <c r="D4130" s="33" t="s">
        <v>31</v>
      </c>
      <c r="F4130" s="67">
        <v>42458</v>
      </c>
      <c r="G4130" s="33" t="s">
        <v>20979</v>
      </c>
      <c r="H4130" s="33" t="s">
        <v>18986</v>
      </c>
      <c r="I4130" s="33" t="s">
        <v>122</v>
      </c>
      <c r="J4130" s="33">
        <v>56431</v>
      </c>
      <c r="K4130" s="33" t="s">
        <v>18986</v>
      </c>
      <c r="L4130" s="33" t="s">
        <v>18984</v>
      </c>
      <c r="M4130" s="33" t="s">
        <v>21</v>
      </c>
      <c r="N4130" s="33" t="s">
        <v>20978</v>
      </c>
      <c r="O4130" s="33" t="s">
        <v>372</v>
      </c>
      <c r="P4130" s="33" t="s">
        <v>30089</v>
      </c>
      <c r="Q4130" s="40" t="s">
        <v>20980</v>
      </c>
      <c r="R4130" s="33" t="s">
        <v>512</v>
      </c>
      <c r="S4130" s="33" t="s">
        <v>22</v>
      </c>
      <c r="T4130" s="33" t="s">
        <v>26781</v>
      </c>
      <c r="U4130" s="33" t="s">
        <v>26572</v>
      </c>
      <c r="V4130" s="33" t="s">
        <v>26573</v>
      </c>
      <c r="W4130" s="33" t="s">
        <v>94</v>
      </c>
      <c r="X4130" s="33">
        <v>1422</v>
      </c>
      <c r="Z4130" s="33" t="s">
        <v>42967</v>
      </c>
      <c r="AA4130" s="33">
        <v>3536</v>
      </c>
    </row>
    <row r="4131" spans="1:27" ht="12" customHeight="1" x14ac:dyDescent="0.15">
      <c r="A4131" s="33" t="s">
        <v>20623</v>
      </c>
      <c r="B4131" s="33">
        <v>46</v>
      </c>
      <c r="C4131" s="33" t="s">
        <v>14</v>
      </c>
      <c r="D4131" s="33" t="s">
        <v>31</v>
      </c>
      <c r="F4131" s="67">
        <v>42458</v>
      </c>
      <c r="G4131" s="33" t="s">
        <v>20624</v>
      </c>
      <c r="H4131" s="33" t="s">
        <v>20625</v>
      </c>
      <c r="I4131" s="33" t="s">
        <v>39</v>
      </c>
      <c r="J4131" s="33">
        <v>95422</v>
      </c>
      <c r="K4131" s="33" t="s">
        <v>1179</v>
      </c>
      <c r="L4131" s="33" t="s">
        <v>20626</v>
      </c>
      <c r="M4131" s="33" t="s">
        <v>4966</v>
      </c>
      <c r="N4131" s="33" t="s">
        <v>20627</v>
      </c>
      <c r="O4131" s="33" t="s">
        <v>372</v>
      </c>
      <c r="P4131" s="33" t="s">
        <v>30089</v>
      </c>
      <c r="Q4131" s="40" t="s">
        <v>20628</v>
      </c>
      <c r="R4131" s="33" t="s">
        <v>23</v>
      </c>
      <c r="S4131" s="33" t="s">
        <v>29</v>
      </c>
      <c r="T4131" s="33" t="s">
        <v>26605</v>
      </c>
      <c r="U4131" s="33" t="s">
        <v>26572</v>
      </c>
      <c r="V4131" s="33" t="s">
        <v>26573</v>
      </c>
      <c r="W4131" s="33" t="s">
        <v>512</v>
      </c>
      <c r="X4131" s="33">
        <v>1420</v>
      </c>
      <c r="Z4131" s="33" t="s">
        <v>42968</v>
      </c>
      <c r="AA4131" s="33">
        <v>3534</v>
      </c>
    </row>
    <row r="4132" spans="1:27" ht="12" customHeight="1" x14ac:dyDescent="0.15">
      <c r="A4132" s="33" t="s">
        <v>20466</v>
      </c>
      <c r="B4132" s="33">
        <v>34</v>
      </c>
      <c r="C4132" s="33" t="s">
        <v>14</v>
      </c>
      <c r="D4132" s="33" t="s">
        <v>31</v>
      </c>
      <c r="E4132" s="33" t="s">
        <v>20467</v>
      </c>
      <c r="F4132" s="67">
        <v>42456</v>
      </c>
      <c r="G4132" s="33" t="s">
        <v>20468</v>
      </c>
      <c r="H4132" s="33" t="s">
        <v>20469</v>
      </c>
      <c r="I4132" s="33" t="s">
        <v>402</v>
      </c>
      <c r="J4132" s="33" t="s">
        <v>20470</v>
      </c>
      <c r="K4132" s="33" t="s">
        <v>404</v>
      </c>
      <c r="L4132" s="33" t="s">
        <v>20471</v>
      </c>
      <c r="M4132" s="33" t="s">
        <v>21</v>
      </c>
      <c r="N4132" s="33" t="s">
        <v>20472</v>
      </c>
      <c r="O4132" s="33" t="s">
        <v>372</v>
      </c>
      <c r="P4132" s="33" t="s">
        <v>30089</v>
      </c>
      <c r="Q4132" s="40" t="s">
        <v>20473</v>
      </c>
      <c r="R4132" s="33" t="s">
        <v>512</v>
      </c>
      <c r="S4132" s="33" t="s">
        <v>22</v>
      </c>
      <c r="T4132" s="33" t="s">
        <v>26774</v>
      </c>
      <c r="U4132" s="33" t="s">
        <v>26570</v>
      </c>
      <c r="V4132" s="33" t="s">
        <v>26573</v>
      </c>
      <c r="W4132" s="33" t="s">
        <v>94</v>
      </c>
      <c r="X4132" s="33">
        <v>1410</v>
      </c>
      <c r="Z4132" s="33" t="s">
        <v>42968</v>
      </c>
      <c r="AA4132" s="33">
        <v>3532</v>
      </c>
    </row>
    <row r="4133" spans="1:27" ht="12" customHeight="1" x14ac:dyDescent="0.15">
      <c r="A4133" s="33" t="s">
        <v>19815</v>
      </c>
      <c r="B4133" s="33">
        <v>27</v>
      </c>
      <c r="C4133" s="33" t="s">
        <v>103</v>
      </c>
      <c r="D4133" s="33" t="s">
        <v>128</v>
      </c>
      <c r="E4133" s="33" t="s">
        <v>19816</v>
      </c>
      <c r="F4133" s="67">
        <v>42456</v>
      </c>
      <c r="G4133" s="33" t="s">
        <v>19817</v>
      </c>
      <c r="H4133" s="33" t="s">
        <v>4315</v>
      </c>
      <c r="I4133" s="33" t="s">
        <v>112</v>
      </c>
      <c r="J4133" s="33" t="s">
        <v>19818</v>
      </c>
      <c r="K4133" s="33" t="s">
        <v>7470</v>
      </c>
      <c r="L4133" s="33" t="s">
        <v>7489</v>
      </c>
      <c r="M4133" s="33" t="s">
        <v>21</v>
      </c>
      <c r="N4133" s="33" t="s">
        <v>36716</v>
      </c>
      <c r="O4133" s="33" t="s">
        <v>372</v>
      </c>
      <c r="P4133" s="33" t="s">
        <v>30089</v>
      </c>
      <c r="Q4133" s="40" t="s">
        <v>19819</v>
      </c>
      <c r="R4133" s="33" t="s">
        <v>94</v>
      </c>
      <c r="S4133" s="33" t="s">
        <v>29</v>
      </c>
      <c r="T4133" s="33" t="s">
        <v>26623</v>
      </c>
      <c r="U4133" s="33" t="s">
        <v>26570</v>
      </c>
      <c r="V4133" s="33" t="s">
        <v>26573</v>
      </c>
      <c r="W4133" s="33" t="s">
        <v>512</v>
      </c>
      <c r="X4133" s="33">
        <v>1411</v>
      </c>
      <c r="Z4133" s="33" t="s">
        <v>42967</v>
      </c>
      <c r="AA4133" s="33">
        <v>3533</v>
      </c>
    </row>
    <row r="4134" spans="1:27" ht="12" customHeight="1" x14ac:dyDescent="0.15">
      <c r="A4134" s="33" t="s">
        <v>19408</v>
      </c>
      <c r="B4134" s="33">
        <v>18</v>
      </c>
      <c r="C4134" s="33" t="s">
        <v>14</v>
      </c>
      <c r="D4134" s="33" t="s">
        <v>79</v>
      </c>
      <c r="E4134" s="33" t="s">
        <v>19409</v>
      </c>
      <c r="F4134" s="67">
        <v>42456</v>
      </c>
      <c r="G4134" s="33" t="s">
        <v>19410</v>
      </c>
      <c r="H4134" s="33" t="s">
        <v>19411</v>
      </c>
      <c r="I4134" s="33" t="s">
        <v>338</v>
      </c>
      <c r="J4134" s="33" t="s">
        <v>19412</v>
      </c>
      <c r="K4134" s="33" t="s">
        <v>19413</v>
      </c>
      <c r="L4134" s="33" t="s">
        <v>14794</v>
      </c>
      <c r="M4134" s="33" t="s">
        <v>21</v>
      </c>
      <c r="N4134" s="33" t="s">
        <v>36717</v>
      </c>
      <c r="O4134" s="33" t="s">
        <v>372</v>
      </c>
      <c r="P4134" s="33" t="s">
        <v>30089</v>
      </c>
      <c r="Q4134" s="40" t="s">
        <v>19414</v>
      </c>
      <c r="R4134" s="33" t="s">
        <v>94</v>
      </c>
      <c r="S4134" s="33" t="s">
        <v>22</v>
      </c>
      <c r="T4134" s="33" t="s">
        <v>26781</v>
      </c>
      <c r="U4134" s="33" t="s">
        <v>26570</v>
      </c>
      <c r="V4134" s="33" t="s">
        <v>26573</v>
      </c>
      <c r="W4134" s="33" t="s">
        <v>94</v>
      </c>
      <c r="X4134" s="33">
        <v>1418</v>
      </c>
      <c r="Z4134" s="33" t="s">
        <v>42967</v>
      </c>
      <c r="AA4134" s="33">
        <v>3530</v>
      </c>
    </row>
    <row r="4135" spans="1:27" ht="12" customHeight="1" x14ac:dyDescent="0.15">
      <c r="A4135" s="33" t="s">
        <v>20390</v>
      </c>
      <c r="B4135" s="33">
        <v>33</v>
      </c>
      <c r="C4135" s="33" t="s">
        <v>14</v>
      </c>
      <c r="D4135" s="33" t="s">
        <v>31</v>
      </c>
      <c r="E4135" s="33" t="s">
        <v>20391</v>
      </c>
      <c r="F4135" s="67">
        <v>42456</v>
      </c>
      <c r="G4135" s="33" t="s">
        <v>20392</v>
      </c>
      <c r="H4135" s="33" t="s">
        <v>20393</v>
      </c>
      <c r="I4135" s="33" t="s">
        <v>67</v>
      </c>
      <c r="J4135" s="33" t="s">
        <v>20394</v>
      </c>
      <c r="K4135" s="33" t="s">
        <v>995</v>
      </c>
      <c r="L4135" s="33" t="s">
        <v>18546</v>
      </c>
      <c r="M4135" s="33" t="s">
        <v>21</v>
      </c>
      <c r="N4135" s="33" t="s">
        <v>20395</v>
      </c>
      <c r="O4135" s="33" t="s">
        <v>372</v>
      </c>
      <c r="P4135" s="33" t="s">
        <v>30089</v>
      </c>
      <c r="Q4135" s="40" t="s">
        <v>20396</v>
      </c>
      <c r="R4135" s="33" t="s">
        <v>512</v>
      </c>
      <c r="S4135" s="33" t="s">
        <v>22</v>
      </c>
      <c r="T4135" s="33" t="s">
        <v>26781</v>
      </c>
      <c r="U4135" s="33" t="s">
        <v>26572</v>
      </c>
      <c r="V4135" s="33" t="s">
        <v>26573</v>
      </c>
      <c r="W4135" s="33" t="s">
        <v>94</v>
      </c>
      <c r="X4135" s="33">
        <v>1419</v>
      </c>
      <c r="Z4135" s="33" t="s">
        <v>42967</v>
      </c>
      <c r="AA4135" s="33">
        <v>3531</v>
      </c>
    </row>
    <row r="4136" spans="1:27" ht="12" customHeight="1" x14ac:dyDescent="0.15">
      <c r="A4136" s="33" t="s">
        <v>20316</v>
      </c>
      <c r="B4136" s="33">
        <v>33</v>
      </c>
      <c r="C4136" s="33" t="s">
        <v>14</v>
      </c>
      <c r="D4136" s="33" t="s">
        <v>31</v>
      </c>
      <c r="E4136" s="33" t="s">
        <v>20317</v>
      </c>
      <c r="F4136" s="67">
        <v>42456</v>
      </c>
      <c r="G4136" s="33" t="s">
        <v>20318</v>
      </c>
      <c r="H4136" s="33" t="s">
        <v>875</v>
      </c>
      <c r="I4136" s="33" t="s">
        <v>178</v>
      </c>
      <c r="J4136" s="33" t="s">
        <v>12319</v>
      </c>
      <c r="K4136" s="33" t="s">
        <v>876</v>
      </c>
      <c r="L4136" s="33" t="s">
        <v>877</v>
      </c>
      <c r="M4136" s="33" t="s">
        <v>21</v>
      </c>
      <c r="N4136" s="33" t="s">
        <v>20319</v>
      </c>
      <c r="O4136" s="33" t="s">
        <v>372</v>
      </c>
      <c r="P4136" s="33" t="s">
        <v>30089</v>
      </c>
      <c r="Q4136" s="40" t="s">
        <v>20320</v>
      </c>
      <c r="R4136" s="33" t="s">
        <v>512</v>
      </c>
      <c r="S4136" s="33" t="s">
        <v>22</v>
      </c>
      <c r="T4136" s="33" t="s">
        <v>26781</v>
      </c>
      <c r="U4136" s="33" t="s">
        <v>26572</v>
      </c>
      <c r="V4136" s="33" t="s">
        <v>26573</v>
      </c>
      <c r="W4136" s="33" t="s">
        <v>512</v>
      </c>
      <c r="X4136" s="33">
        <v>1417</v>
      </c>
      <c r="Z4136" s="33" t="s">
        <v>42968</v>
      </c>
      <c r="AA4136" s="33">
        <v>3529</v>
      </c>
    </row>
    <row r="4137" spans="1:27" ht="12" customHeight="1" x14ac:dyDescent="0.15">
      <c r="A4137" s="33" t="s">
        <v>20267</v>
      </c>
      <c r="B4137" s="33">
        <v>46</v>
      </c>
      <c r="C4137" s="33" t="s">
        <v>14</v>
      </c>
      <c r="D4137" s="33" t="s">
        <v>31</v>
      </c>
      <c r="E4137" s="33" t="s">
        <v>20268</v>
      </c>
      <c r="F4137" s="67">
        <v>42455</v>
      </c>
      <c r="G4137" s="33" t="s">
        <v>20269</v>
      </c>
      <c r="H4137" s="33" t="s">
        <v>1463</v>
      </c>
      <c r="I4137" s="33" t="s">
        <v>56</v>
      </c>
      <c r="J4137" s="33" t="s">
        <v>12942</v>
      </c>
      <c r="K4137" s="33" t="s">
        <v>590</v>
      </c>
      <c r="L4137" s="33" t="s">
        <v>1465</v>
      </c>
      <c r="M4137" s="33" t="s">
        <v>21</v>
      </c>
      <c r="N4137" s="33" t="s">
        <v>20270</v>
      </c>
      <c r="O4137" s="33" t="s">
        <v>372</v>
      </c>
      <c r="P4137" s="33" t="s">
        <v>30089</v>
      </c>
      <c r="Q4137" s="40" t="s">
        <v>20271</v>
      </c>
      <c r="R4137" s="33" t="s">
        <v>512</v>
      </c>
      <c r="S4137" s="33" t="s">
        <v>22</v>
      </c>
      <c r="T4137" s="33" t="s">
        <v>26781</v>
      </c>
      <c r="U4137" s="33" t="s">
        <v>26572</v>
      </c>
      <c r="V4137" s="33" t="s">
        <v>26573</v>
      </c>
      <c r="W4137" s="33" t="s">
        <v>94</v>
      </c>
      <c r="X4137" s="33">
        <v>1416</v>
      </c>
      <c r="Z4137" s="33" t="s">
        <v>42966</v>
      </c>
      <c r="AA4137" s="33">
        <v>3527</v>
      </c>
    </row>
    <row r="4138" spans="1:27" ht="12" customHeight="1" x14ac:dyDescent="0.15">
      <c r="A4138" s="33" t="s">
        <v>19892</v>
      </c>
      <c r="B4138" s="33">
        <v>55</v>
      </c>
      <c r="C4138" s="33" t="s">
        <v>14</v>
      </c>
      <c r="D4138" s="33" t="s">
        <v>31</v>
      </c>
      <c r="F4138" s="67">
        <v>42455</v>
      </c>
      <c r="G4138" s="33" t="s">
        <v>19893</v>
      </c>
      <c r="H4138" s="33" t="s">
        <v>1014</v>
      </c>
      <c r="I4138" s="33" t="s">
        <v>26</v>
      </c>
      <c r="J4138" s="33" t="s">
        <v>19894</v>
      </c>
      <c r="K4138" s="33" t="s">
        <v>1015</v>
      </c>
      <c r="L4138" s="33" t="s">
        <v>19895</v>
      </c>
      <c r="M4138" s="33" t="s">
        <v>21</v>
      </c>
      <c r="N4138" s="33" t="s">
        <v>19896</v>
      </c>
      <c r="O4138" s="33" t="s">
        <v>372</v>
      </c>
      <c r="P4138" s="33" t="s">
        <v>30089</v>
      </c>
      <c r="Q4138" s="40" t="s">
        <v>19897</v>
      </c>
      <c r="R4138" s="33" t="s">
        <v>512</v>
      </c>
      <c r="S4138" s="33" t="s">
        <v>22</v>
      </c>
      <c r="T4138" s="33" t="s">
        <v>26781</v>
      </c>
      <c r="U4138" s="33" t="s">
        <v>26572</v>
      </c>
      <c r="V4138" s="33" t="s">
        <v>26573</v>
      </c>
      <c r="W4138" s="33" t="s">
        <v>512</v>
      </c>
      <c r="X4138" s="33">
        <v>1414</v>
      </c>
      <c r="Z4138" s="33" t="s">
        <v>42966</v>
      </c>
      <c r="AA4138" s="33">
        <v>3526</v>
      </c>
    </row>
    <row r="4139" spans="1:27" ht="12" customHeight="1" x14ac:dyDescent="0.15">
      <c r="A4139" s="33" t="s">
        <v>20404</v>
      </c>
      <c r="B4139" s="33">
        <v>36</v>
      </c>
      <c r="C4139" s="33" t="s">
        <v>14</v>
      </c>
      <c r="D4139" s="33" t="s">
        <v>31</v>
      </c>
      <c r="E4139" s="33" t="s">
        <v>20405</v>
      </c>
      <c r="F4139" s="67">
        <v>42455</v>
      </c>
      <c r="G4139" s="33" t="s">
        <v>20406</v>
      </c>
      <c r="H4139" s="33" t="s">
        <v>20407</v>
      </c>
      <c r="I4139" s="33" t="s">
        <v>225</v>
      </c>
      <c r="J4139" s="33" t="s">
        <v>20408</v>
      </c>
      <c r="K4139" s="33" t="s">
        <v>10134</v>
      </c>
      <c r="L4139" s="33" t="s">
        <v>20409</v>
      </c>
      <c r="M4139" s="33" t="s">
        <v>21</v>
      </c>
      <c r="N4139" s="33" t="s">
        <v>20410</v>
      </c>
      <c r="O4139" s="33" t="s">
        <v>372</v>
      </c>
      <c r="P4139" s="33" t="s">
        <v>30089</v>
      </c>
      <c r="Q4139" s="40" t="s">
        <v>20411</v>
      </c>
      <c r="R4139" s="33" t="s">
        <v>512</v>
      </c>
      <c r="S4139" s="33" t="s">
        <v>22</v>
      </c>
      <c r="T4139" s="33" t="s">
        <v>26781</v>
      </c>
      <c r="U4139" s="33" t="s">
        <v>26570</v>
      </c>
      <c r="V4139" s="33" t="s">
        <v>26573</v>
      </c>
      <c r="W4139" s="33" t="s">
        <v>94</v>
      </c>
      <c r="X4139" s="33">
        <v>1413</v>
      </c>
      <c r="Z4139" s="33" t="s">
        <v>42967</v>
      </c>
      <c r="AA4139" s="33">
        <v>3525</v>
      </c>
    </row>
    <row r="4140" spans="1:27" ht="12" customHeight="1" x14ac:dyDescent="0.15">
      <c r="A4140" s="33" t="s">
        <v>19665</v>
      </c>
      <c r="B4140" s="33">
        <v>39</v>
      </c>
      <c r="C4140" s="33" t="s">
        <v>14</v>
      </c>
      <c r="D4140" s="33" t="s">
        <v>42</v>
      </c>
      <c r="F4140" s="67">
        <v>42455</v>
      </c>
      <c r="G4140" s="33" t="s">
        <v>19666</v>
      </c>
      <c r="H4140" s="33" t="s">
        <v>19667</v>
      </c>
      <c r="I4140" s="33" t="s">
        <v>40</v>
      </c>
      <c r="J4140" s="33" t="s">
        <v>19668</v>
      </c>
      <c r="K4140" s="33" t="s">
        <v>36</v>
      </c>
      <c r="L4140" s="33" t="s">
        <v>7012</v>
      </c>
      <c r="M4140" s="33" t="s">
        <v>21</v>
      </c>
      <c r="N4140" s="33" t="s">
        <v>19669</v>
      </c>
      <c r="O4140" s="33" t="s">
        <v>372</v>
      </c>
      <c r="P4140" s="33" t="s">
        <v>30089</v>
      </c>
      <c r="Q4140" s="40" t="s">
        <v>19670</v>
      </c>
      <c r="R4140" s="33" t="s">
        <v>512</v>
      </c>
      <c r="S4140" s="33" t="s">
        <v>22</v>
      </c>
      <c r="T4140" s="33" t="s">
        <v>26606</v>
      </c>
      <c r="U4140" s="33" t="s">
        <v>26570</v>
      </c>
      <c r="V4140" s="33" t="s">
        <v>26573</v>
      </c>
      <c r="W4140" s="33" t="s">
        <v>94</v>
      </c>
      <c r="X4140" s="33">
        <v>1412</v>
      </c>
      <c r="Z4140" s="33" t="s">
        <v>42966</v>
      </c>
      <c r="AA4140" s="33">
        <v>3528</v>
      </c>
    </row>
    <row r="4141" spans="1:27" ht="12" customHeight="1" x14ac:dyDescent="0.15">
      <c r="A4141" s="33" t="s">
        <v>19631</v>
      </c>
      <c r="B4141" s="33">
        <v>19</v>
      </c>
      <c r="C4141" s="33" t="s">
        <v>14</v>
      </c>
      <c r="D4141" s="33" t="s">
        <v>42</v>
      </c>
      <c r="E4141" s="33" t="s">
        <v>19632</v>
      </c>
      <c r="F4141" s="67">
        <v>42453</v>
      </c>
      <c r="G4141" s="33" t="s">
        <v>19633</v>
      </c>
      <c r="H4141" s="33" t="s">
        <v>866</v>
      </c>
      <c r="I4141" s="33" t="s">
        <v>178</v>
      </c>
      <c r="J4141" s="33" t="s">
        <v>4978</v>
      </c>
      <c r="K4141" s="33" t="s">
        <v>433</v>
      </c>
      <c r="L4141" s="33" t="s">
        <v>19634</v>
      </c>
      <c r="M4141" s="33" t="s">
        <v>21</v>
      </c>
      <c r="N4141" s="33" t="s">
        <v>19635</v>
      </c>
      <c r="O4141" s="33" t="s">
        <v>372</v>
      </c>
      <c r="P4141" s="33" t="s">
        <v>30089</v>
      </c>
      <c r="Q4141" s="40" t="s">
        <v>19636</v>
      </c>
      <c r="R4141" s="33" t="s">
        <v>94</v>
      </c>
      <c r="S4141" s="33" t="s">
        <v>22</v>
      </c>
      <c r="T4141" s="33" t="s">
        <v>26781</v>
      </c>
      <c r="U4141" s="33" t="s">
        <v>26572</v>
      </c>
      <c r="V4141" s="33" t="s">
        <v>26573</v>
      </c>
      <c r="W4141" s="33" t="s">
        <v>512</v>
      </c>
      <c r="X4141" s="33">
        <v>1408</v>
      </c>
      <c r="Z4141" s="33" t="s">
        <v>42968</v>
      </c>
      <c r="AA4141" s="33">
        <v>3519</v>
      </c>
    </row>
    <row r="4142" spans="1:27" ht="12" customHeight="1" x14ac:dyDescent="0.15">
      <c r="A4142" s="33" t="s">
        <v>19397</v>
      </c>
      <c r="B4142" s="33">
        <v>22</v>
      </c>
      <c r="C4142" s="33" t="s">
        <v>14</v>
      </c>
      <c r="D4142" s="33" t="s">
        <v>79</v>
      </c>
      <c r="E4142" s="33" t="s">
        <v>19398</v>
      </c>
      <c r="F4142" s="67">
        <v>42453</v>
      </c>
      <c r="G4142" s="33" t="s">
        <v>19399</v>
      </c>
      <c r="H4142" s="33" t="s">
        <v>19400</v>
      </c>
      <c r="I4142" s="33" t="s">
        <v>402</v>
      </c>
      <c r="J4142" s="33" t="s">
        <v>19401</v>
      </c>
      <c r="K4142" s="33" t="s">
        <v>404</v>
      </c>
      <c r="L4142" s="33" t="s">
        <v>405</v>
      </c>
      <c r="M4142" s="33" t="s">
        <v>21</v>
      </c>
      <c r="N4142" s="33" t="s">
        <v>20861</v>
      </c>
      <c r="O4142" s="33" t="s">
        <v>372</v>
      </c>
      <c r="P4142" s="33" t="s">
        <v>30089</v>
      </c>
      <c r="Q4142" s="40" t="s">
        <v>19402</v>
      </c>
      <c r="R4142" s="33" t="s">
        <v>94</v>
      </c>
      <c r="S4142" s="33" t="s">
        <v>22</v>
      </c>
      <c r="T4142" s="33" t="s">
        <v>26781</v>
      </c>
      <c r="U4142" s="33" t="s">
        <v>26572</v>
      </c>
      <c r="V4142" s="33" t="s">
        <v>26573</v>
      </c>
      <c r="W4142" s="33" t="s">
        <v>94</v>
      </c>
      <c r="X4142" s="33">
        <v>1415</v>
      </c>
      <c r="Z4142" s="33" t="s">
        <v>42968</v>
      </c>
      <c r="AA4142" s="33">
        <v>3520</v>
      </c>
    </row>
    <row r="4143" spans="1:27" ht="12" customHeight="1" x14ac:dyDescent="0.15">
      <c r="A4143" s="33" t="s">
        <v>19622</v>
      </c>
      <c r="B4143" s="33">
        <v>48</v>
      </c>
      <c r="C4143" s="33" t="s">
        <v>14</v>
      </c>
      <c r="D4143" s="33" t="s">
        <v>42</v>
      </c>
      <c r="F4143" s="67">
        <v>42453</v>
      </c>
      <c r="G4143" s="33" t="s">
        <v>19623</v>
      </c>
      <c r="H4143" s="33" t="s">
        <v>4307</v>
      </c>
      <c r="I4143" s="33" t="s">
        <v>192</v>
      </c>
      <c r="J4143" s="33" t="s">
        <v>4308</v>
      </c>
      <c r="K4143" s="33" t="s">
        <v>4307</v>
      </c>
      <c r="L4143" s="33" t="s">
        <v>4309</v>
      </c>
      <c r="M4143" s="33" t="s">
        <v>21</v>
      </c>
      <c r="N4143" s="33" t="s">
        <v>19624</v>
      </c>
      <c r="O4143" s="33" t="s">
        <v>372</v>
      </c>
      <c r="P4143" s="33" t="s">
        <v>30089</v>
      </c>
      <c r="Q4143" s="40" t="s">
        <v>19625</v>
      </c>
      <c r="R4143" s="33" t="s">
        <v>94</v>
      </c>
      <c r="S4143" s="33" t="s">
        <v>22</v>
      </c>
      <c r="T4143" s="33" t="s">
        <v>29419</v>
      </c>
      <c r="U4143" s="33" t="s">
        <v>26570</v>
      </c>
      <c r="V4143" s="33" t="s">
        <v>26573</v>
      </c>
      <c r="W4143" s="33" t="s">
        <v>512</v>
      </c>
      <c r="X4143" s="33">
        <v>1407</v>
      </c>
      <c r="Z4143" s="33" t="s">
        <v>42968</v>
      </c>
      <c r="AA4143" s="33">
        <v>3521</v>
      </c>
    </row>
    <row r="4144" spans="1:27" ht="12" customHeight="1" x14ac:dyDescent="0.15">
      <c r="A4144" s="33" t="s">
        <v>21339</v>
      </c>
      <c r="B4144" s="33">
        <v>29</v>
      </c>
      <c r="C4144" s="33" t="s">
        <v>14</v>
      </c>
      <c r="D4144" s="33" t="s">
        <v>31</v>
      </c>
      <c r="F4144" s="67">
        <v>42453</v>
      </c>
      <c r="G4144" s="33" t="s">
        <v>20239</v>
      </c>
      <c r="H4144" s="33" t="s">
        <v>18423</v>
      </c>
      <c r="I4144" s="33" t="s">
        <v>39</v>
      </c>
      <c r="J4144" s="33" t="s">
        <v>20240</v>
      </c>
      <c r="K4144" s="33" t="s">
        <v>288</v>
      </c>
      <c r="L4144" s="33" t="s">
        <v>20241</v>
      </c>
      <c r="M4144" s="33" t="s">
        <v>21</v>
      </c>
      <c r="N4144" s="33" t="s">
        <v>20242</v>
      </c>
      <c r="O4144" s="33" t="s">
        <v>372</v>
      </c>
      <c r="P4144" s="33" t="s">
        <v>30089</v>
      </c>
      <c r="Q4144" s="40" t="s">
        <v>20243</v>
      </c>
      <c r="R4144" s="33" t="s">
        <v>94</v>
      </c>
      <c r="S4144" s="33" t="s">
        <v>22</v>
      </c>
      <c r="T4144" s="33" t="s">
        <v>26781</v>
      </c>
      <c r="U4144" s="33" t="s">
        <v>26572</v>
      </c>
      <c r="V4144" s="33" t="s">
        <v>26573</v>
      </c>
      <c r="W4144" s="33" t="s">
        <v>94</v>
      </c>
      <c r="X4144" s="33">
        <v>1406</v>
      </c>
      <c r="Z4144" s="33" t="s">
        <v>42968</v>
      </c>
      <c r="AA4144" s="33">
        <v>3518</v>
      </c>
    </row>
    <row r="4145" spans="1:27" ht="12" customHeight="1" x14ac:dyDescent="0.15">
      <c r="A4145" s="33" t="s">
        <v>19519</v>
      </c>
      <c r="B4145" s="33">
        <v>24</v>
      </c>
      <c r="C4145" s="33" t="s">
        <v>14</v>
      </c>
      <c r="D4145" s="33" t="s">
        <v>79</v>
      </c>
      <c r="E4145" s="33" t="s">
        <v>19520</v>
      </c>
      <c r="F4145" s="67">
        <v>42453</v>
      </c>
      <c r="G4145" s="33" t="s">
        <v>19521</v>
      </c>
      <c r="H4145" s="33" t="s">
        <v>15294</v>
      </c>
      <c r="I4145" s="33" t="s">
        <v>435</v>
      </c>
      <c r="J4145" s="33" t="s">
        <v>15295</v>
      </c>
      <c r="K4145" s="33" t="s">
        <v>434</v>
      </c>
      <c r="L4145" s="33" t="s">
        <v>15296</v>
      </c>
      <c r="M4145" s="33" t="s">
        <v>21</v>
      </c>
      <c r="N4145" s="33" t="s">
        <v>20867</v>
      </c>
      <c r="O4145" s="33" t="s">
        <v>372</v>
      </c>
      <c r="P4145" s="33" t="s">
        <v>30089</v>
      </c>
      <c r="Q4145" s="40" t="s">
        <v>19522</v>
      </c>
      <c r="R4145" s="33" t="s">
        <v>94</v>
      </c>
      <c r="S4145" s="33" t="s">
        <v>12</v>
      </c>
      <c r="T4145" s="33" t="s">
        <v>29425</v>
      </c>
      <c r="U4145" s="33" t="s">
        <v>26572</v>
      </c>
      <c r="V4145" s="33" t="s">
        <v>26574</v>
      </c>
      <c r="W4145" s="33" t="s">
        <v>94</v>
      </c>
      <c r="X4145" s="33">
        <v>1405</v>
      </c>
      <c r="Z4145" s="33" t="s">
        <v>42966</v>
      </c>
      <c r="AA4145" s="33">
        <v>3523</v>
      </c>
    </row>
    <row r="4146" spans="1:27" ht="12" customHeight="1" x14ac:dyDescent="0.15">
      <c r="A4146" s="33" t="s">
        <v>21340</v>
      </c>
      <c r="B4146" s="33">
        <v>32</v>
      </c>
      <c r="C4146" s="33" t="s">
        <v>14</v>
      </c>
      <c r="D4146" s="33" t="s">
        <v>31</v>
      </c>
      <c r="F4146" s="67">
        <v>42453</v>
      </c>
      <c r="G4146" s="33" t="s">
        <v>21352</v>
      </c>
      <c r="H4146" s="33" t="s">
        <v>21353</v>
      </c>
      <c r="I4146" s="33" t="s">
        <v>56</v>
      </c>
      <c r="J4146" s="33">
        <v>32548</v>
      </c>
      <c r="K4146" s="33" t="s">
        <v>11165</v>
      </c>
      <c r="L4146" s="33" t="s">
        <v>4992</v>
      </c>
      <c r="M4146" s="33" t="s">
        <v>21</v>
      </c>
      <c r="N4146" s="33" t="s">
        <v>21350</v>
      </c>
      <c r="O4146" s="33" t="s">
        <v>372</v>
      </c>
      <c r="P4146" s="33" t="s">
        <v>30089</v>
      </c>
      <c r="Q4146" s="40" t="s">
        <v>21351</v>
      </c>
      <c r="R4146" s="33" t="s">
        <v>904</v>
      </c>
      <c r="S4146" s="33" t="s">
        <v>29</v>
      </c>
      <c r="T4146" s="33" t="s">
        <v>26575</v>
      </c>
      <c r="U4146" s="33" t="s">
        <v>26575</v>
      </c>
      <c r="V4146" s="33" t="s">
        <v>26573</v>
      </c>
      <c r="Y4146" s="33" t="s">
        <v>42476</v>
      </c>
      <c r="Z4146" s="33" t="s">
        <v>42968</v>
      </c>
      <c r="AA4146" s="33">
        <v>3524</v>
      </c>
    </row>
    <row r="4147" spans="1:27" ht="12" customHeight="1" x14ac:dyDescent="0.15">
      <c r="A4147" s="33" t="s">
        <v>20452</v>
      </c>
      <c r="B4147" s="33">
        <v>44</v>
      </c>
      <c r="C4147" s="33" t="s">
        <v>14</v>
      </c>
      <c r="D4147" s="33" t="s">
        <v>31</v>
      </c>
      <c r="F4147" s="67">
        <v>42453</v>
      </c>
      <c r="G4147" s="33" t="s">
        <v>20453</v>
      </c>
      <c r="H4147" s="33" t="s">
        <v>20454</v>
      </c>
      <c r="I4147" s="33" t="s">
        <v>40</v>
      </c>
      <c r="J4147" s="33" t="s">
        <v>20455</v>
      </c>
      <c r="K4147" s="33" t="s">
        <v>3060</v>
      </c>
      <c r="L4147" s="33" t="s">
        <v>20456</v>
      </c>
      <c r="M4147" s="33" t="s">
        <v>21</v>
      </c>
      <c r="N4147" s="33" t="s">
        <v>20457</v>
      </c>
      <c r="O4147" s="33" t="s">
        <v>372</v>
      </c>
      <c r="P4147" s="33" t="s">
        <v>30089</v>
      </c>
      <c r="Q4147" s="40" t="s">
        <v>20458</v>
      </c>
      <c r="R4147" s="33" t="s">
        <v>94</v>
      </c>
      <c r="S4147" s="33" t="s">
        <v>22</v>
      </c>
      <c r="T4147" s="33" t="s">
        <v>26774</v>
      </c>
      <c r="U4147" s="33" t="s">
        <v>26570</v>
      </c>
      <c r="V4147" s="33" t="s">
        <v>26574</v>
      </c>
      <c r="W4147" s="33" t="s">
        <v>94</v>
      </c>
      <c r="X4147" s="33">
        <v>1404</v>
      </c>
      <c r="Z4147" s="33" t="s">
        <v>42968</v>
      </c>
      <c r="AA4147" s="33">
        <v>3522</v>
      </c>
    </row>
    <row r="4148" spans="1:27" ht="12" customHeight="1" x14ac:dyDescent="0.15">
      <c r="A4148" s="33" t="s">
        <v>19606</v>
      </c>
      <c r="B4148" s="33">
        <v>34</v>
      </c>
      <c r="C4148" s="33" t="s">
        <v>14</v>
      </c>
      <c r="D4148" s="33" t="s">
        <v>42</v>
      </c>
      <c r="F4148" s="67">
        <v>42452</v>
      </c>
      <c r="G4148" s="33" t="s">
        <v>19607</v>
      </c>
      <c r="H4148" s="33" t="s">
        <v>183</v>
      </c>
      <c r="I4148" s="33" t="s">
        <v>39</v>
      </c>
      <c r="J4148" s="33" t="s">
        <v>8814</v>
      </c>
      <c r="K4148" s="33" t="s">
        <v>183</v>
      </c>
      <c r="L4148" s="33" t="s">
        <v>184</v>
      </c>
      <c r="M4148" s="33" t="s">
        <v>21</v>
      </c>
      <c r="N4148" s="33" t="s">
        <v>19608</v>
      </c>
      <c r="O4148" s="33" t="s">
        <v>372</v>
      </c>
      <c r="P4148" s="33" t="s">
        <v>30089</v>
      </c>
      <c r="Q4148" s="40" t="s">
        <v>19609</v>
      </c>
      <c r="R4148" s="33" t="s">
        <v>94</v>
      </c>
      <c r="S4148" s="33" t="s">
        <v>22</v>
      </c>
      <c r="T4148" s="33" t="s">
        <v>26781</v>
      </c>
      <c r="U4148" s="33" t="s">
        <v>26572</v>
      </c>
      <c r="V4148" s="33" t="s">
        <v>26574</v>
      </c>
      <c r="W4148" s="33" t="s">
        <v>512</v>
      </c>
      <c r="X4148" s="33">
        <v>1402</v>
      </c>
      <c r="Z4148" s="33" t="s">
        <v>42966</v>
      </c>
      <c r="AA4148" s="33">
        <v>3516</v>
      </c>
    </row>
    <row r="4149" spans="1:27" ht="12" customHeight="1" x14ac:dyDescent="0.15">
      <c r="A4149" s="33" t="s">
        <v>19879</v>
      </c>
      <c r="B4149" s="33">
        <v>51</v>
      </c>
      <c r="C4149" s="33" t="s">
        <v>14</v>
      </c>
      <c r="D4149" s="33" t="s">
        <v>31</v>
      </c>
      <c r="F4149" s="67">
        <v>42452</v>
      </c>
      <c r="G4149" s="33" t="s">
        <v>19880</v>
      </c>
      <c r="H4149" s="33" t="s">
        <v>11136</v>
      </c>
      <c r="I4149" s="33" t="s">
        <v>192</v>
      </c>
      <c r="J4149" s="33" t="s">
        <v>11137</v>
      </c>
      <c r="K4149" s="33" t="s">
        <v>1790</v>
      </c>
      <c r="L4149" s="33" t="s">
        <v>11138</v>
      </c>
      <c r="M4149" s="33" t="s">
        <v>21</v>
      </c>
      <c r="N4149" s="33" t="s">
        <v>19881</v>
      </c>
      <c r="O4149" s="33" t="s">
        <v>372</v>
      </c>
      <c r="P4149" s="33" t="s">
        <v>30089</v>
      </c>
      <c r="Q4149" s="40" t="s">
        <v>19882</v>
      </c>
      <c r="R4149" s="33" t="s">
        <v>94</v>
      </c>
      <c r="S4149" s="33" t="s">
        <v>22</v>
      </c>
      <c r="T4149" s="33" t="s">
        <v>26781</v>
      </c>
      <c r="U4149" s="33" t="s">
        <v>26572</v>
      </c>
      <c r="V4149" s="33" t="s">
        <v>26573</v>
      </c>
      <c r="W4149" s="33" t="s">
        <v>94</v>
      </c>
      <c r="X4149" s="33">
        <v>1400</v>
      </c>
      <c r="Z4149" s="33" t="s">
        <v>42968</v>
      </c>
      <c r="AA4149" s="33">
        <v>3515</v>
      </c>
    </row>
    <row r="4150" spans="1:27" ht="12" customHeight="1" x14ac:dyDescent="0.15">
      <c r="A4150" s="33" t="s">
        <v>19458</v>
      </c>
      <c r="B4150" s="33">
        <v>30</v>
      </c>
      <c r="C4150" s="33" t="s">
        <v>14</v>
      </c>
      <c r="D4150" s="33" t="s">
        <v>79</v>
      </c>
      <c r="E4150" s="33" t="s">
        <v>19459</v>
      </c>
      <c r="F4150" s="67">
        <v>42452</v>
      </c>
      <c r="G4150" s="33" t="s">
        <v>19460</v>
      </c>
      <c r="H4150" s="33" t="s">
        <v>1116</v>
      </c>
      <c r="I4150" s="33" t="s">
        <v>298</v>
      </c>
      <c r="J4150" s="33" t="s">
        <v>15744</v>
      </c>
      <c r="K4150" s="33" t="s">
        <v>1117</v>
      </c>
      <c r="L4150" s="33" t="s">
        <v>1118</v>
      </c>
      <c r="M4150" s="33" t="s">
        <v>21</v>
      </c>
      <c r="N4150" s="33" t="s">
        <v>20871</v>
      </c>
      <c r="O4150" s="33" t="s">
        <v>372</v>
      </c>
      <c r="P4150" s="33" t="s">
        <v>30089</v>
      </c>
      <c r="Q4150" s="40" t="s">
        <v>19461</v>
      </c>
      <c r="R4150" s="33" t="s">
        <v>512</v>
      </c>
      <c r="S4150" s="33" t="s">
        <v>22</v>
      </c>
      <c r="T4150" s="33" t="s">
        <v>26781</v>
      </c>
      <c r="U4150" s="33" t="s">
        <v>26572</v>
      </c>
      <c r="V4150" s="33" t="s">
        <v>26573</v>
      </c>
      <c r="W4150" s="33" t="s">
        <v>94</v>
      </c>
      <c r="X4150" s="33">
        <v>1403</v>
      </c>
      <c r="Z4150" s="33" t="s">
        <v>42968</v>
      </c>
      <c r="AA4150" s="33">
        <v>3517</v>
      </c>
    </row>
    <row r="4151" spans="1:27" ht="12" customHeight="1" x14ac:dyDescent="0.15">
      <c r="A4151" s="33" t="s">
        <v>20683</v>
      </c>
      <c r="B4151" s="33">
        <v>33</v>
      </c>
      <c r="C4151" s="33" t="s">
        <v>14</v>
      </c>
      <c r="D4151" s="33" t="s">
        <v>31</v>
      </c>
      <c r="E4151" s="33" t="s">
        <v>20684</v>
      </c>
      <c r="F4151" s="67">
        <v>42451</v>
      </c>
      <c r="G4151" s="33" t="s">
        <v>20685</v>
      </c>
      <c r="H4151" s="33" t="s">
        <v>20686</v>
      </c>
      <c r="I4151" s="33" t="s">
        <v>225</v>
      </c>
      <c r="J4151" s="33" t="s">
        <v>20687</v>
      </c>
      <c r="K4151" s="33" t="s">
        <v>20688</v>
      </c>
      <c r="L4151" s="33" t="s">
        <v>20689</v>
      </c>
      <c r="M4151" s="33" t="s">
        <v>21</v>
      </c>
      <c r="N4151" s="33" t="s">
        <v>36718</v>
      </c>
      <c r="O4151" s="33" t="s">
        <v>372</v>
      </c>
      <c r="P4151" s="33" t="s">
        <v>30089</v>
      </c>
      <c r="Q4151" s="40" t="s">
        <v>20690</v>
      </c>
      <c r="R4151" s="33" t="s">
        <v>94</v>
      </c>
      <c r="S4151" s="33" t="s">
        <v>351</v>
      </c>
      <c r="T4151" s="33" t="s">
        <v>26867</v>
      </c>
      <c r="U4151" s="33" t="s">
        <v>26572</v>
      </c>
      <c r="V4151" s="33" t="s">
        <v>19228</v>
      </c>
      <c r="W4151" s="33" t="s">
        <v>512</v>
      </c>
      <c r="X4151" s="33">
        <v>1399</v>
      </c>
      <c r="Z4151" s="33" t="s">
        <v>42968</v>
      </c>
      <c r="AA4151" s="33">
        <v>3514</v>
      </c>
    </row>
    <row r="4152" spans="1:27" ht="12" customHeight="1" x14ac:dyDescent="0.15">
      <c r="A4152" s="33" t="s">
        <v>19671</v>
      </c>
      <c r="B4152" s="33">
        <v>25</v>
      </c>
      <c r="C4152" s="33" t="s">
        <v>14</v>
      </c>
      <c r="D4152" s="33" t="s">
        <v>42</v>
      </c>
      <c r="E4152" s="33" t="s">
        <v>19672</v>
      </c>
      <c r="F4152" s="67">
        <v>42451</v>
      </c>
      <c r="G4152" s="33" t="s">
        <v>19673</v>
      </c>
      <c r="H4152" s="33" t="s">
        <v>19674</v>
      </c>
      <c r="I4152" s="33" t="s">
        <v>56</v>
      </c>
      <c r="J4152" s="33" t="s">
        <v>10288</v>
      </c>
      <c r="K4152" s="33" t="s">
        <v>148</v>
      </c>
      <c r="L4152" s="33" t="s">
        <v>149</v>
      </c>
      <c r="M4152" s="33" t="s">
        <v>21</v>
      </c>
      <c r="N4152" s="33" t="s">
        <v>19675</v>
      </c>
      <c r="O4152" s="33" t="s">
        <v>372</v>
      </c>
      <c r="P4152" s="33" t="s">
        <v>30089</v>
      </c>
      <c r="Q4152" s="40" t="s">
        <v>19676</v>
      </c>
      <c r="R4152" s="33" t="s">
        <v>512</v>
      </c>
      <c r="S4152" s="33" t="s">
        <v>22</v>
      </c>
      <c r="T4152" s="33" t="s">
        <v>26607</v>
      </c>
      <c r="U4152" s="33" t="s">
        <v>26570</v>
      </c>
      <c r="V4152" s="33" t="s">
        <v>26573</v>
      </c>
      <c r="W4152" s="33" t="s">
        <v>94</v>
      </c>
      <c r="X4152" s="33">
        <v>1398</v>
      </c>
      <c r="Z4152" s="33" t="s">
        <v>42968</v>
      </c>
      <c r="AA4152" s="33">
        <v>3513</v>
      </c>
    </row>
    <row r="4153" spans="1:27" ht="12" customHeight="1" x14ac:dyDescent="0.15">
      <c r="A4153" s="33" t="s">
        <v>20512</v>
      </c>
      <c r="B4153" s="33">
        <v>76</v>
      </c>
      <c r="C4153" s="33" t="s">
        <v>14</v>
      </c>
      <c r="D4153" s="33" t="s">
        <v>31</v>
      </c>
      <c r="E4153" s="33" t="s">
        <v>20513</v>
      </c>
      <c r="F4153" s="67">
        <v>42450</v>
      </c>
      <c r="G4153" s="33" t="s">
        <v>20514</v>
      </c>
      <c r="H4153" s="33" t="s">
        <v>4692</v>
      </c>
      <c r="I4153" s="33" t="s">
        <v>9710</v>
      </c>
      <c r="J4153" s="33" t="s">
        <v>19277</v>
      </c>
      <c r="K4153" s="33" t="s">
        <v>11964</v>
      </c>
      <c r="L4153" s="33" t="s">
        <v>4694</v>
      </c>
      <c r="M4153" s="33" t="s">
        <v>4966</v>
      </c>
      <c r="N4153" s="33" t="s">
        <v>20515</v>
      </c>
      <c r="O4153" s="33" t="s">
        <v>372</v>
      </c>
      <c r="P4153" s="33" t="s">
        <v>30089</v>
      </c>
      <c r="Q4153" s="40" t="s">
        <v>20516</v>
      </c>
      <c r="R4153" s="33" t="s">
        <v>512</v>
      </c>
      <c r="S4153" s="33" t="s">
        <v>22</v>
      </c>
      <c r="T4153" s="33" t="s">
        <v>26774</v>
      </c>
      <c r="U4153" s="33" t="s">
        <v>26570</v>
      </c>
      <c r="V4153" s="33" t="s">
        <v>26573</v>
      </c>
      <c r="W4153" s="33" t="s">
        <v>512</v>
      </c>
      <c r="X4153" s="33">
        <v>1395</v>
      </c>
      <c r="Z4153" s="33" t="s">
        <v>42966</v>
      </c>
      <c r="AA4153" s="33">
        <v>3511</v>
      </c>
    </row>
    <row r="4154" spans="1:27" ht="12" customHeight="1" x14ac:dyDescent="0.15">
      <c r="A4154" s="33" t="s">
        <v>20188</v>
      </c>
      <c r="B4154" s="33">
        <v>25</v>
      </c>
      <c r="C4154" s="33" t="s">
        <v>14</v>
      </c>
      <c r="D4154" s="33" t="s">
        <v>31</v>
      </c>
      <c r="E4154" s="33" t="s">
        <v>20189</v>
      </c>
      <c r="F4154" s="67">
        <v>42450</v>
      </c>
      <c r="G4154" s="33" t="s">
        <v>20190</v>
      </c>
      <c r="H4154" s="33" t="s">
        <v>20191</v>
      </c>
      <c r="I4154" s="33" t="s">
        <v>35</v>
      </c>
      <c r="J4154" s="33" t="s">
        <v>20192</v>
      </c>
      <c r="K4154" s="33" t="s">
        <v>4499</v>
      </c>
      <c r="L4154" s="33" t="s">
        <v>20193</v>
      </c>
      <c r="M4154" s="33" t="s">
        <v>21</v>
      </c>
      <c r="N4154" s="33" t="s">
        <v>21013</v>
      </c>
      <c r="O4154" s="33" t="s">
        <v>507</v>
      </c>
      <c r="P4154" s="33" t="s">
        <v>30089</v>
      </c>
      <c r="Q4154" s="40" t="s">
        <v>20194</v>
      </c>
      <c r="R4154" s="33" t="s">
        <v>512</v>
      </c>
      <c r="S4154" s="33" t="s">
        <v>12</v>
      </c>
      <c r="T4154" s="33" t="s">
        <v>29425</v>
      </c>
      <c r="U4154" s="33" t="s">
        <v>26572</v>
      </c>
      <c r="V4154" s="33" t="s">
        <v>26573</v>
      </c>
      <c r="W4154" s="33" t="s">
        <v>94</v>
      </c>
      <c r="X4154" s="33">
        <v>1396</v>
      </c>
      <c r="Z4154" s="33" t="s">
        <v>42968</v>
      </c>
      <c r="AA4154" s="33">
        <v>3512</v>
      </c>
    </row>
    <row r="4155" spans="1:27" ht="12" customHeight="1" x14ac:dyDescent="0.15">
      <c r="A4155" s="33" t="s">
        <v>20337</v>
      </c>
      <c r="B4155" s="33">
        <v>28</v>
      </c>
      <c r="C4155" s="33" t="s">
        <v>14</v>
      </c>
      <c r="D4155" s="33" t="s">
        <v>31</v>
      </c>
      <c r="E4155" s="33" t="s">
        <v>20338</v>
      </c>
      <c r="F4155" s="67">
        <v>42450</v>
      </c>
      <c r="G4155" s="33" t="s">
        <v>20339</v>
      </c>
      <c r="H4155" s="33" t="s">
        <v>10919</v>
      </c>
      <c r="I4155" s="33" t="s">
        <v>376</v>
      </c>
      <c r="J4155" s="33" t="s">
        <v>10920</v>
      </c>
      <c r="K4155" s="33" t="s">
        <v>10921</v>
      </c>
      <c r="L4155" s="33" t="s">
        <v>473</v>
      </c>
      <c r="M4155" s="33" t="s">
        <v>21</v>
      </c>
      <c r="N4155" s="33" t="s">
        <v>21018</v>
      </c>
      <c r="O4155" s="33" t="s">
        <v>372</v>
      </c>
      <c r="P4155" s="33" t="s">
        <v>30089</v>
      </c>
      <c r="Q4155" s="40" t="s">
        <v>20340</v>
      </c>
      <c r="R4155" s="33" t="s">
        <v>512</v>
      </c>
      <c r="S4155" s="33" t="s">
        <v>22</v>
      </c>
      <c r="T4155" s="33" t="s">
        <v>26781</v>
      </c>
      <c r="U4155" s="33" t="s">
        <v>26572</v>
      </c>
      <c r="V4155" s="33" t="s">
        <v>26571</v>
      </c>
      <c r="W4155" s="33" t="s">
        <v>94</v>
      </c>
      <c r="X4155" s="33">
        <v>1397</v>
      </c>
      <c r="Z4155" s="33" t="s">
        <v>42968</v>
      </c>
      <c r="AA4155" s="33">
        <v>3510</v>
      </c>
    </row>
    <row r="4156" spans="1:27" ht="12" customHeight="1" x14ac:dyDescent="0.15">
      <c r="A4156" s="33" t="s">
        <v>19883</v>
      </c>
      <c r="B4156" s="33">
        <v>62</v>
      </c>
      <c r="C4156" s="33" t="s">
        <v>14</v>
      </c>
      <c r="D4156" s="33" t="s">
        <v>42</v>
      </c>
      <c r="F4156" s="67">
        <v>42449</v>
      </c>
      <c r="G4156" s="33" t="s">
        <v>19884</v>
      </c>
      <c r="H4156" s="33" t="s">
        <v>1678</v>
      </c>
      <c r="I4156" s="33" t="s">
        <v>198</v>
      </c>
      <c r="J4156" s="33">
        <v>46806</v>
      </c>
      <c r="K4156" s="33" t="s">
        <v>1680</v>
      </c>
      <c r="L4156" s="33" t="s">
        <v>1681</v>
      </c>
      <c r="M4156" s="33" t="s">
        <v>21</v>
      </c>
      <c r="N4156" s="33" t="s">
        <v>19885</v>
      </c>
      <c r="O4156" s="33" t="s">
        <v>372</v>
      </c>
      <c r="P4156" s="33" t="s">
        <v>30089</v>
      </c>
      <c r="Q4156" s="40" t="s">
        <v>19886</v>
      </c>
      <c r="R4156" s="33" t="s">
        <v>94</v>
      </c>
      <c r="S4156" s="33" t="s">
        <v>22</v>
      </c>
      <c r="T4156" s="33" t="s">
        <v>26781</v>
      </c>
      <c r="U4156" s="33" t="s">
        <v>26572</v>
      </c>
      <c r="V4156" s="33" t="s">
        <v>26574</v>
      </c>
      <c r="W4156" s="33" t="s">
        <v>94</v>
      </c>
      <c r="X4156" s="33">
        <v>1393</v>
      </c>
      <c r="Z4156" s="33" t="s">
        <v>42966</v>
      </c>
      <c r="AA4156" s="33">
        <v>3507</v>
      </c>
    </row>
    <row r="4157" spans="1:27" ht="12" customHeight="1" x14ac:dyDescent="0.15">
      <c r="A4157" s="33" t="s">
        <v>19508</v>
      </c>
      <c r="B4157" s="33">
        <v>16</v>
      </c>
      <c r="C4157" s="33" t="s">
        <v>14</v>
      </c>
      <c r="D4157" s="33" t="s">
        <v>79</v>
      </c>
      <c r="E4157" s="33" t="s">
        <v>19509</v>
      </c>
      <c r="F4157" s="67">
        <v>42449</v>
      </c>
      <c r="G4157" s="33" t="s">
        <v>19510</v>
      </c>
      <c r="H4157" s="33" t="s">
        <v>10316</v>
      </c>
      <c r="I4157" s="33" t="s">
        <v>56</v>
      </c>
      <c r="J4157" s="33">
        <v>32607</v>
      </c>
      <c r="K4157" s="33" t="s">
        <v>964</v>
      </c>
      <c r="L4157" s="33" t="s">
        <v>19511</v>
      </c>
      <c r="M4157" s="33" t="s">
        <v>21</v>
      </c>
      <c r="N4157" s="33" t="s">
        <v>19512</v>
      </c>
      <c r="O4157" s="33" t="s">
        <v>372</v>
      </c>
      <c r="P4157" s="33" t="s">
        <v>30089</v>
      </c>
      <c r="Q4157" s="40" t="s">
        <v>19513</v>
      </c>
      <c r="R4157" s="33" t="s">
        <v>512</v>
      </c>
      <c r="S4157" s="33" t="s">
        <v>12</v>
      </c>
      <c r="T4157" s="33" t="s">
        <v>29425</v>
      </c>
      <c r="U4157" s="33" t="s">
        <v>26570</v>
      </c>
      <c r="V4157" s="33" t="s">
        <v>26573</v>
      </c>
      <c r="W4157" s="33" t="s">
        <v>94</v>
      </c>
      <c r="X4157" s="33">
        <v>1394</v>
      </c>
      <c r="Z4157" s="33" t="s">
        <v>42968</v>
      </c>
      <c r="AA4157" s="33">
        <v>3509</v>
      </c>
    </row>
    <row r="4158" spans="1:27" ht="12" customHeight="1" x14ac:dyDescent="0.15">
      <c r="A4158" s="33" t="s">
        <v>20331</v>
      </c>
      <c r="B4158" s="33">
        <v>54</v>
      </c>
      <c r="C4158" s="33" t="s">
        <v>14</v>
      </c>
      <c r="D4158" s="33" t="s">
        <v>31</v>
      </c>
      <c r="E4158" s="33" t="s">
        <v>20332</v>
      </c>
      <c r="F4158" s="67">
        <v>42449</v>
      </c>
      <c r="G4158" s="33" t="s">
        <v>20333</v>
      </c>
      <c r="H4158" s="33" t="s">
        <v>20334</v>
      </c>
      <c r="I4158" s="33" t="s">
        <v>376</v>
      </c>
      <c r="J4158" s="33">
        <v>17223</v>
      </c>
      <c r="K4158" s="33" t="s">
        <v>1454</v>
      </c>
      <c r="L4158" s="33" t="s">
        <v>473</v>
      </c>
      <c r="M4158" s="33" t="s">
        <v>21</v>
      </c>
      <c r="N4158" s="33" t="s">
        <v>20335</v>
      </c>
      <c r="O4158" s="33" t="s">
        <v>372</v>
      </c>
      <c r="P4158" s="33" t="s">
        <v>30089</v>
      </c>
      <c r="Q4158" s="40" t="s">
        <v>20336</v>
      </c>
      <c r="R4158" s="33" t="s">
        <v>94</v>
      </c>
      <c r="S4158" s="33" t="s">
        <v>22</v>
      </c>
      <c r="T4158" s="33" t="s">
        <v>26781</v>
      </c>
      <c r="U4158" s="33" t="s">
        <v>26572</v>
      </c>
      <c r="V4158" s="33" t="s">
        <v>19228</v>
      </c>
      <c r="W4158" s="33" t="s">
        <v>94</v>
      </c>
      <c r="X4158" s="33">
        <v>1391</v>
      </c>
      <c r="Z4158" s="33" t="s">
        <v>42967</v>
      </c>
      <c r="AA4158" s="33">
        <v>3506</v>
      </c>
    </row>
    <row r="4159" spans="1:27" ht="12" customHeight="1" x14ac:dyDescent="0.15">
      <c r="A4159" s="33" t="s">
        <v>20129</v>
      </c>
      <c r="B4159" s="33">
        <v>61</v>
      </c>
      <c r="C4159" s="33" t="s">
        <v>14</v>
      </c>
      <c r="D4159" s="33" t="s">
        <v>31</v>
      </c>
      <c r="F4159" s="67">
        <v>42449</v>
      </c>
      <c r="G4159" s="33" t="s">
        <v>20130</v>
      </c>
      <c r="H4159" s="33" t="s">
        <v>6061</v>
      </c>
      <c r="I4159" s="33" t="s">
        <v>225</v>
      </c>
      <c r="J4159" s="33">
        <v>23860</v>
      </c>
      <c r="K4159" s="33" t="s">
        <v>20131</v>
      </c>
      <c r="L4159" s="33" t="s">
        <v>6063</v>
      </c>
      <c r="M4159" s="33" t="s">
        <v>21</v>
      </c>
      <c r="N4159" s="33" t="s">
        <v>20132</v>
      </c>
      <c r="O4159" s="33" t="s">
        <v>372</v>
      </c>
      <c r="P4159" s="33" t="s">
        <v>30089</v>
      </c>
      <c r="Q4159" s="40" t="s">
        <v>20133</v>
      </c>
      <c r="R4159" s="33" t="s">
        <v>512</v>
      </c>
      <c r="S4159" s="33" t="s">
        <v>22</v>
      </c>
      <c r="T4159" s="33" t="s">
        <v>26774</v>
      </c>
      <c r="U4159" s="33" t="s">
        <v>26570</v>
      </c>
      <c r="V4159" s="33" t="s">
        <v>26573</v>
      </c>
      <c r="W4159" s="33" t="s">
        <v>512</v>
      </c>
      <c r="X4159" s="33">
        <v>1380</v>
      </c>
      <c r="Z4159" s="33" t="s">
        <v>42968</v>
      </c>
      <c r="AA4159" s="33">
        <v>3508</v>
      </c>
    </row>
    <row r="4160" spans="1:27" ht="12" customHeight="1" x14ac:dyDescent="0.15">
      <c r="A4160" s="33" t="s">
        <v>19351</v>
      </c>
      <c r="B4160" s="33">
        <v>21</v>
      </c>
      <c r="C4160" s="33" t="s">
        <v>14</v>
      </c>
      <c r="D4160" s="33" t="s">
        <v>79</v>
      </c>
      <c r="E4160" s="33" t="s">
        <v>19352</v>
      </c>
      <c r="F4160" s="67">
        <v>42448</v>
      </c>
      <c r="G4160" s="33" t="s">
        <v>19353</v>
      </c>
      <c r="H4160" s="33" t="s">
        <v>7604</v>
      </c>
      <c r="I4160" s="33" t="s">
        <v>38</v>
      </c>
      <c r="J4160" s="33">
        <v>60466</v>
      </c>
      <c r="K4160" s="33" t="s">
        <v>82</v>
      </c>
      <c r="L4160" s="33" t="s">
        <v>7606</v>
      </c>
      <c r="M4160" s="33" t="s">
        <v>21</v>
      </c>
      <c r="N4160" s="33" t="s">
        <v>19354</v>
      </c>
      <c r="O4160" s="33" t="s">
        <v>372</v>
      </c>
      <c r="P4160" s="33" t="s">
        <v>30089</v>
      </c>
      <c r="Q4160" s="40" t="s">
        <v>19355</v>
      </c>
      <c r="R4160" s="33" t="s">
        <v>94</v>
      </c>
      <c r="S4160" s="33" t="s">
        <v>22</v>
      </c>
      <c r="T4160" s="33" t="s">
        <v>26781</v>
      </c>
      <c r="U4160" s="33" t="s">
        <v>26572</v>
      </c>
      <c r="V4160" s="33" t="s">
        <v>26574</v>
      </c>
      <c r="W4160" s="33" t="s">
        <v>94</v>
      </c>
      <c r="X4160" s="33">
        <v>1388</v>
      </c>
      <c r="Z4160" s="33" t="s">
        <v>42968</v>
      </c>
      <c r="AA4160" s="33">
        <v>3501</v>
      </c>
    </row>
    <row r="4161" spans="1:27" ht="12" customHeight="1" x14ac:dyDescent="0.15">
      <c r="A4161" s="33" t="s">
        <v>19523</v>
      </c>
      <c r="B4161" s="33">
        <v>25</v>
      </c>
      <c r="C4161" s="33" t="s">
        <v>103</v>
      </c>
      <c r="D4161" s="33" t="s">
        <v>79</v>
      </c>
      <c r="E4161" s="33" t="s">
        <v>19524</v>
      </c>
      <c r="F4161" s="67">
        <v>42448</v>
      </c>
      <c r="G4161" s="33" t="s">
        <v>19525</v>
      </c>
      <c r="H4161" s="33" t="s">
        <v>3060</v>
      </c>
      <c r="I4161" s="33" t="s">
        <v>225</v>
      </c>
      <c r="J4161" s="33">
        <v>23518</v>
      </c>
      <c r="K4161" s="33" t="s">
        <v>14991</v>
      </c>
      <c r="L4161" s="33" t="s">
        <v>4650</v>
      </c>
      <c r="M4161" s="33" t="s">
        <v>21</v>
      </c>
      <c r="N4161" s="33" t="s">
        <v>20974</v>
      </c>
      <c r="O4161" s="33" t="s">
        <v>372</v>
      </c>
      <c r="P4161" s="33" t="s">
        <v>30089</v>
      </c>
      <c r="Q4161" s="40" t="s">
        <v>19526</v>
      </c>
      <c r="R4161" s="33" t="s">
        <v>94</v>
      </c>
      <c r="S4161" s="33" t="s">
        <v>12</v>
      </c>
      <c r="T4161" s="33" t="s">
        <v>29425</v>
      </c>
      <c r="U4161" s="33" t="s">
        <v>26572</v>
      </c>
      <c r="V4161" s="33" t="s">
        <v>26573</v>
      </c>
      <c r="W4161" s="33" t="s">
        <v>94</v>
      </c>
      <c r="X4161" s="33">
        <v>1382</v>
      </c>
      <c r="Z4161" s="33" t="s">
        <v>42968</v>
      </c>
      <c r="AA4161" s="33">
        <v>3503</v>
      </c>
    </row>
    <row r="4162" spans="1:27" ht="12" customHeight="1" x14ac:dyDescent="0.15">
      <c r="A4162" s="33" t="s">
        <v>20169</v>
      </c>
      <c r="B4162" s="33">
        <v>24</v>
      </c>
      <c r="C4162" s="33" t="s">
        <v>14</v>
      </c>
      <c r="D4162" s="33" t="s">
        <v>31</v>
      </c>
      <c r="F4162" s="67">
        <v>42448</v>
      </c>
      <c r="G4162" s="33" t="s">
        <v>20170</v>
      </c>
      <c r="H4162" s="33" t="s">
        <v>1164</v>
      </c>
      <c r="I4162" s="33" t="s">
        <v>19</v>
      </c>
      <c r="J4162" s="33">
        <v>70433</v>
      </c>
      <c r="K4162" s="33" t="s">
        <v>15980</v>
      </c>
      <c r="L4162" s="33" t="s">
        <v>15981</v>
      </c>
      <c r="M4162" s="33" t="s">
        <v>21</v>
      </c>
      <c r="N4162" s="33" t="s">
        <v>20171</v>
      </c>
      <c r="O4162" s="33" t="s">
        <v>372</v>
      </c>
      <c r="P4162" s="33" t="s">
        <v>30089</v>
      </c>
      <c r="Q4162" s="40" t="s">
        <v>20172</v>
      </c>
      <c r="R4162" s="33" t="s">
        <v>94</v>
      </c>
      <c r="S4162" s="33" t="s">
        <v>29</v>
      </c>
      <c r="T4162" s="33" t="s">
        <v>26575</v>
      </c>
      <c r="U4162" s="33" t="s">
        <v>26575</v>
      </c>
      <c r="V4162" s="33" t="s">
        <v>26571</v>
      </c>
      <c r="W4162" s="33" t="s">
        <v>94</v>
      </c>
      <c r="X4162" s="33">
        <v>1387</v>
      </c>
      <c r="Z4162" s="33" t="s">
        <v>42968</v>
      </c>
      <c r="AA4162" s="33">
        <v>3505</v>
      </c>
    </row>
    <row r="4163" spans="1:27" ht="12" customHeight="1" x14ac:dyDescent="0.15">
      <c r="A4163" s="33" t="s">
        <v>21074</v>
      </c>
      <c r="B4163" s="33">
        <v>35</v>
      </c>
      <c r="C4163" s="33" t="s">
        <v>14</v>
      </c>
      <c r="D4163" s="33" t="s">
        <v>79</v>
      </c>
      <c r="E4163" s="33" t="s">
        <v>21075</v>
      </c>
      <c r="F4163" s="67">
        <v>42448</v>
      </c>
      <c r="G4163" s="33" t="s">
        <v>21076</v>
      </c>
      <c r="H4163" s="33" t="s">
        <v>21077</v>
      </c>
      <c r="I4163" s="33" t="s">
        <v>56</v>
      </c>
      <c r="J4163" s="33">
        <v>23518</v>
      </c>
      <c r="K4163" s="33" t="s">
        <v>4016</v>
      </c>
      <c r="L4163" s="33" t="s">
        <v>4955</v>
      </c>
      <c r="M4163" s="33" t="s">
        <v>363</v>
      </c>
      <c r="N4163" s="33" t="s">
        <v>21078</v>
      </c>
      <c r="O4163" s="33" t="s">
        <v>372</v>
      </c>
      <c r="P4163" s="33" t="s">
        <v>30089</v>
      </c>
      <c r="Q4163" s="40" t="s">
        <v>21079</v>
      </c>
      <c r="R4163" s="33" t="s">
        <v>94</v>
      </c>
      <c r="S4163" s="33" t="s">
        <v>12</v>
      </c>
      <c r="T4163" s="33" t="s">
        <v>29705</v>
      </c>
      <c r="U4163" s="33" t="s">
        <v>26575</v>
      </c>
      <c r="V4163" s="33" t="s">
        <v>26573</v>
      </c>
      <c r="Z4163" s="33" t="s">
        <v>42968</v>
      </c>
      <c r="AA4163" s="33">
        <v>3504</v>
      </c>
    </row>
    <row r="4164" spans="1:27" ht="12" customHeight="1" x14ac:dyDescent="0.15">
      <c r="A4164" s="33" t="s">
        <v>20289</v>
      </c>
      <c r="B4164" s="33">
        <v>23</v>
      </c>
      <c r="C4164" s="33" t="s">
        <v>14</v>
      </c>
      <c r="D4164" s="33" t="s">
        <v>31</v>
      </c>
      <c r="E4164" s="33" t="s">
        <v>20290</v>
      </c>
      <c r="F4164" s="67">
        <v>42448</v>
      </c>
      <c r="G4164" s="33" t="s">
        <v>20291</v>
      </c>
      <c r="H4164" s="33" t="s">
        <v>17312</v>
      </c>
      <c r="I4164" s="33" t="s">
        <v>294</v>
      </c>
      <c r="J4164" s="33">
        <v>42442</v>
      </c>
      <c r="K4164" s="33" t="s">
        <v>3538</v>
      </c>
      <c r="L4164" s="33" t="s">
        <v>18258</v>
      </c>
      <c r="M4164" s="33" t="s">
        <v>21</v>
      </c>
      <c r="N4164" s="33" t="s">
        <v>20292</v>
      </c>
      <c r="O4164" s="33" t="s">
        <v>372</v>
      </c>
      <c r="P4164" s="33" t="s">
        <v>30089</v>
      </c>
      <c r="Q4164" s="40" t="s">
        <v>20293</v>
      </c>
      <c r="R4164" s="33" t="s">
        <v>94</v>
      </c>
      <c r="S4164" s="33" t="s">
        <v>22</v>
      </c>
      <c r="T4164" s="33" t="s">
        <v>26781</v>
      </c>
      <c r="U4164" s="33" t="s">
        <v>26572</v>
      </c>
      <c r="V4164" s="33" t="s">
        <v>19228</v>
      </c>
      <c r="W4164" s="33" t="s">
        <v>94</v>
      </c>
      <c r="X4164" s="33">
        <v>1392</v>
      </c>
      <c r="Z4164" s="33" t="s">
        <v>42967</v>
      </c>
      <c r="AA4164" s="33">
        <v>3502</v>
      </c>
    </row>
    <row r="4165" spans="1:27" ht="12" customHeight="1" x14ac:dyDescent="0.15">
      <c r="A4165" s="33" t="s">
        <v>20976</v>
      </c>
      <c r="B4165" s="33">
        <v>60</v>
      </c>
      <c r="C4165" s="33" t="s">
        <v>14</v>
      </c>
      <c r="D4165" s="33" t="s">
        <v>31</v>
      </c>
      <c r="F4165" s="67">
        <v>42447</v>
      </c>
      <c r="G4165" s="33" t="s">
        <v>20982</v>
      </c>
      <c r="H4165" s="33" t="s">
        <v>20981</v>
      </c>
      <c r="I4165" s="33" t="s">
        <v>735</v>
      </c>
      <c r="J4165" s="33">
        <v>83404</v>
      </c>
      <c r="K4165" s="33" t="s">
        <v>1659</v>
      </c>
      <c r="L4165" s="33" t="s">
        <v>1579</v>
      </c>
      <c r="M4165" s="33" t="s">
        <v>21</v>
      </c>
      <c r="N4165" s="33" t="s">
        <v>26628</v>
      </c>
      <c r="O4165" s="33" t="s">
        <v>372</v>
      </c>
      <c r="P4165" s="33" t="s">
        <v>30089</v>
      </c>
      <c r="Q4165" s="40" t="s">
        <v>20983</v>
      </c>
      <c r="R4165" s="33" t="s">
        <v>94</v>
      </c>
      <c r="S4165" s="33" t="s">
        <v>12</v>
      </c>
      <c r="T4165" s="33" t="s">
        <v>29705</v>
      </c>
      <c r="U4165" s="33" t="s">
        <v>26570</v>
      </c>
      <c r="V4165" s="33" t="s">
        <v>26573</v>
      </c>
      <c r="W4165" s="33" t="s">
        <v>94</v>
      </c>
      <c r="X4165" s="33">
        <v>1401</v>
      </c>
      <c r="Z4165" s="33" t="s">
        <v>42966</v>
      </c>
      <c r="AA4165" s="33">
        <v>3500</v>
      </c>
    </row>
    <row r="4166" spans="1:27" ht="12" customHeight="1" x14ac:dyDescent="0.15">
      <c r="A4166" s="33" t="s">
        <v>19870</v>
      </c>
      <c r="B4166" s="33">
        <v>49</v>
      </c>
      <c r="C4166" s="33" t="s">
        <v>14</v>
      </c>
      <c r="D4166" s="33" t="s">
        <v>24</v>
      </c>
      <c r="F4166" s="67">
        <v>42447</v>
      </c>
      <c r="G4166" s="33" t="s">
        <v>19871</v>
      </c>
      <c r="H4166" s="33" t="s">
        <v>19872</v>
      </c>
      <c r="I4166" s="33" t="s">
        <v>39</v>
      </c>
      <c r="J4166" s="33">
        <v>94514</v>
      </c>
      <c r="K4166" s="33" t="s">
        <v>4146</v>
      </c>
      <c r="L4166" s="33" t="s">
        <v>36625</v>
      </c>
      <c r="M4166" s="33" t="s">
        <v>21</v>
      </c>
      <c r="N4166" s="33" t="s">
        <v>19873</v>
      </c>
      <c r="O4166" s="33" t="s">
        <v>372</v>
      </c>
      <c r="P4166" s="33" t="s">
        <v>30089</v>
      </c>
      <c r="Q4166" s="40" t="s">
        <v>19874</v>
      </c>
      <c r="R4166" s="33" t="s">
        <v>512</v>
      </c>
      <c r="S4166" s="33" t="s">
        <v>22</v>
      </c>
      <c r="T4166" s="33" t="s">
        <v>26781</v>
      </c>
      <c r="U4166" s="33" t="s">
        <v>26572</v>
      </c>
      <c r="V4166" s="33" t="s">
        <v>26573</v>
      </c>
      <c r="W4166" s="33" t="s">
        <v>94</v>
      </c>
      <c r="X4166" s="33">
        <v>1386</v>
      </c>
      <c r="Z4166" s="33" t="s">
        <v>42967</v>
      </c>
      <c r="AA4166" s="33">
        <v>3499</v>
      </c>
    </row>
    <row r="4167" spans="1:27" ht="12" customHeight="1" x14ac:dyDescent="0.15">
      <c r="A4167" s="33" t="s">
        <v>19316</v>
      </c>
      <c r="B4167" s="33">
        <v>53</v>
      </c>
      <c r="C4167" s="33" t="s">
        <v>14</v>
      </c>
      <c r="D4167" s="33" t="s">
        <v>15</v>
      </c>
      <c r="E4167" s="33" t="s">
        <v>19317</v>
      </c>
      <c r="F4167" s="67">
        <v>42446</v>
      </c>
      <c r="G4167" s="33" t="s">
        <v>19318</v>
      </c>
      <c r="H4167" s="33" t="s">
        <v>1463</v>
      </c>
      <c r="I4167" s="33" t="s">
        <v>56</v>
      </c>
      <c r="J4167" s="33">
        <v>33611</v>
      </c>
      <c r="K4167" s="33" t="s">
        <v>590</v>
      </c>
      <c r="L4167" s="33" t="s">
        <v>1465</v>
      </c>
      <c r="M4167" s="33" t="s">
        <v>21</v>
      </c>
      <c r="N4167" s="33" t="s">
        <v>20995</v>
      </c>
      <c r="O4167" s="33" t="s">
        <v>372</v>
      </c>
      <c r="P4167" s="33" t="s">
        <v>30089</v>
      </c>
      <c r="Q4167" s="40" t="s">
        <v>19319</v>
      </c>
      <c r="R4167" s="33" t="s">
        <v>94</v>
      </c>
      <c r="S4167" s="33" t="s">
        <v>22</v>
      </c>
      <c r="T4167" s="33" t="s">
        <v>26781</v>
      </c>
      <c r="U4167" s="33" t="s">
        <v>26572</v>
      </c>
      <c r="V4167" s="33" t="s">
        <v>26573</v>
      </c>
      <c r="W4167" s="33" t="s">
        <v>94</v>
      </c>
      <c r="X4167" s="33">
        <v>1372</v>
      </c>
      <c r="Z4167" s="33" t="s">
        <v>42966</v>
      </c>
      <c r="AA4167" s="33">
        <v>3494</v>
      </c>
    </row>
    <row r="4168" spans="1:27" ht="12" customHeight="1" x14ac:dyDescent="0.15">
      <c r="A4168" s="33" t="s">
        <v>19598</v>
      </c>
      <c r="B4168" s="33">
        <v>30</v>
      </c>
      <c r="C4168" s="33" t="s">
        <v>14</v>
      </c>
      <c r="D4168" s="33" t="s">
        <v>79</v>
      </c>
      <c r="F4168" s="67">
        <v>42446</v>
      </c>
      <c r="G4168" s="33" t="s">
        <v>19599</v>
      </c>
      <c r="H4168" s="33" t="s">
        <v>674</v>
      </c>
      <c r="I4168" s="33" t="s">
        <v>67</v>
      </c>
      <c r="J4168" s="33">
        <v>77037</v>
      </c>
      <c r="K4168" s="33" t="s">
        <v>515</v>
      </c>
      <c r="L4168" s="33" t="s">
        <v>675</v>
      </c>
      <c r="M4168" s="33" t="s">
        <v>21</v>
      </c>
      <c r="N4168" s="33" t="s">
        <v>19600</v>
      </c>
      <c r="O4168" s="33" t="s">
        <v>372</v>
      </c>
      <c r="P4168" s="33" t="s">
        <v>30089</v>
      </c>
      <c r="Q4168" s="40" t="s">
        <v>19601</v>
      </c>
      <c r="R4168" s="33" t="s">
        <v>94</v>
      </c>
      <c r="S4168" s="33" t="s">
        <v>22</v>
      </c>
      <c r="T4168" s="33" t="s">
        <v>26781</v>
      </c>
      <c r="U4168" s="33" t="s">
        <v>26572</v>
      </c>
      <c r="V4168" s="33" t="s">
        <v>26573</v>
      </c>
      <c r="W4168" s="33" t="s">
        <v>94</v>
      </c>
      <c r="X4168" s="33">
        <v>1377</v>
      </c>
      <c r="Z4168" s="33" t="s">
        <v>42968</v>
      </c>
      <c r="AA4168" s="33">
        <v>3496</v>
      </c>
    </row>
    <row r="4169" spans="1:27" ht="12" customHeight="1" x14ac:dyDescent="0.15">
      <c r="A4169" s="33" t="s">
        <v>19949</v>
      </c>
      <c r="B4169" s="33">
        <v>29</v>
      </c>
      <c r="C4169" s="33" t="s">
        <v>14</v>
      </c>
      <c r="D4169" s="33" t="s">
        <v>79</v>
      </c>
      <c r="E4169" s="33" t="s">
        <v>20833</v>
      </c>
      <c r="F4169" s="67">
        <v>42446</v>
      </c>
      <c r="G4169" s="33" t="s">
        <v>19599</v>
      </c>
      <c r="H4169" s="33" t="s">
        <v>674</v>
      </c>
      <c r="I4169" s="33" t="s">
        <v>67</v>
      </c>
      <c r="J4169" s="33">
        <v>77037</v>
      </c>
      <c r="K4169" s="33" t="s">
        <v>515</v>
      </c>
      <c r="L4169" s="33" t="s">
        <v>675</v>
      </c>
      <c r="M4169" s="33" t="s">
        <v>21</v>
      </c>
      <c r="N4169" s="33" t="s">
        <v>19600</v>
      </c>
      <c r="O4169" s="33" t="s">
        <v>372</v>
      </c>
      <c r="P4169" s="33" t="s">
        <v>30089</v>
      </c>
      <c r="Q4169" s="40" t="s">
        <v>19601</v>
      </c>
      <c r="R4169" s="33" t="s">
        <v>94</v>
      </c>
      <c r="S4169" s="33" t="s">
        <v>22</v>
      </c>
      <c r="T4169" s="33" t="s">
        <v>26781</v>
      </c>
      <c r="U4169" s="33" t="s">
        <v>26572</v>
      </c>
      <c r="W4169" s="33" t="s">
        <v>94</v>
      </c>
      <c r="X4169" s="33">
        <v>1376</v>
      </c>
      <c r="Z4169" s="33" t="s">
        <v>42968</v>
      </c>
      <c r="AA4169" s="33">
        <v>3495</v>
      </c>
    </row>
    <row r="4170" spans="1:27" ht="12" customHeight="1" x14ac:dyDescent="0.15">
      <c r="A4170" s="33" t="s">
        <v>19320</v>
      </c>
      <c r="B4170" s="33">
        <v>38</v>
      </c>
      <c r="C4170" s="33" t="s">
        <v>14</v>
      </c>
      <c r="D4170" s="33" t="s">
        <v>15</v>
      </c>
      <c r="E4170" s="33" t="s">
        <v>19321</v>
      </c>
      <c r="F4170" s="67">
        <v>42446</v>
      </c>
      <c r="G4170" s="33" t="s">
        <v>19322</v>
      </c>
      <c r="H4170" s="33" t="s">
        <v>19323</v>
      </c>
      <c r="I4170" s="33" t="s">
        <v>122</v>
      </c>
      <c r="J4170" s="33">
        <v>55337</v>
      </c>
      <c r="K4170" s="33" t="s">
        <v>19324</v>
      </c>
      <c r="L4170" s="33" t="s">
        <v>19325</v>
      </c>
      <c r="M4170" s="33" t="s">
        <v>21</v>
      </c>
      <c r="N4170" s="33" t="s">
        <v>19326</v>
      </c>
      <c r="O4170" s="33" t="s">
        <v>372</v>
      </c>
      <c r="P4170" s="33" t="s">
        <v>30089</v>
      </c>
      <c r="Q4170" s="40" t="s">
        <v>19327</v>
      </c>
      <c r="R4170" s="33" t="s">
        <v>512</v>
      </c>
      <c r="S4170" s="33" t="s">
        <v>22</v>
      </c>
      <c r="T4170" s="33" t="s">
        <v>26774</v>
      </c>
      <c r="U4170" s="33" t="s">
        <v>26570</v>
      </c>
      <c r="V4170" s="33" t="s">
        <v>26573</v>
      </c>
      <c r="W4170" s="33" t="s">
        <v>512</v>
      </c>
      <c r="X4170" s="33">
        <v>1370</v>
      </c>
      <c r="Z4170" s="33" t="s">
        <v>42968</v>
      </c>
      <c r="AA4170" s="33">
        <v>3498</v>
      </c>
    </row>
    <row r="4171" spans="1:27" ht="12" customHeight="1" x14ac:dyDescent="0.15">
      <c r="A4171" s="33" t="s">
        <v>20730</v>
      </c>
      <c r="B4171" s="33">
        <v>37</v>
      </c>
      <c r="C4171" s="33" t="s">
        <v>14</v>
      </c>
      <c r="D4171" s="33" t="s">
        <v>31</v>
      </c>
      <c r="E4171" s="33" t="s">
        <v>20731</v>
      </c>
      <c r="F4171" s="67">
        <v>42446</v>
      </c>
      <c r="G4171" s="33" t="s">
        <v>20732</v>
      </c>
      <c r="H4171" s="33" t="s">
        <v>1807</v>
      </c>
      <c r="I4171" s="33" t="s">
        <v>376</v>
      </c>
      <c r="J4171" s="33">
        <v>15059</v>
      </c>
      <c r="K4171" s="33" t="s">
        <v>20733</v>
      </c>
      <c r="L4171" s="33" t="s">
        <v>20734</v>
      </c>
      <c r="M4171" s="33" t="s">
        <v>21</v>
      </c>
      <c r="N4171" s="33" t="s">
        <v>20735</v>
      </c>
      <c r="O4171" s="33" t="s">
        <v>372</v>
      </c>
      <c r="P4171" s="33" t="s">
        <v>30089</v>
      </c>
      <c r="Q4171" s="40" t="s">
        <v>20736</v>
      </c>
      <c r="R4171" s="33" t="s">
        <v>904</v>
      </c>
      <c r="S4171" s="33" t="s">
        <v>22</v>
      </c>
      <c r="T4171" s="33" t="s">
        <v>26781</v>
      </c>
      <c r="U4171" s="33" t="s">
        <v>26572</v>
      </c>
      <c r="V4171" s="33" t="s">
        <v>26573</v>
      </c>
      <c r="Z4171" s="33" t="s">
        <v>42968</v>
      </c>
      <c r="AA4171" s="33">
        <v>3497</v>
      </c>
    </row>
    <row r="4172" spans="1:27" ht="12" customHeight="1" x14ac:dyDescent="0.15">
      <c r="A4172" s="33" t="s">
        <v>20063</v>
      </c>
      <c r="B4172" s="33">
        <v>40</v>
      </c>
      <c r="C4172" s="33" t="s">
        <v>14</v>
      </c>
      <c r="D4172" s="33" t="s">
        <v>31</v>
      </c>
      <c r="F4172" s="67">
        <v>42445</v>
      </c>
      <c r="G4172" s="33" t="s">
        <v>20064</v>
      </c>
      <c r="H4172" s="33" t="s">
        <v>20065</v>
      </c>
      <c r="I4172" s="33" t="s">
        <v>338</v>
      </c>
      <c r="J4172" s="33">
        <v>28379</v>
      </c>
      <c r="K4172" s="33" t="s">
        <v>4087</v>
      </c>
      <c r="L4172" s="33" t="s">
        <v>17485</v>
      </c>
      <c r="M4172" s="33" t="s">
        <v>21</v>
      </c>
      <c r="N4172" s="33" t="s">
        <v>36719</v>
      </c>
      <c r="O4172" s="33" t="s">
        <v>372</v>
      </c>
      <c r="P4172" s="33" t="s">
        <v>30089</v>
      </c>
      <c r="Q4172" s="40" t="s">
        <v>20066</v>
      </c>
      <c r="R4172" s="33" t="s">
        <v>512</v>
      </c>
      <c r="S4172" s="33" t="s">
        <v>22</v>
      </c>
      <c r="T4172" s="33" t="s">
        <v>26781</v>
      </c>
      <c r="U4172" s="33" t="s">
        <v>26572</v>
      </c>
      <c r="V4172" s="33" t="s">
        <v>26573</v>
      </c>
      <c r="W4172" s="33" t="s">
        <v>94</v>
      </c>
      <c r="X4172" s="33">
        <v>1374</v>
      </c>
      <c r="Z4172" s="33" t="s">
        <v>42967</v>
      </c>
      <c r="AA4172" s="33">
        <v>3491</v>
      </c>
    </row>
    <row r="4173" spans="1:27" ht="12" customHeight="1" x14ac:dyDescent="0.15">
      <c r="A4173" s="33" t="s">
        <v>19686</v>
      </c>
      <c r="B4173" s="33">
        <v>23</v>
      </c>
      <c r="C4173" s="33" t="s">
        <v>14</v>
      </c>
      <c r="D4173" s="33" t="s">
        <v>42</v>
      </c>
      <c r="F4173" s="67">
        <v>42445</v>
      </c>
      <c r="G4173" s="33" t="s">
        <v>19687</v>
      </c>
      <c r="H4173" s="33" t="s">
        <v>92</v>
      </c>
      <c r="I4173" s="33" t="s">
        <v>39</v>
      </c>
      <c r="J4173" s="33">
        <v>90001</v>
      </c>
      <c r="K4173" s="33" t="s">
        <v>92</v>
      </c>
      <c r="L4173" s="33" t="s">
        <v>386</v>
      </c>
      <c r="M4173" s="33" t="s">
        <v>21</v>
      </c>
      <c r="N4173" s="33" t="s">
        <v>19688</v>
      </c>
      <c r="O4173" s="33" t="s">
        <v>372</v>
      </c>
      <c r="P4173" s="33" t="s">
        <v>30089</v>
      </c>
      <c r="Q4173" s="40" t="s">
        <v>19689</v>
      </c>
      <c r="R4173" s="33" t="s">
        <v>512</v>
      </c>
      <c r="S4173" s="33" t="s">
        <v>12</v>
      </c>
      <c r="T4173" s="33" t="s">
        <v>29705</v>
      </c>
      <c r="U4173" s="33" t="s">
        <v>26570</v>
      </c>
      <c r="V4173" s="33" t="s">
        <v>26573</v>
      </c>
      <c r="W4173" s="33" t="s">
        <v>94</v>
      </c>
      <c r="X4173" s="33">
        <v>1367</v>
      </c>
      <c r="Z4173" s="33" t="s">
        <v>42966</v>
      </c>
      <c r="AA4173" s="33">
        <v>3492</v>
      </c>
    </row>
    <row r="4174" spans="1:27" ht="12" customHeight="1" x14ac:dyDescent="0.15">
      <c r="A4174" s="33" t="s">
        <v>19742</v>
      </c>
      <c r="B4174" s="33">
        <v>33</v>
      </c>
      <c r="C4174" s="33" t="s">
        <v>14</v>
      </c>
      <c r="D4174" s="33" t="s">
        <v>42</v>
      </c>
      <c r="F4174" s="67">
        <v>42445</v>
      </c>
      <c r="G4174" s="33" t="s">
        <v>19743</v>
      </c>
      <c r="H4174" s="33" t="s">
        <v>532</v>
      </c>
      <c r="I4174" s="33" t="s">
        <v>67</v>
      </c>
      <c r="J4174" s="33">
        <v>78214</v>
      </c>
      <c r="K4174" s="33" t="s">
        <v>533</v>
      </c>
      <c r="L4174" s="33" t="s">
        <v>534</v>
      </c>
      <c r="M4174" s="33" t="s">
        <v>21</v>
      </c>
      <c r="N4174" s="33" t="s">
        <v>19744</v>
      </c>
      <c r="O4174" s="33" t="s">
        <v>372</v>
      </c>
      <c r="P4174" s="33" t="s">
        <v>30089</v>
      </c>
      <c r="Q4174" s="40" t="s">
        <v>19745</v>
      </c>
      <c r="R4174" s="33" t="s">
        <v>512</v>
      </c>
      <c r="S4174" s="33" t="s">
        <v>22</v>
      </c>
      <c r="T4174" s="33" t="s">
        <v>26781</v>
      </c>
      <c r="U4174" s="33" t="s">
        <v>26572</v>
      </c>
      <c r="V4174" s="33" t="s">
        <v>26573</v>
      </c>
      <c r="W4174" s="33" t="s">
        <v>94</v>
      </c>
      <c r="X4174" s="33">
        <v>1368</v>
      </c>
      <c r="Z4174" s="33" t="s">
        <v>42966</v>
      </c>
      <c r="AA4174" s="33">
        <v>3490</v>
      </c>
    </row>
    <row r="4175" spans="1:27" ht="12" customHeight="1" x14ac:dyDescent="0.15">
      <c r="A4175" s="33" t="s">
        <v>19705</v>
      </c>
      <c r="B4175" s="33">
        <v>25</v>
      </c>
      <c r="C4175" s="33" t="s">
        <v>14</v>
      </c>
      <c r="D4175" s="33" t="s">
        <v>42</v>
      </c>
      <c r="F4175" s="67">
        <v>42445</v>
      </c>
      <c r="G4175" s="33" t="s">
        <v>19706</v>
      </c>
      <c r="H4175" s="33" t="s">
        <v>4198</v>
      </c>
      <c r="I4175" s="33" t="s">
        <v>39</v>
      </c>
      <c r="J4175" s="33">
        <v>92307</v>
      </c>
      <c r="K4175" s="33" t="s">
        <v>288</v>
      </c>
      <c r="L4175" s="33" t="s">
        <v>388</v>
      </c>
      <c r="M4175" s="33" t="s">
        <v>21</v>
      </c>
      <c r="N4175" s="33" t="s">
        <v>19707</v>
      </c>
      <c r="O4175" s="33" t="s">
        <v>372</v>
      </c>
      <c r="P4175" s="33" t="s">
        <v>30089</v>
      </c>
      <c r="Q4175" s="40" t="s">
        <v>19708</v>
      </c>
      <c r="R4175" s="33" t="s">
        <v>23</v>
      </c>
      <c r="S4175" s="33" t="s">
        <v>29</v>
      </c>
      <c r="T4175" s="33" t="s">
        <v>26575</v>
      </c>
      <c r="U4175" s="33" t="s">
        <v>26575</v>
      </c>
      <c r="V4175" s="33" t="s">
        <v>26573</v>
      </c>
      <c r="Y4175" s="33" t="s">
        <v>42476</v>
      </c>
      <c r="Z4175" s="33" t="s">
        <v>42968</v>
      </c>
      <c r="AA4175" s="33">
        <v>3493</v>
      </c>
    </row>
    <row r="4176" spans="1:27" ht="12" customHeight="1" x14ac:dyDescent="0.15">
      <c r="A4176" s="33" t="s">
        <v>20373</v>
      </c>
      <c r="B4176" s="33">
        <v>43</v>
      </c>
      <c r="C4176" s="33" t="s">
        <v>14</v>
      </c>
      <c r="D4176" s="33" t="s">
        <v>31</v>
      </c>
      <c r="E4176" s="33" t="s">
        <v>20374</v>
      </c>
      <c r="F4176" s="67">
        <v>42444</v>
      </c>
      <c r="G4176" s="33" t="s">
        <v>20375</v>
      </c>
      <c r="H4176" s="33" t="s">
        <v>870</v>
      </c>
      <c r="I4176" s="33" t="s">
        <v>67</v>
      </c>
      <c r="J4176" s="33" t="s">
        <v>20376</v>
      </c>
      <c r="K4176" s="33" t="s">
        <v>68</v>
      </c>
      <c r="L4176" s="33" t="s">
        <v>871</v>
      </c>
      <c r="M4176" s="33" t="s">
        <v>21</v>
      </c>
      <c r="N4176" s="33" t="s">
        <v>20377</v>
      </c>
      <c r="O4176" s="33" t="s">
        <v>372</v>
      </c>
      <c r="P4176" s="33" t="s">
        <v>30089</v>
      </c>
      <c r="Q4176" s="40" t="s">
        <v>20378</v>
      </c>
      <c r="R4176" s="33" t="s">
        <v>94</v>
      </c>
      <c r="S4176" s="33" t="s">
        <v>22</v>
      </c>
      <c r="T4176" s="33" t="s">
        <v>26781</v>
      </c>
      <c r="U4176" s="33" t="s">
        <v>26570</v>
      </c>
      <c r="V4176" s="33" t="s">
        <v>19228</v>
      </c>
      <c r="W4176" s="33" t="s">
        <v>512</v>
      </c>
      <c r="X4176" s="33">
        <v>1371</v>
      </c>
      <c r="Z4176" s="33" t="s">
        <v>42968</v>
      </c>
      <c r="AA4176" s="33">
        <v>3488</v>
      </c>
    </row>
    <row r="4177" spans="1:27" ht="12" customHeight="1" x14ac:dyDescent="0.15">
      <c r="A4177" s="33" t="s">
        <v>20444</v>
      </c>
      <c r="B4177" s="33">
        <v>38</v>
      </c>
      <c r="C4177" s="33" t="s">
        <v>14</v>
      </c>
      <c r="D4177" s="33" t="s">
        <v>31</v>
      </c>
      <c r="E4177" s="33" t="s">
        <v>20445</v>
      </c>
      <c r="F4177" s="67">
        <v>42444</v>
      </c>
      <c r="G4177" s="33" t="s">
        <v>20446</v>
      </c>
      <c r="H4177" s="33" t="s">
        <v>20447</v>
      </c>
      <c r="I4177" s="33" t="s">
        <v>198</v>
      </c>
      <c r="J4177" s="33">
        <v>47715</v>
      </c>
      <c r="K4177" s="33" t="s">
        <v>20448</v>
      </c>
      <c r="L4177" s="33" t="s">
        <v>20449</v>
      </c>
      <c r="M4177" s="33" t="s">
        <v>21</v>
      </c>
      <c r="N4177" s="33" t="s">
        <v>20450</v>
      </c>
      <c r="O4177" s="33" t="s">
        <v>372</v>
      </c>
      <c r="P4177" s="33" t="s">
        <v>30089</v>
      </c>
      <c r="Q4177" s="40" t="s">
        <v>20451</v>
      </c>
      <c r="R4177" s="33" t="s">
        <v>94</v>
      </c>
      <c r="S4177" s="33" t="s">
        <v>22</v>
      </c>
      <c r="T4177" s="33" t="s">
        <v>26774</v>
      </c>
      <c r="U4177" s="33" t="s">
        <v>26570</v>
      </c>
      <c r="V4177" s="33" t="s">
        <v>26571</v>
      </c>
      <c r="W4177" s="33" t="s">
        <v>512</v>
      </c>
      <c r="X4177" s="33">
        <v>1369</v>
      </c>
      <c r="Z4177" s="33" t="s">
        <v>42966</v>
      </c>
      <c r="AA4177" s="33">
        <v>3489</v>
      </c>
    </row>
    <row r="4178" spans="1:27" ht="12" customHeight="1" x14ac:dyDescent="0.15">
      <c r="A4178" s="33" t="s">
        <v>20032</v>
      </c>
      <c r="B4178" s="33">
        <v>34</v>
      </c>
      <c r="C4178" s="33" t="s">
        <v>14</v>
      </c>
      <c r="D4178" s="33" t="s">
        <v>31</v>
      </c>
      <c r="F4178" s="67">
        <v>42444</v>
      </c>
      <c r="G4178" s="33" t="s">
        <v>20033</v>
      </c>
      <c r="H4178" s="33" t="s">
        <v>5934</v>
      </c>
      <c r="I4178" s="33" t="s">
        <v>294</v>
      </c>
      <c r="J4178" s="33" t="s">
        <v>20034</v>
      </c>
      <c r="K4178" s="33" t="s">
        <v>930</v>
      </c>
      <c r="L4178" s="33" t="s">
        <v>20035</v>
      </c>
      <c r="M4178" s="33" t="s">
        <v>21</v>
      </c>
      <c r="N4178" s="33" t="s">
        <v>20036</v>
      </c>
      <c r="O4178" s="33" t="s">
        <v>372</v>
      </c>
      <c r="P4178" s="33" t="s">
        <v>30089</v>
      </c>
      <c r="Q4178" s="40" t="s">
        <v>20037</v>
      </c>
      <c r="R4178" s="33" t="s">
        <v>94</v>
      </c>
      <c r="S4178" s="33" t="s">
        <v>22</v>
      </c>
      <c r="T4178" s="33" t="s">
        <v>26781</v>
      </c>
      <c r="U4178" s="33" t="s">
        <v>26570</v>
      </c>
      <c r="V4178" s="33" t="s">
        <v>26574</v>
      </c>
      <c r="W4178" s="33" t="s">
        <v>94</v>
      </c>
      <c r="X4178" s="33">
        <v>1366</v>
      </c>
      <c r="Z4178" s="33" t="s">
        <v>42967</v>
      </c>
      <c r="AA4178" s="33">
        <v>3487</v>
      </c>
    </row>
    <row r="4179" spans="1:27" ht="12" customHeight="1" x14ac:dyDescent="0.15">
      <c r="A4179" s="33" t="s">
        <v>19356</v>
      </c>
      <c r="B4179" s="33">
        <v>29</v>
      </c>
      <c r="C4179" s="33" t="s">
        <v>14</v>
      </c>
      <c r="D4179" s="33" t="s">
        <v>79</v>
      </c>
      <c r="E4179" s="33" t="s">
        <v>19357</v>
      </c>
      <c r="F4179" s="67">
        <v>42443</v>
      </c>
      <c r="G4179" s="33" t="s">
        <v>19358</v>
      </c>
      <c r="H4179" s="33" t="s">
        <v>81</v>
      </c>
      <c r="I4179" s="33" t="s">
        <v>38</v>
      </c>
      <c r="J4179" s="33" t="s">
        <v>6039</v>
      </c>
      <c r="K4179" s="33" t="s">
        <v>82</v>
      </c>
      <c r="L4179" s="33" t="s">
        <v>83</v>
      </c>
      <c r="M4179" s="33" t="s">
        <v>21</v>
      </c>
      <c r="N4179" s="33" t="s">
        <v>19359</v>
      </c>
      <c r="O4179" s="33" t="s">
        <v>372</v>
      </c>
      <c r="P4179" s="33" t="s">
        <v>30089</v>
      </c>
      <c r="Q4179" s="40" t="s">
        <v>19360</v>
      </c>
      <c r="R4179" s="33" t="s">
        <v>94</v>
      </c>
      <c r="S4179" s="33" t="s">
        <v>22</v>
      </c>
      <c r="T4179" s="33" t="s">
        <v>26781</v>
      </c>
      <c r="U4179" s="33" t="s">
        <v>26572</v>
      </c>
      <c r="V4179" s="33" t="s">
        <v>26574</v>
      </c>
      <c r="W4179" s="33" t="s">
        <v>94</v>
      </c>
      <c r="X4179" s="33">
        <v>1364</v>
      </c>
      <c r="Z4179" s="33" t="s">
        <v>42966</v>
      </c>
      <c r="AA4179" s="33">
        <v>3486</v>
      </c>
    </row>
    <row r="4180" spans="1:27" ht="12" customHeight="1" x14ac:dyDescent="0.15">
      <c r="A4180" s="33" t="s">
        <v>19584</v>
      </c>
      <c r="B4180" s="33">
        <v>24</v>
      </c>
      <c r="C4180" s="33" t="s">
        <v>14</v>
      </c>
      <c r="D4180" s="33" t="s">
        <v>79</v>
      </c>
      <c r="F4180" s="67">
        <v>42442</v>
      </c>
      <c r="G4180" s="33" t="s">
        <v>19585</v>
      </c>
      <c r="H4180" s="33" t="s">
        <v>375</v>
      </c>
      <c r="I4180" s="33" t="s">
        <v>376</v>
      </c>
      <c r="J4180" s="33" t="s">
        <v>1822</v>
      </c>
      <c r="K4180" s="33" t="s">
        <v>850</v>
      </c>
      <c r="L4180" s="33" t="s">
        <v>1823</v>
      </c>
      <c r="M4180" s="33" t="s">
        <v>21</v>
      </c>
      <c r="N4180" s="33" t="s">
        <v>19586</v>
      </c>
      <c r="O4180" s="33" t="s">
        <v>372</v>
      </c>
      <c r="P4180" s="33" t="s">
        <v>30089</v>
      </c>
      <c r="Q4180" s="40" t="s">
        <v>19587</v>
      </c>
      <c r="R4180" s="33" t="s">
        <v>94</v>
      </c>
      <c r="S4180" s="33" t="s">
        <v>22</v>
      </c>
      <c r="T4180" s="33" t="s">
        <v>26781</v>
      </c>
      <c r="U4180" s="33" t="s">
        <v>26572</v>
      </c>
      <c r="V4180" s="33" t="s">
        <v>26573</v>
      </c>
      <c r="W4180" s="33" t="s">
        <v>94</v>
      </c>
      <c r="X4180" s="33">
        <v>1361</v>
      </c>
      <c r="Z4180" s="33" t="s">
        <v>42968</v>
      </c>
      <c r="AA4180" s="33">
        <v>3479</v>
      </c>
    </row>
    <row r="4181" spans="1:27" ht="12" customHeight="1" x14ac:dyDescent="0.15">
      <c r="A4181" s="33" t="s">
        <v>20581</v>
      </c>
      <c r="B4181" s="33">
        <v>30</v>
      </c>
      <c r="C4181" s="33" t="s">
        <v>14</v>
      </c>
      <c r="D4181" s="33" t="s">
        <v>31</v>
      </c>
      <c r="E4181" s="33" t="s">
        <v>20582</v>
      </c>
      <c r="F4181" s="67">
        <v>42442</v>
      </c>
      <c r="G4181" s="33" t="s">
        <v>20583</v>
      </c>
      <c r="H4181" s="33" t="s">
        <v>7977</v>
      </c>
      <c r="I4181" s="33" t="s">
        <v>298</v>
      </c>
      <c r="J4181" s="33" t="s">
        <v>7978</v>
      </c>
      <c r="K4181" s="33" t="s">
        <v>7979</v>
      </c>
      <c r="L4181" s="33" t="s">
        <v>20584</v>
      </c>
      <c r="M4181" s="33" t="s">
        <v>21</v>
      </c>
      <c r="N4181" s="33" t="s">
        <v>21033</v>
      </c>
      <c r="O4181" s="33" t="s">
        <v>372</v>
      </c>
      <c r="P4181" s="33" t="s">
        <v>30089</v>
      </c>
      <c r="Q4181" s="40" t="s">
        <v>20585</v>
      </c>
      <c r="R4181" s="33" t="s">
        <v>904</v>
      </c>
      <c r="S4181" s="33" t="s">
        <v>12</v>
      </c>
      <c r="T4181" s="33" t="s">
        <v>29705</v>
      </c>
      <c r="U4181" s="33" t="s">
        <v>26570</v>
      </c>
      <c r="V4181" s="33" t="s">
        <v>26571</v>
      </c>
      <c r="W4181" s="33" t="s">
        <v>512</v>
      </c>
      <c r="X4181" s="33">
        <v>1359</v>
      </c>
      <c r="Z4181" s="33" t="s">
        <v>42968</v>
      </c>
      <c r="AA4181" s="33">
        <v>3483</v>
      </c>
    </row>
    <row r="4182" spans="1:27" ht="12" customHeight="1" x14ac:dyDescent="0.15">
      <c r="A4182" s="33" t="s">
        <v>19388</v>
      </c>
      <c r="B4182" s="33">
        <v>28</v>
      </c>
      <c r="C4182" s="33" t="s">
        <v>14</v>
      </c>
      <c r="D4182" s="33" t="s">
        <v>79</v>
      </c>
      <c r="E4182" s="33" t="s">
        <v>19389</v>
      </c>
      <c r="F4182" s="67">
        <v>42442</v>
      </c>
      <c r="G4182" s="33" t="s">
        <v>19390</v>
      </c>
      <c r="H4182" s="33" t="s">
        <v>2208</v>
      </c>
      <c r="I4182" s="33" t="s">
        <v>46</v>
      </c>
      <c r="J4182" s="33" t="s">
        <v>2209</v>
      </c>
      <c r="K4182" s="33" t="s">
        <v>5999</v>
      </c>
      <c r="L4182" s="33" t="s">
        <v>705</v>
      </c>
      <c r="M4182" s="33" t="s">
        <v>21</v>
      </c>
      <c r="N4182" s="33" t="s">
        <v>36720</v>
      </c>
      <c r="O4182" s="33" t="s">
        <v>372</v>
      </c>
      <c r="P4182" s="33" t="s">
        <v>30089</v>
      </c>
      <c r="Q4182" s="40" t="s">
        <v>19391</v>
      </c>
      <c r="R4182" s="33" t="s">
        <v>94</v>
      </c>
      <c r="S4182" s="33" t="s">
        <v>22</v>
      </c>
      <c r="T4182" s="33" t="s">
        <v>26781</v>
      </c>
      <c r="U4182" s="33" t="s">
        <v>26570</v>
      </c>
      <c r="V4182" s="33" t="s">
        <v>26573</v>
      </c>
      <c r="W4182" s="33" t="s">
        <v>94</v>
      </c>
      <c r="X4182" s="33">
        <v>1379</v>
      </c>
      <c r="Z4182" s="33" t="s">
        <v>42968</v>
      </c>
      <c r="AA4182" s="33">
        <v>3480</v>
      </c>
    </row>
    <row r="4183" spans="1:27" ht="12" customHeight="1" x14ac:dyDescent="0.15">
      <c r="A4183" s="33" t="s">
        <v>20517</v>
      </c>
      <c r="B4183" s="33">
        <v>38</v>
      </c>
      <c r="C4183" s="33" t="s">
        <v>103</v>
      </c>
      <c r="D4183" s="33" t="s">
        <v>31</v>
      </c>
      <c r="F4183" s="67">
        <v>42442</v>
      </c>
      <c r="G4183" s="33" t="s">
        <v>20518</v>
      </c>
      <c r="H4183" s="33" t="s">
        <v>3086</v>
      </c>
      <c r="I4183" s="33" t="s">
        <v>282</v>
      </c>
      <c r="J4183" s="33">
        <v>98662</v>
      </c>
      <c r="K4183" s="33" t="s">
        <v>527</v>
      </c>
      <c r="L4183" s="33" t="s">
        <v>3087</v>
      </c>
      <c r="M4183" s="33" t="s">
        <v>21</v>
      </c>
      <c r="N4183" s="33" t="s">
        <v>20519</v>
      </c>
      <c r="O4183" s="33" t="s">
        <v>372</v>
      </c>
      <c r="P4183" s="33" t="s">
        <v>30089</v>
      </c>
      <c r="Q4183" s="40" t="s">
        <v>20520</v>
      </c>
      <c r="R4183" s="33" t="s">
        <v>512</v>
      </c>
      <c r="S4183" s="33" t="s">
        <v>22</v>
      </c>
      <c r="T4183" s="33" t="s">
        <v>26594</v>
      </c>
      <c r="U4183" s="33" t="s">
        <v>26572</v>
      </c>
      <c r="V4183" s="33" t="s">
        <v>26573</v>
      </c>
      <c r="W4183" s="33" t="s">
        <v>94</v>
      </c>
      <c r="X4183" s="33">
        <v>1362</v>
      </c>
      <c r="Z4183" s="33" t="s">
        <v>42968</v>
      </c>
      <c r="AA4183" s="33">
        <v>3481</v>
      </c>
    </row>
    <row r="4184" spans="1:27" ht="12" customHeight="1" x14ac:dyDescent="0.15">
      <c r="A4184" s="33" t="s">
        <v>21341</v>
      </c>
      <c r="B4184" s="33">
        <v>52</v>
      </c>
      <c r="C4184" s="33" t="s">
        <v>14</v>
      </c>
      <c r="D4184" s="33" t="s">
        <v>24</v>
      </c>
      <c r="F4184" s="67">
        <v>42442</v>
      </c>
      <c r="G4184" s="33" t="s">
        <v>21371</v>
      </c>
      <c r="H4184" s="33" t="s">
        <v>21372</v>
      </c>
      <c r="I4184" s="33" t="s">
        <v>294</v>
      </c>
      <c r="J4184" s="33">
        <v>42101</v>
      </c>
      <c r="K4184" s="33" t="s">
        <v>5481</v>
      </c>
      <c r="L4184" s="33" t="s">
        <v>18258</v>
      </c>
      <c r="M4184" s="33" t="s">
        <v>363</v>
      </c>
      <c r="N4184" s="33" t="s">
        <v>21369</v>
      </c>
      <c r="O4184" s="33" t="s">
        <v>372</v>
      </c>
      <c r="P4184" s="33" t="s">
        <v>30089</v>
      </c>
      <c r="Q4184" s="40" t="s">
        <v>21370</v>
      </c>
      <c r="R4184" s="33" t="s">
        <v>23</v>
      </c>
      <c r="S4184" s="33" t="s">
        <v>12</v>
      </c>
      <c r="T4184" s="33" t="s">
        <v>29705</v>
      </c>
      <c r="U4184" s="33" t="s">
        <v>26575</v>
      </c>
      <c r="V4184" s="33" t="s">
        <v>26573</v>
      </c>
      <c r="Z4184" s="33" t="s">
        <v>42968</v>
      </c>
      <c r="AA4184" s="33">
        <v>3484</v>
      </c>
    </row>
    <row r="4185" spans="1:27" ht="12" customHeight="1" x14ac:dyDescent="0.15">
      <c r="A4185" s="33" t="s">
        <v>20629</v>
      </c>
      <c r="B4185" s="33">
        <v>45</v>
      </c>
      <c r="C4185" s="33" t="s">
        <v>14</v>
      </c>
      <c r="D4185" s="33" t="s">
        <v>31</v>
      </c>
      <c r="F4185" s="67">
        <v>42442</v>
      </c>
      <c r="G4185" s="33" t="s">
        <v>20630</v>
      </c>
      <c r="H4185" s="33" t="s">
        <v>3067</v>
      </c>
      <c r="I4185" s="33" t="s">
        <v>39</v>
      </c>
      <c r="J4185" s="33">
        <v>91205</v>
      </c>
      <c r="K4185" s="33" t="s">
        <v>92</v>
      </c>
      <c r="L4185" s="33" t="s">
        <v>1402</v>
      </c>
      <c r="M4185" s="33" t="s">
        <v>21</v>
      </c>
      <c r="N4185" s="33" t="s">
        <v>21012</v>
      </c>
      <c r="O4185" s="33" t="s">
        <v>372</v>
      </c>
      <c r="P4185" s="33" t="s">
        <v>30089</v>
      </c>
      <c r="Q4185" s="40" t="s">
        <v>20631</v>
      </c>
      <c r="R4185" s="33" t="s">
        <v>512</v>
      </c>
      <c r="S4185" s="33" t="s">
        <v>351</v>
      </c>
      <c r="T4185" s="33" t="s">
        <v>26867</v>
      </c>
      <c r="U4185" s="33" t="s">
        <v>26572</v>
      </c>
      <c r="V4185" s="33" t="s">
        <v>26571</v>
      </c>
      <c r="W4185" s="33" t="s">
        <v>94</v>
      </c>
      <c r="X4185" s="33">
        <v>1356</v>
      </c>
      <c r="Z4185" s="33" t="s">
        <v>42966</v>
      </c>
      <c r="AA4185" s="33">
        <v>3485</v>
      </c>
    </row>
    <row r="4186" spans="1:27" ht="12" customHeight="1" x14ac:dyDescent="0.15">
      <c r="A4186" s="33" t="s">
        <v>19694</v>
      </c>
      <c r="B4186" s="33">
        <v>16</v>
      </c>
      <c r="C4186" s="33" t="s">
        <v>14</v>
      </c>
      <c r="D4186" s="33" t="s">
        <v>42</v>
      </c>
      <c r="E4186" s="33" t="s">
        <v>19695</v>
      </c>
      <c r="F4186" s="67">
        <v>42442</v>
      </c>
      <c r="G4186" s="33" t="s">
        <v>19696</v>
      </c>
      <c r="H4186" s="33" t="s">
        <v>19697</v>
      </c>
      <c r="I4186" s="33" t="s">
        <v>67</v>
      </c>
      <c r="J4186" s="33" t="s">
        <v>19698</v>
      </c>
      <c r="K4186" s="33" t="s">
        <v>266</v>
      </c>
      <c r="L4186" s="33" t="s">
        <v>36378</v>
      </c>
      <c r="M4186" s="33" t="s">
        <v>21</v>
      </c>
      <c r="N4186" s="33" t="s">
        <v>19699</v>
      </c>
      <c r="O4186" s="33" t="s">
        <v>19483</v>
      </c>
      <c r="P4186" s="33" t="s">
        <v>1084</v>
      </c>
      <c r="Q4186" s="40" t="s">
        <v>19700</v>
      </c>
      <c r="R4186" s="33" t="s">
        <v>94</v>
      </c>
      <c r="S4186" s="33" t="s">
        <v>12</v>
      </c>
      <c r="T4186" s="33" t="s">
        <v>29705</v>
      </c>
      <c r="U4186" s="33" t="s">
        <v>26575</v>
      </c>
      <c r="V4186" s="33" t="s">
        <v>26571</v>
      </c>
      <c r="W4186" s="33" t="s">
        <v>94</v>
      </c>
      <c r="X4186" s="33">
        <v>1358</v>
      </c>
      <c r="Y4186" s="33" t="s">
        <v>42476</v>
      </c>
      <c r="Z4186" s="33" t="s">
        <v>42968</v>
      </c>
      <c r="AA4186" s="33">
        <v>3482</v>
      </c>
    </row>
    <row r="4187" spans="1:27" ht="12" customHeight="1" x14ac:dyDescent="0.15">
      <c r="A4187" s="33" t="s">
        <v>20195</v>
      </c>
      <c r="B4187" s="33">
        <v>26</v>
      </c>
      <c r="C4187" s="33" t="s">
        <v>14</v>
      </c>
      <c r="D4187" s="33" t="s">
        <v>31</v>
      </c>
      <c r="E4187" s="33" t="s">
        <v>20196</v>
      </c>
      <c r="F4187" s="67">
        <v>42442</v>
      </c>
      <c r="G4187" s="33" t="s">
        <v>20197</v>
      </c>
      <c r="H4187" s="33" t="s">
        <v>8576</v>
      </c>
      <c r="I4187" s="33" t="s">
        <v>88</v>
      </c>
      <c r="J4187" s="33" t="s">
        <v>20198</v>
      </c>
      <c r="K4187" s="33" t="s">
        <v>11588</v>
      </c>
      <c r="L4187" s="33" t="s">
        <v>20199</v>
      </c>
      <c r="M4187" s="33" t="s">
        <v>21</v>
      </c>
      <c r="N4187" s="33" t="s">
        <v>20991</v>
      </c>
      <c r="O4187" s="33" t="s">
        <v>372</v>
      </c>
      <c r="P4187" s="33" t="s">
        <v>30089</v>
      </c>
      <c r="Q4187" s="40" t="s">
        <v>20200</v>
      </c>
      <c r="R4187" s="33" t="s">
        <v>94</v>
      </c>
      <c r="S4187" s="33" t="s">
        <v>22</v>
      </c>
      <c r="T4187" s="33" t="s">
        <v>26781</v>
      </c>
      <c r="U4187" s="33" t="s">
        <v>26572</v>
      </c>
      <c r="V4187" s="33" t="s">
        <v>26571</v>
      </c>
      <c r="W4187" s="33" t="s">
        <v>94</v>
      </c>
      <c r="X4187" s="33">
        <v>1360</v>
      </c>
      <c r="Z4187" s="33" t="s">
        <v>42967</v>
      </c>
      <c r="AA4187" s="33">
        <v>3478</v>
      </c>
    </row>
    <row r="4188" spans="1:27" ht="12" customHeight="1" x14ac:dyDescent="0.15">
      <c r="A4188" s="33" t="s">
        <v>19595</v>
      </c>
      <c r="B4188" s="33">
        <v>20</v>
      </c>
      <c r="C4188" s="33" t="s">
        <v>14</v>
      </c>
      <c r="D4188" s="33" t="s">
        <v>79</v>
      </c>
      <c r="F4188" s="67">
        <v>42441</v>
      </c>
      <c r="G4188" s="33" t="s">
        <v>19596</v>
      </c>
      <c r="H4188" s="33" t="s">
        <v>674</v>
      </c>
      <c r="I4188" s="33" t="s">
        <v>67</v>
      </c>
      <c r="J4188" s="33" t="s">
        <v>15948</v>
      </c>
      <c r="K4188" s="33" t="s">
        <v>515</v>
      </c>
      <c r="L4188" s="33" t="s">
        <v>516</v>
      </c>
      <c r="M4188" s="33" t="s">
        <v>4966</v>
      </c>
      <c r="N4188" s="33" t="s">
        <v>19597</v>
      </c>
      <c r="O4188" s="33" t="s">
        <v>372</v>
      </c>
      <c r="P4188" s="33" t="s">
        <v>30089</v>
      </c>
      <c r="Q4188" s="40" t="s">
        <v>19491</v>
      </c>
      <c r="R4188" s="33" t="s">
        <v>94</v>
      </c>
      <c r="S4188" s="33" t="s">
        <v>22</v>
      </c>
      <c r="T4188" s="33" t="s">
        <v>27803</v>
      </c>
      <c r="U4188" s="33" t="s">
        <v>26572</v>
      </c>
      <c r="V4188" s="33" t="s">
        <v>26573</v>
      </c>
      <c r="W4188" s="33" t="s">
        <v>94</v>
      </c>
      <c r="X4188" s="33">
        <v>1365</v>
      </c>
      <c r="Z4188" s="33" t="s">
        <v>42968</v>
      </c>
      <c r="AA4188" s="33">
        <v>3476</v>
      </c>
    </row>
    <row r="4189" spans="1:27" ht="12" customHeight="1" x14ac:dyDescent="0.15">
      <c r="A4189" s="33" t="s">
        <v>19488</v>
      </c>
      <c r="B4189" s="33">
        <v>37</v>
      </c>
      <c r="C4189" s="33" t="s">
        <v>14</v>
      </c>
      <c r="D4189" s="33" t="s">
        <v>79</v>
      </c>
      <c r="F4189" s="67">
        <v>42441</v>
      </c>
      <c r="G4189" s="33" t="s">
        <v>19489</v>
      </c>
      <c r="H4189" s="33" t="s">
        <v>674</v>
      </c>
      <c r="I4189" s="33" t="s">
        <v>67</v>
      </c>
      <c r="J4189" s="33" t="s">
        <v>19490</v>
      </c>
      <c r="K4189" s="33" t="s">
        <v>515</v>
      </c>
      <c r="L4189" s="33" t="s">
        <v>675</v>
      </c>
      <c r="M4189" s="33" t="s">
        <v>4966</v>
      </c>
      <c r="N4189" s="33" t="s">
        <v>20864</v>
      </c>
      <c r="O4189" s="33" t="s">
        <v>372</v>
      </c>
      <c r="P4189" s="33" t="s">
        <v>30089</v>
      </c>
      <c r="Q4189" s="40" t="s">
        <v>20865</v>
      </c>
      <c r="R4189" s="33" t="s">
        <v>512</v>
      </c>
      <c r="S4189" s="33" t="s">
        <v>12</v>
      </c>
      <c r="T4189" s="33" t="s">
        <v>29705</v>
      </c>
      <c r="U4189" s="33" t="s">
        <v>26570</v>
      </c>
      <c r="V4189" s="33" t="s">
        <v>26574</v>
      </c>
      <c r="W4189" s="33" t="s">
        <v>94</v>
      </c>
      <c r="X4189" s="33">
        <v>1357</v>
      </c>
      <c r="Z4189" s="33" t="s">
        <v>42966</v>
      </c>
      <c r="AA4189" s="33">
        <v>3477</v>
      </c>
    </row>
    <row r="4190" spans="1:27" ht="12" customHeight="1" x14ac:dyDescent="0.15">
      <c r="A4190" s="33" t="s">
        <v>21342</v>
      </c>
      <c r="B4190" s="33">
        <v>49</v>
      </c>
      <c r="C4190" s="33" t="s">
        <v>14</v>
      </c>
      <c r="D4190" s="33" t="s">
        <v>31</v>
      </c>
      <c r="E4190" s="33" t="s">
        <v>21373</v>
      </c>
      <c r="F4190" s="67">
        <v>42441</v>
      </c>
      <c r="G4190" s="33" t="s">
        <v>21375</v>
      </c>
      <c r="H4190" s="33" t="s">
        <v>21377</v>
      </c>
      <c r="I4190" s="33" t="s">
        <v>51</v>
      </c>
      <c r="J4190" s="33">
        <v>48415</v>
      </c>
      <c r="K4190" s="33" t="s">
        <v>21376</v>
      </c>
      <c r="L4190" s="33" t="s">
        <v>3627</v>
      </c>
      <c r="M4190" s="33" t="s">
        <v>351</v>
      </c>
      <c r="N4190" s="33" t="s">
        <v>42496</v>
      </c>
      <c r="O4190" s="33" t="s">
        <v>372</v>
      </c>
      <c r="P4190" s="33" t="s">
        <v>30089</v>
      </c>
      <c r="Q4190" s="40" t="s">
        <v>21374</v>
      </c>
      <c r="R4190" s="33" t="s">
        <v>94</v>
      </c>
      <c r="S4190" s="33" t="s">
        <v>22</v>
      </c>
      <c r="T4190" s="33" t="s">
        <v>26781</v>
      </c>
      <c r="U4190" s="33" t="s">
        <v>26572</v>
      </c>
      <c r="V4190" s="33" t="s">
        <v>26573</v>
      </c>
      <c r="Z4190" s="33" t="s">
        <v>42967</v>
      </c>
      <c r="AA4190" s="33">
        <v>3475</v>
      </c>
    </row>
    <row r="4191" spans="1:27" ht="12" customHeight="1" x14ac:dyDescent="0.15">
      <c r="A4191" s="33" t="s">
        <v>20725</v>
      </c>
      <c r="B4191" s="33">
        <v>43</v>
      </c>
      <c r="C4191" s="33" t="s">
        <v>14</v>
      </c>
      <c r="D4191" s="33" t="s">
        <v>31</v>
      </c>
      <c r="F4191" s="67">
        <v>42441</v>
      </c>
      <c r="G4191" s="33" t="s">
        <v>20726</v>
      </c>
      <c r="H4191" s="33" t="s">
        <v>5923</v>
      </c>
      <c r="I4191" s="33" t="s">
        <v>338</v>
      </c>
      <c r="J4191" s="33" t="s">
        <v>20727</v>
      </c>
      <c r="K4191" s="33" t="s">
        <v>599</v>
      </c>
      <c r="L4191" s="33" t="s">
        <v>9857</v>
      </c>
      <c r="M4191" s="33" t="s">
        <v>21</v>
      </c>
      <c r="N4191" s="33" t="s">
        <v>20728</v>
      </c>
      <c r="O4191" s="33" t="s">
        <v>372</v>
      </c>
      <c r="P4191" s="33" t="s">
        <v>30089</v>
      </c>
      <c r="Q4191" s="40" t="s">
        <v>20729</v>
      </c>
      <c r="R4191" s="33" t="s">
        <v>512</v>
      </c>
      <c r="S4191" s="33" t="s">
        <v>22</v>
      </c>
      <c r="T4191" s="33" t="s">
        <v>26781</v>
      </c>
      <c r="U4191" s="33" t="s">
        <v>26572</v>
      </c>
      <c r="V4191" s="33" t="s">
        <v>26573</v>
      </c>
      <c r="W4191" s="33" t="s">
        <v>512</v>
      </c>
      <c r="X4191" s="33">
        <v>1476</v>
      </c>
      <c r="Z4191" s="33" t="s">
        <v>42966</v>
      </c>
      <c r="AA4191" s="33">
        <v>3474</v>
      </c>
    </row>
    <row r="4192" spans="1:27" ht="12" customHeight="1" x14ac:dyDescent="0.15">
      <c r="A4192" s="33" t="s">
        <v>19467</v>
      </c>
      <c r="B4192" s="33">
        <v>25</v>
      </c>
      <c r="C4192" s="33" t="s">
        <v>14</v>
      </c>
      <c r="D4192" s="33" t="s">
        <v>79</v>
      </c>
      <c r="E4192" s="33" t="s">
        <v>19468</v>
      </c>
      <c r="F4192" s="67">
        <v>42440</v>
      </c>
      <c r="G4192" s="33" t="s">
        <v>19469</v>
      </c>
      <c r="H4192" s="33" t="s">
        <v>3060</v>
      </c>
      <c r="I4192" s="33" t="s">
        <v>225</v>
      </c>
      <c r="J4192" s="33" t="s">
        <v>19470</v>
      </c>
      <c r="K4192" s="33" t="s">
        <v>14991</v>
      </c>
      <c r="L4192" s="33" t="s">
        <v>4650</v>
      </c>
      <c r="M4192" s="33" t="s">
        <v>21</v>
      </c>
      <c r="N4192" s="33" t="s">
        <v>19471</v>
      </c>
      <c r="O4192" s="33" t="s">
        <v>372</v>
      </c>
      <c r="P4192" s="33" t="s">
        <v>30089</v>
      </c>
      <c r="Q4192" s="40" t="s">
        <v>19472</v>
      </c>
      <c r="R4192" s="33" t="s">
        <v>94</v>
      </c>
      <c r="S4192" s="33" t="s">
        <v>22</v>
      </c>
      <c r="T4192" s="33" t="s">
        <v>26781</v>
      </c>
      <c r="U4192" s="33" t="s">
        <v>26572</v>
      </c>
      <c r="V4192" s="33" t="s">
        <v>26573</v>
      </c>
      <c r="W4192" s="33" t="s">
        <v>512</v>
      </c>
      <c r="X4192" s="33">
        <v>1350</v>
      </c>
      <c r="Z4192" s="33" t="s">
        <v>42968</v>
      </c>
      <c r="AA4192" s="33">
        <v>3470</v>
      </c>
    </row>
    <row r="4193" spans="1:27" ht="12" customHeight="1" x14ac:dyDescent="0.15">
      <c r="A4193" s="33" t="s">
        <v>19843</v>
      </c>
      <c r="B4193" s="33">
        <v>23</v>
      </c>
      <c r="C4193" s="33" t="s">
        <v>14</v>
      </c>
      <c r="D4193" s="33" t="s">
        <v>42</v>
      </c>
      <c r="E4193" s="33" t="s">
        <v>19844</v>
      </c>
      <c r="F4193" s="67">
        <v>42440</v>
      </c>
      <c r="G4193" s="33" t="s">
        <v>19845</v>
      </c>
      <c r="H4193" s="33" t="s">
        <v>485</v>
      </c>
      <c r="I4193" s="33" t="s">
        <v>39</v>
      </c>
      <c r="J4193" s="33">
        <v>94560</v>
      </c>
      <c r="K4193" s="33" t="s">
        <v>558</v>
      </c>
      <c r="L4193" s="33" t="s">
        <v>20832</v>
      </c>
      <c r="M4193" s="33" t="s">
        <v>21</v>
      </c>
      <c r="N4193" s="33" t="s">
        <v>19846</v>
      </c>
      <c r="O4193" s="33" t="s">
        <v>372</v>
      </c>
      <c r="P4193" s="33" t="s">
        <v>30089</v>
      </c>
      <c r="Q4193" s="40" t="s">
        <v>19847</v>
      </c>
      <c r="R4193" s="33" t="s">
        <v>94</v>
      </c>
      <c r="S4193" s="33" t="s">
        <v>22</v>
      </c>
      <c r="T4193" s="33" t="s">
        <v>26781</v>
      </c>
      <c r="U4193" s="33" t="s">
        <v>26572</v>
      </c>
      <c r="V4193" s="33" t="s">
        <v>26574</v>
      </c>
      <c r="W4193" s="33" t="s">
        <v>94</v>
      </c>
      <c r="X4193" s="33">
        <v>1515</v>
      </c>
      <c r="Z4193" s="33" t="s">
        <v>42968</v>
      </c>
      <c r="AA4193" s="33">
        <v>3472</v>
      </c>
    </row>
    <row r="4194" spans="1:27" ht="12" customHeight="1" x14ac:dyDescent="0.15">
      <c r="A4194" s="33" t="s">
        <v>20027</v>
      </c>
      <c r="B4194" s="33">
        <v>51</v>
      </c>
      <c r="C4194" s="33" t="s">
        <v>14</v>
      </c>
      <c r="D4194" s="33" t="s">
        <v>31</v>
      </c>
      <c r="F4194" s="67">
        <v>42440</v>
      </c>
      <c r="G4194" s="33" t="s">
        <v>20028</v>
      </c>
      <c r="H4194" s="33" t="s">
        <v>20029</v>
      </c>
      <c r="I4194" s="33" t="s">
        <v>337</v>
      </c>
      <c r="J4194" s="33" t="s">
        <v>20030</v>
      </c>
      <c r="K4194" s="33" t="s">
        <v>5063</v>
      </c>
      <c r="L4194" s="33" t="s">
        <v>8770</v>
      </c>
      <c r="M4194" s="33" t="s">
        <v>21</v>
      </c>
      <c r="N4194" s="33" t="s">
        <v>21015</v>
      </c>
      <c r="O4194" s="33" t="s">
        <v>372</v>
      </c>
      <c r="P4194" s="33" t="s">
        <v>30089</v>
      </c>
      <c r="Q4194" s="40" t="s">
        <v>20031</v>
      </c>
      <c r="R4194" s="33" t="s">
        <v>512</v>
      </c>
      <c r="S4194" s="33" t="s">
        <v>22</v>
      </c>
      <c r="T4194" s="33" t="s">
        <v>26781</v>
      </c>
      <c r="U4194" s="33" t="s">
        <v>26572</v>
      </c>
      <c r="V4194" s="33" t="s">
        <v>26573</v>
      </c>
      <c r="W4194" s="33" t="s">
        <v>512</v>
      </c>
      <c r="X4194" s="33">
        <v>1355</v>
      </c>
      <c r="Z4194" s="33" t="s">
        <v>42967</v>
      </c>
      <c r="AA4194" s="33">
        <v>3471</v>
      </c>
    </row>
    <row r="4195" spans="1:27" ht="12" customHeight="1" x14ac:dyDescent="0.15">
      <c r="A4195" s="33" t="s">
        <v>19920</v>
      </c>
      <c r="B4195" s="33">
        <v>46</v>
      </c>
      <c r="C4195" s="33" t="s">
        <v>14</v>
      </c>
      <c r="D4195" s="33" t="s">
        <v>31</v>
      </c>
      <c r="E4195" s="33" t="s">
        <v>23854</v>
      </c>
      <c r="F4195" s="67">
        <v>42440</v>
      </c>
      <c r="G4195" s="33" t="s">
        <v>19921</v>
      </c>
      <c r="H4195" s="33" t="s">
        <v>5836</v>
      </c>
      <c r="I4195" s="33" t="s">
        <v>38</v>
      </c>
      <c r="J4195" s="33" t="s">
        <v>19922</v>
      </c>
      <c r="K4195" s="33" t="s">
        <v>19923</v>
      </c>
      <c r="L4195" s="33" t="s">
        <v>19924</v>
      </c>
      <c r="M4195" s="33" t="s">
        <v>21</v>
      </c>
      <c r="N4195" s="33" t="s">
        <v>19925</v>
      </c>
      <c r="O4195" s="33" t="s">
        <v>372</v>
      </c>
      <c r="P4195" s="33" t="s">
        <v>30089</v>
      </c>
      <c r="Q4195" s="40" t="s">
        <v>19926</v>
      </c>
      <c r="R4195" s="33" t="s">
        <v>512</v>
      </c>
      <c r="S4195" s="33" t="s">
        <v>22</v>
      </c>
      <c r="T4195" s="33" t="s">
        <v>26774</v>
      </c>
      <c r="U4195" s="33" t="s">
        <v>26570</v>
      </c>
      <c r="V4195" s="33" t="s">
        <v>26573</v>
      </c>
      <c r="W4195" s="33" t="s">
        <v>94</v>
      </c>
      <c r="X4195" s="33">
        <v>1375</v>
      </c>
      <c r="Z4195" s="33" t="s">
        <v>42967</v>
      </c>
      <c r="AA4195" s="33">
        <v>3473</v>
      </c>
    </row>
    <row r="4196" spans="1:27" ht="12" customHeight="1" x14ac:dyDescent="0.15">
      <c r="A4196" s="33" t="s">
        <v>20721</v>
      </c>
      <c r="B4196" s="33">
        <v>50</v>
      </c>
      <c r="C4196" s="33" t="s">
        <v>14</v>
      </c>
      <c r="D4196" s="33" t="s">
        <v>31</v>
      </c>
      <c r="F4196" s="67">
        <v>42439</v>
      </c>
      <c r="G4196" s="33" t="s">
        <v>20722</v>
      </c>
      <c r="H4196" s="33" t="s">
        <v>739</v>
      </c>
      <c r="I4196" s="33" t="s">
        <v>67</v>
      </c>
      <c r="J4196" s="33" t="s">
        <v>17912</v>
      </c>
      <c r="K4196" s="33" t="s">
        <v>740</v>
      </c>
      <c r="L4196" s="33" t="s">
        <v>20723</v>
      </c>
      <c r="M4196" s="33" t="s">
        <v>21</v>
      </c>
      <c r="N4196" s="33" t="s">
        <v>21020</v>
      </c>
      <c r="O4196" s="33" t="s">
        <v>372</v>
      </c>
      <c r="P4196" s="33" t="s">
        <v>30089</v>
      </c>
      <c r="Q4196" s="40" t="s">
        <v>20724</v>
      </c>
      <c r="R4196" s="33" t="s">
        <v>512</v>
      </c>
      <c r="S4196" s="33" t="s">
        <v>22</v>
      </c>
      <c r="T4196" s="33" t="s">
        <v>26781</v>
      </c>
      <c r="U4196" s="33" t="s">
        <v>26572</v>
      </c>
      <c r="V4196" s="33" t="s">
        <v>26573</v>
      </c>
      <c r="W4196" s="33" t="s">
        <v>94</v>
      </c>
      <c r="X4196" s="33">
        <v>1353</v>
      </c>
      <c r="Z4196" s="33" t="s">
        <v>42968</v>
      </c>
      <c r="AA4196" s="33">
        <v>3466</v>
      </c>
    </row>
    <row r="4197" spans="1:27" ht="12" customHeight="1" x14ac:dyDescent="0.15">
      <c r="A4197" s="33" t="s">
        <v>19943</v>
      </c>
      <c r="B4197" s="33">
        <v>23</v>
      </c>
      <c r="C4197" s="33" t="s">
        <v>14</v>
      </c>
      <c r="D4197" s="33" t="s">
        <v>42</v>
      </c>
      <c r="F4197" s="67">
        <v>42439</v>
      </c>
      <c r="G4197" s="33" t="s">
        <v>19944</v>
      </c>
      <c r="H4197" s="33" t="s">
        <v>19945</v>
      </c>
      <c r="I4197" s="33" t="s">
        <v>192</v>
      </c>
      <c r="J4197" s="33" t="s">
        <v>10263</v>
      </c>
      <c r="K4197" s="33" t="s">
        <v>4307</v>
      </c>
      <c r="L4197" s="33" t="s">
        <v>19946</v>
      </c>
      <c r="M4197" s="33" t="s">
        <v>21</v>
      </c>
      <c r="N4197" s="33" t="s">
        <v>19947</v>
      </c>
      <c r="O4197" s="33" t="s">
        <v>372</v>
      </c>
      <c r="P4197" s="33" t="s">
        <v>30089</v>
      </c>
      <c r="Q4197" s="40" t="s">
        <v>19948</v>
      </c>
      <c r="R4197" s="33" t="s">
        <v>94</v>
      </c>
      <c r="S4197" s="33" t="s">
        <v>351</v>
      </c>
      <c r="T4197" s="33" t="s">
        <v>26867</v>
      </c>
      <c r="U4197" s="33" t="s">
        <v>26572</v>
      </c>
      <c r="V4197" s="33" t="s">
        <v>26571</v>
      </c>
      <c r="W4197" s="33" t="s">
        <v>94</v>
      </c>
      <c r="X4197" s="33">
        <v>1354</v>
      </c>
      <c r="Z4197" s="33" t="s">
        <v>42968</v>
      </c>
      <c r="AA4197" s="33">
        <v>3469</v>
      </c>
    </row>
    <row r="4198" spans="1:27" ht="12" customHeight="1" x14ac:dyDescent="0.15">
      <c r="A4198" s="33" t="s">
        <v>19837</v>
      </c>
      <c r="B4198" s="33">
        <v>22</v>
      </c>
      <c r="C4198" s="33" t="s">
        <v>14</v>
      </c>
      <c r="D4198" s="33" t="s">
        <v>79</v>
      </c>
      <c r="E4198" s="33" t="s">
        <v>19838</v>
      </c>
      <c r="F4198" s="67">
        <v>42439</v>
      </c>
      <c r="G4198" s="33" t="s">
        <v>19839</v>
      </c>
      <c r="H4198" s="33" t="s">
        <v>1506</v>
      </c>
      <c r="I4198" s="33" t="s">
        <v>250</v>
      </c>
      <c r="J4198" s="33" t="s">
        <v>19840</v>
      </c>
      <c r="K4198" s="33" t="s">
        <v>5732</v>
      </c>
      <c r="L4198" s="33" t="s">
        <v>6817</v>
      </c>
      <c r="M4198" s="33" t="s">
        <v>21</v>
      </c>
      <c r="N4198" s="33" t="s">
        <v>19841</v>
      </c>
      <c r="O4198" s="33" t="s">
        <v>372</v>
      </c>
      <c r="P4198" s="33" t="s">
        <v>30089</v>
      </c>
      <c r="Q4198" s="40" t="s">
        <v>19842</v>
      </c>
      <c r="R4198" s="33" t="s">
        <v>512</v>
      </c>
      <c r="S4198" s="33" t="s">
        <v>12</v>
      </c>
      <c r="T4198" s="33" t="s">
        <v>29425</v>
      </c>
      <c r="U4198" s="33" t="s">
        <v>26572</v>
      </c>
      <c r="V4198" s="33" t="s">
        <v>26574</v>
      </c>
      <c r="W4198" s="33" t="s">
        <v>94</v>
      </c>
      <c r="X4198" s="33">
        <v>1351</v>
      </c>
      <c r="Z4198" s="33" t="s">
        <v>42968</v>
      </c>
      <c r="AA4198" s="33">
        <v>3468</v>
      </c>
    </row>
    <row r="4199" spans="1:27" ht="12" customHeight="1" x14ac:dyDescent="0.15">
      <c r="A4199" s="33" t="s">
        <v>19722</v>
      </c>
      <c r="B4199" s="33">
        <v>21</v>
      </c>
      <c r="C4199" s="33" t="s">
        <v>14</v>
      </c>
      <c r="D4199" s="33" t="s">
        <v>42</v>
      </c>
      <c r="F4199" s="67">
        <v>42439</v>
      </c>
      <c r="G4199" s="33" t="s">
        <v>19723</v>
      </c>
      <c r="H4199" s="33" t="s">
        <v>451</v>
      </c>
      <c r="I4199" s="33" t="s">
        <v>39</v>
      </c>
      <c r="J4199" s="33" t="s">
        <v>14901</v>
      </c>
      <c r="K4199" s="33" t="s">
        <v>92</v>
      </c>
      <c r="L4199" s="33" t="s">
        <v>452</v>
      </c>
      <c r="M4199" s="33" t="s">
        <v>21</v>
      </c>
      <c r="N4199" s="33" t="s">
        <v>19724</v>
      </c>
      <c r="O4199" s="33" t="s">
        <v>372</v>
      </c>
      <c r="P4199" s="33" t="s">
        <v>30089</v>
      </c>
      <c r="Q4199" s="40" t="s">
        <v>19725</v>
      </c>
      <c r="R4199" s="33" t="s">
        <v>94</v>
      </c>
      <c r="S4199" s="33" t="s">
        <v>22</v>
      </c>
      <c r="T4199" s="33" t="s">
        <v>26781</v>
      </c>
      <c r="U4199" s="33" t="s">
        <v>26570</v>
      </c>
      <c r="V4199" s="33" t="s">
        <v>26574</v>
      </c>
      <c r="W4199" s="33" t="s">
        <v>94</v>
      </c>
      <c r="X4199" s="33">
        <v>1352</v>
      </c>
      <c r="Z4199" s="33" t="s">
        <v>42966</v>
      </c>
      <c r="AA4199" s="33">
        <v>3465</v>
      </c>
    </row>
    <row r="4200" spans="1:27" ht="12" customHeight="1" x14ac:dyDescent="0.15">
      <c r="A4200" s="33" t="s">
        <v>20299</v>
      </c>
      <c r="B4200" s="33">
        <v>37</v>
      </c>
      <c r="C4200" s="33" t="s">
        <v>14</v>
      </c>
      <c r="D4200" s="33" t="s">
        <v>31</v>
      </c>
      <c r="E4200" s="33" t="s">
        <v>20300</v>
      </c>
      <c r="F4200" s="67">
        <v>42439</v>
      </c>
      <c r="G4200" s="33" t="s">
        <v>20301</v>
      </c>
      <c r="H4200" s="33" t="s">
        <v>20302</v>
      </c>
      <c r="I4200" s="33" t="s">
        <v>621</v>
      </c>
      <c r="J4200" s="33" t="s">
        <v>20303</v>
      </c>
      <c r="K4200" s="33" t="s">
        <v>3687</v>
      </c>
      <c r="L4200" s="33" t="s">
        <v>20304</v>
      </c>
      <c r="M4200" s="33" t="s">
        <v>21</v>
      </c>
      <c r="N4200" s="33" t="s">
        <v>21030</v>
      </c>
      <c r="O4200" s="33" t="s">
        <v>372</v>
      </c>
      <c r="P4200" s="33" t="s">
        <v>30089</v>
      </c>
      <c r="Q4200" s="40" t="s">
        <v>20305</v>
      </c>
      <c r="R4200" s="33" t="s">
        <v>23</v>
      </c>
      <c r="S4200" s="33" t="s">
        <v>12</v>
      </c>
      <c r="T4200" s="33" t="s">
        <v>29425</v>
      </c>
      <c r="U4200" s="33" t="s">
        <v>26570</v>
      </c>
      <c r="V4200" s="33" t="s">
        <v>26573</v>
      </c>
      <c r="W4200" s="33" t="s">
        <v>94</v>
      </c>
      <c r="X4200" s="33">
        <v>1349</v>
      </c>
      <c r="Z4200" s="33" t="s">
        <v>42968</v>
      </c>
      <c r="AA4200" s="33">
        <v>3467</v>
      </c>
    </row>
    <row r="4201" spans="1:27" ht="12" customHeight="1" x14ac:dyDescent="0.15">
      <c r="A4201" s="33" t="s">
        <v>20146</v>
      </c>
      <c r="B4201" s="33">
        <v>27</v>
      </c>
      <c r="C4201" s="33" t="s">
        <v>14</v>
      </c>
      <c r="D4201" s="33" t="s">
        <v>31</v>
      </c>
      <c r="F4201" s="67">
        <v>42437</v>
      </c>
      <c r="G4201" s="33" t="s">
        <v>20147</v>
      </c>
      <c r="H4201" s="33" t="s">
        <v>1463</v>
      </c>
      <c r="I4201" s="33" t="s">
        <v>56</v>
      </c>
      <c r="J4201" s="33" t="s">
        <v>20148</v>
      </c>
      <c r="K4201" s="33" t="s">
        <v>590</v>
      </c>
      <c r="L4201" s="33" t="s">
        <v>591</v>
      </c>
      <c r="M4201" s="33" t="s">
        <v>21</v>
      </c>
      <c r="N4201" s="33" t="s">
        <v>20149</v>
      </c>
      <c r="O4201" s="33" t="s">
        <v>372</v>
      </c>
      <c r="P4201" s="33" t="s">
        <v>30089</v>
      </c>
      <c r="Q4201" s="40" t="s">
        <v>20150</v>
      </c>
      <c r="R4201" s="33" t="s">
        <v>512</v>
      </c>
      <c r="S4201" s="33" t="s">
        <v>12</v>
      </c>
      <c r="T4201" s="33" t="s">
        <v>29425</v>
      </c>
      <c r="U4201" s="33" t="s">
        <v>26572</v>
      </c>
      <c r="V4201" s="33" t="s">
        <v>26573</v>
      </c>
      <c r="W4201" s="33" t="s">
        <v>94</v>
      </c>
      <c r="X4201" s="33">
        <v>1347</v>
      </c>
      <c r="Z4201" s="33" t="s">
        <v>42968</v>
      </c>
      <c r="AA4201" s="33">
        <v>3464</v>
      </c>
    </row>
    <row r="4202" spans="1:27" ht="12" customHeight="1" x14ac:dyDescent="0.15">
      <c r="A4202" s="33" t="s">
        <v>20058</v>
      </c>
      <c r="B4202" s="33">
        <v>42</v>
      </c>
      <c r="C4202" s="33" t="s">
        <v>14</v>
      </c>
      <c r="D4202" s="33" t="s">
        <v>31</v>
      </c>
      <c r="F4202" s="67">
        <v>42436</v>
      </c>
      <c r="G4202" s="33" t="s">
        <v>20059</v>
      </c>
      <c r="H4202" s="33" t="s">
        <v>3593</v>
      </c>
      <c r="I4202" s="33" t="s">
        <v>798</v>
      </c>
      <c r="J4202" s="33" t="s">
        <v>20060</v>
      </c>
      <c r="K4202" s="33" t="s">
        <v>8992</v>
      </c>
      <c r="L4202" s="33" t="s">
        <v>20061</v>
      </c>
      <c r="M4202" s="33" t="s">
        <v>21</v>
      </c>
      <c r="N4202" s="33" t="s">
        <v>21000</v>
      </c>
      <c r="O4202" s="33" t="s">
        <v>372</v>
      </c>
      <c r="P4202" s="33" t="s">
        <v>30089</v>
      </c>
      <c r="Q4202" s="40" t="s">
        <v>20062</v>
      </c>
      <c r="R4202" s="33" t="s">
        <v>94</v>
      </c>
      <c r="S4202" s="33" t="s">
        <v>22</v>
      </c>
      <c r="T4202" s="33" t="s">
        <v>26781</v>
      </c>
      <c r="U4202" s="33" t="s">
        <v>26572</v>
      </c>
      <c r="V4202" s="33" t="s">
        <v>26573</v>
      </c>
      <c r="W4202" s="33" t="s">
        <v>94</v>
      </c>
      <c r="X4202" s="33">
        <v>1345</v>
      </c>
      <c r="Z4202" s="33" t="s">
        <v>42967</v>
      </c>
      <c r="AA4202" s="33">
        <v>3458</v>
      </c>
    </row>
    <row r="4203" spans="1:27" ht="12" customHeight="1" x14ac:dyDescent="0.15">
      <c r="A4203" s="33" t="s">
        <v>19682</v>
      </c>
      <c r="B4203" s="33">
        <v>28</v>
      </c>
      <c r="C4203" s="33" t="s">
        <v>14</v>
      </c>
      <c r="D4203" s="33" t="s">
        <v>42</v>
      </c>
      <c r="F4203" s="67">
        <v>42436</v>
      </c>
      <c r="G4203" s="33" t="s">
        <v>19683</v>
      </c>
      <c r="H4203" s="33" t="s">
        <v>1645</v>
      </c>
      <c r="I4203" s="33" t="s">
        <v>39</v>
      </c>
      <c r="J4203" s="33">
        <v>95206</v>
      </c>
      <c r="K4203" s="33" t="s">
        <v>1647</v>
      </c>
      <c r="L4203" s="33" t="s">
        <v>1648</v>
      </c>
      <c r="M4203" s="33" t="s">
        <v>363</v>
      </c>
      <c r="N4203" s="33" t="s">
        <v>19684</v>
      </c>
      <c r="O4203" s="33" t="s">
        <v>372</v>
      </c>
      <c r="P4203" s="33" t="s">
        <v>30089</v>
      </c>
      <c r="Q4203" s="40" t="s">
        <v>19685</v>
      </c>
      <c r="R4203" s="33" t="s">
        <v>23</v>
      </c>
      <c r="S4203" s="33" t="s">
        <v>12</v>
      </c>
      <c r="T4203" s="33" t="s">
        <v>29705</v>
      </c>
      <c r="U4203" s="33" t="s">
        <v>26570</v>
      </c>
      <c r="V4203" s="33" t="s">
        <v>26574</v>
      </c>
      <c r="Z4203" s="33" t="s">
        <v>42968</v>
      </c>
      <c r="AA4203" s="33">
        <v>3461</v>
      </c>
    </row>
    <row r="4204" spans="1:27" ht="12" customHeight="1" x14ac:dyDescent="0.15">
      <c r="A4204" s="33" t="s">
        <v>20639</v>
      </c>
      <c r="B4204" s="33">
        <v>45</v>
      </c>
      <c r="C4204" s="33" t="s">
        <v>14</v>
      </c>
      <c r="D4204" s="33" t="s">
        <v>31</v>
      </c>
      <c r="E4204" s="33" t="s">
        <v>20640</v>
      </c>
      <c r="F4204" s="67">
        <v>42436</v>
      </c>
      <c r="G4204" s="33" t="s">
        <v>20641</v>
      </c>
      <c r="H4204" s="33" t="s">
        <v>2574</v>
      </c>
      <c r="I4204" s="33" t="s">
        <v>337</v>
      </c>
      <c r="J4204" s="33" t="s">
        <v>20642</v>
      </c>
      <c r="K4204" s="33" t="s">
        <v>2576</v>
      </c>
      <c r="L4204" s="33" t="s">
        <v>5161</v>
      </c>
      <c r="M4204" s="33" t="s">
        <v>21</v>
      </c>
      <c r="N4204" s="33" t="s">
        <v>20643</v>
      </c>
      <c r="O4204" s="33" t="s">
        <v>372</v>
      </c>
      <c r="P4204" s="33" t="s">
        <v>30089</v>
      </c>
      <c r="Q4204" s="40" t="s">
        <v>20644</v>
      </c>
      <c r="R4204" s="33" t="s">
        <v>94</v>
      </c>
      <c r="S4204" s="33" t="s">
        <v>29</v>
      </c>
      <c r="T4204" s="33" t="s">
        <v>26575</v>
      </c>
      <c r="U4204" s="33" t="s">
        <v>26575</v>
      </c>
      <c r="V4204" s="33" t="s">
        <v>26573</v>
      </c>
      <c r="W4204" s="33" t="s">
        <v>94</v>
      </c>
      <c r="X4204" s="33">
        <v>1344</v>
      </c>
      <c r="Z4204" s="33" t="s">
        <v>42966</v>
      </c>
      <c r="AA4204" s="33">
        <v>3462</v>
      </c>
    </row>
    <row r="4205" spans="1:27" ht="12" customHeight="1" x14ac:dyDescent="0.15">
      <c r="A4205" s="33" t="s">
        <v>20430</v>
      </c>
      <c r="B4205" s="33">
        <v>45</v>
      </c>
      <c r="C4205" s="33" t="s">
        <v>14</v>
      </c>
      <c r="D4205" s="33" t="s">
        <v>31</v>
      </c>
      <c r="E4205" s="33" t="s">
        <v>20431</v>
      </c>
      <c r="F4205" s="67">
        <v>42436</v>
      </c>
      <c r="G4205" s="33" t="s">
        <v>20432</v>
      </c>
      <c r="H4205" s="33" t="s">
        <v>560</v>
      </c>
      <c r="I4205" s="33" t="s">
        <v>39</v>
      </c>
      <c r="J4205" s="33" t="s">
        <v>10439</v>
      </c>
      <c r="K4205" s="33" t="s">
        <v>561</v>
      </c>
      <c r="L4205" s="33" t="s">
        <v>678</v>
      </c>
      <c r="M4205" s="33" t="s">
        <v>21</v>
      </c>
      <c r="N4205" s="33" t="s">
        <v>20433</v>
      </c>
      <c r="O4205" s="33" t="s">
        <v>372</v>
      </c>
      <c r="P4205" s="33" t="s">
        <v>30089</v>
      </c>
      <c r="Q4205" s="40" t="s">
        <v>20434</v>
      </c>
      <c r="R4205" s="33" t="s">
        <v>94</v>
      </c>
      <c r="S4205" s="33" t="s">
        <v>22</v>
      </c>
      <c r="T4205" s="33" t="s">
        <v>26774</v>
      </c>
      <c r="U4205" s="33" t="s">
        <v>26570</v>
      </c>
      <c r="V4205" s="33" t="s">
        <v>26573</v>
      </c>
      <c r="W4205" s="33" t="s">
        <v>94</v>
      </c>
      <c r="X4205" s="33">
        <v>1343</v>
      </c>
      <c r="Z4205" s="33" t="s">
        <v>42966</v>
      </c>
      <c r="AA4205" s="33">
        <v>3459</v>
      </c>
    </row>
    <row r="4206" spans="1:27" ht="12" customHeight="1" x14ac:dyDescent="0.15">
      <c r="A4206" s="33" t="s">
        <v>21382</v>
      </c>
      <c r="B4206" s="33">
        <v>28</v>
      </c>
      <c r="C4206" s="33" t="s">
        <v>14</v>
      </c>
      <c r="D4206" s="33" t="s">
        <v>42</v>
      </c>
      <c r="E4206" s="33" t="s">
        <v>21378</v>
      </c>
      <c r="F4206" s="67">
        <v>42436</v>
      </c>
      <c r="G4206" s="33" t="s">
        <v>21381</v>
      </c>
      <c r="H4206" s="33" t="s">
        <v>1645</v>
      </c>
      <c r="I4206" s="33" t="s">
        <v>39</v>
      </c>
      <c r="J4206" s="33">
        <v>95206</v>
      </c>
      <c r="K4206" s="33" t="s">
        <v>1647</v>
      </c>
      <c r="L4206" s="33" t="s">
        <v>1648</v>
      </c>
      <c r="M4206" s="33" t="s">
        <v>363</v>
      </c>
      <c r="N4206" s="33" t="s">
        <v>21379</v>
      </c>
      <c r="O4206" s="33" t="s">
        <v>372</v>
      </c>
      <c r="P4206" s="33" t="s">
        <v>30089</v>
      </c>
      <c r="Q4206" s="40" t="s">
        <v>21380</v>
      </c>
      <c r="R4206" s="33" t="s">
        <v>94</v>
      </c>
      <c r="S4206" s="33" t="s">
        <v>12</v>
      </c>
      <c r="T4206" s="33" t="s">
        <v>29705</v>
      </c>
      <c r="U4206" s="33" t="s">
        <v>26570</v>
      </c>
      <c r="V4206" s="33" t="s">
        <v>26574</v>
      </c>
      <c r="Z4206" s="33" t="s">
        <v>42968</v>
      </c>
      <c r="AA4206" s="33">
        <v>3460</v>
      </c>
    </row>
    <row r="4207" spans="1:27" ht="12" customHeight="1" x14ac:dyDescent="0.15">
      <c r="A4207" s="33" t="s">
        <v>20072</v>
      </c>
      <c r="B4207" s="33">
        <v>49</v>
      </c>
      <c r="C4207" s="33" t="s">
        <v>14</v>
      </c>
      <c r="D4207" s="33" t="s">
        <v>31</v>
      </c>
      <c r="F4207" s="67">
        <v>42436</v>
      </c>
      <c r="G4207" s="33" t="s">
        <v>20073</v>
      </c>
      <c r="H4207" s="33" t="s">
        <v>1863</v>
      </c>
      <c r="I4207" s="33" t="s">
        <v>395</v>
      </c>
      <c r="J4207" s="33" t="s">
        <v>20074</v>
      </c>
      <c r="K4207" s="33" t="s">
        <v>1037</v>
      </c>
      <c r="L4207" s="33" t="s">
        <v>1876</v>
      </c>
      <c r="M4207" s="33" t="s">
        <v>21</v>
      </c>
      <c r="N4207" s="33" t="s">
        <v>20075</v>
      </c>
      <c r="O4207" s="33" t="s">
        <v>372</v>
      </c>
      <c r="P4207" s="33" t="s">
        <v>30089</v>
      </c>
      <c r="Q4207" s="40" t="s">
        <v>20076</v>
      </c>
      <c r="R4207" s="33" t="s">
        <v>512</v>
      </c>
      <c r="S4207" s="33" t="s">
        <v>22</v>
      </c>
      <c r="T4207" s="33" t="s">
        <v>26781</v>
      </c>
      <c r="U4207" s="33" t="s">
        <v>26572</v>
      </c>
      <c r="V4207" s="33" t="s">
        <v>26573</v>
      </c>
      <c r="W4207" s="33" t="s">
        <v>94</v>
      </c>
      <c r="X4207" s="33">
        <v>1339</v>
      </c>
      <c r="Z4207" s="33" t="s">
        <v>42968</v>
      </c>
      <c r="AA4207" s="33">
        <v>3457</v>
      </c>
    </row>
    <row r="4208" spans="1:27" ht="12" customHeight="1" x14ac:dyDescent="0.15">
      <c r="A4208" s="33" t="s">
        <v>19712</v>
      </c>
      <c r="B4208" s="33">
        <v>41</v>
      </c>
      <c r="C4208" s="33" t="s">
        <v>14</v>
      </c>
      <c r="D4208" s="33" t="s">
        <v>42</v>
      </c>
      <c r="E4208" s="33" t="s">
        <v>19713</v>
      </c>
      <c r="F4208" s="67">
        <v>42436</v>
      </c>
      <c r="G4208" s="33" t="s">
        <v>19714</v>
      </c>
      <c r="H4208" s="33" t="s">
        <v>8434</v>
      </c>
      <c r="I4208" s="33" t="s">
        <v>178</v>
      </c>
      <c r="J4208" s="33" t="s">
        <v>8435</v>
      </c>
      <c r="K4208" s="33" t="s">
        <v>8436</v>
      </c>
      <c r="L4208" s="33" t="s">
        <v>19715</v>
      </c>
      <c r="M4208" s="33" t="s">
        <v>21</v>
      </c>
      <c r="N4208" s="33" t="s">
        <v>19716</v>
      </c>
      <c r="O4208" s="33" t="s">
        <v>372</v>
      </c>
      <c r="P4208" s="33" t="s">
        <v>30089</v>
      </c>
      <c r="Q4208" s="40" t="s">
        <v>19717</v>
      </c>
      <c r="R4208" s="33" t="s">
        <v>94</v>
      </c>
      <c r="S4208" s="33" t="s">
        <v>351</v>
      </c>
      <c r="T4208" s="33" t="s">
        <v>26867</v>
      </c>
      <c r="U4208" s="33" t="s">
        <v>26570</v>
      </c>
      <c r="V4208" s="33" t="s">
        <v>26571</v>
      </c>
      <c r="W4208" s="33" t="s">
        <v>94</v>
      </c>
      <c r="X4208" s="33">
        <v>1348</v>
      </c>
      <c r="Z4208" s="33" t="s">
        <v>42968</v>
      </c>
      <c r="AA4208" s="33">
        <v>3463</v>
      </c>
    </row>
    <row r="4209" spans="1:27" ht="12" customHeight="1" x14ac:dyDescent="0.15">
      <c r="A4209" s="33" t="s">
        <v>20564</v>
      </c>
      <c r="B4209" s="33">
        <v>42</v>
      </c>
      <c r="C4209" s="33" t="s">
        <v>14</v>
      </c>
      <c r="D4209" s="33" t="s">
        <v>31</v>
      </c>
      <c r="E4209" s="33" t="s">
        <v>20565</v>
      </c>
      <c r="F4209" s="67">
        <v>42435</v>
      </c>
      <c r="G4209" s="33" t="s">
        <v>20566</v>
      </c>
      <c r="H4209" s="33" t="s">
        <v>20567</v>
      </c>
      <c r="I4209" s="33" t="s">
        <v>1605</v>
      </c>
      <c r="J4209" s="33" t="s">
        <v>20568</v>
      </c>
      <c r="K4209" s="33" t="s">
        <v>20569</v>
      </c>
      <c r="L4209" s="33" t="s">
        <v>20570</v>
      </c>
      <c r="M4209" s="33" t="s">
        <v>21</v>
      </c>
      <c r="N4209" s="33" t="s">
        <v>20571</v>
      </c>
      <c r="O4209" s="33" t="s">
        <v>372</v>
      </c>
      <c r="P4209" s="33" t="s">
        <v>30089</v>
      </c>
      <c r="Q4209" s="40" t="s">
        <v>20572</v>
      </c>
      <c r="R4209" s="33" t="s">
        <v>94</v>
      </c>
      <c r="S4209" s="33" t="s">
        <v>12</v>
      </c>
      <c r="T4209" s="33" t="s">
        <v>29705</v>
      </c>
      <c r="U4209" s="33" t="s">
        <v>26575</v>
      </c>
      <c r="V4209" s="33" t="s">
        <v>26574</v>
      </c>
      <c r="W4209" s="33" t="s">
        <v>94</v>
      </c>
      <c r="X4209" s="33">
        <v>1333</v>
      </c>
      <c r="Z4209" s="33" t="s">
        <v>42968</v>
      </c>
      <c r="AA4209" s="33">
        <v>3456</v>
      </c>
    </row>
    <row r="4210" spans="1:27" ht="12" customHeight="1" x14ac:dyDescent="0.15">
      <c r="A4210" s="33" t="s">
        <v>19613</v>
      </c>
      <c r="B4210" s="33">
        <v>41</v>
      </c>
      <c r="C4210" s="33" t="s">
        <v>14</v>
      </c>
      <c r="D4210" s="33" t="s">
        <v>42</v>
      </c>
      <c r="F4210" s="67">
        <v>42435</v>
      </c>
      <c r="G4210" s="33" t="s">
        <v>19614</v>
      </c>
      <c r="H4210" s="33" t="s">
        <v>3390</v>
      </c>
      <c r="I4210" s="33" t="s">
        <v>39</v>
      </c>
      <c r="J4210" s="33" t="s">
        <v>3391</v>
      </c>
      <c r="K4210" s="33" t="s">
        <v>92</v>
      </c>
      <c r="L4210" s="33" t="s">
        <v>3392</v>
      </c>
      <c r="M4210" s="33" t="s">
        <v>21</v>
      </c>
      <c r="N4210" s="33" t="s">
        <v>19615</v>
      </c>
      <c r="O4210" s="33" t="s">
        <v>372</v>
      </c>
      <c r="P4210" s="33" t="s">
        <v>30089</v>
      </c>
      <c r="Q4210" s="40" t="s">
        <v>19616</v>
      </c>
      <c r="R4210" s="33" t="s">
        <v>94</v>
      </c>
      <c r="S4210" s="33" t="s">
        <v>22</v>
      </c>
      <c r="T4210" s="33" t="s">
        <v>26781</v>
      </c>
      <c r="U4210" s="33" t="s">
        <v>26572</v>
      </c>
      <c r="V4210" s="33" t="s">
        <v>19228</v>
      </c>
      <c r="W4210" s="33" t="s">
        <v>94</v>
      </c>
      <c r="X4210" s="33">
        <v>1340</v>
      </c>
      <c r="Z4210" s="33" t="s">
        <v>42966</v>
      </c>
      <c r="AA4210" s="33">
        <v>3455</v>
      </c>
    </row>
    <row r="4211" spans="1:27" ht="12" customHeight="1" x14ac:dyDescent="0.15">
      <c r="A4211" s="33" t="s">
        <v>20379</v>
      </c>
      <c r="B4211" s="33">
        <v>51</v>
      </c>
      <c r="C4211" s="33" t="s">
        <v>14</v>
      </c>
      <c r="D4211" s="33" t="s">
        <v>31</v>
      </c>
      <c r="E4211" s="33" t="s">
        <v>20380</v>
      </c>
      <c r="F4211" s="67">
        <v>42435</v>
      </c>
      <c r="G4211" s="33" t="s">
        <v>20381</v>
      </c>
      <c r="H4211" s="33" t="s">
        <v>1854</v>
      </c>
      <c r="I4211" s="33" t="s">
        <v>67</v>
      </c>
      <c r="J4211" s="33" t="s">
        <v>1855</v>
      </c>
      <c r="K4211" s="33" t="s">
        <v>68</v>
      </c>
      <c r="L4211" s="33" t="s">
        <v>20382</v>
      </c>
      <c r="M4211" s="33" t="s">
        <v>21</v>
      </c>
      <c r="N4211" s="33" t="s">
        <v>20383</v>
      </c>
      <c r="O4211" s="33" t="s">
        <v>372</v>
      </c>
      <c r="P4211" s="33" t="s">
        <v>30089</v>
      </c>
      <c r="Q4211" s="40" t="s">
        <v>20384</v>
      </c>
      <c r="R4211" s="33" t="s">
        <v>512</v>
      </c>
      <c r="S4211" s="33" t="s">
        <v>22</v>
      </c>
      <c r="T4211" s="33" t="s">
        <v>26781</v>
      </c>
      <c r="U4211" s="33" t="s">
        <v>26572</v>
      </c>
      <c r="V4211" s="33" t="s">
        <v>26573</v>
      </c>
      <c r="W4211" s="33" t="s">
        <v>94</v>
      </c>
      <c r="X4211" s="33">
        <v>1332</v>
      </c>
      <c r="Z4211" s="33" t="s">
        <v>42968</v>
      </c>
      <c r="AA4211" s="33">
        <v>3454</v>
      </c>
    </row>
    <row r="4212" spans="1:27" ht="12" customHeight="1" x14ac:dyDescent="0.15">
      <c r="A4212" s="33" t="s">
        <v>20367</v>
      </c>
      <c r="B4212" s="33">
        <v>22</v>
      </c>
      <c r="C4212" s="33" t="s">
        <v>14</v>
      </c>
      <c r="D4212" s="33" t="s">
        <v>31</v>
      </c>
      <c r="E4212" s="33" t="s">
        <v>20368</v>
      </c>
      <c r="F4212" s="67">
        <v>42434</v>
      </c>
      <c r="G4212" s="33" t="s">
        <v>20369</v>
      </c>
      <c r="H4212" s="33" t="s">
        <v>8137</v>
      </c>
      <c r="I4212" s="33" t="s">
        <v>67</v>
      </c>
      <c r="J4212" s="33" t="s">
        <v>20370</v>
      </c>
      <c r="K4212" s="33" t="s">
        <v>1659</v>
      </c>
      <c r="L4212" s="33" t="s">
        <v>8139</v>
      </c>
      <c r="M4212" s="33" t="s">
        <v>21</v>
      </c>
      <c r="N4212" s="33" t="s">
        <v>20371</v>
      </c>
      <c r="O4212" s="33" t="s">
        <v>372</v>
      </c>
      <c r="P4212" s="33" t="s">
        <v>30089</v>
      </c>
      <c r="Q4212" s="40" t="s">
        <v>20372</v>
      </c>
      <c r="R4212" s="33" t="s">
        <v>512</v>
      </c>
      <c r="S4212" s="33" t="s">
        <v>22</v>
      </c>
      <c r="T4212" s="33" t="s">
        <v>26781</v>
      </c>
      <c r="U4212" s="33" t="s">
        <v>26570</v>
      </c>
      <c r="V4212" s="33" t="s">
        <v>26573</v>
      </c>
      <c r="W4212" s="33" t="s">
        <v>94</v>
      </c>
      <c r="X4212" s="33">
        <v>1336</v>
      </c>
      <c r="Z4212" s="33" t="s">
        <v>42968</v>
      </c>
      <c r="AA4212" s="33">
        <v>3453</v>
      </c>
    </row>
    <row r="4213" spans="1:27" ht="12" customHeight="1" x14ac:dyDescent="0.15">
      <c r="A4213" s="33" t="s">
        <v>20067</v>
      </c>
      <c r="B4213" s="33">
        <v>34</v>
      </c>
      <c r="C4213" s="33" t="s">
        <v>14</v>
      </c>
      <c r="D4213" s="33" t="s">
        <v>31</v>
      </c>
      <c r="F4213" s="67">
        <v>42434</v>
      </c>
      <c r="G4213" s="33" t="s">
        <v>20068</v>
      </c>
      <c r="H4213" s="33" t="s">
        <v>12068</v>
      </c>
      <c r="I4213" s="33" t="s">
        <v>395</v>
      </c>
      <c r="J4213" s="33" t="s">
        <v>20069</v>
      </c>
      <c r="K4213" s="33" t="s">
        <v>7964</v>
      </c>
      <c r="L4213" s="33" t="s">
        <v>20070</v>
      </c>
      <c r="M4213" s="33" t="s">
        <v>21</v>
      </c>
      <c r="N4213" s="33" t="s">
        <v>21017</v>
      </c>
      <c r="O4213" s="33" t="s">
        <v>372</v>
      </c>
      <c r="P4213" s="33" t="s">
        <v>30089</v>
      </c>
      <c r="Q4213" s="40" t="s">
        <v>20071</v>
      </c>
      <c r="R4213" s="33" t="s">
        <v>512</v>
      </c>
      <c r="S4213" s="33" t="s">
        <v>22</v>
      </c>
      <c r="T4213" s="33" t="s">
        <v>26781</v>
      </c>
      <c r="U4213" s="33" t="s">
        <v>26572</v>
      </c>
      <c r="V4213" s="33" t="s">
        <v>26573</v>
      </c>
      <c r="W4213" s="33" t="s">
        <v>94</v>
      </c>
      <c r="X4213" s="33">
        <v>1334</v>
      </c>
      <c r="Z4213" s="33" t="s">
        <v>42966</v>
      </c>
      <c r="AA4213" s="33">
        <v>3452</v>
      </c>
    </row>
    <row r="4214" spans="1:27" ht="12" customHeight="1" x14ac:dyDescent="0.15">
      <c r="A4214" s="33" t="s">
        <v>19981</v>
      </c>
      <c r="B4214" s="33">
        <v>66</v>
      </c>
      <c r="C4214" s="33" t="s">
        <v>14</v>
      </c>
      <c r="D4214" s="33" t="s">
        <v>31</v>
      </c>
      <c r="F4214" s="67">
        <v>42433</v>
      </c>
      <c r="H4214" s="33" t="s">
        <v>19982</v>
      </c>
      <c r="I4214" s="33" t="s">
        <v>918</v>
      </c>
      <c r="J4214" s="33" t="s">
        <v>19983</v>
      </c>
      <c r="K4214" s="33" t="s">
        <v>995</v>
      </c>
      <c r="L4214" s="33" t="s">
        <v>18546</v>
      </c>
      <c r="M4214" s="33" t="s">
        <v>21</v>
      </c>
      <c r="N4214" s="33" t="s">
        <v>19984</v>
      </c>
      <c r="O4214" s="33" t="s">
        <v>372</v>
      </c>
      <c r="P4214" s="33" t="s">
        <v>30089</v>
      </c>
      <c r="Q4214" s="40" t="s">
        <v>19985</v>
      </c>
      <c r="R4214" s="33" t="s">
        <v>23</v>
      </c>
      <c r="S4214" s="33" t="s">
        <v>29</v>
      </c>
      <c r="T4214" s="33" t="s">
        <v>26575</v>
      </c>
      <c r="U4214" s="33" t="s">
        <v>26575</v>
      </c>
      <c r="W4214" s="33" t="s">
        <v>94</v>
      </c>
      <c r="X4214" s="33">
        <v>1338</v>
      </c>
      <c r="Z4214" s="33" t="s">
        <v>42967</v>
      </c>
      <c r="AA4214" s="33">
        <v>3451</v>
      </c>
    </row>
    <row r="4215" spans="1:27" ht="12" customHeight="1" x14ac:dyDescent="0.15">
      <c r="A4215" s="33" t="s">
        <v>20645</v>
      </c>
      <c r="B4215" s="33">
        <v>30</v>
      </c>
      <c r="C4215" s="33" t="s">
        <v>14</v>
      </c>
      <c r="D4215" s="33" t="s">
        <v>31</v>
      </c>
      <c r="E4215" s="33" t="s">
        <v>20646</v>
      </c>
      <c r="F4215" s="67">
        <v>42433</v>
      </c>
      <c r="G4215" s="33" t="s">
        <v>20647</v>
      </c>
      <c r="H4215" s="33" t="s">
        <v>20648</v>
      </c>
      <c r="I4215" s="33" t="s">
        <v>294</v>
      </c>
      <c r="J4215" s="33" t="s">
        <v>20649</v>
      </c>
      <c r="K4215" s="33" t="s">
        <v>20650</v>
      </c>
      <c r="L4215" s="33" t="s">
        <v>20651</v>
      </c>
      <c r="M4215" s="33" t="s">
        <v>21</v>
      </c>
      <c r="N4215" s="33" t="s">
        <v>20652</v>
      </c>
      <c r="O4215" s="33" t="s">
        <v>372</v>
      </c>
      <c r="P4215" s="33" t="s">
        <v>30089</v>
      </c>
      <c r="Q4215" s="40" t="s">
        <v>20653</v>
      </c>
      <c r="R4215" s="33" t="s">
        <v>94</v>
      </c>
      <c r="S4215" s="33" t="s">
        <v>12</v>
      </c>
      <c r="T4215" s="33" t="s">
        <v>29705</v>
      </c>
      <c r="U4215" s="33" t="s">
        <v>26575</v>
      </c>
      <c r="V4215" s="33" t="s">
        <v>26573</v>
      </c>
      <c r="W4215" s="33" t="s">
        <v>94</v>
      </c>
      <c r="X4215" s="33">
        <v>1342</v>
      </c>
      <c r="Z4215" s="33" t="s">
        <v>42967</v>
      </c>
      <c r="AA4215" s="33">
        <v>3450</v>
      </c>
    </row>
    <row r="4216" spans="1:27" ht="12" customHeight="1" x14ac:dyDescent="0.15">
      <c r="A4216" s="33" t="s">
        <v>19756</v>
      </c>
      <c r="B4216" s="33">
        <v>27</v>
      </c>
      <c r="C4216" s="33" t="s">
        <v>14</v>
      </c>
      <c r="D4216" s="33" t="s">
        <v>42</v>
      </c>
      <c r="F4216" s="67">
        <v>42432</v>
      </c>
      <c r="G4216" s="33" t="s">
        <v>19757</v>
      </c>
      <c r="H4216" s="33" t="s">
        <v>750</v>
      </c>
      <c r="I4216" s="33" t="s">
        <v>112</v>
      </c>
      <c r="J4216" s="33" t="s">
        <v>19758</v>
      </c>
      <c r="K4216" s="33" t="s">
        <v>585</v>
      </c>
      <c r="L4216" s="33" t="s">
        <v>1338</v>
      </c>
      <c r="M4216" s="33" t="s">
        <v>21</v>
      </c>
      <c r="N4216" s="33" t="s">
        <v>19759</v>
      </c>
      <c r="O4216" s="33" t="s">
        <v>372</v>
      </c>
      <c r="P4216" s="33" t="s">
        <v>30089</v>
      </c>
      <c r="Q4216" s="40" t="s">
        <v>19760</v>
      </c>
      <c r="R4216" s="33" t="s">
        <v>94</v>
      </c>
      <c r="S4216" s="33" t="s">
        <v>22</v>
      </c>
      <c r="T4216" s="33" t="s">
        <v>26774</v>
      </c>
      <c r="U4216" s="33" t="s">
        <v>26570</v>
      </c>
      <c r="V4216" s="33" t="s">
        <v>26571</v>
      </c>
      <c r="W4216" s="33" t="s">
        <v>94</v>
      </c>
      <c r="X4216" s="33">
        <v>1335</v>
      </c>
      <c r="Z4216" s="33" t="s">
        <v>42968</v>
      </c>
      <c r="AA4216" s="33">
        <v>3448</v>
      </c>
    </row>
    <row r="4217" spans="1:27" ht="12" customHeight="1" x14ac:dyDescent="0.15">
      <c r="A4217" s="33" t="s">
        <v>20545</v>
      </c>
      <c r="B4217" s="33">
        <v>37</v>
      </c>
      <c r="C4217" s="33" t="s">
        <v>14</v>
      </c>
      <c r="D4217" s="33" t="s">
        <v>31</v>
      </c>
      <c r="F4217" s="67">
        <v>42432</v>
      </c>
      <c r="G4217" s="33" t="s">
        <v>20546</v>
      </c>
      <c r="H4217" s="33" t="s">
        <v>11556</v>
      </c>
      <c r="I4217" s="33" t="s">
        <v>338</v>
      </c>
      <c r="J4217" s="33">
        <v>27576</v>
      </c>
      <c r="K4217" s="33" t="s">
        <v>20547</v>
      </c>
      <c r="L4217" s="33" t="s">
        <v>20548</v>
      </c>
      <c r="M4217" s="33" t="s">
        <v>363</v>
      </c>
      <c r="N4217" s="33" t="s">
        <v>20549</v>
      </c>
      <c r="O4217" s="33" t="s">
        <v>22639</v>
      </c>
      <c r="P4217" s="33" t="s">
        <v>1084</v>
      </c>
      <c r="Q4217" s="40" t="s">
        <v>20550</v>
      </c>
      <c r="R4217" s="33" t="s">
        <v>23</v>
      </c>
      <c r="S4217" s="33" t="s">
        <v>12</v>
      </c>
      <c r="T4217" s="33" t="s">
        <v>29705</v>
      </c>
      <c r="U4217" s="33" t="s">
        <v>26570</v>
      </c>
      <c r="V4217" s="33" t="s">
        <v>26573</v>
      </c>
      <c r="Z4217" s="33" t="s">
        <v>42967</v>
      </c>
      <c r="AA4217" s="33">
        <v>3449</v>
      </c>
    </row>
    <row r="4218" spans="1:27" ht="12" customHeight="1" x14ac:dyDescent="0.15">
      <c r="A4218" s="33" t="s">
        <v>20122</v>
      </c>
      <c r="B4218" s="33">
        <v>41</v>
      </c>
      <c r="C4218" s="33" t="s">
        <v>14</v>
      </c>
      <c r="D4218" s="33" t="s">
        <v>31</v>
      </c>
      <c r="F4218" s="67">
        <v>42431</v>
      </c>
      <c r="G4218" s="33" t="s">
        <v>20123</v>
      </c>
      <c r="H4218" s="33" t="s">
        <v>20124</v>
      </c>
      <c r="I4218" s="33" t="s">
        <v>376</v>
      </c>
      <c r="J4218" s="33" t="s">
        <v>20125</v>
      </c>
      <c r="K4218" s="33" t="s">
        <v>20126</v>
      </c>
      <c r="L4218" s="33" t="s">
        <v>20127</v>
      </c>
      <c r="M4218" s="33" t="s">
        <v>4966</v>
      </c>
      <c r="N4218" s="33" t="s">
        <v>21032</v>
      </c>
      <c r="O4218" s="33" t="s">
        <v>372</v>
      </c>
      <c r="P4218" s="33" t="s">
        <v>30089</v>
      </c>
      <c r="Q4218" s="40" t="s">
        <v>20128</v>
      </c>
      <c r="R4218" s="33" t="s">
        <v>23</v>
      </c>
      <c r="S4218" s="33" t="s">
        <v>22</v>
      </c>
      <c r="T4218" s="33" t="s">
        <v>26774</v>
      </c>
      <c r="U4218" s="33" t="s">
        <v>26570</v>
      </c>
      <c r="V4218" s="33" t="s">
        <v>26573</v>
      </c>
      <c r="W4218" s="33" t="s">
        <v>94</v>
      </c>
      <c r="X4218" s="33">
        <v>1341</v>
      </c>
      <c r="Z4218" s="33" t="s">
        <v>42966</v>
      </c>
      <c r="AA4218" s="33">
        <v>3446</v>
      </c>
    </row>
    <row r="4219" spans="1:27" ht="12" customHeight="1" x14ac:dyDescent="0.15">
      <c r="A4219" s="33" t="s">
        <v>20138</v>
      </c>
      <c r="B4219" s="33">
        <v>36</v>
      </c>
      <c r="C4219" s="33" t="s">
        <v>14</v>
      </c>
      <c r="D4219" s="33" t="s">
        <v>31</v>
      </c>
      <c r="F4219" s="67">
        <v>42431</v>
      </c>
      <c r="G4219" s="33" t="s">
        <v>20139</v>
      </c>
      <c r="H4219" s="33" t="s">
        <v>8831</v>
      </c>
      <c r="I4219" s="33" t="s">
        <v>46</v>
      </c>
      <c r="J4219" s="33" t="s">
        <v>8832</v>
      </c>
      <c r="K4219" s="33" t="s">
        <v>8833</v>
      </c>
      <c r="L4219" s="33" t="s">
        <v>8834</v>
      </c>
      <c r="M4219" s="33" t="s">
        <v>21</v>
      </c>
      <c r="N4219" s="33" t="s">
        <v>29871</v>
      </c>
      <c r="O4219" s="33" t="s">
        <v>372</v>
      </c>
      <c r="P4219" s="33" t="s">
        <v>30089</v>
      </c>
      <c r="Q4219" s="40" t="s">
        <v>20140</v>
      </c>
      <c r="R4219" s="33" t="s">
        <v>512</v>
      </c>
      <c r="S4219" s="33" t="s">
        <v>12</v>
      </c>
      <c r="T4219" s="33" t="s">
        <v>29705</v>
      </c>
      <c r="U4219" s="33" t="s">
        <v>26570</v>
      </c>
      <c r="V4219" s="33" t="s">
        <v>26573</v>
      </c>
      <c r="W4219" s="33" t="s">
        <v>94</v>
      </c>
      <c r="X4219" s="33">
        <v>1331</v>
      </c>
      <c r="Z4219" s="33" t="s">
        <v>42968</v>
      </c>
      <c r="AA4219" s="33">
        <v>3447</v>
      </c>
    </row>
    <row r="4220" spans="1:27" ht="12" customHeight="1" x14ac:dyDescent="0.15">
      <c r="A4220" s="33" t="s">
        <v>20051</v>
      </c>
      <c r="B4220" s="33">
        <v>37</v>
      </c>
      <c r="C4220" s="33" t="s">
        <v>14</v>
      </c>
      <c r="D4220" s="33" t="s">
        <v>31</v>
      </c>
      <c r="F4220" s="67">
        <v>42430</v>
      </c>
      <c r="G4220" s="33" t="s">
        <v>20052</v>
      </c>
      <c r="H4220" s="33" t="s">
        <v>20053</v>
      </c>
      <c r="I4220" s="33" t="s">
        <v>621</v>
      </c>
      <c r="J4220" s="33" t="s">
        <v>20054</v>
      </c>
      <c r="K4220" s="33" t="s">
        <v>404</v>
      </c>
      <c r="L4220" s="33" t="s">
        <v>20055</v>
      </c>
      <c r="M4220" s="33" t="s">
        <v>21</v>
      </c>
      <c r="N4220" s="33" t="s">
        <v>20056</v>
      </c>
      <c r="O4220" s="33" t="s">
        <v>372</v>
      </c>
      <c r="P4220" s="33" t="s">
        <v>30089</v>
      </c>
      <c r="Q4220" s="40" t="s">
        <v>20057</v>
      </c>
      <c r="R4220" s="33" t="s">
        <v>94</v>
      </c>
      <c r="S4220" s="33" t="s">
        <v>22</v>
      </c>
      <c r="T4220" s="33" t="s">
        <v>26781</v>
      </c>
      <c r="U4220" s="33" t="s">
        <v>26572</v>
      </c>
      <c r="V4220" s="33" t="s">
        <v>26573</v>
      </c>
      <c r="W4220" s="33" t="s">
        <v>94</v>
      </c>
      <c r="X4220" s="33">
        <v>1330</v>
      </c>
      <c r="Z4220" s="33" t="s">
        <v>42968</v>
      </c>
      <c r="AA4220" s="33">
        <v>3445</v>
      </c>
    </row>
    <row r="4221" spans="1:27" ht="12" customHeight="1" x14ac:dyDescent="0.15">
      <c r="A4221" s="33" t="s">
        <v>19792</v>
      </c>
      <c r="B4221" s="33">
        <v>39</v>
      </c>
      <c r="C4221" s="33" t="s">
        <v>14</v>
      </c>
      <c r="D4221" s="33" t="s">
        <v>42</v>
      </c>
      <c r="E4221" s="33" t="s">
        <v>19793</v>
      </c>
      <c r="F4221" s="67">
        <v>42430</v>
      </c>
      <c r="G4221" s="33" t="s">
        <v>19794</v>
      </c>
      <c r="H4221" s="33" t="s">
        <v>3780</v>
      </c>
      <c r="I4221" s="33" t="s">
        <v>56</v>
      </c>
      <c r="J4221" s="33" t="s">
        <v>19795</v>
      </c>
      <c r="K4221" s="33" t="s">
        <v>1654</v>
      </c>
      <c r="L4221" s="33" t="s">
        <v>3782</v>
      </c>
      <c r="M4221" s="33" t="s">
        <v>21</v>
      </c>
      <c r="N4221" s="33" t="s">
        <v>21014</v>
      </c>
      <c r="O4221" s="33" t="s">
        <v>372</v>
      </c>
      <c r="P4221" s="33" t="s">
        <v>30089</v>
      </c>
      <c r="Q4221" s="40" t="s">
        <v>19796</v>
      </c>
      <c r="R4221" s="33" t="s">
        <v>512</v>
      </c>
      <c r="S4221" s="33" t="s">
        <v>22</v>
      </c>
      <c r="T4221" s="33" t="s">
        <v>26781</v>
      </c>
      <c r="U4221" s="33" t="s">
        <v>26572</v>
      </c>
      <c r="V4221" s="33" t="s">
        <v>26573</v>
      </c>
      <c r="W4221" s="33" t="s">
        <v>94</v>
      </c>
      <c r="X4221" s="33">
        <v>1328</v>
      </c>
      <c r="Z4221" s="33" t="s">
        <v>42968</v>
      </c>
      <c r="AA4221" s="33">
        <v>3443</v>
      </c>
    </row>
    <row r="4222" spans="1:27" ht="12" customHeight="1" x14ac:dyDescent="0.15">
      <c r="A4222" s="33" t="s">
        <v>19654</v>
      </c>
      <c r="B4222" s="33">
        <v>22</v>
      </c>
      <c r="C4222" s="33" t="s">
        <v>14</v>
      </c>
      <c r="D4222" s="33" t="s">
        <v>42</v>
      </c>
      <c r="E4222" s="33" t="s">
        <v>19655</v>
      </c>
      <c r="F4222" s="67">
        <v>42430</v>
      </c>
      <c r="G4222" s="33" t="s">
        <v>19656</v>
      </c>
      <c r="H4222" s="33" t="s">
        <v>3827</v>
      </c>
      <c r="I4222" s="33" t="s">
        <v>67</v>
      </c>
      <c r="J4222" s="33" t="s">
        <v>19657</v>
      </c>
      <c r="K4222" s="33" t="s">
        <v>68</v>
      </c>
      <c r="L4222" s="33" t="s">
        <v>19658</v>
      </c>
      <c r="M4222" s="33" t="s">
        <v>21</v>
      </c>
      <c r="N4222" s="33" t="s">
        <v>19659</v>
      </c>
      <c r="O4222" s="33" t="s">
        <v>372</v>
      </c>
      <c r="P4222" s="33" t="s">
        <v>30089</v>
      </c>
      <c r="Q4222" s="40" t="s">
        <v>19660</v>
      </c>
      <c r="R4222" s="33" t="s">
        <v>512</v>
      </c>
      <c r="S4222" s="33" t="s">
        <v>22</v>
      </c>
      <c r="T4222" s="33" t="s">
        <v>26781</v>
      </c>
      <c r="U4222" s="33" t="s">
        <v>26572</v>
      </c>
      <c r="V4222" s="33" t="s">
        <v>26573</v>
      </c>
      <c r="W4222" s="33" t="s">
        <v>94</v>
      </c>
      <c r="X4222" s="33">
        <v>1329</v>
      </c>
      <c r="Z4222" s="33" t="s">
        <v>42968</v>
      </c>
      <c r="AA4222" s="33">
        <v>3444</v>
      </c>
    </row>
    <row r="4223" spans="1:27" ht="12" customHeight="1" x14ac:dyDescent="0.15">
      <c r="A4223" s="33" t="s">
        <v>19536</v>
      </c>
      <c r="B4223" s="33">
        <v>24</v>
      </c>
      <c r="C4223" s="33" t="s">
        <v>14</v>
      </c>
      <c r="D4223" s="33" t="s">
        <v>79</v>
      </c>
      <c r="E4223" s="33" t="s">
        <v>19537</v>
      </c>
      <c r="F4223" s="67">
        <v>42429</v>
      </c>
      <c r="G4223" s="33" t="s">
        <v>19538</v>
      </c>
      <c r="H4223" s="33" t="s">
        <v>140</v>
      </c>
      <c r="I4223" s="33" t="s">
        <v>338</v>
      </c>
      <c r="J4223" s="33" t="s">
        <v>19539</v>
      </c>
      <c r="K4223" s="33" t="s">
        <v>642</v>
      </c>
      <c r="L4223" s="33" t="s">
        <v>15661</v>
      </c>
      <c r="M4223" s="33" t="s">
        <v>21</v>
      </c>
      <c r="N4223" s="33" t="s">
        <v>20998</v>
      </c>
      <c r="O4223" s="33" t="s">
        <v>372</v>
      </c>
      <c r="P4223" s="33" t="s">
        <v>30089</v>
      </c>
      <c r="Q4223" s="40" t="s">
        <v>19540</v>
      </c>
      <c r="R4223" s="33" t="s">
        <v>94</v>
      </c>
      <c r="S4223" s="33" t="s">
        <v>29</v>
      </c>
      <c r="T4223" s="33" t="s">
        <v>26781</v>
      </c>
      <c r="U4223" s="33" t="s">
        <v>26572</v>
      </c>
      <c r="V4223" s="33" t="s">
        <v>26574</v>
      </c>
      <c r="W4223" s="33" t="s">
        <v>94</v>
      </c>
      <c r="X4223" s="33">
        <v>1327</v>
      </c>
      <c r="Z4223" s="33" t="s">
        <v>42966</v>
      </c>
      <c r="AA4223" s="33">
        <v>3442</v>
      </c>
    </row>
    <row r="4224" spans="1:27" ht="12" customHeight="1" x14ac:dyDescent="0.15">
      <c r="A4224" s="33" t="s">
        <v>20077</v>
      </c>
      <c r="B4224" s="33">
        <v>44</v>
      </c>
      <c r="C4224" s="33" t="s">
        <v>14</v>
      </c>
      <c r="D4224" s="33" t="s">
        <v>31</v>
      </c>
      <c r="F4224" s="67">
        <v>42428</v>
      </c>
      <c r="G4224" s="33" t="s">
        <v>20078</v>
      </c>
      <c r="H4224" s="33" t="s">
        <v>131</v>
      </c>
      <c r="I4224" s="33" t="s">
        <v>132</v>
      </c>
      <c r="J4224" s="33" t="s">
        <v>4940</v>
      </c>
      <c r="K4224" s="33" t="s">
        <v>133</v>
      </c>
      <c r="L4224" s="33" t="s">
        <v>134</v>
      </c>
      <c r="M4224" s="33" t="s">
        <v>21</v>
      </c>
      <c r="N4224" s="33" t="s">
        <v>21019</v>
      </c>
      <c r="O4224" s="33" t="s">
        <v>372</v>
      </c>
      <c r="P4224" s="33" t="s">
        <v>30089</v>
      </c>
      <c r="Q4224" s="40" t="s">
        <v>20079</v>
      </c>
      <c r="R4224" s="33" t="s">
        <v>512</v>
      </c>
      <c r="S4224" s="33" t="s">
        <v>22</v>
      </c>
      <c r="T4224" s="33" t="s">
        <v>26781</v>
      </c>
      <c r="U4224" s="33" t="s">
        <v>26572</v>
      </c>
      <c r="V4224" s="33" t="s">
        <v>26573</v>
      </c>
      <c r="W4224" s="33" t="s">
        <v>94</v>
      </c>
      <c r="X4224" s="33">
        <v>1323</v>
      </c>
      <c r="Z4224" s="33" t="s">
        <v>42968</v>
      </c>
      <c r="AA4224" s="33">
        <v>3441</v>
      </c>
    </row>
    <row r="4225" spans="1:27" ht="12" customHeight="1" x14ac:dyDescent="0.15">
      <c r="A4225" s="33" t="s">
        <v>20215</v>
      </c>
      <c r="B4225" s="33">
        <v>41</v>
      </c>
      <c r="C4225" s="33" t="s">
        <v>14</v>
      </c>
      <c r="D4225" s="33" t="s">
        <v>31</v>
      </c>
      <c r="E4225" s="33" t="s">
        <v>20216</v>
      </c>
      <c r="F4225" s="67">
        <v>42428</v>
      </c>
      <c r="G4225" s="33" t="s">
        <v>20217</v>
      </c>
      <c r="H4225" s="33" t="s">
        <v>20218</v>
      </c>
      <c r="I4225" s="33" t="s">
        <v>88</v>
      </c>
      <c r="J4225" s="33" t="s">
        <v>20219</v>
      </c>
      <c r="K4225" s="33" t="s">
        <v>20220</v>
      </c>
      <c r="L4225" s="33" t="s">
        <v>20221</v>
      </c>
      <c r="M4225" s="33" t="s">
        <v>21</v>
      </c>
      <c r="N4225" s="33" t="s">
        <v>20222</v>
      </c>
      <c r="O4225" s="33" t="s">
        <v>372</v>
      </c>
      <c r="P4225" s="33" t="s">
        <v>30089</v>
      </c>
      <c r="Q4225" s="40" t="s">
        <v>20223</v>
      </c>
      <c r="R4225" s="33" t="s">
        <v>94</v>
      </c>
      <c r="S4225" s="33" t="s">
        <v>22</v>
      </c>
      <c r="T4225" s="33" t="s">
        <v>26781</v>
      </c>
      <c r="U4225" s="33" t="s">
        <v>26572</v>
      </c>
      <c r="V4225" s="33" t="s">
        <v>26573</v>
      </c>
      <c r="W4225" s="33" t="s">
        <v>94</v>
      </c>
      <c r="X4225" s="33">
        <v>1321</v>
      </c>
      <c r="Z4225" s="33" t="s">
        <v>42967</v>
      </c>
      <c r="AA4225" s="33">
        <v>3440</v>
      </c>
    </row>
    <row r="4226" spans="1:27" ht="12" customHeight="1" x14ac:dyDescent="0.15">
      <c r="A4226" s="33" t="s">
        <v>19749</v>
      </c>
      <c r="B4226" s="33">
        <v>23</v>
      </c>
      <c r="C4226" s="33" t="s">
        <v>14</v>
      </c>
      <c r="D4226" s="33" t="s">
        <v>42</v>
      </c>
      <c r="F4226" s="67">
        <v>42427</v>
      </c>
      <c r="G4226" s="33" t="s">
        <v>19750</v>
      </c>
      <c r="H4226" s="33" t="s">
        <v>19751</v>
      </c>
      <c r="I4226" s="33" t="s">
        <v>67</v>
      </c>
      <c r="J4226" s="33" t="s">
        <v>19752</v>
      </c>
      <c r="K4226" s="33" t="s">
        <v>13784</v>
      </c>
      <c r="L4226" s="33" t="s">
        <v>19753</v>
      </c>
      <c r="M4226" s="33" t="s">
        <v>21</v>
      </c>
      <c r="N4226" s="33" t="s">
        <v>19754</v>
      </c>
      <c r="O4226" s="33" t="s">
        <v>372</v>
      </c>
      <c r="P4226" s="33" t="s">
        <v>30089</v>
      </c>
      <c r="Q4226" s="40" t="s">
        <v>19755</v>
      </c>
      <c r="R4226" s="33" t="s">
        <v>94</v>
      </c>
      <c r="S4226" s="33" t="s">
        <v>22</v>
      </c>
      <c r="T4226" s="33" t="s">
        <v>26781</v>
      </c>
      <c r="U4226" s="33" t="s">
        <v>26572</v>
      </c>
      <c r="V4226" s="33" t="s">
        <v>26571</v>
      </c>
      <c r="W4226" s="33" t="s">
        <v>512</v>
      </c>
      <c r="X4226" s="33">
        <v>1325</v>
      </c>
      <c r="Z4226" s="33" t="s">
        <v>42967</v>
      </c>
      <c r="AA4226" s="33">
        <v>3439</v>
      </c>
    </row>
    <row r="4227" spans="1:27" ht="12" customHeight="1" x14ac:dyDescent="0.15">
      <c r="A4227" s="33" t="s">
        <v>20173</v>
      </c>
      <c r="B4227" s="33">
        <v>35</v>
      </c>
      <c r="C4227" s="33" t="s">
        <v>14</v>
      </c>
      <c r="D4227" s="33" t="s">
        <v>31</v>
      </c>
      <c r="F4227" s="67">
        <v>42426</v>
      </c>
      <c r="G4227" s="33" t="s">
        <v>20174</v>
      </c>
      <c r="H4227" s="33" t="s">
        <v>131</v>
      </c>
      <c r="I4227" s="33" t="s">
        <v>132</v>
      </c>
      <c r="J4227" s="33" t="s">
        <v>20175</v>
      </c>
      <c r="K4227" s="33" t="s">
        <v>133</v>
      </c>
      <c r="L4227" s="33" t="s">
        <v>4941</v>
      </c>
      <c r="M4227" s="33" t="s">
        <v>21</v>
      </c>
      <c r="N4227" s="33" t="s">
        <v>20176</v>
      </c>
      <c r="O4227" s="33" t="s">
        <v>372</v>
      </c>
      <c r="P4227" s="33" t="s">
        <v>30089</v>
      </c>
      <c r="Q4227" s="40" t="s">
        <v>20177</v>
      </c>
      <c r="R4227" s="33" t="s">
        <v>94</v>
      </c>
      <c r="S4227" s="33" t="s">
        <v>12</v>
      </c>
      <c r="T4227" s="33" t="s">
        <v>29705</v>
      </c>
      <c r="U4227" s="33" t="s">
        <v>26572</v>
      </c>
      <c r="V4227" s="33" t="s">
        <v>26573</v>
      </c>
      <c r="W4227" s="33" t="s">
        <v>94</v>
      </c>
      <c r="X4227" s="33">
        <v>1324</v>
      </c>
      <c r="Z4227" s="33" t="s">
        <v>42967</v>
      </c>
      <c r="AA4227" s="33">
        <v>3438</v>
      </c>
    </row>
    <row r="4228" spans="1:27" ht="12" customHeight="1" x14ac:dyDescent="0.15">
      <c r="A4228" s="33" t="s">
        <v>19527</v>
      </c>
      <c r="B4228" s="33">
        <v>18</v>
      </c>
      <c r="C4228" s="33" t="s">
        <v>14</v>
      </c>
      <c r="D4228" s="33" t="s">
        <v>79</v>
      </c>
      <c r="E4228" s="33" t="s">
        <v>19528</v>
      </c>
      <c r="F4228" s="67">
        <v>42426</v>
      </c>
      <c r="G4228" s="33" t="s">
        <v>19529</v>
      </c>
      <c r="H4228" s="33" t="s">
        <v>19530</v>
      </c>
      <c r="I4228" s="33" t="s">
        <v>225</v>
      </c>
      <c r="J4228" s="33" t="s">
        <v>19531</v>
      </c>
      <c r="K4228" s="33" t="s">
        <v>19532</v>
      </c>
      <c r="L4228" s="33" t="s">
        <v>19533</v>
      </c>
      <c r="M4228" s="33" t="s">
        <v>21</v>
      </c>
      <c r="N4228" s="33" t="s">
        <v>19534</v>
      </c>
      <c r="O4228" s="33" t="s">
        <v>372</v>
      </c>
      <c r="P4228" s="33" t="s">
        <v>30089</v>
      </c>
      <c r="Q4228" s="40" t="s">
        <v>19535</v>
      </c>
      <c r="R4228" s="33" t="s">
        <v>512</v>
      </c>
      <c r="S4228" s="33" t="s">
        <v>12</v>
      </c>
      <c r="T4228" s="33" t="s">
        <v>29425</v>
      </c>
      <c r="U4228" s="33" t="s">
        <v>26570</v>
      </c>
      <c r="V4228" s="33" t="s">
        <v>26573</v>
      </c>
      <c r="W4228" s="33" t="s">
        <v>94</v>
      </c>
      <c r="X4228" s="33">
        <v>1322</v>
      </c>
      <c r="Z4228" s="33" t="s">
        <v>42968</v>
      </c>
      <c r="AA4228" s="33">
        <v>3437</v>
      </c>
    </row>
    <row r="4229" spans="1:27" ht="12" customHeight="1" x14ac:dyDescent="0.15">
      <c r="A4229" s="33" t="s">
        <v>20263</v>
      </c>
      <c r="B4229" s="33">
        <v>37</v>
      </c>
      <c r="C4229" s="33" t="s">
        <v>14</v>
      </c>
      <c r="D4229" s="33" t="s">
        <v>31</v>
      </c>
      <c r="F4229" s="67">
        <v>42425</v>
      </c>
      <c r="G4229" s="33" t="s">
        <v>20264</v>
      </c>
      <c r="H4229" s="33" t="s">
        <v>4711</v>
      </c>
      <c r="I4229" s="33" t="s">
        <v>192</v>
      </c>
      <c r="J4229" s="33" t="s">
        <v>4712</v>
      </c>
      <c r="K4229" s="33" t="s">
        <v>1594</v>
      </c>
      <c r="L4229" s="33" t="s">
        <v>4713</v>
      </c>
      <c r="M4229" s="33" t="s">
        <v>21</v>
      </c>
      <c r="N4229" s="33" t="s">
        <v>20265</v>
      </c>
      <c r="O4229" s="33" t="s">
        <v>372</v>
      </c>
      <c r="P4229" s="33" t="s">
        <v>30089</v>
      </c>
      <c r="Q4229" s="40" t="s">
        <v>20266</v>
      </c>
      <c r="R4229" s="33" t="s">
        <v>94</v>
      </c>
      <c r="S4229" s="33" t="s">
        <v>22</v>
      </c>
      <c r="T4229" s="33" t="s">
        <v>26781</v>
      </c>
      <c r="U4229" s="33" t="s">
        <v>26572</v>
      </c>
      <c r="V4229" s="33" t="s">
        <v>26574</v>
      </c>
      <c r="W4229" s="33" t="s">
        <v>512</v>
      </c>
      <c r="X4229" s="33">
        <v>1312</v>
      </c>
      <c r="Z4229" s="33" t="s">
        <v>42968</v>
      </c>
      <c r="AA4229" s="33">
        <v>3432</v>
      </c>
    </row>
    <row r="4230" spans="1:27" ht="12" customHeight="1" x14ac:dyDescent="0.15">
      <c r="A4230" s="33" t="s">
        <v>21343</v>
      </c>
      <c r="B4230" s="33">
        <v>31</v>
      </c>
      <c r="C4230" s="33" t="s">
        <v>14</v>
      </c>
      <c r="D4230" s="33" t="s">
        <v>31</v>
      </c>
      <c r="E4230" s="33" t="s">
        <v>21383</v>
      </c>
      <c r="F4230" s="67">
        <v>42425</v>
      </c>
      <c r="G4230" s="33" t="s">
        <v>21385</v>
      </c>
      <c r="H4230" s="33" t="s">
        <v>8425</v>
      </c>
      <c r="I4230" s="33" t="s">
        <v>432</v>
      </c>
      <c r="J4230" s="33">
        <v>68005</v>
      </c>
      <c r="K4230" s="33" t="s">
        <v>8427</v>
      </c>
      <c r="L4230" s="33" t="s">
        <v>8428</v>
      </c>
      <c r="M4230" s="33" t="s">
        <v>363</v>
      </c>
      <c r="N4230" s="33" t="s">
        <v>21386</v>
      </c>
      <c r="O4230" s="33" t="s">
        <v>372</v>
      </c>
      <c r="P4230" s="33" t="s">
        <v>30089</v>
      </c>
      <c r="Q4230" s="40" t="s">
        <v>21384</v>
      </c>
      <c r="R4230" s="33" t="s">
        <v>23</v>
      </c>
      <c r="S4230" s="33" t="s">
        <v>12</v>
      </c>
      <c r="T4230" s="33" t="s">
        <v>29705</v>
      </c>
      <c r="U4230" s="33" t="s">
        <v>26572</v>
      </c>
      <c r="V4230" s="33" t="s">
        <v>26573</v>
      </c>
      <c r="Z4230" s="33" t="s">
        <v>42968</v>
      </c>
      <c r="AA4230" s="33">
        <v>3436</v>
      </c>
    </row>
    <row r="4231" spans="1:27" ht="12" customHeight="1" x14ac:dyDescent="0.15">
      <c r="A4231" s="33" t="s">
        <v>19361</v>
      </c>
      <c r="B4231" s="33">
        <v>38</v>
      </c>
      <c r="C4231" s="33" t="s">
        <v>14</v>
      </c>
      <c r="D4231" s="33" t="s">
        <v>79</v>
      </c>
      <c r="E4231" s="33" t="s">
        <v>19362</v>
      </c>
      <c r="F4231" s="67">
        <v>42425</v>
      </c>
      <c r="G4231" s="33" t="s">
        <v>19363</v>
      </c>
      <c r="H4231" s="33" t="s">
        <v>19364</v>
      </c>
      <c r="I4231" s="33" t="s">
        <v>337</v>
      </c>
      <c r="J4231" s="33" t="s">
        <v>19365</v>
      </c>
      <c r="K4231" s="33" t="s">
        <v>2138</v>
      </c>
      <c r="L4231" s="33" t="s">
        <v>19366</v>
      </c>
      <c r="M4231" s="33" t="s">
        <v>21</v>
      </c>
      <c r="N4231" s="33" t="s">
        <v>19367</v>
      </c>
      <c r="O4231" s="33" t="s">
        <v>372</v>
      </c>
      <c r="P4231" s="33" t="s">
        <v>30089</v>
      </c>
      <c r="Q4231" s="40" t="s">
        <v>19368</v>
      </c>
      <c r="R4231" s="33" t="s">
        <v>512</v>
      </c>
      <c r="S4231" s="33" t="s">
        <v>22</v>
      </c>
      <c r="T4231" s="33" t="s">
        <v>26781</v>
      </c>
      <c r="U4231" s="33" t="s">
        <v>26572</v>
      </c>
      <c r="V4231" s="33" t="s">
        <v>26573</v>
      </c>
      <c r="W4231" s="33" t="s">
        <v>94</v>
      </c>
      <c r="X4231" s="33">
        <v>1320</v>
      </c>
      <c r="Z4231" s="33" t="s">
        <v>42967</v>
      </c>
      <c r="AA4231" s="33">
        <v>3434</v>
      </c>
    </row>
    <row r="4232" spans="1:27" ht="12" customHeight="1" x14ac:dyDescent="0.15">
      <c r="A4232" s="33" t="s">
        <v>19961</v>
      </c>
      <c r="B4232" s="33">
        <v>19</v>
      </c>
      <c r="C4232" s="33" t="s">
        <v>14</v>
      </c>
      <c r="D4232" s="33" t="s">
        <v>31</v>
      </c>
      <c r="E4232" s="33" t="s">
        <v>19962</v>
      </c>
      <c r="F4232" s="67">
        <v>42425</v>
      </c>
      <c r="G4232" s="33" t="s">
        <v>19963</v>
      </c>
      <c r="H4232" s="33" t="s">
        <v>19964</v>
      </c>
      <c r="I4232" s="33" t="s">
        <v>250</v>
      </c>
      <c r="J4232" s="33" t="s">
        <v>19965</v>
      </c>
      <c r="K4232" s="33" t="s">
        <v>16439</v>
      </c>
      <c r="L4232" s="33" t="s">
        <v>19966</v>
      </c>
      <c r="M4232" s="33" t="s">
        <v>21</v>
      </c>
      <c r="N4232" s="33" t="s">
        <v>21002</v>
      </c>
      <c r="O4232" s="33" t="s">
        <v>372</v>
      </c>
      <c r="P4232" s="33" t="s">
        <v>30089</v>
      </c>
      <c r="Q4232" s="40" t="s">
        <v>19967</v>
      </c>
      <c r="R4232" s="33" t="s">
        <v>94</v>
      </c>
      <c r="S4232" s="33" t="s">
        <v>22</v>
      </c>
      <c r="T4232" s="33" t="s">
        <v>26781</v>
      </c>
      <c r="U4232" s="33" t="s">
        <v>26572</v>
      </c>
      <c r="V4232" s="33" t="s">
        <v>26573</v>
      </c>
      <c r="W4232" s="33" t="s">
        <v>512</v>
      </c>
      <c r="X4232" s="33">
        <v>1319</v>
      </c>
      <c r="Z4232" s="33" t="s">
        <v>42967</v>
      </c>
      <c r="AA4232" s="33">
        <v>3433</v>
      </c>
    </row>
    <row r="4233" spans="1:27" ht="12" customHeight="1" x14ac:dyDescent="0.15">
      <c r="A4233" s="33" t="s">
        <v>19477</v>
      </c>
      <c r="B4233" s="33">
        <v>56</v>
      </c>
      <c r="C4233" s="33" t="s">
        <v>14</v>
      </c>
      <c r="D4233" s="33" t="s">
        <v>79</v>
      </c>
      <c r="E4233" s="33" t="s">
        <v>19478</v>
      </c>
      <c r="F4233" s="67">
        <v>42425</v>
      </c>
      <c r="G4233" s="33" t="s">
        <v>19479</v>
      </c>
      <c r="H4233" s="33" t="s">
        <v>995</v>
      </c>
      <c r="I4233" s="33" t="s">
        <v>88</v>
      </c>
      <c r="J4233" s="33" t="s">
        <v>19480</v>
      </c>
      <c r="K4233" s="33" t="s">
        <v>995</v>
      </c>
      <c r="L4233" s="33" t="s">
        <v>19481</v>
      </c>
      <c r="M4233" s="33" t="s">
        <v>21</v>
      </c>
      <c r="N4233" s="33" t="s">
        <v>19482</v>
      </c>
      <c r="O4233" s="33" t="s">
        <v>19483</v>
      </c>
      <c r="P4233" s="33" t="s">
        <v>1084</v>
      </c>
      <c r="Q4233" s="40" t="s">
        <v>19484</v>
      </c>
      <c r="R4233" s="33" t="s">
        <v>94</v>
      </c>
      <c r="S4233" s="33" t="s">
        <v>29</v>
      </c>
      <c r="T4233" s="33" t="s">
        <v>26625</v>
      </c>
      <c r="U4233" s="33" t="s">
        <v>26575</v>
      </c>
      <c r="V4233" s="33" t="s">
        <v>26573</v>
      </c>
      <c r="W4233" s="33" t="s">
        <v>512</v>
      </c>
      <c r="X4233" s="33">
        <v>1315</v>
      </c>
      <c r="Z4233" s="33" t="s">
        <v>42968</v>
      </c>
      <c r="AA4233" s="33">
        <v>3435</v>
      </c>
    </row>
    <row r="4234" spans="1:27" ht="12" customHeight="1" x14ac:dyDescent="0.15">
      <c r="A4234" s="33" t="s">
        <v>20255</v>
      </c>
      <c r="B4234" s="33">
        <v>58</v>
      </c>
      <c r="C4234" s="33" t="s">
        <v>14</v>
      </c>
      <c r="D4234" s="33" t="s">
        <v>31</v>
      </c>
      <c r="E4234" s="33" t="s">
        <v>20256</v>
      </c>
      <c r="F4234" s="67">
        <v>42424</v>
      </c>
      <c r="G4234" s="33" t="s">
        <v>20257</v>
      </c>
      <c r="H4234" s="33" t="s">
        <v>20258</v>
      </c>
      <c r="I4234" s="33" t="s">
        <v>192</v>
      </c>
      <c r="J4234" s="33" t="s">
        <v>20259</v>
      </c>
      <c r="K4234" s="33" t="s">
        <v>20113</v>
      </c>
      <c r="L4234" s="33" t="s">
        <v>20260</v>
      </c>
      <c r="M4234" s="33" t="s">
        <v>21</v>
      </c>
      <c r="N4234" s="33" t="s">
        <v>20261</v>
      </c>
      <c r="O4234" s="33" t="s">
        <v>372</v>
      </c>
      <c r="P4234" s="33" t="s">
        <v>30089</v>
      </c>
      <c r="Q4234" s="40" t="s">
        <v>20262</v>
      </c>
      <c r="R4234" s="33" t="s">
        <v>512</v>
      </c>
      <c r="S4234" s="33" t="s">
        <v>22</v>
      </c>
      <c r="T4234" s="33" t="s">
        <v>26781</v>
      </c>
      <c r="U4234" s="33" t="s">
        <v>26572</v>
      </c>
      <c r="V4234" s="33" t="s">
        <v>26573</v>
      </c>
      <c r="W4234" s="33" t="s">
        <v>94</v>
      </c>
      <c r="X4234" s="33">
        <v>1313</v>
      </c>
      <c r="Z4234" s="33" t="s">
        <v>42967</v>
      </c>
      <c r="AA4234" s="33">
        <v>3427</v>
      </c>
    </row>
    <row r="4235" spans="1:27" ht="12" customHeight="1" x14ac:dyDescent="0.15">
      <c r="A4235" s="33" t="s">
        <v>11389</v>
      </c>
      <c r="B4235" s="33">
        <v>27</v>
      </c>
      <c r="C4235" s="33" t="s">
        <v>14</v>
      </c>
      <c r="D4235" s="33" t="s">
        <v>42</v>
      </c>
      <c r="F4235" s="67">
        <v>42424</v>
      </c>
      <c r="G4235" s="33" t="s">
        <v>19784</v>
      </c>
      <c r="H4235" s="33" t="s">
        <v>584</v>
      </c>
      <c r="I4235" s="33" t="s">
        <v>112</v>
      </c>
      <c r="J4235" s="33" t="s">
        <v>9909</v>
      </c>
      <c r="K4235" s="33" t="s">
        <v>585</v>
      </c>
      <c r="L4235" s="33" t="s">
        <v>586</v>
      </c>
      <c r="M4235" s="33" t="s">
        <v>21</v>
      </c>
      <c r="N4235" s="33" t="s">
        <v>19785</v>
      </c>
      <c r="O4235" s="33" t="s">
        <v>372</v>
      </c>
      <c r="P4235" s="33" t="s">
        <v>30089</v>
      </c>
      <c r="Q4235" s="40" t="s">
        <v>19786</v>
      </c>
      <c r="R4235" s="33" t="s">
        <v>94</v>
      </c>
      <c r="S4235" s="33" t="s">
        <v>351</v>
      </c>
      <c r="T4235" s="33" t="s">
        <v>26867</v>
      </c>
      <c r="U4235" s="33" t="s">
        <v>26570</v>
      </c>
      <c r="V4235" s="33" t="s">
        <v>26571</v>
      </c>
      <c r="W4235" s="33" t="s">
        <v>94</v>
      </c>
      <c r="X4235" s="33">
        <v>1314</v>
      </c>
      <c r="Z4235" s="33" t="s">
        <v>42968</v>
      </c>
      <c r="AA4235" s="33">
        <v>3430</v>
      </c>
    </row>
    <row r="4236" spans="1:27" ht="12" customHeight="1" x14ac:dyDescent="0.15">
      <c r="A4236" s="33" t="s">
        <v>20459</v>
      </c>
      <c r="B4236" s="33">
        <v>16</v>
      </c>
      <c r="C4236" s="33" t="s">
        <v>14</v>
      </c>
      <c r="D4236" s="33" t="s">
        <v>31</v>
      </c>
      <c r="E4236" s="33" t="s">
        <v>20460</v>
      </c>
      <c r="F4236" s="67">
        <v>42424</v>
      </c>
      <c r="G4236" s="33" t="s">
        <v>20461</v>
      </c>
      <c r="H4236" s="33" t="s">
        <v>19400</v>
      </c>
      <c r="I4236" s="33" t="s">
        <v>402</v>
      </c>
      <c r="J4236" s="33" t="s">
        <v>20462</v>
      </c>
      <c r="K4236" s="33" t="s">
        <v>404</v>
      </c>
      <c r="L4236" s="33" t="s">
        <v>20463</v>
      </c>
      <c r="M4236" s="33" t="s">
        <v>21</v>
      </c>
      <c r="N4236" s="33" t="s">
        <v>20464</v>
      </c>
      <c r="O4236" s="33" t="s">
        <v>372</v>
      </c>
      <c r="P4236" s="33" t="s">
        <v>30089</v>
      </c>
      <c r="Q4236" s="40" t="s">
        <v>20465</v>
      </c>
      <c r="R4236" s="33" t="s">
        <v>512</v>
      </c>
      <c r="S4236" s="33" t="s">
        <v>22</v>
      </c>
      <c r="T4236" s="33" t="s">
        <v>26774</v>
      </c>
      <c r="U4236" s="33" t="s">
        <v>26570</v>
      </c>
      <c r="V4236" s="33" t="s">
        <v>26573</v>
      </c>
      <c r="W4236" s="33" t="s">
        <v>94</v>
      </c>
      <c r="X4236" s="33">
        <v>1307</v>
      </c>
      <c r="Z4236" s="33" t="s">
        <v>42968</v>
      </c>
      <c r="AA4236" s="33">
        <v>3428</v>
      </c>
    </row>
    <row r="4237" spans="1:27" ht="12" customHeight="1" x14ac:dyDescent="0.15">
      <c r="A4237" s="33" t="s">
        <v>19787</v>
      </c>
      <c r="B4237" s="33">
        <v>26</v>
      </c>
      <c r="C4237" s="33" t="s">
        <v>14</v>
      </c>
      <c r="D4237" s="33" t="s">
        <v>42</v>
      </c>
      <c r="F4237" s="67">
        <v>42424</v>
      </c>
      <c r="G4237" s="33" t="s">
        <v>19788</v>
      </c>
      <c r="H4237" s="33" t="s">
        <v>10378</v>
      </c>
      <c r="I4237" s="33" t="s">
        <v>39</v>
      </c>
      <c r="J4237" s="33" t="s">
        <v>19789</v>
      </c>
      <c r="K4237" s="33" t="s">
        <v>92</v>
      </c>
      <c r="L4237" s="33" t="s">
        <v>386</v>
      </c>
      <c r="M4237" s="33" t="s">
        <v>21</v>
      </c>
      <c r="N4237" s="33" t="s">
        <v>19790</v>
      </c>
      <c r="O4237" s="33" t="s">
        <v>23118</v>
      </c>
      <c r="P4237" s="33" t="s">
        <v>1084</v>
      </c>
      <c r="Q4237" s="40" t="s">
        <v>19791</v>
      </c>
      <c r="R4237" s="33" t="s">
        <v>94</v>
      </c>
      <c r="S4237" s="33" t="s">
        <v>351</v>
      </c>
      <c r="T4237" s="33" t="s">
        <v>26867</v>
      </c>
      <c r="U4237" s="33" t="s">
        <v>26572</v>
      </c>
      <c r="V4237" s="33" t="s">
        <v>26573</v>
      </c>
      <c r="W4237" s="33" t="s">
        <v>94</v>
      </c>
      <c r="X4237" s="33">
        <v>1316</v>
      </c>
      <c r="Z4237" s="33" t="s">
        <v>42966</v>
      </c>
      <c r="AA4237" s="33">
        <v>3431</v>
      </c>
    </row>
    <row r="4238" spans="1:27" ht="12" customHeight="1" x14ac:dyDescent="0.15">
      <c r="A4238" s="33" t="s">
        <v>20698</v>
      </c>
      <c r="B4238" s="33">
        <v>21</v>
      </c>
      <c r="C4238" s="33" t="s">
        <v>14</v>
      </c>
      <c r="D4238" s="33" t="s">
        <v>79</v>
      </c>
      <c r="F4238" s="67">
        <v>42424</v>
      </c>
      <c r="G4238" s="33" t="s">
        <v>20699</v>
      </c>
      <c r="H4238" s="33" t="s">
        <v>20700</v>
      </c>
      <c r="I4238" s="33" t="s">
        <v>409</v>
      </c>
      <c r="J4238" s="33" t="s">
        <v>20701</v>
      </c>
      <c r="K4238" s="33" t="s">
        <v>14498</v>
      </c>
      <c r="L4238" s="33" t="s">
        <v>14499</v>
      </c>
      <c r="M4238" s="33" t="s">
        <v>21</v>
      </c>
      <c r="N4238" s="33" t="s">
        <v>20702</v>
      </c>
      <c r="O4238" s="33" t="s">
        <v>372</v>
      </c>
      <c r="P4238" s="33" t="s">
        <v>30089</v>
      </c>
      <c r="Q4238" s="40" t="s">
        <v>20703</v>
      </c>
      <c r="R4238" s="33" t="s">
        <v>94</v>
      </c>
      <c r="S4238" s="33" t="s">
        <v>12</v>
      </c>
      <c r="T4238" s="33" t="s">
        <v>29705</v>
      </c>
      <c r="U4238" s="33" t="s">
        <v>26575</v>
      </c>
      <c r="V4238" s="33" t="s">
        <v>26571</v>
      </c>
      <c r="W4238" s="33" t="s">
        <v>94</v>
      </c>
      <c r="X4238" s="33">
        <v>1318</v>
      </c>
      <c r="Z4238" s="33" t="s">
        <v>42967</v>
      </c>
      <c r="AA4238" s="33">
        <v>3429</v>
      </c>
    </row>
    <row r="4239" spans="1:27" ht="12" customHeight="1" x14ac:dyDescent="0.15">
      <c r="A4239" s="33" t="s">
        <v>19956</v>
      </c>
      <c r="B4239" s="33">
        <v>26</v>
      </c>
      <c r="C4239" s="33" t="s">
        <v>14</v>
      </c>
      <c r="D4239" s="33" t="s">
        <v>31</v>
      </c>
      <c r="F4239" s="67">
        <v>42423</v>
      </c>
      <c r="G4239" s="33" t="s">
        <v>19957</v>
      </c>
      <c r="H4239" s="33" t="s">
        <v>3067</v>
      </c>
      <c r="I4239" s="33" t="s">
        <v>112</v>
      </c>
      <c r="J4239" s="33" t="s">
        <v>19958</v>
      </c>
      <c r="K4239" s="33" t="s">
        <v>585</v>
      </c>
      <c r="L4239" s="33" t="s">
        <v>586</v>
      </c>
      <c r="M4239" s="33" t="s">
        <v>21</v>
      </c>
      <c r="N4239" s="33" t="s">
        <v>19959</v>
      </c>
      <c r="O4239" s="33" t="s">
        <v>372</v>
      </c>
      <c r="P4239" s="33" t="s">
        <v>30089</v>
      </c>
      <c r="Q4239" s="40" t="s">
        <v>19960</v>
      </c>
      <c r="R4239" s="33" t="s">
        <v>512</v>
      </c>
      <c r="S4239" s="33" t="s">
        <v>22</v>
      </c>
      <c r="T4239" s="33" t="s">
        <v>26781</v>
      </c>
      <c r="U4239" s="33" t="s">
        <v>26572</v>
      </c>
      <c r="V4239" s="33" t="s">
        <v>26573</v>
      </c>
      <c r="W4239" s="33" t="s">
        <v>94</v>
      </c>
      <c r="X4239" s="33">
        <v>1317</v>
      </c>
      <c r="Z4239" s="33" t="s">
        <v>42968</v>
      </c>
      <c r="AA4239" s="33">
        <v>3424</v>
      </c>
    </row>
    <row r="4240" spans="1:27" ht="12" customHeight="1" x14ac:dyDescent="0.15">
      <c r="A4240" s="33" t="s">
        <v>20001</v>
      </c>
      <c r="B4240" s="33">
        <v>36</v>
      </c>
      <c r="C4240" s="33" t="s">
        <v>14</v>
      </c>
      <c r="D4240" s="33" t="s">
        <v>42</v>
      </c>
      <c r="F4240" s="67">
        <v>42423</v>
      </c>
      <c r="G4240" s="33" t="s">
        <v>20002</v>
      </c>
      <c r="H4240" s="33" t="s">
        <v>20003</v>
      </c>
      <c r="I4240" s="33" t="s">
        <v>39</v>
      </c>
      <c r="J4240" s="33" t="s">
        <v>20004</v>
      </c>
      <c r="K4240" s="33" t="s">
        <v>1647</v>
      </c>
      <c r="L4240" s="33" t="s">
        <v>20005</v>
      </c>
      <c r="M4240" s="33" t="s">
        <v>21</v>
      </c>
      <c r="N4240" s="33" t="s">
        <v>20006</v>
      </c>
      <c r="O4240" s="33" t="s">
        <v>372</v>
      </c>
      <c r="P4240" s="33" t="s">
        <v>30089</v>
      </c>
      <c r="Q4240" s="40" t="s">
        <v>20007</v>
      </c>
      <c r="R4240" s="33" t="s">
        <v>512</v>
      </c>
      <c r="S4240" s="33" t="s">
        <v>22</v>
      </c>
      <c r="T4240" s="33" t="s">
        <v>26781</v>
      </c>
      <c r="U4240" s="33" t="s">
        <v>26570</v>
      </c>
      <c r="V4240" s="33" t="s">
        <v>19228</v>
      </c>
      <c r="W4240" s="33" t="s">
        <v>94</v>
      </c>
      <c r="X4240" s="33">
        <v>1309</v>
      </c>
      <c r="Z4240" s="33" t="s">
        <v>42968</v>
      </c>
      <c r="AA4240" s="33">
        <v>3423</v>
      </c>
    </row>
    <row r="4241" spans="1:27" ht="12" customHeight="1" x14ac:dyDescent="0.15">
      <c r="A4241" s="33" t="s">
        <v>19677</v>
      </c>
      <c r="B4241" s="33">
        <v>39</v>
      </c>
      <c r="C4241" s="33" t="s">
        <v>14</v>
      </c>
      <c r="D4241" s="33" t="s">
        <v>42</v>
      </c>
      <c r="F4241" s="67">
        <v>42423</v>
      </c>
      <c r="G4241" s="33" t="s">
        <v>19678</v>
      </c>
      <c r="H4241" s="33" t="s">
        <v>674</v>
      </c>
      <c r="I4241" s="33" t="s">
        <v>67</v>
      </c>
      <c r="J4241" s="33" t="s">
        <v>19679</v>
      </c>
      <c r="K4241" s="33" t="s">
        <v>515</v>
      </c>
      <c r="L4241" s="33" t="s">
        <v>675</v>
      </c>
      <c r="M4241" s="33" t="s">
        <v>4966</v>
      </c>
      <c r="N4241" s="33" t="s">
        <v>19680</v>
      </c>
      <c r="O4241" s="33" t="s">
        <v>372</v>
      </c>
      <c r="P4241" s="33" t="s">
        <v>30089</v>
      </c>
      <c r="Q4241" s="40" t="s">
        <v>19681</v>
      </c>
      <c r="R4241" s="33" t="s">
        <v>512</v>
      </c>
      <c r="S4241" s="33" t="s">
        <v>22</v>
      </c>
      <c r="T4241" s="33" t="s">
        <v>26593</v>
      </c>
      <c r="U4241" s="33" t="s">
        <v>26572</v>
      </c>
      <c r="V4241" s="33" t="s">
        <v>26573</v>
      </c>
      <c r="W4241" s="33" t="s">
        <v>94</v>
      </c>
      <c r="X4241" s="33">
        <v>1310</v>
      </c>
      <c r="Z4241" s="33" t="s">
        <v>42966</v>
      </c>
      <c r="AA4241" s="33">
        <v>3425</v>
      </c>
    </row>
    <row r="4242" spans="1:27" ht="12" customHeight="1" x14ac:dyDescent="0.15">
      <c r="A4242" s="33" t="s">
        <v>19602</v>
      </c>
      <c r="B4242" s="33">
        <v>48</v>
      </c>
      <c r="C4242" s="33" t="s">
        <v>14</v>
      </c>
      <c r="D4242" s="33" t="s">
        <v>79</v>
      </c>
      <c r="F4242" s="67">
        <v>42423</v>
      </c>
      <c r="G4242" s="33" t="s">
        <v>19603</v>
      </c>
      <c r="H4242" s="33" t="s">
        <v>172</v>
      </c>
      <c r="I4242" s="33" t="s">
        <v>19</v>
      </c>
      <c r="J4242" s="33" t="s">
        <v>19604</v>
      </c>
      <c r="K4242" s="33" t="s">
        <v>3435</v>
      </c>
      <c r="L4242" s="33" t="s">
        <v>173</v>
      </c>
      <c r="M4242" s="33" t="s">
        <v>21</v>
      </c>
      <c r="N4242" s="33" t="s">
        <v>21044</v>
      </c>
      <c r="O4242" s="33" t="s">
        <v>372</v>
      </c>
      <c r="P4242" s="33" t="s">
        <v>30089</v>
      </c>
      <c r="Q4242" s="40" t="s">
        <v>19605</v>
      </c>
      <c r="R4242" s="33" t="s">
        <v>512</v>
      </c>
      <c r="S4242" s="33" t="s">
        <v>351</v>
      </c>
      <c r="T4242" s="33" t="s">
        <v>26867</v>
      </c>
      <c r="U4242" s="33" t="s">
        <v>26572</v>
      </c>
      <c r="V4242" s="33" t="s">
        <v>26573</v>
      </c>
      <c r="W4242" s="33" t="s">
        <v>94</v>
      </c>
      <c r="X4242" s="33">
        <v>1306</v>
      </c>
      <c r="Z4242" s="33" t="s">
        <v>42966</v>
      </c>
      <c r="AA4242" s="33">
        <v>3426</v>
      </c>
    </row>
    <row r="4243" spans="1:27" ht="12" customHeight="1" x14ac:dyDescent="0.15">
      <c r="A4243" s="33" t="s">
        <v>21086</v>
      </c>
      <c r="B4243" s="33">
        <v>37</v>
      </c>
      <c r="C4243" s="33" t="s">
        <v>14</v>
      </c>
      <c r="D4243" s="33" t="s">
        <v>79</v>
      </c>
      <c r="E4243" s="33" t="s">
        <v>21089</v>
      </c>
      <c r="F4243" s="67">
        <v>42422</v>
      </c>
      <c r="G4243" s="33" t="s">
        <v>2299</v>
      </c>
      <c r="H4243" s="33" t="s">
        <v>21090</v>
      </c>
      <c r="I4243" s="33" t="s">
        <v>35</v>
      </c>
      <c r="J4243" s="33">
        <v>6516</v>
      </c>
      <c r="K4243" s="33" t="s">
        <v>3298</v>
      </c>
      <c r="L4243" s="33" t="s">
        <v>37</v>
      </c>
      <c r="M4243" s="33" t="s">
        <v>363</v>
      </c>
      <c r="N4243" s="33" t="s">
        <v>21087</v>
      </c>
      <c r="O4243" s="33" t="s">
        <v>372</v>
      </c>
      <c r="P4243" s="33" t="s">
        <v>30089</v>
      </c>
      <c r="Q4243" s="40" t="s">
        <v>21088</v>
      </c>
      <c r="R4243" s="33" t="s">
        <v>23</v>
      </c>
      <c r="S4243" s="33" t="s">
        <v>12</v>
      </c>
      <c r="T4243" s="33" t="s">
        <v>29705</v>
      </c>
      <c r="U4243" s="33" t="s">
        <v>26570</v>
      </c>
      <c r="V4243" s="33" t="s">
        <v>26573</v>
      </c>
      <c r="Z4243" s="33" t="s">
        <v>42968</v>
      </c>
      <c r="AA4243" s="33">
        <v>3421</v>
      </c>
    </row>
    <row r="4244" spans="1:27" ht="12" customHeight="1" x14ac:dyDescent="0.15">
      <c r="A4244" s="33" t="s">
        <v>19973</v>
      </c>
      <c r="B4244" s="33">
        <v>22</v>
      </c>
      <c r="C4244" s="33" t="s">
        <v>14</v>
      </c>
      <c r="D4244" s="33" t="s">
        <v>31</v>
      </c>
      <c r="E4244" s="33" t="s">
        <v>19974</v>
      </c>
      <c r="F4244" s="67">
        <v>42422</v>
      </c>
      <c r="G4244" s="33" t="s">
        <v>19975</v>
      </c>
      <c r="H4244" s="33" t="s">
        <v>19976</v>
      </c>
      <c r="I4244" s="33" t="s">
        <v>63</v>
      </c>
      <c r="J4244" s="33" t="s">
        <v>19977</v>
      </c>
      <c r="K4244" s="33" t="s">
        <v>4549</v>
      </c>
      <c r="L4244" s="33" t="s">
        <v>19978</v>
      </c>
      <c r="M4244" s="33" t="s">
        <v>21</v>
      </c>
      <c r="N4244" s="33" t="s">
        <v>19979</v>
      </c>
      <c r="O4244" s="33" t="s">
        <v>372</v>
      </c>
      <c r="P4244" s="33" t="s">
        <v>30089</v>
      </c>
      <c r="Q4244" s="40" t="s">
        <v>19980</v>
      </c>
      <c r="R4244" s="33" t="s">
        <v>94</v>
      </c>
      <c r="S4244" s="33" t="s">
        <v>12</v>
      </c>
      <c r="T4244" s="33" t="s">
        <v>29425</v>
      </c>
      <c r="U4244" s="33" t="s">
        <v>26570</v>
      </c>
      <c r="V4244" s="33" t="s">
        <v>26573</v>
      </c>
      <c r="W4244" s="33" t="s">
        <v>94</v>
      </c>
      <c r="X4244" s="33">
        <v>1304</v>
      </c>
      <c r="Z4244" s="33" t="s">
        <v>42968</v>
      </c>
      <c r="AA4244" s="33">
        <v>3420</v>
      </c>
    </row>
    <row r="4245" spans="1:27" ht="12" customHeight="1" x14ac:dyDescent="0.15">
      <c r="A4245" s="33" t="s">
        <v>19617</v>
      </c>
      <c r="B4245" s="33">
        <v>33</v>
      </c>
      <c r="C4245" s="33" t="s">
        <v>14</v>
      </c>
      <c r="D4245" s="33" t="s">
        <v>42</v>
      </c>
      <c r="E4245" s="33" t="s">
        <v>19618</v>
      </c>
      <c r="F4245" s="67">
        <v>42422</v>
      </c>
      <c r="G4245" s="33" t="s">
        <v>19619</v>
      </c>
      <c r="H4245" s="33" t="s">
        <v>1212</v>
      </c>
      <c r="I4245" s="33" t="s">
        <v>192</v>
      </c>
      <c r="J4245" s="33" t="s">
        <v>7986</v>
      </c>
      <c r="K4245" s="33" t="s">
        <v>1212</v>
      </c>
      <c r="L4245" s="33" t="s">
        <v>1213</v>
      </c>
      <c r="M4245" s="33" t="s">
        <v>21</v>
      </c>
      <c r="N4245" s="33" t="s">
        <v>19620</v>
      </c>
      <c r="O4245" s="33" t="s">
        <v>372</v>
      </c>
      <c r="P4245" s="33" t="s">
        <v>30089</v>
      </c>
      <c r="Q4245" s="40" t="s">
        <v>19621</v>
      </c>
      <c r="R4245" s="33" t="s">
        <v>94</v>
      </c>
      <c r="S4245" s="33" t="s">
        <v>22</v>
      </c>
      <c r="T4245" s="33" t="s">
        <v>26781</v>
      </c>
      <c r="U4245" s="33" t="s">
        <v>26572</v>
      </c>
      <c r="V4245" s="33" t="s">
        <v>19228</v>
      </c>
      <c r="W4245" s="33" t="s">
        <v>94</v>
      </c>
      <c r="X4245" s="33">
        <v>1301</v>
      </c>
      <c r="Z4245" s="33" t="s">
        <v>42966</v>
      </c>
      <c r="AA4245" s="33">
        <v>3418</v>
      </c>
    </row>
    <row r="4246" spans="1:27" ht="12" customHeight="1" x14ac:dyDescent="0.15">
      <c r="A4246" s="33" t="s">
        <v>19950</v>
      </c>
      <c r="B4246" s="33">
        <v>38</v>
      </c>
      <c r="C4246" s="33" t="s">
        <v>14</v>
      </c>
      <c r="D4246" s="33" t="s">
        <v>31</v>
      </c>
      <c r="F4246" s="67">
        <v>42422</v>
      </c>
      <c r="G4246" s="33" t="s">
        <v>19951</v>
      </c>
      <c r="H4246" s="33" t="s">
        <v>2543</v>
      </c>
      <c r="I4246" s="33" t="s">
        <v>67</v>
      </c>
      <c r="J4246" s="33" t="s">
        <v>19952</v>
      </c>
      <c r="K4246" s="33" t="s">
        <v>1304</v>
      </c>
      <c r="L4246" s="33" t="s">
        <v>19953</v>
      </c>
      <c r="M4246" s="33" t="s">
        <v>21</v>
      </c>
      <c r="N4246" s="33" t="s">
        <v>19954</v>
      </c>
      <c r="O4246" s="33" t="s">
        <v>372</v>
      </c>
      <c r="P4246" s="33" t="s">
        <v>30089</v>
      </c>
      <c r="Q4246" s="40" t="s">
        <v>19955</v>
      </c>
      <c r="R4246" s="33" t="s">
        <v>512</v>
      </c>
      <c r="S4246" s="33" t="s">
        <v>351</v>
      </c>
      <c r="T4246" s="33" t="s">
        <v>26867</v>
      </c>
      <c r="U4246" s="33" t="s">
        <v>26570</v>
      </c>
      <c r="V4246" s="33" t="s">
        <v>26571</v>
      </c>
      <c r="W4246" s="33" t="s">
        <v>94</v>
      </c>
      <c r="X4246" s="33">
        <v>1303</v>
      </c>
      <c r="Z4246" s="33" t="s">
        <v>42968</v>
      </c>
      <c r="AA4246" s="33">
        <v>3422</v>
      </c>
    </row>
    <row r="4247" spans="1:27" ht="12" customHeight="1" x14ac:dyDescent="0.15">
      <c r="A4247" s="33" t="s">
        <v>19968</v>
      </c>
      <c r="B4247" s="33">
        <v>45</v>
      </c>
      <c r="C4247" s="33" t="s">
        <v>14</v>
      </c>
      <c r="D4247" s="33" t="s">
        <v>31</v>
      </c>
      <c r="F4247" s="67">
        <v>42422</v>
      </c>
      <c r="G4247" s="33" t="s">
        <v>19969</v>
      </c>
      <c r="H4247" s="33" t="s">
        <v>631</v>
      </c>
      <c r="I4247" s="33" t="s">
        <v>39</v>
      </c>
      <c r="J4247" s="33" t="s">
        <v>19970</v>
      </c>
      <c r="K4247" s="33" t="s">
        <v>632</v>
      </c>
      <c r="L4247" s="33" t="s">
        <v>633</v>
      </c>
      <c r="M4247" s="33" t="s">
        <v>21</v>
      </c>
      <c r="N4247" s="33" t="s">
        <v>19971</v>
      </c>
      <c r="O4247" s="33" t="s">
        <v>372</v>
      </c>
      <c r="P4247" s="33" t="s">
        <v>30089</v>
      </c>
      <c r="Q4247" s="40" t="s">
        <v>19972</v>
      </c>
      <c r="R4247" s="33" t="s">
        <v>94</v>
      </c>
      <c r="S4247" s="33" t="s">
        <v>22</v>
      </c>
      <c r="T4247" s="33" t="s">
        <v>26774</v>
      </c>
      <c r="U4247" s="33" t="s">
        <v>26572</v>
      </c>
      <c r="V4247" s="33" t="s">
        <v>26573</v>
      </c>
      <c r="W4247" s="33" t="s">
        <v>94</v>
      </c>
      <c r="X4247" s="33">
        <v>1302</v>
      </c>
      <c r="Z4247" s="33" t="s">
        <v>42966</v>
      </c>
      <c r="AA4247" s="33">
        <v>3419</v>
      </c>
    </row>
    <row r="4248" spans="1:27" ht="12" customHeight="1" x14ac:dyDescent="0.15">
      <c r="A4248" s="33" t="s">
        <v>19797</v>
      </c>
      <c r="B4248" s="33">
        <v>38</v>
      </c>
      <c r="C4248" s="33" t="s">
        <v>103</v>
      </c>
      <c r="D4248" s="33" t="s">
        <v>128</v>
      </c>
      <c r="E4248" s="33" t="s">
        <v>19798</v>
      </c>
      <c r="F4248" s="67">
        <v>42421</v>
      </c>
      <c r="G4248" s="33" t="s">
        <v>19799</v>
      </c>
      <c r="H4248" s="33" t="s">
        <v>674</v>
      </c>
      <c r="I4248" s="33" t="s">
        <v>309</v>
      </c>
      <c r="J4248" s="33" t="s">
        <v>10185</v>
      </c>
      <c r="K4248" s="33" t="s">
        <v>19800</v>
      </c>
      <c r="L4248" s="33" t="s">
        <v>10186</v>
      </c>
      <c r="M4248" s="33" t="s">
        <v>21</v>
      </c>
      <c r="N4248" s="33" t="s">
        <v>36721</v>
      </c>
      <c r="O4248" s="33" t="s">
        <v>372</v>
      </c>
      <c r="P4248" s="33" t="s">
        <v>30089</v>
      </c>
      <c r="Q4248" s="40" t="s">
        <v>19801</v>
      </c>
      <c r="R4248" s="33" t="s">
        <v>94</v>
      </c>
      <c r="S4248" s="33" t="s">
        <v>22</v>
      </c>
      <c r="T4248" s="33" t="s">
        <v>26781</v>
      </c>
      <c r="U4248" s="33" t="s">
        <v>26572</v>
      </c>
      <c r="V4248" s="33" t="s">
        <v>26573</v>
      </c>
      <c r="W4248" s="33" t="s">
        <v>94</v>
      </c>
      <c r="X4248" s="33">
        <v>1305</v>
      </c>
      <c r="Z4248" s="33" t="s">
        <v>42967</v>
      </c>
      <c r="AA4248" s="33">
        <v>3415</v>
      </c>
    </row>
    <row r="4249" spans="1:27" ht="12" customHeight="1" x14ac:dyDescent="0.15">
      <c r="A4249" s="33" t="s">
        <v>19827</v>
      </c>
      <c r="B4249" s="33">
        <v>36</v>
      </c>
      <c r="C4249" s="33" t="s">
        <v>103</v>
      </c>
      <c r="D4249" s="33" t="s">
        <v>128</v>
      </c>
      <c r="F4249" s="67">
        <v>42421</v>
      </c>
      <c r="G4249" s="33" t="s">
        <v>19828</v>
      </c>
      <c r="H4249" s="33" t="s">
        <v>584</v>
      </c>
      <c r="I4249" s="33" t="s">
        <v>112</v>
      </c>
      <c r="J4249" s="33" t="s">
        <v>6791</v>
      </c>
      <c r="K4249" s="33" t="s">
        <v>585</v>
      </c>
      <c r="L4249" s="33" t="s">
        <v>586</v>
      </c>
      <c r="M4249" s="33" t="s">
        <v>21</v>
      </c>
      <c r="N4249" s="33" t="s">
        <v>21009</v>
      </c>
      <c r="O4249" s="33" t="s">
        <v>372</v>
      </c>
      <c r="P4249" s="33" t="s">
        <v>30089</v>
      </c>
      <c r="Q4249" s="40" t="s">
        <v>19829</v>
      </c>
      <c r="R4249" s="33" t="s">
        <v>512</v>
      </c>
      <c r="S4249" s="33" t="s">
        <v>22</v>
      </c>
      <c r="T4249" s="33" t="s">
        <v>26781</v>
      </c>
      <c r="U4249" s="33" t="s">
        <v>26572</v>
      </c>
      <c r="V4249" s="33" t="s">
        <v>26574</v>
      </c>
      <c r="W4249" s="33" t="s">
        <v>94</v>
      </c>
      <c r="X4249" s="33">
        <v>1290</v>
      </c>
      <c r="Z4249" s="33" t="s">
        <v>42966</v>
      </c>
      <c r="AA4249" s="33">
        <v>3413</v>
      </c>
    </row>
    <row r="4250" spans="1:27" ht="12" customHeight="1" x14ac:dyDescent="0.15">
      <c r="A4250" s="33" t="s">
        <v>19335</v>
      </c>
      <c r="B4250" s="33">
        <v>31</v>
      </c>
      <c r="C4250" s="33" t="s">
        <v>103</v>
      </c>
      <c r="D4250" s="33" t="s">
        <v>79</v>
      </c>
      <c r="E4250" s="33" t="s">
        <v>19336</v>
      </c>
      <c r="F4250" s="67">
        <v>42421</v>
      </c>
      <c r="G4250" s="33" t="s">
        <v>19337</v>
      </c>
      <c r="H4250" s="33" t="s">
        <v>8049</v>
      </c>
      <c r="I4250" s="33" t="s">
        <v>39</v>
      </c>
      <c r="J4250" s="33" t="s">
        <v>15008</v>
      </c>
      <c r="K4250" s="33" t="s">
        <v>92</v>
      </c>
      <c r="L4250" s="33" t="s">
        <v>8051</v>
      </c>
      <c r="M4250" s="33" t="s">
        <v>21</v>
      </c>
      <c r="N4250" s="33" t="s">
        <v>20989</v>
      </c>
      <c r="O4250" s="33" t="s">
        <v>372</v>
      </c>
      <c r="P4250" s="33" t="s">
        <v>30089</v>
      </c>
      <c r="Q4250" s="40" t="s">
        <v>19338</v>
      </c>
      <c r="R4250" s="33" t="s">
        <v>94</v>
      </c>
      <c r="S4250" s="33" t="s">
        <v>22</v>
      </c>
      <c r="T4250" s="33" t="s">
        <v>26781</v>
      </c>
      <c r="U4250" s="33" t="s">
        <v>26570</v>
      </c>
      <c r="V4250" s="33" t="s">
        <v>26573</v>
      </c>
      <c r="W4250" s="33" t="s">
        <v>94</v>
      </c>
      <c r="X4250" s="33">
        <v>1292</v>
      </c>
      <c r="Z4250" s="33" t="s">
        <v>42966</v>
      </c>
      <c r="AA4250" s="33">
        <v>3414</v>
      </c>
    </row>
    <row r="4251" spans="1:27" ht="12" customHeight="1" x14ac:dyDescent="0.15">
      <c r="A4251" s="33" t="s">
        <v>19541</v>
      </c>
      <c r="B4251" s="33">
        <v>32</v>
      </c>
      <c r="C4251" s="33" t="s">
        <v>14</v>
      </c>
      <c r="D4251" s="33" t="s">
        <v>79</v>
      </c>
      <c r="E4251" s="33" t="s">
        <v>19542</v>
      </c>
      <c r="F4251" s="67">
        <v>42421</v>
      </c>
      <c r="G4251" s="33" t="s">
        <v>19337</v>
      </c>
      <c r="H4251" s="33" t="s">
        <v>8049</v>
      </c>
      <c r="I4251" s="33" t="s">
        <v>39</v>
      </c>
      <c r="J4251" s="33" t="s">
        <v>15008</v>
      </c>
      <c r="K4251" s="33" t="s">
        <v>92</v>
      </c>
      <c r="L4251" s="33" t="s">
        <v>8051</v>
      </c>
      <c r="M4251" s="33" t="s">
        <v>21</v>
      </c>
      <c r="N4251" s="33" t="s">
        <v>20987</v>
      </c>
      <c r="O4251" s="33" t="s">
        <v>372</v>
      </c>
      <c r="P4251" s="33" t="s">
        <v>30089</v>
      </c>
      <c r="Q4251" s="40" t="s">
        <v>19338</v>
      </c>
      <c r="R4251" s="33" t="s">
        <v>94</v>
      </c>
      <c r="S4251" s="33" t="s">
        <v>29</v>
      </c>
      <c r="T4251" s="33" t="s">
        <v>26575</v>
      </c>
      <c r="U4251" s="33" t="s">
        <v>26570</v>
      </c>
      <c r="V4251" s="33" t="s">
        <v>26573</v>
      </c>
      <c r="W4251" s="33" t="s">
        <v>94</v>
      </c>
      <c r="X4251" s="33">
        <v>1293</v>
      </c>
      <c r="Z4251" s="33" t="s">
        <v>42966</v>
      </c>
      <c r="AA4251" s="33">
        <v>3417</v>
      </c>
    </row>
    <row r="4252" spans="1:27" ht="12" customHeight="1" x14ac:dyDescent="0.15">
      <c r="A4252" s="33" t="s">
        <v>19588</v>
      </c>
      <c r="B4252" s="33">
        <v>46</v>
      </c>
      <c r="C4252" s="33" t="s">
        <v>14</v>
      </c>
      <c r="D4252" s="33" t="s">
        <v>79</v>
      </c>
      <c r="F4252" s="67">
        <v>42421</v>
      </c>
      <c r="G4252" s="33" t="s">
        <v>19589</v>
      </c>
      <c r="H4252" s="33" t="s">
        <v>1132</v>
      </c>
      <c r="I4252" s="33" t="s">
        <v>282</v>
      </c>
      <c r="J4252" s="33" t="s">
        <v>19590</v>
      </c>
      <c r="K4252" s="33" t="s">
        <v>1133</v>
      </c>
      <c r="L4252" s="33" t="s">
        <v>1134</v>
      </c>
      <c r="M4252" s="33" t="s">
        <v>21</v>
      </c>
      <c r="N4252" s="33" t="s">
        <v>20988</v>
      </c>
      <c r="O4252" s="33" t="s">
        <v>372</v>
      </c>
      <c r="P4252" s="33" t="s">
        <v>30089</v>
      </c>
      <c r="Q4252" s="40" t="s">
        <v>19591</v>
      </c>
      <c r="R4252" s="33" t="s">
        <v>94</v>
      </c>
      <c r="S4252" s="33" t="s">
        <v>29</v>
      </c>
      <c r="T4252" s="33" t="s">
        <v>26575</v>
      </c>
      <c r="U4252" s="33" t="s">
        <v>26570</v>
      </c>
      <c r="V4252" s="33" t="s">
        <v>26573</v>
      </c>
      <c r="W4252" s="33" t="s">
        <v>94</v>
      </c>
      <c r="X4252" s="33">
        <v>1289</v>
      </c>
      <c r="Z4252" s="33" t="s">
        <v>42966</v>
      </c>
      <c r="AA4252" s="33">
        <v>3416</v>
      </c>
    </row>
    <row r="4253" spans="1:27" ht="12" customHeight="1" x14ac:dyDescent="0.15">
      <c r="A4253" s="33" t="s">
        <v>19875</v>
      </c>
      <c r="B4253" s="33">
        <v>30</v>
      </c>
      <c r="C4253" s="33" t="s">
        <v>14</v>
      </c>
      <c r="D4253" s="33" t="s">
        <v>42</v>
      </c>
      <c r="E4253" s="33" t="s">
        <v>25169</v>
      </c>
      <c r="F4253" s="67">
        <v>42420</v>
      </c>
      <c r="G4253" s="33" t="s">
        <v>19876</v>
      </c>
      <c r="H4253" s="33" t="s">
        <v>1751</v>
      </c>
      <c r="I4253" s="33" t="s">
        <v>39</v>
      </c>
      <c r="J4253" s="33" t="s">
        <v>19877</v>
      </c>
      <c r="K4253" s="33" t="s">
        <v>998</v>
      </c>
      <c r="L4253" s="33" t="s">
        <v>1753</v>
      </c>
      <c r="M4253" s="33" t="s">
        <v>21</v>
      </c>
      <c r="N4253" s="33" t="s">
        <v>20992</v>
      </c>
      <c r="O4253" s="33" t="s">
        <v>372</v>
      </c>
      <c r="P4253" s="33" t="s">
        <v>30089</v>
      </c>
      <c r="Q4253" s="40" t="s">
        <v>19878</v>
      </c>
      <c r="R4253" s="33" t="s">
        <v>94</v>
      </c>
      <c r="S4253" s="33" t="s">
        <v>22</v>
      </c>
      <c r="T4253" s="33" t="s">
        <v>26781</v>
      </c>
      <c r="U4253" s="33" t="s">
        <v>26572</v>
      </c>
      <c r="V4253" s="33" t="s">
        <v>26571</v>
      </c>
      <c r="W4253" s="33" t="s">
        <v>512</v>
      </c>
      <c r="X4253" s="33">
        <v>1291</v>
      </c>
      <c r="Z4253" s="33" t="s">
        <v>42966</v>
      </c>
      <c r="AA4253" s="33">
        <v>3409</v>
      </c>
    </row>
    <row r="4254" spans="1:27" ht="12" customHeight="1" x14ac:dyDescent="0.15">
      <c r="A4254" s="33" t="s">
        <v>19637</v>
      </c>
      <c r="B4254" s="33">
        <v>23</v>
      </c>
      <c r="C4254" s="33" t="s">
        <v>14</v>
      </c>
      <c r="D4254" s="33" t="s">
        <v>42</v>
      </c>
      <c r="E4254" s="33" t="s">
        <v>19638</v>
      </c>
      <c r="F4254" s="67">
        <v>42420</v>
      </c>
      <c r="G4254" s="33" t="s">
        <v>19639</v>
      </c>
      <c r="H4254" s="33" t="s">
        <v>866</v>
      </c>
      <c r="I4254" s="33" t="s">
        <v>178</v>
      </c>
      <c r="J4254" s="33" t="s">
        <v>4978</v>
      </c>
      <c r="K4254" s="33" t="s">
        <v>433</v>
      </c>
      <c r="L4254" s="33" t="s">
        <v>5161</v>
      </c>
      <c r="M4254" s="33" t="s">
        <v>21</v>
      </c>
      <c r="N4254" s="33" t="s">
        <v>21001</v>
      </c>
      <c r="O4254" s="33" t="s">
        <v>372</v>
      </c>
      <c r="P4254" s="33" t="s">
        <v>30089</v>
      </c>
      <c r="Q4254" s="40" t="s">
        <v>19640</v>
      </c>
      <c r="R4254" s="33" t="s">
        <v>94</v>
      </c>
      <c r="S4254" s="33" t="s">
        <v>22</v>
      </c>
      <c r="T4254" s="33" t="s">
        <v>26781</v>
      </c>
      <c r="U4254" s="33" t="s">
        <v>26572</v>
      </c>
      <c r="V4254" s="33" t="s">
        <v>26574</v>
      </c>
      <c r="W4254" s="33" t="s">
        <v>94</v>
      </c>
      <c r="X4254" s="33">
        <v>1294</v>
      </c>
      <c r="Z4254" s="33" t="s">
        <v>42968</v>
      </c>
      <c r="AA4254" s="33">
        <v>3410</v>
      </c>
    </row>
    <row r="4255" spans="1:27" ht="12" customHeight="1" x14ac:dyDescent="0.15">
      <c r="A4255" s="33" t="s">
        <v>20306</v>
      </c>
      <c r="B4255" s="33">
        <v>45</v>
      </c>
      <c r="C4255" s="33" t="s">
        <v>14</v>
      </c>
      <c r="D4255" s="33" t="s">
        <v>31</v>
      </c>
      <c r="E4255" s="33" t="s">
        <v>20307</v>
      </c>
      <c r="F4255" s="67">
        <v>42420</v>
      </c>
      <c r="G4255" s="33" t="s">
        <v>20308</v>
      </c>
      <c r="H4255" s="33" t="s">
        <v>3926</v>
      </c>
      <c r="I4255" s="33" t="s">
        <v>621</v>
      </c>
      <c r="J4255" s="33" t="s">
        <v>3927</v>
      </c>
      <c r="K4255" s="33" t="s">
        <v>3928</v>
      </c>
      <c r="L4255" s="33" t="s">
        <v>36722</v>
      </c>
      <c r="M4255" s="33" t="s">
        <v>21</v>
      </c>
      <c r="N4255" s="33" t="s">
        <v>36723</v>
      </c>
      <c r="O4255" s="33" t="s">
        <v>372</v>
      </c>
      <c r="P4255" s="33" t="s">
        <v>30089</v>
      </c>
      <c r="Q4255" s="40" t="s">
        <v>20309</v>
      </c>
      <c r="R4255" s="33" t="s">
        <v>512</v>
      </c>
      <c r="S4255" s="33" t="s">
        <v>22</v>
      </c>
      <c r="T4255" s="33" t="s">
        <v>26781</v>
      </c>
      <c r="U4255" s="33" t="s">
        <v>26572</v>
      </c>
      <c r="V4255" s="33" t="s">
        <v>26573</v>
      </c>
      <c r="W4255" s="33" t="s">
        <v>94</v>
      </c>
      <c r="X4255" s="33">
        <v>1298</v>
      </c>
      <c r="Z4255" s="33" t="s">
        <v>42967</v>
      </c>
      <c r="AA4255" s="33">
        <v>3412</v>
      </c>
    </row>
    <row r="4256" spans="1:27" ht="12" customHeight="1" x14ac:dyDescent="0.15">
      <c r="A4256" s="33" t="s">
        <v>19830</v>
      </c>
      <c r="B4256" s="33">
        <v>41</v>
      </c>
      <c r="C4256" s="33" t="s">
        <v>14</v>
      </c>
      <c r="D4256" s="33" t="s">
        <v>79</v>
      </c>
      <c r="E4256" s="33" t="s">
        <v>19831</v>
      </c>
      <c r="F4256" s="67">
        <v>42420</v>
      </c>
      <c r="G4256" s="33" t="s">
        <v>19832</v>
      </c>
      <c r="H4256" s="33" t="s">
        <v>1342</v>
      </c>
      <c r="I4256" s="33" t="s">
        <v>282</v>
      </c>
      <c r="J4256" s="33" t="s">
        <v>19833</v>
      </c>
      <c r="K4256" s="33" t="s">
        <v>827</v>
      </c>
      <c r="L4256" s="33" t="s">
        <v>19834</v>
      </c>
      <c r="M4256" s="33" t="s">
        <v>21</v>
      </c>
      <c r="N4256" s="33" t="s">
        <v>19835</v>
      </c>
      <c r="O4256" s="33" t="s">
        <v>372</v>
      </c>
      <c r="P4256" s="33" t="s">
        <v>30089</v>
      </c>
      <c r="Q4256" s="40" t="s">
        <v>19836</v>
      </c>
      <c r="R4256" s="33" t="s">
        <v>94</v>
      </c>
      <c r="S4256" s="33" t="s">
        <v>22</v>
      </c>
      <c r="T4256" s="33" t="s">
        <v>26781</v>
      </c>
      <c r="U4256" s="33" t="s">
        <v>26572</v>
      </c>
      <c r="V4256" s="33" t="s">
        <v>26571</v>
      </c>
      <c r="W4256" s="33" t="s">
        <v>94</v>
      </c>
      <c r="X4256" s="33">
        <v>1296</v>
      </c>
      <c r="Z4256" s="33" t="s">
        <v>42968</v>
      </c>
      <c r="AA4256" s="33">
        <v>3411</v>
      </c>
    </row>
    <row r="4257" spans="1:27" ht="12" customHeight="1" x14ac:dyDescent="0.15">
      <c r="A4257" s="33" t="s">
        <v>20351</v>
      </c>
      <c r="B4257" s="33">
        <v>31</v>
      </c>
      <c r="C4257" s="33" t="s">
        <v>14</v>
      </c>
      <c r="D4257" s="33" t="s">
        <v>31</v>
      </c>
      <c r="E4257" s="33" t="s">
        <v>20352</v>
      </c>
      <c r="F4257" s="67">
        <v>42419</v>
      </c>
      <c r="G4257" s="33" t="s">
        <v>20353</v>
      </c>
      <c r="H4257" s="33" t="s">
        <v>20354</v>
      </c>
      <c r="I4257" s="33" t="s">
        <v>298</v>
      </c>
      <c r="J4257" s="33" t="s">
        <v>20355</v>
      </c>
      <c r="K4257" s="33" t="s">
        <v>761</v>
      </c>
      <c r="L4257" s="33" t="s">
        <v>20356</v>
      </c>
      <c r="M4257" s="33" t="s">
        <v>21</v>
      </c>
      <c r="N4257" s="33" t="s">
        <v>21005</v>
      </c>
      <c r="O4257" s="33" t="s">
        <v>372</v>
      </c>
      <c r="P4257" s="33" t="s">
        <v>30089</v>
      </c>
      <c r="Q4257" s="40" t="s">
        <v>20357</v>
      </c>
      <c r="R4257" s="33" t="s">
        <v>94</v>
      </c>
      <c r="S4257" s="33" t="s">
        <v>22</v>
      </c>
      <c r="T4257" s="33" t="s">
        <v>26781</v>
      </c>
      <c r="U4257" s="33" t="s">
        <v>26572</v>
      </c>
      <c r="V4257" s="33" t="s">
        <v>26573</v>
      </c>
      <c r="W4257" s="33" t="s">
        <v>94</v>
      </c>
      <c r="X4257" s="33">
        <v>1297</v>
      </c>
      <c r="Z4257" s="33" t="s">
        <v>42968</v>
      </c>
      <c r="AA4257" s="33">
        <v>3407</v>
      </c>
    </row>
    <row r="4258" spans="1:27" ht="12" customHeight="1" x14ac:dyDescent="0.15">
      <c r="A4258" s="33" t="s">
        <v>20507</v>
      </c>
      <c r="B4258" s="33">
        <v>35</v>
      </c>
      <c r="C4258" s="33" t="s">
        <v>14</v>
      </c>
      <c r="D4258" s="33" t="s">
        <v>31</v>
      </c>
      <c r="E4258" s="33" t="s">
        <v>20508</v>
      </c>
      <c r="F4258" s="67">
        <v>42419</v>
      </c>
      <c r="G4258" s="33" t="s">
        <v>20509</v>
      </c>
      <c r="H4258" s="33" t="s">
        <v>1355</v>
      </c>
      <c r="I4258" s="33" t="s">
        <v>221</v>
      </c>
      <c r="J4258" s="33" t="s">
        <v>6687</v>
      </c>
      <c r="K4258" s="33" t="s">
        <v>1356</v>
      </c>
      <c r="L4258" s="33" t="s">
        <v>6688</v>
      </c>
      <c r="M4258" s="33" t="s">
        <v>21</v>
      </c>
      <c r="N4258" s="33" t="s">
        <v>20510</v>
      </c>
      <c r="O4258" s="33" t="s">
        <v>372</v>
      </c>
      <c r="P4258" s="33" t="s">
        <v>30089</v>
      </c>
      <c r="Q4258" s="40" t="s">
        <v>20511</v>
      </c>
      <c r="R4258" s="33" t="s">
        <v>512</v>
      </c>
      <c r="S4258" s="33" t="s">
        <v>22</v>
      </c>
      <c r="T4258" s="33" t="s">
        <v>26774</v>
      </c>
      <c r="U4258" s="33" t="s">
        <v>26572</v>
      </c>
      <c r="V4258" s="33" t="s">
        <v>26573</v>
      </c>
      <c r="W4258" s="33" t="s">
        <v>94</v>
      </c>
      <c r="X4258" s="33">
        <v>1295</v>
      </c>
      <c r="Z4258" s="33" t="s">
        <v>42968</v>
      </c>
      <c r="AA4258" s="33">
        <v>3408</v>
      </c>
    </row>
    <row r="4259" spans="1:27" ht="12" customHeight="1" x14ac:dyDescent="0.15">
      <c r="A4259" s="33" t="s">
        <v>19648</v>
      </c>
      <c r="B4259" s="33">
        <v>32</v>
      </c>
      <c r="C4259" s="33" t="s">
        <v>14</v>
      </c>
      <c r="D4259" s="33" t="s">
        <v>42</v>
      </c>
      <c r="E4259" s="33" t="s">
        <v>19649</v>
      </c>
      <c r="F4259" s="67">
        <v>42418</v>
      </c>
      <c r="G4259" s="33" t="s">
        <v>19650</v>
      </c>
      <c r="H4259" s="33" t="s">
        <v>1506</v>
      </c>
      <c r="I4259" s="33" t="s">
        <v>67</v>
      </c>
      <c r="J4259" s="33" t="s">
        <v>19651</v>
      </c>
      <c r="K4259" s="33" t="s">
        <v>6396</v>
      </c>
      <c r="L4259" s="33" t="s">
        <v>23878</v>
      </c>
      <c r="M4259" s="33" t="s">
        <v>21</v>
      </c>
      <c r="N4259" s="33" t="s">
        <v>19652</v>
      </c>
      <c r="O4259" s="33" t="s">
        <v>372</v>
      </c>
      <c r="P4259" s="33" t="s">
        <v>30089</v>
      </c>
      <c r="Q4259" s="40" t="s">
        <v>19653</v>
      </c>
      <c r="R4259" s="33" t="s">
        <v>94</v>
      </c>
      <c r="S4259" s="33" t="s">
        <v>22</v>
      </c>
      <c r="T4259" s="33" t="s">
        <v>26781</v>
      </c>
      <c r="U4259" s="33" t="s">
        <v>26572</v>
      </c>
      <c r="V4259" s="33" t="s">
        <v>26573</v>
      </c>
      <c r="W4259" s="33" t="s">
        <v>94</v>
      </c>
      <c r="X4259" s="33">
        <v>1287</v>
      </c>
      <c r="Z4259" s="33" t="s">
        <v>42967</v>
      </c>
      <c r="AA4259" s="33">
        <v>3403</v>
      </c>
    </row>
    <row r="4260" spans="1:27" ht="12" customHeight="1" x14ac:dyDescent="0.15">
      <c r="A4260" s="33" t="s">
        <v>20162</v>
      </c>
      <c r="B4260" s="33">
        <v>25</v>
      </c>
      <c r="C4260" s="33" t="s">
        <v>14</v>
      </c>
      <c r="D4260" s="33" t="s">
        <v>31</v>
      </c>
      <c r="F4260" s="67">
        <v>42418</v>
      </c>
      <c r="G4260" s="33" t="s">
        <v>20163</v>
      </c>
      <c r="H4260" s="33" t="s">
        <v>20164</v>
      </c>
      <c r="I4260" s="33" t="s">
        <v>160</v>
      </c>
      <c r="J4260" s="33" t="s">
        <v>20165</v>
      </c>
      <c r="K4260" s="33" t="s">
        <v>404</v>
      </c>
      <c r="L4260" s="33" t="s">
        <v>20166</v>
      </c>
      <c r="M4260" s="33" t="s">
        <v>4966</v>
      </c>
      <c r="N4260" s="33" t="s">
        <v>20167</v>
      </c>
      <c r="O4260" s="33" t="s">
        <v>372</v>
      </c>
      <c r="P4260" s="33" t="s">
        <v>30089</v>
      </c>
      <c r="Q4260" s="40" t="s">
        <v>20168</v>
      </c>
      <c r="R4260" s="33" t="s">
        <v>94</v>
      </c>
      <c r="S4260" s="33" t="s">
        <v>29</v>
      </c>
      <c r="T4260" s="33" t="s">
        <v>26575</v>
      </c>
      <c r="U4260" s="33" t="s">
        <v>26570</v>
      </c>
      <c r="V4260" s="33" t="s">
        <v>26573</v>
      </c>
      <c r="W4260" s="33" t="s">
        <v>94</v>
      </c>
      <c r="X4260" s="33">
        <v>1284</v>
      </c>
      <c r="Z4260" s="33" t="s">
        <v>42967</v>
      </c>
      <c r="AA4260" s="33">
        <v>3406</v>
      </c>
    </row>
    <row r="4261" spans="1:27" ht="12" customHeight="1" x14ac:dyDescent="0.15">
      <c r="A4261" s="33" t="s">
        <v>19780</v>
      </c>
      <c r="B4261" s="33">
        <v>30</v>
      </c>
      <c r="C4261" s="33" t="s">
        <v>14</v>
      </c>
      <c r="D4261" s="33" t="s">
        <v>42</v>
      </c>
      <c r="F4261" s="67">
        <v>42418</v>
      </c>
      <c r="G4261" s="33" t="s">
        <v>19781</v>
      </c>
      <c r="H4261" s="33" t="s">
        <v>3383</v>
      </c>
      <c r="I4261" s="33" t="s">
        <v>39</v>
      </c>
      <c r="J4261" s="33" t="s">
        <v>3384</v>
      </c>
      <c r="K4261" s="33" t="s">
        <v>998</v>
      </c>
      <c r="L4261" s="33" t="s">
        <v>3385</v>
      </c>
      <c r="M4261" s="33" t="s">
        <v>21</v>
      </c>
      <c r="N4261" s="33" t="s">
        <v>19782</v>
      </c>
      <c r="O4261" s="33" t="s">
        <v>372</v>
      </c>
      <c r="P4261" s="33" t="s">
        <v>30089</v>
      </c>
      <c r="Q4261" s="40" t="s">
        <v>19783</v>
      </c>
      <c r="R4261" s="33" t="s">
        <v>94</v>
      </c>
      <c r="S4261" s="33" t="s">
        <v>29</v>
      </c>
      <c r="T4261" s="33" t="s">
        <v>26575</v>
      </c>
      <c r="U4261" s="33" t="s">
        <v>26575</v>
      </c>
      <c r="V4261" s="33" t="s">
        <v>26573</v>
      </c>
      <c r="W4261" s="33" t="s">
        <v>94</v>
      </c>
      <c r="X4261" s="33">
        <v>1285</v>
      </c>
      <c r="Z4261" s="33" t="s">
        <v>42966</v>
      </c>
      <c r="AA4261" s="33">
        <v>3404</v>
      </c>
    </row>
    <row r="4262" spans="1:27" ht="12" customHeight="1" x14ac:dyDescent="0.15">
      <c r="A4262" s="33" t="s">
        <v>19942</v>
      </c>
      <c r="B4262" s="33">
        <v>35</v>
      </c>
      <c r="C4262" s="33" t="s">
        <v>14</v>
      </c>
      <c r="D4262" s="33" t="s">
        <v>42</v>
      </c>
      <c r="F4262" s="67">
        <v>42418</v>
      </c>
      <c r="G4262" s="33" t="s">
        <v>19781</v>
      </c>
      <c r="H4262" s="33" t="s">
        <v>3383</v>
      </c>
      <c r="I4262" s="33" t="s">
        <v>39</v>
      </c>
      <c r="J4262" s="33" t="s">
        <v>3384</v>
      </c>
      <c r="K4262" s="33" t="s">
        <v>998</v>
      </c>
      <c r="L4262" s="33" t="s">
        <v>3385</v>
      </c>
      <c r="M4262" s="33" t="s">
        <v>21</v>
      </c>
      <c r="N4262" s="33" t="s">
        <v>19782</v>
      </c>
      <c r="O4262" s="33" t="s">
        <v>372</v>
      </c>
      <c r="P4262" s="33" t="s">
        <v>30089</v>
      </c>
      <c r="Q4262" s="40" t="s">
        <v>19783</v>
      </c>
      <c r="R4262" s="33" t="s">
        <v>94</v>
      </c>
      <c r="S4262" s="33" t="s">
        <v>29</v>
      </c>
      <c r="T4262" s="33" t="s">
        <v>26575</v>
      </c>
      <c r="U4262" s="33" t="s">
        <v>26575</v>
      </c>
      <c r="V4262" s="33" t="s">
        <v>26573</v>
      </c>
      <c r="W4262" s="33" t="s">
        <v>94</v>
      </c>
      <c r="X4262" s="33">
        <v>1286</v>
      </c>
      <c r="Z4262" s="33" t="s">
        <v>42966</v>
      </c>
      <c r="AA4262" s="33">
        <v>3405</v>
      </c>
    </row>
    <row r="4263" spans="1:27" ht="12" customHeight="1" x14ac:dyDescent="0.15">
      <c r="A4263" s="33" t="s">
        <v>19514</v>
      </c>
      <c r="B4263" s="33">
        <v>37</v>
      </c>
      <c r="C4263" s="33" t="s">
        <v>14</v>
      </c>
      <c r="D4263" s="33" t="s">
        <v>79</v>
      </c>
      <c r="F4263" s="67">
        <v>42417</v>
      </c>
      <c r="G4263" s="33" t="s">
        <v>19515</v>
      </c>
      <c r="H4263" s="33" t="s">
        <v>504</v>
      </c>
      <c r="I4263" s="33" t="s">
        <v>63</v>
      </c>
      <c r="J4263" s="33" t="s">
        <v>19516</v>
      </c>
      <c r="K4263" s="33" t="s">
        <v>505</v>
      </c>
      <c r="L4263" s="33" t="s">
        <v>506</v>
      </c>
      <c r="M4263" s="33" t="s">
        <v>21</v>
      </c>
      <c r="N4263" s="33" t="s">
        <v>19517</v>
      </c>
      <c r="O4263" s="33" t="s">
        <v>372</v>
      </c>
      <c r="P4263" s="33" t="s">
        <v>30089</v>
      </c>
      <c r="Q4263" s="40" t="s">
        <v>19518</v>
      </c>
      <c r="R4263" s="33" t="s">
        <v>94</v>
      </c>
      <c r="S4263" s="33" t="s">
        <v>12</v>
      </c>
      <c r="T4263" s="33" t="s">
        <v>29425</v>
      </c>
      <c r="U4263" s="33" t="s">
        <v>26570</v>
      </c>
      <c r="V4263" s="33" t="s">
        <v>19228</v>
      </c>
      <c r="W4263" s="33" t="s">
        <v>94</v>
      </c>
      <c r="X4263" s="33">
        <v>1281</v>
      </c>
      <c r="Z4263" s="33" t="s">
        <v>42968</v>
      </c>
      <c r="AA4263" s="33">
        <v>3402</v>
      </c>
    </row>
    <row r="4264" spans="1:27" ht="12" customHeight="1" x14ac:dyDescent="0.15">
      <c r="A4264" s="33" t="s">
        <v>19991</v>
      </c>
      <c r="B4264" s="33">
        <v>30</v>
      </c>
      <c r="C4264" s="33" t="s">
        <v>14</v>
      </c>
      <c r="D4264" s="33" t="s">
        <v>31</v>
      </c>
      <c r="F4264" s="67">
        <v>42416</v>
      </c>
      <c r="G4264" s="33" t="s">
        <v>19992</v>
      </c>
      <c r="H4264" s="33" t="s">
        <v>19993</v>
      </c>
      <c r="I4264" s="33" t="s">
        <v>918</v>
      </c>
      <c r="J4264" s="33" t="s">
        <v>19994</v>
      </c>
      <c r="K4264" s="33" t="s">
        <v>1736</v>
      </c>
      <c r="L4264" s="33" t="s">
        <v>19995</v>
      </c>
      <c r="M4264" s="33" t="s">
        <v>21</v>
      </c>
      <c r="N4264" s="33" t="s">
        <v>19996</v>
      </c>
      <c r="O4264" s="33" t="s">
        <v>372</v>
      </c>
      <c r="P4264" s="33" t="s">
        <v>30089</v>
      </c>
      <c r="Q4264" s="40" t="s">
        <v>19997</v>
      </c>
      <c r="R4264" s="33" t="s">
        <v>94</v>
      </c>
      <c r="S4264" s="33" t="s">
        <v>22</v>
      </c>
      <c r="T4264" s="33" t="s">
        <v>26781</v>
      </c>
      <c r="U4264" s="33" t="s">
        <v>26570</v>
      </c>
      <c r="V4264" s="33" t="s">
        <v>26574</v>
      </c>
      <c r="W4264" s="33" t="s">
        <v>94</v>
      </c>
      <c r="X4264" s="33">
        <v>1279</v>
      </c>
      <c r="Z4264" s="33" t="s">
        <v>42967</v>
      </c>
      <c r="AA4264" s="33">
        <v>3399</v>
      </c>
    </row>
    <row r="4265" spans="1:27" ht="12" customHeight="1" x14ac:dyDescent="0.15">
      <c r="A4265" s="33" t="s">
        <v>20691</v>
      </c>
      <c r="B4265" s="33">
        <v>48</v>
      </c>
      <c r="C4265" s="33" t="s">
        <v>14</v>
      </c>
      <c r="D4265" s="33" t="s">
        <v>31</v>
      </c>
      <c r="F4265" s="67">
        <v>42416</v>
      </c>
      <c r="G4265" s="33" t="s">
        <v>20692</v>
      </c>
      <c r="H4265" s="33" t="s">
        <v>20693</v>
      </c>
      <c r="I4265" s="33" t="s">
        <v>402</v>
      </c>
      <c r="J4265" s="33" t="s">
        <v>20694</v>
      </c>
      <c r="K4265" s="33" t="s">
        <v>4549</v>
      </c>
      <c r="L4265" s="33" t="s">
        <v>20695</v>
      </c>
      <c r="M4265" s="33" t="s">
        <v>21</v>
      </c>
      <c r="N4265" s="33" t="s">
        <v>20696</v>
      </c>
      <c r="O4265" s="33" t="s">
        <v>372</v>
      </c>
      <c r="P4265" s="33" t="s">
        <v>30089</v>
      </c>
      <c r="Q4265" s="40" t="s">
        <v>20697</v>
      </c>
      <c r="R4265" s="33" t="s">
        <v>94</v>
      </c>
      <c r="S4265" s="33" t="s">
        <v>351</v>
      </c>
      <c r="T4265" s="33" t="s">
        <v>26867</v>
      </c>
      <c r="U4265" s="33" t="s">
        <v>26572</v>
      </c>
      <c r="V4265" s="33" t="s">
        <v>26571</v>
      </c>
      <c r="W4265" s="33" t="s">
        <v>94</v>
      </c>
      <c r="X4265" s="33">
        <v>1278</v>
      </c>
      <c r="Z4265" s="33" t="s">
        <v>42968</v>
      </c>
      <c r="AA4265" s="33">
        <v>3401</v>
      </c>
    </row>
    <row r="4266" spans="1:27" ht="12" customHeight="1" x14ac:dyDescent="0.15">
      <c r="A4266" s="33" t="s">
        <v>20435</v>
      </c>
      <c r="B4266" s="33">
        <v>51</v>
      </c>
      <c r="C4266" s="33" t="s">
        <v>14</v>
      </c>
      <c r="D4266" s="33" t="s">
        <v>31</v>
      </c>
      <c r="E4266" s="33" t="s">
        <v>20436</v>
      </c>
      <c r="F4266" s="67">
        <v>42416</v>
      </c>
      <c r="G4266" s="33" t="s">
        <v>20437</v>
      </c>
      <c r="H4266" s="33" t="s">
        <v>4499</v>
      </c>
      <c r="I4266" s="33" t="s">
        <v>35</v>
      </c>
      <c r="J4266" s="33" t="s">
        <v>20438</v>
      </c>
      <c r="K4266" s="33" t="s">
        <v>4499</v>
      </c>
      <c r="L4266" s="33" t="s">
        <v>4501</v>
      </c>
      <c r="M4266" s="33" t="s">
        <v>21</v>
      </c>
      <c r="N4266" s="33" t="s">
        <v>21029</v>
      </c>
      <c r="O4266" s="33" t="s">
        <v>372</v>
      </c>
      <c r="P4266" s="33" t="s">
        <v>30089</v>
      </c>
      <c r="Q4266" s="40" t="s">
        <v>20439</v>
      </c>
      <c r="R4266" s="33" t="s">
        <v>512</v>
      </c>
      <c r="S4266" s="33" t="s">
        <v>22</v>
      </c>
      <c r="T4266" s="33" t="s">
        <v>26774</v>
      </c>
      <c r="U4266" s="33" t="s">
        <v>26570</v>
      </c>
      <c r="V4266" s="33" t="s">
        <v>26573</v>
      </c>
      <c r="W4266" s="33" t="s">
        <v>94</v>
      </c>
      <c r="X4266" s="33">
        <v>1275</v>
      </c>
      <c r="Z4266" s="33" t="s">
        <v>42968</v>
      </c>
      <c r="AA4266" s="33">
        <v>3400</v>
      </c>
    </row>
    <row r="4267" spans="1:27" ht="12" customHeight="1" x14ac:dyDescent="0.15">
      <c r="A4267" s="33" t="s">
        <v>19735</v>
      </c>
      <c r="B4267" s="33">
        <v>52</v>
      </c>
      <c r="C4267" s="33" t="s">
        <v>14</v>
      </c>
      <c r="D4267" s="33" t="s">
        <v>42</v>
      </c>
      <c r="F4267" s="67">
        <v>42415</v>
      </c>
      <c r="G4267" s="33" t="s">
        <v>19736</v>
      </c>
      <c r="H4267" s="33" t="s">
        <v>19737</v>
      </c>
      <c r="I4267" s="33" t="s">
        <v>178</v>
      </c>
      <c r="J4267" s="33" t="s">
        <v>19738</v>
      </c>
      <c r="K4267" s="33" t="s">
        <v>731</v>
      </c>
      <c r="L4267" s="33" t="s">
        <v>19739</v>
      </c>
      <c r="M4267" s="33" t="s">
        <v>21</v>
      </c>
      <c r="N4267" s="33" t="s">
        <v>19740</v>
      </c>
      <c r="O4267" s="33" t="s">
        <v>372</v>
      </c>
      <c r="P4267" s="33" t="s">
        <v>30089</v>
      </c>
      <c r="Q4267" s="40" t="s">
        <v>19741</v>
      </c>
      <c r="R4267" s="33" t="s">
        <v>94</v>
      </c>
      <c r="S4267" s="33" t="s">
        <v>22</v>
      </c>
      <c r="T4267" s="33" t="s">
        <v>26781</v>
      </c>
      <c r="U4267" s="33" t="s">
        <v>26572</v>
      </c>
      <c r="V4267" s="33" t="s">
        <v>26573</v>
      </c>
      <c r="W4267" s="33" t="s">
        <v>94</v>
      </c>
      <c r="X4267" s="33">
        <v>1282</v>
      </c>
      <c r="Z4267" s="33" t="s">
        <v>42967</v>
      </c>
      <c r="AA4267" s="33">
        <v>3396</v>
      </c>
    </row>
    <row r="4268" spans="1:27" ht="12" customHeight="1" x14ac:dyDescent="0.15">
      <c r="A4268" s="33" t="s">
        <v>20632</v>
      </c>
      <c r="B4268" s="33">
        <v>39</v>
      </c>
      <c r="C4268" s="33" t="s">
        <v>14</v>
      </c>
      <c r="D4268" s="33" t="s">
        <v>31</v>
      </c>
      <c r="E4268" s="33" t="s">
        <v>20633</v>
      </c>
      <c r="F4268" s="67">
        <v>42415</v>
      </c>
      <c r="G4268" s="33" t="s">
        <v>20634</v>
      </c>
      <c r="H4268" s="33" t="s">
        <v>20635</v>
      </c>
      <c r="I4268" s="33" t="s">
        <v>39</v>
      </c>
      <c r="J4268" s="33" t="s">
        <v>20636</v>
      </c>
      <c r="K4268" s="33" t="s">
        <v>998</v>
      </c>
      <c r="L4268" s="33" t="s">
        <v>2204</v>
      </c>
      <c r="M4268" s="33" t="s">
        <v>21</v>
      </c>
      <c r="N4268" s="33" t="s">
        <v>20637</v>
      </c>
      <c r="O4268" s="33" t="s">
        <v>372</v>
      </c>
      <c r="P4268" s="33" t="s">
        <v>30089</v>
      </c>
      <c r="Q4268" s="40" t="s">
        <v>20638</v>
      </c>
      <c r="R4268" s="33" t="s">
        <v>94</v>
      </c>
      <c r="S4268" s="33" t="s">
        <v>29</v>
      </c>
      <c r="T4268" s="33" t="s">
        <v>26575</v>
      </c>
      <c r="U4268" s="33" t="s">
        <v>26575</v>
      </c>
      <c r="V4268" s="33" t="s">
        <v>26573</v>
      </c>
      <c r="W4268" s="33" t="s">
        <v>94</v>
      </c>
      <c r="X4268" s="33">
        <v>1274</v>
      </c>
      <c r="Z4268" s="33" t="s">
        <v>42968</v>
      </c>
      <c r="AA4268" s="33">
        <v>3398</v>
      </c>
    </row>
    <row r="4269" spans="1:27" ht="12" customHeight="1" x14ac:dyDescent="0.15">
      <c r="A4269" s="33" t="s">
        <v>21345</v>
      </c>
      <c r="B4269" s="33">
        <v>38</v>
      </c>
      <c r="C4269" s="33" t="s">
        <v>14</v>
      </c>
      <c r="D4269" s="33" t="s">
        <v>42</v>
      </c>
      <c r="E4269" s="33" t="s">
        <v>21394</v>
      </c>
      <c r="F4269" s="67">
        <v>42415</v>
      </c>
      <c r="G4269" s="33" t="s">
        <v>21398</v>
      </c>
      <c r="H4269" s="33" t="s">
        <v>21397</v>
      </c>
      <c r="I4269" s="33" t="s">
        <v>67</v>
      </c>
      <c r="J4269" s="33">
        <v>78537</v>
      </c>
      <c r="K4269" s="33" t="s">
        <v>1304</v>
      </c>
      <c r="L4269" s="33" t="s">
        <v>21396</v>
      </c>
      <c r="M4269" s="33" t="s">
        <v>363</v>
      </c>
      <c r="N4269" s="33" t="s">
        <v>36724</v>
      </c>
      <c r="O4269" s="33" t="s">
        <v>372</v>
      </c>
      <c r="P4269" s="33" t="s">
        <v>30089</v>
      </c>
      <c r="Q4269" s="40" t="s">
        <v>21395</v>
      </c>
      <c r="R4269" s="33" t="s">
        <v>904</v>
      </c>
      <c r="S4269" s="33" t="s">
        <v>12</v>
      </c>
      <c r="T4269" s="33" t="s">
        <v>29705</v>
      </c>
      <c r="U4269" s="33" t="s">
        <v>26575</v>
      </c>
      <c r="V4269" s="33" t="s">
        <v>26573</v>
      </c>
      <c r="Z4269" s="33" t="s">
        <v>42968</v>
      </c>
      <c r="AA4269" s="33">
        <v>3397</v>
      </c>
    </row>
    <row r="4270" spans="1:27" ht="12" customHeight="1" x14ac:dyDescent="0.15">
      <c r="A4270" s="33" t="s">
        <v>20097</v>
      </c>
      <c r="B4270" s="33">
        <v>26</v>
      </c>
      <c r="C4270" s="33" t="s">
        <v>14</v>
      </c>
      <c r="D4270" s="33" t="s">
        <v>31</v>
      </c>
      <c r="F4270" s="67">
        <v>42414</v>
      </c>
      <c r="G4270" s="33" t="s">
        <v>20098</v>
      </c>
      <c r="H4270" s="33" t="s">
        <v>92</v>
      </c>
      <c r="I4270" s="33" t="s">
        <v>39</v>
      </c>
      <c r="J4270" s="33" t="s">
        <v>17847</v>
      </c>
      <c r="K4270" s="33" t="s">
        <v>92</v>
      </c>
      <c r="L4270" s="33" t="s">
        <v>93</v>
      </c>
      <c r="M4270" s="33" t="s">
        <v>21</v>
      </c>
      <c r="N4270" s="33" t="s">
        <v>21025</v>
      </c>
      <c r="O4270" s="33" t="s">
        <v>372</v>
      </c>
      <c r="P4270" s="33" t="s">
        <v>30089</v>
      </c>
      <c r="Q4270" s="40" t="s">
        <v>20099</v>
      </c>
      <c r="R4270" s="33" t="s">
        <v>94</v>
      </c>
      <c r="S4270" s="33" t="s">
        <v>22</v>
      </c>
      <c r="T4270" s="33" t="s">
        <v>26774</v>
      </c>
      <c r="U4270" s="33" t="s">
        <v>26570</v>
      </c>
      <c r="V4270" s="33" t="s">
        <v>26573</v>
      </c>
      <c r="W4270" s="33" t="s">
        <v>94</v>
      </c>
      <c r="X4270" s="33">
        <v>1280</v>
      </c>
      <c r="Z4270" s="33" t="s">
        <v>42966</v>
      </c>
      <c r="AA4270" s="33">
        <v>3395</v>
      </c>
    </row>
    <row r="4271" spans="1:27" ht="12" customHeight="1" x14ac:dyDescent="0.15">
      <c r="A4271" s="33" t="s">
        <v>20106</v>
      </c>
      <c r="B4271" s="33">
        <v>50</v>
      </c>
      <c r="C4271" s="33" t="s">
        <v>14</v>
      </c>
      <c r="D4271" s="33" t="s">
        <v>31</v>
      </c>
      <c r="F4271" s="67">
        <v>42414</v>
      </c>
      <c r="G4271" s="33" t="s">
        <v>20107</v>
      </c>
      <c r="H4271" s="33" t="s">
        <v>3277</v>
      </c>
      <c r="I4271" s="33" t="s">
        <v>56</v>
      </c>
      <c r="J4271" s="33" t="s">
        <v>6893</v>
      </c>
      <c r="K4271" s="33" t="s">
        <v>3279</v>
      </c>
      <c r="L4271" s="33" t="s">
        <v>3280</v>
      </c>
      <c r="M4271" s="33" t="s">
        <v>21</v>
      </c>
      <c r="N4271" s="33" t="s">
        <v>20108</v>
      </c>
      <c r="O4271" s="33" t="s">
        <v>372</v>
      </c>
      <c r="P4271" s="33" t="s">
        <v>30089</v>
      </c>
      <c r="Q4271" s="40" t="s">
        <v>20109</v>
      </c>
      <c r="R4271" s="33" t="s">
        <v>512</v>
      </c>
      <c r="S4271" s="33" t="s">
        <v>22</v>
      </c>
      <c r="T4271" s="33" t="s">
        <v>26774</v>
      </c>
      <c r="U4271" s="33" t="s">
        <v>26570</v>
      </c>
      <c r="V4271" s="33" t="s">
        <v>26573</v>
      </c>
      <c r="W4271" s="33" t="s">
        <v>94</v>
      </c>
      <c r="X4271" s="33">
        <v>1269</v>
      </c>
      <c r="Z4271" s="33" t="s">
        <v>42968</v>
      </c>
      <c r="AA4271" s="33">
        <v>3394</v>
      </c>
    </row>
    <row r="4272" spans="1:27" ht="12" customHeight="1" x14ac:dyDescent="0.15">
      <c r="A4272" s="33" t="s">
        <v>9821</v>
      </c>
      <c r="B4272" s="33">
        <v>29</v>
      </c>
      <c r="C4272" s="33" t="s">
        <v>14</v>
      </c>
      <c r="D4272" s="33" t="s">
        <v>42</v>
      </c>
      <c r="F4272" s="67">
        <v>42414</v>
      </c>
      <c r="G4272" s="33" t="s">
        <v>19610</v>
      </c>
      <c r="H4272" s="33" t="s">
        <v>5494</v>
      </c>
      <c r="I4272" s="33" t="s">
        <v>39</v>
      </c>
      <c r="J4272" s="33" t="s">
        <v>5495</v>
      </c>
      <c r="K4272" s="33" t="s">
        <v>92</v>
      </c>
      <c r="L4272" s="33" t="s">
        <v>386</v>
      </c>
      <c r="M4272" s="33" t="s">
        <v>21</v>
      </c>
      <c r="N4272" s="33" t="s">
        <v>19611</v>
      </c>
      <c r="O4272" s="33" t="s">
        <v>372</v>
      </c>
      <c r="P4272" s="33" t="s">
        <v>30089</v>
      </c>
      <c r="Q4272" s="40" t="s">
        <v>19612</v>
      </c>
      <c r="R4272" s="33" t="s">
        <v>94</v>
      </c>
      <c r="S4272" s="33" t="s">
        <v>22</v>
      </c>
      <c r="T4272" s="33" t="s">
        <v>26781</v>
      </c>
      <c r="U4272" s="33" t="s">
        <v>26570</v>
      </c>
      <c r="V4272" s="33" t="s">
        <v>26573</v>
      </c>
      <c r="W4272" s="33" t="s">
        <v>94</v>
      </c>
      <c r="X4272" s="33">
        <v>1271</v>
      </c>
      <c r="Z4272" s="33" t="s">
        <v>42966</v>
      </c>
      <c r="AA4272" s="33">
        <v>3393</v>
      </c>
    </row>
    <row r="4273" spans="1:27" ht="12" customHeight="1" x14ac:dyDescent="0.15">
      <c r="A4273" s="33" t="s">
        <v>19345</v>
      </c>
      <c r="B4273" s="33">
        <v>29</v>
      </c>
      <c r="C4273" s="33" t="s">
        <v>14</v>
      </c>
      <c r="D4273" s="33" t="s">
        <v>79</v>
      </c>
      <c r="E4273" s="33" t="s">
        <v>19346</v>
      </c>
      <c r="F4273" s="67">
        <v>42413</v>
      </c>
      <c r="G4273" s="33" t="s">
        <v>19347</v>
      </c>
      <c r="H4273" s="33" t="s">
        <v>19348</v>
      </c>
      <c r="I4273" s="33" t="s">
        <v>342</v>
      </c>
      <c r="J4273" s="33" t="s">
        <v>1735</v>
      </c>
      <c r="K4273" s="33" t="s">
        <v>1736</v>
      </c>
      <c r="L4273" s="33" t="s">
        <v>19349</v>
      </c>
      <c r="M4273" s="33" t="s">
        <v>4966</v>
      </c>
      <c r="N4273" s="33" t="s">
        <v>20862</v>
      </c>
      <c r="O4273" s="33" t="s">
        <v>372</v>
      </c>
      <c r="P4273" s="33" t="s">
        <v>30089</v>
      </c>
      <c r="Q4273" s="40" t="s">
        <v>19350</v>
      </c>
      <c r="R4273" s="33" t="s">
        <v>94</v>
      </c>
      <c r="S4273" s="33" t="s">
        <v>22</v>
      </c>
      <c r="T4273" s="33" t="s">
        <v>26781</v>
      </c>
      <c r="U4273" s="33" t="s">
        <v>26572</v>
      </c>
      <c r="V4273" s="33" t="s">
        <v>26573</v>
      </c>
      <c r="W4273" s="33" t="s">
        <v>512</v>
      </c>
      <c r="X4273" s="33">
        <v>1268</v>
      </c>
      <c r="Z4273" s="33" t="s">
        <v>42968</v>
      </c>
      <c r="AA4273" s="33">
        <v>3390</v>
      </c>
    </row>
    <row r="4274" spans="1:27" ht="12" customHeight="1" x14ac:dyDescent="0.15">
      <c r="A4274" s="33" t="s">
        <v>19492</v>
      </c>
      <c r="B4274" s="33">
        <v>24</v>
      </c>
      <c r="C4274" s="33" t="s">
        <v>14</v>
      </c>
      <c r="D4274" s="33" t="s">
        <v>79</v>
      </c>
      <c r="F4274" s="67">
        <v>42413</v>
      </c>
      <c r="G4274" s="33" t="s">
        <v>19493</v>
      </c>
      <c r="H4274" s="33" t="s">
        <v>19494</v>
      </c>
      <c r="I4274" s="33" t="s">
        <v>67</v>
      </c>
      <c r="J4274" s="33" t="s">
        <v>19495</v>
      </c>
      <c r="K4274" s="33" t="s">
        <v>19496</v>
      </c>
      <c r="L4274" s="33" t="s">
        <v>262</v>
      </c>
      <c r="M4274" s="33" t="s">
        <v>21</v>
      </c>
      <c r="N4274" s="33" t="s">
        <v>19497</v>
      </c>
      <c r="O4274" s="33" t="s">
        <v>372</v>
      </c>
      <c r="P4274" s="33" t="s">
        <v>30089</v>
      </c>
      <c r="Q4274" s="40" t="s">
        <v>19498</v>
      </c>
      <c r="R4274" s="33" t="s">
        <v>94</v>
      </c>
      <c r="S4274" s="33" t="s">
        <v>12</v>
      </c>
      <c r="T4274" s="33" t="s">
        <v>29705</v>
      </c>
      <c r="U4274" s="33" t="s">
        <v>26570</v>
      </c>
      <c r="V4274" s="33" t="s">
        <v>19228</v>
      </c>
      <c r="W4274" s="33" t="s">
        <v>94</v>
      </c>
      <c r="X4274" s="33">
        <v>1270</v>
      </c>
      <c r="Z4274" s="33" t="s">
        <v>42967</v>
      </c>
      <c r="AA4274" s="33">
        <v>3391</v>
      </c>
    </row>
    <row r="4275" spans="1:27" ht="12" customHeight="1" x14ac:dyDescent="0.15">
      <c r="A4275" s="33" t="s">
        <v>19369</v>
      </c>
      <c r="B4275" s="33">
        <v>22</v>
      </c>
      <c r="C4275" s="33" t="s">
        <v>14</v>
      </c>
      <c r="D4275" s="33" t="s">
        <v>79</v>
      </c>
      <c r="E4275" s="33" t="s">
        <v>19370</v>
      </c>
      <c r="F4275" s="67">
        <v>42413</v>
      </c>
      <c r="G4275" s="33" t="s">
        <v>19371</v>
      </c>
      <c r="H4275" s="33" t="s">
        <v>172</v>
      </c>
      <c r="I4275" s="33" t="s">
        <v>19</v>
      </c>
      <c r="J4275" s="33" t="s">
        <v>13661</v>
      </c>
      <c r="K4275" s="33" t="s">
        <v>3435</v>
      </c>
      <c r="L4275" s="33" t="s">
        <v>1573</v>
      </c>
      <c r="M4275" s="33" t="s">
        <v>21</v>
      </c>
      <c r="N4275" s="33" t="s">
        <v>19372</v>
      </c>
      <c r="O4275" s="33" t="s">
        <v>372</v>
      </c>
      <c r="P4275" s="33" t="s">
        <v>30089</v>
      </c>
      <c r="Q4275" s="40" t="s">
        <v>19373</v>
      </c>
      <c r="R4275" s="33" t="s">
        <v>512</v>
      </c>
      <c r="S4275" s="33" t="s">
        <v>22</v>
      </c>
      <c r="T4275" s="33" t="s">
        <v>26781</v>
      </c>
      <c r="U4275" s="33" t="s">
        <v>26572</v>
      </c>
      <c r="V4275" s="33" t="s">
        <v>26571</v>
      </c>
      <c r="W4275" s="33" t="s">
        <v>512</v>
      </c>
      <c r="X4275" s="33">
        <v>1266</v>
      </c>
      <c r="Z4275" s="33" t="s">
        <v>42968</v>
      </c>
      <c r="AA4275" s="33">
        <v>3389</v>
      </c>
    </row>
    <row r="4276" spans="1:27" ht="12" customHeight="1" x14ac:dyDescent="0.15">
      <c r="A4276" s="33" t="s">
        <v>19555</v>
      </c>
      <c r="B4276" s="33">
        <v>19</v>
      </c>
      <c r="C4276" s="33" t="s">
        <v>14</v>
      </c>
      <c r="D4276" s="33" t="s">
        <v>79</v>
      </c>
      <c r="E4276" s="33" t="s">
        <v>19556</v>
      </c>
      <c r="F4276" s="67">
        <v>42413</v>
      </c>
      <c r="G4276" s="33" t="s">
        <v>19557</v>
      </c>
      <c r="H4276" s="33" t="s">
        <v>19558</v>
      </c>
      <c r="I4276" s="33" t="s">
        <v>225</v>
      </c>
      <c r="J4276" s="33" t="s">
        <v>19559</v>
      </c>
      <c r="K4276" s="33" t="s">
        <v>19560</v>
      </c>
      <c r="L4276" s="33" t="s">
        <v>19561</v>
      </c>
      <c r="M4276" s="33" t="s">
        <v>21</v>
      </c>
      <c r="N4276" s="33" t="s">
        <v>19562</v>
      </c>
      <c r="O4276" s="33" t="s">
        <v>372</v>
      </c>
      <c r="P4276" s="33" t="s">
        <v>30089</v>
      </c>
      <c r="Q4276" s="40" t="s">
        <v>19563</v>
      </c>
      <c r="R4276" s="33" t="s">
        <v>94</v>
      </c>
      <c r="S4276" s="33" t="s">
        <v>12</v>
      </c>
      <c r="T4276" s="33" t="s">
        <v>29705</v>
      </c>
      <c r="U4276" s="33" t="s">
        <v>26572</v>
      </c>
      <c r="V4276" s="33" t="s">
        <v>26573</v>
      </c>
      <c r="W4276" s="33" t="s">
        <v>94</v>
      </c>
      <c r="X4276" s="33">
        <v>1272</v>
      </c>
      <c r="Z4276" s="33" t="s">
        <v>42967</v>
      </c>
      <c r="AA4276" s="33">
        <v>3392</v>
      </c>
    </row>
    <row r="4277" spans="1:27" ht="12" customHeight="1" x14ac:dyDescent="0.15">
      <c r="A4277" s="33" t="s">
        <v>21346</v>
      </c>
      <c r="B4277" s="33">
        <v>32</v>
      </c>
      <c r="C4277" s="33" t="s">
        <v>14</v>
      </c>
      <c r="D4277" s="33" t="s">
        <v>79</v>
      </c>
      <c r="F4277" s="67">
        <v>42412</v>
      </c>
      <c r="G4277" s="33" t="s">
        <v>21399</v>
      </c>
      <c r="H4277" s="33" t="s">
        <v>21400</v>
      </c>
      <c r="I4277" s="33" t="s">
        <v>160</v>
      </c>
      <c r="J4277" s="33">
        <v>30337</v>
      </c>
      <c r="K4277" s="33" t="s">
        <v>1454</v>
      </c>
      <c r="L4277" s="33" t="s">
        <v>7483</v>
      </c>
      <c r="M4277" s="33" t="s">
        <v>351</v>
      </c>
      <c r="N4277" s="54" t="s">
        <v>36725</v>
      </c>
      <c r="O4277" s="33" t="s">
        <v>372</v>
      </c>
      <c r="P4277" s="33" t="s">
        <v>30089</v>
      </c>
      <c r="Q4277" s="40" t="s">
        <v>21401</v>
      </c>
      <c r="R4277" s="33" t="s">
        <v>94</v>
      </c>
      <c r="S4277" s="33" t="s">
        <v>351</v>
      </c>
      <c r="T4277" s="33" t="s">
        <v>26867</v>
      </c>
      <c r="U4277" s="33" t="s">
        <v>26570</v>
      </c>
      <c r="V4277" s="33" t="s">
        <v>26571</v>
      </c>
      <c r="Z4277" s="33" t="s">
        <v>42968</v>
      </c>
      <c r="AA4277" s="33">
        <v>3388</v>
      </c>
    </row>
    <row r="4278" spans="1:27" ht="12" customHeight="1" x14ac:dyDescent="0.15">
      <c r="A4278" s="33" t="s">
        <v>20385</v>
      </c>
      <c r="B4278" s="33">
        <v>53</v>
      </c>
      <c r="C4278" s="33" t="s">
        <v>14</v>
      </c>
      <c r="D4278" s="33" t="s">
        <v>31</v>
      </c>
      <c r="E4278" s="33" t="s">
        <v>20386</v>
      </c>
      <c r="F4278" s="67">
        <v>42412</v>
      </c>
      <c r="G4278" s="33" t="s">
        <v>20387</v>
      </c>
      <c r="H4278" s="33" t="s">
        <v>870</v>
      </c>
      <c r="I4278" s="33" t="s">
        <v>67</v>
      </c>
      <c r="J4278" s="33" t="s">
        <v>11703</v>
      </c>
      <c r="K4278" s="33" t="s">
        <v>68</v>
      </c>
      <c r="L4278" s="33" t="s">
        <v>5161</v>
      </c>
      <c r="M4278" s="33" t="s">
        <v>21</v>
      </c>
      <c r="N4278" s="33" t="s">
        <v>20388</v>
      </c>
      <c r="O4278" s="33" t="s">
        <v>372</v>
      </c>
      <c r="P4278" s="33" t="s">
        <v>30089</v>
      </c>
      <c r="Q4278" s="40" t="s">
        <v>20389</v>
      </c>
      <c r="R4278" s="33" t="s">
        <v>94</v>
      </c>
      <c r="S4278" s="33" t="s">
        <v>22</v>
      </c>
      <c r="T4278" s="33" t="s">
        <v>26781</v>
      </c>
      <c r="U4278" s="33" t="s">
        <v>26570</v>
      </c>
      <c r="V4278" s="33" t="s">
        <v>26573</v>
      </c>
      <c r="W4278" s="33" t="s">
        <v>94</v>
      </c>
      <c r="X4278" s="33">
        <v>1273</v>
      </c>
      <c r="Z4278" s="33" t="s">
        <v>42968</v>
      </c>
      <c r="AA4278" s="33">
        <v>3385</v>
      </c>
    </row>
    <row r="4279" spans="1:27" ht="12" customHeight="1" x14ac:dyDescent="0.15">
      <c r="A4279" s="33" t="s">
        <v>19576</v>
      </c>
      <c r="B4279" s="33">
        <v>29</v>
      </c>
      <c r="C4279" s="33" t="s">
        <v>14</v>
      </c>
      <c r="D4279" s="33" t="s">
        <v>79</v>
      </c>
      <c r="F4279" s="67">
        <v>42412</v>
      </c>
      <c r="G4279" s="33" t="s">
        <v>19577</v>
      </c>
      <c r="H4279" s="33" t="s">
        <v>1586</v>
      </c>
      <c r="I4279" s="33" t="s">
        <v>40</v>
      </c>
      <c r="J4279" s="33" t="s">
        <v>2979</v>
      </c>
      <c r="K4279" s="33" t="s">
        <v>1588</v>
      </c>
      <c r="L4279" s="33" t="s">
        <v>2980</v>
      </c>
      <c r="M4279" s="33" t="s">
        <v>21</v>
      </c>
      <c r="N4279" s="33" t="s">
        <v>19578</v>
      </c>
      <c r="O4279" s="33" t="s">
        <v>372</v>
      </c>
      <c r="P4279" s="33" t="s">
        <v>30089</v>
      </c>
      <c r="Q4279" s="40" t="s">
        <v>19579</v>
      </c>
      <c r="R4279" s="33" t="s">
        <v>512</v>
      </c>
      <c r="S4279" s="33" t="s">
        <v>22</v>
      </c>
      <c r="T4279" s="33" t="s">
        <v>26781</v>
      </c>
      <c r="U4279" s="33" t="s">
        <v>26572</v>
      </c>
      <c r="V4279" s="33" t="s">
        <v>26573</v>
      </c>
      <c r="W4279" s="33" t="s">
        <v>94</v>
      </c>
      <c r="X4279" s="33">
        <v>1262</v>
      </c>
      <c r="Z4279" s="33" t="s">
        <v>42966</v>
      </c>
      <c r="AA4279" s="33">
        <v>3384</v>
      </c>
    </row>
    <row r="4280" spans="1:27" ht="12" customHeight="1" x14ac:dyDescent="0.15">
      <c r="A4280" s="33" t="s">
        <v>19421</v>
      </c>
      <c r="B4280" s="33">
        <v>32</v>
      </c>
      <c r="C4280" s="33" t="s">
        <v>103</v>
      </c>
      <c r="D4280" s="33" t="s">
        <v>79</v>
      </c>
      <c r="E4280" s="33" t="s">
        <v>19422</v>
      </c>
      <c r="F4280" s="67">
        <v>42412</v>
      </c>
      <c r="G4280" s="33" t="s">
        <v>19423</v>
      </c>
      <c r="H4280" s="33" t="s">
        <v>4600</v>
      </c>
      <c r="I4280" s="33" t="s">
        <v>395</v>
      </c>
      <c r="J4280" s="33" t="s">
        <v>19424</v>
      </c>
      <c r="K4280" s="33" t="s">
        <v>12104</v>
      </c>
      <c r="L4280" s="33" t="s">
        <v>19425</v>
      </c>
      <c r="M4280" s="33" t="s">
        <v>21</v>
      </c>
      <c r="N4280" s="33" t="s">
        <v>20872</v>
      </c>
      <c r="O4280" s="33" t="s">
        <v>372</v>
      </c>
      <c r="P4280" s="33" t="s">
        <v>30089</v>
      </c>
      <c r="Q4280" s="40" t="s">
        <v>19426</v>
      </c>
      <c r="R4280" s="33" t="s">
        <v>512</v>
      </c>
      <c r="S4280" s="33" t="s">
        <v>22</v>
      </c>
      <c r="T4280" s="33" t="s">
        <v>26781</v>
      </c>
      <c r="U4280" s="33" t="s">
        <v>26570</v>
      </c>
      <c r="V4280" s="33" t="s">
        <v>26573</v>
      </c>
      <c r="W4280" s="33" t="s">
        <v>94</v>
      </c>
      <c r="X4280" s="33">
        <v>1276</v>
      </c>
      <c r="Z4280" s="33" t="s">
        <v>42966</v>
      </c>
      <c r="AA4280" s="33">
        <v>3386</v>
      </c>
    </row>
    <row r="4281" spans="1:27" ht="12" customHeight="1" x14ac:dyDescent="0.15">
      <c r="A4281" s="33" t="s">
        <v>21065</v>
      </c>
      <c r="B4281" s="33">
        <v>24</v>
      </c>
      <c r="C4281" s="33" t="s">
        <v>14</v>
      </c>
      <c r="D4281" s="33" t="s">
        <v>79</v>
      </c>
      <c r="E4281" s="33" t="s">
        <v>21070</v>
      </c>
      <c r="F4281" s="67">
        <v>42412</v>
      </c>
      <c r="G4281" s="33" t="s">
        <v>21068</v>
      </c>
      <c r="H4281" s="33" t="s">
        <v>21069</v>
      </c>
      <c r="I4281" s="33" t="s">
        <v>160</v>
      </c>
      <c r="J4281" s="33">
        <v>30274</v>
      </c>
      <c r="K4281" s="33" t="s">
        <v>1669</v>
      </c>
      <c r="L4281" s="33" t="s">
        <v>21066</v>
      </c>
      <c r="M4281" s="33" t="s">
        <v>21</v>
      </c>
      <c r="N4281" s="33" t="s">
        <v>21067</v>
      </c>
      <c r="O4281" s="33" t="s">
        <v>372</v>
      </c>
      <c r="P4281" s="33" t="s">
        <v>30089</v>
      </c>
      <c r="Q4281" s="40" t="s">
        <v>21071</v>
      </c>
      <c r="R4281" s="33" t="s">
        <v>94</v>
      </c>
      <c r="S4281" s="33" t="s">
        <v>22</v>
      </c>
      <c r="T4281" s="33" t="s">
        <v>26781</v>
      </c>
      <c r="U4281" s="33" t="s">
        <v>26572</v>
      </c>
      <c r="V4281" s="33" t="s">
        <v>26574</v>
      </c>
      <c r="Z4281" s="33" t="s">
        <v>42968</v>
      </c>
      <c r="AA4281" s="33">
        <v>3387</v>
      </c>
    </row>
    <row r="4282" spans="1:27" ht="12" customHeight="1" x14ac:dyDescent="0.15">
      <c r="A4282" s="33" t="s">
        <v>19592</v>
      </c>
      <c r="B4282" s="33">
        <v>30</v>
      </c>
      <c r="C4282" s="33" t="s">
        <v>14</v>
      </c>
      <c r="D4282" s="33" t="s">
        <v>79</v>
      </c>
      <c r="F4282" s="67">
        <v>42411</v>
      </c>
      <c r="G4282" s="33" t="s">
        <v>19593</v>
      </c>
      <c r="H4282" s="33" t="s">
        <v>1202</v>
      </c>
      <c r="I4282" s="33" t="s">
        <v>63</v>
      </c>
      <c r="J4282" s="33" t="s">
        <v>4630</v>
      </c>
      <c r="K4282" s="33" t="s">
        <v>1203</v>
      </c>
      <c r="L4282" s="33" t="s">
        <v>11441</v>
      </c>
      <c r="M4282" s="33" t="s">
        <v>21</v>
      </c>
      <c r="N4282" s="33" t="s">
        <v>21045</v>
      </c>
      <c r="O4282" s="33" t="s">
        <v>372</v>
      </c>
      <c r="P4282" s="33" t="s">
        <v>30089</v>
      </c>
      <c r="Q4282" s="40" t="s">
        <v>19594</v>
      </c>
      <c r="R4282" s="33" t="s">
        <v>23</v>
      </c>
      <c r="S4282" s="33" t="s">
        <v>22</v>
      </c>
      <c r="T4282" s="33" t="s">
        <v>26593</v>
      </c>
      <c r="U4282" s="33" t="s">
        <v>26572</v>
      </c>
      <c r="V4282" s="33" t="s">
        <v>26571</v>
      </c>
      <c r="W4282" s="33" t="s">
        <v>94</v>
      </c>
      <c r="X4282" s="33">
        <v>1263</v>
      </c>
      <c r="Z4282" s="33" t="s">
        <v>42968</v>
      </c>
      <c r="AA4282" s="33">
        <v>3383</v>
      </c>
    </row>
    <row r="4283" spans="1:27" ht="12" customHeight="1" x14ac:dyDescent="0.15">
      <c r="A4283" s="33" t="s">
        <v>20541</v>
      </c>
      <c r="B4283" s="33">
        <v>45</v>
      </c>
      <c r="C4283" s="33" t="s">
        <v>14</v>
      </c>
      <c r="D4283" s="33" t="s">
        <v>31</v>
      </c>
      <c r="F4283" s="67">
        <v>42411</v>
      </c>
      <c r="G4283" s="33" t="s">
        <v>20542</v>
      </c>
      <c r="H4283" s="33" t="s">
        <v>1397</v>
      </c>
      <c r="I4283" s="33" t="s">
        <v>39</v>
      </c>
      <c r="J4283" s="33" t="s">
        <v>8045</v>
      </c>
      <c r="K4283" s="33" t="s">
        <v>92</v>
      </c>
      <c r="L4283" s="33" t="s">
        <v>386</v>
      </c>
      <c r="M4283" s="33" t="s">
        <v>21</v>
      </c>
      <c r="N4283" s="33" t="s">
        <v>20543</v>
      </c>
      <c r="O4283" s="33" t="s">
        <v>372</v>
      </c>
      <c r="P4283" s="33" t="s">
        <v>30089</v>
      </c>
      <c r="Q4283" s="40" t="s">
        <v>20544</v>
      </c>
      <c r="R4283" s="33" t="s">
        <v>94</v>
      </c>
      <c r="S4283" s="33" t="s">
        <v>22</v>
      </c>
      <c r="T4283" s="33" t="s">
        <v>26627</v>
      </c>
      <c r="U4283" s="33" t="s">
        <v>26570</v>
      </c>
      <c r="V4283" s="33" t="s">
        <v>26573</v>
      </c>
      <c r="W4283" s="33" t="s">
        <v>94</v>
      </c>
      <c r="X4283" s="33">
        <v>1261</v>
      </c>
      <c r="Z4283" s="33" t="s">
        <v>42968</v>
      </c>
      <c r="AA4283" s="33">
        <v>3381</v>
      </c>
    </row>
    <row r="4284" spans="1:27" ht="12" customHeight="1" x14ac:dyDescent="0.15">
      <c r="A4284" s="33" t="s">
        <v>20474</v>
      </c>
      <c r="B4284" s="33">
        <v>35</v>
      </c>
      <c r="C4284" s="33" t="s">
        <v>14</v>
      </c>
      <c r="D4284" s="33" t="s">
        <v>31</v>
      </c>
      <c r="E4284" s="33" t="s">
        <v>20475</v>
      </c>
      <c r="F4284" s="67">
        <v>42411</v>
      </c>
      <c r="G4284" s="33" t="s">
        <v>20476</v>
      </c>
      <c r="H4284" s="33" t="s">
        <v>20477</v>
      </c>
      <c r="I4284" s="33" t="s">
        <v>338</v>
      </c>
      <c r="J4284" s="33" t="s">
        <v>20478</v>
      </c>
      <c r="K4284" s="33" t="s">
        <v>8570</v>
      </c>
      <c r="L4284" s="33" t="s">
        <v>20479</v>
      </c>
      <c r="M4284" s="33" t="s">
        <v>21</v>
      </c>
      <c r="N4284" s="33" t="s">
        <v>20480</v>
      </c>
      <c r="O4284" s="33" t="s">
        <v>372</v>
      </c>
      <c r="P4284" s="33" t="s">
        <v>30089</v>
      </c>
      <c r="Q4284" s="40" t="s">
        <v>20481</v>
      </c>
      <c r="R4284" s="33" t="s">
        <v>512</v>
      </c>
      <c r="S4284" s="33" t="s">
        <v>22</v>
      </c>
      <c r="T4284" s="33" t="s">
        <v>26774</v>
      </c>
      <c r="U4284" s="33" t="s">
        <v>26570</v>
      </c>
      <c r="V4284" s="33" t="s">
        <v>26573</v>
      </c>
      <c r="W4284" s="33" t="s">
        <v>94</v>
      </c>
      <c r="X4284" s="33">
        <v>1258</v>
      </c>
      <c r="Z4284" s="33" t="s">
        <v>42968</v>
      </c>
      <c r="AA4284" s="33">
        <v>3382</v>
      </c>
    </row>
    <row r="4285" spans="1:27" ht="12" customHeight="1" x14ac:dyDescent="0.15">
      <c r="A4285" s="33" t="s">
        <v>20038</v>
      </c>
      <c r="B4285" s="33">
        <v>67</v>
      </c>
      <c r="C4285" s="33" t="s">
        <v>14</v>
      </c>
      <c r="D4285" s="33" t="s">
        <v>31</v>
      </c>
      <c r="F4285" s="67">
        <v>42410</v>
      </c>
      <c r="G4285" s="33" t="s">
        <v>20039</v>
      </c>
      <c r="H4285" s="33" t="s">
        <v>20040</v>
      </c>
      <c r="I4285" s="33" t="s">
        <v>46</v>
      </c>
      <c r="J4285" s="33" t="s">
        <v>20041</v>
      </c>
      <c r="K4285" s="33" t="s">
        <v>8833</v>
      </c>
      <c r="L4285" s="33" t="s">
        <v>8834</v>
      </c>
      <c r="M4285" s="33" t="s">
        <v>21</v>
      </c>
      <c r="N4285" s="33" t="s">
        <v>20042</v>
      </c>
      <c r="O4285" s="33" t="s">
        <v>372</v>
      </c>
      <c r="P4285" s="33" t="s">
        <v>30089</v>
      </c>
      <c r="Q4285" s="40" t="s">
        <v>20043</v>
      </c>
      <c r="R4285" s="33" t="s">
        <v>94</v>
      </c>
      <c r="S4285" s="33" t="s">
        <v>22</v>
      </c>
      <c r="T4285" s="33" t="s">
        <v>26781</v>
      </c>
      <c r="U4285" s="33" t="s">
        <v>26572</v>
      </c>
      <c r="V4285" s="33" t="s">
        <v>26573</v>
      </c>
      <c r="W4285" s="33" t="s">
        <v>94</v>
      </c>
      <c r="X4285" s="33">
        <v>1254</v>
      </c>
      <c r="Z4285" s="33" t="s">
        <v>42968</v>
      </c>
      <c r="AA4285" s="33">
        <v>3377</v>
      </c>
    </row>
    <row r="4286" spans="1:27" ht="12" customHeight="1" x14ac:dyDescent="0.15">
      <c r="A4286" s="33" t="s">
        <v>19802</v>
      </c>
      <c r="B4286" s="33">
        <v>36</v>
      </c>
      <c r="C4286" s="33" t="s">
        <v>14</v>
      </c>
      <c r="D4286" s="33" t="s">
        <v>128</v>
      </c>
      <c r="F4286" s="67">
        <v>42410</v>
      </c>
      <c r="G4286" s="33" t="s">
        <v>19803</v>
      </c>
      <c r="H4286" s="33" t="s">
        <v>19804</v>
      </c>
      <c r="I4286" s="33" t="s">
        <v>309</v>
      </c>
      <c r="J4286" s="33" t="s">
        <v>19805</v>
      </c>
      <c r="K4286" s="33" t="s">
        <v>19806</v>
      </c>
      <c r="L4286" s="33" t="s">
        <v>19807</v>
      </c>
      <c r="M4286" s="33" t="s">
        <v>21</v>
      </c>
      <c r="N4286" s="33" t="s">
        <v>20990</v>
      </c>
      <c r="O4286" s="33" t="s">
        <v>372</v>
      </c>
      <c r="P4286" s="33" t="s">
        <v>30089</v>
      </c>
      <c r="Q4286" s="40" t="s">
        <v>19808</v>
      </c>
      <c r="R4286" s="33" t="s">
        <v>23</v>
      </c>
      <c r="S4286" s="33" t="s">
        <v>22</v>
      </c>
      <c r="T4286" s="33" t="s">
        <v>26781</v>
      </c>
      <c r="U4286" s="33" t="s">
        <v>26572</v>
      </c>
      <c r="V4286" s="33" t="s">
        <v>26573</v>
      </c>
      <c r="W4286" s="33" t="s">
        <v>94</v>
      </c>
      <c r="X4286" s="33">
        <v>1255</v>
      </c>
      <c r="Z4286" s="33" t="s">
        <v>42967</v>
      </c>
      <c r="AA4286" s="33">
        <v>3378</v>
      </c>
    </row>
    <row r="4287" spans="1:27" ht="12" customHeight="1" x14ac:dyDescent="0.15">
      <c r="A4287" s="33" t="s">
        <v>20294</v>
      </c>
      <c r="B4287" s="33">
        <v>41</v>
      </c>
      <c r="C4287" s="33" t="s">
        <v>14</v>
      </c>
      <c r="D4287" s="33" t="s">
        <v>31</v>
      </c>
      <c r="E4287" s="33" t="s">
        <v>20295</v>
      </c>
      <c r="F4287" s="67">
        <v>42410</v>
      </c>
      <c r="G4287" s="33" t="s">
        <v>20296</v>
      </c>
      <c r="H4287" s="33" t="s">
        <v>834</v>
      </c>
      <c r="I4287" s="33" t="s">
        <v>294</v>
      </c>
      <c r="J4287" s="33" t="s">
        <v>9796</v>
      </c>
      <c r="K4287" s="33" t="s">
        <v>1659</v>
      </c>
      <c r="L4287" s="33" t="s">
        <v>5161</v>
      </c>
      <c r="M4287" s="33" t="s">
        <v>21</v>
      </c>
      <c r="N4287" s="33" t="s">
        <v>20297</v>
      </c>
      <c r="O4287" s="33" t="s">
        <v>372</v>
      </c>
      <c r="P4287" s="33" t="s">
        <v>30089</v>
      </c>
      <c r="Q4287" s="40" t="s">
        <v>20298</v>
      </c>
      <c r="R4287" s="33" t="s">
        <v>23</v>
      </c>
      <c r="S4287" s="33" t="s">
        <v>22</v>
      </c>
      <c r="T4287" s="33" t="s">
        <v>26781</v>
      </c>
      <c r="U4287" s="33" t="s">
        <v>26572</v>
      </c>
      <c r="V4287" s="33" t="s">
        <v>26573</v>
      </c>
      <c r="W4287" s="33" t="s">
        <v>94</v>
      </c>
      <c r="X4287" s="33">
        <v>1253</v>
      </c>
      <c r="Z4287" s="33" t="s">
        <v>42968</v>
      </c>
      <c r="AA4287" s="33">
        <v>3376</v>
      </c>
    </row>
    <row r="4288" spans="1:27" ht="12" customHeight="1" x14ac:dyDescent="0.15">
      <c r="A4288" s="33" t="s">
        <v>20528</v>
      </c>
      <c r="B4288" s="33">
        <v>52</v>
      </c>
      <c r="C4288" s="33" t="s">
        <v>14</v>
      </c>
      <c r="D4288" s="33" t="s">
        <v>31</v>
      </c>
      <c r="E4288" s="33" t="s">
        <v>20529</v>
      </c>
      <c r="F4288" s="67">
        <v>42410</v>
      </c>
      <c r="G4288" s="33" t="s">
        <v>20530</v>
      </c>
      <c r="H4288" s="33" t="s">
        <v>20531</v>
      </c>
      <c r="I4288" s="33" t="s">
        <v>122</v>
      </c>
      <c r="J4288" s="33" t="s">
        <v>20532</v>
      </c>
      <c r="K4288" s="33" t="s">
        <v>3291</v>
      </c>
      <c r="L4288" s="33" t="s">
        <v>20533</v>
      </c>
      <c r="M4288" s="33" t="s">
        <v>21</v>
      </c>
      <c r="N4288" s="33" t="s">
        <v>20534</v>
      </c>
      <c r="O4288" s="33" t="s">
        <v>950</v>
      </c>
      <c r="P4288" s="33" t="s">
        <v>30089</v>
      </c>
      <c r="Q4288" s="40" t="s">
        <v>20535</v>
      </c>
      <c r="R4288" s="33" t="s">
        <v>512</v>
      </c>
      <c r="S4288" s="33" t="s">
        <v>22</v>
      </c>
      <c r="T4288" s="33" t="s">
        <v>26774</v>
      </c>
      <c r="U4288" s="33" t="s">
        <v>26572</v>
      </c>
      <c r="V4288" s="33" t="s">
        <v>26573</v>
      </c>
      <c r="W4288" s="33" t="s">
        <v>512</v>
      </c>
      <c r="X4288" s="33">
        <v>1257</v>
      </c>
      <c r="Z4288" s="33" t="s">
        <v>42968</v>
      </c>
      <c r="AA4288" s="33">
        <v>3380</v>
      </c>
    </row>
    <row r="4289" spans="1:27" ht="12" customHeight="1" x14ac:dyDescent="0.15">
      <c r="A4289" s="33" t="s">
        <v>19898</v>
      </c>
      <c r="B4289" s="33">
        <v>56</v>
      </c>
      <c r="C4289" s="33" t="s">
        <v>14</v>
      </c>
      <c r="D4289" s="33" t="s">
        <v>24</v>
      </c>
      <c r="F4289" s="67">
        <v>42410</v>
      </c>
      <c r="G4289" s="33" t="s">
        <v>19899</v>
      </c>
      <c r="H4289" s="33" t="s">
        <v>19900</v>
      </c>
      <c r="I4289" s="33" t="s">
        <v>67</v>
      </c>
      <c r="J4289" s="33" t="s">
        <v>19901</v>
      </c>
      <c r="K4289" s="33" t="s">
        <v>1194</v>
      </c>
      <c r="L4289" s="33" t="s">
        <v>36726</v>
      </c>
      <c r="M4289" s="33" t="s">
        <v>21</v>
      </c>
      <c r="N4289" s="33" t="s">
        <v>19902</v>
      </c>
      <c r="O4289" s="33" t="s">
        <v>372</v>
      </c>
      <c r="P4289" s="33" t="s">
        <v>30089</v>
      </c>
      <c r="Q4289" s="40" t="s">
        <v>19903</v>
      </c>
      <c r="R4289" s="33" t="s">
        <v>512</v>
      </c>
      <c r="S4289" s="33" t="s">
        <v>22</v>
      </c>
      <c r="T4289" s="33" t="s">
        <v>26781</v>
      </c>
      <c r="U4289" s="33" t="s">
        <v>26572</v>
      </c>
      <c r="V4289" s="33" t="s">
        <v>26573</v>
      </c>
      <c r="W4289" s="33" t="s">
        <v>94</v>
      </c>
      <c r="X4289" s="33">
        <v>1260</v>
      </c>
      <c r="Z4289" s="33" t="s">
        <v>42967</v>
      </c>
      <c r="AA4289" s="33">
        <v>3379</v>
      </c>
    </row>
    <row r="4290" spans="1:27" ht="12" customHeight="1" x14ac:dyDescent="0.15">
      <c r="A4290" s="33" t="s">
        <v>19690</v>
      </c>
      <c r="B4290" s="33">
        <v>22</v>
      </c>
      <c r="C4290" s="33" t="s">
        <v>14</v>
      </c>
      <c r="D4290" s="33" t="s">
        <v>42</v>
      </c>
      <c r="F4290" s="67">
        <v>42409</v>
      </c>
      <c r="G4290" s="33" t="s">
        <v>19691</v>
      </c>
      <c r="H4290" s="33" t="s">
        <v>1751</v>
      </c>
      <c r="I4290" s="33" t="s">
        <v>39</v>
      </c>
      <c r="J4290" s="33" t="s">
        <v>1752</v>
      </c>
      <c r="K4290" s="33" t="s">
        <v>998</v>
      </c>
      <c r="L4290" s="33" t="s">
        <v>1753</v>
      </c>
      <c r="M4290" s="33" t="s">
        <v>21</v>
      </c>
      <c r="N4290" s="33" t="s">
        <v>19692</v>
      </c>
      <c r="O4290" s="33" t="s">
        <v>372</v>
      </c>
      <c r="P4290" s="33" t="s">
        <v>30089</v>
      </c>
      <c r="Q4290" s="40" t="s">
        <v>19693</v>
      </c>
      <c r="R4290" s="33" t="s">
        <v>94</v>
      </c>
      <c r="S4290" s="33" t="s">
        <v>12</v>
      </c>
      <c r="T4290" s="33" t="s">
        <v>29705</v>
      </c>
      <c r="U4290" s="33" t="s">
        <v>26575</v>
      </c>
      <c r="V4290" s="33" t="s">
        <v>26573</v>
      </c>
      <c r="W4290" s="33" t="s">
        <v>512</v>
      </c>
      <c r="X4290" s="33">
        <v>1251</v>
      </c>
      <c r="Z4290" s="33" t="s">
        <v>42966</v>
      </c>
      <c r="AA4290" s="33">
        <v>3373</v>
      </c>
    </row>
    <row r="4291" spans="1:27" ht="12" customHeight="1" x14ac:dyDescent="0.15">
      <c r="A4291" s="33" t="s">
        <v>20594</v>
      </c>
      <c r="B4291" s="33">
        <v>44</v>
      </c>
      <c r="C4291" s="33" t="s">
        <v>103</v>
      </c>
      <c r="D4291" s="33" t="s">
        <v>31</v>
      </c>
      <c r="E4291" s="33" t="s">
        <v>20595</v>
      </c>
      <c r="F4291" s="67">
        <v>42409</v>
      </c>
      <c r="G4291" s="33" t="s">
        <v>20588</v>
      </c>
      <c r="H4291" s="33" t="s">
        <v>20589</v>
      </c>
      <c r="I4291" s="33" t="s">
        <v>395</v>
      </c>
      <c r="J4291" s="33" t="s">
        <v>20590</v>
      </c>
      <c r="K4291" s="33" t="s">
        <v>2870</v>
      </c>
      <c r="L4291" s="33" t="s">
        <v>20591</v>
      </c>
      <c r="M4291" s="33" t="s">
        <v>21</v>
      </c>
      <c r="N4291" s="33" t="s">
        <v>20592</v>
      </c>
      <c r="O4291" s="33" t="s">
        <v>23116</v>
      </c>
      <c r="P4291" s="33" t="s">
        <v>30089</v>
      </c>
      <c r="Q4291" s="40" t="s">
        <v>20593</v>
      </c>
      <c r="R4291" s="33" t="s">
        <v>512</v>
      </c>
      <c r="S4291" s="33" t="s">
        <v>12</v>
      </c>
      <c r="T4291" s="33" t="s">
        <v>29705</v>
      </c>
      <c r="U4291" s="33" t="s">
        <v>26570</v>
      </c>
      <c r="V4291" s="33" t="s">
        <v>26573</v>
      </c>
      <c r="Y4291" s="33" t="s">
        <v>42476</v>
      </c>
      <c r="Z4291" s="33" t="s">
        <v>42968</v>
      </c>
      <c r="AA4291" s="33">
        <v>3374</v>
      </c>
    </row>
    <row r="4292" spans="1:27" ht="12" customHeight="1" x14ac:dyDescent="0.15">
      <c r="A4292" s="33" t="s">
        <v>20586</v>
      </c>
      <c r="B4292" s="33">
        <v>10</v>
      </c>
      <c r="C4292" s="33" t="s">
        <v>14</v>
      </c>
      <c r="D4292" s="33" t="s">
        <v>31</v>
      </c>
      <c r="E4292" s="33" t="s">
        <v>20587</v>
      </c>
      <c r="F4292" s="67">
        <v>42409</v>
      </c>
      <c r="G4292" s="33" t="s">
        <v>20588</v>
      </c>
      <c r="H4292" s="33" t="s">
        <v>20589</v>
      </c>
      <c r="I4292" s="33" t="s">
        <v>395</v>
      </c>
      <c r="J4292" s="33" t="s">
        <v>20590</v>
      </c>
      <c r="K4292" s="33" t="s">
        <v>2870</v>
      </c>
      <c r="L4292" s="33" t="s">
        <v>20591</v>
      </c>
      <c r="M4292" s="33" t="s">
        <v>21</v>
      </c>
      <c r="N4292" s="33" t="s">
        <v>20592</v>
      </c>
      <c r="O4292" s="33" t="s">
        <v>23116</v>
      </c>
      <c r="P4292" s="33" t="s">
        <v>30089</v>
      </c>
      <c r="Q4292" s="40" t="s">
        <v>20593</v>
      </c>
      <c r="R4292" s="33" t="s">
        <v>512</v>
      </c>
      <c r="S4292" s="33" t="s">
        <v>12</v>
      </c>
      <c r="T4292" s="33" t="s">
        <v>29705</v>
      </c>
      <c r="U4292" s="33" t="s">
        <v>26570</v>
      </c>
      <c r="V4292" s="33" t="s">
        <v>26573</v>
      </c>
      <c r="Y4292" s="33" t="s">
        <v>42476</v>
      </c>
      <c r="Z4292" s="33" t="s">
        <v>42968</v>
      </c>
      <c r="AA4292" s="33">
        <v>3375</v>
      </c>
    </row>
    <row r="4293" spans="1:27" ht="12" customHeight="1" x14ac:dyDescent="0.15">
      <c r="A4293" s="33" t="s">
        <v>19854</v>
      </c>
      <c r="B4293" s="33">
        <v>29</v>
      </c>
      <c r="C4293" s="33" t="s">
        <v>14</v>
      </c>
      <c r="D4293" s="33" t="s">
        <v>885</v>
      </c>
      <c r="E4293" s="33" t="s">
        <v>19855</v>
      </c>
      <c r="F4293" s="67">
        <v>42409</v>
      </c>
      <c r="G4293" s="33" t="s">
        <v>19856</v>
      </c>
      <c r="H4293" s="33" t="s">
        <v>19857</v>
      </c>
      <c r="I4293" s="33" t="s">
        <v>814</v>
      </c>
      <c r="J4293" s="33" t="s">
        <v>19858</v>
      </c>
      <c r="K4293" s="33" t="s">
        <v>3619</v>
      </c>
      <c r="L4293" s="33" t="s">
        <v>3620</v>
      </c>
      <c r="M4293" s="33" t="s">
        <v>21</v>
      </c>
      <c r="N4293" s="33" t="s">
        <v>19859</v>
      </c>
      <c r="O4293" s="33" t="s">
        <v>372</v>
      </c>
      <c r="P4293" s="33" t="s">
        <v>30089</v>
      </c>
      <c r="Q4293" s="40" t="s">
        <v>19860</v>
      </c>
      <c r="R4293" s="33" t="s">
        <v>94</v>
      </c>
      <c r="S4293" s="33" t="s">
        <v>22</v>
      </c>
      <c r="T4293" s="33" t="s">
        <v>26781</v>
      </c>
      <c r="U4293" s="33" t="s">
        <v>26572</v>
      </c>
      <c r="V4293" s="33" t="s">
        <v>26573</v>
      </c>
      <c r="W4293" s="33" t="s">
        <v>94</v>
      </c>
      <c r="X4293" s="33">
        <v>1256</v>
      </c>
      <c r="Z4293" s="33" t="s">
        <v>42968</v>
      </c>
      <c r="AA4293" s="33">
        <v>3372</v>
      </c>
    </row>
    <row r="4294" spans="1:27" ht="12" customHeight="1" x14ac:dyDescent="0.15">
      <c r="A4294" s="33" t="s">
        <v>19452</v>
      </c>
      <c r="B4294" s="33">
        <v>33</v>
      </c>
      <c r="C4294" s="33" t="s">
        <v>14</v>
      </c>
      <c r="D4294" s="33" t="s">
        <v>79</v>
      </c>
      <c r="E4294" s="33" t="s">
        <v>19453</v>
      </c>
      <c r="F4294" s="67">
        <v>42408</v>
      </c>
      <c r="G4294" s="33" t="s">
        <v>19454</v>
      </c>
      <c r="H4294" s="33" t="s">
        <v>375</v>
      </c>
      <c r="I4294" s="33" t="s">
        <v>376</v>
      </c>
      <c r="J4294" s="33" t="s">
        <v>1822</v>
      </c>
      <c r="K4294" s="33" t="s">
        <v>850</v>
      </c>
      <c r="L4294" s="33" t="s">
        <v>19455</v>
      </c>
      <c r="M4294" s="33" t="s">
        <v>21</v>
      </c>
      <c r="N4294" s="33" t="s">
        <v>19456</v>
      </c>
      <c r="O4294" s="33" t="s">
        <v>372</v>
      </c>
      <c r="P4294" s="33" t="s">
        <v>30089</v>
      </c>
      <c r="Q4294" s="40" t="s">
        <v>19457</v>
      </c>
      <c r="R4294" s="33" t="s">
        <v>94</v>
      </c>
      <c r="S4294" s="33" t="s">
        <v>22</v>
      </c>
      <c r="T4294" s="33" t="s">
        <v>26781</v>
      </c>
      <c r="U4294" s="33" t="s">
        <v>26572</v>
      </c>
      <c r="V4294" s="33" t="s">
        <v>26571</v>
      </c>
      <c r="W4294" s="33" t="s">
        <v>94</v>
      </c>
      <c r="X4294" s="33">
        <v>1245</v>
      </c>
      <c r="Z4294" s="33" t="s">
        <v>42968</v>
      </c>
      <c r="AA4294" s="33">
        <v>3369</v>
      </c>
    </row>
    <row r="4295" spans="1:27" ht="12" customHeight="1" x14ac:dyDescent="0.15">
      <c r="A4295" s="33" t="s">
        <v>8279</v>
      </c>
      <c r="B4295" s="33">
        <v>22</v>
      </c>
      <c r="C4295" s="33" t="s">
        <v>14</v>
      </c>
      <c r="D4295" s="33" t="s">
        <v>79</v>
      </c>
      <c r="E4295" s="33" t="s">
        <v>19564</v>
      </c>
      <c r="F4295" s="67">
        <v>42408</v>
      </c>
      <c r="G4295" s="33" t="s">
        <v>19565</v>
      </c>
      <c r="H4295" s="33" t="s">
        <v>979</v>
      </c>
      <c r="I4295" s="33" t="s">
        <v>19</v>
      </c>
      <c r="J4295" s="33" t="s">
        <v>4643</v>
      </c>
      <c r="K4295" s="33" t="s">
        <v>2393</v>
      </c>
      <c r="L4295" s="33" t="s">
        <v>2258</v>
      </c>
      <c r="M4295" s="33" t="s">
        <v>21</v>
      </c>
      <c r="N4295" s="33" t="s">
        <v>19566</v>
      </c>
      <c r="O4295" s="33" t="s">
        <v>372</v>
      </c>
      <c r="P4295" s="33" t="s">
        <v>30089</v>
      </c>
      <c r="Q4295" s="40" t="s">
        <v>19567</v>
      </c>
      <c r="R4295" s="33" t="s">
        <v>94</v>
      </c>
      <c r="S4295" s="33" t="s">
        <v>351</v>
      </c>
      <c r="T4295" s="33" t="s">
        <v>26867</v>
      </c>
      <c r="U4295" s="33" t="s">
        <v>26570</v>
      </c>
      <c r="V4295" s="33" t="s">
        <v>26571</v>
      </c>
      <c r="W4295" s="33" t="s">
        <v>94</v>
      </c>
      <c r="X4295" s="33">
        <v>1252</v>
      </c>
      <c r="Z4295" s="33" t="s">
        <v>42966</v>
      </c>
      <c r="AA4295" s="33">
        <v>3371</v>
      </c>
    </row>
    <row r="4296" spans="1:27" ht="12" customHeight="1" x14ac:dyDescent="0.15">
      <c r="A4296" s="33" t="s">
        <v>19499</v>
      </c>
      <c r="B4296" s="33">
        <v>17</v>
      </c>
      <c r="C4296" s="33" t="s">
        <v>14</v>
      </c>
      <c r="D4296" s="33" t="s">
        <v>79</v>
      </c>
      <c r="E4296" s="33" t="s">
        <v>19500</v>
      </c>
      <c r="F4296" s="67">
        <v>42408</v>
      </c>
      <c r="G4296" s="33" t="s">
        <v>19501</v>
      </c>
      <c r="H4296" s="33" t="s">
        <v>1227</v>
      </c>
      <c r="I4296" s="33" t="s">
        <v>67</v>
      </c>
      <c r="J4296" s="33" t="s">
        <v>19502</v>
      </c>
      <c r="K4296" s="33" t="s">
        <v>1228</v>
      </c>
      <c r="L4296" s="33" t="s">
        <v>1229</v>
      </c>
      <c r="M4296" s="33" t="s">
        <v>21</v>
      </c>
      <c r="N4296" s="33" t="s">
        <v>19503</v>
      </c>
      <c r="O4296" s="33" t="s">
        <v>20866</v>
      </c>
      <c r="P4296" s="33" t="s">
        <v>30089</v>
      </c>
      <c r="Q4296" s="40" t="s">
        <v>19504</v>
      </c>
      <c r="R4296" s="33" t="s">
        <v>23</v>
      </c>
      <c r="S4296" s="33" t="s">
        <v>12</v>
      </c>
      <c r="T4296" s="33" t="s">
        <v>29705</v>
      </c>
      <c r="U4296" s="33" t="s">
        <v>26570</v>
      </c>
      <c r="V4296" s="33" t="s">
        <v>26573</v>
      </c>
      <c r="W4296" s="33" t="s">
        <v>94</v>
      </c>
      <c r="X4296" s="33">
        <v>1247</v>
      </c>
      <c r="Z4296" s="33" t="s">
        <v>42968</v>
      </c>
      <c r="AA4296" s="33">
        <v>3370</v>
      </c>
    </row>
    <row r="4297" spans="1:27" ht="12" customHeight="1" x14ac:dyDescent="0.15">
      <c r="A4297" s="33" t="s">
        <v>19933</v>
      </c>
      <c r="B4297" s="33">
        <v>36</v>
      </c>
      <c r="C4297" s="33" t="s">
        <v>14</v>
      </c>
      <c r="D4297" s="33" t="s">
        <v>31</v>
      </c>
      <c r="F4297" s="67">
        <v>42407</v>
      </c>
      <c r="G4297" s="33" t="s">
        <v>19934</v>
      </c>
      <c r="H4297" s="33" t="s">
        <v>1227</v>
      </c>
      <c r="I4297" s="33" t="s">
        <v>918</v>
      </c>
      <c r="J4297" s="33" t="s">
        <v>19935</v>
      </c>
      <c r="K4297" s="33" t="s">
        <v>2108</v>
      </c>
      <c r="L4297" s="33" t="s">
        <v>19936</v>
      </c>
      <c r="M4297" s="33" t="s">
        <v>21</v>
      </c>
      <c r="N4297" s="33" t="s">
        <v>19937</v>
      </c>
      <c r="O4297" s="33" t="s">
        <v>372</v>
      </c>
      <c r="P4297" s="33" t="s">
        <v>30089</v>
      </c>
      <c r="Q4297" s="40" t="s">
        <v>19938</v>
      </c>
      <c r="R4297" s="33" t="s">
        <v>94</v>
      </c>
      <c r="S4297" s="33" t="s">
        <v>22</v>
      </c>
      <c r="T4297" s="33" t="s">
        <v>26781</v>
      </c>
      <c r="U4297" s="33" t="s">
        <v>26570</v>
      </c>
      <c r="V4297" s="33" t="s">
        <v>26573</v>
      </c>
      <c r="W4297" s="33" t="s">
        <v>94</v>
      </c>
      <c r="X4297" s="33">
        <v>1241</v>
      </c>
      <c r="Z4297" s="33" t="s">
        <v>42967</v>
      </c>
      <c r="AA4297" s="33">
        <v>3367</v>
      </c>
    </row>
    <row r="4298" spans="1:27" ht="12" customHeight="1" x14ac:dyDescent="0.15">
      <c r="A4298" s="33" t="s">
        <v>19427</v>
      </c>
      <c r="B4298" s="33">
        <v>23</v>
      </c>
      <c r="C4298" s="33" t="s">
        <v>14</v>
      </c>
      <c r="D4298" s="33" t="s">
        <v>79</v>
      </c>
      <c r="E4298" s="33" t="s">
        <v>19428</v>
      </c>
      <c r="F4298" s="67">
        <v>42407</v>
      </c>
      <c r="G4298" s="33" t="s">
        <v>19429</v>
      </c>
      <c r="H4298" s="33" t="s">
        <v>1202</v>
      </c>
      <c r="I4298" s="33" t="s">
        <v>63</v>
      </c>
      <c r="J4298" s="33" t="s">
        <v>19430</v>
      </c>
      <c r="K4298" s="33" t="s">
        <v>1203</v>
      </c>
      <c r="L4298" s="33" t="s">
        <v>11441</v>
      </c>
      <c r="M4298" s="33" t="s">
        <v>21</v>
      </c>
      <c r="N4298" s="33" t="s">
        <v>19431</v>
      </c>
      <c r="O4298" s="33" t="s">
        <v>372</v>
      </c>
      <c r="P4298" s="33" t="s">
        <v>30089</v>
      </c>
      <c r="Q4298" s="40" t="s">
        <v>19432</v>
      </c>
      <c r="R4298" s="33" t="s">
        <v>94</v>
      </c>
      <c r="S4298" s="33" t="s">
        <v>22</v>
      </c>
      <c r="T4298" s="33" t="s">
        <v>26781</v>
      </c>
      <c r="U4298" s="33" t="s">
        <v>26570</v>
      </c>
      <c r="V4298" s="33" t="s">
        <v>19228</v>
      </c>
      <c r="W4298" s="33" t="s">
        <v>94</v>
      </c>
      <c r="X4298" s="33">
        <v>1239</v>
      </c>
      <c r="Z4298" s="33" t="s">
        <v>42966</v>
      </c>
      <c r="AA4298" s="33">
        <v>3366</v>
      </c>
    </row>
    <row r="4299" spans="1:27" ht="12" customHeight="1" x14ac:dyDescent="0.15">
      <c r="A4299" s="33" t="s">
        <v>19848</v>
      </c>
      <c r="B4299" s="33">
        <v>27</v>
      </c>
      <c r="C4299" s="33" t="s">
        <v>14</v>
      </c>
      <c r="D4299" s="33" t="s">
        <v>42</v>
      </c>
      <c r="F4299" s="67">
        <v>42407</v>
      </c>
      <c r="G4299" s="33" t="s">
        <v>19849</v>
      </c>
      <c r="H4299" s="33" t="s">
        <v>19850</v>
      </c>
      <c r="I4299" s="33" t="s">
        <v>75</v>
      </c>
      <c r="J4299" s="33" t="s">
        <v>19851</v>
      </c>
      <c r="K4299" s="33" t="s">
        <v>595</v>
      </c>
      <c r="L4299" s="33" t="s">
        <v>19852</v>
      </c>
      <c r="M4299" s="33" t="s">
        <v>21</v>
      </c>
      <c r="N4299" s="33" t="s">
        <v>21031</v>
      </c>
      <c r="O4299" s="33" t="s">
        <v>372</v>
      </c>
      <c r="P4299" s="33" t="s">
        <v>30089</v>
      </c>
      <c r="Q4299" s="40" t="s">
        <v>19853</v>
      </c>
      <c r="R4299" s="33" t="s">
        <v>94</v>
      </c>
      <c r="S4299" s="33" t="s">
        <v>22</v>
      </c>
      <c r="T4299" s="33" t="s">
        <v>26774</v>
      </c>
      <c r="U4299" s="33" t="s">
        <v>26570</v>
      </c>
      <c r="V4299" s="33" t="s">
        <v>26573</v>
      </c>
      <c r="W4299" s="33" t="s">
        <v>94</v>
      </c>
      <c r="X4299" s="33">
        <v>1244</v>
      </c>
      <c r="Z4299" s="33" t="s">
        <v>42968</v>
      </c>
      <c r="AA4299" s="33">
        <v>3368</v>
      </c>
    </row>
    <row r="4300" spans="1:27" ht="12" customHeight="1" x14ac:dyDescent="0.15">
      <c r="A4300" s="33" t="s">
        <v>20713</v>
      </c>
      <c r="B4300" s="33">
        <v>47</v>
      </c>
      <c r="C4300" s="33" t="s">
        <v>14</v>
      </c>
      <c r="D4300" s="33" t="s">
        <v>31</v>
      </c>
      <c r="F4300" s="67">
        <v>42406</v>
      </c>
      <c r="G4300" s="33" t="s">
        <v>20714</v>
      </c>
      <c r="H4300" s="33" t="s">
        <v>810</v>
      </c>
      <c r="I4300" s="33" t="s">
        <v>63</v>
      </c>
      <c r="J4300" s="33" t="s">
        <v>20715</v>
      </c>
      <c r="K4300" s="33" t="s">
        <v>1316</v>
      </c>
      <c r="L4300" s="33" t="s">
        <v>20716</v>
      </c>
      <c r="M4300" s="33" t="s">
        <v>21</v>
      </c>
      <c r="N4300" s="33" t="s">
        <v>20717</v>
      </c>
      <c r="O4300" s="33" t="s">
        <v>372</v>
      </c>
      <c r="P4300" s="33" t="s">
        <v>30089</v>
      </c>
      <c r="Q4300" s="40" t="s">
        <v>20718</v>
      </c>
      <c r="R4300" s="33" t="s">
        <v>94</v>
      </c>
      <c r="S4300" s="33" t="s">
        <v>22</v>
      </c>
      <c r="T4300" s="33" t="s">
        <v>26781</v>
      </c>
      <c r="U4300" s="33" t="s">
        <v>26572</v>
      </c>
      <c r="V4300" s="33" t="s">
        <v>26571</v>
      </c>
      <c r="Z4300" s="33" t="s">
        <v>42967</v>
      </c>
      <c r="AA4300" s="33">
        <v>3365</v>
      </c>
    </row>
    <row r="4301" spans="1:27" ht="12" customHeight="1" x14ac:dyDescent="0.15">
      <c r="A4301" s="33" t="s">
        <v>19718</v>
      </c>
      <c r="B4301" s="33">
        <v>16</v>
      </c>
      <c r="C4301" s="33" t="s">
        <v>14</v>
      </c>
      <c r="D4301" s="33" t="s">
        <v>42</v>
      </c>
      <c r="F4301" s="67">
        <v>42406</v>
      </c>
      <c r="G4301" s="33" t="s">
        <v>19719</v>
      </c>
      <c r="H4301" s="33" t="s">
        <v>92</v>
      </c>
      <c r="I4301" s="33" t="s">
        <v>39</v>
      </c>
      <c r="J4301" s="33" t="s">
        <v>19720</v>
      </c>
      <c r="K4301" s="33" t="s">
        <v>92</v>
      </c>
      <c r="L4301" s="33" t="s">
        <v>93</v>
      </c>
      <c r="M4301" s="33" t="s">
        <v>21</v>
      </c>
      <c r="N4301" s="33" t="s">
        <v>20993</v>
      </c>
      <c r="O4301" s="33" t="s">
        <v>372</v>
      </c>
      <c r="P4301" s="33" t="s">
        <v>30089</v>
      </c>
      <c r="Q4301" s="40" t="s">
        <v>19721</v>
      </c>
      <c r="R4301" s="33" t="s">
        <v>94</v>
      </c>
      <c r="S4301" s="33" t="s">
        <v>22</v>
      </c>
      <c r="T4301" s="33" t="s">
        <v>26781</v>
      </c>
      <c r="U4301" s="33" t="s">
        <v>26572</v>
      </c>
      <c r="V4301" s="33" t="s">
        <v>26571</v>
      </c>
      <c r="W4301" s="33" t="s">
        <v>512</v>
      </c>
      <c r="X4301" s="33">
        <v>1240</v>
      </c>
      <c r="Z4301" s="33" t="s">
        <v>42966</v>
      </c>
      <c r="AA4301" s="33">
        <v>3364</v>
      </c>
    </row>
    <row r="4302" spans="1:27" ht="12" customHeight="1" x14ac:dyDescent="0.15">
      <c r="A4302" s="33" t="s">
        <v>19986</v>
      </c>
      <c r="B4302" s="33">
        <v>38</v>
      </c>
      <c r="C4302" s="33" t="s">
        <v>14</v>
      </c>
      <c r="D4302" s="33" t="s">
        <v>24</v>
      </c>
      <c r="E4302" s="33" t="s">
        <v>19987</v>
      </c>
      <c r="F4302" s="67">
        <v>42405</v>
      </c>
      <c r="G4302" s="33" t="s">
        <v>19988</v>
      </c>
      <c r="H4302" s="33" t="s">
        <v>19857</v>
      </c>
      <c r="I4302" s="33" t="s">
        <v>814</v>
      </c>
      <c r="J4302" s="33" t="s">
        <v>19858</v>
      </c>
      <c r="K4302" s="33" t="s">
        <v>3619</v>
      </c>
      <c r="L4302" s="33" t="s">
        <v>3620</v>
      </c>
      <c r="M4302" s="33" t="s">
        <v>21</v>
      </c>
      <c r="N4302" s="33" t="s">
        <v>19989</v>
      </c>
      <c r="O4302" s="33" t="s">
        <v>372</v>
      </c>
      <c r="P4302" s="33" t="s">
        <v>30089</v>
      </c>
      <c r="Q4302" s="40" t="s">
        <v>19990</v>
      </c>
      <c r="R4302" s="33" t="s">
        <v>94</v>
      </c>
      <c r="S4302" s="33" t="s">
        <v>351</v>
      </c>
      <c r="T4302" s="33" t="s">
        <v>26867</v>
      </c>
      <c r="U4302" s="33" t="s">
        <v>26570</v>
      </c>
      <c r="V4302" s="33" t="s">
        <v>26571</v>
      </c>
      <c r="W4302" s="33" t="s">
        <v>94</v>
      </c>
      <c r="X4302" s="33">
        <v>1242</v>
      </c>
      <c r="Z4302" s="33" t="s">
        <v>42968</v>
      </c>
      <c r="AA4302" s="33">
        <v>3363</v>
      </c>
    </row>
    <row r="4303" spans="1:27" ht="12" customHeight="1" x14ac:dyDescent="0.15">
      <c r="A4303" s="33" t="s">
        <v>20654</v>
      </c>
      <c r="B4303" s="33">
        <v>23</v>
      </c>
      <c r="C4303" s="33" t="s">
        <v>103</v>
      </c>
      <c r="D4303" s="33" t="s">
        <v>31</v>
      </c>
      <c r="E4303" s="33" t="s">
        <v>20655</v>
      </c>
      <c r="F4303" s="67">
        <v>42405</v>
      </c>
      <c r="G4303" s="33" t="s">
        <v>20656</v>
      </c>
      <c r="H4303" s="33" t="s">
        <v>16518</v>
      </c>
      <c r="I4303" s="33" t="s">
        <v>19</v>
      </c>
      <c r="J4303" s="33" t="s">
        <v>20657</v>
      </c>
      <c r="K4303" s="33" t="s">
        <v>16520</v>
      </c>
      <c r="L4303" s="33" t="s">
        <v>20658</v>
      </c>
      <c r="M4303" s="33" t="s">
        <v>21</v>
      </c>
      <c r="N4303" s="33" t="s">
        <v>20659</v>
      </c>
      <c r="O4303" s="33" t="s">
        <v>372</v>
      </c>
      <c r="P4303" s="33" t="s">
        <v>30089</v>
      </c>
      <c r="Q4303" s="40" t="s">
        <v>20660</v>
      </c>
      <c r="R4303" s="33" t="s">
        <v>94</v>
      </c>
      <c r="S4303" s="33" t="s">
        <v>12</v>
      </c>
      <c r="T4303" s="33" t="s">
        <v>29705</v>
      </c>
      <c r="U4303" s="33" t="s">
        <v>26570</v>
      </c>
      <c r="V4303" s="33" t="s">
        <v>26573</v>
      </c>
      <c r="Z4303" s="33" t="s">
        <v>42968</v>
      </c>
      <c r="AA4303" s="33">
        <v>3362</v>
      </c>
    </row>
    <row r="4304" spans="1:27" ht="12" customHeight="1" x14ac:dyDescent="0.15">
      <c r="A4304" s="33" t="s">
        <v>20325</v>
      </c>
      <c r="B4304" s="33">
        <v>55</v>
      </c>
      <c r="C4304" s="33" t="s">
        <v>14</v>
      </c>
      <c r="D4304" s="33" t="s">
        <v>31</v>
      </c>
      <c r="E4304" s="33" t="s">
        <v>20326</v>
      </c>
      <c r="F4304" s="67">
        <v>42405</v>
      </c>
      <c r="G4304" s="33" t="s">
        <v>20327</v>
      </c>
      <c r="H4304" s="33" t="s">
        <v>5376</v>
      </c>
      <c r="I4304" s="33" t="s">
        <v>106</v>
      </c>
      <c r="J4304" s="33" t="s">
        <v>20328</v>
      </c>
      <c r="K4304" s="33" t="s">
        <v>20329</v>
      </c>
      <c r="L4304" s="33" t="s">
        <v>5378</v>
      </c>
      <c r="M4304" s="33" t="s">
        <v>21</v>
      </c>
      <c r="N4304" s="33" t="s">
        <v>21003</v>
      </c>
      <c r="O4304" s="33" t="s">
        <v>372</v>
      </c>
      <c r="P4304" s="33" t="s">
        <v>30089</v>
      </c>
      <c r="Q4304" s="40" t="s">
        <v>20330</v>
      </c>
      <c r="R4304" s="33" t="s">
        <v>94</v>
      </c>
      <c r="S4304" s="33" t="s">
        <v>22</v>
      </c>
      <c r="T4304" s="33" t="s">
        <v>26781</v>
      </c>
      <c r="U4304" s="33" t="s">
        <v>26572</v>
      </c>
      <c r="V4304" s="33" t="s">
        <v>26573</v>
      </c>
      <c r="W4304" s="33" t="s">
        <v>512</v>
      </c>
      <c r="X4304" s="33">
        <v>1249</v>
      </c>
      <c r="Z4304" s="33" t="s">
        <v>42967</v>
      </c>
      <c r="AA4304" s="33">
        <v>3360</v>
      </c>
    </row>
    <row r="4305" spans="1:27" ht="12" customHeight="1" x14ac:dyDescent="0.15">
      <c r="A4305" s="33" t="s">
        <v>20272</v>
      </c>
      <c r="B4305" s="33">
        <v>30</v>
      </c>
      <c r="C4305" s="33" t="s">
        <v>14</v>
      </c>
      <c r="D4305" s="33" t="s">
        <v>31</v>
      </c>
      <c r="E4305" s="33" t="s">
        <v>20273</v>
      </c>
      <c r="F4305" s="67">
        <v>42405</v>
      </c>
      <c r="G4305" s="33" t="s">
        <v>20274</v>
      </c>
      <c r="H4305" s="33" t="s">
        <v>20275</v>
      </c>
      <c r="I4305" s="33" t="s">
        <v>56</v>
      </c>
      <c r="J4305" s="33" t="s">
        <v>20276</v>
      </c>
      <c r="K4305" s="33" t="s">
        <v>2742</v>
      </c>
      <c r="L4305" s="33" t="s">
        <v>20277</v>
      </c>
      <c r="M4305" s="33" t="s">
        <v>21</v>
      </c>
      <c r="N4305" s="33" t="s">
        <v>20278</v>
      </c>
      <c r="O4305" s="33" t="s">
        <v>372</v>
      </c>
      <c r="P4305" s="33" t="s">
        <v>30089</v>
      </c>
      <c r="Q4305" s="40" t="s">
        <v>20279</v>
      </c>
      <c r="R4305" s="33" t="s">
        <v>94</v>
      </c>
      <c r="S4305" s="33" t="s">
        <v>22</v>
      </c>
      <c r="T4305" s="33" t="s">
        <v>26781</v>
      </c>
      <c r="U4305" s="33" t="s">
        <v>26570</v>
      </c>
      <c r="V4305" s="33" t="s">
        <v>26571</v>
      </c>
      <c r="W4305" s="33" t="s">
        <v>94</v>
      </c>
      <c r="X4305" s="33">
        <v>1246</v>
      </c>
      <c r="Z4305" s="33" t="s">
        <v>42967</v>
      </c>
      <c r="AA4305" s="33">
        <v>3358</v>
      </c>
    </row>
    <row r="4306" spans="1:27" ht="12" customHeight="1" x14ac:dyDescent="0.15">
      <c r="A4306" s="33" t="s">
        <v>20310</v>
      </c>
      <c r="B4306" s="33">
        <v>51</v>
      </c>
      <c r="C4306" s="33" t="s">
        <v>14</v>
      </c>
      <c r="D4306" s="33" t="s">
        <v>31</v>
      </c>
      <c r="E4306" s="33" t="s">
        <v>20311</v>
      </c>
      <c r="F4306" s="67">
        <v>42405</v>
      </c>
      <c r="H4306" s="33" t="s">
        <v>3115</v>
      </c>
      <c r="I4306" s="33" t="s">
        <v>338</v>
      </c>
      <c r="J4306" s="33" t="s">
        <v>20312</v>
      </c>
      <c r="K4306" s="33" t="s">
        <v>5896</v>
      </c>
      <c r="L4306" s="33" t="s">
        <v>20313</v>
      </c>
      <c r="M4306" s="33" t="s">
        <v>21</v>
      </c>
      <c r="N4306" s="33" t="s">
        <v>20314</v>
      </c>
      <c r="O4306" s="33" t="s">
        <v>372</v>
      </c>
      <c r="P4306" s="33" t="s">
        <v>30089</v>
      </c>
      <c r="Q4306" s="40" t="s">
        <v>20315</v>
      </c>
      <c r="R4306" s="33" t="s">
        <v>94</v>
      </c>
      <c r="S4306" s="33" t="s">
        <v>22</v>
      </c>
      <c r="T4306" s="33" t="s">
        <v>26781</v>
      </c>
      <c r="U4306" s="33" t="s">
        <v>26572</v>
      </c>
      <c r="V4306" s="33" t="s">
        <v>26574</v>
      </c>
      <c r="W4306" s="33" t="s">
        <v>94</v>
      </c>
      <c r="X4306" s="33">
        <v>1248</v>
      </c>
      <c r="Z4306" s="33" t="s">
        <v>42967</v>
      </c>
      <c r="AA4306" s="33">
        <v>3359</v>
      </c>
    </row>
    <row r="4307" spans="1:27" ht="12" customHeight="1" x14ac:dyDescent="0.15">
      <c r="A4307" s="33" t="s">
        <v>21347</v>
      </c>
      <c r="B4307" s="33">
        <v>37</v>
      </c>
      <c r="C4307" s="33" t="s">
        <v>14</v>
      </c>
      <c r="D4307" s="33" t="s">
        <v>79</v>
      </c>
      <c r="F4307" s="67">
        <v>42405</v>
      </c>
      <c r="G4307" s="33" t="s">
        <v>21402</v>
      </c>
      <c r="H4307" s="33" t="s">
        <v>822</v>
      </c>
      <c r="I4307" s="33" t="s">
        <v>39</v>
      </c>
      <c r="J4307" s="33">
        <v>94509</v>
      </c>
      <c r="K4307" s="33" t="s">
        <v>4146</v>
      </c>
      <c r="L4307" s="33" t="s">
        <v>13144</v>
      </c>
      <c r="M4307" s="33" t="s">
        <v>11646</v>
      </c>
      <c r="N4307" s="33" t="s">
        <v>37052</v>
      </c>
      <c r="O4307" s="33" t="s">
        <v>372</v>
      </c>
      <c r="P4307" s="33" t="s">
        <v>30089</v>
      </c>
      <c r="Q4307" s="42" t="s">
        <v>37053</v>
      </c>
      <c r="R4307" s="33" t="s">
        <v>512</v>
      </c>
      <c r="S4307" s="33" t="s">
        <v>12</v>
      </c>
      <c r="T4307" s="33" t="s">
        <v>29705</v>
      </c>
      <c r="U4307" s="33" t="s">
        <v>26570</v>
      </c>
      <c r="V4307" s="33" t="s">
        <v>26573</v>
      </c>
      <c r="Z4307" s="33" t="s">
        <v>42968</v>
      </c>
      <c r="AA4307" s="33">
        <v>3361</v>
      </c>
    </row>
    <row r="4308" spans="1:27" ht="12" customHeight="1" x14ac:dyDescent="0.15">
      <c r="A4308" s="33" t="s">
        <v>20613</v>
      </c>
      <c r="B4308" s="33">
        <v>54</v>
      </c>
      <c r="C4308" s="33" t="s">
        <v>14</v>
      </c>
      <c r="D4308" s="33" t="s">
        <v>31</v>
      </c>
      <c r="E4308" s="33" t="s">
        <v>20614</v>
      </c>
      <c r="F4308" s="67">
        <v>42404</v>
      </c>
      <c r="G4308" s="33" t="s">
        <v>20615</v>
      </c>
      <c r="H4308" s="33" t="s">
        <v>2319</v>
      </c>
      <c r="I4308" s="33" t="s">
        <v>63</v>
      </c>
      <c r="J4308" s="33" t="s">
        <v>20616</v>
      </c>
      <c r="K4308" s="33" t="s">
        <v>1179</v>
      </c>
      <c r="L4308" s="33" t="s">
        <v>1180</v>
      </c>
      <c r="M4308" s="33" t="s">
        <v>21</v>
      </c>
      <c r="N4308" s="33" t="s">
        <v>20617</v>
      </c>
      <c r="O4308" s="33" t="s">
        <v>372</v>
      </c>
      <c r="P4308" s="33" t="s">
        <v>30089</v>
      </c>
      <c r="Q4308" s="40" t="s">
        <v>20618</v>
      </c>
      <c r="R4308" s="33" t="s">
        <v>94</v>
      </c>
      <c r="S4308" s="33" t="s">
        <v>12</v>
      </c>
      <c r="T4308" s="33" t="s">
        <v>29425</v>
      </c>
      <c r="U4308" s="33" t="s">
        <v>26572</v>
      </c>
      <c r="V4308" s="33" t="s">
        <v>26573</v>
      </c>
      <c r="W4308" s="33" t="s">
        <v>94</v>
      </c>
      <c r="X4308" s="33">
        <v>1243</v>
      </c>
      <c r="Z4308" s="33" t="s">
        <v>42968</v>
      </c>
      <c r="AA4308" s="33">
        <v>3356</v>
      </c>
    </row>
    <row r="4309" spans="1:27" ht="12" customHeight="1" x14ac:dyDescent="0.15">
      <c r="A4309" s="33" t="s">
        <v>20048</v>
      </c>
      <c r="B4309" s="33">
        <v>47</v>
      </c>
      <c r="C4309" s="33" t="s">
        <v>14</v>
      </c>
      <c r="D4309" s="33" t="s">
        <v>31</v>
      </c>
      <c r="F4309" s="67">
        <v>42404</v>
      </c>
      <c r="G4309" s="33" t="s">
        <v>20049</v>
      </c>
      <c r="H4309" s="33" t="s">
        <v>401</v>
      </c>
      <c r="I4309" s="33" t="s">
        <v>402</v>
      </c>
      <c r="J4309" s="33" t="s">
        <v>3344</v>
      </c>
      <c r="K4309" s="33" t="s">
        <v>404</v>
      </c>
      <c r="L4309" s="33" t="s">
        <v>1321</v>
      </c>
      <c r="M4309" s="33" t="s">
        <v>21</v>
      </c>
      <c r="N4309" s="33" t="s">
        <v>36727</v>
      </c>
      <c r="O4309" s="33" t="s">
        <v>372</v>
      </c>
      <c r="P4309" s="33" t="s">
        <v>30089</v>
      </c>
      <c r="Q4309" s="40" t="s">
        <v>20050</v>
      </c>
      <c r="R4309" s="33" t="s">
        <v>94</v>
      </c>
      <c r="S4309" s="33" t="s">
        <v>22</v>
      </c>
      <c r="T4309" s="33" t="s">
        <v>26781</v>
      </c>
      <c r="U4309" s="33" t="s">
        <v>26572</v>
      </c>
      <c r="V4309" s="33" t="s">
        <v>26574</v>
      </c>
      <c r="W4309" s="33" t="s">
        <v>94</v>
      </c>
      <c r="X4309" s="33">
        <v>1238</v>
      </c>
      <c r="Z4309" s="33" t="s">
        <v>42966</v>
      </c>
      <c r="AA4309" s="33">
        <v>3353</v>
      </c>
    </row>
    <row r="4310" spans="1:27" ht="12" customHeight="1" x14ac:dyDescent="0.15">
      <c r="A4310" s="33" t="s">
        <v>19746</v>
      </c>
      <c r="B4310" s="33">
        <v>43</v>
      </c>
      <c r="C4310" s="33" t="s">
        <v>14</v>
      </c>
      <c r="D4310" s="33" t="s">
        <v>42</v>
      </c>
      <c r="F4310" s="67">
        <v>42404</v>
      </c>
      <c r="G4310" s="33" t="s">
        <v>19747</v>
      </c>
      <c r="H4310" s="33" t="s">
        <v>801</v>
      </c>
      <c r="I4310" s="33" t="s">
        <v>67</v>
      </c>
      <c r="J4310" s="33" t="s">
        <v>15967</v>
      </c>
      <c r="K4310" s="33" t="s">
        <v>801</v>
      </c>
      <c r="L4310" s="33" t="s">
        <v>4359</v>
      </c>
      <c r="M4310" s="33" t="s">
        <v>21</v>
      </c>
      <c r="N4310" s="33" t="s">
        <v>21006</v>
      </c>
      <c r="O4310" s="33" t="s">
        <v>372</v>
      </c>
      <c r="P4310" s="33" t="s">
        <v>30089</v>
      </c>
      <c r="Q4310" s="40" t="s">
        <v>19748</v>
      </c>
      <c r="R4310" s="33" t="s">
        <v>94</v>
      </c>
      <c r="S4310" s="33" t="s">
        <v>22</v>
      </c>
      <c r="T4310" s="33" t="s">
        <v>26781</v>
      </c>
      <c r="U4310" s="33" t="s">
        <v>26572</v>
      </c>
      <c r="V4310" s="33" t="s">
        <v>26573</v>
      </c>
      <c r="W4310" s="33" t="s">
        <v>94</v>
      </c>
      <c r="X4310" s="33">
        <v>1250</v>
      </c>
      <c r="Z4310" s="33" t="s">
        <v>42966</v>
      </c>
      <c r="AA4310" s="33">
        <v>3354</v>
      </c>
    </row>
    <row r="4311" spans="1:27" ht="12" customHeight="1" x14ac:dyDescent="0.15">
      <c r="A4311" s="33" t="s">
        <v>19485</v>
      </c>
      <c r="B4311" s="33">
        <v>36</v>
      </c>
      <c r="C4311" s="33" t="s">
        <v>14</v>
      </c>
      <c r="D4311" s="33" t="s">
        <v>79</v>
      </c>
      <c r="F4311" s="67">
        <v>42404</v>
      </c>
      <c r="G4311" s="33" t="s">
        <v>19486</v>
      </c>
      <c r="H4311" s="33" t="s">
        <v>532</v>
      </c>
      <c r="I4311" s="33" t="s">
        <v>67</v>
      </c>
      <c r="J4311" s="33" t="s">
        <v>13076</v>
      </c>
      <c r="K4311" s="33" t="s">
        <v>533</v>
      </c>
      <c r="L4311" s="33" t="s">
        <v>534</v>
      </c>
      <c r="M4311" s="33" t="s">
        <v>21</v>
      </c>
      <c r="N4311" s="33" t="s">
        <v>36728</v>
      </c>
      <c r="O4311" s="33" t="s">
        <v>372</v>
      </c>
      <c r="P4311" s="33" t="s">
        <v>30089</v>
      </c>
      <c r="Q4311" s="40" t="s">
        <v>19487</v>
      </c>
      <c r="R4311" s="33" t="s">
        <v>94</v>
      </c>
      <c r="S4311" s="33" t="s">
        <v>12</v>
      </c>
      <c r="T4311" s="33" t="s">
        <v>29705</v>
      </c>
      <c r="U4311" s="33" t="s">
        <v>26570</v>
      </c>
      <c r="V4311" s="33" t="s">
        <v>26573</v>
      </c>
      <c r="W4311" s="33" t="s">
        <v>94</v>
      </c>
      <c r="X4311" s="33">
        <v>1237</v>
      </c>
      <c r="Z4311" s="33" t="s">
        <v>42968</v>
      </c>
      <c r="AA4311" s="33">
        <v>3357</v>
      </c>
    </row>
    <row r="4312" spans="1:27" ht="12" customHeight="1" x14ac:dyDescent="0.15">
      <c r="A4312" s="33" t="s">
        <v>20418</v>
      </c>
      <c r="B4312" s="33">
        <v>24</v>
      </c>
      <c r="C4312" s="33" t="s">
        <v>20419</v>
      </c>
      <c r="D4312" s="33" t="s">
        <v>31</v>
      </c>
      <c r="E4312" s="33" t="s">
        <v>20420</v>
      </c>
      <c r="F4312" s="67">
        <v>42404</v>
      </c>
      <c r="G4312" s="33" t="s">
        <v>20421</v>
      </c>
      <c r="H4312" s="33" t="s">
        <v>1337</v>
      </c>
      <c r="I4312" s="33" t="s">
        <v>112</v>
      </c>
      <c r="J4312" s="33" t="s">
        <v>20422</v>
      </c>
      <c r="K4312" s="33" t="s">
        <v>585</v>
      </c>
      <c r="L4312" s="33" t="s">
        <v>1338</v>
      </c>
      <c r="M4312" s="33" t="s">
        <v>21</v>
      </c>
      <c r="N4312" s="33" t="s">
        <v>20423</v>
      </c>
      <c r="O4312" s="33" t="s">
        <v>372</v>
      </c>
      <c r="P4312" s="33" t="s">
        <v>30089</v>
      </c>
      <c r="Q4312" s="40" t="s">
        <v>20424</v>
      </c>
      <c r="R4312" s="33" t="s">
        <v>512</v>
      </c>
      <c r="S4312" s="33" t="s">
        <v>22</v>
      </c>
      <c r="T4312" s="33" t="s">
        <v>26774</v>
      </c>
      <c r="U4312" s="33" t="s">
        <v>26570</v>
      </c>
      <c r="V4312" s="33" t="s">
        <v>26573</v>
      </c>
      <c r="W4312" s="33" t="s">
        <v>512</v>
      </c>
      <c r="X4312" s="33">
        <v>1236</v>
      </c>
      <c r="Z4312" s="33" t="s">
        <v>42968</v>
      </c>
      <c r="AA4312" s="33">
        <v>3355</v>
      </c>
    </row>
    <row r="4313" spans="1:27" ht="12" customHeight="1" x14ac:dyDescent="0.15">
      <c r="A4313" s="33" t="s">
        <v>19820</v>
      </c>
      <c r="B4313" s="33">
        <v>22</v>
      </c>
      <c r="C4313" s="33" t="s">
        <v>14</v>
      </c>
      <c r="D4313" s="33" t="s">
        <v>128</v>
      </c>
      <c r="E4313" s="33" t="s">
        <v>19821</v>
      </c>
      <c r="F4313" s="67">
        <v>42403</v>
      </c>
      <c r="H4313" s="33" t="s">
        <v>19822</v>
      </c>
      <c r="I4313" s="33" t="s">
        <v>132</v>
      </c>
      <c r="J4313" s="33" t="s">
        <v>19823</v>
      </c>
      <c r="K4313" s="33" t="s">
        <v>19824</v>
      </c>
      <c r="L4313" s="33" t="s">
        <v>19825</v>
      </c>
      <c r="M4313" s="33" t="s">
        <v>21</v>
      </c>
      <c r="N4313" s="33" t="s">
        <v>36730</v>
      </c>
      <c r="O4313" s="33" t="s">
        <v>372</v>
      </c>
      <c r="P4313" s="33" t="s">
        <v>30089</v>
      </c>
      <c r="Q4313" s="40" t="s">
        <v>19826</v>
      </c>
      <c r="R4313" s="33" t="s">
        <v>94</v>
      </c>
      <c r="S4313" s="33" t="s">
        <v>12</v>
      </c>
      <c r="T4313" s="33" t="s">
        <v>29705</v>
      </c>
      <c r="U4313" s="33" t="s">
        <v>26572</v>
      </c>
      <c r="V4313" s="33" t="s">
        <v>26573</v>
      </c>
      <c r="W4313" s="33" t="s">
        <v>512</v>
      </c>
      <c r="X4313" s="33">
        <v>1235</v>
      </c>
      <c r="Z4313" s="33" t="s">
        <v>42967</v>
      </c>
      <c r="AA4313" s="33">
        <v>3352</v>
      </c>
    </row>
    <row r="4314" spans="1:27" ht="12" customHeight="1" x14ac:dyDescent="0.15">
      <c r="A4314" s="33" t="s">
        <v>20008</v>
      </c>
      <c r="B4314" s="33">
        <v>31</v>
      </c>
      <c r="C4314" s="33" t="s">
        <v>14</v>
      </c>
      <c r="D4314" s="33" t="s">
        <v>42</v>
      </c>
      <c r="F4314" s="67">
        <v>42403</v>
      </c>
      <c r="G4314" s="33" t="s">
        <v>20009</v>
      </c>
      <c r="H4314" s="33" t="s">
        <v>2814</v>
      </c>
      <c r="I4314" s="33" t="s">
        <v>56</v>
      </c>
      <c r="J4314" s="33" t="s">
        <v>20010</v>
      </c>
      <c r="K4314" s="33" t="s">
        <v>392</v>
      </c>
      <c r="L4314" s="33" t="s">
        <v>6836</v>
      </c>
      <c r="M4314" s="33" t="s">
        <v>21</v>
      </c>
      <c r="N4314" s="33" t="s">
        <v>20011</v>
      </c>
      <c r="O4314" s="33" t="s">
        <v>372</v>
      </c>
      <c r="P4314" s="33" t="s">
        <v>30089</v>
      </c>
      <c r="Q4314" s="40" t="s">
        <v>20012</v>
      </c>
      <c r="R4314" s="33" t="s">
        <v>512</v>
      </c>
      <c r="S4314" s="33" t="s">
        <v>22</v>
      </c>
      <c r="T4314" s="33" t="s">
        <v>26781</v>
      </c>
      <c r="U4314" s="33" t="s">
        <v>26572</v>
      </c>
      <c r="V4314" s="33" t="s">
        <v>26573</v>
      </c>
      <c r="W4314" s="33" t="s">
        <v>94</v>
      </c>
      <c r="X4314" s="33">
        <v>1234</v>
      </c>
      <c r="Z4314" s="33" t="s">
        <v>42968</v>
      </c>
      <c r="AA4314" s="33">
        <v>3351</v>
      </c>
    </row>
    <row r="4315" spans="1:27" ht="12" customHeight="1" x14ac:dyDescent="0.15">
      <c r="A4315" s="33" t="s">
        <v>20321</v>
      </c>
      <c r="B4315" s="33">
        <v>53</v>
      </c>
      <c r="C4315" s="33" t="s">
        <v>14</v>
      </c>
      <c r="D4315" s="33" t="s">
        <v>31</v>
      </c>
      <c r="E4315" s="33" t="s">
        <v>20322</v>
      </c>
      <c r="F4315" s="67">
        <v>42403</v>
      </c>
      <c r="H4315" s="33" t="s">
        <v>6784</v>
      </c>
      <c r="I4315" s="33" t="s">
        <v>367</v>
      </c>
      <c r="J4315" s="33" t="s">
        <v>10236</v>
      </c>
      <c r="K4315" s="33" t="s">
        <v>6784</v>
      </c>
      <c r="L4315" s="33" t="s">
        <v>20323</v>
      </c>
      <c r="M4315" s="33" t="s">
        <v>21</v>
      </c>
      <c r="N4315" s="33" t="s">
        <v>36729</v>
      </c>
      <c r="O4315" s="33" t="s">
        <v>372</v>
      </c>
      <c r="P4315" s="33" t="s">
        <v>30089</v>
      </c>
      <c r="Q4315" s="40" t="s">
        <v>20324</v>
      </c>
      <c r="R4315" s="33" t="s">
        <v>94</v>
      </c>
      <c r="S4315" s="33" t="s">
        <v>22</v>
      </c>
      <c r="T4315" s="33" t="s">
        <v>26781</v>
      </c>
      <c r="U4315" s="33" t="s">
        <v>26572</v>
      </c>
      <c r="V4315" s="33" t="s">
        <v>26573</v>
      </c>
      <c r="W4315" s="33" t="s">
        <v>94</v>
      </c>
      <c r="X4315" s="33">
        <v>1233</v>
      </c>
      <c r="Z4315" s="33" t="s">
        <v>42967</v>
      </c>
      <c r="AA4315" s="33">
        <v>3350</v>
      </c>
    </row>
    <row r="4316" spans="1:27" ht="12" customHeight="1" x14ac:dyDescent="0.15">
      <c r="A4316" s="33" t="s">
        <v>20673</v>
      </c>
      <c r="B4316" s="33">
        <v>34</v>
      </c>
      <c r="C4316" s="33" t="s">
        <v>14</v>
      </c>
      <c r="D4316" s="33" t="s">
        <v>128</v>
      </c>
      <c r="E4316" s="33" t="s">
        <v>20674</v>
      </c>
      <c r="F4316" s="67">
        <v>42402</v>
      </c>
      <c r="G4316" s="33" t="s">
        <v>20675</v>
      </c>
      <c r="H4316" s="33" t="s">
        <v>20676</v>
      </c>
      <c r="I4316" s="33" t="s">
        <v>376</v>
      </c>
      <c r="J4316" s="33" t="s">
        <v>20677</v>
      </c>
      <c r="K4316" s="33" t="s">
        <v>20678</v>
      </c>
      <c r="L4316" s="33" t="s">
        <v>20679</v>
      </c>
      <c r="M4316" s="33" t="s">
        <v>21</v>
      </c>
      <c r="N4316" s="33" t="s">
        <v>20680</v>
      </c>
      <c r="O4316" s="33" t="s">
        <v>20681</v>
      </c>
      <c r="P4316" s="33" t="s">
        <v>1084</v>
      </c>
      <c r="Q4316" s="40" t="s">
        <v>20682</v>
      </c>
      <c r="R4316" s="33" t="s">
        <v>94</v>
      </c>
      <c r="S4316" s="33" t="s">
        <v>12</v>
      </c>
      <c r="T4316" s="33" t="s">
        <v>29705</v>
      </c>
      <c r="U4316" s="33" t="s">
        <v>26570</v>
      </c>
      <c r="V4316" s="33" t="s">
        <v>26573</v>
      </c>
      <c r="Y4316" s="33" t="s">
        <v>42476</v>
      </c>
      <c r="Z4316" s="33" t="s">
        <v>42968</v>
      </c>
      <c r="AA4316" s="33">
        <v>3349</v>
      </c>
    </row>
    <row r="4317" spans="1:27" ht="12" customHeight="1" x14ac:dyDescent="0.15">
      <c r="A4317" s="33" t="s">
        <v>20100</v>
      </c>
      <c r="B4317" s="33">
        <v>30</v>
      </c>
      <c r="C4317" s="33" t="s">
        <v>14</v>
      </c>
      <c r="D4317" s="33" t="s">
        <v>31</v>
      </c>
      <c r="F4317" s="67">
        <v>42402</v>
      </c>
      <c r="G4317" s="33" t="s">
        <v>20101</v>
      </c>
      <c r="H4317" s="33" t="s">
        <v>20102</v>
      </c>
      <c r="I4317" s="33" t="s">
        <v>39</v>
      </c>
      <c r="J4317" s="33" t="s">
        <v>20103</v>
      </c>
      <c r="K4317" s="33" t="s">
        <v>1537</v>
      </c>
      <c r="L4317" s="33" t="s">
        <v>2166</v>
      </c>
      <c r="M4317" s="33" t="s">
        <v>4966</v>
      </c>
      <c r="N4317" s="33" t="s">
        <v>20104</v>
      </c>
      <c r="O4317" s="33" t="s">
        <v>372</v>
      </c>
      <c r="P4317" s="33" t="s">
        <v>30089</v>
      </c>
      <c r="Q4317" s="40" t="s">
        <v>20105</v>
      </c>
      <c r="R4317" s="33" t="s">
        <v>512</v>
      </c>
      <c r="S4317" s="33" t="s">
        <v>22</v>
      </c>
      <c r="T4317" s="33" t="s">
        <v>26774</v>
      </c>
      <c r="U4317" s="33" t="s">
        <v>26570</v>
      </c>
      <c r="V4317" s="33" t="s">
        <v>26573</v>
      </c>
      <c r="W4317" s="33" t="s">
        <v>94</v>
      </c>
      <c r="X4317" s="33">
        <v>1231</v>
      </c>
      <c r="Z4317" s="33" t="s">
        <v>42966</v>
      </c>
      <c r="AA4317" s="33">
        <v>3348</v>
      </c>
    </row>
    <row r="4318" spans="1:27" ht="12" customHeight="1" x14ac:dyDescent="0.15">
      <c r="A4318" s="33" t="s">
        <v>19731</v>
      </c>
      <c r="B4318" s="33">
        <v>21</v>
      </c>
      <c r="C4318" s="33" t="s">
        <v>14</v>
      </c>
      <c r="D4318" s="33" t="s">
        <v>42</v>
      </c>
      <c r="F4318" s="67">
        <v>42401</v>
      </c>
      <c r="G4318" s="33" t="s">
        <v>19732</v>
      </c>
      <c r="H4318" s="33" t="s">
        <v>866</v>
      </c>
      <c r="I4318" s="33" t="s">
        <v>178</v>
      </c>
      <c r="J4318" s="33" t="s">
        <v>4561</v>
      </c>
      <c r="K4318" s="33" t="s">
        <v>433</v>
      </c>
      <c r="L4318" s="33" t="s">
        <v>19733</v>
      </c>
      <c r="M4318" s="33" t="s">
        <v>21</v>
      </c>
      <c r="N4318" s="33" t="s">
        <v>21016</v>
      </c>
      <c r="O4318" s="33" t="s">
        <v>372</v>
      </c>
      <c r="P4318" s="33" t="s">
        <v>30089</v>
      </c>
      <c r="Q4318" s="40" t="s">
        <v>19734</v>
      </c>
      <c r="R4318" s="33" t="s">
        <v>512</v>
      </c>
      <c r="S4318" s="33" t="s">
        <v>22</v>
      </c>
      <c r="T4318" s="33" t="s">
        <v>26781</v>
      </c>
      <c r="U4318" s="33" t="s">
        <v>26572</v>
      </c>
      <c r="V4318" s="33" t="s">
        <v>26571</v>
      </c>
      <c r="W4318" s="33" t="s">
        <v>512</v>
      </c>
      <c r="X4318" s="33">
        <v>1232</v>
      </c>
      <c r="Z4318" s="33" t="s">
        <v>42966</v>
      </c>
      <c r="AA4318" s="33">
        <v>3346</v>
      </c>
    </row>
    <row r="4319" spans="1:27" ht="12" customHeight="1" x14ac:dyDescent="0.15">
      <c r="A4319" s="33" t="s">
        <v>19505</v>
      </c>
      <c r="B4319" s="33">
        <v>36</v>
      </c>
      <c r="C4319" s="33" t="s">
        <v>14</v>
      </c>
      <c r="D4319" s="33" t="s">
        <v>79</v>
      </c>
      <c r="F4319" s="67">
        <v>42401</v>
      </c>
      <c r="G4319" s="33" t="s">
        <v>19506</v>
      </c>
      <c r="H4319" s="33" t="s">
        <v>107</v>
      </c>
      <c r="I4319" s="33" t="s">
        <v>3357</v>
      </c>
      <c r="J4319" s="33" t="s">
        <v>9681</v>
      </c>
      <c r="K4319" s="33" t="s">
        <v>3359</v>
      </c>
      <c r="L4319" s="33" t="s">
        <v>17581</v>
      </c>
      <c r="M4319" s="33" t="s">
        <v>21</v>
      </c>
      <c r="N4319" s="33" t="s">
        <v>20868</v>
      </c>
      <c r="O4319" s="33" t="s">
        <v>372</v>
      </c>
      <c r="P4319" s="33" t="s">
        <v>30089</v>
      </c>
      <c r="Q4319" s="40" t="s">
        <v>19507</v>
      </c>
      <c r="R4319" s="33" t="s">
        <v>23</v>
      </c>
      <c r="S4319" s="33" t="s">
        <v>12</v>
      </c>
      <c r="T4319" s="33" t="s">
        <v>29425</v>
      </c>
      <c r="U4319" s="33" t="s">
        <v>26572</v>
      </c>
      <c r="V4319" s="33" t="s">
        <v>26574</v>
      </c>
      <c r="W4319" s="33" t="s">
        <v>94</v>
      </c>
      <c r="X4319" s="33">
        <v>1219</v>
      </c>
      <c r="Z4319" s="33" t="s">
        <v>42966</v>
      </c>
      <c r="AA4319" s="33">
        <v>3347</v>
      </c>
    </row>
    <row r="4320" spans="1:27" ht="12" customHeight="1" x14ac:dyDescent="0.15">
      <c r="A4320" s="33" t="s">
        <v>20235</v>
      </c>
      <c r="B4320" s="33">
        <v>42</v>
      </c>
      <c r="C4320" s="33" t="s">
        <v>14</v>
      </c>
      <c r="D4320" s="33" t="s">
        <v>31</v>
      </c>
      <c r="F4320" s="67">
        <v>42400</v>
      </c>
      <c r="G4320" s="33" t="s">
        <v>20236</v>
      </c>
      <c r="H4320" s="33" t="s">
        <v>631</v>
      </c>
      <c r="I4320" s="33" t="s">
        <v>39</v>
      </c>
      <c r="J4320" s="33" t="s">
        <v>7369</v>
      </c>
      <c r="K4320" s="33" t="s">
        <v>632</v>
      </c>
      <c r="L4320" s="33" t="s">
        <v>897</v>
      </c>
      <c r="M4320" s="33" t="s">
        <v>21</v>
      </c>
      <c r="N4320" s="33" t="s">
        <v>20237</v>
      </c>
      <c r="O4320" s="33" t="s">
        <v>372</v>
      </c>
      <c r="P4320" s="33" t="s">
        <v>30089</v>
      </c>
      <c r="Q4320" s="40" t="s">
        <v>20238</v>
      </c>
      <c r="R4320" s="33" t="s">
        <v>94</v>
      </c>
      <c r="S4320" s="33" t="s">
        <v>22</v>
      </c>
      <c r="T4320" s="33" t="s">
        <v>26781</v>
      </c>
      <c r="U4320" s="33" t="s">
        <v>26572</v>
      </c>
      <c r="V4320" s="33" t="s">
        <v>26571</v>
      </c>
      <c r="W4320" s="33" t="s">
        <v>94</v>
      </c>
      <c r="X4320" s="33">
        <v>1288</v>
      </c>
      <c r="Z4320" s="33" t="s">
        <v>42968</v>
      </c>
      <c r="AA4320" s="33">
        <v>3342</v>
      </c>
    </row>
    <row r="4321" spans="1:27" ht="12" customHeight="1" x14ac:dyDescent="0.15">
      <c r="A4321" s="33" t="s">
        <v>19473</v>
      </c>
      <c r="B4321" s="33">
        <v>37</v>
      </c>
      <c r="C4321" s="33" t="s">
        <v>14</v>
      </c>
      <c r="D4321" s="33" t="s">
        <v>79</v>
      </c>
      <c r="F4321" s="67">
        <v>42400</v>
      </c>
      <c r="G4321" s="33" t="s">
        <v>19474</v>
      </c>
      <c r="H4321" s="33" t="s">
        <v>1528</v>
      </c>
      <c r="I4321" s="33" t="s">
        <v>376</v>
      </c>
      <c r="J4321" s="33" t="s">
        <v>9358</v>
      </c>
      <c r="K4321" s="33" t="s">
        <v>1530</v>
      </c>
      <c r="L4321" s="33" t="s">
        <v>19475</v>
      </c>
      <c r="M4321" s="33" t="s">
        <v>4966</v>
      </c>
      <c r="N4321" s="33" t="s">
        <v>20863</v>
      </c>
      <c r="O4321" s="33" t="s">
        <v>372</v>
      </c>
      <c r="P4321" s="33" t="s">
        <v>30089</v>
      </c>
      <c r="Q4321" s="40" t="s">
        <v>19476</v>
      </c>
      <c r="R4321" s="33" t="s">
        <v>512</v>
      </c>
      <c r="S4321" s="33" t="s">
        <v>22</v>
      </c>
      <c r="T4321" s="33" t="s">
        <v>26774</v>
      </c>
      <c r="U4321" s="33" t="s">
        <v>26572</v>
      </c>
      <c r="V4321" s="33" t="s">
        <v>26573</v>
      </c>
      <c r="W4321" s="33" t="s">
        <v>94</v>
      </c>
      <c r="X4321" s="33">
        <v>1220</v>
      </c>
      <c r="Z4321" s="33" t="s">
        <v>42968</v>
      </c>
      <c r="AA4321" s="33">
        <v>3344</v>
      </c>
    </row>
    <row r="4322" spans="1:27" ht="12" customHeight="1" x14ac:dyDescent="0.15">
      <c r="A4322" s="33" t="s">
        <v>19865</v>
      </c>
      <c r="B4322" s="33">
        <v>62</v>
      </c>
      <c r="C4322" s="33" t="s">
        <v>14</v>
      </c>
      <c r="D4322" s="33" t="s">
        <v>24</v>
      </c>
      <c r="F4322" s="67">
        <v>42400</v>
      </c>
      <c r="G4322" s="33" t="s">
        <v>19866</v>
      </c>
      <c r="H4322" s="33" t="s">
        <v>485</v>
      </c>
      <c r="I4322" s="33" t="s">
        <v>39</v>
      </c>
      <c r="J4322" s="33" t="s">
        <v>19867</v>
      </c>
      <c r="K4322" s="33" t="s">
        <v>558</v>
      </c>
      <c r="L4322" s="33" t="s">
        <v>20832</v>
      </c>
      <c r="M4322" s="33" t="s">
        <v>21</v>
      </c>
      <c r="N4322" s="33" t="s">
        <v>19868</v>
      </c>
      <c r="O4322" s="33" t="s">
        <v>372</v>
      </c>
      <c r="P4322" s="33" t="s">
        <v>30089</v>
      </c>
      <c r="Q4322" s="40" t="s">
        <v>19869</v>
      </c>
      <c r="R4322" s="33" t="s">
        <v>512</v>
      </c>
      <c r="S4322" s="33" t="s">
        <v>22</v>
      </c>
      <c r="T4322" s="33" t="s">
        <v>26781</v>
      </c>
      <c r="U4322" s="33" t="s">
        <v>26572</v>
      </c>
      <c r="V4322" s="33" t="s">
        <v>26573</v>
      </c>
      <c r="W4322" s="33" t="s">
        <v>94</v>
      </c>
      <c r="X4322" s="33">
        <v>1229</v>
      </c>
      <c r="Z4322" s="33" t="s">
        <v>42968</v>
      </c>
      <c r="AA4322" s="33">
        <v>3341</v>
      </c>
    </row>
    <row r="4323" spans="1:27" ht="12" customHeight="1" x14ac:dyDescent="0.15">
      <c r="A4323" s="33" t="s">
        <v>7300</v>
      </c>
      <c r="B4323" s="33">
        <v>25</v>
      </c>
      <c r="C4323" s="33" t="s">
        <v>14</v>
      </c>
      <c r="D4323" s="33" t="s">
        <v>31</v>
      </c>
      <c r="F4323" s="67">
        <v>42400</v>
      </c>
      <c r="G4323" s="33" t="s">
        <v>20178</v>
      </c>
      <c r="H4323" s="33" t="s">
        <v>870</v>
      </c>
      <c r="I4323" s="33" t="s">
        <v>67</v>
      </c>
      <c r="J4323" s="33" t="s">
        <v>20179</v>
      </c>
      <c r="K4323" s="33" t="s">
        <v>68</v>
      </c>
      <c r="L4323" s="33" t="s">
        <v>20180</v>
      </c>
      <c r="M4323" s="33" t="s">
        <v>4966</v>
      </c>
      <c r="N4323" s="33" t="s">
        <v>21007</v>
      </c>
      <c r="O4323" s="33" t="s">
        <v>372</v>
      </c>
      <c r="P4323" s="33" t="s">
        <v>30089</v>
      </c>
      <c r="Q4323" s="40" t="s">
        <v>20181</v>
      </c>
      <c r="R4323" s="33" t="s">
        <v>23</v>
      </c>
      <c r="S4323" s="33" t="s">
        <v>12</v>
      </c>
      <c r="T4323" s="33" t="s">
        <v>29705</v>
      </c>
      <c r="U4323" s="33" t="s">
        <v>26572</v>
      </c>
      <c r="V4323" s="33" t="s">
        <v>26573</v>
      </c>
      <c r="W4323" s="33" t="s">
        <v>94</v>
      </c>
      <c r="X4323" s="33">
        <v>1225</v>
      </c>
      <c r="Z4323" s="33" t="s">
        <v>42968</v>
      </c>
      <c r="AA4323" s="33">
        <v>3345</v>
      </c>
    </row>
    <row r="4324" spans="1:27" ht="12" customHeight="1" x14ac:dyDescent="0.15">
      <c r="A4324" s="33" t="s">
        <v>19914</v>
      </c>
      <c r="B4324" s="33">
        <v>46</v>
      </c>
      <c r="C4324" s="33" t="s">
        <v>14</v>
      </c>
      <c r="D4324" s="33" t="s">
        <v>42</v>
      </c>
      <c r="F4324" s="67">
        <v>42400</v>
      </c>
      <c r="G4324" s="33" t="s">
        <v>19915</v>
      </c>
      <c r="H4324" s="33" t="s">
        <v>19916</v>
      </c>
      <c r="I4324" s="33" t="s">
        <v>56</v>
      </c>
      <c r="J4324" s="33" t="s">
        <v>19917</v>
      </c>
      <c r="K4324" s="33" t="s">
        <v>17198</v>
      </c>
      <c r="L4324" s="33" t="s">
        <v>17122</v>
      </c>
      <c r="M4324" s="33" t="s">
        <v>21</v>
      </c>
      <c r="N4324" s="33" t="s">
        <v>19918</v>
      </c>
      <c r="O4324" s="33" t="s">
        <v>372</v>
      </c>
      <c r="P4324" s="33" t="s">
        <v>30089</v>
      </c>
      <c r="Q4324" s="40" t="s">
        <v>19919</v>
      </c>
      <c r="R4324" s="33" t="s">
        <v>94</v>
      </c>
      <c r="S4324" s="33" t="s">
        <v>22</v>
      </c>
      <c r="T4324" s="33" t="s">
        <v>26774</v>
      </c>
      <c r="U4324" s="33" t="s">
        <v>26570</v>
      </c>
      <c r="V4324" s="33" t="s">
        <v>26573</v>
      </c>
      <c r="W4324" s="33" t="s">
        <v>94</v>
      </c>
      <c r="X4324" s="33">
        <v>1223</v>
      </c>
      <c r="Z4324" s="33" t="s">
        <v>42968</v>
      </c>
      <c r="AA4324" s="33">
        <v>3343</v>
      </c>
    </row>
    <row r="4325" spans="1:27" ht="12" customHeight="1" x14ac:dyDescent="0.15">
      <c r="A4325" s="33" t="s">
        <v>19775</v>
      </c>
      <c r="B4325" s="33">
        <v>38</v>
      </c>
      <c r="C4325" s="33" t="s">
        <v>14</v>
      </c>
      <c r="D4325" s="33" t="s">
        <v>42</v>
      </c>
      <c r="F4325" s="67">
        <v>42399</v>
      </c>
      <c r="G4325" s="33" t="s">
        <v>19776</v>
      </c>
      <c r="H4325" s="33" t="s">
        <v>1096</v>
      </c>
      <c r="I4325" s="33" t="s">
        <v>192</v>
      </c>
      <c r="J4325" s="33" t="s">
        <v>19777</v>
      </c>
      <c r="K4325" s="33" t="s">
        <v>510</v>
      </c>
      <c r="L4325" s="33" t="s">
        <v>19778</v>
      </c>
      <c r="M4325" s="33" t="s">
        <v>21</v>
      </c>
      <c r="N4325" s="33" t="s">
        <v>21028</v>
      </c>
      <c r="O4325" s="33" t="s">
        <v>372</v>
      </c>
      <c r="P4325" s="33" t="s">
        <v>30089</v>
      </c>
      <c r="Q4325" s="40" t="s">
        <v>19779</v>
      </c>
      <c r="R4325" s="33" t="s">
        <v>94</v>
      </c>
      <c r="S4325" s="33" t="s">
        <v>29</v>
      </c>
      <c r="T4325" s="33" t="s">
        <v>26623</v>
      </c>
      <c r="U4325" s="33" t="s">
        <v>26570</v>
      </c>
      <c r="V4325" s="33" t="s">
        <v>26573</v>
      </c>
      <c r="W4325" s="33" t="s">
        <v>94</v>
      </c>
      <c r="X4325" s="33">
        <v>1222</v>
      </c>
      <c r="Z4325" s="33" t="s">
        <v>42966</v>
      </c>
      <c r="AA4325" s="33">
        <v>3340</v>
      </c>
    </row>
    <row r="4326" spans="1:27" ht="12" customHeight="1" x14ac:dyDescent="0.15">
      <c r="A4326" s="33" t="s">
        <v>20044</v>
      </c>
      <c r="B4326" s="33">
        <v>42</v>
      </c>
      <c r="C4326" s="33" t="s">
        <v>14</v>
      </c>
      <c r="D4326" s="33" t="s">
        <v>31</v>
      </c>
      <c r="F4326" s="67">
        <v>42399</v>
      </c>
      <c r="H4326" s="33" t="s">
        <v>1320</v>
      </c>
      <c r="I4326" s="33" t="s">
        <v>402</v>
      </c>
      <c r="J4326" s="33" t="s">
        <v>20045</v>
      </c>
      <c r="K4326" s="33" t="s">
        <v>3117</v>
      </c>
      <c r="L4326" s="33" t="s">
        <v>20046</v>
      </c>
      <c r="M4326" s="33" t="s">
        <v>21</v>
      </c>
      <c r="N4326" s="33" t="s">
        <v>36731</v>
      </c>
      <c r="O4326" s="33" t="s">
        <v>372</v>
      </c>
      <c r="P4326" s="33" t="s">
        <v>30089</v>
      </c>
      <c r="Q4326" s="40" t="s">
        <v>20047</v>
      </c>
      <c r="R4326" s="33" t="s">
        <v>94</v>
      </c>
      <c r="S4326" s="33" t="s">
        <v>22</v>
      </c>
      <c r="T4326" s="33" t="s">
        <v>26781</v>
      </c>
      <c r="U4326" s="33" t="s">
        <v>26572</v>
      </c>
      <c r="V4326" s="33" t="s">
        <v>26571</v>
      </c>
      <c r="W4326" s="33" t="s">
        <v>94</v>
      </c>
      <c r="X4326" s="33">
        <v>1230</v>
      </c>
      <c r="Z4326" s="33" t="s">
        <v>42967</v>
      </c>
      <c r="AA4326" s="33">
        <v>3339</v>
      </c>
    </row>
    <row r="4327" spans="1:27" ht="12" customHeight="1" x14ac:dyDescent="0.15">
      <c r="A4327" s="33" t="s">
        <v>19726</v>
      </c>
      <c r="B4327" s="33">
        <v>64</v>
      </c>
      <c r="C4327" s="33" t="s">
        <v>14</v>
      </c>
      <c r="D4327" s="33" t="s">
        <v>42</v>
      </c>
      <c r="F4327" s="67">
        <v>42399</v>
      </c>
      <c r="G4327" s="33" t="s">
        <v>19727</v>
      </c>
      <c r="H4327" s="33" t="s">
        <v>159</v>
      </c>
      <c r="I4327" s="33" t="s">
        <v>160</v>
      </c>
      <c r="J4327" s="33" t="s">
        <v>17970</v>
      </c>
      <c r="K4327" s="33" t="s">
        <v>161</v>
      </c>
      <c r="L4327" s="33" t="s">
        <v>19728</v>
      </c>
      <c r="M4327" s="33" t="s">
        <v>21</v>
      </c>
      <c r="N4327" s="33" t="s">
        <v>19729</v>
      </c>
      <c r="O4327" s="33" t="s">
        <v>372</v>
      </c>
      <c r="P4327" s="33" t="s">
        <v>30089</v>
      </c>
      <c r="Q4327" s="40" t="s">
        <v>19730</v>
      </c>
      <c r="R4327" s="33" t="s">
        <v>512</v>
      </c>
      <c r="S4327" s="33" t="s">
        <v>22</v>
      </c>
      <c r="T4327" s="33" t="s">
        <v>26781</v>
      </c>
      <c r="U4327" s="33" t="s">
        <v>26572</v>
      </c>
      <c r="V4327" s="33" t="s">
        <v>26573</v>
      </c>
      <c r="W4327" s="33" t="s">
        <v>94</v>
      </c>
      <c r="X4327" s="33">
        <v>1224</v>
      </c>
      <c r="Z4327" s="33" t="s">
        <v>42968</v>
      </c>
      <c r="AA4327" s="33">
        <v>3338</v>
      </c>
    </row>
    <row r="4328" spans="1:27" ht="12" customHeight="1" x14ac:dyDescent="0.15">
      <c r="A4328" s="33" t="s">
        <v>19572</v>
      </c>
      <c r="B4328" s="33">
        <v>29</v>
      </c>
      <c r="C4328" s="33" t="s">
        <v>14</v>
      </c>
      <c r="D4328" s="33" t="s">
        <v>79</v>
      </c>
      <c r="F4328" s="67">
        <v>42399</v>
      </c>
      <c r="G4328" s="33" t="s">
        <v>19573</v>
      </c>
      <c r="H4328" s="33" t="s">
        <v>81</v>
      </c>
      <c r="I4328" s="33" t="s">
        <v>38</v>
      </c>
      <c r="J4328" s="33" t="s">
        <v>8736</v>
      </c>
      <c r="K4328" s="33" t="s">
        <v>82</v>
      </c>
      <c r="L4328" s="33" t="s">
        <v>83</v>
      </c>
      <c r="M4328" s="33" t="s">
        <v>21</v>
      </c>
      <c r="N4328" s="33" t="s">
        <v>19574</v>
      </c>
      <c r="O4328" s="33" t="s">
        <v>372</v>
      </c>
      <c r="P4328" s="33" t="s">
        <v>30089</v>
      </c>
      <c r="Q4328" s="40" t="s">
        <v>19575</v>
      </c>
      <c r="R4328" s="33" t="s">
        <v>94</v>
      </c>
      <c r="S4328" s="33" t="s">
        <v>22</v>
      </c>
      <c r="T4328" s="33" t="s">
        <v>26781</v>
      </c>
      <c r="U4328" s="33" t="s">
        <v>26572</v>
      </c>
      <c r="V4328" s="33" t="s">
        <v>26573</v>
      </c>
      <c r="W4328" s="33" t="s">
        <v>94</v>
      </c>
      <c r="X4328" s="33">
        <v>1221</v>
      </c>
      <c r="Z4328" s="33" t="s">
        <v>42966</v>
      </c>
      <c r="AA4328" s="33">
        <v>3337</v>
      </c>
    </row>
    <row r="4329" spans="1:27" ht="12" customHeight="1" x14ac:dyDescent="0.15">
      <c r="A4329" s="33" t="s">
        <v>19382</v>
      </c>
      <c r="B4329" s="33">
        <v>33</v>
      </c>
      <c r="C4329" s="33" t="s">
        <v>14</v>
      </c>
      <c r="D4329" s="33" t="s">
        <v>79</v>
      </c>
      <c r="E4329" s="33" t="s">
        <v>19383</v>
      </c>
      <c r="F4329" s="67">
        <v>42398</v>
      </c>
      <c r="G4329" s="33" t="s">
        <v>19384</v>
      </c>
      <c r="H4329" s="33" t="s">
        <v>1191</v>
      </c>
      <c r="I4329" s="33" t="s">
        <v>40</v>
      </c>
      <c r="J4329" s="33" t="s">
        <v>19385</v>
      </c>
      <c r="K4329" s="33" t="s">
        <v>486</v>
      </c>
      <c r="L4329" s="33" t="s">
        <v>1192</v>
      </c>
      <c r="M4329" s="33" t="s">
        <v>21</v>
      </c>
      <c r="N4329" s="33" t="s">
        <v>19386</v>
      </c>
      <c r="O4329" s="33" t="s">
        <v>372</v>
      </c>
      <c r="P4329" s="33" t="s">
        <v>30089</v>
      </c>
      <c r="Q4329" s="40" t="s">
        <v>19387</v>
      </c>
      <c r="R4329" s="33" t="s">
        <v>94</v>
      </c>
      <c r="S4329" s="33" t="s">
        <v>22</v>
      </c>
      <c r="T4329" s="33" t="s">
        <v>26781</v>
      </c>
      <c r="U4329" s="33" t="s">
        <v>26572</v>
      </c>
      <c r="V4329" s="33" t="s">
        <v>19228</v>
      </c>
      <c r="W4329" s="33" t="s">
        <v>94</v>
      </c>
      <c r="X4329" s="33">
        <v>1216</v>
      </c>
      <c r="Z4329" s="33" t="s">
        <v>42966</v>
      </c>
      <c r="AA4329" s="33">
        <v>3334</v>
      </c>
    </row>
    <row r="4330" spans="1:27" ht="12" customHeight="1" x14ac:dyDescent="0.15">
      <c r="A4330" s="33" t="s">
        <v>19927</v>
      </c>
      <c r="B4330" s="33">
        <v>41</v>
      </c>
      <c r="C4330" s="33" t="s">
        <v>103</v>
      </c>
      <c r="D4330" s="33" t="s">
        <v>31</v>
      </c>
      <c r="F4330" s="67">
        <v>42398</v>
      </c>
      <c r="G4330" s="33" t="s">
        <v>19928</v>
      </c>
      <c r="H4330" s="33" t="s">
        <v>19929</v>
      </c>
      <c r="I4330" s="33" t="s">
        <v>88</v>
      </c>
      <c r="J4330" s="33" t="s">
        <v>19930</v>
      </c>
      <c r="K4330" s="33" t="s">
        <v>5086</v>
      </c>
      <c r="L4330" s="33" t="s">
        <v>7052</v>
      </c>
      <c r="M4330" s="33" t="s">
        <v>21</v>
      </c>
      <c r="N4330" s="33" t="s">
        <v>19931</v>
      </c>
      <c r="O4330" s="33" t="s">
        <v>372</v>
      </c>
      <c r="P4330" s="33" t="s">
        <v>30089</v>
      </c>
      <c r="Q4330" s="40" t="s">
        <v>19932</v>
      </c>
      <c r="R4330" s="33" t="s">
        <v>94</v>
      </c>
      <c r="S4330" s="33" t="s">
        <v>351</v>
      </c>
      <c r="T4330" s="33" t="s">
        <v>26867</v>
      </c>
      <c r="U4330" s="33" t="s">
        <v>26572</v>
      </c>
      <c r="V4330" s="33" t="s">
        <v>26571</v>
      </c>
      <c r="W4330" s="33" t="s">
        <v>94</v>
      </c>
      <c r="X4330" s="33">
        <v>1226</v>
      </c>
      <c r="Z4330" s="33" t="s">
        <v>42968</v>
      </c>
      <c r="AA4330" s="33">
        <v>3336</v>
      </c>
    </row>
    <row r="4331" spans="1:27" ht="12" customHeight="1" x14ac:dyDescent="0.15">
      <c r="A4331" s="33" t="s">
        <v>19462</v>
      </c>
      <c r="B4331" s="33">
        <v>29</v>
      </c>
      <c r="C4331" s="33" t="s">
        <v>14</v>
      </c>
      <c r="D4331" s="33" t="s">
        <v>79</v>
      </c>
      <c r="E4331" s="33" t="s">
        <v>19463</v>
      </c>
      <c r="F4331" s="67">
        <v>42398</v>
      </c>
      <c r="G4331" s="33" t="s">
        <v>19464</v>
      </c>
      <c r="H4331" s="33" t="s">
        <v>5639</v>
      </c>
      <c r="I4331" s="33" t="s">
        <v>67</v>
      </c>
      <c r="J4331" s="33" t="s">
        <v>5640</v>
      </c>
      <c r="K4331" s="33" t="s">
        <v>266</v>
      </c>
      <c r="L4331" s="33" t="s">
        <v>5641</v>
      </c>
      <c r="M4331" s="33" t="s">
        <v>21</v>
      </c>
      <c r="N4331" s="33" t="s">
        <v>19465</v>
      </c>
      <c r="O4331" s="33" t="s">
        <v>372</v>
      </c>
      <c r="P4331" s="33" t="s">
        <v>30089</v>
      </c>
      <c r="Q4331" s="40" t="s">
        <v>19466</v>
      </c>
      <c r="R4331" s="33" t="s">
        <v>94</v>
      </c>
      <c r="S4331" s="33" t="s">
        <v>22</v>
      </c>
      <c r="T4331" s="33" t="s">
        <v>26781</v>
      </c>
      <c r="U4331" s="33" t="s">
        <v>26570</v>
      </c>
      <c r="V4331" s="33" t="s">
        <v>26573</v>
      </c>
      <c r="W4331" s="33" t="s">
        <v>94</v>
      </c>
      <c r="X4331" s="33">
        <v>1218</v>
      </c>
      <c r="Z4331" s="33" t="s">
        <v>42968</v>
      </c>
      <c r="AA4331" s="33">
        <v>3335</v>
      </c>
    </row>
    <row r="4332" spans="1:27" ht="12" customHeight="1" x14ac:dyDescent="0.15">
      <c r="A4332" s="33" t="s">
        <v>19445</v>
      </c>
      <c r="B4332" s="33">
        <v>19</v>
      </c>
      <c r="C4332" s="33" t="s">
        <v>14</v>
      </c>
      <c r="D4332" s="33" t="s">
        <v>79</v>
      </c>
      <c r="E4332" s="33" t="s">
        <v>19446</v>
      </c>
      <c r="F4332" s="67">
        <v>42397</v>
      </c>
      <c r="G4332" s="33" t="s">
        <v>19447</v>
      </c>
      <c r="H4332" s="33" t="s">
        <v>19448</v>
      </c>
      <c r="I4332" s="33" t="s">
        <v>106</v>
      </c>
      <c r="J4332" s="33" t="s">
        <v>19449</v>
      </c>
      <c r="K4332" s="33" t="s">
        <v>3919</v>
      </c>
      <c r="L4332" s="33" t="s">
        <v>3920</v>
      </c>
      <c r="M4332" s="33" t="s">
        <v>21</v>
      </c>
      <c r="N4332" s="33" t="s">
        <v>19450</v>
      </c>
      <c r="O4332" s="33" t="s">
        <v>372</v>
      </c>
      <c r="P4332" s="33" t="s">
        <v>30089</v>
      </c>
      <c r="Q4332" s="40" t="s">
        <v>19451</v>
      </c>
      <c r="R4332" s="33" t="s">
        <v>512</v>
      </c>
      <c r="S4332" s="33" t="s">
        <v>22</v>
      </c>
      <c r="T4332" s="33" t="s">
        <v>26781</v>
      </c>
      <c r="U4332" s="33" t="s">
        <v>26570</v>
      </c>
      <c r="V4332" s="33" t="s">
        <v>26573</v>
      </c>
      <c r="W4332" s="33" t="s">
        <v>94</v>
      </c>
      <c r="X4332" s="33">
        <v>1215</v>
      </c>
      <c r="Z4332" s="33" t="s">
        <v>42968</v>
      </c>
      <c r="AA4332" s="33">
        <v>3332</v>
      </c>
    </row>
    <row r="4333" spans="1:27" ht="12" customHeight="1" x14ac:dyDescent="0.15">
      <c r="A4333" s="33" t="s">
        <v>20661</v>
      </c>
      <c r="B4333" s="33">
        <v>33</v>
      </c>
      <c r="C4333" s="33" t="s">
        <v>14</v>
      </c>
      <c r="D4333" s="33" t="s">
        <v>31</v>
      </c>
      <c r="E4333" s="33" t="s">
        <v>20662</v>
      </c>
      <c r="F4333" s="67">
        <v>42397</v>
      </c>
      <c r="G4333" s="33" t="s">
        <v>20663</v>
      </c>
      <c r="H4333" s="33" t="s">
        <v>1522</v>
      </c>
      <c r="I4333" s="33" t="s">
        <v>432</v>
      </c>
      <c r="J4333" s="33" t="s">
        <v>4265</v>
      </c>
      <c r="K4333" s="33" t="s">
        <v>882</v>
      </c>
      <c r="L4333" s="33" t="s">
        <v>2101</v>
      </c>
      <c r="M4333" s="33" t="s">
        <v>21</v>
      </c>
      <c r="N4333" s="33" t="s">
        <v>20664</v>
      </c>
      <c r="O4333" s="33" t="s">
        <v>372</v>
      </c>
      <c r="P4333" s="33" t="s">
        <v>30089</v>
      </c>
      <c r="Q4333" s="40" t="s">
        <v>20665</v>
      </c>
      <c r="R4333" s="33" t="s">
        <v>512</v>
      </c>
      <c r="S4333" s="33" t="s">
        <v>22</v>
      </c>
      <c r="T4333" s="33" t="s">
        <v>26781</v>
      </c>
      <c r="U4333" s="33" t="s">
        <v>26572</v>
      </c>
      <c r="V4333" s="33" t="s">
        <v>26574</v>
      </c>
      <c r="W4333" s="33" t="s">
        <v>94</v>
      </c>
      <c r="X4333" s="33">
        <v>1214</v>
      </c>
      <c r="Z4333" s="33" t="s">
        <v>42966</v>
      </c>
      <c r="AA4333" s="33">
        <v>3331</v>
      </c>
    </row>
    <row r="4334" spans="1:27" ht="12" customHeight="1" x14ac:dyDescent="0.15">
      <c r="A4334" s="33" t="s">
        <v>19809</v>
      </c>
      <c r="B4334" s="33">
        <v>32</v>
      </c>
      <c r="C4334" s="33" t="s">
        <v>103</v>
      </c>
      <c r="D4334" s="33" t="s">
        <v>128</v>
      </c>
      <c r="E4334" s="33" t="s">
        <v>19810</v>
      </c>
      <c r="F4334" s="67">
        <v>42397</v>
      </c>
      <c r="G4334" s="33" t="s">
        <v>19811</v>
      </c>
      <c r="H4334" s="33" t="s">
        <v>826</v>
      </c>
      <c r="I4334" s="33" t="s">
        <v>282</v>
      </c>
      <c r="J4334" s="33" t="s">
        <v>19812</v>
      </c>
      <c r="K4334" s="33" t="s">
        <v>827</v>
      </c>
      <c r="L4334" s="33" t="s">
        <v>828</v>
      </c>
      <c r="M4334" s="33" t="s">
        <v>21</v>
      </c>
      <c r="N4334" s="33" t="s">
        <v>19813</v>
      </c>
      <c r="O4334" s="33" t="s">
        <v>372</v>
      </c>
      <c r="P4334" s="33" t="s">
        <v>30089</v>
      </c>
      <c r="Q4334" s="40" t="s">
        <v>19814</v>
      </c>
      <c r="R4334" s="33" t="s">
        <v>94</v>
      </c>
      <c r="S4334" s="33" t="s">
        <v>351</v>
      </c>
      <c r="T4334" s="33" t="s">
        <v>26867</v>
      </c>
      <c r="U4334" s="33" t="s">
        <v>26570</v>
      </c>
      <c r="V4334" s="33" t="s">
        <v>26573</v>
      </c>
      <c r="W4334" s="33" t="s">
        <v>94</v>
      </c>
      <c r="X4334" s="33">
        <v>1213</v>
      </c>
      <c r="Z4334" s="33" t="s">
        <v>42966</v>
      </c>
      <c r="AA4334" s="33">
        <v>3333</v>
      </c>
    </row>
    <row r="4335" spans="1:27" ht="12" customHeight="1" x14ac:dyDescent="0.15">
      <c r="A4335" s="33" t="s">
        <v>20224</v>
      </c>
      <c r="B4335" s="33">
        <v>52</v>
      </c>
      <c r="C4335" s="33" t="s">
        <v>14</v>
      </c>
      <c r="D4335" s="33" t="s">
        <v>31</v>
      </c>
      <c r="E4335" s="33" t="s">
        <v>20225</v>
      </c>
      <c r="F4335" s="67">
        <v>42396</v>
      </c>
      <c r="G4335" s="33" t="s">
        <v>20226</v>
      </c>
      <c r="H4335" s="33" t="s">
        <v>20227</v>
      </c>
      <c r="I4335" s="33" t="s">
        <v>918</v>
      </c>
      <c r="J4335" s="33" t="s">
        <v>20228</v>
      </c>
      <c r="K4335" s="33" t="s">
        <v>2330</v>
      </c>
      <c r="L4335" s="33" t="s">
        <v>20229</v>
      </c>
      <c r="M4335" s="33" t="s">
        <v>21</v>
      </c>
      <c r="N4335" s="33" t="s">
        <v>20230</v>
      </c>
      <c r="O4335" s="33" t="s">
        <v>372</v>
      </c>
      <c r="P4335" s="33" t="s">
        <v>30089</v>
      </c>
      <c r="Q4335" s="40" t="s">
        <v>20231</v>
      </c>
      <c r="R4335" s="33" t="s">
        <v>94</v>
      </c>
      <c r="S4335" s="33" t="s">
        <v>22</v>
      </c>
      <c r="T4335" s="33" t="s">
        <v>26781</v>
      </c>
      <c r="U4335" s="33" t="s">
        <v>26572</v>
      </c>
      <c r="V4335" s="33" t="s">
        <v>26573</v>
      </c>
      <c r="W4335" s="33" t="s">
        <v>94</v>
      </c>
      <c r="X4335" s="33">
        <v>1204</v>
      </c>
      <c r="Z4335" s="33" t="s">
        <v>42967</v>
      </c>
      <c r="AA4335" s="33">
        <v>3323</v>
      </c>
    </row>
    <row r="4336" spans="1:27" ht="12" customHeight="1" x14ac:dyDescent="0.15">
      <c r="A4336" s="33" t="s">
        <v>19626</v>
      </c>
      <c r="B4336" s="33">
        <v>26</v>
      </c>
      <c r="C4336" s="33" t="s">
        <v>14</v>
      </c>
      <c r="D4336" s="33" t="s">
        <v>42</v>
      </c>
      <c r="E4336" s="33" t="s">
        <v>19627</v>
      </c>
      <c r="F4336" s="67">
        <v>42396</v>
      </c>
      <c r="G4336" s="33" t="s">
        <v>19628</v>
      </c>
      <c r="H4336" s="33" t="s">
        <v>5762</v>
      </c>
      <c r="I4336" s="33" t="s">
        <v>160</v>
      </c>
      <c r="J4336" s="33" t="s">
        <v>11280</v>
      </c>
      <c r="K4336" s="33" t="s">
        <v>3052</v>
      </c>
      <c r="L4336" s="33" t="s">
        <v>19629</v>
      </c>
      <c r="M4336" s="33" t="s">
        <v>21</v>
      </c>
      <c r="N4336" s="33" t="s">
        <v>20996</v>
      </c>
      <c r="O4336" s="33" t="s">
        <v>372</v>
      </c>
      <c r="P4336" s="33" t="s">
        <v>30089</v>
      </c>
      <c r="Q4336" s="40" t="s">
        <v>19630</v>
      </c>
      <c r="R4336" s="33" t="s">
        <v>94</v>
      </c>
      <c r="S4336" s="33" t="s">
        <v>22</v>
      </c>
      <c r="T4336" s="33" t="s">
        <v>26781</v>
      </c>
      <c r="U4336" s="33" t="s">
        <v>26572</v>
      </c>
      <c r="V4336" s="33" t="s">
        <v>26571</v>
      </c>
      <c r="W4336" s="33" t="s">
        <v>94</v>
      </c>
      <c r="X4336" s="33">
        <v>1212</v>
      </c>
      <c r="Z4336" s="33" t="s">
        <v>42968</v>
      </c>
      <c r="AA4336" s="33">
        <v>3327</v>
      </c>
    </row>
    <row r="4337" spans="1:27" ht="12" customHeight="1" x14ac:dyDescent="0.15">
      <c r="A4337" s="33" t="s">
        <v>19328</v>
      </c>
      <c r="B4337" s="33">
        <v>40</v>
      </c>
      <c r="C4337" s="33" t="s">
        <v>14</v>
      </c>
      <c r="D4337" s="33" t="s">
        <v>15</v>
      </c>
      <c r="E4337" s="33" t="s">
        <v>19329</v>
      </c>
      <c r="F4337" s="67">
        <v>42396</v>
      </c>
      <c r="G4337" s="33" t="s">
        <v>19330</v>
      </c>
      <c r="H4337" s="33" t="s">
        <v>7977</v>
      </c>
      <c r="I4337" s="33" t="s">
        <v>298</v>
      </c>
      <c r="J4337" s="33" t="s">
        <v>19331</v>
      </c>
      <c r="K4337" s="33" t="s">
        <v>7979</v>
      </c>
      <c r="L4337" s="33" t="s">
        <v>19332</v>
      </c>
      <c r="M4337" s="33" t="s">
        <v>21</v>
      </c>
      <c r="N4337" s="33" t="s">
        <v>19333</v>
      </c>
      <c r="O4337" s="33" t="s">
        <v>372</v>
      </c>
      <c r="P4337" s="33" t="s">
        <v>30089</v>
      </c>
      <c r="Q4337" s="40" t="s">
        <v>19334</v>
      </c>
      <c r="R4337" s="33" t="s">
        <v>512</v>
      </c>
      <c r="S4337" s="33" t="s">
        <v>12</v>
      </c>
      <c r="T4337" s="33" t="s">
        <v>29425</v>
      </c>
      <c r="U4337" s="33" t="s">
        <v>26570</v>
      </c>
      <c r="V4337" s="33" t="s">
        <v>26573</v>
      </c>
      <c r="W4337" s="33" t="s">
        <v>94</v>
      </c>
      <c r="X4337" s="33">
        <v>1208</v>
      </c>
      <c r="Z4337" s="33" t="s">
        <v>42968</v>
      </c>
      <c r="AA4337" s="33">
        <v>3329</v>
      </c>
    </row>
    <row r="4338" spans="1:27" ht="12" customHeight="1" x14ac:dyDescent="0.15">
      <c r="A4338" s="33" t="s">
        <v>19568</v>
      </c>
      <c r="B4338" s="33">
        <v>31</v>
      </c>
      <c r="C4338" s="33" t="s">
        <v>103</v>
      </c>
      <c r="D4338" s="33" t="s">
        <v>79</v>
      </c>
      <c r="E4338" s="33" t="s">
        <v>19569</v>
      </c>
      <c r="F4338" s="67">
        <v>42396</v>
      </c>
      <c r="G4338" s="33" t="s">
        <v>19570</v>
      </c>
      <c r="H4338" s="33" t="s">
        <v>5253</v>
      </c>
      <c r="I4338" s="33" t="s">
        <v>51</v>
      </c>
      <c r="J4338" s="33" t="s">
        <v>5254</v>
      </c>
      <c r="K4338" s="33" t="s">
        <v>1057</v>
      </c>
      <c r="L4338" s="33" t="s">
        <v>5255</v>
      </c>
      <c r="M4338" s="33" t="s">
        <v>21</v>
      </c>
      <c r="N4338" s="33" t="s">
        <v>20999</v>
      </c>
      <c r="O4338" s="33" t="s">
        <v>372</v>
      </c>
      <c r="P4338" s="33" t="s">
        <v>30089</v>
      </c>
      <c r="Q4338" s="40" t="s">
        <v>19571</v>
      </c>
      <c r="R4338" s="33" t="s">
        <v>512</v>
      </c>
      <c r="S4338" s="33" t="s">
        <v>351</v>
      </c>
      <c r="T4338" s="33" t="s">
        <v>26867</v>
      </c>
      <c r="U4338" s="33" t="s">
        <v>26570</v>
      </c>
      <c r="V4338" s="33" t="s">
        <v>26571</v>
      </c>
      <c r="W4338" s="33" t="s">
        <v>94</v>
      </c>
      <c r="X4338" s="33">
        <v>1209</v>
      </c>
      <c r="Z4338" s="33" t="s">
        <v>42966</v>
      </c>
      <c r="AA4338" s="33">
        <v>3330</v>
      </c>
    </row>
    <row r="4339" spans="1:27" ht="12" customHeight="1" x14ac:dyDescent="0.15">
      <c r="A4339" s="33" t="s">
        <v>19887</v>
      </c>
      <c r="B4339" s="33">
        <v>31</v>
      </c>
      <c r="C4339" s="33" t="s">
        <v>14</v>
      </c>
      <c r="D4339" s="33" t="s">
        <v>42</v>
      </c>
      <c r="F4339" s="67">
        <v>42396</v>
      </c>
      <c r="G4339" s="33" t="s">
        <v>19888</v>
      </c>
      <c r="H4339" s="33" t="s">
        <v>580</v>
      </c>
      <c r="I4339" s="33" t="s">
        <v>178</v>
      </c>
      <c r="J4339" s="33" t="s">
        <v>11951</v>
      </c>
      <c r="K4339" s="33" t="s">
        <v>580</v>
      </c>
      <c r="L4339" s="33" t="s">
        <v>19889</v>
      </c>
      <c r="M4339" s="33" t="s">
        <v>21</v>
      </c>
      <c r="N4339" s="33" t="s">
        <v>19890</v>
      </c>
      <c r="O4339" s="33" t="s">
        <v>372</v>
      </c>
      <c r="P4339" s="33" t="s">
        <v>30089</v>
      </c>
      <c r="Q4339" s="40" t="s">
        <v>19891</v>
      </c>
      <c r="R4339" s="33" t="s">
        <v>94</v>
      </c>
      <c r="S4339" s="33" t="s">
        <v>22</v>
      </c>
      <c r="T4339" s="33" t="s">
        <v>26781</v>
      </c>
      <c r="U4339" s="33" t="s">
        <v>26572</v>
      </c>
      <c r="V4339" s="33" t="s">
        <v>26573</v>
      </c>
      <c r="W4339" s="33" t="s">
        <v>94</v>
      </c>
      <c r="X4339" s="33">
        <v>1206</v>
      </c>
      <c r="Z4339" s="33" t="s">
        <v>42968</v>
      </c>
      <c r="AA4339" s="33">
        <v>3325</v>
      </c>
    </row>
    <row r="4340" spans="1:27" ht="12" customHeight="1" x14ac:dyDescent="0.15">
      <c r="A4340" s="33" t="s">
        <v>19904</v>
      </c>
      <c r="B4340" s="33">
        <v>30</v>
      </c>
      <c r="C4340" s="33" t="s">
        <v>14</v>
      </c>
      <c r="D4340" s="33" t="s">
        <v>31</v>
      </c>
      <c r="F4340" s="67">
        <v>42396</v>
      </c>
      <c r="G4340" s="33" t="s">
        <v>19905</v>
      </c>
      <c r="H4340" s="33" t="s">
        <v>19906</v>
      </c>
      <c r="I4340" s="33" t="s">
        <v>67</v>
      </c>
      <c r="J4340" s="33" t="s">
        <v>19907</v>
      </c>
      <c r="K4340" s="33" t="s">
        <v>3032</v>
      </c>
      <c r="L4340" s="33" t="s">
        <v>13908</v>
      </c>
      <c r="M4340" s="33" t="s">
        <v>21</v>
      </c>
      <c r="N4340" s="33" t="s">
        <v>19908</v>
      </c>
      <c r="O4340" s="33" t="s">
        <v>372</v>
      </c>
      <c r="P4340" s="33" t="s">
        <v>30089</v>
      </c>
      <c r="Q4340" s="40" t="s">
        <v>19909</v>
      </c>
      <c r="R4340" s="33" t="s">
        <v>94</v>
      </c>
      <c r="S4340" s="33" t="s">
        <v>22</v>
      </c>
      <c r="T4340" s="33" t="s">
        <v>26781</v>
      </c>
      <c r="U4340" s="33" t="s">
        <v>26572</v>
      </c>
      <c r="V4340" s="33" t="s">
        <v>26571</v>
      </c>
      <c r="W4340" s="33" t="s">
        <v>94</v>
      </c>
      <c r="X4340" s="33">
        <v>1210</v>
      </c>
      <c r="Z4340" s="33" t="s">
        <v>42967</v>
      </c>
      <c r="AA4340" s="33">
        <v>3326</v>
      </c>
    </row>
    <row r="4341" spans="1:27" ht="12" customHeight="1" x14ac:dyDescent="0.15">
      <c r="A4341" s="33" t="s">
        <v>20493</v>
      </c>
      <c r="B4341" s="33">
        <v>27</v>
      </c>
      <c r="C4341" s="33" t="s">
        <v>14</v>
      </c>
      <c r="D4341" s="33" t="s">
        <v>31</v>
      </c>
      <c r="E4341" s="33" t="s">
        <v>20494</v>
      </c>
      <c r="F4341" s="67">
        <v>42396</v>
      </c>
      <c r="G4341" s="33" t="s">
        <v>20495</v>
      </c>
      <c r="H4341" s="33" t="s">
        <v>20496</v>
      </c>
      <c r="I4341" s="33" t="s">
        <v>26</v>
      </c>
      <c r="J4341" s="33" t="s">
        <v>20497</v>
      </c>
      <c r="K4341" s="33" t="s">
        <v>17457</v>
      </c>
      <c r="L4341" s="33" t="s">
        <v>20498</v>
      </c>
      <c r="M4341" s="33" t="s">
        <v>21</v>
      </c>
      <c r="N4341" s="33" t="s">
        <v>20499</v>
      </c>
      <c r="O4341" s="33" t="s">
        <v>372</v>
      </c>
      <c r="P4341" s="33" t="s">
        <v>30089</v>
      </c>
      <c r="Q4341" s="40" t="s">
        <v>20500</v>
      </c>
      <c r="R4341" s="33" t="s">
        <v>94</v>
      </c>
      <c r="S4341" s="33" t="s">
        <v>22</v>
      </c>
      <c r="T4341" s="33" t="s">
        <v>26774</v>
      </c>
      <c r="U4341" s="33" t="s">
        <v>26570</v>
      </c>
      <c r="V4341" s="33" t="s">
        <v>26573</v>
      </c>
      <c r="W4341" s="33" t="s">
        <v>94</v>
      </c>
      <c r="X4341" s="33">
        <v>1207</v>
      </c>
      <c r="Z4341" s="33" t="s">
        <v>42967</v>
      </c>
      <c r="AA4341" s="33">
        <v>3328</v>
      </c>
    </row>
    <row r="4342" spans="1:27" ht="12" customHeight="1" x14ac:dyDescent="0.15">
      <c r="A4342" s="33" t="s">
        <v>19550</v>
      </c>
      <c r="B4342" s="33">
        <v>32</v>
      </c>
      <c r="C4342" s="33" t="s">
        <v>14</v>
      </c>
      <c r="D4342" s="33" t="s">
        <v>79</v>
      </c>
      <c r="E4342" s="33" t="s">
        <v>19551</v>
      </c>
      <c r="F4342" s="67">
        <v>42396</v>
      </c>
      <c r="G4342" s="33" t="s">
        <v>19552</v>
      </c>
      <c r="H4342" s="33" t="s">
        <v>1116</v>
      </c>
      <c r="I4342" s="33" t="s">
        <v>298</v>
      </c>
      <c r="J4342" s="33" t="s">
        <v>19553</v>
      </c>
      <c r="K4342" s="33" t="s">
        <v>1117</v>
      </c>
      <c r="L4342" s="33" t="s">
        <v>1118</v>
      </c>
      <c r="M4342" s="33" t="s">
        <v>21</v>
      </c>
      <c r="N4342" s="33" t="s">
        <v>20869</v>
      </c>
      <c r="O4342" s="33" t="s">
        <v>372</v>
      </c>
      <c r="P4342" s="33" t="s">
        <v>30089</v>
      </c>
      <c r="Q4342" s="40" t="s">
        <v>19554</v>
      </c>
      <c r="R4342" s="33" t="s">
        <v>94</v>
      </c>
      <c r="S4342" s="33" t="s">
        <v>22</v>
      </c>
      <c r="T4342" s="33" t="s">
        <v>26781</v>
      </c>
      <c r="U4342" s="33" t="s">
        <v>26572</v>
      </c>
      <c r="V4342" s="33" t="s">
        <v>19228</v>
      </c>
      <c r="W4342" s="33" t="s">
        <v>512</v>
      </c>
      <c r="X4342" s="33">
        <v>1205</v>
      </c>
      <c r="Z4342" s="33" t="s">
        <v>42966</v>
      </c>
      <c r="AA4342" s="33">
        <v>3324</v>
      </c>
    </row>
    <row r="4343" spans="1:27" ht="12" customHeight="1" x14ac:dyDescent="0.15">
      <c r="A4343" s="33" t="s">
        <v>20666</v>
      </c>
      <c r="B4343" s="33">
        <v>55</v>
      </c>
      <c r="C4343" s="33" t="s">
        <v>14</v>
      </c>
      <c r="D4343" s="33" t="s">
        <v>31</v>
      </c>
      <c r="E4343" s="33" t="s">
        <v>20667</v>
      </c>
      <c r="F4343" s="67">
        <v>42395</v>
      </c>
      <c r="G4343" s="33" t="s">
        <v>20668</v>
      </c>
      <c r="H4343" s="33" t="s">
        <v>958</v>
      </c>
      <c r="I4343" s="33" t="s">
        <v>106</v>
      </c>
      <c r="J4343" s="33" t="s">
        <v>20669</v>
      </c>
      <c r="K4343" s="33" t="s">
        <v>20670</v>
      </c>
      <c r="L4343" s="33" t="s">
        <v>377</v>
      </c>
      <c r="M4343" s="33" t="s">
        <v>21</v>
      </c>
      <c r="N4343" s="33" t="s">
        <v>20671</v>
      </c>
      <c r="O4343" s="33" t="s">
        <v>372</v>
      </c>
      <c r="P4343" s="33" t="s">
        <v>30089</v>
      </c>
      <c r="Q4343" s="40" t="s">
        <v>20672</v>
      </c>
      <c r="R4343" s="33" t="s">
        <v>94</v>
      </c>
      <c r="S4343" s="33" t="s">
        <v>22</v>
      </c>
      <c r="T4343" s="33" t="s">
        <v>26781</v>
      </c>
      <c r="U4343" s="33" t="s">
        <v>26570</v>
      </c>
      <c r="V4343" s="33" t="s">
        <v>26573</v>
      </c>
      <c r="W4343" s="33" t="s">
        <v>94</v>
      </c>
      <c r="X4343" s="33">
        <v>1203</v>
      </c>
      <c r="Z4343" s="33" t="s">
        <v>42967</v>
      </c>
      <c r="AA4343" s="33">
        <v>3321</v>
      </c>
    </row>
    <row r="4344" spans="1:27" ht="12" customHeight="1" x14ac:dyDescent="0.15">
      <c r="A4344" s="33" t="s">
        <v>20704</v>
      </c>
      <c r="B4344" s="33">
        <v>57</v>
      </c>
      <c r="C4344" s="33" t="s">
        <v>103</v>
      </c>
      <c r="D4344" s="33" t="s">
        <v>42</v>
      </c>
      <c r="F4344" s="67">
        <v>42395</v>
      </c>
      <c r="G4344" s="33" t="s">
        <v>22118</v>
      </c>
      <c r="H4344" s="33" t="s">
        <v>1122</v>
      </c>
      <c r="I4344" s="33" t="s">
        <v>67</v>
      </c>
      <c r="J4344" s="33" t="s">
        <v>6026</v>
      </c>
      <c r="K4344" s="33" t="s">
        <v>1123</v>
      </c>
      <c r="L4344" s="33" t="s">
        <v>1124</v>
      </c>
      <c r="M4344" s="33" t="s">
        <v>21</v>
      </c>
      <c r="N4344" s="33" t="s">
        <v>29870</v>
      </c>
      <c r="O4344" s="33" t="s">
        <v>372</v>
      </c>
      <c r="P4344" s="33" t="s">
        <v>30089</v>
      </c>
      <c r="Q4344" s="40" t="s">
        <v>20705</v>
      </c>
      <c r="R4344" s="33" t="s">
        <v>94</v>
      </c>
      <c r="S4344" s="33" t="s">
        <v>12</v>
      </c>
      <c r="T4344" s="33" t="s">
        <v>29705</v>
      </c>
      <c r="U4344" s="33" t="s">
        <v>26570</v>
      </c>
      <c r="V4344" s="33" t="s">
        <v>26573</v>
      </c>
      <c r="Y4344" s="33" t="s">
        <v>42476</v>
      </c>
      <c r="Z4344" s="33" t="s">
        <v>42968</v>
      </c>
      <c r="AA4344" s="33">
        <v>3322</v>
      </c>
    </row>
    <row r="4345" spans="1:27" ht="12" customHeight="1" x14ac:dyDescent="0.15">
      <c r="A4345" s="33" t="s">
        <v>19761</v>
      </c>
      <c r="B4345" s="33">
        <v>38</v>
      </c>
      <c r="C4345" s="33" t="s">
        <v>14</v>
      </c>
      <c r="D4345" s="33" t="s">
        <v>42</v>
      </c>
      <c r="F4345" s="67">
        <v>42394</v>
      </c>
      <c r="G4345" s="33" t="s">
        <v>19762</v>
      </c>
      <c r="H4345" s="33" t="s">
        <v>1506</v>
      </c>
      <c r="I4345" s="33" t="s">
        <v>250</v>
      </c>
      <c r="J4345" s="33" t="s">
        <v>6816</v>
      </c>
      <c r="K4345" s="33" t="s">
        <v>5732</v>
      </c>
      <c r="L4345" s="33" t="s">
        <v>6817</v>
      </c>
      <c r="M4345" s="33" t="s">
        <v>4966</v>
      </c>
      <c r="N4345" s="33" t="s">
        <v>19763</v>
      </c>
      <c r="O4345" s="33" t="s">
        <v>372</v>
      </c>
      <c r="P4345" s="33" t="s">
        <v>30089</v>
      </c>
      <c r="Q4345" s="40" t="s">
        <v>19764</v>
      </c>
      <c r="R4345" s="33" t="s">
        <v>512</v>
      </c>
      <c r="S4345" s="33" t="s">
        <v>22</v>
      </c>
      <c r="T4345" s="33" t="s">
        <v>26774</v>
      </c>
      <c r="U4345" s="33" t="s">
        <v>26570</v>
      </c>
      <c r="V4345" s="33" t="s">
        <v>26573</v>
      </c>
      <c r="W4345" s="33" t="s">
        <v>94</v>
      </c>
      <c r="X4345" s="33">
        <v>1199</v>
      </c>
      <c r="Z4345" s="33" t="s">
        <v>42968</v>
      </c>
      <c r="AA4345" s="33">
        <v>3320</v>
      </c>
    </row>
    <row r="4346" spans="1:27" ht="12" customHeight="1" x14ac:dyDescent="0.15">
      <c r="A4346" s="33" t="s">
        <v>21348</v>
      </c>
      <c r="B4346" s="33">
        <v>47</v>
      </c>
      <c r="C4346" s="33" t="s">
        <v>14</v>
      </c>
      <c r="D4346" s="33" t="s">
        <v>31</v>
      </c>
      <c r="E4346" s="33" t="s">
        <v>21403</v>
      </c>
      <c r="F4346" s="67">
        <v>42394</v>
      </c>
      <c r="G4346" s="33" t="s">
        <v>21405</v>
      </c>
      <c r="H4346" s="33" t="s">
        <v>21406</v>
      </c>
      <c r="I4346" s="33" t="s">
        <v>39</v>
      </c>
      <c r="J4346" s="33">
        <v>92345</v>
      </c>
      <c r="K4346" s="33" t="s">
        <v>288</v>
      </c>
      <c r="L4346" s="33" t="s">
        <v>289</v>
      </c>
      <c r="M4346" s="33" t="s">
        <v>21</v>
      </c>
      <c r="N4346" s="33" t="s">
        <v>36732</v>
      </c>
      <c r="O4346" s="33" t="s">
        <v>372</v>
      </c>
      <c r="P4346" s="33" t="s">
        <v>30089</v>
      </c>
      <c r="Q4346" s="40" t="s">
        <v>21404</v>
      </c>
      <c r="R4346" s="33" t="s">
        <v>94</v>
      </c>
      <c r="S4346" s="33" t="s">
        <v>22</v>
      </c>
      <c r="T4346" s="33" t="s">
        <v>26774</v>
      </c>
      <c r="U4346" s="33" t="s">
        <v>26572</v>
      </c>
      <c r="V4346" s="33" t="s">
        <v>26574</v>
      </c>
      <c r="Z4346" s="33" t="s">
        <v>42968</v>
      </c>
      <c r="AA4346" s="33">
        <v>3319</v>
      </c>
    </row>
    <row r="4347" spans="1:27" ht="12" customHeight="1" x14ac:dyDescent="0.15">
      <c r="A4347" s="33" t="s">
        <v>20157</v>
      </c>
      <c r="B4347" s="33">
        <v>43</v>
      </c>
      <c r="C4347" s="33" t="s">
        <v>14</v>
      </c>
      <c r="D4347" s="33" t="s">
        <v>31</v>
      </c>
      <c r="F4347" s="67">
        <v>42392</v>
      </c>
      <c r="G4347" s="33" t="s">
        <v>20158</v>
      </c>
      <c r="H4347" s="33" t="s">
        <v>1611</v>
      </c>
      <c r="I4347" s="33" t="s">
        <v>88</v>
      </c>
      <c r="J4347" s="33" t="s">
        <v>1612</v>
      </c>
      <c r="K4347" s="33" t="s">
        <v>1613</v>
      </c>
      <c r="L4347" s="33" t="s">
        <v>20159</v>
      </c>
      <c r="M4347" s="33" t="s">
        <v>21</v>
      </c>
      <c r="N4347" s="33" t="s">
        <v>20160</v>
      </c>
      <c r="O4347" s="33" t="s">
        <v>372</v>
      </c>
      <c r="P4347" s="33" t="s">
        <v>30089</v>
      </c>
      <c r="Q4347" s="40" t="s">
        <v>20161</v>
      </c>
      <c r="R4347" s="33" t="s">
        <v>94</v>
      </c>
      <c r="S4347" s="33" t="s">
        <v>22</v>
      </c>
      <c r="T4347" s="33" t="s">
        <v>28239</v>
      </c>
      <c r="U4347" s="33" t="s">
        <v>26570</v>
      </c>
      <c r="V4347" s="33" t="s">
        <v>26573</v>
      </c>
      <c r="W4347" s="33" t="s">
        <v>512</v>
      </c>
      <c r="X4347" s="33">
        <v>1200</v>
      </c>
      <c r="Z4347" s="33" t="s">
        <v>42967</v>
      </c>
      <c r="AA4347" s="33">
        <v>3318</v>
      </c>
    </row>
    <row r="4348" spans="1:27" ht="12" customHeight="1" x14ac:dyDescent="0.15">
      <c r="A4348" s="33" t="s">
        <v>20018</v>
      </c>
      <c r="B4348" s="33">
        <v>26</v>
      </c>
      <c r="C4348" s="33" t="s">
        <v>14</v>
      </c>
      <c r="D4348" s="33" t="s">
        <v>31</v>
      </c>
      <c r="F4348" s="67">
        <v>42391</v>
      </c>
      <c r="G4348" s="33" t="s">
        <v>20019</v>
      </c>
      <c r="H4348" s="33" t="s">
        <v>1542</v>
      </c>
      <c r="I4348" s="33" t="s">
        <v>160</v>
      </c>
      <c r="J4348" s="33" t="s">
        <v>1543</v>
      </c>
      <c r="K4348" s="33" t="s">
        <v>818</v>
      </c>
      <c r="L4348" s="33" t="s">
        <v>1544</v>
      </c>
      <c r="M4348" s="33" t="s">
        <v>21</v>
      </c>
      <c r="N4348" s="33" t="s">
        <v>36733</v>
      </c>
      <c r="O4348" s="33" t="s">
        <v>372</v>
      </c>
      <c r="P4348" s="33" t="s">
        <v>30089</v>
      </c>
      <c r="Q4348" s="40" t="s">
        <v>20020</v>
      </c>
      <c r="R4348" s="33" t="s">
        <v>94</v>
      </c>
      <c r="S4348" s="33" t="s">
        <v>22</v>
      </c>
      <c r="T4348" s="33" t="s">
        <v>26781</v>
      </c>
      <c r="U4348" s="33" t="s">
        <v>26572</v>
      </c>
      <c r="V4348" s="33" t="s">
        <v>26573</v>
      </c>
      <c r="Y4348" s="33" t="s">
        <v>42476</v>
      </c>
      <c r="Z4348" s="33" t="s">
        <v>42968</v>
      </c>
      <c r="AA4348" s="33">
        <v>3317</v>
      </c>
    </row>
    <row r="4349" spans="1:27" ht="12" customHeight="1" x14ac:dyDescent="0.15">
      <c r="A4349" s="33" t="s">
        <v>19433</v>
      </c>
      <c r="B4349" s="33">
        <v>39</v>
      </c>
      <c r="C4349" s="33" t="s">
        <v>14</v>
      </c>
      <c r="D4349" s="33" t="s">
        <v>79</v>
      </c>
      <c r="E4349" s="33" t="s">
        <v>19434</v>
      </c>
      <c r="F4349" s="67">
        <v>42390</v>
      </c>
      <c r="G4349" s="33" t="s">
        <v>19435</v>
      </c>
      <c r="H4349" s="33" t="s">
        <v>12421</v>
      </c>
      <c r="I4349" s="33" t="s">
        <v>367</v>
      </c>
      <c r="J4349" s="33" t="s">
        <v>19436</v>
      </c>
      <c r="K4349" s="33" t="s">
        <v>19437</v>
      </c>
      <c r="L4349" s="33" t="s">
        <v>1904</v>
      </c>
      <c r="M4349" s="33" t="s">
        <v>21</v>
      </c>
      <c r="N4349" s="33" t="s">
        <v>19438</v>
      </c>
      <c r="O4349" s="33" t="s">
        <v>372</v>
      </c>
      <c r="P4349" s="33" t="s">
        <v>30089</v>
      </c>
      <c r="Q4349" s="40" t="s">
        <v>19439</v>
      </c>
      <c r="R4349" s="33" t="s">
        <v>512</v>
      </c>
      <c r="S4349" s="33" t="s">
        <v>22</v>
      </c>
      <c r="T4349" s="33" t="s">
        <v>26781</v>
      </c>
      <c r="U4349" s="33" t="s">
        <v>26572</v>
      </c>
      <c r="V4349" s="33" t="s">
        <v>26571</v>
      </c>
      <c r="W4349" s="33" t="s">
        <v>94</v>
      </c>
      <c r="X4349" s="33">
        <v>1201</v>
      </c>
      <c r="Z4349" s="33" t="s">
        <v>42967</v>
      </c>
      <c r="AA4349" s="33">
        <v>3316</v>
      </c>
    </row>
    <row r="4350" spans="1:27" ht="12" customHeight="1" x14ac:dyDescent="0.15">
      <c r="A4350" s="33" t="s">
        <v>20737</v>
      </c>
      <c r="B4350" s="33">
        <v>37</v>
      </c>
      <c r="C4350" s="33" t="s">
        <v>14</v>
      </c>
      <c r="D4350" s="33" t="s">
        <v>31</v>
      </c>
      <c r="E4350" s="33" t="s">
        <v>20738</v>
      </c>
      <c r="F4350" s="67">
        <v>42389</v>
      </c>
      <c r="G4350" s="33" t="s">
        <v>20739</v>
      </c>
      <c r="H4350" s="33" t="s">
        <v>20740</v>
      </c>
      <c r="I4350" s="33" t="s">
        <v>67</v>
      </c>
      <c r="J4350" s="33" t="s">
        <v>20741</v>
      </c>
      <c r="K4350" s="33" t="s">
        <v>20742</v>
      </c>
      <c r="L4350" s="33" t="s">
        <v>20743</v>
      </c>
      <c r="M4350" s="33" t="s">
        <v>21</v>
      </c>
      <c r="N4350" s="33" t="s">
        <v>20744</v>
      </c>
      <c r="O4350" s="33" t="s">
        <v>372</v>
      </c>
      <c r="P4350" s="33" t="s">
        <v>30089</v>
      </c>
      <c r="Q4350" s="40" t="s">
        <v>20745</v>
      </c>
      <c r="R4350" s="33" t="s">
        <v>94</v>
      </c>
      <c r="S4350" s="33" t="s">
        <v>22</v>
      </c>
      <c r="T4350" s="33" t="s">
        <v>26774</v>
      </c>
      <c r="U4350" s="33" t="s">
        <v>26570</v>
      </c>
      <c r="V4350" s="33" t="s">
        <v>19228</v>
      </c>
      <c r="W4350" s="33" t="s">
        <v>94</v>
      </c>
      <c r="X4350" s="33">
        <v>1202</v>
      </c>
      <c r="Z4350" s="33" t="s">
        <v>42967</v>
      </c>
      <c r="AA4350" s="33">
        <v>3315</v>
      </c>
    </row>
    <row r="4351" spans="1:27" ht="12" customHeight="1" x14ac:dyDescent="0.15">
      <c r="A4351" s="33" t="s">
        <v>19374</v>
      </c>
      <c r="B4351" s="33">
        <v>40</v>
      </c>
      <c r="C4351" s="33" t="s">
        <v>14</v>
      </c>
      <c r="D4351" s="33" t="s">
        <v>79</v>
      </c>
      <c r="E4351" s="33" t="s">
        <v>19375</v>
      </c>
      <c r="F4351" s="67">
        <v>42389</v>
      </c>
      <c r="G4351" s="33" t="s">
        <v>19376</v>
      </c>
      <c r="H4351" s="33" t="s">
        <v>19377</v>
      </c>
      <c r="I4351" s="33" t="s">
        <v>19</v>
      </c>
      <c r="J4351" s="33" t="s">
        <v>19378</v>
      </c>
      <c r="K4351" s="33" t="s">
        <v>19379</v>
      </c>
      <c r="L4351" s="33" t="s">
        <v>20830</v>
      </c>
      <c r="M4351" s="33" t="s">
        <v>21</v>
      </c>
      <c r="N4351" s="33" t="s">
        <v>19380</v>
      </c>
      <c r="O4351" s="33" t="s">
        <v>372</v>
      </c>
      <c r="P4351" s="33" t="s">
        <v>30089</v>
      </c>
      <c r="Q4351" s="40" t="s">
        <v>19381</v>
      </c>
      <c r="R4351" s="33" t="s">
        <v>94</v>
      </c>
      <c r="S4351" s="33" t="s">
        <v>22</v>
      </c>
      <c r="T4351" s="33" t="s">
        <v>26781</v>
      </c>
      <c r="U4351" s="33" t="s">
        <v>26572</v>
      </c>
      <c r="V4351" s="33" t="s">
        <v>26573</v>
      </c>
      <c r="W4351" s="33" t="s">
        <v>94</v>
      </c>
      <c r="X4351" s="33">
        <v>1191</v>
      </c>
      <c r="Z4351" s="33" t="s">
        <v>42967</v>
      </c>
      <c r="AA4351" s="33">
        <v>3313</v>
      </c>
    </row>
    <row r="4352" spans="1:27" ht="12" customHeight="1" x14ac:dyDescent="0.15">
      <c r="A4352" s="33" t="s">
        <v>20209</v>
      </c>
      <c r="B4352" s="33">
        <v>33</v>
      </c>
      <c r="C4352" s="33" t="s">
        <v>14</v>
      </c>
      <c r="D4352" s="33" t="s">
        <v>31</v>
      </c>
      <c r="E4352" s="33" t="s">
        <v>20210</v>
      </c>
      <c r="F4352" s="67">
        <v>42389</v>
      </c>
      <c r="G4352" s="33" t="s">
        <v>20211</v>
      </c>
      <c r="H4352" s="33" t="s">
        <v>20212</v>
      </c>
      <c r="I4352" s="33" t="s">
        <v>88</v>
      </c>
      <c r="J4352" s="33" t="s">
        <v>20213</v>
      </c>
      <c r="K4352" s="33" t="s">
        <v>2014</v>
      </c>
      <c r="L4352" s="33" t="s">
        <v>6382</v>
      </c>
      <c r="M4352" s="33" t="s">
        <v>21</v>
      </c>
      <c r="N4352" s="33" t="s">
        <v>21023</v>
      </c>
      <c r="O4352" s="33" t="s">
        <v>372</v>
      </c>
      <c r="P4352" s="33" t="s">
        <v>30089</v>
      </c>
      <c r="Q4352" s="40" t="s">
        <v>20214</v>
      </c>
      <c r="R4352" s="33" t="s">
        <v>94</v>
      </c>
      <c r="S4352" s="33" t="s">
        <v>22</v>
      </c>
      <c r="T4352" s="33" t="s">
        <v>26781</v>
      </c>
      <c r="U4352" s="33" t="s">
        <v>26570</v>
      </c>
      <c r="V4352" s="33" t="s">
        <v>26574</v>
      </c>
      <c r="W4352" s="33" t="s">
        <v>512</v>
      </c>
      <c r="X4352" s="33">
        <v>1194</v>
      </c>
      <c r="Z4352" s="33" t="s">
        <v>42968</v>
      </c>
      <c r="AA4352" s="33">
        <v>3314</v>
      </c>
    </row>
    <row r="4353" spans="1:27" ht="12" customHeight="1" x14ac:dyDescent="0.15">
      <c r="A4353" s="33" t="s">
        <v>19765</v>
      </c>
      <c r="B4353" s="33">
        <v>26</v>
      </c>
      <c r="C4353" s="33" t="s">
        <v>14</v>
      </c>
      <c r="D4353" s="33" t="s">
        <v>42</v>
      </c>
      <c r="F4353" s="67">
        <v>42388</v>
      </c>
      <c r="G4353" s="33" t="s">
        <v>19766</v>
      </c>
      <c r="H4353" s="33" t="s">
        <v>1645</v>
      </c>
      <c r="I4353" s="33" t="s">
        <v>39</v>
      </c>
      <c r="J4353" s="33" t="s">
        <v>19767</v>
      </c>
      <c r="K4353" s="33" t="s">
        <v>1647</v>
      </c>
      <c r="L4353" s="33" t="s">
        <v>1648</v>
      </c>
      <c r="M4353" s="33" t="s">
        <v>363</v>
      </c>
      <c r="N4353" s="33" t="s">
        <v>19768</v>
      </c>
      <c r="O4353" s="33" t="s">
        <v>372</v>
      </c>
      <c r="P4353" s="33" t="s">
        <v>30089</v>
      </c>
      <c r="Q4353" s="40" t="s">
        <v>19769</v>
      </c>
      <c r="R4353" s="33" t="s">
        <v>512</v>
      </c>
      <c r="S4353" s="33" t="s">
        <v>12</v>
      </c>
      <c r="T4353" s="33" t="s">
        <v>29705</v>
      </c>
      <c r="U4353" s="33" t="s">
        <v>26572</v>
      </c>
      <c r="V4353" s="33" t="s">
        <v>26573</v>
      </c>
      <c r="Z4353" s="33" t="s">
        <v>42966</v>
      </c>
      <c r="AA4353" s="33">
        <v>3312</v>
      </c>
    </row>
    <row r="4354" spans="1:27" ht="12" customHeight="1" x14ac:dyDescent="0.15">
      <c r="A4354" s="33" t="s">
        <v>20280</v>
      </c>
      <c r="B4354" s="33">
        <v>28</v>
      </c>
      <c r="C4354" s="33" t="s">
        <v>14</v>
      </c>
      <c r="D4354" s="33" t="s">
        <v>31</v>
      </c>
      <c r="F4354" s="67">
        <v>42388</v>
      </c>
      <c r="G4354" s="33" t="s">
        <v>20281</v>
      </c>
      <c r="H4354" s="33" t="s">
        <v>2761</v>
      </c>
      <c r="I4354" s="33" t="s">
        <v>160</v>
      </c>
      <c r="J4354" s="33" t="s">
        <v>20282</v>
      </c>
      <c r="K4354" s="33" t="s">
        <v>2763</v>
      </c>
      <c r="L4354" s="33" t="s">
        <v>2764</v>
      </c>
      <c r="M4354" s="33" t="s">
        <v>21</v>
      </c>
      <c r="N4354" s="33" t="s">
        <v>20997</v>
      </c>
      <c r="O4354" s="33" t="s">
        <v>372</v>
      </c>
      <c r="P4354" s="33" t="s">
        <v>30089</v>
      </c>
      <c r="Q4354" s="40" t="s">
        <v>20283</v>
      </c>
      <c r="R4354" s="33" t="s">
        <v>94</v>
      </c>
      <c r="S4354" s="33" t="s">
        <v>22</v>
      </c>
      <c r="T4354" s="33" t="s">
        <v>26781</v>
      </c>
      <c r="U4354" s="33" t="s">
        <v>26572</v>
      </c>
      <c r="V4354" s="33" t="s">
        <v>26573</v>
      </c>
      <c r="W4354" s="33" t="s">
        <v>94</v>
      </c>
      <c r="X4354" s="33">
        <v>1190</v>
      </c>
      <c r="Z4354" s="33" t="s">
        <v>42968</v>
      </c>
      <c r="AA4354" s="33">
        <v>3310</v>
      </c>
    </row>
    <row r="4355" spans="1:27" ht="12" customHeight="1" x14ac:dyDescent="0.15">
      <c r="A4355" s="33" t="s">
        <v>20116</v>
      </c>
      <c r="B4355" s="33">
        <v>55</v>
      </c>
      <c r="C4355" s="33" t="s">
        <v>14</v>
      </c>
      <c r="D4355" s="33" t="s">
        <v>31</v>
      </c>
      <c r="F4355" s="67">
        <v>42388</v>
      </c>
      <c r="G4355" s="33" t="s">
        <v>20117</v>
      </c>
      <c r="H4355" s="33" t="s">
        <v>5894</v>
      </c>
      <c r="I4355" s="33" t="s">
        <v>338</v>
      </c>
      <c r="J4355" s="33" t="s">
        <v>20118</v>
      </c>
      <c r="K4355" s="33" t="s">
        <v>5896</v>
      </c>
      <c r="L4355" s="33" t="s">
        <v>20119</v>
      </c>
      <c r="M4355" s="33" t="s">
        <v>21</v>
      </c>
      <c r="N4355" s="33" t="s">
        <v>20120</v>
      </c>
      <c r="O4355" s="33" t="s">
        <v>372</v>
      </c>
      <c r="P4355" s="33" t="s">
        <v>30089</v>
      </c>
      <c r="Q4355" s="40" t="s">
        <v>20121</v>
      </c>
      <c r="R4355" s="33" t="s">
        <v>512</v>
      </c>
      <c r="S4355" s="33" t="s">
        <v>22</v>
      </c>
      <c r="T4355" s="33" t="s">
        <v>26774</v>
      </c>
      <c r="U4355" s="33" t="s">
        <v>26570</v>
      </c>
      <c r="V4355" s="33" t="s">
        <v>26573</v>
      </c>
      <c r="W4355" s="33" t="s">
        <v>94</v>
      </c>
      <c r="X4355" s="33">
        <v>1187</v>
      </c>
      <c r="Z4355" s="33" t="s">
        <v>42968</v>
      </c>
      <c r="AA4355" s="33">
        <v>3311</v>
      </c>
    </row>
    <row r="4356" spans="1:27" ht="12" customHeight="1" x14ac:dyDescent="0.15">
      <c r="A4356" s="33" t="s">
        <v>20362</v>
      </c>
      <c r="B4356" s="33">
        <v>36</v>
      </c>
      <c r="C4356" s="33" t="s">
        <v>14</v>
      </c>
      <c r="D4356" s="33" t="s">
        <v>31</v>
      </c>
      <c r="E4356" s="33" t="s">
        <v>20363</v>
      </c>
      <c r="F4356" s="67">
        <v>42388</v>
      </c>
      <c r="G4356" s="33" t="s">
        <v>20364</v>
      </c>
      <c r="H4356" s="33" t="s">
        <v>266</v>
      </c>
      <c r="I4356" s="33" t="s">
        <v>67</v>
      </c>
      <c r="J4356" s="33" t="s">
        <v>6964</v>
      </c>
      <c r="K4356" s="33" t="s">
        <v>266</v>
      </c>
      <c r="L4356" s="33" t="s">
        <v>42492</v>
      </c>
      <c r="M4356" s="33" t="s">
        <v>21</v>
      </c>
      <c r="N4356" s="33" t="s">
        <v>20365</v>
      </c>
      <c r="O4356" s="33" t="s">
        <v>372</v>
      </c>
      <c r="P4356" s="33" t="s">
        <v>30089</v>
      </c>
      <c r="Q4356" s="40" t="s">
        <v>20366</v>
      </c>
      <c r="R4356" s="33" t="s">
        <v>94</v>
      </c>
      <c r="S4356" s="33" t="s">
        <v>22</v>
      </c>
      <c r="T4356" s="33" t="s">
        <v>26781</v>
      </c>
      <c r="U4356" s="33" t="s">
        <v>26572</v>
      </c>
      <c r="V4356" s="33" t="s">
        <v>26571</v>
      </c>
      <c r="W4356" s="33" t="s">
        <v>94</v>
      </c>
      <c r="X4356" s="33">
        <v>1185</v>
      </c>
      <c r="Z4356" s="33" t="s">
        <v>42968</v>
      </c>
      <c r="AA4356" s="33">
        <v>3309</v>
      </c>
    </row>
    <row r="4357" spans="1:27" ht="12" customHeight="1" x14ac:dyDescent="0.15">
      <c r="A4357" s="33" t="s">
        <v>19998</v>
      </c>
      <c r="B4357" s="33">
        <v>33</v>
      </c>
      <c r="C4357" s="33" t="s">
        <v>14</v>
      </c>
      <c r="D4357" s="33" t="s">
        <v>31</v>
      </c>
      <c r="F4357" s="67">
        <v>42387</v>
      </c>
      <c r="G4357" s="33" t="s">
        <v>19999</v>
      </c>
      <c r="H4357" s="33" t="s">
        <v>518</v>
      </c>
      <c r="I4357" s="33" t="s">
        <v>112</v>
      </c>
      <c r="J4357" s="33" t="s">
        <v>5802</v>
      </c>
      <c r="K4357" s="33" t="s">
        <v>519</v>
      </c>
      <c r="L4357" s="33" t="s">
        <v>520</v>
      </c>
      <c r="M4357" s="33" t="s">
        <v>21</v>
      </c>
      <c r="N4357" s="33" t="s">
        <v>21010</v>
      </c>
      <c r="O4357" s="33" t="s">
        <v>372</v>
      </c>
      <c r="P4357" s="33" t="s">
        <v>30089</v>
      </c>
      <c r="Q4357" s="40" t="s">
        <v>20000</v>
      </c>
      <c r="R4357" s="33" t="s">
        <v>512</v>
      </c>
      <c r="S4357" s="33" t="s">
        <v>22</v>
      </c>
      <c r="T4357" s="33" t="s">
        <v>26781</v>
      </c>
      <c r="U4357" s="33" t="s">
        <v>26572</v>
      </c>
      <c r="V4357" s="33" t="s">
        <v>26573</v>
      </c>
      <c r="W4357" s="33" t="s">
        <v>94</v>
      </c>
      <c r="X4357" s="33">
        <v>1178</v>
      </c>
      <c r="Z4357" s="33" t="s">
        <v>42968</v>
      </c>
      <c r="AA4357" s="33">
        <v>3305</v>
      </c>
    </row>
    <row r="4358" spans="1:27" ht="12" customHeight="1" x14ac:dyDescent="0.15">
      <c r="A4358" s="33" t="s">
        <v>20232</v>
      </c>
      <c r="B4358" s="33">
        <v>39</v>
      </c>
      <c r="C4358" s="33" t="s">
        <v>14</v>
      </c>
      <c r="D4358" s="33" t="s">
        <v>31</v>
      </c>
      <c r="F4358" s="67">
        <v>42387</v>
      </c>
      <c r="G4358" s="33" t="s">
        <v>20233</v>
      </c>
      <c r="H4358" s="33" t="s">
        <v>584</v>
      </c>
      <c r="I4358" s="33" t="s">
        <v>112</v>
      </c>
      <c r="J4358" s="33" t="s">
        <v>9600</v>
      </c>
      <c r="K4358" s="33" t="s">
        <v>585</v>
      </c>
      <c r="L4358" s="33" t="s">
        <v>586</v>
      </c>
      <c r="M4358" s="33" t="s">
        <v>21</v>
      </c>
      <c r="N4358" s="33" t="s">
        <v>21011</v>
      </c>
      <c r="O4358" s="33" t="s">
        <v>372</v>
      </c>
      <c r="P4358" s="33" t="s">
        <v>30089</v>
      </c>
      <c r="Q4358" s="40" t="s">
        <v>20234</v>
      </c>
      <c r="R4358" s="33" t="s">
        <v>512</v>
      </c>
      <c r="S4358" s="33" t="s">
        <v>22</v>
      </c>
      <c r="T4358" s="33" t="s">
        <v>26781</v>
      </c>
      <c r="U4358" s="33" t="s">
        <v>26572</v>
      </c>
      <c r="V4358" s="33" t="s">
        <v>26573</v>
      </c>
      <c r="W4358" s="33" t="s">
        <v>94</v>
      </c>
      <c r="X4358" s="33">
        <v>1186</v>
      </c>
      <c r="Z4358" s="33" t="s">
        <v>42968</v>
      </c>
      <c r="AA4358" s="33">
        <v>3306</v>
      </c>
    </row>
    <row r="4359" spans="1:27" ht="12" customHeight="1" x14ac:dyDescent="0.15">
      <c r="A4359" s="33" t="s">
        <v>20536</v>
      </c>
      <c r="B4359" s="33">
        <v>29</v>
      </c>
      <c r="C4359" s="33" t="s">
        <v>14</v>
      </c>
      <c r="D4359" s="33" t="s">
        <v>31</v>
      </c>
      <c r="E4359" s="33" t="s">
        <v>20537</v>
      </c>
      <c r="F4359" s="67">
        <v>42387</v>
      </c>
      <c r="G4359" s="33" t="s">
        <v>20538</v>
      </c>
      <c r="H4359" s="33" t="s">
        <v>12325</v>
      </c>
      <c r="I4359" s="33" t="s">
        <v>39</v>
      </c>
      <c r="J4359" s="33" t="s">
        <v>12326</v>
      </c>
      <c r="K4359" s="33" t="s">
        <v>558</v>
      </c>
      <c r="L4359" s="33" t="s">
        <v>12327</v>
      </c>
      <c r="M4359" s="33" t="s">
        <v>21</v>
      </c>
      <c r="N4359" s="33" t="s">
        <v>20539</v>
      </c>
      <c r="O4359" s="33" t="s">
        <v>372</v>
      </c>
      <c r="P4359" s="33" t="s">
        <v>30089</v>
      </c>
      <c r="Q4359" s="40" t="s">
        <v>20540</v>
      </c>
      <c r="R4359" s="33" t="s">
        <v>512</v>
      </c>
      <c r="S4359" s="33" t="s">
        <v>29</v>
      </c>
      <c r="T4359" s="33" t="s">
        <v>26608</v>
      </c>
      <c r="U4359" s="33" t="s">
        <v>26570</v>
      </c>
      <c r="V4359" s="33" t="s">
        <v>26573</v>
      </c>
      <c r="W4359" s="33" t="s">
        <v>512</v>
      </c>
      <c r="X4359" s="33">
        <v>1189</v>
      </c>
      <c r="Z4359" s="33" t="s">
        <v>42968</v>
      </c>
      <c r="AA4359" s="33">
        <v>3304</v>
      </c>
    </row>
    <row r="4360" spans="1:27" ht="12" customHeight="1" x14ac:dyDescent="0.15">
      <c r="A4360" s="33" t="s">
        <v>20482</v>
      </c>
      <c r="B4360" s="33">
        <v>27</v>
      </c>
      <c r="C4360" s="33" t="s">
        <v>14</v>
      </c>
      <c r="D4360" s="33" t="s">
        <v>31</v>
      </c>
      <c r="E4360" s="33" t="s">
        <v>20483</v>
      </c>
      <c r="F4360" s="67">
        <v>42387</v>
      </c>
      <c r="G4360" s="33" t="s">
        <v>20484</v>
      </c>
      <c r="H4360" s="33" t="s">
        <v>1880</v>
      </c>
      <c r="I4360" s="33" t="s">
        <v>106</v>
      </c>
      <c r="J4360" s="33" t="s">
        <v>1881</v>
      </c>
      <c r="K4360" s="33" t="s">
        <v>404</v>
      </c>
      <c r="L4360" s="33" t="s">
        <v>1882</v>
      </c>
      <c r="M4360" s="33" t="s">
        <v>21</v>
      </c>
      <c r="N4360" s="33" t="s">
        <v>20485</v>
      </c>
      <c r="O4360" s="33" t="s">
        <v>372</v>
      </c>
      <c r="P4360" s="33" t="s">
        <v>30089</v>
      </c>
      <c r="Q4360" s="40" t="s">
        <v>20486</v>
      </c>
      <c r="R4360" s="33" t="s">
        <v>94</v>
      </c>
      <c r="S4360" s="33" t="s">
        <v>22</v>
      </c>
      <c r="T4360" s="33" t="s">
        <v>26774</v>
      </c>
      <c r="U4360" s="33" t="s">
        <v>26570</v>
      </c>
      <c r="V4360" s="33" t="s">
        <v>26574</v>
      </c>
      <c r="W4360" s="33" t="s">
        <v>94</v>
      </c>
      <c r="X4360" s="33">
        <v>1184</v>
      </c>
      <c r="Y4360" s="33" t="s">
        <v>42476</v>
      </c>
      <c r="Z4360" s="33" t="s">
        <v>42966</v>
      </c>
      <c r="AA4360" s="33">
        <v>3307</v>
      </c>
    </row>
    <row r="4361" spans="1:27" ht="12" customHeight="1" x14ac:dyDescent="0.15">
      <c r="A4361" s="33" t="s">
        <v>20596</v>
      </c>
      <c r="B4361" s="33">
        <v>28</v>
      </c>
      <c r="C4361" s="33" t="s">
        <v>14</v>
      </c>
      <c r="D4361" s="33" t="s">
        <v>31</v>
      </c>
      <c r="E4361" s="33" t="s">
        <v>20597</v>
      </c>
      <c r="F4361" s="67">
        <v>42387</v>
      </c>
      <c r="G4361" s="33" t="s">
        <v>20598</v>
      </c>
      <c r="H4361" s="33" t="s">
        <v>997</v>
      </c>
      <c r="I4361" s="33" t="s">
        <v>56</v>
      </c>
      <c r="J4361" s="33" t="s">
        <v>4123</v>
      </c>
      <c r="K4361" s="33" t="s">
        <v>998</v>
      </c>
      <c r="L4361" s="33" t="s">
        <v>999</v>
      </c>
      <c r="M4361" s="33" t="s">
        <v>21</v>
      </c>
      <c r="N4361" s="33" t="s">
        <v>20599</v>
      </c>
      <c r="O4361" s="33" t="s">
        <v>372</v>
      </c>
      <c r="P4361" s="33" t="s">
        <v>30089</v>
      </c>
      <c r="Q4361" s="40" t="s">
        <v>20600</v>
      </c>
      <c r="R4361" s="33" t="s">
        <v>23</v>
      </c>
      <c r="S4361" s="33" t="s">
        <v>12</v>
      </c>
      <c r="T4361" s="33" t="s">
        <v>29425</v>
      </c>
      <c r="U4361" s="33" t="s">
        <v>26570</v>
      </c>
      <c r="V4361" s="33" t="s">
        <v>26573</v>
      </c>
      <c r="W4361" s="33" t="s">
        <v>94</v>
      </c>
      <c r="X4361" s="33">
        <v>1182</v>
      </c>
      <c r="Z4361" s="33" t="s">
        <v>42968</v>
      </c>
      <c r="AA4361" s="33">
        <v>3308</v>
      </c>
    </row>
    <row r="4362" spans="1:27" ht="12" customHeight="1" x14ac:dyDescent="0.15">
      <c r="A4362" s="33" t="s">
        <v>20397</v>
      </c>
      <c r="B4362" s="33">
        <v>31</v>
      </c>
      <c r="C4362" s="33" t="s">
        <v>14</v>
      </c>
      <c r="D4362" s="33" t="s">
        <v>31</v>
      </c>
      <c r="E4362" s="33" t="s">
        <v>20398</v>
      </c>
      <c r="F4362" s="67">
        <v>42386</v>
      </c>
      <c r="G4362" s="33" t="s">
        <v>20399</v>
      </c>
      <c r="H4362" s="33" t="s">
        <v>20400</v>
      </c>
      <c r="I4362" s="33" t="s">
        <v>221</v>
      </c>
      <c r="J4362" s="33" t="s">
        <v>20401</v>
      </c>
      <c r="K4362" s="33" t="s">
        <v>564</v>
      </c>
      <c r="L4362" s="33" t="s">
        <v>5929</v>
      </c>
      <c r="M4362" s="33" t="s">
        <v>21</v>
      </c>
      <c r="N4362" s="33" t="s">
        <v>20402</v>
      </c>
      <c r="O4362" s="33" t="s">
        <v>372</v>
      </c>
      <c r="P4362" s="33" t="s">
        <v>30089</v>
      </c>
      <c r="Q4362" s="40" t="s">
        <v>20403</v>
      </c>
      <c r="R4362" s="33" t="s">
        <v>94</v>
      </c>
      <c r="S4362" s="33" t="s">
        <v>22</v>
      </c>
      <c r="T4362" s="33" t="s">
        <v>26781</v>
      </c>
      <c r="U4362" s="33" t="s">
        <v>26572</v>
      </c>
      <c r="V4362" s="33" t="s">
        <v>26574</v>
      </c>
      <c r="W4362" s="33" t="s">
        <v>512</v>
      </c>
      <c r="X4362" s="33">
        <v>1175</v>
      </c>
      <c r="Z4362" s="33" t="s">
        <v>42968</v>
      </c>
      <c r="AA4362" s="33">
        <v>3299</v>
      </c>
    </row>
    <row r="4363" spans="1:27" ht="12" customHeight="1" x14ac:dyDescent="0.15">
      <c r="A4363" s="33" t="s">
        <v>19661</v>
      </c>
      <c r="B4363" s="33">
        <v>24</v>
      </c>
      <c r="C4363" s="33" t="s">
        <v>14</v>
      </c>
      <c r="D4363" s="33" t="s">
        <v>42</v>
      </c>
      <c r="F4363" s="67">
        <v>42386</v>
      </c>
      <c r="G4363" s="33" t="s">
        <v>19662</v>
      </c>
      <c r="H4363" s="33" t="s">
        <v>92</v>
      </c>
      <c r="I4363" s="33" t="s">
        <v>39</v>
      </c>
      <c r="J4363" s="33" t="s">
        <v>19663</v>
      </c>
      <c r="K4363" s="33" t="s">
        <v>92</v>
      </c>
      <c r="L4363" s="33" t="s">
        <v>93</v>
      </c>
      <c r="M4363" s="33" t="s">
        <v>4966</v>
      </c>
      <c r="N4363" s="33" t="s">
        <v>36734</v>
      </c>
      <c r="O4363" s="33" t="s">
        <v>372</v>
      </c>
      <c r="P4363" s="33" t="s">
        <v>30089</v>
      </c>
      <c r="Q4363" s="40" t="s">
        <v>19664</v>
      </c>
      <c r="R4363" s="33" t="s">
        <v>94</v>
      </c>
      <c r="S4363" s="33" t="s">
        <v>22</v>
      </c>
      <c r="T4363" s="33" t="s">
        <v>26774</v>
      </c>
      <c r="U4363" s="33" t="s">
        <v>26570</v>
      </c>
      <c r="V4363" s="33" t="s">
        <v>26573</v>
      </c>
      <c r="W4363" s="33" t="s">
        <v>94</v>
      </c>
      <c r="X4363" s="33">
        <v>1171</v>
      </c>
      <c r="Z4363" s="33" t="s">
        <v>42966</v>
      </c>
      <c r="AA4363" s="33">
        <v>3302</v>
      </c>
    </row>
    <row r="4364" spans="1:27" ht="12" customHeight="1" x14ac:dyDescent="0.15">
      <c r="A4364" s="33" t="s">
        <v>20440</v>
      </c>
      <c r="B4364" s="33">
        <v>47</v>
      </c>
      <c r="C4364" s="33" t="s">
        <v>14</v>
      </c>
      <c r="D4364" s="33" t="s">
        <v>31</v>
      </c>
      <c r="E4364" s="33" t="s">
        <v>20441</v>
      </c>
      <c r="F4364" s="67">
        <v>42386</v>
      </c>
      <c r="G4364" s="33" t="s">
        <v>20442</v>
      </c>
      <c r="H4364" s="33" t="s">
        <v>603</v>
      </c>
      <c r="I4364" s="33" t="s">
        <v>56</v>
      </c>
      <c r="J4364" s="33" t="s">
        <v>16427</v>
      </c>
      <c r="K4364" s="33" t="s">
        <v>604</v>
      </c>
      <c r="L4364" s="33" t="s">
        <v>15273</v>
      </c>
      <c r="M4364" s="33" t="s">
        <v>21</v>
      </c>
      <c r="N4364" s="33" t="s">
        <v>36735</v>
      </c>
      <c r="O4364" s="33" t="s">
        <v>372</v>
      </c>
      <c r="P4364" s="33" t="s">
        <v>30089</v>
      </c>
      <c r="Q4364" s="40" t="s">
        <v>20443</v>
      </c>
      <c r="R4364" s="33" t="s">
        <v>94</v>
      </c>
      <c r="S4364" s="33" t="s">
        <v>22</v>
      </c>
      <c r="T4364" s="33" t="s">
        <v>26774</v>
      </c>
      <c r="U4364" s="33" t="s">
        <v>26572</v>
      </c>
      <c r="V4364" s="33" t="s">
        <v>26573</v>
      </c>
      <c r="Y4364" s="33" t="s">
        <v>42476</v>
      </c>
      <c r="Z4364" s="33" t="s">
        <v>42966</v>
      </c>
      <c r="AA4364" s="33">
        <v>3301</v>
      </c>
    </row>
    <row r="4365" spans="1:27" ht="12" customHeight="1" x14ac:dyDescent="0.15">
      <c r="A4365" s="33" t="s">
        <v>20551</v>
      </c>
      <c r="B4365" s="33">
        <v>26</v>
      </c>
      <c r="C4365" s="33" t="s">
        <v>14</v>
      </c>
      <c r="D4365" s="33" t="s">
        <v>31</v>
      </c>
      <c r="E4365" s="33" t="s">
        <v>20552</v>
      </c>
      <c r="F4365" s="67">
        <v>42386</v>
      </c>
      <c r="G4365" s="33" t="s">
        <v>20553</v>
      </c>
      <c r="H4365" s="33" t="s">
        <v>1337</v>
      </c>
      <c r="I4365" s="33" t="s">
        <v>112</v>
      </c>
      <c r="J4365" s="33" t="s">
        <v>20554</v>
      </c>
      <c r="K4365" s="33" t="s">
        <v>585</v>
      </c>
      <c r="L4365" s="33" t="s">
        <v>1338</v>
      </c>
      <c r="M4365" s="33" t="s">
        <v>21</v>
      </c>
      <c r="N4365" s="33" t="s">
        <v>21024</v>
      </c>
      <c r="O4365" s="33" t="s">
        <v>19483</v>
      </c>
      <c r="P4365" s="33" t="s">
        <v>1084</v>
      </c>
      <c r="Q4365" s="40" t="s">
        <v>20555</v>
      </c>
      <c r="R4365" s="33" t="s">
        <v>94</v>
      </c>
      <c r="S4365" s="33" t="s">
        <v>12</v>
      </c>
      <c r="T4365" s="33" t="s">
        <v>29705</v>
      </c>
      <c r="U4365" s="33" t="s">
        <v>26570</v>
      </c>
      <c r="V4365" s="33" t="s">
        <v>26573</v>
      </c>
      <c r="W4365" s="33" t="s">
        <v>512</v>
      </c>
      <c r="X4365" s="33">
        <v>1188</v>
      </c>
      <c r="Z4365" s="33" t="s">
        <v>42966</v>
      </c>
      <c r="AA4365" s="33">
        <v>3303</v>
      </c>
    </row>
    <row r="4366" spans="1:27" ht="12" customHeight="1" x14ac:dyDescent="0.15">
      <c r="A4366" s="33" t="s">
        <v>19403</v>
      </c>
      <c r="B4366" s="33">
        <v>52</v>
      </c>
      <c r="C4366" s="33" t="s">
        <v>14</v>
      </c>
      <c r="D4366" s="33" t="s">
        <v>79</v>
      </c>
      <c r="E4366" s="33" t="s">
        <v>19404</v>
      </c>
      <c r="F4366" s="67">
        <v>42386</v>
      </c>
      <c r="G4366" s="33" t="s">
        <v>19405</v>
      </c>
      <c r="H4366" s="33" t="s">
        <v>661</v>
      </c>
      <c r="I4366" s="33" t="s">
        <v>402</v>
      </c>
      <c r="J4366" s="33" t="s">
        <v>4161</v>
      </c>
      <c r="K4366" s="33" t="s">
        <v>661</v>
      </c>
      <c r="L4366" s="33" t="s">
        <v>4162</v>
      </c>
      <c r="M4366" s="33" t="s">
        <v>21</v>
      </c>
      <c r="N4366" s="33" t="s">
        <v>19406</v>
      </c>
      <c r="O4366" s="33" t="s">
        <v>372</v>
      </c>
      <c r="P4366" s="33" t="s">
        <v>30089</v>
      </c>
      <c r="Q4366" s="40" t="s">
        <v>19407</v>
      </c>
      <c r="R4366" s="33" t="s">
        <v>94</v>
      </c>
      <c r="S4366" s="33" t="s">
        <v>22</v>
      </c>
      <c r="T4366" s="33" t="s">
        <v>26781</v>
      </c>
      <c r="U4366" s="33" t="s">
        <v>26572</v>
      </c>
      <c r="V4366" s="33" t="s">
        <v>26573</v>
      </c>
      <c r="W4366" s="33" t="s">
        <v>94</v>
      </c>
      <c r="X4366" s="33">
        <v>1170</v>
      </c>
      <c r="Z4366" s="33" t="s">
        <v>42966</v>
      </c>
      <c r="AA4366" s="33">
        <v>3298</v>
      </c>
    </row>
    <row r="4367" spans="1:27" ht="12" customHeight="1" x14ac:dyDescent="0.15">
      <c r="A4367" s="33" t="s">
        <v>20201</v>
      </c>
      <c r="B4367" s="33">
        <v>38</v>
      </c>
      <c r="C4367" s="33" t="s">
        <v>14</v>
      </c>
      <c r="D4367" s="33" t="s">
        <v>31</v>
      </c>
      <c r="E4367" s="33" t="s">
        <v>20202</v>
      </c>
      <c r="F4367" s="67">
        <v>42386</v>
      </c>
      <c r="G4367" s="33" t="s">
        <v>20203</v>
      </c>
      <c r="H4367" s="33" t="s">
        <v>20204</v>
      </c>
      <c r="I4367" s="33" t="s">
        <v>88</v>
      </c>
      <c r="J4367" s="33" t="s">
        <v>20205</v>
      </c>
      <c r="K4367" s="33" t="s">
        <v>11588</v>
      </c>
      <c r="L4367" s="33" t="s">
        <v>20206</v>
      </c>
      <c r="M4367" s="33" t="s">
        <v>4966</v>
      </c>
      <c r="N4367" s="33" t="s">
        <v>20207</v>
      </c>
      <c r="O4367" s="33" t="s">
        <v>372</v>
      </c>
      <c r="P4367" s="33" t="s">
        <v>30089</v>
      </c>
      <c r="Q4367" s="40" t="s">
        <v>20208</v>
      </c>
      <c r="R4367" s="33" t="s">
        <v>94</v>
      </c>
      <c r="S4367" s="33" t="s">
        <v>22</v>
      </c>
      <c r="T4367" s="33" t="s">
        <v>26781</v>
      </c>
      <c r="U4367" s="33" t="s">
        <v>26570</v>
      </c>
      <c r="V4367" s="33" t="s">
        <v>26573</v>
      </c>
      <c r="W4367" s="33" t="s">
        <v>94</v>
      </c>
      <c r="X4367" s="33">
        <v>1174</v>
      </c>
      <c r="Z4367" s="33" t="s">
        <v>42968</v>
      </c>
      <c r="AA4367" s="33">
        <v>3300</v>
      </c>
    </row>
    <row r="4368" spans="1:27" ht="12" customHeight="1" x14ac:dyDescent="0.15">
      <c r="A4368" s="33" t="s">
        <v>19339</v>
      </c>
      <c r="B4368" s="33">
        <v>19</v>
      </c>
      <c r="C4368" s="33" t="s">
        <v>14</v>
      </c>
      <c r="D4368" s="33" t="s">
        <v>79</v>
      </c>
      <c r="E4368" s="33" t="s">
        <v>19340</v>
      </c>
      <c r="F4368" s="67">
        <v>42385</v>
      </c>
      <c r="G4368" s="33" t="s">
        <v>19341</v>
      </c>
      <c r="H4368" s="33" t="s">
        <v>19342</v>
      </c>
      <c r="I4368" s="33" t="s">
        <v>56</v>
      </c>
      <c r="J4368" s="33" t="s">
        <v>19343</v>
      </c>
      <c r="K4368" s="33" t="s">
        <v>4878</v>
      </c>
      <c r="L4368" s="33" t="s">
        <v>57</v>
      </c>
      <c r="M4368" s="33" t="s">
        <v>21</v>
      </c>
      <c r="N4368" s="33" t="s">
        <v>36736</v>
      </c>
      <c r="O4368" s="33" t="s">
        <v>372</v>
      </c>
      <c r="P4368" s="33" t="s">
        <v>30089</v>
      </c>
      <c r="Q4368" s="40" t="s">
        <v>19344</v>
      </c>
      <c r="R4368" s="33" t="s">
        <v>94</v>
      </c>
      <c r="S4368" s="33" t="s">
        <v>22</v>
      </c>
      <c r="T4368" s="33" t="s">
        <v>26781</v>
      </c>
      <c r="U4368" s="33" t="s">
        <v>26572</v>
      </c>
      <c r="V4368" s="33" t="s">
        <v>26574</v>
      </c>
      <c r="W4368" s="33" t="s">
        <v>94</v>
      </c>
      <c r="X4368" s="33">
        <v>1181</v>
      </c>
      <c r="Z4368" s="33" t="s">
        <v>42967</v>
      </c>
      <c r="AA4368" s="33">
        <v>3293</v>
      </c>
    </row>
    <row r="4369" spans="1:27" ht="12" customHeight="1" x14ac:dyDescent="0.15">
      <c r="A4369" s="33" t="s">
        <v>20182</v>
      </c>
      <c r="B4369" s="33">
        <v>55</v>
      </c>
      <c r="C4369" s="33" t="s">
        <v>14</v>
      </c>
      <c r="D4369" s="33" t="s">
        <v>31</v>
      </c>
      <c r="F4369" s="67">
        <v>42385</v>
      </c>
      <c r="H4369" s="33" t="s">
        <v>20183</v>
      </c>
      <c r="I4369" s="33" t="s">
        <v>139</v>
      </c>
      <c r="J4369" s="33" t="s">
        <v>20184</v>
      </c>
      <c r="K4369" s="33" t="s">
        <v>20185</v>
      </c>
      <c r="L4369" s="33" t="s">
        <v>141</v>
      </c>
      <c r="M4369" s="33" t="s">
        <v>21</v>
      </c>
      <c r="N4369" s="33" t="s">
        <v>20186</v>
      </c>
      <c r="O4369" s="33" t="s">
        <v>372</v>
      </c>
      <c r="P4369" s="33" t="s">
        <v>30089</v>
      </c>
      <c r="Q4369" s="40" t="s">
        <v>20187</v>
      </c>
      <c r="R4369" s="33" t="s">
        <v>94</v>
      </c>
      <c r="S4369" s="33" t="s">
        <v>351</v>
      </c>
      <c r="T4369" s="33" t="s">
        <v>26867</v>
      </c>
      <c r="U4369" s="33" t="s">
        <v>26570</v>
      </c>
      <c r="V4369" s="33" t="s">
        <v>26571</v>
      </c>
      <c r="W4369" s="33" t="s">
        <v>94</v>
      </c>
      <c r="X4369" s="33">
        <v>1179</v>
      </c>
      <c r="Z4369" s="33" t="s">
        <v>42967</v>
      </c>
      <c r="AA4369" s="33">
        <v>3297</v>
      </c>
    </row>
    <row r="4370" spans="1:27" ht="12" customHeight="1" x14ac:dyDescent="0.15">
      <c r="A4370" s="33" t="s">
        <v>20556</v>
      </c>
      <c r="B4370" s="33">
        <v>25</v>
      </c>
      <c r="C4370" s="33" t="s">
        <v>103</v>
      </c>
      <c r="D4370" s="33" t="s">
        <v>31</v>
      </c>
      <c r="E4370" s="33" t="s">
        <v>20557</v>
      </c>
      <c r="F4370" s="67">
        <v>42385</v>
      </c>
      <c r="G4370" s="33" t="s">
        <v>20558</v>
      </c>
      <c r="H4370" s="33" t="s">
        <v>20559</v>
      </c>
      <c r="I4370" s="33" t="s">
        <v>39</v>
      </c>
      <c r="J4370" s="33" t="s">
        <v>20560</v>
      </c>
      <c r="K4370" s="33" t="s">
        <v>143</v>
      </c>
      <c r="L4370" s="33" t="s">
        <v>20561</v>
      </c>
      <c r="M4370" s="33" t="s">
        <v>21</v>
      </c>
      <c r="N4370" s="33" t="s">
        <v>20562</v>
      </c>
      <c r="O4370" s="33" t="s">
        <v>372</v>
      </c>
      <c r="P4370" s="33" t="s">
        <v>30089</v>
      </c>
      <c r="Q4370" s="40" t="s">
        <v>20563</v>
      </c>
      <c r="R4370" s="33" t="s">
        <v>94</v>
      </c>
      <c r="S4370" s="33" t="s">
        <v>12</v>
      </c>
      <c r="T4370" s="33" t="s">
        <v>29705</v>
      </c>
      <c r="U4370" s="33" t="s">
        <v>26570</v>
      </c>
      <c r="V4370" s="33" t="s">
        <v>26571</v>
      </c>
      <c r="W4370" s="33" t="s">
        <v>94</v>
      </c>
      <c r="X4370" s="33">
        <v>1177</v>
      </c>
      <c r="Z4370" s="33" t="s">
        <v>42968</v>
      </c>
      <c r="AA4370" s="33">
        <v>3296</v>
      </c>
    </row>
    <row r="4371" spans="1:27" ht="12" customHeight="1" x14ac:dyDescent="0.15">
      <c r="A4371" s="33" t="s">
        <v>19701</v>
      </c>
      <c r="B4371" s="33">
        <v>34</v>
      </c>
      <c r="C4371" s="33" t="s">
        <v>14</v>
      </c>
      <c r="D4371" s="33" t="s">
        <v>42</v>
      </c>
      <c r="F4371" s="67">
        <v>42385</v>
      </c>
      <c r="G4371" s="33" t="s">
        <v>19702</v>
      </c>
      <c r="H4371" s="33" t="s">
        <v>92</v>
      </c>
      <c r="I4371" s="33" t="s">
        <v>39</v>
      </c>
      <c r="J4371" s="33" t="s">
        <v>9903</v>
      </c>
      <c r="K4371" s="33" t="s">
        <v>92</v>
      </c>
      <c r="L4371" s="33" t="s">
        <v>93</v>
      </c>
      <c r="M4371" s="33" t="s">
        <v>21</v>
      </c>
      <c r="N4371" s="33" t="s">
        <v>19703</v>
      </c>
      <c r="O4371" s="33" t="s">
        <v>372</v>
      </c>
      <c r="P4371" s="33" t="s">
        <v>30089</v>
      </c>
      <c r="Q4371" s="40" t="s">
        <v>19704</v>
      </c>
      <c r="R4371" s="33" t="s">
        <v>94</v>
      </c>
      <c r="S4371" s="33" t="s">
        <v>12</v>
      </c>
      <c r="T4371" s="33" t="s">
        <v>29425</v>
      </c>
      <c r="U4371" s="33" t="s">
        <v>26570</v>
      </c>
      <c r="V4371" s="33" t="s">
        <v>26574</v>
      </c>
      <c r="W4371" s="33" t="s">
        <v>94</v>
      </c>
      <c r="X4371" s="33">
        <v>1172</v>
      </c>
      <c r="Z4371" s="33" t="s">
        <v>42966</v>
      </c>
      <c r="AA4371" s="33">
        <v>3294</v>
      </c>
    </row>
    <row r="4372" spans="1:27" ht="12" customHeight="1" x14ac:dyDescent="0.15">
      <c r="A4372" s="33" t="s">
        <v>20358</v>
      </c>
      <c r="B4372" s="33">
        <v>27</v>
      </c>
      <c r="C4372" s="33" t="s">
        <v>14</v>
      </c>
      <c r="D4372" s="33" t="s">
        <v>31</v>
      </c>
      <c r="F4372" s="67">
        <v>42385</v>
      </c>
      <c r="G4372" s="33" t="s">
        <v>20359</v>
      </c>
      <c r="H4372" s="33" t="s">
        <v>532</v>
      </c>
      <c r="I4372" s="33" t="s">
        <v>67</v>
      </c>
      <c r="J4372" s="33" t="s">
        <v>1475</v>
      </c>
      <c r="K4372" s="33" t="s">
        <v>533</v>
      </c>
      <c r="L4372" s="33" t="s">
        <v>534</v>
      </c>
      <c r="M4372" s="33" t="s">
        <v>21</v>
      </c>
      <c r="N4372" s="33" t="s">
        <v>20360</v>
      </c>
      <c r="O4372" s="33" t="s">
        <v>372</v>
      </c>
      <c r="P4372" s="33" t="s">
        <v>30089</v>
      </c>
      <c r="Q4372" s="40" t="s">
        <v>20361</v>
      </c>
      <c r="R4372" s="33" t="s">
        <v>94</v>
      </c>
      <c r="S4372" s="33" t="s">
        <v>22</v>
      </c>
      <c r="T4372" s="33" t="s">
        <v>26781</v>
      </c>
      <c r="U4372" s="33" t="s">
        <v>26572</v>
      </c>
      <c r="V4372" s="33" t="s">
        <v>26574</v>
      </c>
      <c r="W4372" s="33" t="s">
        <v>94</v>
      </c>
      <c r="X4372" s="33">
        <v>1173</v>
      </c>
      <c r="Z4372" s="33" t="s">
        <v>42968</v>
      </c>
      <c r="AA4372" s="33">
        <v>3292</v>
      </c>
    </row>
    <row r="4373" spans="1:27" ht="12" customHeight="1" x14ac:dyDescent="0.15">
      <c r="A4373" s="33" t="s">
        <v>20619</v>
      </c>
      <c r="B4373" s="33">
        <v>44</v>
      </c>
      <c r="C4373" s="33" t="s">
        <v>14</v>
      </c>
      <c r="D4373" s="33" t="s">
        <v>31</v>
      </c>
      <c r="E4373" s="33" t="s">
        <v>20620</v>
      </c>
      <c r="F4373" s="67">
        <v>42385</v>
      </c>
      <c r="G4373" s="33" t="s">
        <v>20621</v>
      </c>
      <c r="H4373" s="33" t="s">
        <v>304</v>
      </c>
      <c r="I4373" s="33" t="s">
        <v>106</v>
      </c>
      <c r="J4373" s="33" t="s">
        <v>5439</v>
      </c>
      <c r="K4373" s="33" t="s">
        <v>107</v>
      </c>
      <c r="L4373" s="33" t="s">
        <v>1291</v>
      </c>
      <c r="M4373" s="33" t="s">
        <v>21</v>
      </c>
      <c r="N4373" s="33" t="s">
        <v>21004</v>
      </c>
      <c r="O4373" s="33" t="s">
        <v>372</v>
      </c>
      <c r="P4373" s="33" t="s">
        <v>30089</v>
      </c>
      <c r="Q4373" s="40" t="s">
        <v>20622</v>
      </c>
      <c r="R4373" s="33" t="s">
        <v>94</v>
      </c>
      <c r="S4373" s="33" t="s">
        <v>12</v>
      </c>
      <c r="T4373" s="33" t="s">
        <v>29425</v>
      </c>
      <c r="U4373" s="33" t="s">
        <v>26570</v>
      </c>
      <c r="V4373" s="33" t="s">
        <v>26573</v>
      </c>
      <c r="W4373" s="33" t="s">
        <v>94</v>
      </c>
      <c r="X4373" s="33">
        <v>1176</v>
      </c>
      <c r="Z4373" s="33" t="s">
        <v>42966</v>
      </c>
      <c r="AA4373" s="33">
        <v>3295</v>
      </c>
    </row>
    <row r="4374" spans="1:27" ht="12" customHeight="1" x14ac:dyDescent="0.15">
      <c r="A4374" s="33" t="s">
        <v>19392</v>
      </c>
      <c r="B4374" s="33">
        <v>24</v>
      </c>
      <c r="C4374" s="33" t="s">
        <v>14</v>
      </c>
      <c r="D4374" s="33" t="s">
        <v>79</v>
      </c>
      <c r="E4374" s="33" t="s">
        <v>19393</v>
      </c>
      <c r="F4374" s="67">
        <v>42384</v>
      </c>
      <c r="G4374" s="33" t="s">
        <v>19394</v>
      </c>
      <c r="H4374" s="33" t="s">
        <v>13147</v>
      </c>
      <c r="I4374" s="33" t="s">
        <v>51</v>
      </c>
      <c r="J4374" s="33" t="s">
        <v>19395</v>
      </c>
      <c r="K4374" s="33" t="s">
        <v>557</v>
      </c>
      <c r="L4374" s="33" t="s">
        <v>377</v>
      </c>
      <c r="M4374" s="33" t="s">
        <v>21</v>
      </c>
      <c r="N4374" s="33" t="s">
        <v>36737</v>
      </c>
      <c r="O4374" s="33" t="s">
        <v>372</v>
      </c>
      <c r="P4374" s="33" t="s">
        <v>30089</v>
      </c>
      <c r="Q4374" s="40" t="s">
        <v>19396</v>
      </c>
      <c r="R4374" s="33" t="s">
        <v>94</v>
      </c>
      <c r="S4374" s="33" t="s">
        <v>22</v>
      </c>
      <c r="T4374" s="33" t="s">
        <v>26781</v>
      </c>
      <c r="U4374" s="33" t="s">
        <v>26572</v>
      </c>
      <c r="V4374" s="33" t="s">
        <v>26573</v>
      </c>
      <c r="W4374" s="33" t="s">
        <v>94</v>
      </c>
      <c r="X4374" s="33">
        <v>1196</v>
      </c>
      <c r="Z4374" s="33" t="s">
        <v>42966</v>
      </c>
      <c r="AA4374" s="33">
        <v>3291</v>
      </c>
    </row>
    <row r="4375" spans="1:27" ht="12" customHeight="1" x14ac:dyDescent="0.15">
      <c r="A4375" s="33" t="s">
        <v>20706</v>
      </c>
      <c r="B4375" s="33">
        <v>26</v>
      </c>
      <c r="C4375" s="33" t="s">
        <v>14</v>
      </c>
      <c r="D4375" s="33" t="s">
        <v>31</v>
      </c>
      <c r="E4375" s="33" t="s">
        <v>23842</v>
      </c>
      <c r="F4375" s="67">
        <v>42384</v>
      </c>
      <c r="G4375" s="33" t="s">
        <v>20707</v>
      </c>
      <c r="H4375" s="33" t="s">
        <v>20708</v>
      </c>
      <c r="I4375" s="33" t="s">
        <v>139</v>
      </c>
      <c r="J4375" s="33" t="s">
        <v>20709</v>
      </c>
      <c r="K4375" s="33" t="s">
        <v>14479</v>
      </c>
      <c r="L4375" s="33" t="s">
        <v>20710</v>
      </c>
      <c r="M4375" s="33" t="s">
        <v>21</v>
      </c>
      <c r="N4375" s="33" t="s">
        <v>20711</v>
      </c>
      <c r="O4375" s="33" t="s">
        <v>372</v>
      </c>
      <c r="P4375" s="33" t="s">
        <v>30089</v>
      </c>
      <c r="Q4375" s="40" t="s">
        <v>20712</v>
      </c>
      <c r="R4375" s="33" t="s">
        <v>94</v>
      </c>
      <c r="S4375" s="33" t="s">
        <v>22</v>
      </c>
      <c r="T4375" s="33" t="s">
        <v>26781</v>
      </c>
      <c r="U4375" s="33" t="s">
        <v>26572</v>
      </c>
      <c r="V4375" s="33" t="s">
        <v>26573</v>
      </c>
      <c r="W4375" s="33" t="s">
        <v>94</v>
      </c>
      <c r="X4375" s="33">
        <v>1180</v>
      </c>
      <c r="Z4375" s="33" t="s">
        <v>42967</v>
      </c>
      <c r="AA4375" s="33">
        <v>3290</v>
      </c>
    </row>
    <row r="4376" spans="1:27" ht="12" customHeight="1" x14ac:dyDescent="0.15">
      <c r="A4376" s="33" t="s">
        <v>19709</v>
      </c>
      <c r="B4376" s="33">
        <v>39</v>
      </c>
      <c r="C4376" s="33" t="s">
        <v>14</v>
      </c>
      <c r="D4376" s="33" t="s">
        <v>42</v>
      </c>
      <c r="F4376" s="67">
        <v>42383</v>
      </c>
      <c r="G4376" s="33" t="s">
        <v>19710</v>
      </c>
      <c r="H4376" s="33" t="s">
        <v>10743</v>
      </c>
      <c r="I4376" s="33" t="s">
        <v>39</v>
      </c>
      <c r="J4376" s="33" t="s">
        <v>10744</v>
      </c>
      <c r="K4376" s="33" t="s">
        <v>92</v>
      </c>
      <c r="L4376" s="33" t="s">
        <v>386</v>
      </c>
      <c r="M4376" s="33" t="s">
        <v>21</v>
      </c>
      <c r="N4376" s="33" t="s">
        <v>21026</v>
      </c>
      <c r="O4376" s="33" t="s">
        <v>372</v>
      </c>
      <c r="P4376" s="33" t="s">
        <v>30089</v>
      </c>
      <c r="Q4376" s="40" t="s">
        <v>19711</v>
      </c>
      <c r="R4376" s="33" t="s">
        <v>94</v>
      </c>
      <c r="S4376" s="33" t="s">
        <v>22</v>
      </c>
      <c r="T4376" s="33" t="s">
        <v>26774</v>
      </c>
      <c r="U4376" s="33" t="s">
        <v>26570</v>
      </c>
      <c r="V4376" s="33" t="s">
        <v>26573</v>
      </c>
      <c r="W4376" s="33" t="s">
        <v>94</v>
      </c>
      <c r="X4376" s="33">
        <v>1169</v>
      </c>
      <c r="Z4376" s="33" t="s">
        <v>42968</v>
      </c>
      <c r="AA4376" s="33">
        <v>3289</v>
      </c>
    </row>
    <row r="4377" spans="1:27" ht="12" customHeight="1" x14ac:dyDescent="0.15">
      <c r="A4377" s="33" t="s">
        <v>20021</v>
      </c>
      <c r="B4377" s="33">
        <v>40</v>
      </c>
      <c r="C4377" s="33" t="s">
        <v>14</v>
      </c>
      <c r="D4377" s="33" t="s">
        <v>31</v>
      </c>
      <c r="F4377" s="67">
        <v>42383</v>
      </c>
      <c r="G4377" s="33" t="s">
        <v>20022</v>
      </c>
      <c r="H4377" s="33" t="s">
        <v>66</v>
      </c>
      <c r="I4377" s="33" t="s">
        <v>38</v>
      </c>
      <c r="J4377" s="33" t="s">
        <v>20023</v>
      </c>
      <c r="K4377" s="33" t="s">
        <v>2397</v>
      </c>
      <c r="L4377" s="33" t="s">
        <v>20024</v>
      </c>
      <c r="M4377" s="33" t="s">
        <v>21</v>
      </c>
      <c r="N4377" s="33" t="s">
        <v>20025</v>
      </c>
      <c r="O4377" s="33" t="s">
        <v>372</v>
      </c>
      <c r="P4377" s="33" t="s">
        <v>30089</v>
      </c>
      <c r="Q4377" s="40" t="s">
        <v>20026</v>
      </c>
      <c r="R4377" s="33" t="s">
        <v>512</v>
      </c>
      <c r="S4377" s="33" t="s">
        <v>22</v>
      </c>
      <c r="T4377" s="33" t="s">
        <v>26781</v>
      </c>
      <c r="U4377" s="33" t="s">
        <v>26572</v>
      </c>
      <c r="V4377" s="33" t="s">
        <v>26573</v>
      </c>
      <c r="W4377" s="33" t="s">
        <v>94</v>
      </c>
      <c r="X4377" s="33">
        <v>1168</v>
      </c>
      <c r="Z4377" s="33" t="s">
        <v>42968</v>
      </c>
      <c r="AA4377" s="33">
        <v>3288</v>
      </c>
    </row>
    <row r="4378" spans="1:27" ht="12" customHeight="1" x14ac:dyDescent="0.15">
      <c r="A4378" s="33" t="s">
        <v>20090</v>
      </c>
      <c r="B4378" s="33">
        <v>60</v>
      </c>
      <c r="C4378" s="33" t="s">
        <v>14</v>
      </c>
      <c r="D4378" s="33" t="s">
        <v>31</v>
      </c>
      <c r="F4378" s="67">
        <v>42382</v>
      </c>
      <c r="G4378" s="33" t="s">
        <v>20091</v>
      </c>
      <c r="H4378" s="33" t="s">
        <v>20092</v>
      </c>
      <c r="I4378" s="33" t="s">
        <v>282</v>
      </c>
      <c r="J4378" s="33" t="s">
        <v>20093</v>
      </c>
      <c r="K4378" s="33" t="s">
        <v>20094</v>
      </c>
      <c r="L4378" s="33" t="s">
        <v>20095</v>
      </c>
      <c r="M4378" s="33" t="s">
        <v>21</v>
      </c>
      <c r="N4378" s="33" t="s">
        <v>21021</v>
      </c>
      <c r="O4378" s="33" t="s">
        <v>372</v>
      </c>
      <c r="P4378" s="33" t="s">
        <v>30089</v>
      </c>
      <c r="Q4378" s="40" t="s">
        <v>20096</v>
      </c>
      <c r="R4378" s="33" t="s">
        <v>512</v>
      </c>
      <c r="S4378" s="33" t="s">
        <v>22</v>
      </c>
      <c r="T4378" s="33" t="s">
        <v>26781</v>
      </c>
      <c r="U4378" s="33" t="s">
        <v>26572</v>
      </c>
      <c r="V4378" s="33" t="s">
        <v>26573</v>
      </c>
      <c r="W4378" s="33" t="s">
        <v>94</v>
      </c>
      <c r="X4378" s="33">
        <v>1197</v>
      </c>
      <c r="Z4378" s="33" t="s">
        <v>42967</v>
      </c>
      <c r="AA4378" s="33">
        <v>3287</v>
      </c>
    </row>
    <row r="4379" spans="1:27" ht="12" customHeight="1" x14ac:dyDescent="0.15">
      <c r="A4379" s="33" t="s">
        <v>20080</v>
      </c>
      <c r="B4379" s="33">
        <v>29</v>
      </c>
      <c r="C4379" s="33" t="s">
        <v>14</v>
      </c>
      <c r="D4379" s="33" t="s">
        <v>31</v>
      </c>
      <c r="F4379" s="67">
        <v>42382</v>
      </c>
      <c r="G4379" s="33" t="s">
        <v>20081</v>
      </c>
      <c r="H4379" s="33" t="s">
        <v>5049</v>
      </c>
      <c r="I4379" s="33" t="s">
        <v>298</v>
      </c>
      <c r="J4379" s="33" t="s">
        <v>20082</v>
      </c>
      <c r="K4379" s="33" t="s">
        <v>5050</v>
      </c>
      <c r="L4379" s="33" t="s">
        <v>20083</v>
      </c>
      <c r="M4379" s="33" t="s">
        <v>21</v>
      </c>
      <c r="N4379" s="33" t="s">
        <v>21034</v>
      </c>
      <c r="O4379" s="33" t="s">
        <v>372</v>
      </c>
      <c r="P4379" s="33" t="s">
        <v>30089</v>
      </c>
      <c r="Q4379" s="40" t="s">
        <v>20084</v>
      </c>
      <c r="R4379" s="33" t="s">
        <v>94</v>
      </c>
      <c r="S4379" s="33" t="s">
        <v>22</v>
      </c>
      <c r="T4379" s="33" t="s">
        <v>26781</v>
      </c>
      <c r="U4379" s="33" t="s">
        <v>26570</v>
      </c>
      <c r="V4379" s="33" t="s">
        <v>26574</v>
      </c>
      <c r="W4379" s="33" t="s">
        <v>512</v>
      </c>
      <c r="X4379" s="33">
        <v>1183</v>
      </c>
      <c r="Z4379" s="33" t="s">
        <v>42967</v>
      </c>
      <c r="AA4379" s="33">
        <v>3286</v>
      </c>
    </row>
    <row r="4380" spans="1:27" ht="12" customHeight="1" x14ac:dyDescent="0.15">
      <c r="A4380" s="33" t="s">
        <v>20412</v>
      </c>
      <c r="B4380" s="33">
        <v>58</v>
      </c>
      <c r="C4380" s="33" t="s">
        <v>14</v>
      </c>
      <c r="D4380" s="33" t="s">
        <v>31</v>
      </c>
      <c r="E4380" s="33" t="s">
        <v>20413</v>
      </c>
      <c r="F4380" s="67">
        <v>42381</v>
      </c>
      <c r="G4380" s="33" t="s">
        <v>20414</v>
      </c>
      <c r="H4380" s="33" t="s">
        <v>3060</v>
      </c>
      <c r="I4380" s="33" t="s">
        <v>225</v>
      </c>
      <c r="J4380" s="33" t="s">
        <v>20415</v>
      </c>
      <c r="K4380" s="33" t="s">
        <v>14991</v>
      </c>
      <c r="L4380" s="33" t="s">
        <v>4650</v>
      </c>
      <c r="M4380" s="33" t="s">
        <v>21</v>
      </c>
      <c r="N4380" s="33" t="s">
        <v>20416</v>
      </c>
      <c r="O4380" s="33" t="s">
        <v>372</v>
      </c>
      <c r="P4380" s="33" t="s">
        <v>30089</v>
      </c>
      <c r="Q4380" s="40" t="s">
        <v>20417</v>
      </c>
      <c r="R4380" s="33" t="s">
        <v>512</v>
      </c>
      <c r="S4380" s="33" t="s">
        <v>22</v>
      </c>
      <c r="T4380" s="33" t="s">
        <v>26781</v>
      </c>
      <c r="U4380" s="33" t="s">
        <v>26572</v>
      </c>
      <c r="V4380" s="33" t="s">
        <v>26573</v>
      </c>
      <c r="W4380" s="33" t="s">
        <v>94</v>
      </c>
      <c r="X4380" s="33">
        <v>1167</v>
      </c>
      <c r="Z4380" s="33" t="s">
        <v>42966</v>
      </c>
      <c r="AA4380" s="33">
        <v>3284</v>
      </c>
    </row>
    <row r="4381" spans="1:27" ht="12" customHeight="1" x14ac:dyDescent="0.15">
      <c r="A4381" s="33" t="s">
        <v>19910</v>
      </c>
      <c r="B4381" s="33">
        <v>49</v>
      </c>
      <c r="C4381" s="33" t="s">
        <v>14</v>
      </c>
      <c r="D4381" s="33" t="s">
        <v>128</v>
      </c>
      <c r="F4381" s="67">
        <v>42381</v>
      </c>
      <c r="G4381" s="33" t="s">
        <v>19911</v>
      </c>
      <c r="H4381" s="33" t="s">
        <v>4070</v>
      </c>
      <c r="I4381" s="33" t="s">
        <v>309</v>
      </c>
      <c r="J4381" s="33" t="s">
        <v>19912</v>
      </c>
      <c r="K4381" s="33" t="s">
        <v>4070</v>
      </c>
      <c r="L4381" s="33" t="s">
        <v>4072</v>
      </c>
      <c r="M4381" s="33" t="s">
        <v>21</v>
      </c>
      <c r="N4381" s="33" t="s">
        <v>21022</v>
      </c>
      <c r="O4381" s="33" t="s">
        <v>372</v>
      </c>
      <c r="P4381" s="33" t="s">
        <v>30089</v>
      </c>
      <c r="Q4381" s="40" t="s">
        <v>19913</v>
      </c>
      <c r="R4381" s="33" t="s">
        <v>512</v>
      </c>
      <c r="S4381" s="33" t="s">
        <v>22</v>
      </c>
      <c r="T4381" s="33" t="s">
        <v>26774</v>
      </c>
      <c r="U4381" s="33" t="s">
        <v>26570</v>
      </c>
      <c r="V4381" s="33" t="s">
        <v>26573</v>
      </c>
      <c r="W4381" s="33" t="s">
        <v>94</v>
      </c>
      <c r="X4381" s="33">
        <v>1166</v>
      </c>
      <c r="Z4381" s="33" t="s">
        <v>42968</v>
      </c>
      <c r="AA4381" s="33">
        <v>3285</v>
      </c>
    </row>
    <row r="4382" spans="1:27" ht="12" customHeight="1" x14ac:dyDescent="0.15">
      <c r="A4382" s="33" t="s">
        <v>20250</v>
      </c>
      <c r="B4382" s="33">
        <v>32</v>
      </c>
      <c r="C4382" s="33" t="s">
        <v>14</v>
      </c>
      <c r="D4382" s="33" t="s">
        <v>31</v>
      </c>
      <c r="E4382" s="33" t="s">
        <v>20251</v>
      </c>
      <c r="F4382" s="67">
        <v>42380</v>
      </c>
      <c r="G4382" s="33" t="s">
        <v>20252</v>
      </c>
      <c r="H4382" s="33" t="s">
        <v>1212</v>
      </c>
      <c r="I4382" s="33" t="s">
        <v>192</v>
      </c>
      <c r="J4382" s="33" t="s">
        <v>7986</v>
      </c>
      <c r="K4382" s="33" t="s">
        <v>1212</v>
      </c>
      <c r="L4382" s="33" t="s">
        <v>1213</v>
      </c>
      <c r="M4382" s="33" t="s">
        <v>21</v>
      </c>
      <c r="N4382" s="33" t="s">
        <v>20253</v>
      </c>
      <c r="O4382" s="33" t="s">
        <v>372</v>
      </c>
      <c r="P4382" s="33" t="s">
        <v>30089</v>
      </c>
      <c r="Q4382" s="40" t="s">
        <v>20254</v>
      </c>
      <c r="R4382" s="33" t="s">
        <v>94</v>
      </c>
      <c r="S4382" s="33" t="s">
        <v>22</v>
      </c>
      <c r="T4382" s="33" t="s">
        <v>26781</v>
      </c>
      <c r="U4382" s="33" t="s">
        <v>26570</v>
      </c>
      <c r="V4382" s="33" t="s">
        <v>26573</v>
      </c>
      <c r="W4382" s="33" t="s">
        <v>94</v>
      </c>
      <c r="X4382" s="33">
        <v>1164</v>
      </c>
      <c r="Z4382" s="33" t="s">
        <v>42966</v>
      </c>
      <c r="AA4382" s="33">
        <v>3280</v>
      </c>
    </row>
    <row r="4383" spans="1:27" ht="12" customHeight="1" x14ac:dyDescent="0.15">
      <c r="A4383" s="33" t="s">
        <v>23855</v>
      </c>
      <c r="B4383" s="33">
        <v>56</v>
      </c>
      <c r="C4383" s="33" t="s">
        <v>14</v>
      </c>
      <c r="D4383" s="33" t="s">
        <v>31</v>
      </c>
      <c r="E4383" s="33" t="s">
        <v>23856</v>
      </c>
      <c r="F4383" s="67">
        <v>42380</v>
      </c>
      <c r="G4383" s="33" t="s">
        <v>19939</v>
      </c>
      <c r="H4383" s="33" t="s">
        <v>7214</v>
      </c>
      <c r="I4383" s="33" t="s">
        <v>39</v>
      </c>
      <c r="J4383" s="33" t="s">
        <v>19940</v>
      </c>
      <c r="K4383" s="33" t="s">
        <v>92</v>
      </c>
      <c r="L4383" s="33" t="s">
        <v>15429</v>
      </c>
      <c r="M4383" s="33" t="s">
        <v>21</v>
      </c>
      <c r="N4383" s="33" t="s">
        <v>20994</v>
      </c>
      <c r="O4383" s="33" t="s">
        <v>372</v>
      </c>
      <c r="P4383" s="33" t="s">
        <v>30089</v>
      </c>
      <c r="Q4383" s="40" t="s">
        <v>19941</v>
      </c>
      <c r="R4383" s="33" t="s">
        <v>94</v>
      </c>
      <c r="S4383" s="33" t="s">
        <v>351</v>
      </c>
      <c r="T4383" s="33" t="s">
        <v>26867</v>
      </c>
      <c r="U4383" s="33" t="s">
        <v>26572</v>
      </c>
      <c r="V4383" s="33" t="s">
        <v>26571</v>
      </c>
      <c r="W4383" s="33" t="s">
        <v>94</v>
      </c>
      <c r="X4383" s="33">
        <v>1162</v>
      </c>
      <c r="Z4383" s="33" t="s">
        <v>42968</v>
      </c>
      <c r="AA4383" s="33">
        <v>3283</v>
      </c>
    </row>
    <row r="4384" spans="1:27" ht="12" customHeight="1" x14ac:dyDescent="0.15">
      <c r="A4384" s="33" t="s">
        <v>20573</v>
      </c>
      <c r="B4384" s="33">
        <v>12</v>
      </c>
      <c r="C4384" s="33" t="s">
        <v>103</v>
      </c>
      <c r="D4384" s="33" t="s">
        <v>31</v>
      </c>
      <c r="E4384" s="33" t="s">
        <v>20574</v>
      </c>
      <c r="F4384" s="67">
        <v>42380</v>
      </c>
      <c r="G4384" s="33" t="s">
        <v>20575</v>
      </c>
      <c r="H4384" s="33" t="s">
        <v>20576</v>
      </c>
      <c r="I4384" s="33" t="s">
        <v>376</v>
      </c>
      <c r="J4384" s="33" t="s">
        <v>20577</v>
      </c>
      <c r="K4384" s="33" t="s">
        <v>2319</v>
      </c>
      <c r="L4384" s="33" t="s">
        <v>20578</v>
      </c>
      <c r="M4384" s="33" t="s">
        <v>21</v>
      </c>
      <c r="N4384" s="33" t="s">
        <v>20579</v>
      </c>
      <c r="O4384" s="33" t="s">
        <v>372</v>
      </c>
      <c r="P4384" s="33" t="s">
        <v>30089</v>
      </c>
      <c r="Q4384" s="40" t="s">
        <v>20580</v>
      </c>
      <c r="R4384" s="33" t="s">
        <v>94</v>
      </c>
      <c r="S4384" s="33" t="s">
        <v>12</v>
      </c>
      <c r="T4384" s="33" t="s">
        <v>29705</v>
      </c>
      <c r="U4384" s="33" t="s">
        <v>26570</v>
      </c>
      <c r="V4384" s="33" t="s">
        <v>26573</v>
      </c>
      <c r="W4384" s="33" t="s">
        <v>94</v>
      </c>
      <c r="X4384" s="33">
        <v>1165</v>
      </c>
      <c r="Z4384" s="33" t="s">
        <v>42967</v>
      </c>
      <c r="AA4384" s="33">
        <v>3282</v>
      </c>
    </row>
    <row r="4385" spans="1:27" ht="12" customHeight="1" x14ac:dyDescent="0.15">
      <c r="A4385" s="33" t="s">
        <v>20607</v>
      </c>
      <c r="B4385" s="33">
        <v>45</v>
      </c>
      <c r="C4385" s="33" t="s">
        <v>14</v>
      </c>
      <c r="D4385" s="33" t="s">
        <v>31</v>
      </c>
      <c r="E4385" s="33" t="s">
        <v>20608</v>
      </c>
      <c r="F4385" s="67">
        <v>42380</v>
      </c>
      <c r="G4385" s="33" t="s">
        <v>20609</v>
      </c>
      <c r="H4385" s="33" t="s">
        <v>504</v>
      </c>
      <c r="I4385" s="33" t="s">
        <v>63</v>
      </c>
      <c r="J4385" s="33" t="s">
        <v>20610</v>
      </c>
      <c r="K4385" s="33" t="s">
        <v>505</v>
      </c>
      <c r="L4385" s="33" t="s">
        <v>506</v>
      </c>
      <c r="M4385" s="33" t="s">
        <v>21</v>
      </c>
      <c r="N4385" s="33" t="s">
        <v>20611</v>
      </c>
      <c r="O4385" s="33" t="s">
        <v>372</v>
      </c>
      <c r="P4385" s="33" t="s">
        <v>30089</v>
      </c>
      <c r="Q4385" s="40" t="s">
        <v>20612</v>
      </c>
      <c r="R4385" s="33" t="s">
        <v>512</v>
      </c>
      <c r="S4385" s="33" t="s">
        <v>12</v>
      </c>
      <c r="T4385" s="33" t="s">
        <v>29425</v>
      </c>
      <c r="U4385" s="33" t="s">
        <v>26572</v>
      </c>
      <c r="V4385" s="33" t="s">
        <v>26574</v>
      </c>
      <c r="W4385" s="33" t="s">
        <v>94</v>
      </c>
      <c r="X4385" s="33">
        <v>1163</v>
      </c>
      <c r="Z4385" s="33" t="s">
        <v>42966</v>
      </c>
      <c r="AA4385" s="33">
        <v>3281</v>
      </c>
    </row>
    <row r="4386" spans="1:27" ht="12" customHeight="1" x14ac:dyDescent="0.15">
      <c r="A4386" s="33" t="s">
        <v>20151</v>
      </c>
      <c r="B4386" s="33">
        <v>45</v>
      </c>
      <c r="C4386" s="33" t="s">
        <v>103</v>
      </c>
      <c r="D4386" s="33" t="s">
        <v>31</v>
      </c>
      <c r="F4386" s="67">
        <v>42379</v>
      </c>
      <c r="G4386" s="33" t="s">
        <v>20152</v>
      </c>
      <c r="H4386" s="33" t="s">
        <v>20153</v>
      </c>
      <c r="I4386" s="33" t="s">
        <v>46</v>
      </c>
      <c r="J4386" s="33" t="s">
        <v>20154</v>
      </c>
      <c r="K4386" s="33" t="s">
        <v>646</v>
      </c>
      <c r="L4386" s="33" t="s">
        <v>647</v>
      </c>
      <c r="M4386" s="33" t="s">
        <v>21</v>
      </c>
      <c r="N4386" s="33" t="s">
        <v>20155</v>
      </c>
      <c r="O4386" s="33" t="s">
        <v>372</v>
      </c>
      <c r="P4386" s="33" t="s">
        <v>30089</v>
      </c>
      <c r="Q4386" s="40" t="s">
        <v>20156</v>
      </c>
      <c r="R4386" s="33" t="s">
        <v>512</v>
      </c>
      <c r="S4386" s="33" t="s">
        <v>12</v>
      </c>
      <c r="T4386" s="33" t="s">
        <v>29425</v>
      </c>
      <c r="U4386" s="33" t="s">
        <v>26572</v>
      </c>
      <c r="V4386" s="33" t="s">
        <v>26573</v>
      </c>
      <c r="W4386" s="33" t="s">
        <v>94</v>
      </c>
      <c r="X4386" s="33">
        <v>1159</v>
      </c>
      <c r="Z4386" s="33" t="s">
        <v>42968</v>
      </c>
      <c r="AA4386" s="33">
        <v>3279</v>
      </c>
    </row>
    <row r="4387" spans="1:27" ht="12" customHeight="1" x14ac:dyDescent="0.15">
      <c r="A4387" s="33" t="s">
        <v>20134</v>
      </c>
      <c r="B4387" s="33">
        <v>37</v>
      </c>
      <c r="C4387" s="33" t="s">
        <v>14</v>
      </c>
      <c r="D4387" s="33" t="s">
        <v>31</v>
      </c>
      <c r="F4387" s="67">
        <v>42379</v>
      </c>
      <c r="G4387" s="33" t="s">
        <v>20135</v>
      </c>
      <c r="H4387" s="33" t="s">
        <v>15140</v>
      </c>
      <c r="I4387" s="33" t="s">
        <v>282</v>
      </c>
      <c r="J4387" s="33" t="s">
        <v>15141</v>
      </c>
      <c r="K4387" s="33" t="s">
        <v>1780</v>
      </c>
      <c r="L4387" s="33" t="s">
        <v>20136</v>
      </c>
      <c r="M4387" s="33" t="s">
        <v>21</v>
      </c>
      <c r="N4387" s="33" t="s">
        <v>36738</v>
      </c>
      <c r="O4387" s="33" t="s">
        <v>372</v>
      </c>
      <c r="P4387" s="33" t="s">
        <v>30089</v>
      </c>
      <c r="Q4387" s="40" t="s">
        <v>20137</v>
      </c>
      <c r="R4387" s="33" t="s">
        <v>512</v>
      </c>
      <c r="S4387" s="33" t="s">
        <v>22</v>
      </c>
      <c r="T4387" s="33" t="s">
        <v>26599</v>
      </c>
      <c r="U4387" s="33" t="s">
        <v>26570</v>
      </c>
      <c r="V4387" s="33" t="s">
        <v>26573</v>
      </c>
      <c r="W4387" s="33" t="s">
        <v>94</v>
      </c>
      <c r="X4387" s="33">
        <v>1156</v>
      </c>
      <c r="Z4387" s="33" t="s">
        <v>42967</v>
      </c>
      <c r="AA4387" s="33">
        <v>3278</v>
      </c>
    </row>
    <row r="4388" spans="1:27" ht="12" customHeight="1" x14ac:dyDescent="0.15">
      <c r="A4388" s="33" t="s">
        <v>20521</v>
      </c>
      <c r="B4388" s="33">
        <v>26</v>
      </c>
      <c r="C4388" s="33" t="s">
        <v>14</v>
      </c>
      <c r="D4388" s="33" t="s">
        <v>31</v>
      </c>
      <c r="F4388" s="67">
        <v>42377</v>
      </c>
      <c r="G4388" s="33" t="s">
        <v>20522</v>
      </c>
      <c r="H4388" s="33" t="s">
        <v>20523</v>
      </c>
      <c r="I4388" s="33" t="s">
        <v>409</v>
      </c>
      <c r="J4388" s="33" t="s">
        <v>20524</v>
      </c>
      <c r="K4388" s="33" t="s">
        <v>14498</v>
      </c>
      <c r="L4388" s="33" t="s">
        <v>20525</v>
      </c>
      <c r="M4388" s="33" t="s">
        <v>21</v>
      </c>
      <c r="N4388" s="33" t="s">
        <v>20526</v>
      </c>
      <c r="O4388" s="33" t="s">
        <v>372</v>
      </c>
      <c r="P4388" s="33" t="s">
        <v>30089</v>
      </c>
      <c r="Q4388" s="40" t="s">
        <v>20527</v>
      </c>
      <c r="R4388" s="33" t="s">
        <v>512</v>
      </c>
      <c r="S4388" s="33" t="s">
        <v>22</v>
      </c>
      <c r="T4388" s="33" t="s">
        <v>26774</v>
      </c>
      <c r="U4388" s="33" t="s">
        <v>26570</v>
      </c>
      <c r="V4388" s="33" t="s">
        <v>26573</v>
      </c>
      <c r="W4388" s="33" t="s">
        <v>94</v>
      </c>
      <c r="X4388" s="33">
        <v>1157</v>
      </c>
      <c r="Z4388" s="33" t="s">
        <v>42967</v>
      </c>
      <c r="AA4388" s="33">
        <v>3277</v>
      </c>
    </row>
    <row r="4389" spans="1:27" ht="12" customHeight="1" x14ac:dyDescent="0.15">
      <c r="A4389" s="33" t="s">
        <v>20013</v>
      </c>
      <c r="B4389" s="33">
        <v>50</v>
      </c>
      <c r="C4389" s="33" t="s">
        <v>14</v>
      </c>
      <c r="D4389" s="33" t="s">
        <v>31</v>
      </c>
      <c r="F4389" s="67">
        <v>42377</v>
      </c>
      <c r="G4389" s="33" t="s">
        <v>20014</v>
      </c>
      <c r="H4389" s="33" t="s">
        <v>14643</v>
      </c>
      <c r="I4389" s="33" t="s">
        <v>160</v>
      </c>
      <c r="J4389" s="33" t="s">
        <v>20015</v>
      </c>
      <c r="K4389" s="33" t="s">
        <v>1470</v>
      </c>
      <c r="L4389" s="33" t="s">
        <v>1047</v>
      </c>
      <c r="M4389" s="33" t="s">
        <v>21</v>
      </c>
      <c r="N4389" s="33" t="s">
        <v>20016</v>
      </c>
      <c r="O4389" s="33" t="s">
        <v>372</v>
      </c>
      <c r="P4389" s="33" t="s">
        <v>30089</v>
      </c>
      <c r="Q4389" s="40" t="s">
        <v>20017</v>
      </c>
      <c r="R4389" s="33" t="s">
        <v>512</v>
      </c>
      <c r="S4389" s="33" t="s">
        <v>22</v>
      </c>
      <c r="T4389" s="33" t="s">
        <v>26781</v>
      </c>
      <c r="U4389" s="33" t="s">
        <v>26572</v>
      </c>
      <c r="V4389" s="33" t="s">
        <v>26573</v>
      </c>
      <c r="W4389" s="33" t="s">
        <v>94</v>
      </c>
      <c r="X4389" s="33">
        <v>1158</v>
      </c>
      <c r="Z4389" s="33" t="s">
        <v>42968</v>
      </c>
      <c r="AA4389" s="33">
        <v>3276</v>
      </c>
    </row>
    <row r="4390" spans="1:27" ht="12" customHeight="1" x14ac:dyDescent="0.15">
      <c r="A4390" s="33" t="s">
        <v>20601</v>
      </c>
      <c r="B4390" s="33">
        <v>38</v>
      </c>
      <c r="C4390" s="33" t="s">
        <v>14</v>
      </c>
      <c r="D4390" s="33" t="s">
        <v>31</v>
      </c>
      <c r="E4390" s="33" t="s">
        <v>20602</v>
      </c>
      <c r="F4390" s="67">
        <v>42375</v>
      </c>
      <c r="G4390" s="33" t="s">
        <v>20603</v>
      </c>
      <c r="H4390" s="33" t="s">
        <v>2833</v>
      </c>
      <c r="I4390" s="33" t="s">
        <v>38</v>
      </c>
      <c r="J4390" s="33" t="s">
        <v>20604</v>
      </c>
      <c r="K4390" s="33" t="s">
        <v>1179</v>
      </c>
      <c r="L4390" s="33" t="s">
        <v>2834</v>
      </c>
      <c r="M4390" s="33" t="s">
        <v>21</v>
      </c>
      <c r="N4390" s="33" t="s">
        <v>20605</v>
      </c>
      <c r="O4390" s="33" t="s">
        <v>372</v>
      </c>
      <c r="P4390" s="33" t="s">
        <v>30089</v>
      </c>
      <c r="Q4390" s="40" t="s">
        <v>20606</v>
      </c>
      <c r="R4390" s="33" t="s">
        <v>512</v>
      </c>
      <c r="S4390" s="33" t="s">
        <v>12</v>
      </c>
      <c r="T4390" s="33" t="s">
        <v>29425</v>
      </c>
      <c r="U4390" s="33" t="s">
        <v>26570</v>
      </c>
      <c r="V4390" s="33" t="s">
        <v>26574</v>
      </c>
      <c r="W4390" s="33" t="s">
        <v>94</v>
      </c>
      <c r="X4390" s="33">
        <v>1150</v>
      </c>
      <c r="Z4390" s="33" t="s">
        <v>42968</v>
      </c>
      <c r="AA4390" s="33">
        <v>3275</v>
      </c>
    </row>
    <row r="4391" spans="1:27" ht="12" customHeight="1" x14ac:dyDescent="0.15">
      <c r="A4391" s="33" t="s">
        <v>20284</v>
      </c>
      <c r="B4391" s="33">
        <v>34</v>
      </c>
      <c r="C4391" s="33" t="s">
        <v>14</v>
      </c>
      <c r="D4391" s="33" t="s">
        <v>31</v>
      </c>
      <c r="E4391" s="33" t="s">
        <v>20285</v>
      </c>
      <c r="F4391" s="67">
        <v>42375</v>
      </c>
      <c r="H4391" s="33" t="s">
        <v>2057</v>
      </c>
      <c r="I4391" s="33" t="s">
        <v>294</v>
      </c>
      <c r="J4391" s="33" t="s">
        <v>2058</v>
      </c>
      <c r="K4391" s="33" t="s">
        <v>2059</v>
      </c>
      <c r="L4391" s="33" t="s">
        <v>20286</v>
      </c>
      <c r="M4391" s="33" t="s">
        <v>21</v>
      </c>
      <c r="N4391" s="33" t="s">
        <v>20287</v>
      </c>
      <c r="O4391" s="33" t="s">
        <v>372</v>
      </c>
      <c r="P4391" s="33" t="s">
        <v>30089</v>
      </c>
      <c r="Q4391" s="40" t="s">
        <v>20288</v>
      </c>
      <c r="R4391" s="33" t="s">
        <v>94</v>
      </c>
      <c r="S4391" s="33" t="s">
        <v>22</v>
      </c>
      <c r="T4391" s="33" t="s">
        <v>26781</v>
      </c>
      <c r="U4391" s="33" t="s">
        <v>26572</v>
      </c>
      <c r="V4391" s="33" t="s">
        <v>26573</v>
      </c>
      <c r="W4391" s="33" t="s">
        <v>94</v>
      </c>
      <c r="X4391" s="33">
        <v>1154</v>
      </c>
      <c r="Z4391" s="33" t="s">
        <v>42968</v>
      </c>
      <c r="AA4391" s="33">
        <v>3274</v>
      </c>
    </row>
    <row r="4392" spans="1:27" ht="12" customHeight="1" x14ac:dyDescent="0.15">
      <c r="A4392" s="33" t="s">
        <v>19641</v>
      </c>
      <c r="B4392" s="33">
        <v>32</v>
      </c>
      <c r="C4392" s="33" t="s">
        <v>14</v>
      </c>
      <c r="D4392" s="33" t="s">
        <v>42</v>
      </c>
      <c r="E4392" s="33" t="s">
        <v>19642</v>
      </c>
      <c r="F4392" s="67">
        <v>42375</v>
      </c>
      <c r="G4392" s="33" t="s">
        <v>19643</v>
      </c>
      <c r="H4392" s="33" t="s">
        <v>19644</v>
      </c>
      <c r="I4392" s="33" t="s">
        <v>178</v>
      </c>
      <c r="J4392" s="33" t="s">
        <v>19645</v>
      </c>
      <c r="K4392" s="33" t="s">
        <v>2159</v>
      </c>
      <c r="L4392" s="33" t="s">
        <v>2847</v>
      </c>
      <c r="M4392" s="33" t="s">
        <v>21</v>
      </c>
      <c r="N4392" s="33" t="s">
        <v>19646</v>
      </c>
      <c r="O4392" s="33" t="s">
        <v>372</v>
      </c>
      <c r="P4392" s="33" t="s">
        <v>30089</v>
      </c>
      <c r="Q4392" s="40" t="s">
        <v>19647</v>
      </c>
      <c r="R4392" s="33" t="s">
        <v>512</v>
      </c>
      <c r="S4392" s="33" t="s">
        <v>22</v>
      </c>
      <c r="T4392" s="33" t="s">
        <v>26781</v>
      </c>
      <c r="U4392" s="33" t="s">
        <v>26572</v>
      </c>
      <c r="V4392" s="33" t="s">
        <v>26573</v>
      </c>
      <c r="W4392" s="33" t="s">
        <v>94</v>
      </c>
      <c r="X4392" s="33">
        <v>1153</v>
      </c>
      <c r="Z4392" s="33" t="s">
        <v>42967</v>
      </c>
      <c r="AA4392" s="33">
        <v>3273</v>
      </c>
    </row>
    <row r="4393" spans="1:27" ht="12" customHeight="1" x14ac:dyDescent="0.15">
      <c r="A4393" s="33" t="s">
        <v>20487</v>
      </c>
      <c r="B4393" s="33">
        <v>54</v>
      </c>
      <c r="C4393" s="33" t="s">
        <v>14</v>
      </c>
      <c r="D4393" s="33" t="s">
        <v>31</v>
      </c>
      <c r="E4393" s="33" t="s">
        <v>20488</v>
      </c>
      <c r="F4393" s="67">
        <v>42374</v>
      </c>
      <c r="G4393" s="33" t="s">
        <v>20489</v>
      </c>
      <c r="H4393" s="33" t="s">
        <v>14886</v>
      </c>
      <c r="I4393" s="33" t="s">
        <v>376</v>
      </c>
      <c r="J4393" s="33" t="s">
        <v>20490</v>
      </c>
      <c r="K4393" s="33" t="s">
        <v>850</v>
      </c>
      <c r="L4393" s="33" t="s">
        <v>14888</v>
      </c>
      <c r="M4393" s="33" t="s">
        <v>4966</v>
      </c>
      <c r="N4393" s="33" t="s">
        <v>20491</v>
      </c>
      <c r="O4393" s="33" t="s">
        <v>372</v>
      </c>
      <c r="P4393" s="33" t="s">
        <v>30089</v>
      </c>
      <c r="Q4393" s="40" t="s">
        <v>20492</v>
      </c>
      <c r="R4393" s="33" t="s">
        <v>512</v>
      </c>
      <c r="S4393" s="33" t="s">
        <v>22</v>
      </c>
      <c r="T4393" s="33" t="s">
        <v>26774</v>
      </c>
      <c r="U4393" s="33" t="s">
        <v>26570</v>
      </c>
      <c r="V4393" s="33" t="s">
        <v>26573</v>
      </c>
      <c r="W4393" s="33" t="s">
        <v>94</v>
      </c>
      <c r="X4393" s="33">
        <v>1160</v>
      </c>
      <c r="Z4393" s="33" t="s">
        <v>42968</v>
      </c>
      <c r="AA4393" s="33">
        <v>3271</v>
      </c>
    </row>
    <row r="4394" spans="1:27" ht="12" customHeight="1" x14ac:dyDescent="0.15">
      <c r="A4394" s="33" t="s">
        <v>20501</v>
      </c>
      <c r="B4394" s="33">
        <v>39</v>
      </c>
      <c r="C4394" s="33" t="s">
        <v>14</v>
      </c>
      <c r="D4394" s="33" t="s">
        <v>31</v>
      </c>
      <c r="E4394" s="33" t="s">
        <v>20502</v>
      </c>
      <c r="F4394" s="67">
        <v>42374</v>
      </c>
      <c r="G4394" s="33" t="s">
        <v>20503</v>
      </c>
      <c r="H4394" s="33" t="s">
        <v>9771</v>
      </c>
      <c r="I4394" s="33" t="s">
        <v>298</v>
      </c>
      <c r="J4394" s="33" t="s">
        <v>20504</v>
      </c>
      <c r="K4394" s="33" t="s">
        <v>107</v>
      </c>
      <c r="L4394" s="33" t="s">
        <v>5161</v>
      </c>
      <c r="M4394" s="33" t="s">
        <v>21</v>
      </c>
      <c r="N4394" s="33" t="s">
        <v>20505</v>
      </c>
      <c r="O4394" s="33" t="s">
        <v>372</v>
      </c>
      <c r="P4394" s="33" t="s">
        <v>30089</v>
      </c>
      <c r="Q4394" s="40" t="s">
        <v>20506</v>
      </c>
      <c r="R4394" s="33" t="s">
        <v>94</v>
      </c>
      <c r="S4394" s="33" t="s">
        <v>22</v>
      </c>
      <c r="T4394" s="33" t="s">
        <v>26774</v>
      </c>
      <c r="U4394" s="33" t="s">
        <v>26570</v>
      </c>
      <c r="V4394" s="33" t="s">
        <v>26574</v>
      </c>
      <c r="W4394" s="33" t="s">
        <v>94</v>
      </c>
      <c r="X4394" s="33">
        <v>1146</v>
      </c>
      <c r="Z4394" s="33" t="s">
        <v>42968</v>
      </c>
      <c r="AA4394" s="33">
        <v>3270</v>
      </c>
    </row>
    <row r="4395" spans="1:27" ht="12" customHeight="1" x14ac:dyDescent="0.15">
      <c r="A4395" s="33" t="s">
        <v>19770</v>
      </c>
      <c r="B4395" s="33">
        <v>28</v>
      </c>
      <c r="C4395" s="33" t="s">
        <v>14</v>
      </c>
      <c r="D4395" s="33" t="s">
        <v>42</v>
      </c>
      <c r="F4395" s="67">
        <v>42374</v>
      </c>
      <c r="G4395" s="33" t="s">
        <v>19771</v>
      </c>
      <c r="H4395" s="33" t="s">
        <v>2952</v>
      </c>
      <c r="I4395" s="33" t="s">
        <v>39</v>
      </c>
      <c r="J4395" s="33" t="s">
        <v>19772</v>
      </c>
      <c r="K4395" s="33" t="s">
        <v>2954</v>
      </c>
      <c r="L4395" s="33" t="s">
        <v>2955</v>
      </c>
      <c r="M4395" s="33" t="s">
        <v>21</v>
      </c>
      <c r="N4395" s="33" t="s">
        <v>19773</v>
      </c>
      <c r="O4395" s="33" t="s">
        <v>372</v>
      </c>
      <c r="P4395" s="33" t="s">
        <v>30089</v>
      </c>
      <c r="Q4395" s="40" t="s">
        <v>19774</v>
      </c>
      <c r="R4395" s="33" t="s">
        <v>23</v>
      </c>
      <c r="S4395" s="33" t="s">
        <v>22</v>
      </c>
      <c r="T4395" s="33" t="s">
        <v>26609</v>
      </c>
      <c r="U4395" s="33" t="s">
        <v>26570</v>
      </c>
      <c r="V4395" s="33" t="s">
        <v>26574</v>
      </c>
      <c r="W4395" s="33" t="s">
        <v>94</v>
      </c>
      <c r="X4395" s="33">
        <v>1149</v>
      </c>
      <c r="Z4395" s="33" t="s">
        <v>42968</v>
      </c>
      <c r="AA4395" s="33">
        <v>3269</v>
      </c>
    </row>
    <row r="4396" spans="1:27" ht="12" customHeight="1" x14ac:dyDescent="0.15">
      <c r="A4396" s="33" t="s">
        <v>20244</v>
      </c>
      <c r="B4396" s="33">
        <v>52</v>
      </c>
      <c r="C4396" s="33" t="s">
        <v>14</v>
      </c>
      <c r="D4396" s="33" t="s">
        <v>31</v>
      </c>
      <c r="E4396" s="33" t="s">
        <v>20245</v>
      </c>
      <c r="F4396" s="67">
        <v>42374</v>
      </c>
      <c r="G4396" s="33" t="s">
        <v>20246</v>
      </c>
      <c r="H4396" s="33" t="s">
        <v>6885</v>
      </c>
      <c r="I4396" s="33" t="s">
        <v>39</v>
      </c>
      <c r="J4396" s="33" t="s">
        <v>20247</v>
      </c>
      <c r="K4396" s="33" t="s">
        <v>6887</v>
      </c>
      <c r="L4396" s="33" t="s">
        <v>6888</v>
      </c>
      <c r="M4396" s="33" t="s">
        <v>21</v>
      </c>
      <c r="N4396" s="33" t="s">
        <v>20248</v>
      </c>
      <c r="O4396" s="33" t="s">
        <v>372</v>
      </c>
      <c r="P4396" s="33" t="s">
        <v>30089</v>
      </c>
      <c r="Q4396" s="40" t="s">
        <v>20249</v>
      </c>
      <c r="R4396" s="33" t="s">
        <v>512</v>
      </c>
      <c r="S4396" s="33" t="s">
        <v>22</v>
      </c>
      <c r="T4396" s="33" t="s">
        <v>26781</v>
      </c>
      <c r="U4396" s="33" t="s">
        <v>26570</v>
      </c>
      <c r="V4396" s="33" t="s">
        <v>26573</v>
      </c>
      <c r="W4396" s="33" t="s">
        <v>94</v>
      </c>
      <c r="X4396" s="33">
        <v>1148</v>
      </c>
      <c r="Z4396" s="33" t="s">
        <v>42968</v>
      </c>
      <c r="AA4396" s="33">
        <v>3268</v>
      </c>
    </row>
    <row r="4397" spans="1:27" ht="12" customHeight="1" x14ac:dyDescent="0.15">
      <c r="A4397" s="33" t="s">
        <v>20141</v>
      </c>
      <c r="B4397" s="33">
        <v>29</v>
      </c>
      <c r="C4397" s="33" t="s">
        <v>14</v>
      </c>
      <c r="D4397" s="33" t="s">
        <v>31</v>
      </c>
      <c r="F4397" s="67">
        <v>42374</v>
      </c>
      <c r="G4397" s="33" t="s">
        <v>20142</v>
      </c>
      <c r="H4397" s="33" t="s">
        <v>20143</v>
      </c>
      <c r="I4397" s="33" t="s">
        <v>282</v>
      </c>
      <c r="J4397" s="33" t="s">
        <v>20144</v>
      </c>
      <c r="K4397" s="33" t="s">
        <v>6599</v>
      </c>
      <c r="L4397" s="33" t="s">
        <v>18609</v>
      </c>
      <c r="M4397" s="33" t="s">
        <v>21</v>
      </c>
      <c r="N4397" s="33" t="s">
        <v>21008</v>
      </c>
      <c r="O4397" s="33" t="s">
        <v>372</v>
      </c>
      <c r="P4397" s="33" t="s">
        <v>30089</v>
      </c>
      <c r="Q4397" s="40" t="s">
        <v>20145</v>
      </c>
      <c r="R4397" s="33" t="s">
        <v>23</v>
      </c>
      <c r="S4397" s="33" t="s">
        <v>351</v>
      </c>
      <c r="T4397" s="33" t="s">
        <v>26867</v>
      </c>
      <c r="U4397" s="33" t="s">
        <v>26572</v>
      </c>
      <c r="V4397" s="33" t="s">
        <v>26574</v>
      </c>
      <c r="W4397" s="33" t="s">
        <v>94</v>
      </c>
      <c r="X4397" s="33">
        <v>1145</v>
      </c>
      <c r="Z4397" s="33" t="s">
        <v>42966</v>
      </c>
      <c r="AA4397" s="33">
        <v>3272</v>
      </c>
    </row>
    <row r="4398" spans="1:27" ht="12" customHeight="1" x14ac:dyDescent="0.15">
      <c r="A4398" s="33" t="s">
        <v>19580</v>
      </c>
      <c r="B4398" s="33">
        <v>33</v>
      </c>
      <c r="C4398" s="33" t="s">
        <v>14</v>
      </c>
      <c r="D4398" s="33" t="s">
        <v>79</v>
      </c>
      <c r="F4398" s="67">
        <v>42374</v>
      </c>
      <c r="G4398" s="33" t="s">
        <v>19581</v>
      </c>
      <c r="H4398" s="33" t="s">
        <v>3855</v>
      </c>
      <c r="I4398" s="33" t="s">
        <v>338</v>
      </c>
      <c r="J4398" s="33" t="s">
        <v>19418</v>
      </c>
      <c r="K4398" s="33" t="s">
        <v>3857</v>
      </c>
      <c r="L4398" s="33" t="s">
        <v>3858</v>
      </c>
      <c r="M4398" s="33" t="s">
        <v>21</v>
      </c>
      <c r="N4398" s="33" t="s">
        <v>19582</v>
      </c>
      <c r="O4398" s="33" t="s">
        <v>372</v>
      </c>
      <c r="P4398" s="33" t="s">
        <v>30089</v>
      </c>
      <c r="Q4398" s="40" t="s">
        <v>19583</v>
      </c>
      <c r="R4398" s="33" t="s">
        <v>94</v>
      </c>
      <c r="S4398" s="33" t="s">
        <v>22</v>
      </c>
      <c r="T4398" s="33" t="s">
        <v>26781</v>
      </c>
      <c r="U4398" s="33" t="s">
        <v>26572</v>
      </c>
      <c r="V4398" s="33" t="s">
        <v>26573</v>
      </c>
      <c r="W4398" s="33" t="s">
        <v>94</v>
      </c>
      <c r="X4398" s="33">
        <v>1147</v>
      </c>
      <c r="Z4398" s="33" t="s">
        <v>42968</v>
      </c>
      <c r="AA4398" s="33">
        <v>3267</v>
      </c>
    </row>
    <row r="4399" spans="1:27" ht="12" customHeight="1" x14ac:dyDescent="0.15">
      <c r="A4399" s="33" t="s">
        <v>19543</v>
      </c>
      <c r="B4399" s="33">
        <v>27</v>
      </c>
      <c r="C4399" s="33" t="s">
        <v>14</v>
      </c>
      <c r="D4399" s="33" t="s">
        <v>79</v>
      </c>
      <c r="E4399" s="33" t="s">
        <v>19544</v>
      </c>
      <c r="F4399" s="67">
        <v>42373</v>
      </c>
      <c r="G4399" s="33" t="s">
        <v>19545</v>
      </c>
      <c r="H4399" s="33" t="s">
        <v>19546</v>
      </c>
      <c r="I4399" s="33" t="s">
        <v>19</v>
      </c>
      <c r="J4399" s="33" t="s">
        <v>19547</v>
      </c>
      <c r="K4399" s="33" t="s">
        <v>7065</v>
      </c>
      <c r="L4399" s="33" t="s">
        <v>19548</v>
      </c>
      <c r="M4399" s="33" t="s">
        <v>21</v>
      </c>
      <c r="N4399" s="33" t="s">
        <v>20870</v>
      </c>
      <c r="O4399" s="33" t="s">
        <v>372</v>
      </c>
      <c r="P4399" s="33" t="s">
        <v>30089</v>
      </c>
      <c r="Q4399" s="40" t="s">
        <v>19549</v>
      </c>
      <c r="R4399" s="33" t="s">
        <v>94</v>
      </c>
      <c r="S4399" s="33" t="s">
        <v>29</v>
      </c>
      <c r="T4399" s="33" t="s">
        <v>26575</v>
      </c>
      <c r="U4399" s="33" t="s">
        <v>26575</v>
      </c>
      <c r="V4399" s="33" t="s">
        <v>26573</v>
      </c>
      <c r="W4399" s="33" t="s">
        <v>94</v>
      </c>
      <c r="X4399" s="33">
        <v>1142</v>
      </c>
      <c r="Z4399" s="33" t="s">
        <v>42967</v>
      </c>
      <c r="AA4399" s="33">
        <v>3266</v>
      </c>
    </row>
    <row r="4400" spans="1:27" ht="12" customHeight="1" x14ac:dyDescent="0.15">
      <c r="A4400" s="33" t="s">
        <v>19440</v>
      </c>
      <c r="B4400" s="33">
        <v>22</v>
      </c>
      <c r="C4400" s="33" t="s">
        <v>14</v>
      </c>
      <c r="D4400" s="33" t="s">
        <v>79</v>
      </c>
      <c r="E4400" s="33" t="s">
        <v>19441</v>
      </c>
      <c r="F4400" s="67">
        <v>42373</v>
      </c>
      <c r="G4400" s="33" t="s">
        <v>19442</v>
      </c>
      <c r="H4400" s="33" t="s">
        <v>1027</v>
      </c>
      <c r="I4400" s="33" t="s">
        <v>367</v>
      </c>
      <c r="J4400" s="33" t="s">
        <v>5701</v>
      </c>
      <c r="K4400" s="33" t="s">
        <v>1028</v>
      </c>
      <c r="L4400" s="33" t="s">
        <v>1029</v>
      </c>
      <c r="M4400" s="33" t="s">
        <v>21</v>
      </c>
      <c r="N4400" s="33" t="s">
        <v>19443</v>
      </c>
      <c r="O4400" s="33" t="s">
        <v>372</v>
      </c>
      <c r="P4400" s="33" t="s">
        <v>30089</v>
      </c>
      <c r="Q4400" s="40" t="s">
        <v>19444</v>
      </c>
      <c r="R4400" s="33" t="s">
        <v>94</v>
      </c>
      <c r="S4400" s="33" t="s">
        <v>22</v>
      </c>
      <c r="T4400" s="33" t="s">
        <v>26781</v>
      </c>
      <c r="U4400" s="33" t="s">
        <v>26572</v>
      </c>
      <c r="V4400" s="33" t="s">
        <v>26574</v>
      </c>
      <c r="W4400" s="33" t="s">
        <v>512</v>
      </c>
      <c r="X4400" s="33">
        <v>1144</v>
      </c>
      <c r="Z4400" s="33" t="s">
        <v>42966</v>
      </c>
      <c r="AA4400" s="33">
        <v>3265</v>
      </c>
    </row>
    <row r="4401" spans="1:27" ht="12" customHeight="1" x14ac:dyDescent="0.15">
      <c r="A4401" s="33" t="s">
        <v>19415</v>
      </c>
      <c r="B4401" s="33">
        <v>30</v>
      </c>
      <c r="C4401" s="33" t="s">
        <v>14</v>
      </c>
      <c r="D4401" s="33" t="s">
        <v>79</v>
      </c>
      <c r="E4401" s="33" t="s">
        <v>19416</v>
      </c>
      <c r="F4401" s="67">
        <v>42372</v>
      </c>
      <c r="G4401" s="33" t="s">
        <v>19417</v>
      </c>
      <c r="H4401" s="33" t="s">
        <v>3855</v>
      </c>
      <c r="I4401" s="33" t="s">
        <v>338</v>
      </c>
      <c r="J4401" s="33" t="s">
        <v>19418</v>
      </c>
      <c r="K4401" s="33" t="s">
        <v>3857</v>
      </c>
      <c r="L4401" s="33" t="s">
        <v>3858</v>
      </c>
      <c r="M4401" s="33" t="s">
        <v>21</v>
      </c>
      <c r="N4401" s="33" t="s">
        <v>19419</v>
      </c>
      <c r="O4401" s="33" t="s">
        <v>372</v>
      </c>
      <c r="P4401" s="33" t="s">
        <v>30089</v>
      </c>
      <c r="Q4401" s="40" t="s">
        <v>19420</v>
      </c>
      <c r="R4401" s="33" t="s">
        <v>94</v>
      </c>
      <c r="S4401" s="33" t="s">
        <v>22</v>
      </c>
      <c r="T4401" s="33" t="s">
        <v>26781</v>
      </c>
      <c r="U4401" s="33" t="s">
        <v>26572</v>
      </c>
      <c r="V4401" s="33" t="s">
        <v>26573</v>
      </c>
      <c r="W4401" s="33" t="s">
        <v>94</v>
      </c>
      <c r="X4401" s="33">
        <v>1140</v>
      </c>
      <c r="Z4401" s="33" t="s">
        <v>42968</v>
      </c>
      <c r="AA4401" s="33">
        <v>3264</v>
      </c>
    </row>
    <row r="4402" spans="1:27" ht="12" customHeight="1" x14ac:dyDescent="0.15">
      <c r="A4402" s="33" t="s">
        <v>20110</v>
      </c>
      <c r="B4402" s="33">
        <v>37</v>
      </c>
      <c r="C4402" s="33" t="s">
        <v>14</v>
      </c>
      <c r="D4402" s="33" t="s">
        <v>31</v>
      </c>
      <c r="F4402" s="67">
        <v>42371</v>
      </c>
      <c r="G4402" s="33" t="s">
        <v>20111</v>
      </c>
      <c r="H4402" s="33" t="s">
        <v>3744</v>
      </c>
      <c r="I4402" s="33" t="s">
        <v>798</v>
      </c>
      <c r="J4402" s="33" t="s">
        <v>20112</v>
      </c>
      <c r="K4402" s="33" t="s">
        <v>20113</v>
      </c>
      <c r="L4402" s="33" t="s">
        <v>20114</v>
      </c>
      <c r="M4402" s="33" t="s">
        <v>4966</v>
      </c>
      <c r="N4402" s="33" t="s">
        <v>21043</v>
      </c>
      <c r="O4402" s="33" t="s">
        <v>372</v>
      </c>
      <c r="P4402" s="33" t="s">
        <v>30089</v>
      </c>
      <c r="Q4402" s="40" t="s">
        <v>20115</v>
      </c>
      <c r="R4402" s="33" t="s">
        <v>23</v>
      </c>
      <c r="S4402" s="33" t="s">
        <v>22</v>
      </c>
      <c r="T4402" s="33" t="s">
        <v>26774</v>
      </c>
      <c r="U4402" s="33" t="s">
        <v>26570</v>
      </c>
      <c r="V4402" s="33" t="s">
        <v>26573</v>
      </c>
      <c r="W4402" s="33" t="s">
        <v>94</v>
      </c>
      <c r="X4402" s="33">
        <v>1138</v>
      </c>
      <c r="Z4402" s="33" t="s">
        <v>42967</v>
      </c>
      <c r="AA4402" s="33">
        <v>3263</v>
      </c>
    </row>
    <row r="4403" spans="1:27" ht="12" customHeight="1" x14ac:dyDescent="0.15">
      <c r="A4403" s="33" t="s">
        <v>20345</v>
      </c>
      <c r="B4403" s="33">
        <v>37</v>
      </c>
      <c r="C4403" s="33" t="s">
        <v>14</v>
      </c>
      <c r="D4403" s="33" t="s">
        <v>31</v>
      </c>
      <c r="E4403" s="33" t="s">
        <v>20346</v>
      </c>
      <c r="F4403" s="67">
        <v>42371</v>
      </c>
      <c r="G4403" s="33" t="s">
        <v>20347</v>
      </c>
      <c r="H4403" s="33" t="s">
        <v>12452</v>
      </c>
      <c r="I4403" s="33" t="s">
        <v>132</v>
      </c>
      <c r="J4403" s="33" t="s">
        <v>20348</v>
      </c>
      <c r="K4403" s="33" t="s">
        <v>12454</v>
      </c>
      <c r="L4403" s="33" t="s">
        <v>5161</v>
      </c>
      <c r="M4403" s="33" t="s">
        <v>21</v>
      </c>
      <c r="N4403" s="33" t="s">
        <v>20349</v>
      </c>
      <c r="O4403" s="33" t="s">
        <v>372</v>
      </c>
      <c r="P4403" s="33" t="s">
        <v>30089</v>
      </c>
      <c r="Q4403" s="40" t="s">
        <v>20350</v>
      </c>
      <c r="R4403" s="33" t="s">
        <v>94</v>
      </c>
      <c r="S4403" s="33" t="s">
        <v>22</v>
      </c>
      <c r="T4403" s="33" t="s">
        <v>26781</v>
      </c>
      <c r="U4403" s="33" t="s">
        <v>26572</v>
      </c>
      <c r="V4403" s="33" t="s">
        <v>26573</v>
      </c>
      <c r="W4403" s="33" t="s">
        <v>94</v>
      </c>
      <c r="X4403" s="33">
        <v>1198</v>
      </c>
      <c r="Z4403" s="33" t="s">
        <v>42968</v>
      </c>
      <c r="AA4403" s="33">
        <v>3262</v>
      </c>
    </row>
    <row r="4404" spans="1:27" ht="12" customHeight="1" x14ac:dyDescent="0.15">
      <c r="A4404" s="33" t="s">
        <v>20085</v>
      </c>
      <c r="B4404" s="33">
        <v>54</v>
      </c>
      <c r="C4404" s="33" t="s">
        <v>14</v>
      </c>
      <c r="D4404" s="33" t="s">
        <v>31</v>
      </c>
      <c r="F4404" s="67">
        <v>42371</v>
      </c>
      <c r="G4404" s="33" t="s">
        <v>20086</v>
      </c>
      <c r="H4404" s="33" t="s">
        <v>8098</v>
      </c>
      <c r="I4404" s="33" t="s">
        <v>67</v>
      </c>
      <c r="J4404" s="33" t="s">
        <v>8099</v>
      </c>
      <c r="K4404" s="33" t="s">
        <v>8100</v>
      </c>
      <c r="L4404" s="33" t="s">
        <v>20087</v>
      </c>
      <c r="M4404" s="33" t="s">
        <v>21</v>
      </c>
      <c r="N4404" s="33" t="s">
        <v>20088</v>
      </c>
      <c r="O4404" s="33" t="s">
        <v>372</v>
      </c>
      <c r="P4404" s="33" t="s">
        <v>30089</v>
      </c>
      <c r="Q4404" s="40" t="s">
        <v>20089</v>
      </c>
      <c r="R4404" s="33" t="s">
        <v>94</v>
      </c>
      <c r="S4404" s="33" t="s">
        <v>22</v>
      </c>
      <c r="T4404" s="33" t="s">
        <v>26781</v>
      </c>
      <c r="U4404" s="33" t="s">
        <v>26572</v>
      </c>
      <c r="V4404" s="33" t="s">
        <v>26571</v>
      </c>
      <c r="W4404" s="33" t="s">
        <v>94</v>
      </c>
      <c r="X4404" s="33">
        <v>1195</v>
      </c>
      <c r="Z4404" s="33" t="s">
        <v>42967</v>
      </c>
      <c r="AA4404" s="33">
        <v>3261</v>
      </c>
    </row>
    <row r="4405" spans="1:27" ht="12" customHeight="1" x14ac:dyDescent="0.15">
      <c r="A4405" s="33" t="s">
        <v>20425</v>
      </c>
      <c r="B4405" s="33">
        <v>30</v>
      </c>
      <c r="C4405" s="33" t="s">
        <v>14</v>
      </c>
      <c r="D4405" s="33" t="s">
        <v>31</v>
      </c>
      <c r="E4405" s="33" t="s">
        <v>20426</v>
      </c>
      <c r="F4405" s="67">
        <v>42370</v>
      </c>
      <c r="G4405" s="33" t="s">
        <v>20427</v>
      </c>
      <c r="H4405" s="33" t="s">
        <v>143</v>
      </c>
      <c r="I4405" s="33" t="s">
        <v>39</v>
      </c>
      <c r="J4405" s="33" t="s">
        <v>20428</v>
      </c>
      <c r="K4405" s="33" t="s">
        <v>143</v>
      </c>
      <c r="L4405" s="33" t="s">
        <v>144</v>
      </c>
      <c r="M4405" s="33" t="s">
        <v>21</v>
      </c>
      <c r="N4405" s="33" t="s">
        <v>21027</v>
      </c>
      <c r="P4405" s="33" t="s">
        <v>30089</v>
      </c>
      <c r="Q4405" s="40" t="s">
        <v>20429</v>
      </c>
      <c r="R4405" s="33" t="s">
        <v>94</v>
      </c>
      <c r="S4405" s="33" t="s">
        <v>22</v>
      </c>
      <c r="T4405" s="33" t="s">
        <v>26774</v>
      </c>
      <c r="U4405" s="33" t="s">
        <v>26570</v>
      </c>
      <c r="V4405" s="33" t="s">
        <v>26573</v>
      </c>
      <c r="W4405" s="33" t="s">
        <v>512</v>
      </c>
      <c r="X4405" s="33">
        <v>1139</v>
      </c>
      <c r="Z4405" s="33" t="s">
        <v>42966</v>
      </c>
      <c r="AA4405" s="33">
        <v>3260</v>
      </c>
    </row>
    <row r="4406" spans="1:27" ht="12" customHeight="1" x14ac:dyDescent="0.15">
      <c r="A4406" s="33" t="s">
        <v>19022</v>
      </c>
      <c r="B4406" s="33">
        <v>23</v>
      </c>
      <c r="C4406" s="33" t="s">
        <v>14</v>
      </c>
      <c r="D4406" s="33" t="s">
        <v>79</v>
      </c>
      <c r="E4406" s="33" t="s">
        <v>19023</v>
      </c>
      <c r="F4406" s="67">
        <v>42369</v>
      </c>
      <c r="G4406" s="33" t="s">
        <v>19019</v>
      </c>
      <c r="H4406" s="33" t="s">
        <v>607</v>
      </c>
      <c r="I4406" s="33" t="s">
        <v>250</v>
      </c>
      <c r="J4406" s="33" t="s">
        <v>19263</v>
      </c>
      <c r="K4406" s="33" t="s">
        <v>527</v>
      </c>
      <c r="L4406" s="33" t="s">
        <v>528</v>
      </c>
      <c r="M4406" s="33" t="s">
        <v>21</v>
      </c>
      <c r="N4406" s="33" t="s">
        <v>19020</v>
      </c>
      <c r="P4406" s="33" t="s">
        <v>30089</v>
      </c>
      <c r="Q4406" s="40" t="s">
        <v>19018</v>
      </c>
      <c r="R4406" s="33" t="s">
        <v>23</v>
      </c>
      <c r="S4406" s="33" t="s">
        <v>12</v>
      </c>
      <c r="T4406" s="33" t="s">
        <v>29705</v>
      </c>
      <c r="U4406" s="33" t="s">
        <v>26570</v>
      </c>
      <c r="V4406" s="33" t="s">
        <v>26573</v>
      </c>
      <c r="W4406" s="33" t="s">
        <v>512</v>
      </c>
      <c r="X4406" s="33">
        <v>1137</v>
      </c>
      <c r="Z4406" s="33" t="s">
        <v>42966</v>
      </c>
      <c r="AA4406" s="33">
        <v>3259</v>
      </c>
    </row>
    <row r="4407" spans="1:27" ht="12" customHeight="1" x14ac:dyDescent="0.15">
      <c r="A4407" s="33" t="s">
        <v>19006</v>
      </c>
      <c r="B4407" s="33">
        <v>55</v>
      </c>
      <c r="C4407" s="33" t="s">
        <v>14</v>
      </c>
      <c r="D4407" s="33" t="s">
        <v>42</v>
      </c>
      <c r="F4407" s="67">
        <v>42368</v>
      </c>
      <c r="G4407" s="33" t="s">
        <v>19009</v>
      </c>
      <c r="H4407" s="33" t="s">
        <v>183</v>
      </c>
      <c r="I4407" s="33" t="s">
        <v>39</v>
      </c>
      <c r="J4407" s="33" t="s">
        <v>19265</v>
      </c>
      <c r="K4407" s="33" t="s">
        <v>183</v>
      </c>
      <c r="L4407" s="33" t="s">
        <v>184</v>
      </c>
      <c r="M4407" s="33" t="s">
        <v>21</v>
      </c>
      <c r="N4407" s="33" t="s">
        <v>19008</v>
      </c>
      <c r="P4407" s="33" t="s">
        <v>30089</v>
      </c>
      <c r="Q4407" s="40" t="s">
        <v>19007</v>
      </c>
      <c r="R4407" s="33" t="s">
        <v>23</v>
      </c>
      <c r="S4407" s="33" t="s">
        <v>22</v>
      </c>
      <c r="T4407" s="33" t="s">
        <v>26774</v>
      </c>
      <c r="U4407" s="33" t="s">
        <v>26572</v>
      </c>
      <c r="V4407" s="33" t="s">
        <v>26573</v>
      </c>
      <c r="W4407" s="33" t="s">
        <v>512</v>
      </c>
      <c r="X4407" s="33">
        <v>1135</v>
      </c>
      <c r="Z4407" s="33" t="s">
        <v>42966</v>
      </c>
      <c r="AA4407" s="33">
        <v>3257</v>
      </c>
    </row>
    <row r="4408" spans="1:27" ht="12" customHeight="1" x14ac:dyDescent="0.15">
      <c r="A4408" s="33" t="s">
        <v>19033</v>
      </c>
      <c r="B4408" s="33">
        <v>39</v>
      </c>
      <c r="C4408" s="33" t="s">
        <v>14</v>
      </c>
      <c r="D4408" s="33" t="s">
        <v>24</v>
      </c>
      <c r="F4408" s="67">
        <v>42368</v>
      </c>
      <c r="G4408" s="33" t="s">
        <v>19150</v>
      </c>
      <c r="H4408" s="33" t="s">
        <v>19017</v>
      </c>
      <c r="I4408" s="33" t="s">
        <v>1020</v>
      </c>
      <c r="J4408" s="33" t="s">
        <v>19264</v>
      </c>
      <c r="K4408" s="33" t="s">
        <v>8992</v>
      </c>
      <c r="L4408" s="33" t="s">
        <v>19016</v>
      </c>
      <c r="M4408" s="33" t="s">
        <v>21</v>
      </c>
      <c r="N4408" s="33" t="s">
        <v>19021</v>
      </c>
      <c r="O4408" s="33" t="s">
        <v>372</v>
      </c>
      <c r="P4408" s="33" t="s">
        <v>30089</v>
      </c>
      <c r="Q4408" s="40" t="s">
        <v>19015</v>
      </c>
      <c r="R4408" s="33" t="s">
        <v>23</v>
      </c>
      <c r="S4408" s="33" t="s">
        <v>29</v>
      </c>
      <c r="T4408" s="33" t="s">
        <v>26575</v>
      </c>
      <c r="U4408" s="33" t="s">
        <v>26575</v>
      </c>
      <c r="W4408" s="33" t="s">
        <v>94</v>
      </c>
      <c r="X4408" s="33">
        <v>1136</v>
      </c>
      <c r="Z4408" s="33" t="s">
        <v>42967</v>
      </c>
      <c r="AA4408" s="33">
        <v>3258</v>
      </c>
    </row>
    <row r="4409" spans="1:27" ht="12" customHeight="1" x14ac:dyDescent="0.15">
      <c r="A4409" s="33" t="s">
        <v>18917</v>
      </c>
      <c r="B4409" s="33">
        <v>50</v>
      </c>
      <c r="C4409" s="33" t="s">
        <v>103</v>
      </c>
      <c r="D4409" s="33" t="s">
        <v>885</v>
      </c>
      <c r="E4409" s="33" t="s">
        <v>18969</v>
      </c>
      <c r="F4409" s="67">
        <v>42367</v>
      </c>
      <c r="G4409" s="33" t="s">
        <v>18918</v>
      </c>
      <c r="H4409" s="33" t="s">
        <v>18919</v>
      </c>
      <c r="I4409" s="33" t="s">
        <v>39</v>
      </c>
      <c r="J4409" s="33" t="s">
        <v>19266</v>
      </c>
      <c r="K4409" s="33" t="s">
        <v>1332</v>
      </c>
      <c r="L4409" s="33" t="s">
        <v>18920</v>
      </c>
      <c r="M4409" s="33" t="s">
        <v>21</v>
      </c>
      <c r="N4409" s="33" t="s">
        <v>18946</v>
      </c>
      <c r="P4409" s="33" t="s">
        <v>30089</v>
      </c>
      <c r="Q4409" s="40" t="s">
        <v>18947</v>
      </c>
      <c r="R4409" s="33" t="s">
        <v>512</v>
      </c>
      <c r="S4409" s="33" t="s">
        <v>22</v>
      </c>
      <c r="T4409" s="33" t="s">
        <v>26774</v>
      </c>
      <c r="U4409" s="33" t="s">
        <v>26570</v>
      </c>
      <c r="V4409" s="33" t="s">
        <v>26573</v>
      </c>
      <c r="W4409" s="33" t="s">
        <v>94</v>
      </c>
      <c r="X4409" s="33">
        <v>1133</v>
      </c>
      <c r="Z4409" s="33" t="s">
        <v>42967</v>
      </c>
      <c r="AA4409" s="33">
        <v>3254</v>
      </c>
    </row>
    <row r="4410" spans="1:27" ht="12" customHeight="1" x14ac:dyDescent="0.15">
      <c r="A4410" s="33" t="s">
        <v>19004</v>
      </c>
      <c r="B4410" s="33">
        <v>33</v>
      </c>
      <c r="C4410" s="33" t="s">
        <v>14</v>
      </c>
      <c r="D4410" s="33" t="s">
        <v>15</v>
      </c>
      <c r="F4410" s="67">
        <v>42367</v>
      </c>
      <c r="G4410" s="33" t="s">
        <v>19011</v>
      </c>
      <c r="H4410" s="33" t="s">
        <v>11868</v>
      </c>
      <c r="I4410" s="33" t="s">
        <v>39</v>
      </c>
      <c r="J4410" s="33" t="s">
        <v>11869</v>
      </c>
      <c r="K4410" s="33" t="s">
        <v>92</v>
      </c>
      <c r="L4410" s="33" t="s">
        <v>93</v>
      </c>
      <c r="M4410" s="33" t="s">
        <v>21</v>
      </c>
      <c r="N4410" s="33" t="s">
        <v>19010</v>
      </c>
      <c r="O4410" s="33" t="s">
        <v>372</v>
      </c>
      <c r="P4410" s="33" t="s">
        <v>30089</v>
      </c>
      <c r="Q4410" s="40" t="s">
        <v>19005</v>
      </c>
      <c r="R4410" s="33" t="s">
        <v>23</v>
      </c>
      <c r="S4410" s="33" t="s">
        <v>29</v>
      </c>
      <c r="T4410" s="33" t="s">
        <v>26576</v>
      </c>
      <c r="U4410" s="33" t="s">
        <v>26575</v>
      </c>
      <c r="V4410" s="33" t="s">
        <v>26573</v>
      </c>
      <c r="W4410" s="33" t="s">
        <v>94</v>
      </c>
      <c r="X4410" s="33">
        <v>1134</v>
      </c>
      <c r="Z4410" s="33" t="s">
        <v>42966</v>
      </c>
      <c r="AA4410" s="33">
        <v>3256</v>
      </c>
    </row>
    <row r="4411" spans="1:27" ht="12" customHeight="1" x14ac:dyDescent="0.15">
      <c r="A4411" s="33" t="s">
        <v>19002</v>
      </c>
      <c r="B4411" s="33">
        <v>44</v>
      </c>
      <c r="C4411" s="33" t="s">
        <v>14</v>
      </c>
      <c r="D4411" s="33" t="s">
        <v>31</v>
      </c>
      <c r="E4411" s="33" t="s">
        <v>19012</v>
      </c>
      <c r="F4411" s="67">
        <v>42367</v>
      </c>
      <c r="G4411" s="33" t="s">
        <v>19014</v>
      </c>
      <c r="H4411" s="33" t="s">
        <v>603</v>
      </c>
      <c r="I4411" s="33" t="s">
        <v>56</v>
      </c>
      <c r="K4411" s="33" t="s">
        <v>604</v>
      </c>
      <c r="L4411" s="33" t="s">
        <v>605</v>
      </c>
      <c r="M4411" s="33" t="s">
        <v>363</v>
      </c>
      <c r="N4411" s="33" t="s">
        <v>19013</v>
      </c>
      <c r="O4411" s="33" t="s">
        <v>372</v>
      </c>
      <c r="P4411" s="33" t="s">
        <v>30089</v>
      </c>
      <c r="Q4411" s="40" t="s">
        <v>19003</v>
      </c>
      <c r="R4411" s="33" t="s">
        <v>23</v>
      </c>
      <c r="S4411" s="33" t="s">
        <v>12</v>
      </c>
      <c r="T4411" s="33" t="s">
        <v>29705</v>
      </c>
      <c r="U4411" s="33" t="s">
        <v>26572</v>
      </c>
      <c r="V4411" s="33" t="s">
        <v>26573</v>
      </c>
      <c r="Z4411" s="33" t="e">
        <v>#N/A</v>
      </c>
      <c r="AA4411" s="33">
        <v>3255</v>
      </c>
    </row>
    <row r="4412" spans="1:27" ht="12" customHeight="1" x14ac:dyDescent="0.15">
      <c r="A4412" s="33" t="s">
        <v>18921</v>
      </c>
      <c r="B4412" s="33">
        <v>28</v>
      </c>
      <c r="C4412" s="33" t="s">
        <v>14</v>
      </c>
      <c r="D4412" s="33" t="s">
        <v>31</v>
      </c>
      <c r="E4412" s="33" t="s">
        <v>18995</v>
      </c>
      <c r="F4412" s="67">
        <v>42366</v>
      </c>
      <c r="G4412" s="33" t="s">
        <v>18922</v>
      </c>
      <c r="H4412" s="33" t="s">
        <v>1588</v>
      </c>
      <c r="I4412" s="33" t="s">
        <v>225</v>
      </c>
      <c r="J4412" s="33" t="s">
        <v>19267</v>
      </c>
      <c r="K4412" s="33" t="s">
        <v>19268</v>
      </c>
      <c r="L4412" s="33" t="s">
        <v>18923</v>
      </c>
      <c r="M4412" s="33" t="s">
        <v>21</v>
      </c>
      <c r="N4412" s="33" t="s">
        <v>18949</v>
      </c>
      <c r="O4412" s="33" t="s">
        <v>372</v>
      </c>
      <c r="P4412" s="33" t="s">
        <v>30089</v>
      </c>
      <c r="Q4412" s="40" t="s">
        <v>18948</v>
      </c>
      <c r="R4412" s="33" t="s">
        <v>23</v>
      </c>
      <c r="S4412" s="33" t="s">
        <v>12</v>
      </c>
      <c r="T4412" s="33" t="s">
        <v>29425</v>
      </c>
      <c r="U4412" s="33" t="s">
        <v>26572</v>
      </c>
      <c r="V4412" s="33" t="s">
        <v>26573</v>
      </c>
      <c r="W4412" s="33" t="s">
        <v>512</v>
      </c>
      <c r="X4412" s="33">
        <v>1131</v>
      </c>
      <c r="Z4412" s="33" t="s">
        <v>42968</v>
      </c>
      <c r="AA4412" s="33">
        <v>3253</v>
      </c>
    </row>
    <row r="4413" spans="1:27" ht="12" customHeight="1" x14ac:dyDescent="0.15">
      <c r="A4413" s="33" t="s">
        <v>18927</v>
      </c>
      <c r="B4413" s="33">
        <v>34</v>
      </c>
      <c r="C4413" s="33" t="s">
        <v>14</v>
      </c>
      <c r="D4413" s="33" t="s">
        <v>31</v>
      </c>
      <c r="F4413" s="67">
        <v>42365</v>
      </c>
      <c r="G4413" s="33" t="s">
        <v>18928</v>
      </c>
      <c r="H4413" s="33" t="s">
        <v>3585</v>
      </c>
      <c r="I4413" s="33" t="s">
        <v>112</v>
      </c>
      <c r="J4413" s="33" t="s">
        <v>10121</v>
      </c>
      <c r="K4413" s="33" t="s">
        <v>585</v>
      </c>
      <c r="L4413" s="33" t="s">
        <v>3587</v>
      </c>
      <c r="M4413" s="33" t="s">
        <v>21</v>
      </c>
      <c r="N4413" s="33" t="s">
        <v>18945</v>
      </c>
      <c r="P4413" s="33" t="s">
        <v>30089</v>
      </c>
      <c r="Q4413" s="40" t="s">
        <v>18968</v>
      </c>
      <c r="R4413" s="33" t="s">
        <v>512</v>
      </c>
      <c r="S4413" s="33" t="s">
        <v>22</v>
      </c>
      <c r="T4413" s="33" t="s">
        <v>26774</v>
      </c>
      <c r="U4413" s="33" t="s">
        <v>26570</v>
      </c>
      <c r="V4413" s="33" t="s">
        <v>26573</v>
      </c>
      <c r="W4413" s="33" t="s">
        <v>512</v>
      </c>
      <c r="X4413" s="33">
        <v>1132</v>
      </c>
      <c r="Z4413" s="33" t="s">
        <v>42968</v>
      </c>
      <c r="AA4413" s="33">
        <v>3250</v>
      </c>
    </row>
    <row r="4414" spans="1:27" ht="12" customHeight="1" x14ac:dyDescent="0.15">
      <c r="A4414" s="33" t="s">
        <v>26706</v>
      </c>
      <c r="B4414" s="33">
        <v>52</v>
      </c>
      <c r="C4414" s="33" t="s">
        <v>14</v>
      </c>
      <c r="D4414" s="33" t="s">
        <v>31</v>
      </c>
      <c r="F4414" s="67">
        <v>42365</v>
      </c>
      <c r="G4414" s="33" t="s">
        <v>30054</v>
      </c>
      <c r="H4414" s="33" t="s">
        <v>1203</v>
      </c>
      <c r="I4414" s="33" t="s">
        <v>19</v>
      </c>
      <c r="J4414" s="33" t="s">
        <v>30049</v>
      </c>
      <c r="K4414" s="33" t="s">
        <v>30047</v>
      </c>
      <c r="L4414" s="33" t="s">
        <v>30050</v>
      </c>
      <c r="M4414" s="33" t="s">
        <v>21</v>
      </c>
      <c r="N4414" s="33" t="s">
        <v>30051</v>
      </c>
      <c r="O4414" s="33" t="s">
        <v>372</v>
      </c>
      <c r="P4414" s="33" t="s">
        <v>30089</v>
      </c>
      <c r="Q4414" s="40" t="s">
        <v>27760</v>
      </c>
      <c r="R4414" s="33" t="s">
        <v>94</v>
      </c>
      <c r="S4414" s="33" t="s">
        <v>29</v>
      </c>
      <c r="T4414" s="33" t="s">
        <v>26575</v>
      </c>
      <c r="U4414" s="33" t="s">
        <v>26575</v>
      </c>
      <c r="V4414" s="33" t="s">
        <v>26573</v>
      </c>
      <c r="W4414" s="33" t="s">
        <v>94</v>
      </c>
      <c r="X4414" s="33">
        <v>1143</v>
      </c>
      <c r="Z4414" s="33" t="s">
        <v>42967</v>
      </c>
      <c r="AA4414" s="33">
        <v>3252</v>
      </c>
    </row>
    <row r="4415" spans="1:27" ht="12" customHeight="1" x14ac:dyDescent="0.15">
      <c r="A4415" s="33" t="s">
        <v>18924</v>
      </c>
      <c r="B4415" s="33">
        <v>36</v>
      </c>
      <c r="C4415" s="33" t="s">
        <v>14</v>
      </c>
      <c r="D4415" s="33" t="s">
        <v>31</v>
      </c>
      <c r="F4415" s="67">
        <v>42365</v>
      </c>
      <c r="G4415" s="33" t="s">
        <v>18925</v>
      </c>
      <c r="H4415" s="33" t="s">
        <v>3613</v>
      </c>
      <c r="I4415" s="33" t="s">
        <v>621</v>
      </c>
      <c r="J4415" s="33" t="s">
        <v>3614</v>
      </c>
      <c r="K4415" s="33" t="s">
        <v>3615</v>
      </c>
      <c r="L4415" s="33" t="s">
        <v>18926</v>
      </c>
      <c r="M4415" s="33" t="s">
        <v>21</v>
      </c>
      <c r="N4415" s="33" t="s">
        <v>18958</v>
      </c>
      <c r="O4415" s="33" t="s">
        <v>372</v>
      </c>
      <c r="P4415" s="33" t="s">
        <v>30089</v>
      </c>
      <c r="Q4415" s="40" t="s">
        <v>18957</v>
      </c>
      <c r="R4415" s="33" t="s">
        <v>23</v>
      </c>
      <c r="S4415" s="33" t="s">
        <v>29</v>
      </c>
      <c r="T4415" s="33" t="s">
        <v>26575</v>
      </c>
      <c r="U4415" s="33" t="s">
        <v>26575</v>
      </c>
      <c r="V4415" s="33" t="s">
        <v>26571</v>
      </c>
      <c r="W4415" s="33" t="s">
        <v>94</v>
      </c>
      <c r="X4415" s="33">
        <v>1128</v>
      </c>
      <c r="Z4415" s="33" t="s">
        <v>42967</v>
      </c>
      <c r="AA4415" s="33">
        <v>3251</v>
      </c>
    </row>
    <row r="4416" spans="1:27" ht="12" customHeight="1" x14ac:dyDescent="0.15">
      <c r="A4416" s="33" t="s">
        <v>18929</v>
      </c>
      <c r="B4416" s="33">
        <v>41</v>
      </c>
      <c r="C4416" s="33" t="s">
        <v>14</v>
      </c>
      <c r="D4416" s="33" t="s">
        <v>31</v>
      </c>
      <c r="E4416" s="33" t="s">
        <v>18973</v>
      </c>
      <c r="F4416" s="67">
        <v>42364</v>
      </c>
      <c r="G4416" s="33" t="s">
        <v>18930</v>
      </c>
      <c r="H4416" s="33" t="s">
        <v>584</v>
      </c>
      <c r="I4416" s="33" t="s">
        <v>112</v>
      </c>
      <c r="J4416" s="33" t="s">
        <v>9600</v>
      </c>
      <c r="K4416" s="33" t="s">
        <v>585</v>
      </c>
      <c r="L4416" s="33" t="s">
        <v>586</v>
      </c>
      <c r="M4416" s="33" t="s">
        <v>21</v>
      </c>
      <c r="N4416" s="33" t="s">
        <v>18944</v>
      </c>
      <c r="O4416" s="33" t="s">
        <v>372</v>
      </c>
      <c r="P4416" s="33" t="s">
        <v>30089</v>
      </c>
      <c r="Q4416" s="40" t="s">
        <v>18967</v>
      </c>
      <c r="R4416" s="33" t="s">
        <v>512</v>
      </c>
      <c r="S4416" s="33" t="s">
        <v>29</v>
      </c>
      <c r="T4416" s="33" t="s">
        <v>26596</v>
      </c>
      <c r="U4416" s="33" t="s">
        <v>26570</v>
      </c>
      <c r="V4416" s="33" t="s">
        <v>26573</v>
      </c>
      <c r="W4416" s="33" t="s">
        <v>94</v>
      </c>
      <c r="X4416" s="33">
        <v>1121</v>
      </c>
      <c r="Z4416" s="33" t="s">
        <v>42968</v>
      </c>
      <c r="AA4416" s="33">
        <v>3247</v>
      </c>
    </row>
    <row r="4417" spans="1:27" ht="12" customHeight="1" x14ac:dyDescent="0.15">
      <c r="A4417" s="33" t="s">
        <v>18847</v>
      </c>
      <c r="B4417" s="33">
        <v>55</v>
      </c>
      <c r="C4417" s="33" t="s">
        <v>103</v>
      </c>
      <c r="D4417" s="33" t="s">
        <v>79</v>
      </c>
      <c r="E4417" s="33" t="s">
        <v>18848</v>
      </c>
      <c r="F4417" s="67">
        <v>42364</v>
      </c>
      <c r="G4417" s="33" t="s">
        <v>18845</v>
      </c>
      <c r="H4417" s="33" t="s">
        <v>81</v>
      </c>
      <c r="I4417" s="33" t="s">
        <v>38</v>
      </c>
      <c r="J4417" s="33" t="s">
        <v>9001</v>
      </c>
      <c r="K4417" s="33" t="s">
        <v>82</v>
      </c>
      <c r="L4417" s="33" t="s">
        <v>83</v>
      </c>
      <c r="M4417" s="33" t="s">
        <v>21</v>
      </c>
      <c r="N4417" s="33" t="s">
        <v>36740</v>
      </c>
      <c r="P4417" s="33" t="s">
        <v>30089</v>
      </c>
      <c r="Q4417" s="40" t="s">
        <v>18844</v>
      </c>
      <c r="R4417" s="33" t="s">
        <v>23</v>
      </c>
      <c r="S4417" s="33" t="s">
        <v>12</v>
      </c>
      <c r="T4417" s="33" t="s">
        <v>29705</v>
      </c>
      <c r="U4417" s="33" t="s">
        <v>26570</v>
      </c>
      <c r="W4417" s="33" t="s">
        <v>94</v>
      </c>
      <c r="X4417" s="33">
        <v>1123</v>
      </c>
      <c r="Z4417" s="33" t="s">
        <v>42966</v>
      </c>
      <c r="AA4417" s="33">
        <v>3249</v>
      </c>
    </row>
    <row r="4418" spans="1:27" ht="12" customHeight="1" x14ac:dyDescent="0.15">
      <c r="A4418" s="33" t="s">
        <v>18843</v>
      </c>
      <c r="B4418" s="33">
        <v>19</v>
      </c>
      <c r="C4418" s="33" t="s">
        <v>14</v>
      </c>
      <c r="D4418" s="33" t="s">
        <v>79</v>
      </c>
      <c r="E4418" s="33" t="s">
        <v>18846</v>
      </c>
      <c r="F4418" s="67">
        <v>42364</v>
      </c>
      <c r="G4418" s="33" t="s">
        <v>18845</v>
      </c>
      <c r="H4418" s="33" t="s">
        <v>81</v>
      </c>
      <c r="I4418" s="33" t="s">
        <v>38</v>
      </c>
      <c r="J4418" s="33" t="s">
        <v>9001</v>
      </c>
      <c r="K4418" s="33" t="s">
        <v>82</v>
      </c>
      <c r="L4418" s="33" t="s">
        <v>83</v>
      </c>
      <c r="M4418" s="33" t="s">
        <v>21</v>
      </c>
      <c r="N4418" s="33" t="s">
        <v>36740</v>
      </c>
      <c r="P4418" s="33" t="s">
        <v>30089</v>
      </c>
      <c r="Q4418" s="40" t="s">
        <v>18844</v>
      </c>
      <c r="R4418" s="33" t="s">
        <v>512</v>
      </c>
      <c r="S4418" s="33" t="s">
        <v>22</v>
      </c>
      <c r="T4418" s="33" t="s">
        <v>26580</v>
      </c>
      <c r="U4418" s="33" t="s">
        <v>26575</v>
      </c>
      <c r="V4418" s="33" t="s">
        <v>26573</v>
      </c>
      <c r="W4418" s="33" t="s">
        <v>94</v>
      </c>
      <c r="X4418" s="33">
        <v>1124</v>
      </c>
      <c r="Z4418" s="33" t="s">
        <v>42966</v>
      </c>
      <c r="AA4418" s="33">
        <v>3246</v>
      </c>
    </row>
    <row r="4419" spans="1:27" ht="12" customHeight="1" x14ac:dyDescent="0.15">
      <c r="A4419" s="33" t="s">
        <v>19257</v>
      </c>
      <c r="B4419" s="33">
        <v>38</v>
      </c>
      <c r="C4419" s="33" t="s">
        <v>14</v>
      </c>
      <c r="D4419" s="33" t="s">
        <v>42</v>
      </c>
      <c r="E4419" s="33" t="s">
        <v>19258</v>
      </c>
      <c r="F4419" s="67">
        <v>42364</v>
      </c>
      <c r="G4419" s="33" t="s">
        <v>19261</v>
      </c>
      <c r="H4419" s="33" t="s">
        <v>1553</v>
      </c>
      <c r="I4419" s="33" t="s">
        <v>735</v>
      </c>
      <c r="J4419" s="33" t="s">
        <v>1554</v>
      </c>
      <c r="K4419" s="33" t="s">
        <v>1555</v>
      </c>
      <c r="L4419" s="33" t="s">
        <v>19259</v>
      </c>
      <c r="M4419" s="33" t="s">
        <v>21</v>
      </c>
      <c r="N4419" s="33" t="s">
        <v>19260</v>
      </c>
      <c r="P4419" s="33" t="s">
        <v>30089</v>
      </c>
      <c r="Q4419" s="40" t="s">
        <v>19262</v>
      </c>
      <c r="R4419" s="33" t="s">
        <v>23</v>
      </c>
      <c r="S4419" s="33" t="s">
        <v>22</v>
      </c>
      <c r="T4419" s="33" t="s">
        <v>26781</v>
      </c>
      <c r="U4419" s="33" t="s">
        <v>26572</v>
      </c>
      <c r="V4419" s="33" t="s">
        <v>26573</v>
      </c>
      <c r="W4419" s="33" t="s">
        <v>512</v>
      </c>
      <c r="X4419" s="33">
        <v>1151</v>
      </c>
      <c r="Z4419" s="33" t="s">
        <v>42967</v>
      </c>
      <c r="AA4419" s="33">
        <v>3248</v>
      </c>
    </row>
    <row r="4420" spans="1:27" ht="12" customHeight="1" x14ac:dyDescent="0.15">
      <c r="A4420" s="33" t="s">
        <v>18970</v>
      </c>
      <c r="B4420" s="33">
        <v>31</v>
      </c>
      <c r="C4420" s="33" t="s">
        <v>14</v>
      </c>
      <c r="D4420" s="33" t="s">
        <v>31</v>
      </c>
      <c r="F4420" s="67">
        <v>42363</v>
      </c>
      <c r="G4420" s="33" t="s">
        <v>18931</v>
      </c>
      <c r="H4420" s="33" t="s">
        <v>18932</v>
      </c>
      <c r="I4420" s="33" t="s">
        <v>39</v>
      </c>
      <c r="J4420" s="33" t="s">
        <v>19270</v>
      </c>
      <c r="K4420" s="33" t="s">
        <v>561</v>
      </c>
      <c r="L4420" s="33" t="s">
        <v>18933</v>
      </c>
      <c r="M4420" s="33" t="s">
        <v>21</v>
      </c>
      <c r="N4420" s="33" t="s">
        <v>18950</v>
      </c>
      <c r="P4420" s="33" t="s">
        <v>30089</v>
      </c>
      <c r="Q4420" s="40" t="s">
        <v>18951</v>
      </c>
      <c r="R4420" s="33" t="s">
        <v>512</v>
      </c>
      <c r="S4420" s="33" t="s">
        <v>22</v>
      </c>
      <c r="T4420" s="33" t="s">
        <v>26774</v>
      </c>
      <c r="U4420" s="33" t="s">
        <v>26572</v>
      </c>
      <c r="V4420" s="33" t="s">
        <v>26573</v>
      </c>
      <c r="W4420" s="33" t="s">
        <v>94</v>
      </c>
      <c r="X4420" s="33">
        <v>1125</v>
      </c>
      <c r="Z4420" s="33" t="s">
        <v>42966</v>
      </c>
      <c r="AA4420" s="33">
        <v>3245</v>
      </c>
    </row>
    <row r="4421" spans="1:27" ht="12" customHeight="1" x14ac:dyDescent="0.15">
      <c r="A4421" s="33" t="s">
        <v>18938</v>
      </c>
      <c r="B4421" s="33">
        <v>23</v>
      </c>
      <c r="C4421" s="33" t="s">
        <v>14</v>
      </c>
      <c r="D4421" s="33" t="s">
        <v>42</v>
      </c>
      <c r="E4421" s="33" t="s">
        <v>18942</v>
      </c>
      <c r="F4421" s="67">
        <v>42362</v>
      </c>
      <c r="G4421" s="33" t="s">
        <v>18939</v>
      </c>
      <c r="H4421" s="33" t="s">
        <v>18940</v>
      </c>
      <c r="I4421" s="33" t="s">
        <v>39</v>
      </c>
      <c r="J4421" s="33" t="s">
        <v>19274</v>
      </c>
      <c r="K4421" s="33" t="s">
        <v>1088</v>
      </c>
      <c r="L4421" s="33" t="s">
        <v>18941</v>
      </c>
      <c r="M4421" s="33" t="s">
        <v>21</v>
      </c>
      <c r="N4421" s="33" t="s">
        <v>18955</v>
      </c>
      <c r="P4421" s="33" t="s">
        <v>30089</v>
      </c>
      <c r="Q4421" s="40" t="s">
        <v>18943</v>
      </c>
      <c r="R4421" s="33" t="s">
        <v>23</v>
      </c>
      <c r="S4421" s="33" t="s">
        <v>22</v>
      </c>
      <c r="T4421" s="33" t="s">
        <v>26774</v>
      </c>
      <c r="U4421" s="33" t="s">
        <v>26570</v>
      </c>
      <c r="V4421" s="33" t="s">
        <v>26573</v>
      </c>
      <c r="W4421" s="33" t="s">
        <v>94</v>
      </c>
      <c r="X4421" s="33">
        <v>1127</v>
      </c>
      <c r="Z4421" s="33" t="s">
        <v>42968</v>
      </c>
      <c r="AA4421" s="33">
        <v>3243</v>
      </c>
    </row>
    <row r="4422" spans="1:27" ht="12" customHeight="1" x14ac:dyDescent="0.15">
      <c r="A4422" s="33" t="s">
        <v>10420</v>
      </c>
      <c r="B4422" s="33">
        <v>54</v>
      </c>
      <c r="C4422" s="33" t="s">
        <v>14</v>
      </c>
      <c r="D4422" s="33" t="s">
        <v>24</v>
      </c>
      <c r="F4422" s="67">
        <v>42362</v>
      </c>
      <c r="G4422" s="33" t="s">
        <v>18936</v>
      </c>
      <c r="H4422" s="33" t="s">
        <v>18937</v>
      </c>
      <c r="I4422" s="33" t="s">
        <v>19</v>
      </c>
      <c r="J4422" s="33" t="s">
        <v>19272</v>
      </c>
      <c r="K4422" s="33" t="s">
        <v>3435</v>
      </c>
      <c r="L4422" s="33" t="s">
        <v>173</v>
      </c>
      <c r="M4422" s="33" t="s">
        <v>21</v>
      </c>
      <c r="N4422" s="33" t="s">
        <v>18954</v>
      </c>
      <c r="P4422" s="33" t="s">
        <v>30089</v>
      </c>
      <c r="Q4422" s="40" t="s">
        <v>18956</v>
      </c>
      <c r="R4422" s="33" t="s">
        <v>512</v>
      </c>
      <c r="S4422" s="33" t="s">
        <v>22</v>
      </c>
      <c r="T4422" s="33" t="s">
        <v>26781</v>
      </c>
      <c r="U4422" s="33" t="s">
        <v>26572</v>
      </c>
      <c r="V4422" s="33" t="s">
        <v>26573</v>
      </c>
      <c r="W4422" s="33" t="s">
        <v>94</v>
      </c>
      <c r="X4422" s="33">
        <v>1122</v>
      </c>
      <c r="Z4422" s="33" t="s">
        <v>42968</v>
      </c>
      <c r="AA4422" s="33">
        <v>3240</v>
      </c>
    </row>
    <row r="4423" spans="1:27" ht="12" customHeight="1" x14ac:dyDescent="0.15">
      <c r="A4423" s="33" t="s">
        <v>18971</v>
      </c>
      <c r="B4423" s="33">
        <v>36</v>
      </c>
      <c r="C4423" s="33" t="s">
        <v>14</v>
      </c>
      <c r="D4423" s="33" t="s">
        <v>31</v>
      </c>
      <c r="E4423" s="33" t="s">
        <v>18972</v>
      </c>
      <c r="F4423" s="67">
        <v>42362</v>
      </c>
      <c r="G4423" s="33" t="s">
        <v>18934</v>
      </c>
      <c r="H4423" s="33" t="s">
        <v>18935</v>
      </c>
      <c r="I4423" s="33" t="s">
        <v>19</v>
      </c>
      <c r="J4423" s="33" t="s">
        <v>19273</v>
      </c>
      <c r="K4423" s="33" t="s">
        <v>1203</v>
      </c>
      <c r="L4423" s="33" t="s">
        <v>12087</v>
      </c>
      <c r="M4423" s="33" t="s">
        <v>21</v>
      </c>
      <c r="N4423" s="33" t="s">
        <v>18952</v>
      </c>
      <c r="O4423" s="33" t="s">
        <v>372</v>
      </c>
      <c r="P4423" s="33" t="s">
        <v>30089</v>
      </c>
      <c r="Q4423" s="40" t="s">
        <v>18953</v>
      </c>
      <c r="R4423" s="33" t="s">
        <v>23</v>
      </c>
      <c r="S4423" s="33" t="s">
        <v>351</v>
      </c>
      <c r="T4423" s="33" t="s">
        <v>26867</v>
      </c>
      <c r="U4423" s="33" t="s">
        <v>26570</v>
      </c>
      <c r="V4423" s="33" t="s">
        <v>26571</v>
      </c>
      <c r="W4423" s="33" t="s">
        <v>94</v>
      </c>
      <c r="X4423" s="33">
        <v>1120</v>
      </c>
      <c r="Z4423" s="33" t="s">
        <v>42967</v>
      </c>
      <c r="AA4423" s="33">
        <v>3244</v>
      </c>
    </row>
    <row r="4424" spans="1:27" ht="12" customHeight="1" x14ac:dyDescent="0.15">
      <c r="A4424" s="33" t="s">
        <v>18831</v>
      </c>
      <c r="B4424" s="33">
        <v>18</v>
      </c>
      <c r="C4424" s="33" t="s">
        <v>14</v>
      </c>
      <c r="D4424" s="33" t="s">
        <v>79</v>
      </c>
      <c r="E4424" s="33" t="s">
        <v>18832</v>
      </c>
      <c r="F4424" s="67">
        <v>42362</v>
      </c>
      <c r="G4424" s="33" t="s">
        <v>18835</v>
      </c>
      <c r="H4424" s="33" t="s">
        <v>3855</v>
      </c>
      <c r="I4424" s="33" t="s">
        <v>338</v>
      </c>
      <c r="J4424" s="33" t="s">
        <v>19271</v>
      </c>
      <c r="K4424" s="33" t="s">
        <v>3857</v>
      </c>
      <c r="L4424" s="33" t="s">
        <v>3858</v>
      </c>
      <c r="M4424" s="33" t="s">
        <v>21</v>
      </c>
      <c r="N4424" s="33" t="s">
        <v>18834</v>
      </c>
      <c r="P4424" s="33" t="s">
        <v>30089</v>
      </c>
      <c r="Q4424" s="40" t="s">
        <v>18833</v>
      </c>
      <c r="R4424" s="33" t="s">
        <v>23</v>
      </c>
      <c r="S4424" s="33" t="s">
        <v>22</v>
      </c>
      <c r="T4424" s="33" t="s">
        <v>26781</v>
      </c>
      <c r="U4424" s="33" t="s">
        <v>26572</v>
      </c>
      <c r="V4424" s="33" t="s">
        <v>26573</v>
      </c>
      <c r="W4424" s="33" t="s">
        <v>94</v>
      </c>
      <c r="X4424" s="33">
        <v>2158</v>
      </c>
      <c r="Z4424" s="33" t="s">
        <v>42968</v>
      </c>
      <c r="AA4424" s="33">
        <v>3242</v>
      </c>
    </row>
    <row r="4425" spans="1:27" ht="12" customHeight="1" x14ac:dyDescent="0.15">
      <c r="A4425" s="33" t="s">
        <v>18836</v>
      </c>
      <c r="B4425" s="33">
        <v>24</v>
      </c>
      <c r="C4425" s="33" t="s">
        <v>14</v>
      </c>
      <c r="D4425" s="33" t="s">
        <v>79</v>
      </c>
      <c r="E4425" s="33" t="s">
        <v>18837</v>
      </c>
      <c r="F4425" s="67">
        <v>42362</v>
      </c>
      <c r="G4425" s="33" t="s">
        <v>18842</v>
      </c>
      <c r="H4425" s="33" t="s">
        <v>18838</v>
      </c>
      <c r="I4425" s="33" t="s">
        <v>51</v>
      </c>
      <c r="J4425" s="33" t="s">
        <v>19269</v>
      </c>
      <c r="K4425" s="33" t="s">
        <v>5114</v>
      </c>
      <c r="L4425" s="33" t="s">
        <v>18841</v>
      </c>
      <c r="M4425" s="33" t="s">
        <v>21</v>
      </c>
      <c r="N4425" s="33" t="s">
        <v>18840</v>
      </c>
      <c r="P4425" s="33" t="s">
        <v>30089</v>
      </c>
      <c r="Q4425" s="40" t="s">
        <v>18839</v>
      </c>
      <c r="R4425" s="33" t="s">
        <v>23</v>
      </c>
      <c r="S4425" s="33" t="s">
        <v>22</v>
      </c>
      <c r="T4425" s="33" t="s">
        <v>26781</v>
      </c>
      <c r="U4425" s="33" t="s">
        <v>26572</v>
      </c>
      <c r="V4425" s="33" t="s">
        <v>26573</v>
      </c>
      <c r="W4425" s="33" t="s">
        <v>94</v>
      </c>
      <c r="X4425" s="33">
        <v>1126</v>
      </c>
      <c r="Z4425" s="33" t="s">
        <v>42968</v>
      </c>
      <c r="AA4425" s="33">
        <v>3241</v>
      </c>
    </row>
    <row r="4426" spans="1:27" ht="12" customHeight="1" x14ac:dyDescent="0.15">
      <c r="A4426" s="33" t="s">
        <v>18916</v>
      </c>
      <c r="B4426" s="33">
        <v>35</v>
      </c>
      <c r="C4426" s="33" t="s">
        <v>14</v>
      </c>
      <c r="D4426" s="33" t="s">
        <v>79</v>
      </c>
      <c r="E4426" s="33" t="s">
        <v>18786</v>
      </c>
      <c r="F4426" s="67">
        <v>42361</v>
      </c>
      <c r="G4426" s="33" t="s">
        <v>18792</v>
      </c>
      <c r="H4426" s="33" t="s">
        <v>5253</v>
      </c>
      <c r="I4426" s="33" t="s">
        <v>51</v>
      </c>
      <c r="J4426" s="33" t="s">
        <v>18150</v>
      </c>
      <c r="K4426" s="33" t="s">
        <v>1057</v>
      </c>
      <c r="L4426" s="33" t="s">
        <v>5255</v>
      </c>
      <c r="M4426" s="33" t="s">
        <v>21</v>
      </c>
      <c r="N4426" s="33" t="s">
        <v>18790</v>
      </c>
      <c r="P4426" s="33" t="s">
        <v>30089</v>
      </c>
      <c r="Q4426" s="40" t="s">
        <v>18791</v>
      </c>
      <c r="R4426" s="33" t="s">
        <v>512</v>
      </c>
      <c r="S4426" s="33" t="s">
        <v>12</v>
      </c>
      <c r="T4426" s="33" t="s">
        <v>29705</v>
      </c>
      <c r="U4426" s="33" t="s">
        <v>26570</v>
      </c>
      <c r="V4426" s="33" t="s">
        <v>26573</v>
      </c>
      <c r="W4426" s="33" t="s">
        <v>94</v>
      </c>
      <c r="X4426" s="33">
        <v>1118</v>
      </c>
      <c r="Z4426" s="33" t="s">
        <v>42966</v>
      </c>
      <c r="AA4426" s="33">
        <v>3239</v>
      </c>
    </row>
    <row r="4427" spans="1:27" ht="12" customHeight="1" x14ac:dyDescent="0.15">
      <c r="A4427" s="33" t="s">
        <v>18800</v>
      </c>
      <c r="B4427" s="33">
        <v>19</v>
      </c>
      <c r="C4427" s="33" t="s">
        <v>14</v>
      </c>
      <c r="D4427" s="33" t="s">
        <v>42</v>
      </c>
      <c r="E4427" s="33" t="s">
        <v>18810</v>
      </c>
      <c r="F4427" s="67">
        <v>42360</v>
      </c>
      <c r="G4427" s="33" t="s">
        <v>18805</v>
      </c>
      <c r="H4427" s="33" t="s">
        <v>866</v>
      </c>
      <c r="I4427" s="33" t="s">
        <v>178</v>
      </c>
      <c r="J4427" s="33" t="s">
        <v>19275</v>
      </c>
      <c r="K4427" s="33" t="s">
        <v>433</v>
      </c>
      <c r="L4427" s="33" t="s">
        <v>4562</v>
      </c>
      <c r="M4427" s="33" t="s">
        <v>21</v>
      </c>
      <c r="N4427" s="33" t="s">
        <v>18959</v>
      </c>
      <c r="P4427" s="33" t="s">
        <v>30089</v>
      </c>
      <c r="Q4427" s="40" t="s">
        <v>18960</v>
      </c>
      <c r="R4427" s="33" t="s">
        <v>23</v>
      </c>
      <c r="S4427" s="33" t="s">
        <v>22</v>
      </c>
      <c r="T4427" s="33" t="s">
        <v>26781</v>
      </c>
      <c r="U4427" s="33" t="s">
        <v>26575</v>
      </c>
      <c r="V4427" s="33" t="s">
        <v>26574</v>
      </c>
      <c r="W4427" s="33" t="s">
        <v>512</v>
      </c>
      <c r="X4427" s="33">
        <v>1117</v>
      </c>
      <c r="Z4427" s="33" t="s">
        <v>42966</v>
      </c>
      <c r="AA4427" s="33">
        <v>3237</v>
      </c>
    </row>
    <row r="4428" spans="1:27" ht="12" customHeight="1" x14ac:dyDescent="0.15">
      <c r="A4428" s="33" t="s">
        <v>18799</v>
      </c>
      <c r="B4428" s="33">
        <v>61</v>
      </c>
      <c r="C4428" s="33" t="s">
        <v>14</v>
      </c>
      <c r="D4428" s="33" t="s">
        <v>31</v>
      </c>
      <c r="F4428" s="67">
        <v>42360</v>
      </c>
      <c r="G4428" s="33" t="s">
        <v>18803</v>
      </c>
      <c r="H4428" s="33" t="s">
        <v>6153</v>
      </c>
      <c r="I4428" s="33" t="s">
        <v>294</v>
      </c>
      <c r="J4428" s="33" t="s">
        <v>19276</v>
      </c>
      <c r="K4428" s="33" t="s">
        <v>810</v>
      </c>
      <c r="L4428" s="33" t="s">
        <v>18804</v>
      </c>
      <c r="M4428" s="33" t="s">
        <v>21</v>
      </c>
      <c r="N4428" s="33" t="s">
        <v>18961</v>
      </c>
      <c r="P4428" s="33" t="s">
        <v>30089</v>
      </c>
      <c r="Q4428" s="40" t="s">
        <v>18962</v>
      </c>
      <c r="R4428" s="33" t="s">
        <v>23</v>
      </c>
      <c r="S4428" s="33" t="s">
        <v>22</v>
      </c>
      <c r="T4428" s="33" t="s">
        <v>26781</v>
      </c>
      <c r="U4428" s="33" t="s">
        <v>26572</v>
      </c>
      <c r="V4428" s="33" t="s">
        <v>26573</v>
      </c>
      <c r="W4428" s="33" t="s">
        <v>512</v>
      </c>
      <c r="X4428" s="33">
        <v>1114</v>
      </c>
      <c r="Z4428" s="33" t="s">
        <v>42968</v>
      </c>
      <c r="AA4428" s="33">
        <v>3235</v>
      </c>
    </row>
    <row r="4429" spans="1:27" ht="12" customHeight="1" x14ac:dyDescent="0.15">
      <c r="A4429" s="33" t="s">
        <v>18798</v>
      </c>
      <c r="B4429" s="33">
        <v>29</v>
      </c>
      <c r="C4429" s="33" t="s">
        <v>14</v>
      </c>
      <c r="D4429" s="33" t="s">
        <v>31</v>
      </c>
      <c r="E4429" s="33" t="s">
        <v>18809</v>
      </c>
      <c r="F4429" s="67">
        <v>42360</v>
      </c>
      <c r="G4429" s="33" t="s">
        <v>18802</v>
      </c>
      <c r="H4429" s="33" t="s">
        <v>9090</v>
      </c>
      <c r="I4429" s="33" t="s">
        <v>56</v>
      </c>
      <c r="J4429" s="33" t="s">
        <v>8840</v>
      </c>
      <c r="K4429" s="33" t="s">
        <v>8841</v>
      </c>
      <c r="L4429" s="33" t="s">
        <v>8842</v>
      </c>
      <c r="M4429" s="33" t="s">
        <v>21</v>
      </c>
      <c r="N4429" s="33" t="s">
        <v>18965</v>
      </c>
      <c r="O4429" s="33" t="s">
        <v>372</v>
      </c>
      <c r="P4429" s="33" t="s">
        <v>30089</v>
      </c>
      <c r="Q4429" s="40" t="s">
        <v>18966</v>
      </c>
      <c r="R4429" s="33" t="s">
        <v>23</v>
      </c>
      <c r="S4429" s="33" t="s">
        <v>29</v>
      </c>
      <c r="T4429" s="33" t="s">
        <v>26575</v>
      </c>
      <c r="U4429" s="33" t="s">
        <v>26575</v>
      </c>
      <c r="V4429" s="33" t="s">
        <v>26571</v>
      </c>
      <c r="W4429" s="33" t="s">
        <v>94</v>
      </c>
      <c r="X4429" s="33">
        <v>1116</v>
      </c>
      <c r="Z4429" s="33" t="s">
        <v>42968</v>
      </c>
      <c r="AA4429" s="33">
        <v>3238</v>
      </c>
    </row>
    <row r="4430" spans="1:27" ht="12" customHeight="1" x14ac:dyDescent="0.15">
      <c r="A4430" s="33" t="s">
        <v>18801</v>
      </c>
      <c r="B4430" s="33">
        <v>56</v>
      </c>
      <c r="C4430" s="33" t="s">
        <v>14</v>
      </c>
      <c r="D4430" s="33" t="s">
        <v>31</v>
      </c>
      <c r="E4430" s="33" t="s">
        <v>18808</v>
      </c>
      <c r="F4430" s="67">
        <v>42360</v>
      </c>
      <c r="G4430" s="33" t="s">
        <v>18806</v>
      </c>
      <c r="H4430" s="33" t="s">
        <v>4692</v>
      </c>
      <c r="I4430" s="33" t="s">
        <v>9710</v>
      </c>
      <c r="J4430" s="33" t="s">
        <v>19277</v>
      </c>
      <c r="K4430" s="33" t="s">
        <v>11964</v>
      </c>
      <c r="L4430" s="33" t="s">
        <v>18807</v>
      </c>
      <c r="M4430" s="33" t="s">
        <v>21</v>
      </c>
      <c r="N4430" s="33" t="s">
        <v>18963</v>
      </c>
      <c r="P4430" s="33" t="s">
        <v>30089</v>
      </c>
      <c r="Q4430" s="40" t="s">
        <v>18964</v>
      </c>
      <c r="R4430" s="33" t="s">
        <v>23</v>
      </c>
      <c r="S4430" s="33" t="s">
        <v>22</v>
      </c>
      <c r="T4430" s="33" t="s">
        <v>26781</v>
      </c>
      <c r="U4430" s="33" t="s">
        <v>26572</v>
      </c>
      <c r="V4430" s="33" t="s">
        <v>26573</v>
      </c>
      <c r="W4430" s="33" t="s">
        <v>512</v>
      </c>
      <c r="X4430" s="33">
        <v>1115</v>
      </c>
      <c r="Z4430" s="33" t="s">
        <v>42966</v>
      </c>
      <c r="AA4430" s="33">
        <v>3236</v>
      </c>
    </row>
    <row r="4431" spans="1:27" ht="12" customHeight="1" x14ac:dyDescent="0.15">
      <c r="A4431" s="33" t="s">
        <v>18770</v>
      </c>
      <c r="B4431" s="33">
        <v>21</v>
      </c>
      <c r="C4431" s="33" t="s">
        <v>14</v>
      </c>
      <c r="D4431" s="33" t="s">
        <v>31</v>
      </c>
      <c r="E4431" s="33" t="s">
        <v>18775</v>
      </c>
      <c r="F4431" s="67">
        <v>42359</v>
      </c>
      <c r="G4431" s="33" t="s">
        <v>18771</v>
      </c>
      <c r="H4431" s="33" t="s">
        <v>18772</v>
      </c>
      <c r="I4431" s="33" t="s">
        <v>376</v>
      </c>
      <c r="J4431" s="33" t="s">
        <v>19280</v>
      </c>
      <c r="K4431" s="33" t="s">
        <v>1057</v>
      </c>
      <c r="L4431" s="33" t="s">
        <v>473</v>
      </c>
      <c r="M4431" s="33" t="s">
        <v>21</v>
      </c>
      <c r="N4431" s="33" t="s">
        <v>18773</v>
      </c>
      <c r="P4431" s="33" t="s">
        <v>30089</v>
      </c>
      <c r="Q4431" s="40" t="s">
        <v>18774</v>
      </c>
      <c r="R4431" s="33" t="s">
        <v>512</v>
      </c>
      <c r="S4431" s="33" t="s">
        <v>22</v>
      </c>
      <c r="T4431" s="33" t="s">
        <v>26781</v>
      </c>
      <c r="U4431" s="33" t="s">
        <v>26572</v>
      </c>
      <c r="V4431" s="33" t="s">
        <v>26573</v>
      </c>
      <c r="W4431" s="33" t="s">
        <v>94</v>
      </c>
      <c r="X4431" s="33">
        <v>1111</v>
      </c>
      <c r="Z4431" s="33" t="s">
        <v>42967</v>
      </c>
      <c r="AA4431" s="33">
        <v>3229</v>
      </c>
    </row>
    <row r="4432" spans="1:27" ht="12" customHeight="1" x14ac:dyDescent="0.15">
      <c r="A4432" s="33" t="s">
        <v>18768</v>
      </c>
      <c r="B4432" s="33">
        <v>48</v>
      </c>
      <c r="C4432" s="33" t="s">
        <v>14</v>
      </c>
      <c r="D4432" s="33" t="s">
        <v>79</v>
      </c>
      <c r="E4432" s="33" t="s">
        <v>18785</v>
      </c>
      <c r="F4432" s="67">
        <v>42359</v>
      </c>
      <c r="G4432" s="33" t="s">
        <v>18694</v>
      </c>
      <c r="H4432" s="33" t="s">
        <v>18695</v>
      </c>
      <c r="I4432" s="33" t="s">
        <v>160</v>
      </c>
      <c r="J4432" s="33" t="s">
        <v>19278</v>
      </c>
      <c r="K4432" s="33" t="s">
        <v>882</v>
      </c>
      <c r="L4432" s="33" t="s">
        <v>1524</v>
      </c>
      <c r="M4432" s="33" t="s">
        <v>21</v>
      </c>
      <c r="N4432" s="33" t="s">
        <v>18750</v>
      </c>
      <c r="P4432" s="33" t="s">
        <v>30089</v>
      </c>
      <c r="Q4432" s="40" t="s">
        <v>18751</v>
      </c>
      <c r="R4432" s="33" t="s">
        <v>23</v>
      </c>
      <c r="S4432" s="33" t="s">
        <v>22</v>
      </c>
      <c r="T4432" s="33" t="s">
        <v>26781</v>
      </c>
      <c r="U4432" s="33" t="s">
        <v>26572</v>
      </c>
      <c r="V4432" s="33" t="s">
        <v>26573</v>
      </c>
      <c r="W4432" s="33" t="s">
        <v>94</v>
      </c>
      <c r="X4432" s="33">
        <v>1109</v>
      </c>
      <c r="Z4432" s="33" t="s">
        <v>42968</v>
      </c>
      <c r="AA4432" s="33">
        <v>3228</v>
      </c>
    </row>
    <row r="4433" spans="1:27" ht="12" customHeight="1" x14ac:dyDescent="0.15">
      <c r="A4433" s="33" t="s">
        <v>18793</v>
      </c>
      <c r="B4433" s="33">
        <v>30</v>
      </c>
      <c r="C4433" s="33" t="s">
        <v>14</v>
      </c>
      <c r="D4433" s="33" t="s">
        <v>31</v>
      </c>
      <c r="E4433" s="33" t="s">
        <v>18998</v>
      </c>
      <c r="F4433" s="67">
        <v>42359</v>
      </c>
      <c r="G4433" s="33" t="s">
        <v>18794</v>
      </c>
      <c r="H4433" s="33" t="s">
        <v>18795</v>
      </c>
      <c r="I4433" s="33" t="s">
        <v>39</v>
      </c>
      <c r="J4433" s="33" t="s">
        <v>19284</v>
      </c>
      <c r="K4433" s="33" t="s">
        <v>1245</v>
      </c>
      <c r="L4433" s="33" t="s">
        <v>1246</v>
      </c>
      <c r="M4433" s="33" t="s">
        <v>21</v>
      </c>
      <c r="N4433" s="33" t="s">
        <v>18796</v>
      </c>
      <c r="P4433" s="33" t="s">
        <v>30089</v>
      </c>
      <c r="Q4433" s="40" t="s">
        <v>18797</v>
      </c>
      <c r="R4433" s="33" t="s">
        <v>23</v>
      </c>
      <c r="S4433" s="33" t="s">
        <v>22</v>
      </c>
      <c r="T4433" s="33" t="s">
        <v>26781</v>
      </c>
      <c r="U4433" s="33" t="s">
        <v>26572</v>
      </c>
      <c r="V4433" s="33" t="s">
        <v>26573</v>
      </c>
      <c r="W4433" s="33" t="s">
        <v>94</v>
      </c>
      <c r="X4433" s="33">
        <v>1119</v>
      </c>
      <c r="Z4433" s="33" t="s">
        <v>42967</v>
      </c>
      <c r="AA4433" s="33">
        <v>3232</v>
      </c>
    </row>
    <row r="4434" spans="1:27" ht="12" customHeight="1" x14ac:dyDescent="0.15">
      <c r="A4434" s="33" t="s">
        <v>18812</v>
      </c>
      <c r="B4434" s="33">
        <v>25</v>
      </c>
      <c r="C4434" s="33" t="s">
        <v>14</v>
      </c>
      <c r="D4434" s="33" t="s">
        <v>79</v>
      </c>
      <c r="E4434" s="33" t="s">
        <v>18811</v>
      </c>
      <c r="F4434" s="67">
        <v>42359</v>
      </c>
      <c r="G4434" s="33" t="s">
        <v>18696</v>
      </c>
      <c r="H4434" s="33" t="s">
        <v>1212</v>
      </c>
      <c r="I4434" s="33" t="s">
        <v>192</v>
      </c>
      <c r="J4434" s="33" t="s">
        <v>12760</v>
      </c>
      <c r="K4434" s="33" t="s">
        <v>1212</v>
      </c>
      <c r="L4434" s="33" t="s">
        <v>3511</v>
      </c>
      <c r="M4434" s="33" t="s">
        <v>21</v>
      </c>
      <c r="N4434" s="33" t="s">
        <v>18748</v>
      </c>
      <c r="P4434" s="33" t="s">
        <v>30089</v>
      </c>
      <c r="Q4434" s="40" t="s">
        <v>18749</v>
      </c>
      <c r="R4434" s="33" t="s">
        <v>23</v>
      </c>
      <c r="S4434" s="33" t="s">
        <v>22</v>
      </c>
      <c r="T4434" s="33" t="s">
        <v>26781</v>
      </c>
      <c r="U4434" s="33" t="s">
        <v>26572</v>
      </c>
      <c r="V4434" s="33" t="s">
        <v>26573</v>
      </c>
      <c r="W4434" s="33" t="s">
        <v>94</v>
      </c>
      <c r="X4434" s="33">
        <v>1113</v>
      </c>
      <c r="Z4434" s="33" t="s">
        <v>42966</v>
      </c>
      <c r="AA4434" s="33">
        <v>3231</v>
      </c>
    </row>
    <row r="4435" spans="1:27" ht="12" customHeight="1" x14ac:dyDescent="0.15">
      <c r="A4435" s="33" t="s">
        <v>18690</v>
      </c>
      <c r="B4435" s="33">
        <v>39</v>
      </c>
      <c r="C4435" s="33" t="s">
        <v>14</v>
      </c>
      <c r="D4435" s="33" t="s">
        <v>31</v>
      </c>
      <c r="E4435" s="33" t="s">
        <v>18997</v>
      </c>
      <c r="F4435" s="67">
        <v>42359</v>
      </c>
      <c r="G4435" s="33" t="s">
        <v>18691</v>
      </c>
      <c r="H4435" s="33" t="s">
        <v>3569</v>
      </c>
      <c r="I4435" s="33" t="s">
        <v>56</v>
      </c>
      <c r="J4435" s="33" t="s">
        <v>19283</v>
      </c>
      <c r="K4435" s="33" t="s">
        <v>3571</v>
      </c>
      <c r="L4435" s="33" t="s">
        <v>242</v>
      </c>
      <c r="M4435" s="33" t="s">
        <v>21</v>
      </c>
      <c r="N4435" s="33" t="s">
        <v>18744</v>
      </c>
      <c r="P4435" s="33" t="s">
        <v>30089</v>
      </c>
      <c r="Q4435" s="40" t="s">
        <v>18745</v>
      </c>
      <c r="R4435" s="33" t="s">
        <v>23</v>
      </c>
      <c r="S4435" s="33" t="s">
        <v>22</v>
      </c>
      <c r="T4435" s="33" t="s">
        <v>26781</v>
      </c>
      <c r="U4435" s="33" t="s">
        <v>26572</v>
      </c>
      <c r="V4435" s="33" t="s">
        <v>26573</v>
      </c>
      <c r="W4435" s="33" t="s">
        <v>94</v>
      </c>
      <c r="X4435" s="33">
        <v>1112</v>
      </c>
      <c r="Z4435" s="33" t="s">
        <v>42968</v>
      </c>
      <c r="AA4435" s="33">
        <v>3230</v>
      </c>
    </row>
    <row r="4436" spans="1:27" ht="12" customHeight="1" x14ac:dyDescent="0.15">
      <c r="A4436" s="33" t="s">
        <v>18776</v>
      </c>
      <c r="B4436" s="33">
        <v>47</v>
      </c>
      <c r="C4436" s="33" t="s">
        <v>14</v>
      </c>
      <c r="D4436" s="33" t="s">
        <v>42</v>
      </c>
      <c r="F4436" s="67">
        <v>42359</v>
      </c>
      <c r="G4436" s="33" t="s">
        <v>18779</v>
      </c>
      <c r="H4436" s="33" t="s">
        <v>3942</v>
      </c>
      <c r="I4436" s="33" t="s">
        <v>67</v>
      </c>
      <c r="J4436" s="33" t="s">
        <v>3943</v>
      </c>
      <c r="K4436" s="33" t="s">
        <v>3944</v>
      </c>
      <c r="L4436" s="33" t="s">
        <v>3945</v>
      </c>
      <c r="M4436" s="33" t="s">
        <v>363</v>
      </c>
      <c r="N4436" s="33" t="s">
        <v>36741</v>
      </c>
      <c r="P4436" s="33" t="s">
        <v>30089</v>
      </c>
      <c r="Q4436" s="40" t="s">
        <v>18778</v>
      </c>
      <c r="R4436" s="33" t="s">
        <v>23</v>
      </c>
      <c r="S4436" s="33" t="s">
        <v>12</v>
      </c>
      <c r="T4436" s="33" t="s">
        <v>29705</v>
      </c>
      <c r="U4436" s="33" t="s">
        <v>26570</v>
      </c>
      <c r="V4436" s="33" t="s">
        <v>26573</v>
      </c>
      <c r="Z4436" s="33" t="s">
        <v>42966</v>
      </c>
      <c r="AA4436" s="33">
        <v>3234</v>
      </c>
    </row>
    <row r="4437" spans="1:27" ht="12" customHeight="1" x14ac:dyDescent="0.15">
      <c r="A4437" s="33" t="s">
        <v>18777</v>
      </c>
      <c r="B4437" s="33">
        <v>34</v>
      </c>
      <c r="C4437" s="33" t="s">
        <v>14</v>
      </c>
      <c r="D4437" s="33" t="s">
        <v>42</v>
      </c>
      <c r="F4437" s="67">
        <v>42359</v>
      </c>
      <c r="G4437" s="33" t="s">
        <v>18689</v>
      </c>
      <c r="H4437" s="33" t="s">
        <v>727</v>
      </c>
      <c r="I4437" s="33" t="s">
        <v>39</v>
      </c>
      <c r="J4437" s="33" t="s">
        <v>19279</v>
      </c>
      <c r="K4437" s="33" t="s">
        <v>728</v>
      </c>
      <c r="L4437" s="33" t="s">
        <v>18596</v>
      </c>
      <c r="M4437" s="33" t="s">
        <v>21</v>
      </c>
      <c r="N4437" s="33" t="s">
        <v>18746</v>
      </c>
      <c r="P4437" s="33" t="s">
        <v>30089</v>
      </c>
      <c r="Q4437" s="40" t="s">
        <v>18747</v>
      </c>
      <c r="R4437" s="33" t="s">
        <v>23</v>
      </c>
      <c r="S4437" s="33" t="s">
        <v>22</v>
      </c>
      <c r="T4437" s="33" t="s">
        <v>26781</v>
      </c>
      <c r="U4437" s="33" t="s">
        <v>26572</v>
      </c>
      <c r="V4437" s="33" t="s">
        <v>26573</v>
      </c>
      <c r="W4437" s="33" t="s">
        <v>94</v>
      </c>
      <c r="X4437" s="33">
        <v>1108</v>
      </c>
      <c r="Z4437" s="33" t="s">
        <v>42968</v>
      </c>
      <c r="AA4437" s="33">
        <v>3227</v>
      </c>
    </row>
    <row r="4438" spans="1:27" ht="12" customHeight="1" x14ac:dyDescent="0.15">
      <c r="A4438" s="33" t="s">
        <v>19025</v>
      </c>
      <c r="B4438" s="33">
        <v>32</v>
      </c>
      <c r="C4438" s="33" t="s">
        <v>14</v>
      </c>
      <c r="D4438" s="33" t="s">
        <v>79</v>
      </c>
      <c r="E4438" s="33" t="s">
        <v>18769</v>
      </c>
      <c r="F4438" s="67">
        <v>42359</v>
      </c>
      <c r="G4438" s="33" t="s">
        <v>18692</v>
      </c>
      <c r="H4438" s="33" t="s">
        <v>18693</v>
      </c>
      <c r="I4438" s="33" t="s">
        <v>19</v>
      </c>
      <c r="J4438" s="33" t="s">
        <v>19281</v>
      </c>
      <c r="K4438" s="33" t="s">
        <v>19282</v>
      </c>
      <c r="L4438" s="33" t="s">
        <v>11229</v>
      </c>
      <c r="M4438" s="33" t="s">
        <v>21</v>
      </c>
      <c r="N4438" s="33" t="s">
        <v>27807</v>
      </c>
      <c r="P4438" s="33" t="s">
        <v>30089</v>
      </c>
      <c r="Q4438" s="40" t="s">
        <v>18752</v>
      </c>
      <c r="R4438" s="33" t="s">
        <v>512</v>
      </c>
      <c r="S4438" s="33" t="s">
        <v>12</v>
      </c>
      <c r="T4438" s="33" t="s">
        <v>29705</v>
      </c>
      <c r="U4438" s="33" t="s">
        <v>26570</v>
      </c>
      <c r="V4438" s="33" t="s">
        <v>26573</v>
      </c>
      <c r="W4438" s="33" t="s">
        <v>94</v>
      </c>
      <c r="X4438" s="33">
        <v>1110</v>
      </c>
      <c r="Z4438" s="33" t="s">
        <v>42967</v>
      </c>
      <c r="AA4438" s="33">
        <v>3233</v>
      </c>
    </row>
    <row r="4439" spans="1:27" ht="12" customHeight="1" x14ac:dyDescent="0.15">
      <c r="A4439" s="33" t="s">
        <v>18697</v>
      </c>
      <c r="B4439" s="33">
        <v>30</v>
      </c>
      <c r="C4439" s="33" t="s">
        <v>14</v>
      </c>
      <c r="D4439" s="33" t="s">
        <v>79</v>
      </c>
      <c r="E4439" s="33" t="s">
        <v>18753</v>
      </c>
      <c r="F4439" s="67">
        <v>42358</v>
      </c>
      <c r="G4439" s="33" t="s">
        <v>18698</v>
      </c>
      <c r="H4439" s="33" t="s">
        <v>5722</v>
      </c>
      <c r="I4439" s="33" t="s">
        <v>39</v>
      </c>
      <c r="J4439" s="33" t="s">
        <v>19286</v>
      </c>
      <c r="K4439" s="33" t="s">
        <v>92</v>
      </c>
      <c r="L4439" s="33" t="s">
        <v>386</v>
      </c>
      <c r="M4439" s="33" t="s">
        <v>21</v>
      </c>
      <c r="N4439" s="33" t="s">
        <v>18740</v>
      </c>
      <c r="O4439" s="33" t="s">
        <v>372</v>
      </c>
      <c r="P4439" s="33" t="s">
        <v>30089</v>
      </c>
      <c r="Q4439" s="40" t="s">
        <v>18741</v>
      </c>
      <c r="R4439" s="33" t="s">
        <v>23</v>
      </c>
      <c r="S4439" s="33" t="s">
        <v>12</v>
      </c>
      <c r="T4439" s="33" t="s">
        <v>29705</v>
      </c>
      <c r="U4439" s="33" t="s">
        <v>26572</v>
      </c>
      <c r="V4439" s="33" t="s">
        <v>26573</v>
      </c>
      <c r="W4439" s="33" t="s">
        <v>94</v>
      </c>
      <c r="X4439" s="33">
        <v>1106</v>
      </c>
      <c r="Z4439" s="33" t="s">
        <v>42968</v>
      </c>
      <c r="AA4439" s="33">
        <v>3225</v>
      </c>
    </row>
    <row r="4440" spans="1:27" ht="12" customHeight="1" x14ac:dyDescent="0.15">
      <c r="A4440" s="33" t="s">
        <v>20844</v>
      </c>
      <c r="B4440" s="33">
        <v>35</v>
      </c>
      <c r="C4440" s="33" t="s">
        <v>14</v>
      </c>
      <c r="D4440" s="33" t="s">
        <v>79</v>
      </c>
      <c r="E4440" s="33" t="s">
        <v>20851</v>
      </c>
      <c r="F4440" s="67">
        <v>42358</v>
      </c>
      <c r="G4440" s="33" t="s">
        <v>11403</v>
      </c>
      <c r="H4440" s="33" t="s">
        <v>20850</v>
      </c>
      <c r="I4440" s="33" t="s">
        <v>206</v>
      </c>
      <c r="J4440" s="33">
        <v>19963</v>
      </c>
      <c r="K4440" s="33" t="s">
        <v>2350</v>
      </c>
      <c r="L4440" s="33" t="s">
        <v>5554</v>
      </c>
      <c r="M4440" s="33" t="s">
        <v>363</v>
      </c>
      <c r="N4440" s="33" t="s">
        <v>20848</v>
      </c>
      <c r="O4440" s="33" t="s">
        <v>372</v>
      </c>
      <c r="P4440" s="33" t="s">
        <v>30089</v>
      </c>
      <c r="Q4440" s="40" t="s">
        <v>20849</v>
      </c>
      <c r="R4440" s="33" t="s">
        <v>94</v>
      </c>
      <c r="S4440" s="33" t="s">
        <v>22</v>
      </c>
      <c r="T4440" s="33" t="s">
        <v>26781</v>
      </c>
      <c r="U4440" s="33" t="s">
        <v>26572</v>
      </c>
      <c r="V4440" s="33" t="s">
        <v>26573</v>
      </c>
      <c r="Z4440" s="33" t="s">
        <v>42967</v>
      </c>
      <c r="AA4440" s="33">
        <v>3224</v>
      </c>
    </row>
    <row r="4441" spans="1:27" ht="12" customHeight="1" x14ac:dyDescent="0.15">
      <c r="A4441" s="33" t="s">
        <v>18780</v>
      </c>
      <c r="B4441" s="33">
        <v>35</v>
      </c>
      <c r="C4441" s="33" t="s">
        <v>14</v>
      </c>
      <c r="D4441" s="33" t="s">
        <v>31</v>
      </c>
      <c r="E4441" s="33" t="s">
        <v>18781</v>
      </c>
      <c r="F4441" s="67">
        <v>42358</v>
      </c>
      <c r="G4441" s="33" t="s">
        <v>18784</v>
      </c>
      <c r="H4441" s="33" t="s">
        <v>13185</v>
      </c>
      <c r="I4441" s="33" t="s">
        <v>468</v>
      </c>
      <c r="J4441" s="33" t="s">
        <v>19287</v>
      </c>
      <c r="K4441" s="33" t="s">
        <v>4386</v>
      </c>
      <c r="L4441" s="33" t="s">
        <v>14843</v>
      </c>
      <c r="M4441" s="33" t="s">
        <v>351</v>
      </c>
      <c r="N4441" s="33" t="s">
        <v>18783</v>
      </c>
      <c r="P4441" s="33" t="s">
        <v>30089</v>
      </c>
      <c r="Q4441" s="40" t="s">
        <v>18782</v>
      </c>
      <c r="R4441" s="33" t="s">
        <v>23</v>
      </c>
      <c r="S4441" s="33" t="s">
        <v>351</v>
      </c>
      <c r="T4441" s="33" t="s">
        <v>26867</v>
      </c>
      <c r="Z4441" s="33" t="s">
        <v>42968</v>
      </c>
      <c r="AA4441" s="33">
        <v>3226</v>
      </c>
    </row>
    <row r="4442" spans="1:27" ht="12" customHeight="1" x14ac:dyDescent="0.15">
      <c r="A4442" s="33" t="s">
        <v>18699</v>
      </c>
      <c r="B4442" s="33">
        <v>31</v>
      </c>
      <c r="C4442" s="33" t="s">
        <v>14</v>
      </c>
      <c r="D4442" s="33" t="s">
        <v>42</v>
      </c>
      <c r="F4442" s="67">
        <v>42358</v>
      </c>
      <c r="G4442" s="33" t="s">
        <v>18700</v>
      </c>
      <c r="H4442" s="33" t="s">
        <v>116</v>
      </c>
      <c r="I4442" s="33" t="s">
        <v>67</v>
      </c>
      <c r="J4442" s="33" t="s">
        <v>19285</v>
      </c>
      <c r="K4442" s="33" t="s">
        <v>14029</v>
      </c>
      <c r="L4442" s="33" t="s">
        <v>14030</v>
      </c>
      <c r="M4442" s="33" t="s">
        <v>21</v>
      </c>
      <c r="N4442" s="33" t="s">
        <v>18742</v>
      </c>
      <c r="P4442" s="33" t="s">
        <v>30089</v>
      </c>
      <c r="Q4442" s="40" t="s">
        <v>18743</v>
      </c>
      <c r="R4442" s="33" t="s">
        <v>512</v>
      </c>
      <c r="S4442" s="33" t="s">
        <v>22</v>
      </c>
      <c r="T4442" s="33" t="s">
        <v>26781</v>
      </c>
      <c r="U4442" s="33" t="s">
        <v>26572</v>
      </c>
      <c r="V4442" s="33" t="s">
        <v>26573</v>
      </c>
      <c r="W4442" s="33" t="s">
        <v>94</v>
      </c>
      <c r="X4442" s="33">
        <v>1107</v>
      </c>
      <c r="Z4442" s="33" t="s">
        <v>42968</v>
      </c>
      <c r="AA4442" s="33">
        <v>3223</v>
      </c>
    </row>
    <row r="4443" spans="1:27" ht="12" customHeight="1" x14ac:dyDescent="0.15">
      <c r="A4443" s="33" t="s">
        <v>18701</v>
      </c>
      <c r="B4443" s="33">
        <v>26</v>
      </c>
      <c r="C4443" s="33" t="s">
        <v>14</v>
      </c>
      <c r="D4443" s="33" t="s">
        <v>42</v>
      </c>
      <c r="E4443" s="33" t="s">
        <v>18754</v>
      </c>
      <c r="F4443" s="67">
        <v>42357</v>
      </c>
      <c r="G4443" s="33" t="s">
        <v>18702</v>
      </c>
      <c r="H4443" s="33" t="s">
        <v>11060</v>
      </c>
      <c r="I4443" s="33" t="s">
        <v>39</v>
      </c>
      <c r="J4443" s="33" t="s">
        <v>19288</v>
      </c>
      <c r="K4443" s="33" t="s">
        <v>92</v>
      </c>
      <c r="L4443" s="33" t="s">
        <v>93</v>
      </c>
      <c r="M4443" s="33" t="s">
        <v>21</v>
      </c>
      <c r="N4443" s="33" t="s">
        <v>18736</v>
      </c>
      <c r="O4443" s="33" t="s">
        <v>372</v>
      </c>
      <c r="P4443" s="33" t="s">
        <v>30089</v>
      </c>
      <c r="Q4443" s="40" t="s">
        <v>18737</v>
      </c>
      <c r="R4443" s="33" t="s">
        <v>512</v>
      </c>
      <c r="S4443" s="33" t="s">
        <v>29</v>
      </c>
      <c r="T4443" s="33" t="s">
        <v>26575</v>
      </c>
      <c r="U4443" s="33" t="s">
        <v>26572</v>
      </c>
      <c r="V4443" s="33" t="s">
        <v>26573</v>
      </c>
      <c r="W4443" s="33" t="s">
        <v>94</v>
      </c>
      <c r="X4443" s="33">
        <v>1105</v>
      </c>
      <c r="Z4443" s="33" t="s">
        <v>42966</v>
      </c>
      <c r="AA4443" s="33">
        <v>3222</v>
      </c>
    </row>
    <row r="4444" spans="1:27" ht="12" customHeight="1" x14ac:dyDescent="0.15">
      <c r="A4444" s="33" t="s">
        <v>18761</v>
      </c>
      <c r="B4444" s="33">
        <v>24</v>
      </c>
      <c r="C4444" s="33" t="s">
        <v>14</v>
      </c>
      <c r="D4444" s="33" t="s">
        <v>79</v>
      </c>
      <c r="E4444" s="33" t="s">
        <v>18762</v>
      </c>
      <c r="F4444" s="67">
        <v>42357</v>
      </c>
      <c r="G4444" s="33" t="s">
        <v>18703</v>
      </c>
      <c r="H4444" s="33" t="s">
        <v>5603</v>
      </c>
      <c r="I4444" s="33" t="s">
        <v>225</v>
      </c>
      <c r="J4444" s="33" t="s">
        <v>19289</v>
      </c>
      <c r="K4444" s="33" t="s">
        <v>2094</v>
      </c>
      <c r="L4444" s="33" t="s">
        <v>3061</v>
      </c>
      <c r="M4444" s="33" t="s">
        <v>21</v>
      </c>
      <c r="N4444" s="33" t="s">
        <v>18738</v>
      </c>
      <c r="P4444" s="33" t="s">
        <v>30089</v>
      </c>
      <c r="Q4444" s="40" t="s">
        <v>18739</v>
      </c>
      <c r="R4444" s="33" t="s">
        <v>23</v>
      </c>
      <c r="S4444" s="33" t="s">
        <v>22</v>
      </c>
      <c r="T4444" s="33" t="s">
        <v>26781</v>
      </c>
      <c r="U4444" s="33" t="s">
        <v>26572</v>
      </c>
      <c r="W4444" s="33" t="s">
        <v>94</v>
      </c>
      <c r="X4444" s="33">
        <v>1103</v>
      </c>
      <c r="Z4444" s="33" t="s">
        <v>42967</v>
      </c>
      <c r="AA4444" s="33">
        <v>3221</v>
      </c>
    </row>
    <row r="4445" spans="1:27" ht="12" customHeight="1" x14ac:dyDescent="0.15">
      <c r="A4445" s="33" t="s">
        <v>18707</v>
      </c>
      <c r="B4445" s="33">
        <v>32</v>
      </c>
      <c r="C4445" s="33" t="s">
        <v>14</v>
      </c>
      <c r="D4445" s="33" t="s">
        <v>31</v>
      </c>
      <c r="E4445" s="33" t="s">
        <v>18755</v>
      </c>
      <c r="F4445" s="67">
        <v>42356</v>
      </c>
      <c r="G4445" s="33" t="s">
        <v>18708</v>
      </c>
      <c r="H4445" s="33" t="s">
        <v>18709</v>
      </c>
      <c r="I4445" s="33" t="s">
        <v>46</v>
      </c>
      <c r="J4445" s="33" t="s">
        <v>19290</v>
      </c>
      <c r="K4445" s="33" t="s">
        <v>2937</v>
      </c>
      <c r="L4445" s="33" t="s">
        <v>2556</v>
      </c>
      <c r="M4445" s="33" t="s">
        <v>21</v>
      </c>
      <c r="N4445" s="33" t="s">
        <v>18722</v>
      </c>
      <c r="O4445" s="33" t="s">
        <v>372</v>
      </c>
      <c r="P4445" s="33" t="s">
        <v>30089</v>
      </c>
      <c r="Q4445" s="40" t="s">
        <v>18723</v>
      </c>
      <c r="R4445" s="33" t="s">
        <v>23</v>
      </c>
      <c r="S4445" s="33" t="s">
        <v>12</v>
      </c>
      <c r="T4445" s="33" t="s">
        <v>29425</v>
      </c>
      <c r="Y4445" s="33" t="s">
        <v>42476</v>
      </c>
      <c r="Z4445" s="33" t="s">
        <v>42968</v>
      </c>
      <c r="AA4445" s="33">
        <v>3219</v>
      </c>
    </row>
    <row r="4446" spans="1:27" ht="12" customHeight="1" x14ac:dyDescent="0.15">
      <c r="A4446" s="33" t="s">
        <v>18710</v>
      </c>
      <c r="B4446" s="33">
        <v>32</v>
      </c>
      <c r="C4446" s="33" t="s">
        <v>14</v>
      </c>
      <c r="D4446" s="33" t="s">
        <v>31</v>
      </c>
      <c r="E4446" s="33" t="s">
        <v>18756</v>
      </c>
      <c r="F4446" s="67">
        <v>42356</v>
      </c>
      <c r="G4446" s="33" t="s">
        <v>18711</v>
      </c>
      <c r="H4446" s="33" t="s">
        <v>359</v>
      </c>
      <c r="I4446" s="33" t="s">
        <v>298</v>
      </c>
      <c r="J4446" s="33" t="s">
        <v>19291</v>
      </c>
      <c r="K4446" s="33" t="s">
        <v>2476</v>
      </c>
      <c r="L4446" s="33" t="s">
        <v>2477</v>
      </c>
      <c r="M4446" s="33" t="s">
        <v>21</v>
      </c>
      <c r="N4446" s="33" t="s">
        <v>18724</v>
      </c>
      <c r="P4446" s="33" t="s">
        <v>30089</v>
      </c>
      <c r="Q4446" s="40" t="s">
        <v>18725</v>
      </c>
      <c r="R4446" s="33" t="s">
        <v>23</v>
      </c>
      <c r="S4446" s="33" t="s">
        <v>351</v>
      </c>
      <c r="T4446" s="33" t="s">
        <v>26867</v>
      </c>
      <c r="U4446" s="33" t="s">
        <v>26572</v>
      </c>
      <c r="V4446" s="33" t="s">
        <v>26571</v>
      </c>
      <c r="W4446" s="33" t="s">
        <v>94</v>
      </c>
      <c r="X4446" s="33">
        <v>1101</v>
      </c>
      <c r="Z4446" s="33" t="s">
        <v>42968</v>
      </c>
      <c r="AA4446" s="33">
        <v>3220</v>
      </c>
    </row>
    <row r="4447" spans="1:27" ht="12" customHeight="1" x14ac:dyDescent="0.15">
      <c r="A4447" s="33" t="s">
        <v>18759</v>
      </c>
      <c r="B4447" s="33">
        <v>58</v>
      </c>
      <c r="C4447" s="33" t="s">
        <v>14</v>
      </c>
      <c r="D4447" s="33" t="s">
        <v>42</v>
      </c>
      <c r="F4447" s="67">
        <v>42356</v>
      </c>
      <c r="G4447" s="33" t="s">
        <v>18712</v>
      </c>
      <c r="H4447" s="33" t="s">
        <v>18713</v>
      </c>
      <c r="I4447" s="33" t="s">
        <v>178</v>
      </c>
      <c r="J4447" s="33" t="s">
        <v>19293</v>
      </c>
      <c r="K4447" s="33" t="s">
        <v>18713</v>
      </c>
      <c r="L4447" s="33" t="s">
        <v>18714</v>
      </c>
      <c r="M4447" s="33" t="s">
        <v>21</v>
      </c>
      <c r="N4447" s="33" t="s">
        <v>18734</v>
      </c>
      <c r="P4447" s="33" t="s">
        <v>30089</v>
      </c>
      <c r="Q4447" s="40" t="s">
        <v>18735</v>
      </c>
      <c r="R4447" s="33" t="s">
        <v>512</v>
      </c>
      <c r="S4447" s="33" t="s">
        <v>12</v>
      </c>
      <c r="T4447" s="33" t="s">
        <v>29425</v>
      </c>
      <c r="U4447" s="33" t="s">
        <v>26572</v>
      </c>
      <c r="V4447" s="33" t="s">
        <v>26573</v>
      </c>
      <c r="W4447" s="33" t="s">
        <v>94</v>
      </c>
      <c r="X4447" s="33">
        <v>1102</v>
      </c>
      <c r="Z4447" s="33" t="s">
        <v>42967</v>
      </c>
      <c r="AA4447" s="33">
        <v>3218</v>
      </c>
    </row>
    <row r="4448" spans="1:27" ht="12" customHeight="1" x14ac:dyDescent="0.15">
      <c r="A4448" s="33" t="s">
        <v>18704</v>
      </c>
      <c r="B4448" s="33">
        <v>22</v>
      </c>
      <c r="C4448" s="33" t="s">
        <v>103</v>
      </c>
      <c r="D4448" s="33" t="s">
        <v>31</v>
      </c>
      <c r="E4448" s="33" t="s">
        <v>18760</v>
      </c>
      <c r="F4448" s="67">
        <v>42356</v>
      </c>
      <c r="G4448" s="33" t="s">
        <v>18705</v>
      </c>
      <c r="H4448" s="33" t="s">
        <v>12757</v>
      </c>
      <c r="I4448" s="33" t="s">
        <v>63</v>
      </c>
      <c r="J4448" s="33" t="s">
        <v>19292</v>
      </c>
      <c r="K4448" s="33" t="s">
        <v>10995</v>
      </c>
      <c r="L4448" s="33" t="s">
        <v>18706</v>
      </c>
      <c r="M4448" s="33" t="s">
        <v>21</v>
      </c>
      <c r="N4448" s="33" t="s">
        <v>18732</v>
      </c>
      <c r="P4448" s="33" t="s">
        <v>30089</v>
      </c>
      <c r="Q4448" s="40" t="s">
        <v>18733</v>
      </c>
      <c r="R4448" s="33" t="s">
        <v>23</v>
      </c>
      <c r="S4448" s="33" t="s">
        <v>22</v>
      </c>
      <c r="T4448" s="33" t="s">
        <v>26781</v>
      </c>
      <c r="U4448" s="33" t="s">
        <v>26572</v>
      </c>
      <c r="V4448" s="33" t="s">
        <v>19228</v>
      </c>
      <c r="W4448" s="33" t="s">
        <v>94</v>
      </c>
      <c r="X4448" s="33">
        <v>1100</v>
      </c>
      <c r="Z4448" s="33" t="s">
        <v>42968</v>
      </c>
      <c r="AA4448" s="33">
        <v>3217</v>
      </c>
    </row>
    <row r="4449" spans="1:27" ht="12" customHeight="1" x14ac:dyDescent="0.15">
      <c r="A4449" s="33" t="s">
        <v>18715</v>
      </c>
      <c r="B4449" s="33">
        <v>25</v>
      </c>
      <c r="C4449" s="33" t="s">
        <v>14</v>
      </c>
      <c r="D4449" s="33" t="s">
        <v>31</v>
      </c>
      <c r="E4449" s="33" t="s">
        <v>18757</v>
      </c>
      <c r="F4449" s="67">
        <v>42355</v>
      </c>
      <c r="G4449" s="33" t="s">
        <v>18716</v>
      </c>
      <c r="H4449" s="33" t="s">
        <v>2350</v>
      </c>
      <c r="I4449" s="33" t="s">
        <v>63</v>
      </c>
      <c r="J4449" s="33" t="s">
        <v>19294</v>
      </c>
      <c r="K4449" s="33" t="s">
        <v>2178</v>
      </c>
      <c r="L4449" s="33" t="s">
        <v>3181</v>
      </c>
      <c r="M4449" s="33" t="s">
        <v>21</v>
      </c>
      <c r="N4449" s="33" t="s">
        <v>18726</v>
      </c>
      <c r="P4449" s="33" t="s">
        <v>30089</v>
      </c>
      <c r="Q4449" s="40" t="s">
        <v>18727</v>
      </c>
      <c r="R4449" s="33" t="s">
        <v>512</v>
      </c>
      <c r="S4449" s="33" t="s">
        <v>22</v>
      </c>
      <c r="T4449" s="33" t="s">
        <v>26593</v>
      </c>
      <c r="U4449" s="33" t="s">
        <v>26570</v>
      </c>
      <c r="V4449" s="33" t="s">
        <v>26573</v>
      </c>
      <c r="W4449" s="33" t="s">
        <v>94</v>
      </c>
      <c r="X4449" s="33">
        <v>1098</v>
      </c>
      <c r="Z4449" s="33" t="s">
        <v>42968</v>
      </c>
      <c r="AA4449" s="33">
        <v>3216</v>
      </c>
    </row>
    <row r="4450" spans="1:27" ht="12" customHeight="1" x14ac:dyDescent="0.15">
      <c r="A4450" s="33" t="s">
        <v>18717</v>
      </c>
      <c r="B4450" s="33">
        <v>24</v>
      </c>
      <c r="C4450" s="33" t="s">
        <v>14</v>
      </c>
      <c r="D4450" s="33" t="s">
        <v>31</v>
      </c>
      <c r="E4450" s="33" t="s">
        <v>18813</v>
      </c>
      <c r="F4450" s="67">
        <v>42355</v>
      </c>
      <c r="G4450" s="33" t="s">
        <v>18718</v>
      </c>
      <c r="H4450" s="33" t="s">
        <v>9302</v>
      </c>
      <c r="I4450" s="33" t="s">
        <v>39</v>
      </c>
      <c r="J4450" s="33" t="s">
        <v>9303</v>
      </c>
      <c r="K4450" s="33" t="s">
        <v>2954</v>
      </c>
      <c r="L4450" s="33" t="s">
        <v>9304</v>
      </c>
      <c r="M4450" s="33" t="s">
        <v>21</v>
      </c>
      <c r="N4450" s="33" t="s">
        <v>18728</v>
      </c>
      <c r="P4450" s="33" t="s">
        <v>30089</v>
      </c>
      <c r="Q4450" s="40" t="s">
        <v>18729</v>
      </c>
      <c r="R4450" s="33" t="s">
        <v>23</v>
      </c>
      <c r="S4450" s="33" t="s">
        <v>22</v>
      </c>
      <c r="T4450" s="33" t="s">
        <v>26781</v>
      </c>
      <c r="U4450" s="33" t="s">
        <v>26572</v>
      </c>
      <c r="V4450" s="33" t="s">
        <v>19228</v>
      </c>
      <c r="W4450" s="33" t="s">
        <v>94</v>
      </c>
      <c r="X4450" s="33">
        <v>1099</v>
      </c>
      <c r="Z4450" s="33" t="s">
        <v>42966</v>
      </c>
      <c r="AA4450" s="33">
        <v>3215</v>
      </c>
    </row>
    <row r="4451" spans="1:27" ht="12" customHeight="1" x14ac:dyDescent="0.15">
      <c r="A4451" s="33" t="s">
        <v>18719</v>
      </c>
      <c r="B4451" s="33">
        <v>23</v>
      </c>
      <c r="C4451" s="33" t="s">
        <v>14</v>
      </c>
      <c r="D4451" s="33" t="s">
        <v>31</v>
      </c>
      <c r="E4451" s="33" t="s">
        <v>18758</v>
      </c>
      <c r="F4451" s="67">
        <v>42354</v>
      </c>
      <c r="G4451" s="33" t="s">
        <v>18720</v>
      </c>
      <c r="H4451" s="33" t="s">
        <v>18721</v>
      </c>
      <c r="I4451" s="33" t="s">
        <v>39</v>
      </c>
      <c r="J4451" s="33" t="s">
        <v>19295</v>
      </c>
      <c r="K4451" s="33" t="s">
        <v>2985</v>
      </c>
      <c r="L4451" s="33" t="s">
        <v>12936</v>
      </c>
      <c r="M4451" s="33" t="s">
        <v>21</v>
      </c>
      <c r="N4451" s="33" t="s">
        <v>18730</v>
      </c>
      <c r="P4451" s="33" t="s">
        <v>30089</v>
      </c>
      <c r="Q4451" s="40" t="s">
        <v>18731</v>
      </c>
      <c r="R4451" s="33" t="s">
        <v>512</v>
      </c>
      <c r="S4451" s="33" t="s">
        <v>22</v>
      </c>
      <c r="T4451" s="33" t="s">
        <v>26774</v>
      </c>
      <c r="U4451" s="33" t="s">
        <v>26572</v>
      </c>
      <c r="V4451" s="33" t="s">
        <v>26573</v>
      </c>
      <c r="W4451" s="33" t="s">
        <v>94</v>
      </c>
      <c r="X4451" s="33">
        <v>1097</v>
      </c>
      <c r="Z4451" s="33" t="s">
        <v>42968</v>
      </c>
      <c r="AA4451" s="33">
        <v>3214</v>
      </c>
    </row>
    <row r="4452" spans="1:27" ht="12" customHeight="1" x14ac:dyDescent="0.15">
      <c r="A4452" s="33" t="s">
        <v>18651</v>
      </c>
      <c r="B4452" s="33">
        <v>51</v>
      </c>
      <c r="C4452" s="33" t="s">
        <v>14</v>
      </c>
      <c r="D4452" s="33" t="s">
        <v>79</v>
      </c>
      <c r="E4452" s="33" t="s">
        <v>18650</v>
      </c>
      <c r="F4452" s="67">
        <v>42353</v>
      </c>
      <c r="G4452" s="33" t="s">
        <v>18654</v>
      </c>
      <c r="H4452" s="33" t="s">
        <v>266</v>
      </c>
      <c r="I4452" s="33" t="s">
        <v>338</v>
      </c>
      <c r="J4452" s="33">
        <v>28607</v>
      </c>
      <c r="K4452" s="33" t="s">
        <v>779</v>
      </c>
      <c r="L4452" s="33" t="s">
        <v>20859</v>
      </c>
      <c r="M4452" s="33" t="s">
        <v>21</v>
      </c>
      <c r="N4452" s="33" t="s">
        <v>18653</v>
      </c>
      <c r="P4452" s="33" t="s">
        <v>30089</v>
      </c>
      <c r="Q4452" s="40" t="s">
        <v>18652</v>
      </c>
      <c r="R4452" s="33" t="s">
        <v>23</v>
      </c>
      <c r="S4452" s="33" t="s">
        <v>351</v>
      </c>
      <c r="T4452" s="33" t="s">
        <v>26867</v>
      </c>
      <c r="U4452" s="33" t="s">
        <v>26572</v>
      </c>
      <c r="V4452" s="33" t="s">
        <v>26571</v>
      </c>
      <c r="W4452" s="33" t="s">
        <v>94</v>
      </c>
      <c r="X4452" s="33">
        <v>1096</v>
      </c>
      <c r="Z4452" s="33" t="s">
        <v>42966</v>
      </c>
      <c r="AA4452" s="33">
        <v>3213</v>
      </c>
    </row>
    <row r="4453" spans="1:27" ht="12" customHeight="1" x14ac:dyDescent="0.15">
      <c r="A4453" s="33" t="s">
        <v>18657</v>
      </c>
      <c r="B4453" s="33">
        <v>64</v>
      </c>
      <c r="C4453" s="33" t="s">
        <v>14</v>
      </c>
      <c r="D4453" s="33" t="s">
        <v>15</v>
      </c>
      <c r="E4453" s="33" t="s">
        <v>18658</v>
      </c>
      <c r="F4453" s="67">
        <v>42353</v>
      </c>
      <c r="G4453" s="33" t="s">
        <v>18659</v>
      </c>
      <c r="H4453" s="33" t="s">
        <v>1132</v>
      </c>
      <c r="I4453" s="33" t="s">
        <v>282</v>
      </c>
      <c r="K4453" s="33" t="s">
        <v>1133</v>
      </c>
      <c r="L4453" s="33" t="s">
        <v>1134</v>
      </c>
      <c r="M4453" s="33" t="s">
        <v>2134</v>
      </c>
      <c r="N4453" s="33" t="s">
        <v>18655</v>
      </c>
      <c r="P4453" s="33" t="s">
        <v>30089</v>
      </c>
      <c r="Q4453" s="40" t="s">
        <v>18656</v>
      </c>
      <c r="R4453" s="33" t="s">
        <v>23</v>
      </c>
      <c r="S4453" s="33" t="s">
        <v>12</v>
      </c>
      <c r="T4453" s="54" t="s">
        <v>29705</v>
      </c>
      <c r="Z4453" s="33" t="e">
        <v>#N/A</v>
      </c>
      <c r="AA4453" s="33">
        <v>3212</v>
      </c>
    </row>
    <row r="4454" spans="1:27" ht="12" customHeight="1" x14ac:dyDescent="0.15">
      <c r="A4454" s="33" t="s">
        <v>18817</v>
      </c>
      <c r="B4454" s="33">
        <v>39</v>
      </c>
      <c r="C4454" s="33" t="s">
        <v>14</v>
      </c>
      <c r="D4454" s="33" t="s">
        <v>15</v>
      </c>
      <c r="E4454" s="33" t="s">
        <v>18816</v>
      </c>
      <c r="F4454" s="67">
        <v>42352</v>
      </c>
      <c r="G4454" s="33" t="s">
        <v>18577</v>
      </c>
      <c r="H4454" s="33" t="s">
        <v>451</v>
      </c>
      <c r="I4454" s="33" t="s">
        <v>39</v>
      </c>
      <c r="J4454" s="33" t="s">
        <v>5412</v>
      </c>
      <c r="K4454" s="33" t="s">
        <v>92</v>
      </c>
      <c r="L4454" s="33" t="s">
        <v>452</v>
      </c>
      <c r="M4454" s="33" t="s">
        <v>21</v>
      </c>
      <c r="N4454" s="33" t="s">
        <v>18578</v>
      </c>
      <c r="P4454" s="33" t="s">
        <v>30089</v>
      </c>
      <c r="Q4454" s="40" t="s">
        <v>18579</v>
      </c>
      <c r="R4454" s="33" t="s">
        <v>23</v>
      </c>
      <c r="S4454" s="33" t="s">
        <v>22</v>
      </c>
      <c r="T4454" s="33" t="s">
        <v>26774</v>
      </c>
      <c r="U4454" s="33" t="s">
        <v>26570</v>
      </c>
      <c r="V4454" s="33" t="s">
        <v>26573</v>
      </c>
      <c r="W4454" s="33" t="s">
        <v>94</v>
      </c>
      <c r="X4454" s="33">
        <v>1092</v>
      </c>
      <c r="Z4454" s="33" t="s">
        <v>42966</v>
      </c>
      <c r="AA4454" s="33">
        <v>3208</v>
      </c>
    </row>
    <row r="4455" spans="1:27" ht="12" customHeight="1" x14ac:dyDescent="0.15">
      <c r="A4455" s="33" t="s">
        <v>18632</v>
      </c>
      <c r="B4455" s="33">
        <v>19</v>
      </c>
      <c r="C4455" s="33" t="s">
        <v>14</v>
      </c>
      <c r="D4455" s="33" t="s">
        <v>42</v>
      </c>
      <c r="E4455" s="33" t="s">
        <v>18633</v>
      </c>
      <c r="F4455" s="67">
        <v>42352</v>
      </c>
      <c r="G4455" s="33" t="s">
        <v>18628</v>
      </c>
      <c r="H4455" s="33" t="s">
        <v>18629</v>
      </c>
      <c r="I4455" s="33" t="s">
        <v>39</v>
      </c>
      <c r="J4455" s="33" t="s">
        <v>19297</v>
      </c>
      <c r="K4455" s="33" t="s">
        <v>561</v>
      </c>
      <c r="L4455" s="33" t="s">
        <v>18630</v>
      </c>
      <c r="M4455" s="33" t="s">
        <v>21</v>
      </c>
      <c r="N4455" s="33" t="s">
        <v>19090</v>
      </c>
      <c r="O4455" s="33" t="s">
        <v>372</v>
      </c>
      <c r="P4455" s="33" t="s">
        <v>30089</v>
      </c>
      <c r="Q4455" s="40" t="s">
        <v>18631</v>
      </c>
      <c r="R4455" s="33" t="s">
        <v>23</v>
      </c>
      <c r="S4455" s="33" t="s">
        <v>29</v>
      </c>
      <c r="T4455" s="33" t="s">
        <v>26575</v>
      </c>
      <c r="U4455" s="33" t="s">
        <v>26575</v>
      </c>
      <c r="W4455" s="33" t="s">
        <v>512</v>
      </c>
      <c r="X4455" s="33">
        <v>1093</v>
      </c>
      <c r="Z4455" s="33" t="s">
        <v>42968</v>
      </c>
      <c r="AA4455" s="33">
        <v>3211</v>
      </c>
    </row>
    <row r="4456" spans="1:27" ht="12" customHeight="1" x14ac:dyDescent="0.15">
      <c r="A4456" s="33" t="s">
        <v>18634</v>
      </c>
      <c r="B4456" s="33">
        <v>56</v>
      </c>
      <c r="C4456" s="33" t="s">
        <v>14</v>
      </c>
      <c r="D4456" s="33" t="s">
        <v>31</v>
      </c>
      <c r="E4456" s="33" t="s">
        <v>18643</v>
      </c>
      <c r="F4456" s="67">
        <v>42352</v>
      </c>
      <c r="G4456" s="33" t="s">
        <v>18636</v>
      </c>
      <c r="H4456" s="33" t="s">
        <v>18637</v>
      </c>
      <c r="I4456" s="33" t="s">
        <v>298</v>
      </c>
      <c r="J4456" s="33" t="s">
        <v>19298</v>
      </c>
      <c r="K4456" s="33" t="s">
        <v>9725</v>
      </c>
      <c r="L4456" s="33" t="s">
        <v>18640</v>
      </c>
      <c r="M4456" s="33" t="s">
        <v>21</v>
      </c>
      <c r="N4456" s="33" t="s">
        <v>19089</v>
      </c>
      <c r="O4456" s="33" t="s">
        <v>372</v>
      </c>
      <c r="P4456" s="33" t="s">
        <v>30089</v>
      </c>
      <c r="Q4456" s="40" t="s">
        <v>18642</v>
      </c>
      <c r="R4456" s="33" t="s">
        <v>23</v>
      </c>
      <c r="S4456" s="33" t="s">
        <v>29</v>
      </c>
      <c r="T4456" s="33" t="s">
        <v>26575</v>
      </c>
      <c r="U4456" s="33" t="s">
        <v>26575</v>
      </c>
      <c r="V4456" s="33" t="s">
        <v>26573</v>
      </c>
      <c r="W4456" s="33" t="s">
        <v>94</v>
      </c>
      <c r="X4456" s="33">
        <v>1090</v>
      </c>
      <c r="Z4456" s="33" t="s">
        <v>42967</v>
      </c>
      <c r="AA4456" s="33">
        <v>3210</v>
      </c>
    </row>
    <row r="4457" spans="1:27" ht="12" customHeight="1" x14ac:dyDescent="0.15">
      <c r="A4457" s="33" t="s">
        <v>18589</v>
      </c>
      <c r="B4457" s="33">
        <v>45</v>
      </c>
      <c r="C4457" s="33" t="s">
        <v>14</v>
      </c>
      <c r="D4457" s="33" t="s">
        <v>42</v>
      </c>
      <c r="E4457" s="33" t="s">
        <v>18588</v>
      </c>
      <c r="F4457" s="67">
        <v>42352</v>
      </c>
      <c r="G4457" s="33" t="s">
        <v>18580</v>
      </c>
      <c r="H4457" s="33" t="s">
        <v>607</v>
      </c>
      <c r="I4457" s="33" t="s">
        <v>250</v>
      </c>
      <c r="J4457" s="33" t="s">
        <v>3716</v>
      </c>
      <c r="K4457" s="33" t="s">
        <v>527</v>
      </c>
      <c r="L4457" s="33" t="s">
        <v>528</v>
      </c>
      <c r="M4457" s="33" t="s">
        <v>21</v>
      </c>
      <c r="N4457" s="33" t="s">
        <v>18581</v>
      </c>
      <c r="P4457" s="33" t="s">
        <v>30089</v>
      </c>
      <c r="Q4457" s="40" t="s">
        <v>18582</v>
      </c>
      <c r="R4457" s="33" t="s">
        <v>23</v>
      </c>
      <c r="S4457" s="33" t="s">
        <v>22</v>
      </c>
      <c r="T4457" s="33" t="s">
        <v>26781</v>
      </c>
      <c r="U4457" s="33" t="s">
        <v>26572</v>
      </c>
      <c r="V4457" s="33" t="s">
        <v>26573</v>
      </c>
      <c r="W4457" s="33" t="s">
        <v>94</v>
      </c>
      <c r="X4457" s="33">
        <v>1094</v>
      </c>
      <c r="Z4457" s="33" t="s">
        <v>42968</v>
      </c>
      <c r="AA4457" s="33">
        <v>3206</v>
      </c>
    </row>
    <row r="4458" spans="1:27" ht="12" customHeight="1" x14ac:dyDescent="0.15">
      <c r="A4458" s="33" t="s">
        <v>18587</v>
      </c>
      <c r="B4458" s="33">
        <v>33</v>
      </c>
      <c r="C4458" s="33" t="s">
        <v>14</v>
      </c>
      <c r="D4458" s="33" t="s">
        <v>79</v>
      </c>
      <c r="F4458" s="67">
        <v>42352</v>
      </c>
      <c r="G4458" s="33" t="s">
        <v>18550</v>
      </c>
      <c r="H4458" s="33" t="s">
        <v>979</v>
      </c>
      <c r="I4458" s="33" t="s">
        <v>19</v>
      </c>
      <c r="J4458" s="33" t="s">
        <v>19306</v>
      </c>
      <c r="K4458" s="33" t="s">
        <v>2393</v>
      </c>
      <c r="L4458" s="33" t="s">
        <v>980</v>
      </c>
      <c r="M4458" s="33" t="s">
        <v>21</v>
      </c>
      <c r="N4458" s="33" t="s">
        <v>19119</v>
      </c>
      <c r="P4458" s="33" t="s">
        <v>30089</v>
      </c>
      <c r="Q4458" s="40" t="s">
        <v>18551</v>
      </c>
      <c r="R4458" s="33" t="s">
        <v>23</v>
      </c>
      <c r="S4458" s="33" t="s">
        <v>22</v>
      </c>
      <c r="T4458" s="33" t="s">
        <v>26781</v>
      </c>
      <c r="U4458" s="33" t="s">
        <v>26572</v>
      </c>
      <c r="V4458" s="33" t="s">
        <v>26573</v>
      </c>
      <c r="W4458" s="33" t="s">
        <v>512</v>
      </c>
      <c r="X4458" s="33">
        <v>1085</v>
      </c>
      <c r="Z4458" s="33" t="s">
        <v>42968</v>
      </c>
      <c r="AA4458" s="33">
        <v>3204</v>
      </c>
    </row>
    <row r="4459" spans="1:27" ht="12" customHeight="1" x14ac:dyDescent="0.15">
      <c r="A4459" s="33" t="s">
        <v>18590</v>
      </c>
      <c r="B4459" s="33">
        <v>48</v>
      </c>
      <c r="C4459" s="33" t="s">
        <v>103</v>
      </c>
      <c r="D4459" s="33" t="s">
        <v>31</v>
      </c>
      <c r="E4459" s="33" t="s">
        <v>18814</v>
      </c>
      <c r="F4459" s="67">
        <v>42352</v>
      </c>
      <c r="G4459" s="33" t="s">
        <v>18583</v>
      </c>
      <c r="H4459" s="33" t="s">
        <v>607</v>
      </c>
      <c r="I4459" s="33" t="s">
        <v>250</v>
      </c>
      <c r="J4459" s="33" t="s">
        <v>3716</v>
      </c>
      <c r="K4459" s="33" t="s">
        <v>527</v>
      </c>
      <c r="L4459" s="33" t="s">
        <v>528</v>
      </c>
      <c r="M4459" s="33" t="s">
        <v>21</v>
      </c>
      <c r="N4459" s="33" t="s">
        <v>18584</v>
      </c>
      <c r="P4459" s="33" t="s">
        <v>30089</v>
      </c>
      <c r="Q4459" s="40" t="s">
        <v>18585</v>
      </c>
      <c r="R4459" s="33" t="s">
        <v>512</v>
      </c>
      <c r="S4459" s="33" t="s">
        <v>22</v>
      </c>
      <c r="T4459" s="33" t="s">
        <v>26781</v>
      </c>
      <c r="U4459" s="33" t="s">
        <v>26572</v>
      </c>
      <c r="V4459" s="33" t="s">
        <v>26573</v>
      </c>
      <c r="W4459" s="33" t="s">
        <v>94</v>
      </c>
      <c r="X4459" s="33">
        <v>1091</v>
      </c>
      <c r="Z4459" s="33" t="s">
        <v>42968</v>
      </c>
      <c r="AA4459" s="33">
        <v>3205</v>
      </c>
    </row>
    <row r="4460" spans="1:27" ht="12" customHeight="1" x14ac:dyDescent="0.15">
      <c r="A4460" s="33" t="s">
        <v>18635</v>
      </c>
      <c r="B4460" s="33">
        <v>52</v>
      </c>
      <c r="C4460" s="33" t="s">
        <v>14</v>
      </c>
      <c r="D4460" s="33" t="s">
        <v>31</v>
      </c>
      <c r="E4460" s="33" t="s">
        <v>18815</v>
      </c>
      <c r="F4460" s="67">
        <v>42352</v>
      </c>
      <c r="G4460" s="33" t="s">
        <v>18638</v>
      </c>
      <c r="H4460" s="33" t="s">
        <v>18639</v>
      </c>
      <c r="I4460" s="33" t="s">
        <v>46</v>
      </c>
      <c r="J4460" s="33" t="s">
        <v>19296</v>
      </c>
      <c r="K4460" s="33" t="s">
        <v>1487</v>
      </c>
      <c r="L4460" s="33" t="s">
        <v>212</v>
      </c>
      <c r="M4460" s="33" t="s">
        <v>4966</v>
      </c>
      <c r="N4460" s="33" t="s">
        <v>19118</v>
      </c>
      <c r="P4460" s="33" t="s">
        <v>30089</v>
      </c>
      <c r="Q4460" s="40" t="s">
        <v>18641</v>
      </c>
      <c r="R4460" s="33" t="s">
        <v>512</v>
      </c>
      <c r="S4460" s="33" t="s">
        <v>22</v>
      </c>
      <c r="T4460" s="33" t="s">
        <v>26774</v>
      </c>
      <c r="U4460" s="33" t="s">
        <v>26570</v>
      </c>
      <c r="V4460" s="33" t="s">
        <v>26573</v>
      </c>
      <c r="W4460" s="33" t="s">
        <v>94</v>
      </c>
      <c r="X4460" s="33">
        <v>1088</v>
      </c>
      <c r="Z4460" s="33" t="s">
        <v>42968</v>
      </c>
      <c r="AA4460" s="33">
        <v>3209</v>
      </c>
    </row>
    <row r="4461" spans="1:27" ht="12" customHeight="1" x14ac:dyDescent="0.15">
      <c r="A4461" s="33" t="s">
        <v>18622</v>
      </c>
      <c r="B4461" s="33">
        <v>33</v>
      </c>
      <c r="C4461" s="33" t="s">
        <v>14</v>
      </c>
      <c r="D4461" s="33" t="s">
        <v>31</v>
      </c>
      <c r="E4461" s="33" t="s">
        <v>18627</v>
      </c>
      <c r="F4461" s="67">
        <v>42352</v>
      </c>
      <c r="G4461" s="33" t="s">
        <v>18623</v>
      </c>
      <c r="H4461" s="33" t="s">
        <v>18624</v>
      </c>
      <c r="I4461" s="33" t="s">
        <v>139</v>
      </c>
      <c r="J4461" s="33" t="s">
        <v>19299</v>
      </c>
      <c r="K4461" s="33" t="s">
        <v>1415</v>
      </c>
      <c r="L4461" s="33" t="s">
        <v>18625</v>
      </c>
      <c r="M4461" s="33" t="s">
        <v>21</v>
      </c>
      <c r="N4461" s="33" t="s">
        <v>19117</v>
      </c>
      <c r="P4461" s="33" t="s">
        <v>30089</v>
      </c>
      <c r="Q4461" s="40" t="s">
        <v>18626</v>
      </c>
      <c r="R4461" s="33" t="s">
        <v>23</v>
      </c>
      <c r="S4461" s="33" t="s">
        <v>22</v>
      </c>
      <c r="T4461" s="33" t="s">
        <v>26781</v>
      </c>
      <c r="U4461" s="33" t="s">
        <v>26572</v>
      </c>
      <c r="V4461" s="33" t="s">
        <v>26573</v>
      </c>
      <c r="W4461" s="33" t="s">
        <v>94</v>
      </c>
      <c r="X4461" s="33">
        <v>1095</v>
      </c>
      <c r="Z4461" s="33" t="s">
        <v>42967</v>
      </c>
      <c r="AA4461" s="33">
        <v>3207</v>
      </c>
    </row>
    <row r="4462" spans="1:27" ht="12" customHeight="1" x14ac:dyDescent="0.15">
      <c r="A4462" s="33" t="s">
        <v>18618</v>
      </c>
      <c r="B4462" s="33">
        <v>32</v>
      </c>
      <c r="C4462" s="33" t="s">
        <v>14</v>
      </c>
      <c r="D4462" s="33" t="s">
        <v>42</v>
      </c>
      <c r="F4462" s="67">
        <v>42351</v>
      </c>
      <c r="G4462" s="33" t="s">
        <v>18619</v>
      </c>
      <c r="H4462" s="33" t="s">
        <v>1212</v>
      </c>
      <c r="I4462" s="33" t="s">
        <v>192</v>
      </c>
      <c r="J4462" s="33" t="s">
        <v>19300</v>
      </c>
      <c r="K4462" s="33" t="s">
        <v>1212</v>
      </c>
      <c r="L4462" s="33" t="s">
        <v>18620</v>
      </c>
      <c r="M4462" s="33" t="s">
        <v>21</v>
      </c>
      <c r="N4462" s="33" t="s">
        <v>19116</v>
      </c>
      <c r="P4462" s="33" t="s">
        <v>30089</v>
      </c>
      <c r="Q4462" s="40" t="s">
        <v>18621</v>
      </c>
      <c r="R4462" s="33" t="s">
        <v>23</v>
      </c>
      <c r="S4462" s="33" t="s">
        <v>22</v>
      </c>
      <c r="T4462" s="33" t="s">
        <v>26781</v>
      </c>
      <c r="U4462" s="33" t="s">
        <v>26572</v>
      </c>
      <c r="V4462" s="33" t="s">
        <v>26573</v>
      </c>
      <c r="W4462" s="33" t="s">
        <v>94</v>
      </c>
      <c r="X4462" s="33">
        <v>1089</v>
      </c>
      <c r="Z4462" s="33" t="s">
        <v>42966</v>
      </c>
      <c r="AA4462" s="33">
        <v>3202</v>
      </c>
    </row>
    <row r="4463" spans="1:27" ht="12" customHeight="1" x14ac:dyDescent="0.15">
      <c r="A4463" s="33" t="s">
        <v>18611</v>
      </c>
      <c r="B4463" s="33">
        <v>30</v>
      </c>
      <c r="C4463" s="33" t="s">
        <v>14</v>
      </c>
      <c r="D4463" s="33" t="s">
        <v>885</v>
      </c>
      <c r="E4463" s="33" t="s">
        <v>18610</v>
      </c>
      <c r="F4463" s="67">
        <v>42351</v>
      </c>
      <c r="G4463" s="33" t="s">
        <v>18607</v>
      </c>
      <c r="H4463" s="33" t="s">
        <v>18608</v>
      </c>
      <c r="I4463" s="33" t="s">
        <v>282</v>
      </c>
      <c r="J4463" s="33" t="s">
        <v>19301</v>
      </c>
      <c r="K4463" s="33" t="s">
        <v>6599</v>
      </c>
      <c r="L4463" s="33" t="s">
        <v>18609</v>
      </c>
      <c r="M4463" s="33" t="s">
        <v>21</v>
      </c>
      <c r="N4463" s="33" t="s">
        <v>30077</v>
      </c>
      <c r="P4463" s="33" t="s">
        <v>30089</v>
      </c>
      <c r="Q4463" s="40" t="s">
        <v>18612</v>
      </c>
      <c r="R4463" s="33" t="s">
        <v>23</v>
      </c>
      <c r="S4463" s="33" t="s">
        <v>22</v>
      </c>
      <c r="T4463" s="33" t="s">
        <v>26774</v>
      </c>
      <c r="U4463" s="33" t="s">
        <v>26572</v>
      </c>
      <c r="V4463" s="33" t="s">
        <v>26573</v>
      </c>
      <c r="W4463" s="33" t="s">
        <v>94</v>
      </c>
      <c r="X4463" s="33">
        <v>1084</v>
      </c>
      <c r="Z4463" s="33" t="s">
        <v>42968</v>
      </c>
      <c r="AA4463" s="33">
        <v>3203</v>
      </c>
    </row>
    <row r="4464" spans="1:27" ht="12" customHeight="1" x14ac:dyDescent="0.15">
      <c r="A4464" s="33" t="s">
        <v>18613</v>
      </c>
      <c r="B4464" s="33">
        <v>21</v>
      </c>
      <c r="C4464" s="33" t="s">
        <v>14</v>
      </c>
      <c r="D4464" s="33" t="s">
        <v>31</v>
      </c>
      <c r="E4464" s="33" t="s">
        <v>18617</v>
      </c>
      <c r="F4464" s="67">
        <v>42351</v>
      </c>
      <c r="G4464" s="33" t="s">
        <v>18614</v>
      </c>
      <c r="H4464" s="33" t="s">
        <v>153</v>
      </c>
      <c r="I4464" s="33" t="s">
        <v>67</v>
      </c>
      <c r="J4464" s="33" t="s">
        <v>19302</v>
      </c>
      <c r="K4464" s="33" t="s">
        <v>153</v>
      </c>
      <c r="L4464" s="33" t="s">
        <v>18615</v>
      </c>
      <c r="M4464" s="33" t="s">
        <v>21</v>
      </c>
      <c r="N4464" s="33" t="s">
        <v>19202</v>
      </c>
      <c r="P4464" s="33" t="s">
        <v>30089</v>
      </c>
      <c r="Q4464" s="40" t="s">
        <v>18616</v>
      </c>
      <c r="R4464" s="33" t="s">
        <v>512</v>
      </c>
      <c r="S4464" s="33" t="s">
        <v>22</v>
      </c>
      <c r="T4464" s="33" t="s">
        <v>26627</v>
      </c>
      <c r="U4464" s="33" t="s">
        <v>26570</v>
      </c>
      <c r="V4464" s="33" t="s">
        <v>26573</v>
      </c>
      <c r="W4464" s="33" t="s">
        <v>94</v>
      </c>
      <c r="X4464" s="33">
        <v>1080</v>
      </c>
      <c r="Z4464" s="33" t="s">
        <v>42966</v>
      </c>
      <c r="AA4464" s="33">
        <v>3200</v>
      </c>
    </row>
    <row r="4465" spans="1:27" ht="12" customHeight="1" x14ac:dyDescent="0.15">
      <c r="A4465" s="33" t="s">
        <v>18552</v>
      </c>
      <c r="B4465" s="33">
        <v>51</v>
      </c>
      <c r="C4465" s="33" t="s">
        <v>103</v>
      </c>
      <c r="D4465" s="33" t="s">
        <v>31</v>
      </c>
      <c r="E4465" s="33" t="s">
        <v>18586</v>
      </c>
      <c r="F4465" s="67">
        <v>42351</v>
      </c>
      <c r="G4465" s="33" t="s">
        <v>18553</v>
      </c>
      <c r="H4465" s="33" t="s">
        <v>787</v>
      </c>
      <c r="I4465" s="33" t="s">
        <v>67</v>
      </c>
      <c r="J4465" s="33" t="s">
        <v>19303</v>
      </c>
      <c r="K4465" s="33" t="s">
        <v>68</v>
      </c>
      <c r="L4465" s="33" t="s">
        <v>788</v>
      </c>
      <c r="M4465" s="33" t="s">
        <v>21</v>
      </c>
      <c r="N4465" s="33" t="s">
        <v>18554</v>
      </c>
      <c r="P4465" s="33" t="s">
        <v>30089</v>
      </c>
      <c r="Q4465" s="40" t="s">
        <v>18555</v>
      </c>
      <c r="R4465" s="33" t="s">
        <v>512</v>
      </c>
      <c r="S4465" s="33" t="s">
        <v>22</v>
      </c>
      <c r="T4465" s="33" t="s">
        <v>26781</v>
      </c>
      <c r="U4465" s="33" t="s">
        <v>26572</v>
      </c>
      <c r="V4465" s="33" t="s">
        <v>26573</v>
      </c>
      <c r="W4465" s="33" t="s">
        <v>94</v>
      </c>
      <c r="X4465" s="33">
        <v>1077</v>
      </c>
      <c r="Z4465" s="33" t="s">
        <v>42968</v>
      </c>
      <c r="AA4465" s="33">
        <v>3201</v>
      </c>
    </row>
    <row r="4466" spans="1:27" ht="12" customHeight="1" x14ac:dyDescent="0.15">
      <c r="A4466" s="33" t="s">
        <v>18561</v>
      </c>
      <c r="B4466" s="33">
        <v>28</v>
      </c>
      <c r="C4466" s="33" t="s">
        <v>14</v>
      </c>
      <c r="D4466" s="33" t="s">
        <v>79</v>
      </c>
      <c r="E4466" s="33" t="s">
        <v>18562</v>
      </c>
      <c r="F4466" s="67">
        <v>42350</v>
      </c>
      <c r="G4466" s="33" t="s">
        <v>18563</v>
      </c>
      <c r="H4466" s="33" t="s">
        <v>6899</v>
      </c>
      <c r="I4466" s="33" t="s">
        <v>39</v>
      </c>
      <c r="J4466" s="33" t="s">
        <v>6900</v>
      </c>
      <c r="K4466" s="33" t="s">
        <v>92</v>
      </c>
      <c r="L4466" s="33" t="s">
        <v>386</v>
      </c>
      <c r="M4466" s="33" t="s">
        <v>21</v>
      </c>
      <c r="N4466" s="33" t="s">
        <v>18564</v>
      </c>
      <c r="P4466" s="33" t="s">
        <v>30089</v>
      </c>
      <c r="Q4466" s="40" t="s">
        <v>18565</v>
      </c>
      <c r="R4466" s="33" t="s">
        <v>23</v>
      </c>
      <c r="S4466" s="33" t="s">
        <v>22</v>
      </c>
      <c r="T4466" s="33" t="s">
        <v>26781</v>
      </c>
      <c r="U4466" s="33" t="s">
        <v>26572</v>
      </c>
      <c r="V4466" s="33" t="s">
        <v>26573</v>
      </c>
      <c r="W4466" s="33" t="s">
        <v>94</v>
      </c>
      <c r="X4466" s="33">
        <v>1079</v>
      </c>
      <c r="Z4466" s="33" t="s">
        <v>42966</v>
      </c>
      <c r="AA4466" s="33">
        <v>3193</v>
      </c>
    </row>
    <row r="4467" spans="1:27" ht="12" customHeight="1" x14ac:dyDescent="0.15">
      <c r="A4467" s="33" t="s">
        <v>18556</v>
      </c>
      <c r="B4467" s="33">
        <v>24</v>
      </c>
      <c r="C4467" s="33" t="s">
        <v>14</v>
      </c>
      <c r="D4467" s="33" t="s">
        <v>79</v>
      </c>
      <c r="E4467" s="33" t="s">
        <v>18557</v>
      </c>
      <c r="F4467" s="67">
        <v>42350</v>
      </c>
      <c r="G4467" s="33" t="s">
        <v>18558</v>
      </c>
      <c r="H4467" s="33" t="s">
        <v>1138</v>
      </c>
      <c r="I4467" s="33" t="s">
        <v>298</v>
      </c>
      <c r="J4467" s="33" t="s">
        <v>19305</v>
      </c>
      <c r="K4467" s="33" t="s">
        <v>505</v>
      </c>
      <c r="L4467" s="33" t="s">
        <v>1139</v>
      </c>
      <c r="M4467" s="33" t="s">
        <v>21</v>
      </c>
      <c r="N4467" s="33" t="s">
        <v>18559</v>
      </c>
      <c r="P4467" s="33" t="s">
        <v>30089</v>
      </c>
      <c r="Q4467" s="40" t="s">
        <v>18560</v>
      </c>
      <c r="R4467" s="33" t="s">
        <v>512</v>
      </c>
      <c r="S4467" s="33" t="s">
        <v>22</v>
      </c>
      <c r="T4467" s="33" t="s">
        <v>29419</v>
      </c>
      <c r="U4467" s="33" t="s">
        <v>26572</v>
      </c>
      <c r="V4467" s="33" t="s">
        <v>26573</v>
      </c>
      <c r="W4467" s="33" t="s">
        <v>94</v>
      </c>
      <c r="X4467" s="33">
        <v>1078</v>
      </c>
      <c r="Z4467" s="33" t="s">
        <v>42966</v>
      </c>
      <c r="AA4467" s="33">
        <v>3195</v>
      </c>
    </row>
    <row r="4468" spans="1:27" ht="12" customHeight="1" x14ac:dyDescent="0.15">
      <c r="A4468" s="33" t="s">
        <v>17038</v>
      </c>
      <c r="B4468" s="33" t="s">
        <v>23</v>
      </c>
      <c r="C4468" s="33" t="s">
        <v>14</v>
      </c>
      <c r="D4468" s="33" t="s">
        <v>24</v>
      </c>
      <c r="F4468" s="67">
        <v>42350</v>
      </c>
      <c r="G4468" s="33" t="s">
        <v>18599</v>
      </c>
      <c r="H4468" s="33" t="s">
        <v>3508</v>
      </c>
      <c r="I4468" s="33" t="s">
        <v>192</v>
      </c>
      <c r="J4468" s="33" t="s">
        <v>19304</v>
      </c>
      <c r="K4468" s="33" t="s">
        <v>3510</v>
      </c>
      <c r="L4468" s="33" t="s">
        <v>3511</v>
      </c>
      <c r="M4468" s="33" t="s">
        <v>21</v>
      </c>
      <c r="N4468" s="33" t="s">
        <v>19152</v>
      </c>
      <c r="O4468" s="33" t="s">
        <v>372</v>
      </c>
      <c r="P4468" s="33" t="s">
        <v>30089</v>
      </c>
      <c r="Q4468" s="40" t="s">
        <v>18601</v>
      </c>
      <c r="R4468" s="33" t="s">
        <v>23</v>
      </c>
      <c r="S4468" s="33" t="s">
        <v>22</v>
      </c>
      <c r="T4468" s="33" t="s">
        <v>26774</v>
      </c>
      <c r="U4468" s="33" t="s">
        <v>26572</v>
      </c>
      <c r="W4468" s="33" t="s">
        <v>94</v>
      </c>
      <c r="X4468" s="33">
        <v>1086</v>
      </c>
      <c r="Z4468" s="33" t="s">
        <v>42966</v>
      </c>
      <c r="AA4468" s="33">
        <v>3198</v>
      </c>
    </row>
    <row r="4469" spans="1:27" ht="12" customHeight="1" x14ac:dyDescent="0.15">
      <c r="A4469" s="33" t="s">
        <v>18566</v>
      </c>
      <c r="B4469" s="33">
        <v>25</v>
      </c>
      <c r="C4469" s="33" t="s">
        <v>14</v>
      </c>
      <c r="D4469" s="33" t="s">
        <v>79</v>
      </c>
      <c r="E4469" s="33" t="s">
        <v>18567</v>
      </c>
      <c r="F4469" s="67">
        <v>42350</v>
      </c>
      <c r="G4469" s="33" t="s">
        <v>18568</v>
      </c>
      <c r="H4469" s="33" t="s">
        <v>197</v>
      </c>
      <c r="I4469" s="33" t="s">
        <v>198</v>
      </c>
      <c r="J4469" s="33" t="s">
        <v>14950</v>
      </c>
      <c r="K4469" s="33" t="s">
        <v>392</v>
      </c>
      <c r="L4469" s="33" t="s">
        <v>199</v>
      </c>
      <c r="M4469" s="33" t="s">
        <v>21</v>
      </c>
      <c r="N4469" s="33" t="s">
        <v>18569</v>
      </c>
      <c r="P4469" s="33" t="s">
        <v>30089</v>
      </c>
      <c r="Q4469" s="40" t="s">
        <v>18570</v>
      </c>
      <c r="R4469" s="33" t="s">
        <v>512</v>
      </c>
      <c r="S4469" s="33" t="s">
        <v>22</v>
      </c>
      <c r="T4469" s="33" t="s">
        <v>26774</v>
      </c>
      <c r="U4469" s="33" t="s">
        <v>26572</v>
      </c>
      <c r="V4469" s="33" t="s">
        <v>26573</v>
      </c>
      <c r="W4469" s="33" t="s">
        <v>94</v>
      </c>
      <c r="X4469" s="33">
        <v>1076</v>
      </c>
      <c r="Z4469" s="33" t="s">
        <v>42966</v>
      </c>
      <c r="AA4469" s="33">
        <v>3196</v>
      </c>
    </row>
    <row r="4470" spans="1:27" ht="12" customHeight="1" x14ac:dyDescent="0.15">
      <c r="A4470" s="33" t="s">
        <v>19249</v>
      </c>
      <c r="B4470" s="33">
        <v>36</v>
      </c>
      <c r="C4470" s="33" t="s">
        <v>14</v>
      </c>
      <c r="D4470" s="33" t="s">
        <v>31</v>
      </c>
      <c r="E4470" s="33" t="s">
        <v>19250</v>
      </c>
      <c r="F4470" s="67">
        <v>42350</v>
      </c>
      <c r="G4470" s="33" t="s">
        <v>19251</v>
      </c>
      <c r="H4470" s="33" t="s">
        <v>19252</v>
      </c>
      <c r="I4470" s="33" t="s">
        <v>367</v>
      </c>
      <c r="J4470" s="33" t="s">
        <v>19253</v>
      </c>
      <c r="K4470" s="33" t="s">
        <v>761</v>
      </c>
      <c r="L4470" s="33" t="s">
        <v>19254</v>
      </c>
      <c r="M4470" s="33" t="s">
        <v>21</v>
      </c>
      <c r="N4470" s="33" t="s">
        <v>19255</v>
      </c>
      <c r="O4470" s="33" t="s">
        <v>372</v>
      </c>
      <c r="P4470" s="33" t="s">
        <v>30089</v>
      </c>
      <c r="Q4470" s="40" t="s">
        <v>19256</v>
      </c>
      <c r="R4470" s="33" t="s">
        <v>94</v>
      </c>
      <c r="S4470" s="33" t="s">
        <v>22</v>
      </c>
      <c r="T4470" s="33" t="s">
        <v>27803</v>
      </c>
      <c r="U4470" s="33" t="s">
        <v>26572</v>
      </c>
      <c r="V4470" s="33" t="s">
        <v>26573</v>
      </c>
      <c r="W4470" s="33" t="s">
        <v>94</v>
      </c>
      <c r="X4470" s="33">
        <v>1081</v>
      </c>
      <c r="Z4470" s="33" t="s">
        <v>42967</v>
      </c>
      <c r="AA4470" s="33">
        <v>3199</v>
      </c>
    </row>
    <row r="4471" spans="1:27" ht="12" customHeight="1" x14ac:dyDescent="0.15">
      <c r="A4471" s="33" t="s">
        <v>18644</v>
      </c>
      <c r="B4471" s="33">
        <v>20</v>
      </c>
      <c r="C4471" s="33" t="s">
        <v>14</v>
      </c>
      <c r="D4471" s="33" t="s">
        <v>31</v>
      </c>
      <c r="F4471" s="67">
        <v>42350</v>
      </c>
      <c r="G4471" s="33" t="s">
        <v>18649</v>
      </c>
      <c r="H4471" s="33" t="s">
        <v>18648</v>
      </c>
      <c r="I4471" s="33" t="s">
        <v>376</v>
      </c>
      <c r="J4471" s="33" t="s">
        <v>19307</v>
      </c>
      <c r="K4471" s="33" t="s">
        <v>1037</v>
      </c>
      <c r="L4471" s="33" t="s">
        <v>18646</v>
      </c>
      <c r="M4471" s="33" t="s">
        <v>21</v>
      </c>
      <c r="N4471" s="33" t="s">
        <v>18647</v>
      </c>
      <c r="P4471" s="33" t="s">
        <v>30089</v>
      </c>
      <c r="Q4471" s="40" t="s">
        <v>18645</v>
      </c>
      <c r="R4471" s="33" t="s">
        <v>512</v>
      </c>
      <c r="S4471" s="33" t="s">
        <v>22</v>
      </c>
      <c r="T4471" s="33" t="s">
        <v>26781</v>
      </c>
      <c r="U4471" s="33" t="s">
        <v>26572</v>
      </c>
      <c r="V4471" s="33" t="s">
        <v>26573</v>
      </c>
      <c r="W4471" s="33" t="s">
        <v>94</v>
      </c>
      <c r="X4471" s="33">
        <v>1082</v>
      </c>
      <c r="Z4471" s="33" t="s">
        <v>42968</v>
      </c>
      <c r="AA4471" s="33">
        <v>3194</v>
      </c>
    </row>
    <row r="4472" spans="1:27" ht="12" customHeight="1" x14ac:dyDescent="0.15">
      <c r="A4472" s="33" t="s">
        <v>19149</v>
      </c>
      <c r="B4472" s="33">
        <v>49</v>
      </c>
      <c r="C4472" s="33" t="s">
        <v>14</v>
      </c>
      <c r="D4472" s="33" t="s">
        <v>42</v>
      </c>
      <c r="F4472" s="67">
        <v>42350</v>
      </c>
      <c r="G4472" s="33" t="s">
        <v>18600</v>
      </c>
      <c r="H4472" s="33" t="s">
        <v>288</v>
      </c>
      <c r="I4472" s="33" t="s">
        <v>39</v>
      </c>
      <c r="J4472" s="33" t="s">
        <v>7047</v>
      </c>
      <c r="K4472" s="33" t="s">
        <v>288</v>
      </c>
      <c r="L4472" s="33" t="s">
        <v>3983</v>
      </c>
      <c r="M4472" s="33" t="s">
        <v>21</v>
      </c>
      <c r="N4472" s="33" t="s">
        <v>19151</v>
      </c>
      <c r="P4472" s="33" t="s">
        <v>30089</v>
      </c>
      <c r="Q4472" s="40" t="s">
        <v>18602</v>
      </c>
      <c r="R4472" s="33" t="s">
        <v>23</v>
      </c>
      <c r="S4472" s="33" t="s">
        <v>22</v>
      </c>
      <c r="T4472" s="33" t="s">
        <v>26774</v>
      </c>
      <c r="U4472" s="33" t="s">
        <v>26572</v>
      </c>
      <c r="W4472" s="33" t="s">
        <v>94</v>
      </c>
      <c r="X4472" s="33">
        <v>1083</v>
      </c>
      <c r="Z4472" s="33" t="s">
        <v>42966</v>
      </c>
      <c r="AA4472" s="33">
        <v>3197</v>
      </c>
    </row>
    <row r="4473" spans="1:27" ht="12" customHeight="1" x14ac:dyDescent="0.15">
      <c r="A4473" s="33" t="s">
        <v>18605</v>
      </c>
      <c r="B4473" s="33">
        <v>36</v>
      </c>
      <c r="C4473" s="33" t="s">
        <v>14</v>
      </c>
      <c r="D4473" s="33" t="s">
        <v>31</v>
      </c>
      <c r="E4473" s="33" t="s">
        <v>18606</v>
      </c>
      <c r="F4473" s="67">
        <v>42349</v>
      </c>
      <c r="G4473" s="33" t="s">
        <v>18603</v>
      </c>
      <c r="H4473" s="33" t="s">
        <v>518</v>
      </c>
      <c r="I4473" s="33" t="s">
        <v>112</v>
      </c>
      <c r="J4473" s="33" t="s">
        <v>19308</v>
      </c>
      <c r="K4473" s="33" t="s">
        <v>519</v>
      </c>
      <c r="L4473" s="33" t="s">
        <v>11583</v>
      </c>
      <c r="M4473" s="33" t="s">
        <v>21</v>
      </c>
      <c r="N4473" s="33" t="s">
        <v>19120</v>
      </c>
      <c r="O4473" s="33" t="s">
        <v>372</v>
      </c>
      <c r="P4473" s="33" t="s">
        <v>30089</v>
      </c>
      <c r="Q4473" s="40" t="s">
        <v>18604</v>
      </c>
      <c r="R4473" s="33" t="s">
        <v>23</v>
      </c>
      <c r="S4473" s="33" t="s">
        <v>12</v>
      </c>
      <c r="T4473" s="33" t="s">
        <v>29705</v>
      </c>
      <c r="U4473" s="33" t="s">
        <v>26572</v>
      </c>
      <c r="V4473" s="33" t="s">
        <v>26573</v>
      </c>
      <c r="W4473" s="33" t="s">
        <v>94</v>
      </c>
      <c r="X4473" s="33">
        <v>1075</v>
      </c>
      <c r="Z4473" s="33" t="s">
        <v>42968</v>
      </c>
      <c r="AA4473" s="33">
        <v>3192</v>
      </c>
    </row>
    <row r="4474" spans="1:27" ht="12" customHeight="1" x14ac:dyDescent="0.15">
      <c r="A4474" s="33" t="s">
        <v>17038</v>
      </c>
      <c r="B4474" s="33" t="s">
        <v>23</v>
      </c>
      <c r="C4474" s="33" t="s">
        <v>14</v>
      </c>
      <c r="D4474" s="33" t="s">
        <v>24</v>
      </c>
      <c r="F4474" s="67">
        <v>42348</v>
      </c>
      <c r="G4474" s="33" t="s">
        <v>18594</v>
      </c>
      <c r="H4474" s="33" t="s">
        <v>727</v>
      </c>
      <c r="I4474" s="33" t="s">
        <v>39</v>
      </c>
      <c r="J4474" s="33" t="s">
        <v>19279</v>
      </c>
      <c r="K4474" s="33" t="s">
        <v>728</v>
      </c>
      <c r="L4474" s="33" t="s">
        <v>18596</v>
      </c>
      <c r="M4474" s="33" t="s">
        <v>21</v>
      </c>
      <c r="N4474" s="33" t="s">
        <v>19153</v>
      </c>
      <c r="P4474" s="33" t="s">
        <v>30089</v>
      </c>
      <c r="Q4474" s="40" t="s">
        <v>18598</v>
      </c>
      <c r="R4474" s="33" t="s">
        <v>23</v>
      </c>
      <c r="S4474" s="33" t="s">
        <v>22</v>
      </c>
      <c r="T4474" s="33" t="s">
        <v>26781</v>
      </c>
      <c r="U4474" s="33" t="s">
        <v>26572</v>
      </c>
      <c r="V4474" s="33" t="s">
        <v>26573</v>
      </c>
      <c r="W4474" s="33" t="s">
        <v>94</v>
      </c>
      <c r="X4474" s="33">
        <v>1074</v>
      </c>
      <c r="Z4474" s="33" t="s">
        <v>42968</v>
      </c>
      <c r="AA4474" s="33">
        <v>3190</v>
      </c>
    </row>
    <row r="4475" spans="1:27" ht="12" customHeight="1" x14ac:dyDescent="0.15">
      <c r="A4475" s="33" t="s">
        <v>18491</v>
      </c>
      <c r="B4475" s="33">
        <v>55</v>
      </c>
      <c r="C4475" s="33" t="s">
        <v>14</v>
      </c>
      <c r="D4475" s="33" t="s">
        <v>79</v>
      </c>
      <c r="E4475" s="33" t="s">
        <v>18492</v>
      </c>
      <c r="F4475" s="67">
        <v>42348</v>
      </c>
      <c r="G4475" s="33" t="s">
        <v>18493</v>
      </c>
      <c r="H4475" s="33" t="s">
        <v>18494</v>
      </c>
      <c r="I4475" s="33" t="s">
        <v>26</v>
      </c>
      <c r="J4475" s="33" t="s">
        <v>18334</v>
      </c>
      <c r="K4475" s="33" t="s">
        <v>27</v>
      </c>
      <c r="L4475" s="33" t="s">
        <v>28</v>
      </c>
      <c r="M4475" s="33" t="s">
        <v>21</v>
      </c>
      <c r="N4475" s="33" t="s">
        <v>19121</v>
      </c>
      <c r="P4475" s="33" t="s">
        <v>30089</v>
      </c>
      <c r="Q4475" s="40" t="s">
        <v>18495</v>
      </c>
      <c r="R4475" s="33" t="s">
        <v>23</v>
      </c>
      <c r="S4475" s="33" t="s">
        <v>22</v>
      </c>
      <c r="T4475" s="33" t="s">
        <v>26781</v>
      </c>
      <c r="U4475" s="33" t="s">
        <v>26572</v>
      </c>
      <c r="V4475" s="33" t="s">
        <v>26573</v>
      </c>
      <c r="W4475" s="33" t="s">
        <v>94</v>
      </c>
      <c r="X4475" s="33">
        <v>1072</v>
      </c>
      <c r="Z4475" s="33" t="s">
        <v>42968</v>
      </c>
      <c r="AA4475" s="33">
        <v>3189</v>
      </c>
    </row>
    <row r="4476" spans="1:27" ht="12" customHeight="1" x14ac:dyDescent="0.15">
      <c r="A4476" s="33" t="s">
        <v>18571</v>
      </c>
      <c r="B4476" s="33">
        <v>34</v>
      </c>
      <c r="C4476" s="33" t="s">
        <v>14</v>
      </c>
      <c r="D4476" s="33" t="s">
        <v>31</v>
      </c>
      <c r="E4476" s="33" t="s">
        <v>18572</v>
      </c>
      <c r="F4476" s="67">
        <v>42348</v>
      </c>
      <c r="G4476" s="33" t="s">
        <v>18573</v>
      </c>
      <c r="H4476" s="33" t="s">
        <v>197</v>
      </c>
      <c r="I4476" s="33" t="s">
        <v>198</v>
      </c>
      <c r="J4476" s="33" t="s">
        <v>2820</v>
      </c>
      <c r="K4476" s="33" t="s">
        <v>392</v>
      </c>
      <c r="L4476" s="33" t="s">
        <v>199</v>
      </c>
      <c r="M4476" s="33" t="s">
        <v>21</v>
      </c>
      <c r="N4476" s="33" t="s">
        <v>18574</v>
      </c>
      <c r="P4476" s="33" t="s">
        <v>30089</v>
      </c>
      <c r="Q4476" s="40" t="s">
        <v>18575</v>
      </c>
      <c r="R4476" s="33" t="s">
        <v>23</v>
      </c>
      <c r="S4476" s="33" t="s">
        <v>22</v>
      </c>
      <c r="T4476" s="33" t="s">
        <v>26781</v>
      </c>
      <c r="U4476" s="33" t="s">
        <v>26572</v>
      </c>
      <c r="V4476" s="33" t="s">
        <v>26573</v>
      </c>
      <c r="W4476" s="33" t="s">
        <v>94</v>
      </c>
      <c r="X4476" s="33">
        <v>1071</v>
      </c>
      <c r="Z4476" s="33" t="s">
        <v>42968</v>
      </c>
      <c r="AA4476" s="33">
        <v>3188</v>
      </c>
    </row>
    <row r="4477" spans="1:27" ht="12" customHeight="1" x14ac:dyDescent="0.15">
      <c r="A4477" s="33" t="s">
        <v>18591</v>
      </c>
      <c r="B4477" s="33">
        <v>54</v>
      </c>
      <c r="C4477" s="33" t="s">
        <v>14</v>
      </c>
      <c r="D4477" s="33" t="s">
        <v>31</v>
      </c>
      <c r="E4477" s="33" t="s">
        <v>18818</v>
      </c>
      <c r="F4477" s="67">
        <v>42348</v>
      </c>
      <c r="G4477" s="33" t="s">
        <v>18592</v>
      </c>
      <c r="H4477" s="33" t="s">
        <v>18593</v>
      </c>
      <c r="I4477" s="33" t="s">
        <v>39</v>
      </c>
      <c r="J4477" s="33" t="s">
        <v>19309</v>
      </c>
      <c r="K4477" s="33" t="s">
        <v>59</v>
      </c>
      <c r="L4477" s="33" t="s">
        <v>18595</v>
      </c>
      <c r="M4477" s="33" t="s">
        <v>21</v>
      </c>
      <c r="N4477" s="33" t="s">
        <v>19122</v>
      </c>
      <c r="P4477" s="33" t="s">
        <v>30089</v>
      </c>
      <c r="Q4477" s="40" t="s">
        <v>18597</v>
      </c>
      <c r="R4477" s="33" t="s">
        <v>23</v>
      </c>
      <c r="S4477" s="33" t="s">
        <v>22</v>
      </c>
      <c r="T4477" s="33" t="s">
        <v>26774</v>
      </c>
      <c r="U4477" s="33" t="s">
        <v>26572</v>
      </c>
      <c r="V4477" s="33" t="s">
        <v>26573</v>
      </c>
      <c r="W4477" s="33" t="s">
        <v>94</v>
      </c>
      <c r="X4477" s="33">
        <v>1073</v>
      </c>
      <c r="Z4477" s="33" t="s">
        <v>42968</v>
      </c>
      <c r="AA4477" s="33">
        <v>3191</v>
      </c>
    </row>
    <row r="4478" spans="1:27" ht="12" customHeight="1" x14ac:dyDescent="0.15">
      <c r="A4478" s="33" t="s">
        <v>18486</v>
      </c>
      <c r="B4478" s="33">
        <v>51</v>
      </c>
      <c r="C4478" s="33" t="s">
        <v>14</v>
      </c>
      <c r="D4478" s="33" t="s">
        <v>31</v>
      </c>
      <c r="E4478" s="33" t="s">
        <v>18999</v>
      </c>
      <c r="F4478" s="67">
        <v>42347</v>
      </c>
      <c r="G4478" s="33" t="s">
        <v>18487</v>
      </c>
      <c r="H4478" s="33" t="s">
        <v>18488</v>
      </c>
      <c r="I4478" s="33" t="s">
        <v>367</v>
      </c>
      <c r="J4478" s="33" t="s">
        <v>16414</v>
      </c>
      <c r="K4478" s="33" t="s">
        <v>11192</v>
      </c>
      <c r="L4478" s="33" t="s">
        <v>18489</v>
      </c>
      <c r="M4478" s="33" t="s">
        <v>21</v>
      </c>
      <c r="N4478" s="33" t="s">
        <v>19124</v>
      </c>
      <c r="P4478" s="33" t="s">
        <v>30089</v>
      </c>
      <c r="Q4478" s="40" t="s">
        <v>18490</v>
      </c>
      <c r="R4478" s="33" t="s">
        <v>512</v>
      </c>
      <c r="S4478" s="33" t="s">
        <v>22</v>
      </c>
      <c r="T4478" s="33" t="s">
        <v>26781</v>
      </c>
      <c r="U4478" s="33" t="s">
        <v>26572</v>
      </c>
      <c r="V4478" s="33" t="s">
        <v>26573</v>
      </c>
      <c r="W4478" s="33" t="s">
        <v>94</v>
      </c>
      <c r="X4478" s="33">
        <v>1070</v>
      </c>
      <c r="Z4478" s="33" t="s">
        <v>42967</v>
      </c>
      <c r="AA4478" s="33">
        <v>3187</v>
      </c>
    </row>
    <row r="4479" spans="1:27" ht="12" customHeight="1" x14ac:dyDescent="0.15">
      <c r="A4479" s="33" t="s">
        <v>18483</v>
      </c>
      <c r="B4479" s="33">
        <v>32</v>
      </c>
      <c r="C4479" s="33" t="s">
        <v>14</v>
      </c>
      <c r="D4479" s="33" t="s">
        <v>79</v>
      </c>
      <c r="E4479" s="33" t="s">
        <v>18482</v>
      </c>
      <c r="F4479" s="67">
        <v>42347</v>
      </c>
      <c r="G4479" s="33" t="s">
        <v>18484</v>
      </c>
      <c r="H4479" s="33" t="s">
        <v>3212</v>
      </c>
      <c r="I4479" s="33" t="s">
        <v>56</v>
      </c>
      <c r="J4479" s="33" t="s">
        <v>8982</v>
      </c>
      <c r="K4479" s="33" t="s">
        <v>3214</v>
      </c>
      <c r="L4479" s="33" t="s">
        <v>3215</v>
      </c>
      <c r="M4479" s="33" t="s">
        <v>21</v>
      </c>
      <c r="N4479" s="33" t="s">
        <v>19123</v>
      </c>
      <c r="P4479" s="33" t="s">
        <v>30089</v>
      </c>
      <c r="Q4479" s="40" t="s">
        <v>18485</v>
      </c>
      <c r="R4479" s="33" t="s">
        <v>23</v>
      </c>
      <c r="S4479" s="33" t="s">
        <v>22</v>
      </c>
      <c r="T4479" s="1" t="s">
        <v>26781</v>
      </c>
      <c r="Y4479" s="33" t="s">
        <v>42476</v>
      </c>
      <c r="Z4479" s="33" t="s">
        <v>42966</v>
      </c>
      <c r="AA4479" s="33">
        <v>3185</v>
      </c>
    </row>
    <row r="4480" spans="1:27" ht="12" customHeight="1" x14ac:dyDescent="0.15">
      <c r="A4480" s="33" t="s">
        <v>18497</v>
      </c>
      <c r="B4480" s="33">
        <v>66</v>
      </c>
      <c r="C4480" s="33" t="s">
        <v>14</v>
      </c>
      <c r="D4480" s="33" t="s">
        <v>31</v>
      </c>
      <c r="E4480" s="33" t="s">
        <v>18496</v>
      </c>
      <c r="F4480" s="67">
        <v>42347</v>
      </c>
      <c r="G4480" s="33" t="s">
        <v>18515</v>
      </c>
      <c r="H4480" s="33" t="s">
        <v>18514</v>
      </c>
      <c r="I4480" s="33" t="s">
        <v>294</v>
      </c>
      <c r="J4480" s="33" t="s">
        <v>19311</v>
      </c>
      <c r="K4480" s="33" t="s">
        <v>18016</v>
      </c>
      <c r="L4480" s="33" t="s">
        <v>18258</v>
      </c>
      <c r="M4480" s="33" t="s">
        <v>21</v>
      </c>
      <c r="N4480" s="33" t="s">
        <v>18516</v>
      </c>
      <c r="P4480" s="33" t="s">
        <v>30089</v>
      </c>
      <c r="Q4480" s="40" t="s">
        <v>18499</v>
      </c>
      <c r="R4480" s="33" t="s">
        <v>23</v>
      </c>
      <c r="S4480" s="33" t="s">
        <v>22</v>
      </c>
      <c r="T4480" s="33" t="s">
        <v>26781</v>
      </c>
      <c r="U4480" s="33" t="s">
        <v>26572</v>
      </c>
      <c r="V4480" s="33" t="s">
        <v>26573</v>
      </c>
      <c r="W4480" s="33" t="s">
        <v>94</v>
      </c>
      <c r="X4480" s="33">
        <v>1069</v>
      </c>
      <c r="Z4480" s="33" t="s">
        <v>42967</v>
      </c>
      <c r="AA4480" s="33">
        <v>3186</v>
      </c>
    </row>
    <row r="4481" spans="1:27" ht="12" customHeight="1" x14ac:dyDescent="0.15">
      <c r="A4481" s="33" t="s">
        <v>18478</v>
      </c>
      <c r="B4481" s="33">
        <v>36</v>
      </c>
      <c r="C4481" s="33" t="s">
        <v>14</v>
      </c>
      <c r="D4481" s="33" t="s">
        <v>79</v>
      </c>
      <c r="E4481" s="33" t="s">
        <v>18479</v>
      </c>
      <c r="F4481" s="67">
        <v>42346</v>
      </c>
      <c r="G4481" s="33" t="s">
        <v>18480</v>
      </c>
      <c r="H4481" s="33" t="s">
        <v>8383</v>
      </c>
      <c r="I4481" s="33" t="s">
        <v>395</v>
      </c>
      <c r="J4481" s="33" t="s">
        <v>19312</v>
      </c>
      <c r="K4481" s="33" t="s">
        <v>538</v>
      </c>
      <c r="L4481" s="33" t="s">
        <v>539</v>
      </c>
      <c r="M4481" s="33" t="s">
        <v>21</v>
      </c>
      <c r="N4481" s="33" t="s">
        <v>21412</v>
      </c>
      <c r="P4481" s="33" t="s">
        <v>30089</v>
      </c>
      <c r="Q4481" s="40" t="s">
        <v>18481</v>
      </c>
      <c r="R4481" s="33" t="s">
        <v>23</v>
      </c>
      <c r="S4481" s="33" t="s">
        <v>12</v>
      </c>
      <c r="T4481" s="33" t="s">
        <v>29705</v>
      </c>
      <c r="U4481" s="33" t="s">
        <v>26570</v>
      </c>
      <c r="V4481" s="33" t="s">
        <v>26574</v>
      </c>
      <c r="W4481" s="33" t="s">
        <v>94</v>
      </c>
      <c r="X4481" s="33">
        <v>1067</v>
      </c>
      <c r="Z4481" s="33" t="s">
        <v>42966</v>
      </c>
      <c r="AA4481" s="33">
        <v>3183</v>
      </c>
    </row>
    <row r="4482" spans="1:27" ht="12" customHeight="1" x14ac:dyDescent="0.15">
      <c r="A4482" s="33" t="s">
        <v>19242</v>
      </c>
      <c r="B4482" s="33">
        <v>40</v>
      </c>
      <c r="C4482" s="33" t="s">
        <v>14</v>
      </c>
      <c r="D4482" s="33" t="s">
        <v>31</v>
      </c>
      <c r="E4482" s="33" t="s">
        <v>19243</v>
      </c>
      <c r="F4482" s="67">
        <v>42346</v>
      </c>
      <c r="G4482" s="33" t="s">
        <v>19244</v>
      </c>
      <c r="H4482" s="33" t="s">
        <v>19245</v>
      </c>
      <c r="I4482" s="33" t="s">
        <v>225</v>
      </c>
      <c r="J4482" s="33" t="s">
        <v>19246</v>
      </c>
      <c r="K4482" s="33" t="s">
        <v>19245</v>
      </c>
      <c r="L4482" s="33" t="s">
        <v>36742</v>
      </c>
      <c r="M4482" s="33" t="s">
        <v>363</v>
      </c>
      <c r="N4482" s="33" t="s">
        <v>19247</v>
      </c>
      <c r="O4482" s="33" t="s">
        <v>372</v>
      </c>
      <c r="P4482" s="33" t="s">
        <v>30089</v>
      </c>
      <c r="Q4482" s="40" t="s">
        <v>19248</v>
      </c>
      <c r="R4482" s="33" t="s">
        <v>94</v>
      </c>
      <c r="S4482" s="1" t="s">
        <v>12</v>
      </c>
      <c r="T4482" s="33" t="s">
        <v>26867</v>
      </c>
      <c r="Z4482" s="33" t="s">
        <v>42967</v>
      </c>
      <c r="AA4482" s="33">
        <v>3184</v>
      </c>
    </row>
    <row r="4483" spans="1:27" ht="12" customHeight="1" x14ac:dyDescent="0.15">
      <c r="A4483" s="33" t="s">
        <v>18500</v>
      </c>
      <c r="B4483" s="33">
        <v>33</v>
      </c>
      <c r="C4483" s="33" t="s">
        <v>14</v>
      </c>
      <c r="D4483" s="33" t="s">
        <v>79</v>
      </c>
      <c r="E4483" s="33" t="s">
        <v>18498</v>
      </c>
      <c r="F4483" s="67">
        <v>42346</v>
      </c>
      <c r="G4483" s="33" t="s">
        <v>18527</v>
      </c>
      <c r="H4483" s="33" t="s">
        <v>924</v>
      </c>
      <c r="I4483" s="33" t="s">
        <v>63</v>
      </c>
      <c r="J4483" s="33" t="s">
        <v>19310</v>
      </c>
      <c r="K4483" s="33" t="s">
        <v>95</v>
      </c>
      <c r="L4483" s="33" t="s">
        <v>18528</v>
      </c>
      <c r="M4483" s="33" t="s">
        <v>21</v>
      </c>
      <c r="N4483" s="33" t="s">
        <v>18517</v>
      </c>
      <c r="P4483" s="33" t="s">
        <v>30089</v>
      </c>
      <c r="Q4483" s="40" t="s">
        <v>18502</v>
      </c>
      <c r="R4483" s="33" t="s">
        <v>23</v>
      </c>
      <c r="S4483" s="33" t="s">
        <v>22</v>
      </c>
      <c r="T4483" s="33" t="s">
        <v>26781</v>
      </c>
      <c r="U4483" s="33" t="s">
        <v>26572</v>
      </c>
      <c r="V4483" s="33" t="s">
        <v>26573</v>
      </c>
      <c r="W4483" s="33" t="s">
        <v>94</v>
      </c>
      <c r="X4483" s="33">
        <v>1068</v>
      </c>
      <c r="Z4483" s="33" t="s">
        <v>42966</v>
      </c>
      <c r="AA4483" s="33">
        <v>3182</v>
      </c>
    </row>
    <row r="4484" spans="1:27" ht="12" customHeight="1" x14ac:dyDescent="0.15">
      <c r="A4484" s="33" t="s">
        <v>18503</v>
      </c>
      <c r="B4484" s="33">
        <v>30</v>
      </c>
      <c r="C4484" s="33" t="s">
        <v>14</v>
      </c>
      <c r="D4484" s="33" t="s">
        <v>79</v>
      </c>
      <c r="E4484" s="33" t="s">
        <v>18501</v>
      </c>
      <c r="F4484" s="67">
        <v>42345</v>
      </c>
      <c r="G4484" s="33" t="s">
        <v>18526</v>
      </c>
      <c r="H4484" s="33" t="s">
        <v>700</v>
      </c>
      <c r="I4484" s="33" t="s">
        <v>395</v>
      </c>
      <c r="J4484" s="33" t="s">
        <v>19313</v>
      </c>
      <c r="K4484" s="33" t="s">
        <v>2474</v>
      </c>
      <c r="L4484" s="33" t="s">
        <v>539</v>
      </c>
      <c r="M4484" s="33" t="s">
        <v>21</v>
      </c>
      <c r="N4484" s="33" t="s">
        <v>18518</v>
      </c>
      <c r="P4484" s="33" t="s">
        <v>30089</v>
      </c>
      <c r="Q4484" s="40" t="s">
        <v>18504</v>
      </c>
      <c r="R4484" s="33" t="s">
        <v>23</v>
      </c>
      <c r="S4484" s="33" t="s">
        <v>22</v>
      </c>
      <c r="T4484" s="1" t="s">
        <v>26781</v>
      </c>
      <c r="Y4484" s="33" t="s">
        <v>42476</v>
      </c>
      <c r="Z4484" s="33" t="s">
        <v>42966</v>
      </c>
      <c r="AA4484" s="33">
        <v>3181</v>
      </c>
    </row>
    <row r="4485" spans="1:27" ht="12" customHeight="1" x14ac:dyDescent="0.15">
      <c r="A4485" s="33" t="s">
        <v>18474</v>
      </c>
      <c r="B4485" s="33">
        <v>48</v>
      </c>
      <c r="C4485" s="33" t="s">
        <v>14</v>
      </c>
      <c r="D4485" s="33" t="s">
        <v>31</v>
      </c>
      <c r="E4485" s="33" t="s">
        <v>18471</v>
      </c>
      <c r="F4485" s="67">
        <v>42344</v>
      </c>
      <c r="G4485" s="33" t="s">
        <v>18475</v>
      </c>
      <c r="H4485" s="33" t="s">
        <v>1158</v>
      </c>
      <c r="I4485" s="33" t="s">
        <v>1020</v>
      </c>
      <c r="J4485" s="33" t="s">
        <v>19314</v>
      </c>
      <c r="K4485" s="33" t="s">
        <v>2870</v>
      </c>
      <c r="L4485" s="33" t="s">
        <v>18476</v>
      </c>
      <c r="M4485" s="33" t="s">
        <v>21</v>
      </c>
      <c r="N4485" s="33" t="s">
        <v>19155</v>
      </c>
      <c r="P4485" s="33" t="s">
        <v>30089</v>
      </c>
      <c r="Q4485" s="40" t="s">
        <v>18477</v>
      </c>
      <c r="R4485" s="33" t="s">
        <v>512</v>
      </c>
      <c r="S4485" s="33" t="s">
        <v>22</v>
      </c>
      <c r="T4485" s="33" t="s">
        <v>26774</v>
      </c>
      <c r="U4485" s="33" t="s">
        <v>26570</v>
      </c>
      <c r="V4485" s="33" t="s">
        <v>26573</v>
      </c>
      <c r="W4485" s="33" t="s">
        <v>94</v>
      </c>
      <c r="X4485" s="33">
        <v>1065</v>
      </c>
      <c r="Z4485" s="33" t="s">
        <v>42968</v>
      </c>
      <c r="AA4485" s="33">
        <v>3180</v>
      </c>
    </row>
    <row r="4486" spans="1:27" ht="12" customHeight="1" x14ac:dyDescent="0.15">
      <c r="A4486" s="33" t="s">
        <v>18505</v>
      </c>
      <c r="B4486" s="33">
        <v>46</v>
      </c>
      <c r="C4486" s="33" t="s">
        <v>14</v>
      </c>
      <c r="D4486" s="33" t="s">
        <v>79</v>
      </c>
      <c r="F4486" s="67">
        <v>42344</v>
      </c>
      <c r="G4486" s="33" t="s">
        <v>18521</v>
      </c>
      <c r="H4486" s="33" t="s">
        <v>18522</v>
      </c>
      <c r="I4486" s="33" t="s">
        <v>63</v>
      </c>
      <c r="J4486" s="33" t="s">
        <v>19315</v>
      </c>
      <c r="K4486" s="33" t="s">
        <v>95</v>
      </c>
      <c r="L4486" s="33" t="s">
        <v>18523</v>
      </c>
      <c r="M4486" s="33" t="s">
        <v>21</v>
      </c>
      <c r="N4486" s="33" t="s">
        <v>18524</v>
      </c>
      <c r="P4486" s="33" t="s">
        <v>30089</v>
      </c>
      <c r="Q4486" s="40" t="s">
        <v>18506</v>
      </c>
      <c r="R4486" s="33" t="s">
        <v>512</v>
      </c>
      <c r="S4486" s="33" t="s">
        <v>22</v>
      </c>
      <c r="T4486" s="33" t="s">
        <v>26781</v>
      </c>
      <c r="U4486" s="33" t="s">
        <v>26572</v>
      </c>
      <c r="V4486" s="33" t="s">
        <v>26573</v>
      </c>
      <c r="W4486" s="33" t="s">
        <v>94</v>
      </c>
      <c r="X4486" s="33">
        <v>1064</v>
      </c>
      <c r="Z4486" s="33" t="s">
        <v>42968</v>
      </c>
      <c r="AA4486" s="33">
        <v>3179</v>
      </c>
    </row>
    <row r="4487" spans="1:27" ht="12" customHeight="1" x14ac:dyDescent="0.15">
      <c r="A4487" s="33" t="s">
        <v>18470</v>
      </c>
      <c r="B4487" s="33">
        <v>35</v>
      </c>
      <c r="C4487" s="33" t="s">
        <v>14</v>
      </c>
      <c r="D4487" s="33" t="s">
        <v>31</v>
      </c>
      <c r="F4487" s="67">
        <v>42344</v>
      </c>
      <c r="G4487" s="33" t="s">
        <v>18472</v>
      </c>
      <c r="H4487" s="33" t="s">
        <v>1132</v>
      </c>
      <c r="I4487" s="33" t="s">
        <v>282</v>
      </c>
      <c r="J4487" s="33" t="s">
        <v>19590</v>
      </c>
      <c r="K4487" s="33" t="s">
        <v>1133</v>
      </c>
      <c r="L4487" s="33" t="s">
        <v>1134</v>
      </c>
      <c r="M4487" s="33" t="s">
        <v>21</v>
      </c>
      <c r="N4487" s="33" t="s">
        <v>19154</v>
      </c>
      <c r="P4487" s="33" t="s">
        <v>30089</v>
      </c>
      <c r="Q4487" s="40" t="s">
        <v>18473</v>
      </c>
      <c r="R4487" s="33" t="s">
        <v>23</v>
      </c>
      <c r="S4487" s="33" t="s">
        <v>22</v>
      </c>
      <c r="T4487" s="33" t="s">
        <v>26781</v>
      </c>
      <c r="U4487" s="33" t="s">
        <v>26572</v>
      </c>
      <c r="V4487" s="33" t="s">
        <v>26571</v>
      </c>
      <c r="W4487" s="33" t="s">
        <v>94</v>
      </c>
      <c r="X4487" s="33">
        <v>1063</v>
      </c>
      <c r="Z4487" s="33" t="s">
        <v>42966</v>
      </c>
      <c r="AA4487" s="33">
        <v>3178</v>
      </c>
    </row>
    <row r="4488" spans="1:27" ht="12" customHeight="1" x14ac:dyDescent="0.15">
      <c r="A4488" s="33" t="s">
        <v>18457</v>
      </c>
      <c r="B4488" s="33">
        <v>24</v>
      </c>
      <c r="C4488" s="33" t="s">
        <v>14</v>
      </c>
      <c r="D4488" s="33" t="s">
        <v>31</v>
      </c>
      <c r="F4488" s="67">
        <v>42343</v>
      </c>
      <c r="G4488" s="33" t="s">
        <v>18459</v>
      </c>
      <c r="H4488" s="33" t="s">
        <v>5639</v>
      </c>
      <c r="I4488" s="33" t="s">
        <v>67</v>
      </c>
      <c r="J4488" s="33" t="s">
        <v>14347</v>
      </c>
      <c r="K4488" s="33" t="s">
        <v>266</v>
      </c>
      <c r="L4488" s="33" t="s">
        <v>5641</v>
      </c>
      <c r="M4488" s="33" t="s">
        <v>21</v>
      </c>
      <c r="N4488" s="33" t="s">
        <v>19156</v>
      </c>
      <c r="P4488" s="33" t="s">
        <v>30089</v>
      </c>
      <c r="Q4488" s="40" t="s">
        <v>18460</v>
      </c>
      <c r="R4488" s="33" t="s">
        <v>23</v>
      </c>
      <c r="S4488" s="33" t="s">
        <v>22</v>
      </c>
      <c r="T4488" s="33" t="s">
        <v>26781</v>
      </c>
      <c r="U4488" s="33" t="s">
        <v>26572</v>
      </c>
      <c r="V4488" s="33" t="s">
        <v>26574</v>
      </c>
      <c r="W4488" s="33" t="s">
        <v>94</v>
      </c>
      <c r="X4488" s="33">
        <v>1058</v>
      </c>
      <c r="Z4488" s="33" t="s">
        <v>42968</v>
      </c>
      <c r="AA4488" s="33">
        <v>3173</v>
      </c>
    </row>
    <row r="4489" spans="1:27" ht="12" customHeight="1" x14ac:dyDescent="0.15">
      <c r="A4489" s="33" t="s">
        <v>18467</v>
      </c>
      <c r="B4489" s="33">
        <v>38</v>
      </c>
      <c r="C4489" s="33" t="s">
        <v>14</v>
      </c>
      <c r="D4489" s="33" t="s">
        <v>42</v>
      </c>
      <c r="E4489" s="33" t="s">
        <v>18462</v>
      </c>
      <c r="F4489" s="67">
        <v>42343</v>
      </c>
      <c r="G4489" s="33" t="s">
        <v>18468</v>
      </c>
      <c r="H4489" s="33" t="s">
        <v>5782</v>
      </c>
      <c r="I4489" s="33" t="s">
        <v>39</v>
      </c>
      <c r="J4489" s="33" t="s">
        <v>5783</v>
      </c>
      <c r="K4489" s="33" t="s">
        <v>728</v>
      </c>
      <c r="L4489" s="33" t="s">
        <v>5784</v>
      </c>
      <c r="M4489" s="33" t="s">
        <v>21</v>
      </c>
      <c r="N4489" s="33" t="s">
        <v>21413</v>
      </c>
      <c r="P4489" s="33" t="s">
        <v>30089</v>
      </c>
      <c r="Q4489" s="40" t="s">
        <v>18469</v>
      </c>
      <c r="R4489" s="33" t="s">
        <v>23</v>
      </c>
      <c r="S4489" s="33" t="s">
        <v>22</v>
      </c>
      <c r="T4489" s="33" t="s">
        <v>26781</v>
      </c>
      <c r="U4489" s="33" t="s">
        <v>26572</v>
      </c>
      <c r="V4489" s="33" t="s">
        <v>26573</v>
      </c>
      <c r="W4489" s="33" t="s">
        <v>94</v>
      </c>
      <c r="X4489" s="33">
        <v>1062</v>
      </c>
      <c r="Z4489" s="33" t="s">
        <v>42968</v>
      </c>
      <c r="AA4489" s="33">
        <v>3176</v>
      </c>
    </row>
    <row r="4490" spans="1:27" ht="12" customHeight="1" x14ac:dyDescent="0.15">
      <c r="A4490" s="33" t="s">
        <v>18449</v>
      </c>
      <c r="B4490" s="33">
        <v>51</v>
      </c>
      <c r="C4490" s="33" t="s">
        <v>14</v>
      </c>
      <c r="D4490" s="33" t="s">
        <v>31</v>
      </c>
      <c r="E4490" s="33" t="s">
        <v>18445</v>
      </c>
      <c r="F4490" s="67">
        <v>42343</v>
      </c>
      <c r="G4490" s="33" t="s">
        <v>18451</v>
      </c>
      <c r="H4490" s="33" t="s">
        <v>1418</v>
      </c>
      <c r="I4490" s="33" t="s">
        <v>56</v>
      </c>
      <c r="J4490" s="33" t="s">
        <v>20782</v>
      </c>
      <c r="K4490" s="33" t="s">
        <v>148</v>
      </c>
      <c r="L4490" s="33" t="s">
        <v>1419</v>
      </c>
      <c r="M4490" s="33" t="s">
        <v>4966</v>
      </c>
      <c r="N4490" s="33" t="s">
        <v>19157</v>
      </c>
      <c r="O4490" s="33" t="s">
        <v>372</v>
      </c>
      <c r="P4490" s="33" t="s">
        <v>30089</v>
      </c>
      <c r="Q4490" s="40" t="s">
        <v>18452</v>
      </c>
      <c r="R4490" s="33" t="s">
        <v>23</v>
      </c>
      <c r="S4490" s="33" t="s">
        <v>22</v>
      </c>
      <c r="T4490" s="33" t="s">
        <v>26610</v>
      </c>
      <c r="U4490" s="33" t="s">
        <v>26570</v>
      </c>
      <c r="V4490" s="33" t="s">
        <v>26573</v>
      </c>
      <c r="W4490" s="33" t="s">
        <v>512</v>
      </c>
      <c r="X4490" s="33">
        <v>1059</v>
      </c>
      <c r="Z4490" s="33" t="s">
        <v>42966</v>
      </c>
      <c r="AA4490" s="33">
        <v>3177</v>
      </c>
    </row>
    <row r="4491" spans="1:27" ht="12" customHeight="1" x14ac:dyDescent="0.15">
      <c r="A4491" s="33" t="s">
        <v>18461</v>
      </c>
      <c r="B4491" s="33">
        <v>60</v>
      </c>
      <c r="C4491" s="33" t="s">
        <v>14</v>
      </c>
      <c r="D4491" s="33" t="s">
        <v>31</v>
      </c>
      <c r="E4491" s="33" t="s">
        <v>18458</v>
      </c>
      <c r="F4491" s="67">
        <v>42343</v>
      </c>
      <c r="G4491" s="33" t="s">
        <v>18463</v>
      </c>
      <c r="H4491" s="33" t="s">
        <v>18464</v>
      </c>
      <c r="I4491" s="33" t="s">
        <v>409</v>
      </c>
      <c r="J4491" s="33" t="s">
        <v>20783</v>
      </c>
      <c r="K4491" s="33" t="s">
        <v>2173</v>
      </c>
      <c r="L4491" s="33" t="s">
        <v>18465</v>
      </c>
      <c r="M4491" s="33" t="s">
        <v>21</v>
      </c>
      <c r="N4491" s="33" t="s">
        <v>19158</v>
      </c>
      <c r="P4491" s="33" t="s">
        <v>30089</v>
      </c>
      <c r="Q4491" s="40" t="s">
        <v>18466</v>
      </c>
      <c r="R4491" s="33" t="s">
        <v>23</v>
      </c>
      <c r="S4491" s="33" t="s">
        <v>22</v>
      </c>
      <c r="T4491" s="33" t="s">
        <v>26781</v>
      </c>
      <c r="U4491" s="33" t="s">
        <v>26570</v>
      </c>
      <c r="V4491" s="33" t="s">
        <v>26573</v>
      </c>
      <c r="W4491" s="33" t="s">
        <v>94</v>
      </c>
      <c r="X4491" s="33">
        <v>1060</v>
      </c>
      <c r="Z4491" s="33" t="s">
        <v>42968</v>
      </c>
      <c r="AA4491" s="33">
        <v>3174</v>
      </c>
    </row>
    <row r="4492" spans="1:27" ht="12" customHeight="1" x14ac:dyDescent="0.15">
      <c r="A4492" s="33" t="s">
        <v>18453</v>
      </c>
      <c r="B4492" s="33">
        <v>61</v>
      </c>
      <c r="C4492" s="33" t="s">
        <v>103</v>
      </c>
      <c r="D4492" s="33" t="s">
        <v>31</v>
      </c>
      <c r="E4492" s="33" t="s">
        <v>18450</v>
      </c>
      <c r="F4492" s="67">
        <v>42343</v>
      </c>
      <c r="G4492" s="33" t="s">
        <v>18454</v>
      </c>
      <c r="H4492" s="33" t="s">
        <v>18455</v>
      </c>
      <c r="I4492" s="33" t="s">
        <v>402</v>
      </c>
      <c r="J4492" s="33" t="s">
        <v>20775</v>
      </c>
      <c r="K4492" s="33" t="s">
        <v>661</v>
      </c>
      <c r="L4492" s="33" t="s">
        <v>6535</v>
      </c>
      <c r="M4492" s="33" t="s">
        <v>21</v>
      </c>
      <c r="N4492" s="33" t="s">
        <v>19159</v>
      </c>
      <c r="P4492" s="33" t="s">
        <v>30089</v>
      </c>
      <c r="Q4492" s="40" t="s">
        <v>18456</v>
      </c>
      <c r="R4492" s="33" t="s">
        <v>23</v>
      </c>
      <c r="S4492" s="33" t="s">
        <v>22</v>
      </c>
      <c r="T4492" s="33" t="s">
        <v>26781</v>
      </c>
      <c r="U4492" s="33" t="s">
        <v>26572</v>
      </c>
      <c r="V4492" s="33" t="s">
        <v>26573</v>
      </c>
      <c r="W4492" s="33" t="s">
        <v>94</v>
      </c>
      <c r="X4492" s="33">
        <v>1061</v>
      </c>
      <c r="Z4492" s="33" t="s">
        <v>42968</v>
      </c>
      <c r="AA4492" s="33">
        <v>3175</v>
      </c>
    </row>
    <row r="4493" spans="1:27" ht="12" customHeight="1" x14ac:dyDescent="0.15">
      <c r="A4493" s="33" t="s">
        <v>18509</v>
      </c>
      <c r="B4493" s="33">
        <v>40</v>
      </c>
      <c r="C4493" s="33" t="s">
        <v>14</v>
      </c>
      <c r="D4493" s="33" t="s">
        <v>31</v>
      </c>
      <c r="E4493" s="33" t="s">
        <v>18549</v>
      </c>
      <c r="F4493" s="67">
        <v>42342</v>
      </c>
      <c r="G4493" s="33" t="s">
        <v>18510</v>
      </c>
      <c r="H4493" s="33" t="s">
        <v>18511</v>
      </c>
      <c r="I4493" s="33" t="s">
        <v>63</v>
      </c>
      <c r="J4493" s="33" t="s">
        <v>11462</v>
      </c>
      <c r="K4493" s="33" t="s">
        <v>2973</v>
      </c>
      <c r="L4493" s="33" t="s">
        <v>2974</v>
      </c>
      <c r="M4493" s="33" t="s">
        <v>21</v>
      </c>
      <c r="N4493" s="33" t="s">
        <v>18520</v>
      </c>
      <c r="O4493" s="33" t="s">
        <v>1083</v>
      </c>
      <c r="P4493" s="33" t="s">
        <v>1084</v>
      </c>
      <c r="Q4493" s="40" t="s">
        <v>18519</v>
      </c>
      <c r="R4493" s="33" t="s">
        <v>94</v>
      </c>
      <c r="S4493" s="33" t="s">
        <v>12</v>
      </c>
      <c r="T4493" s="54" t="s">
        <v>29705</v>
      </c>
      <c r="Y4493" s="33" t="s">
        <v>42476</v>
      </c>
      <c r="Z4493" s="33" t="s">
        <v>42967</v>
      </c>
      <c r="AA4493" s="33">
        <v>3172</v>
      </c>
    </row>
    <row r="4494" spans="1:27" ht="12" customHeight="1" x14ac:dyDescent="0.15">
      <c r="A4494" s="33" t="s">
        <v>18507</v>
      </c>
      <c r="B4494" s="33">
        <v>21</v>
      </c>
      <c r="C4494" s="33" t="s">
        <v>14</v>
      </c>
      <c r="D4494" s="33" t="s">
        <v>79</v>
      </c>
      <c r="F4494" s="67">
        <v>42342</v>
      </c>
      <c r="G4494" s="33" t="s">
        <v>18525</v>
      </c>
      <c r="H4494" s="33" t="s">
        <v>1528</v>
      </c>
      <c r="I4494" s="33" t="s">
        <v>376</v>
      </c>
      <c r="J4494" s="33" t="s">
        <v>20788</v>
      </c>
      <c r="K4494" s="33" t="s">
        <v>1530</v>
      </c>
      <c r="L4494" s="33" t="s">
        <v>32183</v>
      </c>
      <c r="M4494" s="33" t="s">
        <v>21</v>
      </c>
      <c r="N4494" s="33" t="s">
        <v>36743</v>
      </c>
      <c r="P4494" s="33" t="s">
        <v>30089</v>
      </c>
      <c r="Q4494" s="40" t="s">
        <v>18508</v>
      </c>
      <c r="R4494" s="33" t="s">
        <v>23</v>
      </c>
      <c r="S4494" s="33" t="s">
        <v>22</v>
      </c>
      <c r="T4494" s="33" t="s">
        <v>26781</v>
      </c>
      <c r="U4494" s="33" t="s">
        <v>26572</v>
      </c>
      <c r="V4494" s="33" t="s">
        <v>26573</v>
      </c>
      <c r="W4494" s="33" t="s">
        <v>94</v>
      </c>
      <c r="X4494" s="33">
        <v>1057</v>
      </c>
      <c r="Z4494" s="33" t="s">
        <v>42966</v>
      </c>
      <c r="AA4494" s="33">
        <v>3170</v>
      </c>
    </row>
    <row r="4495" spans="1:27" ht="12" customHeight="1" x14ac:dyDescent="0.15">
      <c r="A4495" s="33" t="s">
        <v>18440</v>
      </c>
      <c r="B4495" s="33">
        <v>47</v>
      </c>
      <c r="C4495" s="33" t="s">
        <v>14</v>
      </c>
      <c r="D4495" s="33" t="s">
        <v>31</v>
      </c>
      <c r="F4495" s="67">
        <v>42342</v>
      </c>
      <c r="G4495" s="33" t="s">
        <v>18442</v>
      </c>
      <c r="H4495" s="33" t="s">
        <v>1337</v>
      </c>
      <c r="I4495" s="33" t="s">
        <v>112</v>
      </c>
      <c r="J4495" s="33" t="s">
        <v>20781</v>
      </c>
      <c r="K4495" s="33" t="s">
        <v>585</v>
      </c>
      <c r="L4495" s="33" t="s">
        <v>1338</v>
      </c>
      <c r="M4495" s="33" t="s">
        <v>4966</v>
      </c>
      <c r="N4495" s="33" t="s">
        <v>19160</v>
      </c>
      <c r="P4495" s="33" t="s">
        <v>30089</v>
      </c>
      <c r="Q4495" s="40" t="s">
        <v>18443</v>
      </c>
      <c r="R4495" s="33" t="s">
        <v>23</v>
      </c>
      <c r="S4495" s="33" t="s">
        <v>22</v>
      </c>
      <c r="T4495" s="33" t="s">
        <v>26581</v>
      </c>
      <c r="U4495" s="33" t="s">
        <v>26570</v>
      </c>
      <c r="V4495" s="33" t="s">
        <v>26573</v>
      </c>
      <c r="W4495" s="33" t="s">
        <v>94</v>
      </c>
      <c r="X4495" s="33">
        <v>1056</v>
      </c>
      <c r="Z4495" s="33" t="s">
        <v>42968</v>
      </c>
      <c r="AA4495" s="33">
        <v>3171</v>
      </c>
    </row>
    <row r="4496" spans="1:27" ht="12" customHeight="1" x14ac:dyDescent="0.15">
      <c r="A4496" s="33" t="s">
        <v>18444</v>
      </c>
      <c r="B4496" s="33">
        <v>66</v>
      </c>
      <c r="C4496" s="33" t="s">
        <v>14</v>
      </c>
      <c r="D4496" s="33" t="s">
        <v>31</v>
      </c>
      <c r="E4496" s="33" t="s">
        <v>18441</v>
      </c>
      <c r="F4496" s="67">
        <v>42341</v>
      </c>
      <c r="G4496" s="33" t="s">
        <v>18446</v>
      </c>
      <c r="H4496" s="33" t="s">
        <v>18447</v>
      </c>
      <c r="I4496" s="33" t="s">
        <v>432</v>
      </c>
      <c r="J4496" s="33" t="s">
        <v>20762</v>
      </c>
      <c r="K4496" s="33" t="s">
        <v>20763</v>
      </c>
      <c r="L4496" s="33" t="s">
        <v>19000</v>
      </c>
      <c r="M4496" s="33" t="s">
        <v>21</v>
      </c>
      <c r="N4496" s="33" t="s">
        <v>19091</v>
      </c>
      <c r="P4496" s="33" t="s">
        <v>30089</v>
      </c>
      <c r="Q4496" s="40" t="s">
        <v>18448</v>
      </c>
      <c r="R4496" s="33" t="s">
        <v>23</v>
      </c>
      <c r="S4496" s="33" t="s">
        <v>22</v>
      </c>
      <c r="T4496" s="33" t="s">
        <v>26781</v>
      </c>
      <c r="U4496" s="33" t="s">
        <v>26572</v>
      </c>
      <c r="V4496" s="33" t="s">
        <v>26573</v>
      </c>
      <c r="W4496" s="33" t="s">
        <v>94</v>
      </c>
      <c r="X4496" s="33">
        <v>1055</v>
      </c>
      <c r="Z4496" s="33" t="s">
        <v>42967</v>
      </c>
      <c r="AA4496" s="33">
        <v>3169</v>
      </c>
    </row>
    <row r="4497" spans="1:27" ht="12" customHeight="1" x14ac:dyDescent="0.15">
      <c r="A4497" s="33" t="s">
        <v>18404</v>
      </c>
      <c r="B4497" s="33">
        <v>26</v>
      </c>
      <c r="C4497" s="33" t="s">
        <v>14</v>
      </c>
      <c r="D4497" s="33" t="s">
        <v>79</v>
      </c>
      <c r="E4497" s="33" t="s">
        <v>18405</v>
      </c>
      <c r="F4497" s="67">
        <v>42340</v>
      </c>
      <c r="G4497" s="33" t="s">
        <v>18406</v>
      </c>
      <c r="H4497" s="33" t="s">
        <v>886</v>
      </c>
      <c r="I4497" s="33" t="s">
        <v>39</v>
      </c>
      <c r="J4497" s="33" t="s">
        <v>20790</v>
      </c>
      <c r="K4497" s="33" t="s">
        <v>886</v>
      </c>
      <c r="L4497" s="33" t="s">
        <v>887</v>
      </c>
      <c r="M4497" s="33" t="s">
        <v>21</v>
      </c>
      <c r="N4497" s="33" t="s">
        <v>36744</v>
      </c>
      <c r="P4497" s="33" t="s">
        <v>30089</v>
      </c>
      <c r="Q4497" s="40" t="s">
        <v>18407</v>
      </c>
      <c r="R4497" s="33" t="s">
        <v>904</v>
      </c>
      <c r="S4497" s="33" t="s">
        <v>22</v>
      </c>
      <c r="T4497" s="33" t="s">
        <v>26774</v>
      </c>
      <c r="U4497" s="33" t="s">
        <v>26570</v>
      </c>
      <c r="V4497" s="33" t="s">
        <v>26573</v>
      </c>
      <c r="W4497" s="33" t="s">
        <v>94</v>
      </c>
      <c r="X4497" s="33">
        <v>1052</v>
      </c>
      <c r="Z4497" s="33" t="s">
        <v>42966</v>
      </c>
      <c r="AA4497" s="33">
        <v>3168</v>
      </c>
    </row>
    <row r="4498" spans="1:27" ht="12" customHeight="1" x14ac:dyDescent="0.15">
      <c r="A4498" s="33" t="s">
        <v>18428</v>
      </c>
      <c r="B4498" s="33">
        <v>35</v>
      </c>
      <c r="C4498" s="33" t="s">
        <v>14</v>
      </c>
      <c r="D4498" s="33" t="s">
        <v>42</v>
      </c>
      <c r="E4498" s="33" t="s">
        <v>18427</v>
      </c>
      <c r="F4498" s="67">
        <v>42340</v>
      </c>
      <c r="G4498" s="33" t="s">
        <v>18430</v>
      </c>
      <c r="H4498" s="33" t="s">
        <v>1212</v>
      </c>
      <c r="I4498" s="33" t="s">
        <v>192</v>
      </c>
      <c r="J4498" s="33" t="s">
        <v>7986</v>
      </c>
      <c r="K4498" s="33" t="s">
        <v>1212</v>
      </c>
      <c r="L4498" s="33" t="s">
        <v>1213</v>
      </c>
      <c r="M4498" s="33" t="s">
        <v>21</v>
      </c>
      <c r="N4498" s="33" t="s">
        <v>19092</v>
      </c>
      <c r="P4498" s="33" t="s">
        <v>30089</v>
      </c>
      <c r="Q4498" s="40" t="s">
        <v>18431</v>
      </c>
      <c r="R4498" s="33" t="s">
        <v>23</v>
      </c>
      <c r="S4498" s="33" t="s">
        <v>22</v>
      </c>
      <c r="T4498" s="33" t="s">
        <v>26781</v>
      </c>
      <c r="U4498" s="33" t="s">
        <v>26572</v>
      </c>
      <c r="V4498" s="33" t="s">
        <v>26571</v>
      </c>
      <c r="W4498" s="33" t="s">
        <v>94</v>
      </c>
      <c r="X4498" s="33">
        <v>1049</v>
      </c>
      <c r="Z4498" s="33" t="s">
        <v>42966</v>
      </c>
      <c r="AA4498" s="33">
        <v>3163</v>
      </c>
    </row>
    <row r="4499" spans="1:27" ht="12" customHeight="1" x14ac:dyDescent="0.15">
      <c r="A4499" s="33" t="s">
        <v>18436</v>
      </c>
      <c r="B4499" s="33">
        <v>36</v>
      </c>
      <c r="C4499" s="33" t="s">
        <v>14</v>
      </c>
      <c r="D4499" s="33" t="s">
        <v>42</v>
      </c>
      <c r="E4499" s="33" t="s">
        <v>18433</v>
      </c>
      <c r="F4499" s="67">
        <v>42340</v>
      </c>
      <c r="G4499" s="33" t="s">
        <v>18437</v>
      </c>
      <c r="H4499" s="33" t="s">
        <v>5486</v>
      </c>
      <c r="I4499" s="33" t="s">
        <v>178</v>
      </c>
      <c r="J4499" s="33" t="s">
        <v>20773</v>
      </c>
      <c r="K4499" s="33" t="s">
        <v>20774</v>
      </c>
      <c r="L4499" s="33" t="s">
        <v>18438</v>
      </c>
      <c r="M4499" s="33" t="s">
        <v>21</v>
      </c>
      <c r="N4499" s="33" t="s">
        <v>19163</v>
      </c>
      <c r="P4499" s="33" t="s">
        <v>30089</v>
      </c>
      <c r="Q4499" s="40" t="s">
        <v>18439</v>
      </c>
      <c r="R4499" s="33" t="s">
        <v>23</v>
      </c>
      <c r="S4499" s="33" t="s">
        <v>22</v>
      </c>
      <c r="T4499" s="33" t="s">
        <v>26781</v>
      </c>
      <c r="U4499" s="33" t="s">
        <v>26572</v>
      </c>
      <c r="V4499" s="33" t="s">
        <v>26573</v>
      </c>
      <c r="W4499" s="33" t="s">
        <v>94</v>
      </c>
      <c r="X4499" s="33">
        <v>1054</v>
      </c>
      <c r="Z4499" s="33" t="s">
        <v>42967</v>
      </c>
      <c r="AA4499" s="33">
        <v>3167</v>
      </c>
    </row>
    <row r="4500" spans="1:27" ht="12" customHeight="1" x14ac:dyDescent="0.15">
      <c r="A4500" s="33" t="s">
        <v>18432</v>
      </c>
      <c r="B4500" s="33">
        <v>32</v>
      </c>
      <c r="C4500" s="33" t="s">
        <v>14</v>
      </c>
      <c r="D4500" s="33" t="s">
        <v>42</v>
      </c>
      <c r="E4500" s="33" t="s">
        <v>18429</v>
      </c>
      <c r="F4500" s="67">
        <v>42340</v>
      </c>
      <c r="G4500" s="33" t="s">
        <v>18434</v>
      </c>
      <c r="H4500" s="33" t="s">
        <v>532</v>
      </c>
      <c r="I4500" s="33" t="s">
        <v>67</v>
      </c>
      <c r="J4500" s="33" t="s">
        <v>20789</v>
      </c>
      <c r="K4500" s="33" t="s">
        <v>533</v>
      </c>
      <c r="L4500" s="33" t="s">
        <v>262</v>
      </c>
      <c r="M4500" s="33" t="s">
        <v>21</v>
      </c>
      <c r="N4500" s="33" t="s">
        <v>21414</v>
      </c>
      <c r="O4500" s="33" t="s">
        <v>372</v>
      </c>
      <c r="P4500" s="33" t="s">
        <v>30089</v>
      </c>
      <c r="Q4500" s="40" t="s">
        <v>18435</v>
      </c>
      <c r="R4500" s="33" t="s">
        <v>23</v>
      </c>
      <c r="S4500" s="33" t="s">
        <v>22</v>
      </c>
      <c r="T4500" s="33" t="s">
        <v>26781</v>
      </c>
      <c r="U4500" s="33" t="s">
        <v>26570</v>
      </c>
      <c r="V4500" s="33" t="s">
        <v>26573</v>
      </c>
      <c r="W4500" s="33" t="s">
        <v>94</v>
      </c>
      <c r="X4500" s="33">
        <v>1053</v>
      </c>
      <c r="Z4500" s="33" t="s">
        <v>42967</v>
      </c>
      <c r="AA4500" s="33">
        <v>3166</v>
      </c>
    </row>
    <row r="4501" spans="1:27" ht="12" customHeight="1" x14ac:dyDescent="0.15">
      <c r="A4501" s="33" t="s">
        <v>18420</v>
      </c>
      <c r="B4501" s="33">
        <v>28</v>
      </c>
      <c r="C4501" s="33" t="s">
        <v>14</v>
      </c>
      <c r="D4501" s="33" t="s">
        <v>15</v>
      </c>
      <c r="E4501" s="33" t="s">
        <v>18421</v>
      </c>
      <c r="F4501" s="67">
        <v>42340</v>
      </c>
      <c r="G4501" s="33" t="s">
        <v>18422</v>
      </c>
      <c r="H4501" s="33" t="s">
        <v>18423</v>
      </c>
      <c r="I4501" s="33" t="s">
        <v>39</v>
      </c>
      <c r="J4501" s="33" t="s">
        <v>20240</v>
      </c>
      <c r="K4501" s="33" t="s">
        <v>288</v>
      </c>
      <c r="L4501" s="33" t="s">
        <v>23</v>
      </c>
      <c r="M4501" s="33" t="s">
        <v>21</v>
      </c>
      <c r="N4501" s="33" t="s">
        <v>19162</v>
      </c>
      <c r="P4501" s="33" t="s">
        <v>30089</v>
      </c>
      <c r="Q4501" s="40" t="s">
        <v>18424</v>
      </c>
      <c r="R4501" s="33" t="s">
        <v>23</v>
      </c>
      <c r="S4501" s="33" t="s">
        <v>22</v>
      </c>
      <c r="T4501" s="33" t="s">
        <v>26781</v>
      </c>
      <c r="U4501" s="33" t="s">
        <v>26572</v>
      </c>
      <c r="V4501" s="33" t="s">
        <v>26571</v>
      </c>
      <c r="W4501" s="33" t="s">
        <v>94</v>
      </c>
      <c r="X4501" s="33">
        <v>1051</v>
      </c>
      <c r="Z4501" s="33" t="s">
        <v>42968</v>
      </c>
      <c r="AA4501" s="33">
        <v>3165</v>
      </c>
    </row>
    <row r="4502" spans="1:27" ht="12" customHeight="1" x14ac:dyDescent="0.15">
      <c r="A4502" s="33" t="s">
        <v>18425</v>
      </c>
      <c r="B4502" s="33">
        <v>27</v>
      </c>
      <c r="C4502" s="33" t="s">
        <v>103</v>
      </c>
      <c r="D4502" s="33" t="s">
        <v>15</v>
      </c>
      <c r="E4502" s="33" t="s">
        <v>18426</v>
      </c>
      <c r="F4502" s="67">
        <v>42340</v>
      </c>
      <c r="G4502" s="33" t="s">
        <v>18422</v>
      </c>
      <c r="H4502" s="33" t="s">
        <v>18423</v>
      </c>
      <c r="I4502" s="33" t="s">
        <v>39</v>
      </c>
      <c r="J4502" s="33" t="s">
        <v>20240</v>
      </c>
      <c r="K4502" s="33" t="s">
        <v>288</v>
      </c>
      <c r="L4502" s="33" t="s">
        <v>23</v>
      </c>
      <c r="M4502" s="33" t="s">
        <v>21</v>
      </c>
      <c r="N4502" s="33" t="s">
        <v>19161</v>
      </c>
      <c r="P4502" s="33" t="s">
        <v>30089</v>
      </c>
      <c r="Q4502" s="40" t="s">
        <v>18424</v>
      </c>
      <c r="R4502" s="33" t="s">
        <v>23</v>
      </c>
      <c r="S4502" s="33" t="s">
        <v>22</v>
      </c>
      <c r="T4502" s="33" t="s">
        <v>26781</v>
      </c>
      <c r="U4502" s="33" t="s">
        <v>26572</v>
      </c>
      <c r="V4502" s="33" t="s">
        <v>26571</v>
      </c>
      <c r="W4502" s="33" t="s">
        <v>94</v>
      </c>
      <c r="X4502" s="33">
        <v>1050</v>
      </c>
      <c r="Z4502" s="33" t="s">
        <v>42968</v>
      </c>
      <c r="AA4502" s="33">
        <v>3164</v>
      </c>
    </row>
    <row r="4503" spans="1:27" ht="12" customHeight="1" x14ac:dyDescent="0.15">
      <c r="A4503" s="33" t="s">
        <v>20746</v>
      </c>
      <c r="B4503" s="33">
        <v>22</v>
      </c>
      <c r="C4503" s="33" t="s">
        <v>103</v>
      </c>
      <c r="D4503" s="33" t="s">
        <v>31</v>
      </c>
      <c r="E4503" s="33" t="s">
        <v>20747</v>
      </c>
      <c r="F4503" s="67">
        <v>42340</v>
      </c>
      <c r="G4503" s="33" t="s">
        <v>20750</v>
      </c>
      <c r="H4503" s="33" t="s">
        <v>12757</v>
      </c>
      <c r="I4503" s="33" t="s">
        <v>63</v>
      </c>
      <c r="J4503" s="33" t="s">
        <v>19292</v>
      </c>
      <c r="K4503" s="33" t="s">
        <v>10995</v>
      </c>
      <c r="L4503" s="33" t="s">
        <v>18706</v>
      </c>
      <c r="M4503" s="33" t="s">
        <v>21</v>
      </c>
      <c r="N4503" s="33" t="s">
        <v>20748</v>
      </c>
      <c r="O4503" s="33" t="s">
        <v>372</v>
      </c>
      <c r="P4503" s="33" t="s">
        <v>30089</v>
      </c>
      <c r="Q4503" s="40" t="s">
        <v>20749</v>
      </c>
      <c r="R4503" s="33" t="s">
        <v>94</v>
      </c>
      <c r="S4503" s="33" t="s">
        <v>22</v>
      </c>
      <c r="T4503" s="1" t="s">
        <v>26781</v>
      </c>
      <c r="Z4503" s="33" t="s">
        <v>42968</v>
      </c>
      <c r="AA4503" s="33">
        <v>3162</v>
      </c>
    </row>
    <row r="4504" spans="1:27" ht="12" customHeight="1" x14ac:dyDescent="0.15">
      <c r="A4504" s="33" t="s">
        <v>18417</v>
      </c>
      <c r="B4504" s="33">
        <v>18</v>
      </c>
      <c r="C4504" s="33" t="s">
        <v>14</v>
      </c>
      <c r="D4504" s="33" t="s">
        <v>42</v>
      </c>
      <c r="F4504" s="67">
        <v>42339</v>
      </c>
      <c r="G4504" s="33" t="s">
        <v>18418</v>
      </c>
      <c r="H4504" s="33" t="s">
        <v>10378</v>
      </c>
      <c r="I4504" s="33" t="s">
        <v>39</v>
      </c>
      <c r="J4504" s="33" t="s">
        <v>19789</v>
      </c>
      <c r="K4504" s="33" t="s">
        <v>92</v>
      </c>
      <c r="L4504" s="33" t="s">
        <v>386</v>
      </c>
      <c r="M4504" s="33" t="s">
        <v>21</v>
      </c>
      <c r="N4504" s="33" t="s">
        <v>19164</v>
      </c>
      <c r="P4504" s="33" t="s">
        <v>30089</v>
      </c>
      <c r="Q4504" s="40" t="s">
        <v>18419</v>
      </c>
      <c r="R4504" s="33" t="s">
        <v>23</v>
      </c>
      <c r="S4504" s="33" t="s">
        <v>22</v>
      </c>
      <c r="T4504" s="33" t="s">
        <v>26781</v>
      </c>
      <c r="U4504" s="33" t="s">
        <v>26572</v>
      </c>
      <c r="V4504" s="33" t="s">
        <v>26573</v>
      </c>
      <c r="W4504" s="33" t="s">
        <v>94</v>
      </c>
      <c r="X4504" s="33">
        <v>1047</v>
      </c>
      <c r="Z4504" s="33" t="s">
        <v>42966</v>
      </c>
      <c r="AA4504" s="33">
        <v>3161</v>
      </c>
    </row>
    <row r="4505" spans="1:27" ht="12" customHeight="1" x14ac:dyDescent="0.15">
      <c r="A4505" s="33" t="s">
        <v>18411</v>
      </c>
      <c r="B4505" s="33">
        <v>23</v>
      </c>
      <c r="C4505" s="33" t="s">
        <v>14</v>
      </c>
      <c r="D4505" s="33" t="s">
        <v>31</v>
      </c>
      <c r="E4505" s="33" t="s">
        <v>18412</v>
      </c>
      <c r="F4505" s="67">
        <v>42339</v>
      </c>
      <c r="G4505" s="33" t="s">
        <v>18413</v>
      </c>
      <c r="H4505" s="33" t="s">
        <v>18414</v>
      </c>
      <c r="I4505" s="33" t="s">
        <v>4034</v>
      </c>
      <c r="J4505" s="33" t="s">
        <v>20761</v>
      </c>
      <c r="K4505" s="33" t="s">
        <v>6374</v>
      </c>
      <c r="L4505" s="33" t="s">
        <v>18415</v>
      </c>
      <c r="M4505" s="33" t="s">
        <v>21</v>
      </c>
      <c r="N4505" s="33" t="s">
        <v>19093</v>
      </c>
      <c r="P4505" s="33" t="s">
        <v>30089</v>
      </c>
      <c r="Q4505" s="40" t="s">
        <v>18416</v>
      </c>
      <c r="R4505" s="33" t="s">
        <v>23</v>
      </c>
      <c r="S4505" s="33" t="s">
        <v>22</v>
      </c>
      <c r="T4505" s="33" t="s">
        <v>26781</v>
      </c>
      <c r="U4505" s="33" t="s">
        <v>26572</v>
      </c>
      <c r="V4505" s="33" t="s">
        <v>26574</v>
      </c>
      <c r="W4505" s="33" t="s">
        <v>94</v>
      </c>
      <c r="X4505" s="33">
        <v>1045</v>
      </c>
      <c r="Z4505" s="33" t="s">
        <v>42968</v>
      </c>
      <c r="AA4505" s="33">
        <v>3160</v>
      </c>
    </row>
    <row r="4506" spans="1:27" ht="12" customHeight="1" x14ac:dyDescent="0.15">
      <c r="A4506" s="33" t="s">
        <v>17317</v>
      </c>
      <c r="B4506" s="33">
        <v>18</v>
      </c>
      <c r="C4506" s="33" t="s">
        <v>14</v>
      </c>
      <c r="D4506" s="33" t="s">
        <v>79</v>
      </c>
      <c r="E4506" s="33" t="s">
        <v>17577</v>
      </c>
      <c r="F4506" s="67">
        <v>42338</v>
      </c>
      <c r="G4506" s="33" t="s">
        <v>17318</v>
      </c>
      <c r="H4506" s="33" t="s">
        <v>1786</v>
      </c>
      <c r="I4506" s="33" t="s">
        <v>160</v>
      </c>
      <c r="J4506" s="33" t="s">
        <v>20759</v>
      </c>
      <c r="K4506" s="33" t="s">
        <v>1454</v>
      </c>
      <c r="L4506" s="33" t="s">
        <v>2356</v>
      </c>
      <c r="M4506" s="33" t="s">
        <v>21</v>
      </c>
      <c r="N4506" s="33" t="s">
        <v>19165</v>
      </c>
      <c r="O4506" s="33" t="s">
        <v>372</v>
      </c>
      <c r="P4506" s="33" t="s">
        <v>30089</v>
      </c>
      <c r="Q4506" s="40" t="s">
        <v>17319</v>
      </c>
      <c r="R4506" s="33" t="s">
        <v>23</v>
      </c>
      <c r="S4506" s="33" t="s">
        <v>22</v>
      </c>
      <c r="T4506" s="33" t="s">
        <v>26781</v>
      </c>
      <c r="U4506" s="33" t="s">
        <v>26572</v>
      </c>
      <c r="V4506" s="33" t="s">
        <v>26574</v>
      </c>
      <c r="W4506" s="33" t="s">
        <v>94</v>
      </c>
      <c r="X4506" s="33">
        <v>1044</v>
      </c>
      <c r="Z4506" s="33" t="s">
        <v>42966</v>
      </c>
      <c r="AA4506" s="33">
        <v>3157</v>
      </c>
    </row>
    <row r="4507" spans="1:27" ht="12" customHeight="1" x14ac:dyDescent="0.15">
      <c r="A4507" s="33" t="s">
        <v>17314</v>
      </c>
      <c r="B4507" s="33">
        <v>25</v>
      </c>
      <c r="C4507" s="33" t="s">
        <v>23</v>
      </c>
      <c r="D4507" s="33" t="s">
        <v>15</v>
      </c>
      <c r="F4507" s="67">
        <v>42338</v>
      </c>
      <c r="G4507" s="33" t="s">
        <v>17315</v>
      </c>
      <c r="H4507" s="33" t="s">
        <v>3508</v>
      </c>
      <c r="I4507" s="33" t="s">
        <v>192</v>
      </c>
      <c r="J4507" s="33" t="s">
        <v>20760</v>
      </c>
      <c r="K4507" s="33" t="s">
        <v>3510</v>
      </c>
      <c r="L4507" s="33" t="s">
        <v>3511</v>
      </c>
      <c r="M4507" s="33" t="s">
        <v>21</v>
      </c>
      <c r="N4507" s="33" t="s">
        <v>19094</v>
      </c>
      <c r="P4507" s="33" t="s">
        <v>30089</v>
      </c>
      <c r="Q4507" s="40" t="s">
        <v>17316</v>
      </c>
      <c r="R4507" s="33" t="s">
        <v>23</v>
      </c>
      <c r="S4507" s="33" t="s">
        <v>22</v>
      </c>
      <c r="T4507" s="33" t="s">
        <v>26606</v>
      </c>
      <c r="U4507" s="33" t="s">
        <v>26572</v>
      </c>
      <c r="V4507" s="33" t="s">
        <v>26571</v>
      </c>
      <c r="W4507" s="33" t="s">
        <v>94</v>
      </c>
      <c r="X4507" s="33">
        <v>1043</v>
      </c>
      <c r="Z4507" s="33" t="s">
        <v>42968</v>
      </c>
      <c r="AA4507" s="33">
        <v>3158</v>
      </c>
    </row>
    <row r="4508" spans="1:27" ht="12" customHeight="1" x14ac:dyDescent="0.15">
      <c r="A4508" s="33" t="s">
        <v>20751</v>
      </c>
      <c r="B4508" s="33">
        <v>31</v>
      </c>
      <c r="C4508" s="33" t="s">
        <v>14</v>
      </c>
      <c r="D4508" s="33" t="s">
        <v>42</v>
      </c>
      <c r="F4508" s="67">
        <v>42338</v>
      </c>
      <c r="G4508" s="33" t="s">
        <v>20752</v>
      </c>
      <c r="H4508" s="33" t="s">
        <v>20753</v>
      </c>
      <c r="I4508" s="33" t="s">
        <v>67</v>
      </c>
      <c r="J4508" s="33" t="s">
        <v>20754</v>
      </c>
      <c r="K4508" s="33" t="s">
        <v>20755</v>
      </c>
      <c r="L4508" s="33" t="s">
        <v>20756</v>
      </c>
      <c r="M4508" s="33" t="s">
        <v>21</v>
      </c>
      <c r="N4508" s="33" t="s">
        <v>20757</v>
      </c>
      <c r="O4508" s="33" t="s">
        <v>372</v>
      </c>
      <c r="P4508" s="33" t="s">
        <v>30089</v>
      </c>
      <c r="Q4508" s="40" t="s">
        <v>20758</v>
      </c>
      <c r="R4508" s="33" t="s">
        <v>94</v>
      </c>
      <c r="S4508" s="33" t="s">
        <v>29</v>
      </c>
      <c r="T4508" s="33" t="s">
        <v>26575</v>
      </c>
      <c r="U4508" s="33" t="s">
        <v>26570</v>
      </c>
      <c r="V4508" s="33" t="s">
        <v>26573</v>
      </c>
      <c r="W4508" s="33" t="s">
        <v>94</v>
      </c>
      <c r="X4508" s="33">
        <v>1227</v>
      </c>
      <c r="Z4508" s="33" t="s">
        <v>42967</v>
      </c>
      <c r="AA4508" s="33">
        <v>3159</v>
      </c>
    </row>
    <row r="4509" spans="1:27" ht="12" customHeight="1" x14ac:dyDescent="0.15">
      <c r="A4509" s="33" t="s">
        <v>17331</v>
      </c>
      <c r="B4509" s="33">
        <v>29</v>
      </c>
      <c r="C4509" s="33" t="s">
        <v>14</v>
      </c>
      <c r="D4509" s="33" t="s">
        <v>31</v>
      </c>
      <c r="E4509" s="33" t="s">
        <v>17574</v>
      </c>
      <c r="F4509" s="67">
        <v>42337</v>
      </c>
      <c r="G4509" s="33" t="s">
        <v>17332</v>
      </c>
      <c r="H4509" s="33" t="s">
        <v>2159</v>
      </c>
      <c r="I4509" s="33" t="s">
        <v>432</v>
      </c>
      <c r="J4509" s="33" t="s">
        <v>20780</v>
      </c>
      <c r="K4509" s="33" t="s">
        <v>1397</v>
      </c>
      <c r="L4509" s="33" t="s">
        <v>9343</v>
      </c>
      <c r="M4509" s="33" t="s">
        <v>21</v>
      </c>
      <c r="N4509" s="33" t="s">
        <v>19168</v>
      </c>
      <c r="P4509" s="33" t="s">
        <v>30089</v>
      </c>
      <c r="Q4509" s="40" t="s">
        <v>17333</v>
      </c>
      <c r="R4509" s="33" t="s">
        <v>23</v>
      </c>
      <c r="S4509" s="33" t="s">
        <v>22</v>
      </c>
      <c r="T4509" s="33" t="s">
        <v>26781</v>
      </c>
      <c r="U4509" s="33" t="s">
        <v>26572</v>
      </c>
      <c r="W4509" s="33" t="s">
        <v>94</v>
      </c>
      <c r="X4509" s="33">
        <v>1042</v>
      </c>
      <c r="Z4509" s="33" t="s">
        <v>42968</v>
      </c>
      <c r="AA4509" s="33">
        <v>3156</v>
      </c>
    </row>
    <row r="4510" spans="1:27" ht="12" customHeight="1" x14ac:dyDescent="0.15">
      <c r="A4510" s="33" t="s">
        <v>17320</v>
      </c>
      <c r="B4510" s="33">
        <v>69</v>
      </c>
      <c r="C4510" s="33" t="s">
        <v>14</v>
      </c>
      <c r="D4510" s="33" t="s">
        <v>42</v>
      </c>
      <c r="F4510" s="67">
        <v>42337</v>
      </c>
      <c r="G4510" s="33" t="s">
        <v>17321</v>
      </c>
      <c r="H4510" s="33" t="s">
        <v>1763</v>
      </c>
      <c r="I4510" s="33" t="s">
        <v>112</v>
      </c>
      <c r="J4510" s="33" t="s">
        <v>1764</v>
      </c>
      <c r="K4510" s="33" t="s">
        <v>585</v>
      </c>
      <c r="L4510" s="33" t="s">
        <v>1765</v>
      </c>
      <c r="M4510" s="33" t="s">
        <v>21</v>
      </c>
      <c r="N4510" s="33" t="s">
        <v>18345</v>
      </c>
      <c r="P4510" s="33" t="s">
        <v>30089</v>
      </c>
      <c r="Q4510" s="40" t="s">
        <v>17322</v>
      </c>
      <c r="R4510" s="33" t="s">
        <v>512</v>
      </c>
      <c r="S4510" s="33" t="s">
        <v>22</v>
      </c>
      <c r="T4510" s="33" t="s">
        <v>26781</v>
      </c>
      <c r="U4510" s="33" t="s">
        <v>26572</v>
      </c>
      <c r="V4510" s="33" t="s">
        <v>26573</v>
      </c>
      <c r="W4510" s="33" t="s">
        <v>94</v>
      </c>
      <c r="X4510" s="33">
        <v>1038</v>
      </c>
      <c r="Z4510" s="33" t="s">
        <v>42968</v>
      </c>
      <c r="AA4510" s="33">
        <v>3154</v>
      </c>
    </row>
    <row r="4511" spans="1:27" ht="12" customHeight="1" x14ac:dyDescent="0.15">
      <c r="A4511" s="33" t="s">
        <v>17326</v>
      </c>
      <c r="B4511" s="33">
        <v>53</v>
      </c>
      <c r="C4511" s="33" t="s">
        <v>14</v>
      </c>
      <c r="D4511" s="33" t="s">
        <v>31</v>
      </c>
      <c r="E4511" s="33" t="s">
        <v>17575</v>
      </c>
      <c r="F4511" s="67">
        <v>42337</v>
      </c>
      <c r="G4511" s="33" t="s">
        <v>17327</v>
      </c>
      <c r="H4511" s="33" t="s">
        <v>17328</v>
      </c>
      <c r="I4511" s="33" t="s">
        <v>402</v>
      </c>
      <c r="J4511" s="33" t="s">
        <v>20793</v>
      </c>
      <c r="K4511" s="33" t="s">
        <v>1218</v>
      </c>
      <c r="L4511" s="33" t="s">
        <v>17329</v>
      </c>
      <c r="M4511" s="33" t="s">
        <v>21</v>
      </c>
      <c r="N4511" s="33" t="s">
        <v>19169</v>
      </c>
      <c r="P4511" s="33" t="s">
        <v>30089</v>
      </c>
      <c r="Q4511" s="40" t="s">
        <v>17330</v>
      </c>
      <c r="R4511" s="33" t="s">
        <v>23</v>
      </c>
      <c r="S4511" s="33" t="s">
        <v>22</v>
      </c>
      <c r="T4511" s="33" t="s">
        <v>26781</v>
      </c>
      <c r="U4511" s="33" t="s">
        <v>26572</v>
      </c>
      <c r="V4511" s="33" t="s">
        <v>26573</v>
      </c>
      <c r="W4511" s="33" t="s">
        <v>94</v>
      </c>
      <c r="X4511" s="33">
        <v>1037</v>
      </c>
      <c r="Z4511" s="33" t="s">
        <v>42967</v>
      </c>
      <c r="AA4511" s="33">
        <v>3153</v>
      </c>
    </row>
    <row r="4512" spans="1:27" ht="12" customHeight="1" x14ac:dyDescent="0.15">
      <c r="A4512" s="33" t="s">
        <v>17323</v>
      </c>
      <c r="B4512" s="33">
        <v>23</v>
      </c>
      <c r="C4512" s="33" t="s">
        <v>14</v>
      </c>
      <c r="D4512" s="33" t="s">
        <v>42</v>
      </c>
      <c r="E4512" s="33" t="s">
        <v>17576</v>
      </c>
      <c r="F4512" s="67">
        <v>42337</v>
      </c>
      <c r="G4512" s="33" t="s">
        <v>17324</v>
      </c>
      <c r="H4512" s="33" t="s">
        <v>631</v>
      </c>
      <c r="I4512" s="33" t="s">
        <v>39</v>
      </c>
      <c r="J4512" s="33" t="s">
        <v>19970</v>
      </c>
      <c r="K4512" s="33" t="s">
        <v>632</v>
      </c>
      <c r="L4512" s="33" t="s">
        <v>633</v>
      </c>
      <c r="M4512" s="33" t="s">
        <v>21</v>
      </c>
      <c r="N4512" s="33" t="s">
        <v>19166</v>
      </c>
      <c r="P4512" s="33" t="s">
        <v>30089</v>
      </c>
      <c r="Q4512" s="40" t="s">
        <v>17325</v>
      </c>
      <c r="R4512" s="33" t="s">
        <v>23</v>
      </c>
      <c r="S4512" s="33" t="s">
        <v>22</v>
      </c>
      <c r="T4512" s="33" t="s">
        <v>26781</v>
      </c>
      <c r="U4512" s="33" t="s">
        <v>26572</v>
      </c>
      <c r="V4512" s="33" t="s">
        <v>26574</v>
      </c>
      <c r="W4512" s="33" t="s">
        <v>94</v>
      </c>
      <c r="X4512" s="33">
        <v>1041</v>
      </c>
      <c r="Z4512" s="33" t="s">
        <v>42966</v>
      </c>
      <c r="AA4512" s="33">
        <v>3155</v>
      </c>
    </row>
    <row r="4513" spans="1:27" ht="12" customHeight="1" x14ac:dyDescent="0.15">
      <c r="A4513" s="33" t="s">
        <v>17334</v>
      </c>
      <c r="B4513" s="33">
        <v>22</v>
      </c>
      <c r="C4513" s="33" t="s">
        <v>14</v>
      </c>
      <c r="D4513" s="33" t="s">
        <v>31</v>
      </c>
      <c r="E4513" s="33" t="s">
        <v>17573</v>
      </c>
      <c r="F4513" s="67">
        <v>42337</v>
      </c>
      <c r="G4513" s="33" t="s">
        <v>17335</v>
      </c>
      <c r="H4513" s="33" t="s">
        <v>17336</v>
      </c>
      <c r="I4513" s="33" t="s">
        <v>63</v>
      </c>
      <c r="J4513" s="33" t="s">
        <v>20765</v>
      </c>
      <c r="K4513" s="33" t="s">
        <v>2675</v>
      </c>
      <c r="L4513" s="33" t="s">
        <v>17337</v>
      </c>
      <c r="M4513" s="33" t="s">
        <v>21</v>
      </c>
      <c r="N4513" s="33" t="s">
        <v>19167</v>
      </c>
      <c r="P4513" s="33" t="s">
        <v>30089</v>
      </c>
      <c r="Q4513" s="40" t="s">
        <v>17338</v>
      </c>
      <c r="R4513" s="33" t="s">
        <v>23</v>
      </c>
      <c r="S4513" s="33" t="s">
        <v>22</v>
      </c>
      <c r="T4513" s="33" t="s">
        <v>26781</v>
      </c>
      <c r="U4513" s="33" t="s">
        <v>26572</v>
      </c>
      <c r="V4513" s="33" t="s">
        <v>26573</v>
      </c>
      <c r="W4513" s="33" t="s">
        <v>94</v>
      </c>
      <c r="X4513" s="33">
        <v>1036</v>
      </c>
      <c r="Z4513" s="33" t="s">
        <v>42967</v>
      </c>
      <c r="AA4513" s="33">
        <v>3152</v>
      </c>
    </row>
    <row r="4514" spans="1:27" ht="12" customHeight="1" x14ac:dyDescent="0.15">
      <c r="A4514" s="33" t="s">
        <v>18820</v>
      </c>
      <c r="B4514" s="33">
        <v>50</v>
      </c>
      <c r="C4514" s="33" t="s">
        <v>14</v>
      </c>
      <c r="D4514" s="33" t="s">
        <v>31</v>
      </c>
      <c r="E4514" s="33" t="s">
        <v>18819</v>
      </c>
      <c r="F4514" s="67">
        <v>42336</v>
      </c>
      <c r="G4514" s="33" t="s">
        <v>17339</v>
      </c>
      <c r="H4514" s="33" t="s">
        <v>17340</v>
      </c>
      <c r="I4514" s="33" t="s">
        <v>67</v>
      </c>
      <c r="J4514" s="33" t="s">
        <v>20791</v>
      </c>
      <c r="K4514" s="33" t="s">
        <v>266</v>
      </c>
      <c r="L4514" s="33" t="s">
        <v>17341</v>
      </c>
      <c r="M4514" s="33" t="s">
        <v>21</v>
      </c>
      <c r="N4514" s="33" t="s">
        <v>19170</v>
      </c>
      <c r="P4514" s="33" t="s">
        <v>30089</v>
      </c>
      <c r="Q4514" s="40" t="s">
        <v>17342</v>
      </c>
      <c r="R4514" s="33" t="s">
        <v>23</v>
      </c>
      <c r="S4514" s="33" t="s">
        <v>22</v>
      </c>
      <c r="T4514" s="33" t="s">
        <v>26611</v>
      </c>
      <c r="U4514" s="33" t="s">
        <v>26570</v>
      </c>
      <c r="V4514" s="33" t="s">
        <v>26573</v>
      </c>
      <c r="W4514" s="33" t="s">
        <v>94</v>
      </c>
      <c r="X4514" s="33">
        <v>1040</v>
      </c>
      <c r="Z4514" s="33" t="s">
        <v>42967</v>
      </c>
      <c r="AA4514" s="33">
        <v>3151</v>
      </c>
    </row>
    <row r="4515" spans="1:27" ht="12" customHeight="1" x14ac:dyDescent="0.15">
      <c r="A4515" s="33" t="s">
        <v>17343</v>
      </c>
      <c r="B4515" s="33">
        <v>58</v>
      </c>
      <c r="C4515" s="33" t="s">
        <v>14</v>
      </c>
      <c r="D4515" s="33" t="s">
        <v>31</v>
      </c>
      <c r="F4515" s="67">
        <v>42335</v>
      </c>
      <c r="G4515" s="33" t="s">
        <v>17344</v>
      </c>
      <c r="H4515" s="33" t="s">
        <v>17345</v>
      </c>
      <c r="I4515" s="33" t="s">
        <v>402</v>
      </c>
      <c r="J4515" s="33" t="s">
        <v>20778</v>
      </c>
      <c r="K4515" s="33" t="s">
        <v>9492</v>
      </c>
      <c r="L4515" s="33" t="s">
        <v>9493</v>
      </c>
      <c r="M4515" s="33" t="s">
        <v>21</v>
      </c>
      <c r="N4515" s="33" t="s">
        <v>19171</v>
      </c>
      <c r="P4515" s="33" t="s">
        <v>30089</v>
      </c>
      <c r="Q4515" s="40" t="s">
        <v>17346</v>
      </c>
      <c r="R4515" s="33" t="s">
        <v>23</v>
      </c>
      <c r="S4515" s="33" t="s">
        <v>22</v>
      </c>
      <c r="T4515" s="33" t="s">
        <v>26781</v>
      </c>
      <c r="U4515" s="33" t="s">
        <v>26572</v>
      </c>
      <c r="V4515" s="33" t="s">
        <v>26573</v>
      </c>
      <c r="W4515" s="33" t="s">
        <v>94</v>
      </c>
      <c r="X4515" s="33">
        <v>1039</v>
      </c>
      <c r="Z4515" s="33" t="s">
        <v>42967</v>
      </c>
      <c r="AA4515" s="33">
        <v>3150</v>
      </c>
    </row>
    <row r="4516" spans="1:27" ht="12" customHeight="1" x14ac:dyDescent="0.15">
      <c r="A4516" s="33" t="s">
        <v>13837</v>
      </c>
      <c r="B4516" s="33">
        <v>26</v>
      </c>
      <c r="C4516" s="33" t="s">
        <v>14</v>
      </c>
      <c r="D4516" s="33" t="s">
        <v>31</v>
      </c>
      <c r="F4516" s="67">
        <v>42334</v>
      </c>
      <c r="G4516" s="33" t="s">
        <v>18766</v>
      </c>
      <c r="H4516" s="33" t="s">
        <v>4806</v>
      </c>
      <c r="I4516" s="33" t="s">
        <v>39</v>
      </c>
      <c r="J4516" s="33" t="s">
        <v>20787</v>
      </c>
      <c r="K4516" s="33" t="s">
        <v>4807</v>
      </c>
      <c r="L4516" s="33" t="s">
        <v>18765</v>
      </c>
      <c r="M4516" s="33" t="s">
        <v>21</v>
      </c>
      <c r="N4516" s="33" t="s">
        <v>18763</v>
      </c>
      <c r="O4516" s="33" t="s">
        <v>24575</v>
      </c>
      <c r="P4516" s="33" t="s">
        <v>24575</v>
      </c>
      <c r="Q4516" s="40" t="s">
        <v>18764</v>
      </c>
      <c r="R4516" s="33" t="s">
        <v>23</v>
      </c>
      <c r="S4516" s="33" t="s">
        <v>12</v>
      </c>
      <c r="T4516" s="33" t="s">
        <v>29705</v>
      </c>
      <c r="U4516" s="33" t="s">
        <v>26570</v>
      </c>
      <c r="V4516" s="33" t="s">
        <v>26571</v>
      </c>
      <c r="W4516" s="33" t="s">
        <v>512</v>
      </c>
      <c r="X4516" s="33">
        <v>1104</v>
      </c>
      <c r="Z4516" s="33" t="s">
        <v>42968</v>
      </c>
      <c r="AA4516" s="33">
        <v>3149</v>
      </c>
    </row>
    <row r="4517" spans="1:27" ht="12" customHeight="1" x14ac:dyDescent="0.15">
      <c r="A4517" s="33" t="s">
        <v>18767</v>
      </c>
      <c r="B4517" s="33">
        <v>26</v>
      </c>
      <c r="C4517" s="33" t="s">
        <v>103</v>
      </c>
      <c r="D4517" s="33" t="s">
        <v>31</v>
      </c>
      <c r="E4517" s="33" t="s">
        <v>18996</v>
      </c>
      <c r="F4517" s="67">
        <v>42333</v>
      </c>
      <c r="G4517" s="33" t="s">
        <v>18766</v>
      </c>
      <c r="H4517" s="33" t="s">
        <v>4806</v>
      </c>
      <c r="I4517" s="33" t="s">
        <v>39</v>
      </c>
      <c r="J4517" s="33" t="s">
        <v>20787</v>
      </c>
      <c r="K4517" s="33" t="s">
        <v>4807</v>
      </c>
      <c r="L4517" s="33" t="s">
        <v>18765</v>
      </c>
      <c r="M4517" s="33" t="s">
        <v>21</v>
      </c>
      <c r="N4517" s="33" t="s">
        <v>18763</v>
      </c>
      <c r="P4517" s="33" t="s">
        <v>30089</v>
      </c>
      <c r="Q4517" s="40" t="s">
        <v>18764</v>
      </c>
      <c r="R4517" s="33" t="s">
        <v>23</v>
      </c>
      <c r="S4517" s="33" t="s">
        <v>12</v>
      </c>
      <c r="T4517" s="54" t="s">
        <v>29705</v>
      </c>
      <c r="Z4517" s="33" t="s">
        <v>42968</v>
      </c>
      <c r="AA4517" s="33">
        <v>3148</v>
      </c>
    </row>
    <row r="4518" spans="1:27" ht="12" customHeight="1" x14ac:dyDescent="0.15">
      <c r="A4518" s="33" t="s">
        <v>17347</v>
      </c>
      <c r="B4518" s="33">
        <v>37</v>
      </c>
      <c r="C4518" s="33" t="s">
        <v>103</v>
      </c>
      <c r="D4518" s="33" t="s">
        <v>31</v>
      </c>
      <c r="E4518" s="33" t="s">
        <v>17572</v>
      </c>
      <c r="F4518" s="67">
        <v>42333</v>
      </c>
      <c r="G4518" s="33" t="s">
        <v>17348</v>
      </c>
      <c r="H4518" s="33" t="s">
        <v>12443</v>
      </c>
      <c r="I4518" s="33" t="s">
        <v>402</v>
      </c>
      <c r="J4518" s="33" t="s">
        <v>20784</v>
      </c>
      <c r="K4518" s="33" t="s">
        <v>3848</v>
      </c>
      <c r="L4518" s="33" t="s">
        <v>17349</v>
      </c>
      <c r="M4518" s="33" t="s">
        <v>21</v>
      </c>
      <c r="N4518" s="33" t="s">
        <v>19173</v>
      </c>
      <c r="P4518" s="33" t="s">
        <v>30089</v>
      </c>
      <c r="Q4518" s="40" t="s">
        <v>17350</v>
      </c>
      <c r="R4518" s="33" t="s">
        <v>23</v>
      </c>
      <c r="S4518" s="33" t="s">
        <v>22</v>
      </c>
      <c r="T4518" s="33" t="s">
        <v>26781</v>
      </c>
      <c r="U4518" s="33" t="s">
        <v>26572</v>
      </c>
      <c r="V4518" s="33" t="s">
        <v>26573</v>
      </c>
      <c r="W4518" s="33" t="s">
        <v>94</v>
      </c>
      <c r="X4518" s="33">
        <v>1046</v>
      </c>
      <c r="Z4518" s="33" t="s">
        <v>42968</v>
      </c>
      <c r="AA4518" s="33">
        <v>3146</v>
      </c>
    </row>
    <row r="4519" spans="1:27" ht="12" customHeight="1" x14ac:dyDescent="0.15">
      <c r="A4519" s="33" t="s">
        <v>17351</v>
      </c>
      <c r="B4519" s="33">
        <v>23</v>
      </c>
      <c r="C4519" s="33" t="s">
        <v>14</v>
      </c>
      <c r="D4519" s="33" t="s">
        <v>31</v>
      </c>
      <c r="E4519" s="33" t="s">
        <v>17551</v>
      </c>
      <c r="F4519" s="67">
        <v>42333</v>
      </c>
      <c r="G4519" s="33" t="s">
        <v>17352</v>
      </c>
      <c r="H4519" s="33" t="s">
        <v>3846</v>
      </c>
      <c r="I4519" s="33" t="s">
        <v>402</v>
      </c>
      <c r="J4519" s="33" t="s">
        <v>20792</v>
      </c>
      <c r="K4519" s="33" t="s">
        <v>4549</v>
      </c>
      <c r="L4519" s="33" t="s">
        <v>3849</v>
      </c>
      <c r="M4519" s="33" t="s">
        <v>21</v>
      </c>
      <c r="N4519" s="33" t="s">
        <v>19172</v>
      </c>
      <c r="P4519" s="33" t="s">
        <v>30089</v>
      </c>
      <c r="Q4519" s="40" t="s">
        <v>17353</v>
      </c>
      <c r="R4519" s="33" t="s">
        <v>23</v>
      </c>
      <c r="S4519" s="33" t="s">
        <v>22</v>
      </c>
      <c r="T4519" s="33" t="s">
        <v>26774</v>
      </c>
      <c r="U4519" s="33" t="s">
        <v>26572</v>
      </c>
      <c r="V4519" s="33" t="s">
        <v>26573</v>
      </c>
      <c r="W4519" s="33" t="s">
        <v>94</v>
      </c>
      <c r="X4519" s="33">
        <v>1034</v>
      </c>
      <c r="Z4519" s="33" t="s">
        <v>42968</v>
      </c>
      <c r="AA4519" s="33">
        <v>3147</v>
      </c>
    </row>
    <row r="4520" spans="1:27" ht="12" customHeight="1" x14ac:dyDescent="0.15">
      <c r="A4520" s="33" t="s">
        <v>17354</v>
      </c>
      <c r="B4520" s="33">
        <v>52</v>
      </c>
      <c r="C4520" s="33" t="s">
        <v>14</v>
      </c>
      <c r="D4520" s="33" t="s">
        <v>31</v>
      </c>
      <c r="F4520" s="67">
        <v>42333</v>
      </c>
      <c r="G4520" s="33" t="s">
        <v>17355</v>
      </c>
      <c r="H4520" s="33" t="s">
        <v>2023</v>
      </c>
      <c r="I4520" s="33" t="s">
        <v>112</v>
      </c>
      <c r="J4520" s="33" t="s">
        <v>2024</v>
      </c>
      <c r="K4520" s="33" t="s">
        <v>2025</v>
      </c>
      <c r="L4520" s="33" t="s">
        <v>17356</v>
      </c>
      <c r="M4520" s="33" t="s">
        <v>21</v>
      </c>
      <c r="N4520" s="33" t="s">
        <v>19095</v>
      </c>
      <c r="P4520" s="33" t="s">
        <v>30089</v>
      </c>
      <c r="Q4520" s="40" t="s">
        <v>17357</v>
      </c>
      <c r="R4520" s="33" t="s">
        <v>23</v>
      </c>
      <c r="S4520" s="33" t="s">
        <v>22</v>
      </c>
      <c r="T4520" s="33" t="s">
        <v>26781</v>
      </c>
      <c r="U4520" s="33" t="s">
        <v>26572</v>
      </c>
      <c r="V4520" s="33" t="s">
        <v>26573</v>
      </c>
      <c r="W4520" s="33" t="s">
        <v>94</v>
      </c>
      <c r="X4520" s="33">
        <v>1035</v>
      </c>
      <c r="Z4520" s="33" t="s">
        <v>42967</v>
      </c>
      <c r="AA4520" s="33">
        <v>3145</v>
      </c>
    </row>
    <row r="4521" spans="1:27" ht="12" customHeight="1" x14ac:dyDescent="0.15">
      <c r="A4521" s="33" t="s">
        <v>17361</v>
      </c>
      <c r="B4521" s="33">
        <v>32</v>
      </c>
      <c r="C4521" s="33" t="s">
        <v>14</v>
      </c>
      <c r="D4521" s="33" t="s">
        <v>31</v>
      </c>
      <c r="E4521" s="33" t="s">
        <v>17570</v>
      </c>
      <c r="F4521" s="67">
        <v>42332</v>
      </c>
      <c r="G4521" s="33" t="s">
        <v>17362</v>
      </c>
      <c r="H4521" s="33" t="s">
        <v>607</v>
      </c>
      <c r="I4521" s="33" t="s">
        <v>250</v>
      </c>
      <c r="J4521" s="33" t="s">
        <v>20779</v>
      </c>
      <c r="K4521" s="33" t="s">
        <v>527</v>
      </c>
      <c r="L4521" s="33" t="s">
        <v>528</v>
      </c>
      <c r="M4521" s="33" t="s">
        <v>4966</v>
      </c>
      <c r="N4521" s="33" t="s">
        <v>19175</v>
      </c>
      <c r="P4521" s="33" t="s">
        <v>30089</v>
      </c>
      <c r="Q4521" s="40" t="s">
        <v>17363</v>
      </c>
      <c r="R4521" s="33" t="s">
        <v>512</v>
      </c>
      <c r="S4521" s="33" t="s">
        <v>12</v>
      </c>
      <c r="T4521" s="33" t="s">
        <v>29425</v>
      </c>
      <c r="U4521" s="33" t="s">
        <v>26572</v>
      </c>
      <c r="V4521" s="33" t="s">
        <v>26574</v>
      </c>
      <c r="W4521" s="33" t="s">
        <v>512</v>
      </c>
      <c r="X4521" s="33">
        <v>1032</v>
      </c>
      <c r="Z4521" s="33" t="s">
        <v>42966</v>
      </c>
      <c r="AA4521" s="33">
        <v>3144</v>
      </c>
    </row>
    <row r="4522" spans="1:27" ht="12" customHeight="1" x14ac:dyDescent="0.15">
      <c r="A4522" s="33" t="s">
        <v>17364</v>
      </c>
      <c r="B4522" s="33">
        <v>45</v>
      </c>
      <c r="C4522" s="33" t="s">
        <v>14</v>
      </c>
      <c r="D4522" s="33" t="s">
        <v>31</v>
      </c>
      <c r="E4522" s="33" t="s">
        <v>17541</v>
      </c>
      <c r="F4522" s="67">
        <v>42332</v>
      </c>
      <c r="G4522" s="33" t="s">
        <v>17365</v>
      </c>
      <c r="H4522" s="33" t="s">
        <v>17366</v>
      </c>
      <c r="I4522" s="33" t="s">
        <v>122</v>
      </c>
      <c r="J4522" s="33" t="s">
        <v>20768</v>
      </c>
      <c r="K4522" s="33" t="s">
        <v>2250</v>
      </c>
      <c r="L4522" s="33" t="s">
        <v>17367</v>
      </c>
      <c r="M4522" s="33" t="s">
        <v>21</v>
      </c>
      <c r="N4522" s="33" t="s">
        <v>26730</v>
      </c>
      <c r="P4522" s="33" t="s">
        <v>30089</v>
      </c>
      <c r="Q4522" s="40" t="s">
        <v>17368</v>
      </c>
      <c r="R4522" s="33" t="s">
        <v>23</v>
      </c>
      <c r="S4522" s="33" t="s">
        <v>12</v>
      </c>
      <c r="T4522" s="33" t="s">
        <v>29425</v>
      </c>
      <c r="U4522" s="33" t="s">
        <v>26570</v>
      </c>
      <c r="V4522" s="33" t="s">
        <v>26573</v>
      </c>
      <c r="W4522" s="33" t="s">
        <v>94</v>
      </c>
      <c r="X4522" s="33">
        <v>1031</v>
      </c>
      <c r="Z4522" s="33" t="s">
        <v>42968</v>
      </c>
      <c r="AA4522" s="33">
        <v>3143</v>
      </c>
    </row>
    <row r="4523" spans="1:27" ht="12" customHeight="1" x14ac:dyDescent="0.15">
      <c r="A4523" s="33" t="s">
        <v>17358</v>
      </c>
      <c r="B4523" s="33">
        <v>24</v>
      </c>
      <c r="C4523" s="33" t="s">
        <v>14</v>
      </c>
      <c r="D4523" s="33" t="s">
        <v>79</v>
      </c>
      <c r="E4523" s="33" t="s">
        <v>17571</v>
      </c>
      <c r="F4523" s="67">
        <v>42332</v>
      </c>
      <c r="G4523" s="33" t="s">
        <v>17359</v>
      </c>
      <c r="H4523" s="33" t="s">
        <v>1406</v>
      </c>
      <c r="I4523" s="33" t="s">
        <v>75</v>
      </c>
      <c r="J4523" s="33" t="s">
        <v>20764</v>
      </c>
      <c r="K4523" s="33" t="s">
        <v>1406</v>
      </c>
      <c r="L4523" s="33" t="s">
        <v>1407</v>
      </c>
      <c r="M4523" s="33" t="s">
        <v>21</v>
      </c>
      <c r="N4523" s="33" t="s">
        <v>19174</v>
      </c>
      <c r="O4523" s="33" t="s">
        <v>372</v>
      </c>
      <c r="P4523" s="33" t="s">
        <v>30089</v>
      </c>
      <c r="Q4523" s="40" t="s">
        <v>17360</v>
      </c>
      <c r="R4523" s="33" t="s">
        <v>23</v>
      </c>
      <c r="S4523" s="33" t="s">
        <v>22</v>
      </c>
      <c r="T4523" s="33" t="s">
        <v>26781</v>
      </c>
      <c r="U4523" s="33" t="s">
        <v>26572</v>
      </c>
      <c r="V4523" s="33" t="s">
        <v>26573</v>
      </c>
      <c r="W4523" s="33" t="s">
        <v>94</v>
      </c>
      <c r="X4523" s="33">
        <v>1033</v>
      </c>
      <c r="Z4523" s="33" t="s">
        <v>42966</v>
      </c>
      <c r="AA4523" s="33">
        <v>3142</v>
      </c>
    </row>
    <row r="4524" spans="1:27" ht="12" customHeight="1" x14ac:dyDescent="0.15">
      <c r="A4524" s="33" t="s">
        <v>17372</v>
      </c>
      <c r="B4524" s="33">
        <v>50</v>
      </c>
      <c r="C4524" s="33" t="s">
        <v>14</v>
      </c>
      <c r="D4524" s="33" t="s">
        <v>31</v>
      </c>
      <c r="E4524" s="33" t="s">
        <v>17569</v>
      </c>
      <c r="F4524" s="67">
        <v>42331</v>
      </c>
      <c r="G4524" s="33" t="s">
        <v>17373</v>
      </c>
      <c r="H4524" s="33" t="s">
        <v>1202</v>
      </c>
      <c r="I4524" s="33" t="s">
        <v>63</v>
      </c>
      <c r="J4524" s="33" t="s">
        <v>20769</v>
      </c>
      <c r="K4524" s="33" t="s">
        <v>1203</v>
      </c>
      <c r="L4524" s="33" t="s">
        <v>11441</v>
      </c>
      <c r="M4524" s="33" t="s">
        <v>21</v>
      </c>
      <c r="N4524" s="33" t="s">
        <v>19177</v>
      </c>
      <c r="P4524" s="33" t="s">
        <v>30089</v>
      </c>
      <c r="Q4524" s="40" t="s">
        <v>17374</v>
      </c>
      <c r="R4524" s="33" t="s">
        <v>23</v>
      </c>
      <c r="S4524" s="33" t="s">
        <v>22</v>
      </c>
      <c r="T4524" s="33" t="s">
        <v>26781</v>
      </c>
      <c r="U4524" s="33" t="s">
        <v>26572</v>
      </c>
      <c r="V4524" s="33" t="s">
        <v>26573</v>
      </c>
      <c r="W4524" s="33" t="s">
        <v>94</v>
      </c>
      <c r="X4524" s="33">
        <v>1030</v>
      </c>
      <c r="Z4524" s="33" t="s">
        <v>42968</v>
      </c>
      <c r="AA4524" s="33">
        <v>3140</v>
      </c>
    </row>
    <row r="4525" spans="1:27" ht="12" customHeight="1" x14ac:dyDescent="0.15">
      <c r="A4525" s="33" t="s">
        <v>17369</v>
      </c>
      <c r="B4525" s="33">
        <v>49</v>
      </c>
      <c r="C4525" s="33" t="s">
        <v>14</v>
      </c>
      <c r="D4525" s="33" t="s">
        <v>42</v>
      </c>
      <c r="E4525" s="33" t="s">
        <v>17550</v>
      </c>
      <c r="F4525" s="67">
        <v>42331</v>
      </c>
      <c r="G4525" s="33" t="s">
        <v>17370</v>
      </c>
      <c r="H4525" s="33" t="s">
        <v>11314</v>
      </c>
      <c r="I4525" s="33" t="s">
        <v>67</v>
      </c>
      <c r="J4525" s="33" t="s">
        <v>20770</v>
      </c>
      <c r="K4525" s="33" t="s">
        <v>11316</v>
      </c>
      <c r="L4525" s="33" t="s">
        <v>11317</v>
      </c>
      <c r="M4525" s="33" t="s">
        <v>4966</v>
      </c>
      <c r="N4525" s="33" t="s">
        <v>19176</v>
      </c>
      <c r="P4525" s="33" t="s">
        <v>30089</v>
      </c>
      <c r="Q4525" s="40" t="s">
        <v>17371</v>
      </c>
      <c r="R4525" s="33" t="s">
        <v>23</v>
      </c>
      <c r="S4525" s="33" t="s">
        <v>22</v>
      </c>
      <c r="T4525" s="33" t="s">
        <v>26774</v>
      </c>
      <c r="U4525" s="33" t="s">
        <v>26570</v>
      </c>
      <c r="V4525" s="33" t="s">
        <v>26573</v>
      </c>
      <c r="W4525" s="33" t="s">
        <v>512</v>
      </c>
      <c r="X4525" s="33">
        <v>1028</v>
      </c>
      <c r="Z4525" s="33" t="s">
        <v>42968</v>
      </c>
      <c r="AA4525" s="33">
        <v>3141</v>
      </c>
    </row>
    <row r="4526" spans="1:27" ht="12" customHeight="1" x14ac:dyDescent="0.15">
      <c r="A4526" s="33" t="s">
        <v>17375</v>
      </c>
      <c r="B4526" s="33">
        <v>28</v>
      </c>
      <c r="C4526" s="33" t="s">
        <v>14</v>
      </c>
      <c r="D4526" s="33" t="s">
        <v>42</v>
      </c>
      <c r="F4526" s="67">
        <v>42330</v>
      </c>
      <c r="G4526" s="33" t="s">
        <v>17376</v>
      </c>
      <c r="H4526" s="33" t="s">
        <v>1212</v>
      </c>
      <c r="I4526" s="33" t="s">
        <v>192</v>
      </c>
      <c r="J4526" s="33" t="s">
        <v>15111</v>
      </c>
      <c r="K4526" s="33" t="s">
        <v>1212</v>
      </c>
      <c r="L4526" s="33" t="s">
        <v>1213</v>
      </c>
      <c r="M4526" s="33" t="s">
        <v>21</v>
      </c>
      <c r="N4526" s="33" t="s">
        <v>19178</v>
      </c>
      <c r="P4526" s="33" t="s">
        <v>30089</v>
      </c>
      <c r="Q4526" s="40" t="s">
        <v>17377</v>
      </c>
      <c r="R4526" s="33" t="s">
        <v>23</v>
      </c>
      <c r="S4526" s="33" t="s">
        <v>22</v>
      </c>
      <c r="T4526" s="33" t="s">
        <v>26781</v>
      </c>
      <c r="U4526" s="33" t="s">
        <v>26572</v>
      </c>
      <c r="V4526" s="33" t="s">
        <v>26573</v>
      </c>
      <c r="W4526" s="33" t="s">
        <v>94</v>
      </c>
      <c r="X4526" s="33">
        <v>1029</v>
      </c>
      <c r="Z4526" s="33" t="s">
        <v>42966</v>
      </c>
      <c r="AA4526" s="33">
        <v>3138</v>
      </c>
    </row>
    <row r="4527" spans="1:27" ht="12" customHeight="1" x14ac:dyDescent="0.15">
      <c r="A4527" s="33" t="s">
        <v>17378</v>
      </c>
      <c r="B4527" s="33">
        <v>45</v>
      </c>
      <c r="C4527" s="33" t="s">
        <v>14</v>
      </c>
      <c r="D4527" s="33" t="s">
        <v>31</v>
      </c>
      <c r="E4527" s="33" t="s">
        <v>17568</v>
      </c>
      <c r="F4527" s="67">
        <v>42330</v>
      </c>
      <c r="G4527" s="33" t="s">
        <v>17379</v>
      </c>
      <c r="H4527" s="33" t="s">
        <v>1506</v>
      </c>
      <c r="I4527" s="33" t="s">
        <v>250</v>
      </c>
      <c r="J4527" s="33" t="s">
        <v>6816</v>
      </c>
      <c r="K4527" s="33" t="s">
        <v>5732</v>
      </c>
      <c r="L4527" s="33" t="s">
        <v>6817</v>
      </c>
      <c r="M4527" s="33" t="s">
        <v>21</v>
      </c>
      <c r="N4527" s="33" t="s">
        <v>19179</v>
      </c>
      <c r="P4527" s="33" t="s">
        <v>30089</v>
      </c>
      <c r="Q4527" s="40" t="s">
        <v>17380</v>
      </c>
      <c r="R4527" s="33" t="s">
        <v>94</v>
      </c>
      <c r="S4527" s="33" t="s">
        <v>22</v>
      </c>
      <c r="T4527" s="33" t="s">
        <v>26781</v>
      </c>
      <c r="U4527" s="33" t="s">
        <v>26572</v>
      </c>
      <c r="V4527" s="33" t="s">
        <v>26573</v>
      </c>
      <c r="W4527" s="33" t="s">
        <v>94</v>
      </c>
      <c r="X4527" s="33">
        <v>1027</v>
      </c>
      <c r="Z4527" s="33" t="s">
        <v>42968</v>
      </c>
      <c r="AA4527" s="33">
        <v>3137</v>
      </c>
    </row>
    <row r="4528" spans="1:27" ht="12" customHeight="1" x14ac:dyDescent="0.15">
      <c r="A4528" s="33" t="s">
        <v>17381</v>
      </c>
      <c r="B4528" s="33">
        <v>47</v>
      </c>
      <c r="C4528" s="33" t="s">
        <v>14</v>
      </c>
      <c r="D4528" s="33" t="s">
        <v>31</v>
      </c>
      <c r="E4528" s="33" t="s">
        <v>17549</v>
      </c>
      <c r="F4528" s="67">
        <v>42330</v>
      </c>
      <c r="G4528" s="33" t="s">
        <v>17382</v>
      </c>
      <c r="H4528" s="33" t="s">
        <v>387</v>
      </c>
      <c r="I4528" s="33" t="s">
        <v>39</v>
      </c>
      <c r="J4528" s="33" t="s">
        <v>20776</v>
      </c>
      <c r="K4528" s="33" t="s">
        <v>288</v>
      </c>
      <c r="L4528" s="33" t="s">
        <v>388</v>
      </c>
      <c r="M4528" s="33" t="s">
        <v>21</v>
      </c>
      <c r="N4528" s="33" t="s">
        <v>19180</v>
      </c>
      <c r="P4528" s="33" t="s">
        <v>30089</v>
      </c>
      <c r="Q4528" s="40" t="s">
        <v>17383</v>
      </c>
      <c r="R4528" s="33" t="s">
        <v>512</v>
      </c>
      <c r="S4528" s="33" t="s">
        <v>22</v>
      </c>
      <c r="T4528" s="33" t="s">
        <v>26774</v>
      </c>
      <c r="U4528" s="33" t="s">
        <v>26572</v>
      </c>
      <c r="V4528" s="33" t="s">
        <v>26573</v>
      </c>
      <c r="W4528" s="33" t="s">
        <v>94</v>
      </c>
      <c r="X4528" s="33">
        <v>1025</v>
      </c>
      <c r="Z4528" s="33" t="s">
        <v>42968</v>
      </c>
      <c r="AA4528" s="33">
        <v>3139</v>
      </c>
    </row>
    <row r="4529" spans="1:27" ht="12" customHeight="1" x14ac:dyDescent="0.15">
      <c r="A4529" s="33" t="s">
        <v>17384</v>
      </c>
      <c r="B4529" s="33">
        <v>24</v>
      </c>
      <c r="C4529" s="33" t="s">
        <v>14</v>
      </c>
      <c r="D4529" s="33" t="s">
        <v>31</v>
      </c>
      <c r="E4529" s="33" t="s">
        <v>17545</v>
      </c>
      <c r="F4529" s="67">
        <v>42329</v>
      </c>
      <c r="G4529" s="33" t="s">
        <v>17385</v>
      </c>
      <c r="H4529" s="33" t="s">
        <v>89</v>
      </c>
      <c r="I4529" s="33" t="s">
        <v>367</v>
      </c>
      <c r="J4529" s="33" t="s">
        <v>20766</v>
      </c>
      <c r="K4529" s="33" t="s">
        <v>20767</v>
      </c>
      <c r="L4529" s="33" t="s">
        <v>17386</v>
      </c>
      <c r="M4529" s="33" t="s">
        <v>21</v>
      </c>
      <c r="N4529" s="33" t="s">
        <v>30078</v>
      </c>
      <c r="P4529" s="33" t="s">
        <v>30089</v>
      </c>
      <c r="Q4529" s="40" t="s">
        <v>17387</v>
      </c>
      <c r="R4529" s="33" t="s">
        <v>23</v>
      </c>
      <c r="S4529" s="33" t="s">
        <v>12</v>
      </c>
      <c r="T4529" s="33" t="s">
        <v>29705</v>
      </c>
      <c r="U4529" s="33" t="s">
        <v>26572</v>
      </c>
      <c r="V4529" s="33" t="s">
        <v>26574</v>
      </c>
      <c r="W4529" s="33" t="s">
        <v>94</v>
      </c>
      <c r="X4529" s="33">
        <v>1026</v>
      </c>
      <c r="Z4529" s="33" t="s">
        <v>42967</v>
      </c>
      <c r="AA4529" s="33">
        <v>3136</v>
      </c>
    </row>
    <row r="4530" spans="1:27" ht="12" customHeight="1" x14ac:dyDescent="0.15">
      <c r="A4530" s="33" t="s">
        <v>36962</v>
      </c>
      <c r="B4530" s="33">
        <v>56</v>
      </c>
      <c r="C4530" s="33" t="s">
        <v>14</v>
      </c>
      <c r="D4530" s="33" t="s">
        <v>42</v>
      </c>
      <c r="F4530" s="67">
        <v>42328</v>
      </c>
      <c r="G4530" s="33" t="s">
        <v>17388</v>
      </c>
      <c r="H4530" s="33" t="s">
        <v>387</v>
      </c>
      <c r="I4530" s="33" t="s">
        <v>39</v>
      </c>
      <c r="J4530" s="33" t="s">
        <v>20777</v>
      </c>
      <c r="K4530" s="33" t="s">
        <v>288</v>
      </c>
      <c r="L4530" s="33" t="s">
        <v>388</v>
      </c>
      <c r="M4530" s="33" t="s">
        <v>21</v>
      </c>
      <c r="N4530" s="33" t="s">
        <v>30080</v>
      </c>
      <c r="P4530" s="33" t="s">
        <v>30089</v>
      </c>
      <c r="Q4530" s="40" t="s">
        <v>17389</v>
      </c>
      <c r="R4530" s="33" t="s">
        <v>23</v>
      </c>
      <c r="S4530" s="33" t="s">
        <v>29</v>
      </c>
      <c r="T4530" s="33" t="s">
        <v>41840</v>
      </c>
      <c r="X4530" s="33">
        <v>2870</v>
      </c>
      <c r="Z4530" s="33" t="s">
        <v>42968</v>
      </c>
      <c r="AA4530" s="33">
        <v>3135</v>
      </c>
    </row>
    <row r="4531" spans="1:27" ht="12" customHeight="1" x14ac:dyDescent="0.15">
      <c r="A4531" s="33" t="s">
        <v>17390</v>
      </c>
      <c r="B4531" s="33">
        <v>32</v>
      </c>
      <c r="C4531" s="33" t="s">
        <v>14</v>
      </c>
      <c r="D4531" s="33" t="s">
        <v>31</v>
      </c>
      <c r="E4531" s="33" t="s">
        <v>17544</v>
      </c>
      <c r="F4531" s="67">
        <v>42328</v>
      </c>
      <c r="G4531" s="33" t="s">
        <v>17391</v>
      </c>
      <c r="H4531" s="33" t="s">
        <v>17392</v>
      </c>
      <c r="I4531" s="33" t="s">
        <v>160</v>
      </c>
      <c r="J4531" s="33" t="s">
        <v>20785</v>
      </c>
      <c r="K4531" s="33" t="s">
        <v>20786</v>
      </c>
      <c r="L4531" s="33" t="s">
        <v>36914</v>
      </c>
      <c r="M4531" s="33" t="s">
        <v>363</v>
      </c>
      <c r="N4531" s="33" t="s">
        <v>30079</v>
      </c>
      <c r="P4531" s="33" t="s">
        <v>30089</v>
      </c>
      <c r="Q4531" s="40" t="s">
        <v>17393</v>
      </c>
      <c r="R4531" s="33" t="s">
        <v>23</v>
      </c>
      <c r="S4531" s="33" t="s">
        <v>12</v>
      </c>
      <c r="T4531" s="54" t="s">
        <v>29705</v>
      </c>
      <c r="Z4531" s="33" t="s">
        <v>42967</v>
      </c>
      <c r="AA4531" s="33">
        <v>3134</v>
      </c>
    </row>
    <row r="4532" spans="1:27" ht="12" customHeight="1" x14ac:dyDescent="0.15">
      <c r="A4532" s="33" t="s">
        <v>17295</v>
      </c>
      <c r="B4532" s="33">
        <v>29</v>
      </c>
      <c r="C4532" s="33" t="s">
        <v>14</v>
      </c>
      <c r="D4532" s="33" t="s">
        <v>79</v>
      </c>
      <c r="F4532" s="67">
        <v>42328</v>
      </c>
      <c r="G4532" s="33" t="s">
        <v>17296</v>
      </c>
      <c r="H4532" s="33" t="s">
        <v>324</v>
      </c>
      <c r="I4532" s="33" t="s">
        <v>39</v>
      </c>
      <c r="J4532" s="33" t="s">
        <v>17297</v>
      </c>
      <c r="K4532" s="33" t="s">
        <v>288</v>
      </c>
      <c r="L4532" s="33" t="s">
        <v>289</v>
      </c>
      <c r="M4532" s="33" t="s">
        <v>21</v>
      </c>
      <c r="N4532" s="33" t="s">
        <v>17298</v>
      </c>
      <c r="O4532" s="33" t="s">
        <v>372</v>
      </c>
      <c r="P4532" s="33" t="s">
        <v>30089</v>
      </c>
      <c r="Q4532" s="40" t="s">
        <v>17299</v>
      </c>
      <c r="R4532" s="33" t="s">
        <v>512</v>
      </c>
      <c r="S4532" s="33" t="s">
        <v>12</v>
      </c>
      <c r="T4532" s="33" t="s">
        <v>29705</v>
      </c>
      <c r="U4532" s="33" t="s">
        <v>26572</v>
      </c>
      <c r="V4532" s="33" t="s">
        <v>26573</v>
      </c>
      <c r="W4532" s="33" t="s">
        <v>94</v>
      </c>
      <c r="X4532" s="33">
        <v>1023</v>
      </c>
      <c r="Z4532" s="33" t="s">
        <v>42968</v>
      </c>
      <c r="AA4532" s="33">
        <v>3133</v>
      </c>
    </row>
    <row r="4533" spans="1:27" ht="12" customHeight="1" x14ac:dyDescent="0.15">
      <c r="A4533" s="33" t="s">
        <v>17394</v>
      </c>
      <c r="B4533" s="33">
        <v>39</v>
      </c>
      <c r="C4533" s="33" t="s">
        <v>14</v>
      </c>
      <c r="D4533" s="33" t="s">
        <v>31</v>
      </c>
      <c r="E4533" s="33" t="s">
        <v>17567</v>
      </c>
      <c r="F4533" s="67">
        <v>42328</v>
      </c>
      <c r="G4533" s="33" t="s">
        <v>17395</v>
      </c>
      <c r="H4533" s="33" t="s">
        <v>266</v>
      </c>
      <c r="I4533" s="33" t="s">
        <v>160</v>
      </c>
      <c r="J4533" s="33" t="s">
        <v>20771</v>
      </c>
      <c r="K4533" s="33" t="s">
        <v>20772</v>
      </c>
      <c r="L4533" s="33" t="s">
        <v>17396</v>
      </c>
      <c r="M4533" s="33" t="s">
        <v>21</v>
      </c>
      <c r="N4533" s="33" t="s">
        <v>19181</v>
      </c>
      <c r="P4533" s="33" t="s">
        <v>30089</v>
      </c>
      <c r="Q4533" s="40" t="s">
        <v>17397</v>
      </c>
      <c r="R4533" s="33" t="s">
        <v>512</v>
      </c>
      <c r="S4533" s="33" t="s">
        <v>22</v>
      </c>
      <c r="T4533" s="33" t="s">
        <v>26781</v>
      </c>
      <c r="U4533" s="33" t="s">
        <v>26572</v>
      </c>
      <c r="V4533" s="33" t="s">
        <v>26573</v>
      </c>
      <c r="W4533" s="33" t="s">
        <v>94</v>
      </c>
      <c r="X4533" s="33">
        <v>1024</v>
      </c>
      <c r="Z4533" s="33" t="s">
        <v>42968</v>
      </c>
      <c r="AA4533" s="33">
        <v>3132</v>
      </c>
    </row>
    <row r="4534" spans="1:27" ht="12" customHeight="1" x14ac:dyDescent="0.15">
      <c r="A4534" s="33" t="s">
        <v>17283</v>
      </c>
      <c r="B4534" s="33">
        <v>34</v>
      </c>
      <c r="C4534" s="33" t="s">
        <v>14</v>
      </c>
      <c r="D4534" s="33" t="s">
        <v>79</v>
      </c>
      <c r="E4534" s="33" t="s">
        <v>17284</v>
      </c>
      <c r="F4534" s="67">
        <v>42327</v>
      </c>
      <c r="G4534" s="33" t="s">
        <v>17285</v>
      </c>
      <c r="H4534" s="33" t="s">
        <v>3277</v>
      </c>
      <c r="I4534" s="33" t="s">
        <v>56</v>
      </c>
      <c r="J4534" s="33" t="s">
        <v>6893</v>
      </c>
      <c r="K4534" s="33" t="s">
        <v>3279</v>
      </c>
      <c r="L4534" s="33" t="s">
        <v>3280</v>
      </c>
      <c r="M4534" s="33" t="s">
        <v>21</v>
      </c>
      <c r="N4534" s="33" t="s">
        <v>17286</v>
      </c>
      <c r="O4534" s="33" t="s">
        <v>372</v>
      </c>
      <c r="P4534" s="33" t="s">
        <v>30089</v>
      </c>
      <c r="Q4534" s="40" t="s">
        <v>17287</v>
      </c>
      <c r="R4534" s="33" t="s">
        <v>23</v>
      </c>
      <c r="S4534" s="33" t="s">
        <v>22</v>
      </c>
      <c r="T4534" s="33" t="s">
        <v>26781</v>
      </c>
      <c r="U4534" s="33" t="s">
        <v>26572</v>
      </c>
      <c r="W4534" s="33" t="s">
        <v>94</v>
      </c>
      <c r="X4534" s="33">
        <v>1020</v>
      </c>
      <c r="Z4534" s="33" t="s">
        <v>42968</v>
      </c>
      <c r="AA4534" s="33">
        <v>3129</v>
      </c>
    </row>
    <row r="4535" spans="1:27" ht="12" customHeight="1" x14ac:dyDescent="0.15">
      <c r="A4535" s="33" t="s">
        <v>17288</v>
      </c>
      <c r="B4535" s="33">
        <v>27</v>
      </c>
      <c r="C4535" s="33" t="s">
        <v>14</v>
      </c>
      <c r="D4535" s="33" t="s">
        <v>79</v>
      </c>
      <c r="E4535" s="33" t="s">
        <v>17289</v>
      </c>
      <c r="F4535" s="67">
        <v>42327</v>
      </c>
      <c r="G4535" s="33" t="s">
        <v>17290</v>
      </c>
      <c r="H4535" s="33" t="s">
        <v>2991</v>
      </c>
      <c r="I4535" s="33" t="s">
        <v>56</v>
      </c>
      <c r="J4535" s="33" t="s">
        <v>17291</v>
      </c>
      <c r="K4535" s="33" t="s">
        <v>2993</v>
      </c>
      <c r="L4535" s="33" t="s">
        <v>17292</v>
      </c>
      <c r="M4535" s="33" t="s">
        <v>21</v>
      </c>
      <c r="N4535" s="33" t="s">
        <v>17293</v>
      </c>
      <c r="O4535" s="33" t="s">
        <v>372</v>
      </c>
      <c r="P4535" s="33" t="s">
        <v>30089</v>
      </c>
      <c r="Q4535" s="40" t="s">
        <v>17294</v>
      </c>
      <c r="R4535" s="33" t="s">
        <v>94</v>
      </c>
      <c r="S4535" s="33" t="s">
        <v>22</v>
      </c>
      <c r="T4535" s="33" t="s">
        <v>26774</v>
      </c>
      <c r="U4535" s="33" t="s">
        <v>26572</v>
      </c>
      <c r="V4535" s="33" t="s">
        <v>26573</v>
      </c>
      <c r="W4535" s="33" t="s">
        <v>94</v>
      </c>
      <c r="X4535" s="33">
        <v>1021</v>
      </c>
      <c r="Z4535" s="33" t="s">
        <v>42968</v>
      </c>
      <c r="AA4535" s="33">
        <v>3130</v>
      </c>
    </row>
    <row r="4536" spans="1:27" ht="12" customHeight="1" x14ac:dyDescent="0.15">
      <c r="A4536" s="33" t="s">
        <v>17300</v>
      </c>
      <c r="B4536" s="33">
        <v>34</v>
      </c>
      <c r="C4536" s="33" t="s">
        <v>14</v>
      </c>
      <c r="D4536" s="33" t="s">
        <v>79</v>
      </c>
      <c r="E4536" s="33" t="s">
        <v>17548</v>
      </c>
      <c r="F4536" s="67">
        <v>42327</v>
      </c>
      <c r="G4536" s="33" t="s">
        <v>17301</v>
      </c>
      <c r="H4536" s="33" t="s">
        <v>107</v>
      </c>
      <c r="I4536" s="33" t="s">
        <v>3357</v>
      </c>
      <c r="J4536" s="33" t="s">
        <v>9681</v>
      </c>
      <c r="K4536" s="33" t="s">
        <v>3359</v>
      </c>
      <c r="L4536" s="33" t="s">
        <v>17581</v>
      </c>
      <c r="M4536" s="33" t="s">
        <v>21</v>
      </c>
      <c r="N4536" s="33" t="s">
        <v>17302</v>
      </c>
      <c r="O4536" s="33" t="s">
        <v>372</v>
      </c>
      <c r="P4536" s="33" t="s">
        <v>30089</v>
      </c>
      <c r="Q4536" s="40" t="s">
        <v>17303</v>
      </c>
      <c r="R4536" s="33" t="s">
        <v>23</v>
      </c>
      <c r="S4536" s="33" t="s">
        <v>22</v>
      </c>
      <c r="T4536" s="33" t="s">
        <v>26774</v>
      </c>
      <c r="U4536" s="33" t="s">
        <v>26570</v>
      </c>
      <c r="V4536" s="33" t="s">
        <v>26573</v>
      </c>
      <c r="W4536" s="33" t="s">
        <v>94</v>
      </c>
      <c r="X4536" s="33">
        <v>1022</v>
      </c>
      <c r="Z4536" s="33" t="s">
        <v>42966</v>
      </c>
      <c r="AA4536" s="33">
        <v>3131</v>
      </c>
    </row>
    <row r="4537" spans="1:27" ht="12" customHeight="1" x14ac:dyDescent="0.15">
      <c r="A4537" s="33" t="s">
        <v>18529</v>
      </c>
      <c r="B4537" s="33">
        <v>30</v>
      </c>
      <c r="C4537" s="33" t="s">
        <v>103</v>
      </c>
      <c r="D4537" s="33" t="s">
        <v>79</v>
      </c>
      <c r="E4537" s="33" t="s">
        <v>18530</v>
      </c>
      <c r="F4537" s="67">
        <v>42326</v>
      </c>
      <c r="G4537" s="33" t="s">
        <v>18531</v>
      </c>
      <c r="H4537" s="33" t="s">
        <v>2178</v>
      </c>
      <c r="I4537" s="33" t="s">
        <v>198</v>
      </c>
      <c r="K4537" s="33" t="s">
        <v>19220</v>
      </c>
      <c r="L4537" s="33" t="s">
        <v>10476</v>
      </c>
      <c r="M4537" s="33" t="s">
        <v>21</v>
      </c>
      <c r="N4537" s="33" t="s">
        <v>18540</v>
      </c>
      <c r="O4537" s="33" t="s">
        <v>19483</v>
      </c>
      <c r="P4537" s="33" t="s">
        <v>1084</v>
      </c>
      <c r="Q4537" s="40" t="s">
        <v>18532</v>
      </c>
      <c r="R4537" s="33" t="s">
        <v>94</v>
      </c>
      <c r="S4537" s="33" t="s">
        <v>12</v>
      </c>
      <c r="T4537" s="54" t="s">
        <v>29705</v>
      </c>
      <c r="Y4537" s="33" t="s">
        <v>42476</v>
      </c>
      <c r="Z4537" s="33" t="e">
        <v>#N/A</v>
      </c>
      <c r="AA4537" s="33">
        <v>3128</v>
      </c>
    </row>
    <row r="4538" spans="1:27" ht="12" customHeight="1" x14ac:dyDescent="0.15">
      <c r="A4538" s="33" t="s">
        <v>17277</v>
      </c>
      <c r="B4538" s="33">
        <v>44</v>
      </c>
      <c r="C4538" s="33" t="s">
        <v>14</v>
      </c>
      <c r="D4538" s="33" t="s">
        <v>79</v>
      </c>
      <c r="E4538" s="33" t="s">
        <v>17278</v>
      </c>
      <c r="F4538" s="67">
        <v>42326</v>
      </c>
      <c r="G4538" s="33" t="s">
        <v>17279</v>
      </c>
      <c r="H4538" s="33" t="s">
        <v>271</v>
      </c>
      <c r="I4538" s="33" t="s">
        <v>51</v>
      </c>
      <c r="J4538" s="33" t="s">
        <v>17280</v>
      </c>
      <c r="K4538" s="33" t="s">
        <v>9185</v>
      </c>
      <c r="L4538" s="33" t="s">
        <v>3627</v>
      </c>
      <c r="M4538" s="33" t="s">
        <v>21</v>
      </c>
      <c r="N4538" s="33" t="s">
        <v>17281</v>
      </c>
      <c r="O4538" s="33" t="s">
        <v>950</v>
      </c>
      <c r="P4538" s="33" t="s">
        <v>30089</v>
      </c>
      <c r="Q4538" s="40" t="s">
        <v>17282</v>
      </c>
      <c r="R4538" s="33" t="s">
        <v>23</v>
      </c>
      <c r="S4538" s="33" t="s">
        <v>22</v>
      </c>
      <c r="T4538" s="33" t="s">
        <v>26781</v>
      </c>
      <c r="U4538" s="33" t="s">
        <v>26572</v>
      </c>
      <c r="V4538" s="33" t="s">
        <v>26573</v>
      </c>
      <c r="W4538" s="33" t="s">
        <v>94</v>
      </c>
      <c r="X4538" s="33">
        <v>1019</v>
      </c>
      <c r="Z4538" s="33" t="s">
        <v>42968</v>
      </c>
      <c r="AA4538" s="33">
        <v>3126</v>
      </c>
    </row>
    <row r="4539" spans="1:27" ht="12" customHeight="1" x14ac:dyDescent="0.15">
      <c r="A4539" s="33" t="s">
        <v>17271</v>
      </c>
      <c r="B4539" s="33">
        <v>25</v>
      </c>
      <c r="C4539" s="33" t="s">
        <v>14</v>
      </c>
      <c r="D4539" s="33" t="s">
        <v>79</v>
      </c>
      <c r="E4539" s="33" t="s">
        <v>17272</v>
      </c>
      <c r="F4539" s="67">
        <v>42326</v>
      </c>
      <c r="G4539" s="33" t="s">
        <v>17273</v>
      </c>
      <c r="H4539" s="33" t="s">
        <v>17274</v>
      </c>
      <c r="I4539" s="33" t="s">
        <v>56</v>
      </c>
      <c r="J4539" s="33" t="s">
        <v>17275</v>
      </c>
      <c r="K4539" s="33" t="s">
        <v>148</v>
      </c>
      <c r="L4539" s="33" t="s">
        <v>15699</v>
      </c>
      <c r="M4539" s="33" t="s">
        <v>21</v>
      </c>
      <c r="N4539" s="33" t="s">
        <v>27761</v>
      </c>
      <c r="O4539" s="33" t="s">
        <v>372</v>
      </c>
      <c r="P4539" s="33" t="s">
        <v>30089</v>
      </c>
      <c r="Q4539" s="40" t="s">
        <v>17276</v>
      </c>
      <c r="R4539" s="33" t="s">
        <v>23</v>
      </c>
      <c r="S4539" s="33" t="s">
        <v>12</v>
      </c>
      <c r="T4539" s="33" t="s">
        <v>27762</v>
      </c>
      <c r="U4539" s="33" t="s">
        <v>26570</v>
      </c>
      <c r="V4539" s="33" t="s">
        <v>26573</v>
      </c>
      <c r="W4539" s="33" t="s">
        <v>94</v>
      </c>
      <c r="X4539" s="33">
        <v>1017</v>
      </c>
      <c r="Z4539" s="33" t="s">
        <v>42968</v>
      </c>
      <c r="AA4539" s="33">
        <v>3127</v>
      </c>
    </row>
    <row r="4540" spans="1:27" ht="12" customHeight="1" x14ac:dyDescent="0.15">
      <c r="A4540" s="33" t="s">
        <v>17261</v>
      </c>
      <c r="B4540" s="33">
        <v>30</v>
      </c>
      <c r="C4540" s="33" t="s">
        <v>14</v>
      </c>
      <c r="D4540" s="33" t="s">
        <v>79</v>
      </c>
      <c r="E4540" s="33" t="s">
        <v>17262</v>
      </c>
      <c r="F4540" s="67">
        <v>42325</v>
      </c>
      <c r="G4540" s="33" t="s">
        <v>17263</v>
      </c>
      <c r="H4540" s="33" t="s">
        <v>674</v>
      </c>
      <c r="I4540" s="33" t="s">
        <v>67</v>
      </c>
      <c r="J4540" s="33" t="s">
        <v>10219</v>
      </c>
      <c r="K4540" s="33" t="s">
        <v>515</v>
      </c>
      <c r="L4540" s="33" t="s">
        <v>516</v>
      </c>
      <c r="M4540" s="33" t="s">
        <v>21</v>
      </c>
      <c r="N4540" s="33" t="s">
        <v>17264</v>
      </c>
      <c r="O4540" s="33" t="s">
        <v>4311</v>
      </c>
      <c r="P4540" s="33" t="s">
        <v>30089</v>
      </c>
      <c r="Q4540" s="40" t="s">
        <v>17265</v>
      </c>
      <c r="R4540" s="33" t="s">
        <v>23</v>
      </c>
      <c r="S4540" s="33" t="s">
        <v>351</v>
      </c>
      <c r="T4540" s="33" t="s">
        <v>26867</v>
      </c>
      <c r="U4540" s="33" t="s">
        <v>26570</v>
      </c>
      <c r="V4540" s="33" t="s">
        <v>26571</v>
      </c>
      <c r="W4540" s="33" t="s">
        <v>94</v>
      </c>
      <c r="X4540" s="33">
        <v>1015</v>
      </c>
      <c r="Z4540" s="33" t="s">
        <v>42968</v>
      </c>
      <c r="AA4540" s="33">
        <v>3125</v>
      </c>
    </row>
    <row r="4541" spans="1:27" ht="12" customHeight="1" x14ac:dyDescent="0.15">
      <c r="A4541" s="33" t="s">
        <v>17266</v>
      </c>
      <c r="B4541" s="33">
        <v>28</v>
      </c>
      <c r="C4541" s="33" t="s">
        <v>14</v>
      </c>
      <c r="D4541" s="33" t="s">
        <v>79</v>
      </c>
      <c r="E4541" s="33" t="s">
        <v>17267</v>
      </c>
      <c r="F4541" s="67">
        <v>42325</v>
      </c>
      <c r="G4541" s="33" t="s">
        <v>17268</v>
      </c>
      <c r="H4541" s="33" t="s">
        <v>196</v>
      </c>
      <c r="I4541" s="33" t="s">
        <v>56</v>
      </c>
      <c r="J4541" s="33" t="s">
        <v>10361</v>
      </c>
      <c r="K4541" s="33" t="s">
        <v>148</v>
      </c>
      <c r="L4541" s="33" t="s">
        <v>149</v>
      </c>
      <c r="M4541" s="33" t="s">
        <v>21</v>
      </c>
      <c r="N4541" s="33" t="s">
        <v>17269</v>
      </c>
      <c r="O4541" s="33" t="s">
        <v>4311</v>
      </c>
      <c r="P4541" s="33" t="s">
        <v>30089</v>
      </c>
      <c r="Q4541" s="40" t="s">
        <v>17270</v>
      </c>
      <c r="R4541" s="33" t="s">
        <v>512</v>
      </c>
      <c r="S4541" s="33" t="s">
        <v>22</v>
      </c>
      <c r="T4541" s="33" t="s">
        <v>26781</v>
      </c>
      <c r="U4541" s="33" t="s">
        <v>26572</v>
      </c>
      <c r="V4541" s="33" t="s">
        <v>26574</v>
      </c>
      <c r="W4541" s="33" t="s">
        <v>94</v>
      </c>
      <c r="X4541" s="33">
        <v>1010</v>
      </c>
      <c r="Z4541" s="33" t="s">
        <v>42968</v>
      </c>
      <c r="AA4541" s="33">
        <v>3120</v>
      </c>
    </row>
    <row r="4542" spans="1:27" ht="12" customHeight="1" x14ac:dyDescent="0.15">
      <c r="A4542" s="33" t="s">
        <v>17402</v>
      </c>
      <c r="B4542" s="33">
        <v>47</v>
      </c>
      <c r="C4542" s="33" t="s">
        <v>14</v>
      </c>
      <c r="D4542" s="33" t="s">
        <v>31</v>
      </c>
      <c r="E4542" s="33" t="s">
        <v>17547</v>
      </c>
      <c r="F4542" s="67">
        <v>42325</v>
      </c>
      <c r="G4542" s="33" t="s">
        <v>17403</v>
      </c>
      <c r="H4542" s="33" t="s">
        <v>17404</v>
      </c>
      <c r="I4542" s="33" t="s">
        <v>75</v>
      </c>
      <c r="J4542" s="33">
        <v>8087</v>
      </c>
      <c r="K4542" s="33" t="s">
        <v>595</v>
      </c>
      <c r="L4542" s="33" t="s">
        <v>17405</v>
      </c>
      <c r="M4542" s="33" t="s">
        <v>21</v>
      </c>
      <c r="N4542" s="33" t="s">
        <v>19182</v>
      </c>
      <c r="P4542" s="33" t="s">
        <v>30089</v>
      </c>
      <c r="Q4542" s="40" t="s">
        <v>17406</v>
      </c>
      <c r="R4542" s="33" t="s">
        <v>512</v>
      </c>
      <c r="S4542" s="33" t="s">
        <v>22</v>
      </c>
      <c r="T4542" s="33" t="s">
        <v>26781</v>
      </c>
      <c r="U4542" s="33" t="s">
        <v>26572</v>
      </c>
      <c r="V4542" s="33" t="s">
        <v>26573</v>
      </c>
      <c r="W4542" s="33" t="s">
        <v>94</v>
      </c>
      <c r="X4542" s="33">
        <v>1018</v>
      </c>
      <c r="Z4542" s="33" t="s">
        <v>42968</v>
      </c>
      <c r="AA4542" s="33">
        <v>3122</v>
      </c>
    </row>
    <row r="4543" spans="1:27" ht="12" customHeight="1" x14ac:dyDescent="0.15">
      <c r="A4543" s="33" t="s">
        <v>17407</v>
      </c>
      <c r="B4543" s="33">
        <v>58</v>
      </c>
      <c r="C4543" s="33" t="s">
        <v>14</v>
      </c>
      <c r="D4543" s="33" t="s">
        <v>31</v>
      </c>
      <c r="F4543" s="67">
        <v>42325</v>
      </c>
      <c r="G4543" s="33" t="s">
        <v>17408</v>
      </c>
      <c r="H4543" s="33" t="s">
        <v>787</v>
      </c>
      <c r="I4543" s="33" t="s">
        <v>160</v>
      </c>
      <c r="J4543" s="33" t="s">
        <v>30055</v>
      </c>
      <c r="K4543" s="33" t="s">
        <v>5619</v>
      </c>
      <c r="L4543" s="33" t="s">
        <v>17409</v>
      </c>
      <c r="M4543" s="33" t="s">
        <v>21</v>
      </c>
      <c r="N4543" s="33" t="s">
        <v>30056</v>
      </c>
      <c r="O4543" s="33" t="s">
        <v>372</v>
      </c>
      <c r="P4543" s="33" t="s">
        <v>30089</v>
      </c>
      <c r="Q4543" s="40" t="s">
        <v>17410</v>
      </c>
      <c r="R4543" s="33" t="s">
        <v>23</v>
      </c>
      <c r="S4543" s="33" t="s">
        <v>12</v>
      </c>
      <c r="T4543" s="33" t="s">
        <v>29705</v>
      </c>
      <c r="U4543" s="33" t="s">
        <v>26570</v>
      </c>
      <c r="V4543" s="33" t="s">
        <v>26573</v>
      </c>
      <c r="W4543" s="33" t="s">
        <v>94</v>
      </c>
      <c r="X4543" s="33">
        <v>1016</v>
      </c>
      <c r="Z4543" s="33" t="s">
        <v>42967</v>
      </c>
      <c r="AA4543" s="33">
        <v>3123</v>
      </c>
    </row>
    <row r="4544" spans="1:27" ht="12" customHeight="1" x14ac:dyDescent="0.15">
      <c r="A4544" s="33" t="s">
        <v>17399</v>
      </c>
      <c r="B4544" s="33">
        <v>41</v>
      </c>
      <c r="C4544" s="33" t="s">
        <v>14</v>
      </c>
      <c r="D4544" s="33" t="s">
        <v>31</v>
      </c>
      <c r="F4544" s="67">
        <v>42325</v>
      </c>
      <c r="G4544" s="33" t="s">
        <v>17400</v>
      </c>
      <c r="H4544" s="33" t="s">
        <v>1515</v>
      </c>
      <c r="I4544" s="33" t="s">
        <v>67</v>
      </c>
      <c r="J4544" s="33" t="s">
        <v>20822</v>
      </c>
      <c r="K4544" s="33" t="s">
        <v>1517</v>
      </c>
      <c r="L4544" s="33" t="s">
        <v>1518</v>
      </c>
      <c r="M4544" s="33" t="s">
        <v>21</v>
      </c>
      <c r="N4544" s="54" t="s">
        <v>36745</v>
      </c>
      <c r="O4544" s="33" t="s">
        <v>372</v>
      </c>
      <c r="P4544" s="33" t="s">
        <v>30089</v>
      </c>
      <c r="Q4544" s="40" t="s">
        <v>17401</v>
      </c>
      <c r="R4544" s="33" t="s">
        <v>23</v>
      </c>
      <c r="S4544" s="33" t="s">
        <v>12</v>
      </c>
      <c r="T4544" s="33" t="s">
        <v>29705</v>
      </c>
      <c r="U4544" s="33" t="s">
        <v>26575</v>
      </c>
      <c r="V4544" s="33" t="s">
        <v>26571</v>
      </c>
      <c r="W4544" s="33" t="s">
        <v>94</v>
      </c>
      <c r="X4544" s="33">
        <v>1141</v>
      </c>
      <c r="Z4544" s="33" t="s">
        <v>42967</v>
      </c>
      <c r="AA4544" s="33">
        <v>3124</v>
      </c>
    </row>
    <row r="4545" spans="1:27" ht="12" customHeight="1" x14ac:dyDescent="0.15">
      <c r="A4545" s="33" t="s">
        <v>17253</v>
      </c>
      <c r="B4545" s="33">
        <v>21</v>
      </c>
      <c r="C4545" s="33" t="s">
        <v>14</v>
      </c>
      <c r="D4545" s="33" t="s">
        <v>79</v>
      </c>
      <c r="E4545" s="33" t="s">
        <v>17254</v>
      </c>
      <c r="F4545" s="67">
        <v>42325</v>
      </c>
      <c r="G4545" s="33" t="s">
        <v>17255</v>
      </c>
      <c r="H4545" s="33" t="s">
        <v>17256</v>
      </c>
      <c r="I4545" s="33" t="s">
        <v>26</v>
      </c>
      <c r="J4545" s="33" t="s">
        <v>17257</v>
      </c>
      <c r="K4545" s="33" t="s">
        <v>947</v>
      </c>
      <c r="L4545" s="33" t="s">
        <v>17258</v>
      </c>
      <c r="M4545" s="33" t="s">
        <v>21</v>
      </c>
      <c r="N4545" s="33" t="s">
        <v>17259</v>
      </c>
      <c r="O4545" s="33" t="s">
        <v>4311</v>
      </c>
      <c r="P4545" s="33" t="s">
        <v>30089</v>
      </c>
      <c r="Q4545" s="40" t="s">
        <v>17260</v>
      </c>
      <c r="R4545" s="33" t="s">
        <v>512</v>
      </c>
      <c r="S4545" s="33" t="s">
        <v>22</v>
      </c>
      <c r="T4545" s="33" t="s">
        <v>26781</v>
      </c>
      <c r="U4545" s="33" t="s">
        <v>26572</v>
      </c>
      <c r="V4545" s="33" t="s">
        <v>26573</v>
      </c>
      <c r="W4545" s="33" t="s">
        <v>94</v>
      </c>
      <c r="X4545" s="33">
        <v>1011</v>
      </c>
      <c r="Z4545" s="33" t="s">
        <v>42968</v>
      </c>
      <c r="AA4545" s="33">
        <v>3121</v>
      </c>
    </row>
    <row r="4546" spans="1:27" ht="12" customHeight="1" x14ac:dyDescent="0.15">
      <c r="A4546" s="33" t="s">
        <v>17411</v>
      </c>
      <c r="B4546" s="33">
        <v>25</v>
      </c>
      <c r="C4546" s="33" t="s">
        <v>14</v>
      </c>
      <c r="D4546" s="33" t="s">
        <v>31</v>
      </c>
      <c r="E4546" s="33" t="s">
        <v>17533</v>
      </c>
      <c r="F4546" s="67">
        <v>42324</v>
      </c>
      <c r="G4546" s="33" t="s">
        <v>17412</v>
      </c>
      <c r="H4546" s="33" t="s">
        <v>17413</v>
      </c>
      <c r="I4546" s="33" t="s">
        <v>160</v>
      </c>
      <c r="J4546" s="33" t="s">
        <v>20798</v>
      </c>
      <c r="K4546" s="33" t="s">
        <v>20799</v>
      </c>
      <c r="L4546" s="33" t="s">
        <v>17414</v>
      </c>
      <c r="M4546" s="33" t="s">
        <v>21</v>
      </c>
      <c r="N4546" s="33" t="s">
        <v>19114</v>
      </c>
      <c r="P4546" s="33" t="s">
        <v>30089</v>
      </c>
      <c r="Q4546" s="40" t="s">
        <v>17415</v>
      </c>
      <c r="R4546" s="33" t="s">
        <v>23</v>
      </c>
      <c r="S4546" s="33" t="s">
        <v>351</v>
      </c>
      <c r="T4546" s="33" t="s">
        <v>26867</v>
      </c>
      <c r="U4546" s="33" t="s">
        <v>26570</v>
      </c>
      <c r="V4546" s="33" t="s">
        <v>26571</v>
      </c>
      <c r="W4546" s="33" t="s">
        <v>94</v>
      </c>
      <c r="X4546" s="33">
        <v>1014</v>
      </c>
      <c r="Z4546" s="33" t="s">
        <v>42968</v>
      </c>
      <c r="AA4546" s="33">
        <v>3118</v>
      </c>
    </row>
    <row r="4547" spans="1:27" ht="12" customHeight="1" x14ac:dyDescent="0.15">
      <c r="A4547" s="33" t="s">
        <v>26705</v>
      </c>
      <c r="B4547" s="33">
        <v>28</v>
      </c>
      <c r="C4547" s="33" t="s">
        <v>14</v>
      </c>
      <c r="D4547" s="33" t="s">
        <v>31</v>
      </c>
      <c r="F4547" s="67">
        <v>42324</v>
      </c>
      <c r="G4547" s="33" t="s">
        <v>29925</v>
      </c>
      <c r="H4547" s="33" t="s">
        <v>9533</v>
      </c>
      <c r="I4547" s="33" t="s">
        <v>67</v>
      </c>
      <c r="J4547" s="33" t="s">
        <v>29926</v>
      </c>
      <c r="K4547" s="33" t="s">
        <v>3214</v>
      </c>
      <c r="L4547" s="33" t="s">
        <v>29927</v>
      </c>
      <c r="M4547" s="33" t="s">
        <v>21</v>
      </c>
      <c r="N4547" s="33" t="s">
        <v>29928</v>
      </c>
      <c r="O4547" s="33" t="s">
        <v>372</v>
      </c>
      <c r="P4547" s="33" t="s">
        <v>30089</v>
      </c>
      <c r="Q4547" s="40" t="s">
        <v>29929</v>
      </c>
      <c r="R4547" s="33" t="s">
        <v>94</v>
      </c>
      <c r="S4547" s="33" t="s">
        <v>351</v>
      </c>
      <c r="T4547" s="33" t="s">
        <v>26867</v>
      </c>
      <c r="U4547" s="33" t="s">
        <v>26575</v>
      </c>
      <c r="V4547" s="33" t="s">
        <v>26571</v>
      </c>
      <c r="W4547" s="33" t="s">
        <v>94</v>
      </c>
      <c r="X4547" s="33">
        <v>1228</v>
      </c>
      <c r="Z4547" s="33" t="s">
        <v>42967</v>
      </c>
      <c r="AA4547" s="33">
        <v>3119</v>
      </c>
    </row>
    <row r="4548" spans="1:27" ht="12" customHeight="1" x14ac:dyDescent="0.15">
      <c r="A4548" s="33" t="s">
        <v>18822</v>
      </c>
      <c r="B4548" s="33">
        <v>16</v>
      </c>
      <c r="C4548" s="33" t="s">
        <v>14</v>
      </c>
      <c r="D4548" s="33" t="s">
        <v>79</v>
      </c>
      <c r="E4548" s="33" t="s">
        <v>18821</v>
      </c>
      <c r="F4548" s="67">
        <v>42323</v>
      </c>
      <c r="G4548" s="33" t="s">
        <v>17416</v>
      </c>
      <c r="H4548" s="33" t="s">
        <v>1033</v>
      </c>
      <c r="I4548" s="33" t="s">
        <v>376</v>
      </c>
      <c r="J4548" s="33" t="s">
        <v>14832</v>
      </c>
      <c r="K4548" s="33" t="s">
        <v>1033</v>
      </c>
      <c r="L4548" s="33" t="s">
        <v>17417</v>
      </c>
      <c r="M4548" s="33" t="s">
        <v>21</v>
      </c>
      <c r="N4548" s="33" t="s">
        <v>18875</v>
      </c>
      <c r="O4548" s="33" t="s">
        <v>372</v>
      </c>
      <c r="P4548" s="33" t="s">
        <v>30089</v>
      </c>
      <c r="Q4548" s="40" t="s">
        <v>17418</v>
      </c>
      <c r="R4548" s="33" t="s">
        <v>23</v>
      </c>
      <c r="S4548" s="33" t="s">
        <v>29</v>
      </c>
      <c r="T4548" s="33" t="s">
        <v>26575</v>
      </c>
      <c r="U4548" s="33" t="s">
        <v>26572</v>
      </c>
      <c r="V4548" s="33" t="s">
        <v>26573</v>
      </c>
      <c r="W4548" s="33" t="s">
        <v>94</v>
      </c>
      <c r="X4548" s="33">
        <v>1009</v>
      </c>
      <c r="Y4548" s="33" t="s">
        <v>42476</v>
      </c>
      <c r="Z4548" s="33" t="s">
        <v>42966</v>
      </c>
      <c r="AA4548" s="33">
        <v>3117</v>
      </c>
    </row>
    <row r="4549" spans="1:27" ht="12" customHeight="1" x14ac:dyDescent="0.15">
      <c r="A4549" s="33" t="s">
        <v>17304</v>
      </c>
      <c r="B4549" s="33">
        <v>39</v>
      </c>
      <c r="C4549" s="33" t="s">
        <v>14</v>
      </c>
      <c r="D4549" s="33" t="s">
        <v>79</v>
      </c>
      <c r="E4549" s="33" t="s">
        <v>17305</v>
      </c>
      <c r="F4549" s="67">
        <v>42323</v>
      </c>
      <c r="G4549" s="33" t="s">
        <v>17306</v>
      </c>
      <c r="H4549" s="33" t="s">
        <v>557</v>
      </c>
      <c r="I4549" s="33" t="s">
        <v>39</v>
      </c>
      <c r="J4549" s="33" t="s">
        <v>5133</v>
      </c>
      <c r="K4549" s="33" t="s">
        <v>558</v>
      </c>
      <c r="L4549" s="33" t="s">
        <v>559</v>
      </c>
      <c r="M4549" s="33" t="s">
        <v>21</v>
      </c>
      <c r="N4549" s="33" t="s">
        <v>17307</v>
      </c>
      <c r="O4549" s="33" t="s">
        <v>372</v>
      </c>
      <c r="P4549" s="33" t="s">
        <v>30089</v>
      </c>
      <c r="Q4549" s="40" t="s">
        <v>17308</v>
      </c>
      <c r="R4549" s="33" t="s">
        <v>94</v>
      </c>
      <c r="S4549" s="33" t="s">
        <v>12</v>
      </c>
      <c r="T4549" s="33" t="s">
        <v>29425</v>
      </c>
      <c r="U4549" s="33" t="s">
        <v>26572</v>
      </c>
      <c r="V4549" s="33" t="s">
        <v>26573</v>
      </c>
      <c r="W4549" s="33" t="s">
        <v>94</v>
      </c>
      <c r="X4549" s="33">
        <v>1003</v>
      </c>
      <c r="Z4549" s="33" t="s">
        <v>42966</v>
      </c>
      <c r="AA4549" s="33">
        <v>3115</v>
      </c>
    </row>
    <row r="4550" spans="1:27" ht="12" customHeight="1" x14ac:dyDescent="0.15">
      <c r="A4550" s="33" t="s">
        <v>17248</v>
      </c>
      <c r="B4550" s="33">
        <v>24</v>
      </c>
      <c r="C4550" s="33" t="s">
        <v>14</v>
      </c>
      <c r="D4550" s="33" t="s">
        <v>79</v>
      </c>
      <c r="E4550" s="33" t="s">
        <v>17249</v>
      </c>
      <c r="F4550" s="67">
        <v>42323</v>
      </c>
      <c r="G4550" s="33" t="s">
        <v>22119</v>
      </c>
      <c r="H4550" s="33" t="s">
        <v>6191</v>
      </c>
      <c r="I4550" s="33" t="s">
        <v>122</v>
      </c>
      <c r="J4550" s="33" t="s">
        <v>17250</v>
      </c>
      <c r="K4550" s="33" t="s">
        <v>1009</v>
      </c>
      <c r="L4550" s="33" t="s">
        <v>15162</v>
      </c>
      <c r="M4550" s="33" t="s">
        <v>21</v>
      </c>
      <c r="N4550" s="33" t="s">
        <v>17251</v>
      </c>
      <c r="O4550" s="33" t="s">
        <v>4311</v>
      </c>
      <c r="P4550" s="33" t="s">
        <v>30089</v>
      </c>
      <c r="Q4550" s="40" t="s">
        <v>17252</v>
      </c>
      <c r="R4550" s="33" t="s">
        <v>94</v>
      </c>
      <c r="S4550" s="33" t="s">
        <v>12</v>
      </c>
      <c r="T4550" s="33" t="s">
        <v>29705</v>
      </c>
      <c r="U4550" s="33" t="s">
        <v>26575</v>
      </c>
      <c r="V4550" s="33" t="s">
        <v>26573</v>
      </c>
      <c r="W4550" s="33" t="s">
        <v>94</v>
      </c>
      <c r="X4550" s="33">
        <v>1012</v>
      </c>
      <c r="Z4550" s="33" t="s">
        <v>42966</v>
      </c>
      <c r="AA4550" s="33">
        <v>3116</v>
      </c>
    </row>
    <row r="4551" spans="1:27" ht="12" customHeight="1" x14ac:dyDescent="0.15">
      <c r="A4551" s="33" t="s">
        <v>17419</v>
      </c>
      <c r="B4551" s="33">
        <v>32</v>
      </c>
      <c r="C4551" s="33" t="s">
        <v>14</v>
      </c>
      <c r="D4551" s="33" t="s">
        <v>31</v>
      </c>
      <c r="E4551" s="33" t="s">
        <v>17540</v>
      </c>
      <c r="F4551" s="67">
        <v>42323</v>
      </c>
      <c r="G4551" s="33" t="s">
        <v>17420</v>
      </c>
      <c r="H4551" s="33" t="s">
        <v>17421</v>
      </c>
      <c r="I4551" s="33" t="s">
        <v>338</v>
      </c>
      <c r="J4551" s="33" t="s">
        <v>20818</v>
      </c>
      <c r="K4551" s="33" t="s">
        <v>2907</v>
      </c>
      <c r="L4551" s="33" t="s">
        <v>17422</v>
      </c>
      <c r="M4551" s="33" t="s">
        <v>4966</v>
      </c>
      <c r="N4551" s="33" t="s">
        <v>19096</v>
      </c>
      <c r="P4551" s="33" t="s">
        <v>30089</v>
      </c>
      <c r="Q4551" s="40" t="s">
        <v>17423</v>
      </c>
      <c r="R4551" s="33" t="s">
        <v>23</v>
      </c>
      <c r="S4551" s="33" t="s">
        <v>22</v>
      </c>
      <c r="T4551" s="33" t="s">
        <v>27803</v>
      </c>
      <c r="U4551" s="33" t="s">
        <v>26572</v>
      </c>
      <c r="V4551" s="33" t="s">
        <v>26573</v>
      </c>
      <c r="W4551" s="33" t="s">
        <v>94</v>
      </c>
      <c r="X4551" s="33">
        <v>1004</v>
      </c>
      <c r="Z4551" s="33" t="s">
        <v>42968</v>
      </c>
      <c r="AA4551" s="33">
        <v>3114</v>
      </c>
    </row>
    <row r="4552" spans="1:27" ht="12" customHeight="1" x14ac:dyDescent="0.15">
      <c r="A4552" s="33" t="s">
        <v>18849</v>
      </c>
      <c r="B4552" s="33">
        <v>25</v>
      </c>
      <c r="C4552" s="33" t="s">
        <v>14</v>
      </c>
      <c r="D4552" s="33" t="s">
        <v>79</v>
      </c>
      <c r="E4552" s="33" t="s">
        <v>18786</v>
      </c>
      <c r="F4552" s="67">
        <v>42322</v>
      </c>
      <c r="G4552" s="33" t="s">
        <v>18789</v>
      </c>
      <c r="H4552" s="33" t="s">
        <v>107</v>
      </c>
      <c r="I4552" s="33" t="s">
        <v>3357</v>
      </c>
      <c r="J4552" s="33" t="s">
        <v>11570</v>
      </c>
      <c r="K4552" s="33" t="s">
        <v>3359</v>
      </c>
      <c r="L4552" s="33" t="s">
        <v>212</v>
      </c>
      <c r="M4552" s="33" t="s">
        <v>21</v>
      </c>
      <c r="N4552" s="33" t="s">
        <v>18787</v>
      </c>
      <c r="P4552" s="33" t="s">
        <v>30089</v>
      </c>
      <c r="Q4552" s="40" t="s">
        <v>18788</v>
      </c>
      <c r="R4552" s="33" t="s">
        <v>23</v>
      </c>
      <c r="S4552" s="33" t="s">
        <v>22</v>
      </c>
      <c r="T4552" s="1" t="s">
        <v>26774</v>
      </c>
      <c r="Z4552" s="33" t="s">
        <v>42966</v>
      </c>
      <c r="AA4552" s="33">
        <v>3113</v>
      </c>
    </row>
    <row r="4553" spans="1:27" ht="12" customHeight="1" x14ac:dyDescent="0.15">
      <c r="A4553" s="33" t="s">
        <v>17424</v>
      </c>
      <c r="B4553" s="33">
        <v>31</v>
      </c>
      <c r="C4553" s="33" t="s">
        <v>14</v>
      </c>
      <c r="D4553" s="33" t="s">
        <v>42</v>
      </c>
      <c r="F4553" s="67">
        <v>42322</v>
      </c>
      <c r="G4553" s="33" t="s">
        <v>17425</v>
      </c>
      <c r="H4553" s="33" t="s">
        <v>728</v>
      </c>
      <c r="I4553" s="33" t="s">
        <v>39</v>
      </c>
      <c r="J4553" s="33" t="s">
        <v>14260</v>
      </c>
      <c r="K4553" s="33" t="s">
        <v>728</v>
      </c>
      <c r="L4553" s="33" t="s">
        <v>729</v>
      </c>
      <c r="M4553" s="33" t="s">
        <v>21</v>
      </c>
      <c r="N4553" s="33" t="s">
        <v>19183</v>
      </c>
      <c r="P4553" s="33" t="s">
        <v>30089</v>
      </c>
      <c r="Q4553" s="40" t="s">
        <v>17426</v>
      </c>
      <c r="R4553" s="33" t="s">
        <v>23</v>
      </c>
      <c r="S4553" s="33" t="s">
        <v>22</v>
      </c>
      <c r="T4553" s="33" t="s">
        <v>26594</v>
      </c>
      <c r="U4553" s="33" t="s">
        <v>26570</v>
      </c>
      <c r="V4553" s="33" t="s">
        <v>26573</v>
      </c>
      <c r="W4553" s="33" t="s">
        <v>94</v>
      </c>
      <c r="X4553" s="33">
        <v>1006</v>
      </c>
      <c r="Z4553" s="33" t="s">
        <v>42968</v>
      </c>
      <c r="AA4553" s="33">
        <v>3112</v>
      </c>
    </row>
    <row r="4554" spans="1:27" ht="12" customHeight="1" x14ac:dyDescent="0.15">
      <c r="A4554" s="33" t="s">
        <v>17430</v>
      </c>
      <c r="B4554" s="33">
        <v>52</v>
      </c>
      <c r="C4554" s="33" t="s">
        <v>14</v>
      </c>
      <c r="D4554" s="33" t="s">
        <v>31</v>
      </c>
      <c r="E4554" s="33" t="s">
        <v>18533</v>
      </c>
      <c r="F4554" s="67">
        <v>42321</v>
      </c>
      <c r="G4554" s="33" t="s">
        <v>17431</v>
      </c>
      <c r="H4554" s="33" t="s">
        <v>1956</v>
      </c>
      <c r="I4554" s="33" t="s">
        <v>298</v>
      </c>
      <c r="J4554" s="33" t="s">
        <v>20820</v>
      </c>
      <c r="K4554" s="33" t="s">
        <v>9725</v>
      </c>
      <c r="L4554" s="33" t="s">
        <v>17432</v>
      </c>
      <c r="M4554" s="33" t="s">
        <v>21</v>
      </c>
      <c r="N4554" s="33" t="s">
        <v>19185</v>
      </c>
      <c r="P4554" s="33" t="s">
        <v>30089</v>
      </c>
      <c r="Q4554" s="40" t="s">
        <v>17433</v>
      </c>
      <c r="R4554" s="33" t="s">
        <v>23</v>
      </c>
      <c r="S4554" s="33" t="s">
        <v>12</v>
      </c>
      <c r="T4554" s="33" t="s">
        <v>29425</v>
      </c>
      <c r="U4554" s="33" t="s">
        <v>26572</v>
      </c>
      <c r="V4554" s="33" t="s">
        <v>26573</v>
      </c>
      <c r="W4554" s="33" t="s">
        <v>94</v>
      </c>
      <c r="X4554" s="33">
        <v>1005</v>
      </c>
      <c r="Z4554" s="33" t="s">
        <v>42967</v>
      </c>
      <c r="AA4554" s="33">
        <v>3110</v>
      </c>
    </row>
    <row r="4555" spans="1:27" ht="12" customHeight="1" x14ac:dyDescent="0.15">
      <c r="A4555" s="33" t="s">
        <v>17427</v>
      </c>
      <c r="B4555" s="33">
        <v>25</v>
      </c>
      <c r="C4555" s="33" t="s">
        <v>14</v>
      </c>
      <c r="D4555" s="33" t="s">
        <v>42</v>
      </c>
      <c r="E4555" s="33" t="s">
        <v>17539</v>
      </c>
      <c r="F4555" s="67">
        <v>42321</v>
      </c>
      <c r="G4555" s="33" t="s">
        <v>17428</v>
      </c>
      <c r="H4555" s="33" t="s">
        <v>14259</v>
      </c>
      <c r="I4555" s="33" t="s">
        <v>39</v>
      </c>
      <c r="J4555" s="33" t="s">
        <v>20808</v>
      </c>
      <c r="K4555" s="33" t="s">
        <v>728</v>
      </c>
      <c r="L4555" s="33" t="s">
        <v>729</v>
      </c>
      <c r="M4555" s="33" t="s">
        <v>21</v>
      </c>
      <c r="N4555" s="33" t="s">
        <v>19097</v>
      </c>
      <c r="O4555" s="33" t="s">
        <v>372</v>
      </c>
      <c r="P4555" s="33" t="s">
        <v>30089</v>
      </c>
      <c r="Q4555" s="40" t="s">
        <v>17429</v>
      </c>
      <c r="R4555" s="33" t="s">
        <v>23</v>
      </c>
      <c r="S4555" s="33" t="s">
        <v>29</v>
      </c>
      <c r="T4555" s="33" t="s">
        <v>26575</v>
      </c>
      <c r="U4555" s="33" t="s">
        <v>26575</v>
      </c>
      <c r="W4555" s="33" t="s">
        <v>94</v>
      </c>
      <c r="X4555" s="33">
        <v>1007</v>
      </c>
      <c r="Z4555" s="33" t="s">
        <v>42968</v>
      </c>
      <c r="AA4555" s="33">
        <v>3111</v>
      </c>
    </row>
    <row r="4556" spans="1:27" ht="12" customHeight="1" x14ac:dyDescent="0.15">
      <c r="A4556" s="33" t="s">
        <v>17434</v>
      </c>
      <c r="B4556" s="33">
        <v>25</v>
      </c>
      <c r="C4556" s="33" t="s">
        <v>14</v>
      </c>
      <c r="D4556" s="33" t="s">
        <v>31</v>
      </c>
      <c r="E4556" s="33" t="s">
        <v>17566</v>
      </c>
      <c r="F4556" s="67">
        <v>42321</v>
      </c>
      <c r="G4556" s="33" t="s">
        <v>17435</v>
      </c>
      <c r="H4556" s="33" t="s">
        <v>14863</v>
      </c>
      <c r="I4556" s="33" t="s">
        <v>160</v>
      </c>
      <c r="J4556" s="33" t="s">
        <v>20802</v>
      </c>
      <c r="K4556" s="33" t="s">
        <v>16739</v>
      </c>
      <c r="L4556" s="33" t="s">
        <v>16740</v>
      </c>
      <c r="M4556" s="33" t="s">
        <v>21</v>
      </c>
      <c r="N4556" s="33" t="s">
        <v>19184</v>
      </c>
      <c r="P4556" s="33" t="s">
        <v>30089</v>
      </c>
      <c r="Q4556" s="40" t="s">
        <v>17436</v>
      </c>
      <c r="R4556" s="33" t="s">
        <v>23</v>
      </c>
      <c r="S4556" s="33" t="s">
        <v>22</v>
      </c>
      <c r="T4556" s="33" t="s">
        <v>26781</v>
      </c>
      <c r="U4556" s="33" t="s">
        <v>26572</v>
      </c>
      <c r="V4556" s="33" t="s">
        <v>26574</v>
      </c>
      <c r="W4556" s="33" t="s">
        <v>94</v>
      </c>
      <c r="X4556" s="33">
        <v>1008</v>
      </c>
      <c r="Z4556" s="33" t="s">
        <v>42967</v>
      </c>
      <c r="AA4556" s="33">
        <v>3109</v>
      </c>
    </row>
    <row r="4557" spans="1:27" ht="12" customHeight="1" x14ac:dyDescent="0.15">
      <c r="A4557" s="33" t="s">
        <v>17437</v>
      </c>
      <c r="B4557" s="33">
        <v>42</v>
      </c>
      <c r="C4557" s="33" t="s">
        <v>14</v>
      </c>
      <c r="D4557" s="33" t="s">
        <v>42</v>
      </c>
      <c r="E4557" s="33" t="s">
        <v>17546</v>
      </c>
      <c r="F4557" s="67">
        <v>42320</v>
      </c>
      <c r="G4557" s="33" t="s">
        <v>17438</v>
      </c>
      <c r="H4557" s="33" t="s">
        <v>716</v>
      </c>
      <c r="I4557" s="33" t="s">
        <v>39</v>
      </c>
      <c r="J4557" s="33" t="s">
        <v>20819</v>
      </c>
      <c r="K4557" s="33" t="s">
        <v>561</v>
      </c>
      <c r="L4557" s="33" t="s">
        <v>717</v>
      </c>
      <c r="M4557" s="33" t="s">
        <v>21</v>
      </c>
      <c r="N4557" s="33" t="s">
        <v>19186</v>
      </c>
      <c r="P4557" s="33" t="s">
        <v>30089</v>
      </c>
      <c r="Q4557" s="40" t="s">
        <v>17439</v>
      </c>
      <c r="R4557" s="33" t="s">
        <v>23</v>
      </c>
      <c r="S4557" s="33" t="s">
        <v>22</v>
      </c>
      <c r="T4557" s="33" t="s">
        <v>26774</v>
      </c>
      <c r="U4557" s="33" t="s">
        <v>26570</v>
      </c>
      <c r="V4557" s="33" t="s">
        <v>26573</v>
      </c>
      <c r="W4557" s="33" t="s">
        <v>94</v>
      </c>
      <c r="X4557" s="33">
        <v>1002</v>
      </c>
      <c r="Z4557" s="33" t="s">
        <v>42966</v>
      </c>
      <c r="AA4557" s="33">
        <v>3108</v>
      </c>
    </row>
    <row r="4558" spans="1:27" ht="12" customHeight="1" x14ac:dyDescent="0.15">
      <c r="A4558" s="33" t="s">
        <v>17440</v>
      </c>
      <c r="B4558" s="33">
        <v>25</v>
      </c>
      <c r="C4558" s="33" t="s">
        <v>14</v>
      </c>
      <c r="D4558" s="33" t="s">
        <v>42</v>
      </c>
      <c r="E4558" s="33" t="s">
        <v>17565</v>
      </c>
      <c r="F4558" s="67">
        <v>42319</v>
      </c>
      <c r="G4558" s="33" t="s">
        <v>17441</v>
      </c>
      <c r="H4558" s="33" t="s">
        <v>886</v>
      </c>
      <c r="I4558" s="33" t="s">
        <v>39</v>
      </c>
      <c r="J4558" s="33" t="s">
        <v>3681</v>
      </c>
      <c r="K4558" s="33" t="s">
        <v>886</v>
      </c>
      <c r="L4558" s="33" t="s">
        <v>887</v>
      </c>
      <c r="M4558" s="33" t="s">
        <v>21</v>
      </c>
      <c r="N4558" s="33" t="s">
        <v>19187</v>
      </c>
      <c r="P4558" s="33" t="s">
        <v>30089</v>
      </c>
      <c r="Q4558" s="40" t="s">
        <v>17442</v>
      </c>
      <c r="R4558" s="33" t="s">
        <v>23</v>
      </c>
      <c r="S4558" s="33" t="s">
        <v>22</v>
      </c>
      <c r="T4558" s="33" t="s">
        <v>26781</v>
      </c>
      <c r="U4558" s="33" t="s">
        <v>26572</v>
      </c>
      <c r="V4558" s="33" t="s">
        <v>26573</v>
      </c>
      <c r="W4558" s="33" t="s">
        <v>94</v>
      </c>
      <c r="X4558" s="33">
        <v>998</v>
      </c>
      <c r="Z4558" s="33" t="s">
        <v>42966</v>
      </c>
      <c r="AA4558" s="33">
        <v>3104</v>
      </c>
    </row>
    <row r="4559" spans="1:27" ht="12" customHeight="1" x14ac:dyDescent="0.15">
      <c r="A4559" s="33" t="s">
        <v>17443</v>
      </c>
      <c r="B4559" s="33">
        <v>31</v>
      </c>
      <c r="C4559" s="33" t="s">
        <v>14</v>
      </c>
      <c r="D4559" s="33" t="s">
        <v>42</v>
      </c>
      <c r="E4559" s="33" t="s">
        <v>17538</v>
      </c>
      <c r="F4559" s="67">
        <v>42319</v>
      </c>
      <c r="G4559" s="33" t="s">
        <v>17444</v>
      </c>
      <c r="H4559" s="33" t="s">
        <v>866</v>
      </c>
      <c r="I4559" s="33" t="s">
        <v>178</v>
      </c>
      <c r="J4559" s="33" t="s">
        <v>9869</v>
      </c>
      <c r="K4559" s="33" t="s">
        <v>433</v>
      </c>
      <c r="L4559" s="33" t="s">
        <v>7415</v>
      </c>
      <c r="M4559" s="33" t="s">
        <v>21</v>
      </c>
      <c r="N4559" s="33" t="s">
        <v>19098</v>
      </c>
      <c r="P4559" s="33" t="s">
        <v>30089</v>
      </c>
      <c r="Q4559" s="40" t="s">
        <v>17445</v>
      </c>
      <c r="R4559" s="33" t="s">
        <v>23</v>
      </c>
      <c r="S4559" s="33" t="s">
        <v>351</v>
      </c>
      <c r="T4559" s="33" t="s">
        <v>26867</v>
      </c>
      <c r="U4559" s="33" t="s">
        <v>26570</v>
      </c>
      <c r="V4559" s="33" t="s">
        <v>26571</v>
      </c>
      <c r="W4559" s="33" t="s">
        <v>94</v>
      </c>
      <c r="X4559" s="33">
        <v>997</v>
      </c>
      <c r="Z4559" s="33" t="s">
        <v>42968</v>
      </c>
      <c r="AA4559" s="33">
        <v>3107</v>
      </c>
    </row>
    <row r="4560" spans="1:27" ht="12" customHeight="1" x14ac:dyDescent="0.15">
      <c r="A4560" s="33" t="s">
        <v>17244</v>
      </c>
      <c r="B4560" s="33">
        <v>32</v>
      </c>
      <c r="C4560" s="33" t="s">
        <v>14</v>
      </c>
      <c r="D4560" s="33" t="s">
        <v>79</v>
      </c>
      <c r="E4560" s="33" t="s">
        <v>17245</v>
      </c>
      <c r="F4560" s="67">
        <v>42319</v>
      </c>
      <c r="G4560" s="33" t="s">
        <v>22120</v>
      </c>
      <c r="H4560" s="33" t="s">
        <v>1487</v>
      </c>
      <c r="I4560" s="33" t="s">
        <v>46</v>
      </c>
      <c r="J4560" s="33" t="s">
        <v>8282</v>
      </c>
      <c r="K4560" s="33" t="s">
        <v>4324</v>
      </c>
      <c r="L4560" s="33" t="s">
        <v>2556</v>
      </c>
      <c r="M4560" s="33" t="s">
        <v>21</v>
      </c>
      <c r="N4560" s="33" t="s">
        <v>17246</v>
      </c>
      <c r="O4560" s="33" t="s">
        <v>4311</v>
      </c>
      <c r="P4560" s="33" t="s">
        <v>30089</v>
      </c>
      <c r="Q4560" s="40" t="s">
        <v>17247</v>
      </c>
      <c r="R4560" s="33" t="s">
        <v>23</v>
      </c>
      <c r="S4560" s="33" t="s">
        <v>22</v>
      </c>
      <c r="T4560" s="33" t="s">
        <v>26781</v>
      </c>
      <c r="U4560" s="33" t="s">
        <v>26572</v>
      </c>
      <c r="V4560" s="33" t="s">
        <v>26573</v>
      </c>
      <c r="W4560" s="33" t="s">
        <v>94</v>
      </c>
      <c r="X4560" s="33">
        <v>1000</v>
      </c>
      <c r="Z4560" s="33" t="s">
        <v>42966</v>
      </c>
      <c r="AA4560" s="33">
        <v>3106</v>
      </c>
    </row>
    <row r="4561" spans="1:27" ht="12" customHeight="1" x14ac:dyDescent="0.15">
      <c r="A4561" s="33" t="s">
        <v>17446</v>
      </c>
      <c r="B4561" s="33">
        <v>57</v>
      </c>
      <c r="C4561" s="33" t="s">
        <v>14</v>
      </c>
      <c r="D4561" s="33" t="s">
        <v>31</v>
      </c>
      <c r="E4561" s="33" t="s">
        <v>17564</v>
      </c>
      <c r="F4561" s="67">
        <v>42319</v>
      </c>
      <c r="G4561" s="33" t="s">
        <v>17447</v>
      </c>
      <c r="H4561" s="33" t="s">
        <v>1665</v>
      </c>
      <c r="I4561" s="33" t="s">
        <v>26</v>
      </c>
      <c r="J4561" s="33" t="s">
        <v>20794</v>
      </c>
      <c r="K4561" s="33" t="s">
        <v>1665</v>
      </c>
      <c r="L4561" s="33" t="s">
        <v>1666</v>
      </c>
      <c r="M4561" s="33" t="s">
        <v>21</v>
      </c>
      <c r="N4561" s="33" t="s">
        <v>19188</v>
      </c>
      <c r="P4561" s="33" t="s">
        <v>30089</v>
      </c>
      <c r="Q4561" s="40" t="s">
        <v>17448</v>
      </c>
      <c r="R4561" s="33" t="s">
        <v>23</v>
      </c>
      <c r="S4561" s="33" t="s">
        <v>22</v>
      </c>
      <c r="T4561" s="33" t="s">
        <v>26781</v>
      </c>
      <c r="U4561" s="33" t="s">
        <v>26572</v>
      </c>
      <c r="V4561" s="33" t="s">
        <v>26573</v>
      </c>
      <c r="W4561" s="33" t="s">
        <v>94</v>
      </c>
      <c r="X4561" s="33">
        <v>999</v>
      </c>
      <c r="Z4561" s="33" t="s">
        <v>42968</v>
      </c>
      <c r="AA4561" s="33">
        <v>3105</v>
      </c>
    </row>
    <row r="4562" spans="1:27" ht="12" customHeight="1" x14ac:dyDescent="0.15">
      <c r="A4562" s="33" t="s">
        <v>21349</v>
      </c>
      <c r="B4562" s="33">
        <v>63</v>
      </c>
      <c r="C4562" s="33" t="s">
        <v>14</v>
      </c>
      <c r="D4562" s="33" t="s">
        <v>31</v>
      </c>
      <c r="E4562" s="33" t="s">
        <v>21408</v>
      </c>
      <c r="F4562" s="67">
        <v>42318</v>
      </c>
      <c r="G4562" s="33" t="s">
        <v>21411</v>
      </c>
      <c r="H4562" s="33" t="s">
        <v>18214</v>
      </c>
      <c r="I4562" s="33" t="s">
        <v>192</v>
      </c>
      <c r="J4562" s="33">
        <v>80919</v>
      </c>
      <c r="K4562" s="33" t="s">
        <v>801</v>
      </c>
      <c r="L4562" s="33" t="s">
        <v>18216</v>
      </c>
      <c r="M4562" s="33" t="s">
        <v>21</v>
      </c>
      <c r="N4562" s="33" t="s">
        <v>21410</v>
      </c>
      <c r="O4562" s="33" t="s">
        <v>372</v>
      </c>
      <c r="P4562" s="33" t="s">
        <v>30089</v>
      </c>
      <c r="Q4562" s="40" t="s">
        <v>21409</v>
      </c>
      <c r="R4562" s="33" t="s">
        <v>512</v>
      </c>
      <c r="S4562" s="33" t="s">
        <v>12</v>
      </c>
      <c r="T4562" s="33" t="s">
        <v>29425</v>
      </c>
      <c r="U4562" s="33" t="s">
        <v>26572</v>
      </c>
      <c r="V4562" s="33" t="s">
        <v>26573</v>
      </c>
      <c r="W4562" s="33" t="s">
        <v>94</v>
      </c>
      <c r="X4562" s="33">
        <v>1161</v>
      </c>
      <c r="Z4562" s="33" t="s">
        <v>42968</v>
      </c>
      <c r="AA4562" s="33">
        <v>3103</v>
      </c>
    </row>
    <row r="4563" spans="1:27" ht="12" customHeight="1" x14ac:dyDescent="0.15">
      <c r="A4563" s="33" t="s">
        <v>17452</v>
      </c>
      <c r="B4563" s="33">
        <v>36</v>
      </c>
      <c r="C4563" s="33" t="s">
        <v>14</v>
      </c>
      <c r="D4563" s="33" t="s">
        <v>42</v>
      </c>
      <c r="E4563" s="33" t="s">
        <v>17562</v>
      </c>
      <c r="F4563" s="67">
        <v>42318</v>
      </c>
      <c r="G4563" s="33" t="s">
        <v>17453</v>
      </c>
      <c r="H4563" s="33" t="s">
        <v>14842</v>
      </c>
      <c r="I4563" s="33" t="s">
        <v>192</v>
      </c>
      <c r="J4563" s="33" t="s">
        <v>20795</v>
      </c>
      <c r="K4563" s="33" t="s">
        <v>1790</v>
      </c>
      <c r="L4563" s="33" t="s">
        <v>23</v>
      </c>
      <c r="M4563" s="33" t="s">
        <v>21</v>
      </c>
      <c r="N4563" s="33" t="s">
        <v>19191</v>
      </c>
      <c r="P4563" s="33" t="s">
        <v>30089</v>
      </c>
      <c r="Q4563" s="40" t="s">
        <v>17454</v>
      </c>
      <c r="R4563" s="33" t="s">
        <v>23</v>
      </c>
      <c r="S4563" s="33" t="s">
        <v>22</v>
      </c>
      <c r="T4563" s="33" t="s">
        <v>26781</v>
      </c>
      <c r="U4563" s="33" t="s">
        <v>26570</v>
      </c>
      <c r="V4563" s="33" t="s">
        <v>26571</v>
      </c>
      <c r="W4563" s="33" t="s">
        <v>94</v>
      </c>
      <c r="X4563" s="33">
        <v>996</v>
      </c>
      <c r="Z4563" s="33" t="s">
        <v>42968</v>
      </c>
      <c r="AA4563" s="33">
        <v>3101</v>
      </c>
    </row>
    <row r="4564" spans="1:27" ht="12" customHeight="1" x14ac:dyDescent="0.15">
      <c r="A4564" s="33" t="s">
        <v>17449</v>
      </c>
      <c r="B4564" s="33">
        <v>34</v>
      </c>
      <c r="C4564" s="33" t="s">
        <v>14</v>
      </c>
      <c r="D4564" s="33" t="s">
        <v>42</v>
      </c>
      <c r="E4564" s="33" t="s">
        <v>17563</v>
      </c>
      <c r="F4564" s="67">
        <v>42318</v>
      </c>
      <c r="G4564" s="33" t="s">
        <v>17450</v>
      </c>
      <c r="H4564" s="33" t="s">
        <v>12753</v>
      </c>
      <c r="I4564" s="33" t="s">
        <v>39</v>
      </c>
      <c r="J4564" s="33" t="s">
        <v>20796</v>
      </c>
      <c r="K4564" s="33" t="s">
        <v>4807</v>
      </c>
      <c r="L4564" s="33" t="s">
        <v>12754</v>
      </c>
      <c r="M4564" s="33" t="s">
        <v>21</v>
      </c>
      <c r="N4564" s="33" t="s">
        <v>19189</v>
      </c>
      <c r="P4564" s="33" t="s">
        <v>30089</v>
      </c>
      <c r="Q4564" s="40" t="s">
        <v>17451</v>
      </c>
      <c r="R4564" s="33" t="s">
        <v>23</v>
      </c>
      <c r="S4564" s="33" t="s">
        <v>22</v>
      </c>
      <c r="T4564" s="33" t="s">
        <v>26781</v>
      </c>
      <c r="U4564" s="33" t="s">
        <v>26572</v>
      </c>
      <c r="V4564" s="33" t="s">
        <v>26573</v>
      </c>
      <c r="W4564" s="33" t="s">
        <v>94</v>
      </c>
      <c r="X4564" s="33">
        <v>995</v>
      </c>
      <c r="Z4564" s="33" t="s">
        <v>42966</v>
      </c>
      <c r="AA4564" s="33">
        <v>3100</v>
      </c>
    </row>
    <row r="4565" spans="1:27" ht="12" customHeight="1" x14ac:dyDescent="0.15">
      <c r="A4565" s="33" t="s">
        <v>17455</v>
      </c>
      <c r="B4565" s="33">
        <v>22</v>
      </c>
      <c r="C4565" s="33" t="s">
        <v>14</v>
      </c>
      <c r="D4565" s="33" t="s">
        <v>31</v>
      </c>
      <c r="E4565" s="33" t="s">
        <v>17561</v>
      </c>
      <c r="F4565" s="67">
        <v>42318</v>
      </c>
      <c r="G4565" s="33" t="s">
        <v>17456</v>
      </c>
      <c r="H4565" s="33" t="s">
        <v>17457</v>
      </c>
      <c r="I4565" s="33" t="s">
        <v>798</v>
      </c>
      <c r="J4565" s="33" t="s">
        <v>20800</v>
      </c>
      <c r="K4565" s="33" t="s">
        <v>20801</v>
      </c>
      <c r="L4565" s="33" t="s">
        <v>17458</v>
      </c>
      <c r="M4565" s="33" t="s">
        <v>21</v>
      </c>
      <c r="N4565" s="33" t="s">
        <v>19190</v>
      </c>
      <c r="P4565" s="33" t="s">
        <v>30089</v>
      </c>
      <c r="Q4565" s="40" t="s">
        <v>17459</v>
      </c>
      <c r="R4565" s="33" t="s">
        <v>23</v>
      </c>
      <c r="S4565" s="33" t="s">
        <v>22</v>
      </c>
      <c r="T4565" s="33" t="s">
        <v>26781</v>
      </c>
      <c r="U4565" s="33" t="s">
        <v>26572</v>
      </c>
      <c r="V4565" s="33" t="s">
        <v>26573</v>
      </c>
      <c r="W4565" s="33" t="s">
        <v>94</v>
      </c>
      <c r="X4565" s="33">
        <v>1013</v>
      </c>
      <c r="Z4565" s="33" t="s">
        <v>42967</v>
      </c>
      <c r="AA4565" s="33">
        <v>3102</v>
      </c>
    </row>
    <row r="4566" spans="1:27" ht="12" customHeight="1" x14ac:dyDescent="0.15">
      <c r="A4566" s="33" t="s">
        <v>17466</v>
      </c>
      <c r="B4566" s="33">
        <v>35</v>
      </c>
      <c r="C4566" s="33" t="s">
        <v>14</v>
      </c>
      <c r="D4566" s="33" t="s">
        <v>42</v>
      </c>
      <c r="E4566" s="33" t="s">
        <v>17537</v>
      </c>
      <c r="F4566" s="67">
        <v>42317</v>
      </c>
      <c r="G4566" s="33" t="s">
        <v>17467</v>
      </c>
      <c r="H4566" s="33" t="s">
        <v>92</v>
      </c>
      <c r="I4566" s="33" t="s">
        <v>39</v>
      </c>
      <c r="J4566" s="33" t="s">
        <v>20812</v>
      </c>
      <c r="K4566" s="33" t="s">
        <v>92</v>
      </c>
      <c r="L4566" s="33" t="s">
        <v>93</v>
      </c>
      <c r="M4566" s="33" t="s">
        <v>4966</v>
      </c>
      <c r="N4566" s="33" t="s">
        <v>19099</v>
      </c>
      <c r="P4566" s="33" t="s">
        <v>30089</v>
      </c>
      <c r="Q4566" s="40" t="s">
        <v>17468</v>
      </c>
      <c r="R4566" s="33" t="s">
        <v>23</v>
      </c>
      <c r="S4566" s="33" t="s">
        <v>22</v>
      </c>
      <c r="T4566" s="33" t="s">
        <v>26621</v>
      </c>
      <c r="U4566" s="33" t="s">
        <v>26570</v>
      </c>
      <c r="V4566" s="33" t="s">
        <v>26573</v>
      </c>
      <c r="W4566" s="33" t="s">
        <v>94</v>
      </c>
      <c r="X4566" s="33">
        <v>1001</v>
      </c>
      <c r="Z4566" s="33" t="s">
        <v>42966</v>
      </c>
      <c r="AA4566" s="33">
        <v>3093</v>
      </c>
    </row>
    <row r="4567" spans="1:27" ht="12" customHeight="1" x14ac:dyDescent="0.15">
      <c r="A4567" s="33" t="s">
        <v>17472</v>
      </c>
      <c r="B4567" s="33">
        <v>26</v>
      </c>
      <c r="C4567" s="33" t="s">
        <v>14</v>
      </c>
      <c r="D4567" s="33" t="s">
        <v>31</v>
      </c>
      <c r="E4567" s="33" t="s">
        <v>17558</v>
      </c>
      <c r="F4567" s="67">
        <v>42317</v>
      </c>
      <c r="G4567" s="33" t="s">
        <v>17473</v>
      </c>
      <c r="H4567" s="33" t="s">
        <v>997</v>
      </c>
      <c r="I4567" s="33" t="s">
        <v>139</v>
      </c>
      <c r="J4567" s="33" t="s">
        <v>20816</v>
      </c>
      <c r="K4567" s="33" t="s">
        <v>1441</v>
      </c>
      <c r="L4567" s="33" t="s">
        <v>17474</v>
      </c>
      <c r="M4567" s="33" t="s">
        <v>21</v>
      </c>
      <c r="N4567" s="33" t="s">
        <v>19194</v>
      </c>
      <c r="P4567" s="33" t="s">
        <v>30089</v>
      </c>
      <c r="Q4567" s="40" t="s">
        <v>17475</v>
      </c>
      <c r="R4567" s="33" t="s">
        <v>23</v>
      </c>
      <c r="S4567" s="33" t="s">
        <v>22</v>
      </c>
      <c r="T4567" s="33" t="s">
        <v>26781</v>
      </c>
      <c r="U4567" s="33" t="s">
        <v>26572</v>
      </c>
      <c r="V4567" s="33" t="s">
        <v>26573</v>
      </c>
      <c r="W4567" s="33" t="s">
        <v>94</v>
      </c>
      <c r="X4567" s="33">
        <v>993</v>
      </c>
      <c r="Z4567" s="33" t="s">
        <v>42967</v>
      </c>
      <c r="AA4567" s="33">
        <v>3095</v>
      </c>
    </row>
    <row r="4568" spans="1:27" ht="12" customHeight="1" x14ac:dyDescent="0.15">
      <c r="A4568" s="33" t="s">
        <v>17237</v>
      </c>
      <c r="B4568" s="33">
        <v>20</v>
      </c>
      <c r="C4568" s="33" t="s">
        <v>14</v>
      </c>
      <c r="D4568" s="33" t="s">
        <v>79</v>
      </c>
      <c r="E4568" s="33" t="s">
        <v>17238</v>
      </c>
      <c r="F4568" s="67">
        <v>42317</v>
      </c>
      <c r="G4568" s="33" t="s">
        <v>17239</v>
      </c>
      <c r="H4568" s="33" t="s">
        <v>2643</v>
      </c>
      <c r="I4568" s="33" t="s">
        <v>26</v>
      </c>
      <c r="J4568" s="33" t="s">
        <v>17240</v>
      </c>
      <c r="K4568" s="33" t="s">
        <v>2643</v>
      </c>
      <c r="L4568" s="33" t="s">
        <v>17241</v>
      </c>
      <c r="M4568" s="33" t="s">
        <v>21</v>
      </c>
      <c r="N4568" s="33" t="s">
        <v>17242</v>
      </c>
      <c r="O4568" s="33" t="s">
        <v>4311</v>
      </c>
      <c r="P4568" s="33" t="s">
        <v>30089</v>
      </c>
      <c r="Q4568" s="40" t="s">
        <v>17243</v>
      </c>
      <c r="R4568" s="33" t="s">
        <v>23</v>
      </c>
      <c r="S4568" s="33" t="s">
        <v>351</v>
      </c>
      <c r="T4568" s="33" t="s">
        <v>26867</v>
      </c>
      <c r="U4568" s="33" t="s">
        <v>26572</v>
      </c>
      <c r="V4568" s="33" t="s">
        <v>26571</v>
      </c>
      <c r="W4568" s="33" t="s">
        <v>94</v>
      </c>
      <c r="X4568" s="33">
        <v>989</v>
      </c>
      <c r="Z4568" s="33" t="s">
        <v>42968</v>
      </c>
      <c r="AA4568" s="33">
        <v>3097</v>
      </c>
    </row>
    <row r="4569" spans="1:27" ht="12" customHeight="1" x14ac:dyDescent="0.15">
      <c r="A4569" s="33" t="s">
        <v>17463</v>
      </c>
      <c r="B4569" s="33">
        <v>25</v>
      </c>
      <c r="C4569" s="33" t="s">
        <v>14</v>
      </c>
      <c r="D4569" s="33" t="s">
        <v>42</v>
      </c>
      <c r="E4569" s="33" t="s">
        <v>17559</v>
      </c>
      <c r="F4569" s="67">
        <v>42317</v>
      </c>
      <c r="G4569" s="33" t="s">
        <v>17464</v>
      </c>
      <c r="H4569" s="33" t="s">
        <v>3942</v>
      </c>
      <c r="I4569" s="33" t="s">
        <v>67</v>
      </c>
      <c r="J4569" s="33" t="s">
        <v>20811</v>
      </c>
      <c r="K4569" s="33" t="s">
        <v>3944</v>
      </c>
      <c r="L4569" s="33" t="s">
        <v>3945</v>
      </c>
      <c r="M4569" s="33" t="s">
        <v>21</v>
      </c>
      <c r="N4569" s="33" t="s">
        <v>19192</v>
      </c>
      <c r="P4569" s="33" t="s">
        <v>30089</v>
      </c>
      <c r="Q4569" s="40" t="s">
        <v>17465</v>
      </c>
      <c r="R4569" s="33" t="s">
        <v>512</v>
      </c>
      <c r="S4569" s="33" t="s">
        <v>22</v>
      </c>
      <c r="T4569" s="33" t="s">
        <v>26781</v>
      </c>
      <c r="U4569" s="33" t="s">
        <v>26572</v>
      </c>
      <c r="V4569" s="33" t="s">
        <v>26573</v>
      </c>
      <c r="W4569" s="33" t="s">
        <v>94</v>
      </c>
      <c r="X4569" s="33">
        <v>991</v>
      </c>
      <c r="Y4569" s="33" t="s">
        <v>42476</v>
      </c>
      <c r="Z4569" s="33" t="s">
        <v>42968</v>
      </c>
      <c r="AA4569" s="33">
        <v>3094</v>
      </c>
    </row>
    <row r="4570" spans="1:27" ht="12" customHeight="1" x14ac:dyDescent="0.15">
      <c r="A4570" s="33" t="s">
        <v>17460</v>
      </c>
      <c r="B4570" s="33">
        <v>45</v>
      </c>
      <c r="C4570" s="33" t="s">
        <v>14</v>
      </c>
      <c r="D4570" s="33" t="s">
        <v>42</v>
      </c>
      <c r="E4570" s="33" t="s">
        <v>17560</v>
      </c>
      <c r="F4570" s="67">
        <v>42317</v>
      </c>
      <c r="G4570" s="33" t="s">
        <v>17461</v>
      </c>
      <c r="H4570" s="33" t="s">
        <v>560</v>
      </c>
      <c r="I4570" s="33" t="s">
        <v>39</v>
      </c>
      <c r="J4570" s="33" t="s">
        <v>20817</v>
      </c>
      <c r="K4570" s="33" t="s">
        <v>561</v>
      </c>
      <c r="L4570" s="33" t="s">
        <v>678</v>
      </c>
      <c r="M4570" s="33" t="s">
        <v>21</v>
      </c>
      <c r="N4570" s="33" t="s">
        <v>19193</v>
      </c>
      <c r="P4570" s="33" t="s">
        <v>30089</v>
      </c>
      <c r="Q4570" s="40" t="s">
        <v>17462</v>
      </c>
      <c r="R4570" s="33" t="s">
        <v>23</v>
      </c>
      <c r="S4570" s="33" t="s">
        <v>22</v>
      </c>
      <c r="T4570" s="33" t="s">
        <v>26781</v>
      </c>
      <c r="U4570" s="33" t="s">
        <v>26572</v>
      </c>
      <c r="V4570" s="33" t="s">
        <v>26573</v>
      </c>
      <c r="W4570" s="33" t="s">
        <v>94</v>
      </c>
      <c r="X4570" s="33">
        <v>994</v>
      </c>
      <c r="Z4570" s="33" t="s">
        <v>42966</v>
      </c>
      <c r="AA4570" s="33">
        <v>3096</v>
      </c>
    </row>
    <row r="4571" spans="1:27" ht="12" customHeight="1" x14ac:dyDescent="0.15">
      <c r="A4571" s="33" t="s">
        <v>18409</v>
      </c>
      <c r="B4571" s="33">
        <v>22</v>
      </c>
      <c r="C4571" s="33" t="s">
        <v>14</v>
      </c>
      <c r="D4571" s="33" t="s">
        <v>79</v>
      </c>
      <c r="F4571" s="67">
        <v>42317</v>
      </c>
      <c r="G4571" s="33" t="s">
        <v>17469</v>
      </c>
      <c r="H4571" s="33" t="s">
        <v>17470</v>
      </c>
      <c r="I4571" s="33" t="s">
        <v>56</v>
      </c>
      <c r="J4571" s="33">
        <v>32746</v>
      </c>
      <c r="K4571" s="33" t="s">
        <v>8294</v>
      </c>
      <c r="L4571" s="33" t="s">
        <v>15469</v>
      </c>
      <c r="M4571" s="33" t="s">
        <v>351</v>
      </c>
      <c r="N4571" s="33" t="s">
        <v>19213</v>
      </c>
      <c r="O4571" s="33" t="s">
        <v>372</v>
      </c>
      <c r="P4571" s="33" t="s">
        <v>30089</v>
      </c>
      <c r="Q4571" s="40" t="s">
        <v>17471</v>
      </c>
      <c r="R4571" s="33" t="s">
        <v>94</v>
      </c>
      <c r="S4571" s="33" t="s">
        <v>351</v>
      </c>
      <c r="T4571" s="33" t="s">
        <v>26867</v>
      </c>
      <c r="Z4571" s="33" t="s">
        <v>42968</v>
      </c>
      <c r="AA4571" s="33">
        <v>3098</v>
      </c>
    </row>
    <row r="4572" spans="1:27" ht="12" customHeight="1" x14ac:dyDescent="0.15">
      <c r="A4572" s="33" t="s">
        <v>18410</v>
      </c>
      <c r="B4572" s="33">
        <v>22</v>
      </c>
      <c r="C4572" s="33" t="s">
        <v>14</v>
      </c>
      <c r="D4572" s="33" t="s">
        <v>79</v>
      </c>
      <c r="F4572" s="67">
        <v>42317</v>
      </c>
      <c r="G4572" s="33" t="s">
        <v>17469</v>
      </c>
      <c r="H4572" s="33" t="s">
        <v>17470</v>
      </c>
      <c r="I4572" s="33" t="s">
        <v>56</v>
      </c>
      <c r="J4572" s="33">
        <v>32746</v>
      </c>
      <c r="K4572" s="33" t="s">
        <v>8294</v>
      </c>
      <c r="L4572" s="33" t="s">
        <v>15469</v>
      </c>
      <c r="M4572" s="33" t="s">
        <v>351</v>
      </c>
      <c r="N4572" s="33" t="s">
        <v>19212</v>
      </c>
      <c r="O4572" s="33" t="s">
        <v>372</v>
      </c>
      <c r="P4572" s="33" t="s">
        <v>30089</v>
      </c>
      <c r="Q4572" s="40" t="s">
        <v>17471</v>
      </c>
      <c r="R4572" s="33" t="s">
        <v>94</v>
      </c>
      <c r="S4572" s="33" t="s">
        <v>351</v>
      </c>
      <c r="T4572" s="33" t="s">
        <v>26867</v>
      </c>
      <c r="Z4572" s="33" t="s">
        <v>42968</v>
      </c>
      <c r="AA4572" s="33">
        <v>3099</v>
      </c>
    </row>
    <row r="4573" spans="1:27" ht="12" customHeight="1" x14ac:dyDescent="0.15">
      <c r="A4573" s="33" t="s">
        <v>17479</v>
      </c>
      <c r="B4573" s="33">
        <v>51</v>
      </c>
      <c r="C4573" s="33" t="s">
        <v>14</v>
      </c>
      <c r="D4573" s="33" t="s">
        <v>31</v>
      </c>
      <c r="E4573" s="33" t="s">
        <v>17557</v>
      </c>
      <c r="F4573" s="67">
        <v>42314</v>
      </c>
      <c r="G4573" s="33" t="s">
        <v>17480</v>
      </c>
      <c r="H4573" s="33" t="s">
        <v>1459</v>
      </c>
      <c r="I4573" s="33" t="s">
        <v>106</v>
      </c>
      <c r="K4573" s="33" t="s">
        <v>1461</v>
      </c>
      <c r="L4573" s="33" t="s">
        <v>16039</v>
      </c>
      <c r="M4573" s="33" t="s">
        <v>21</v>
      </c>
      <c r="N4573" s="33" t="s">
        <v>19195</v>
      </c>
      <c r="P4573" s="33" t="s">
        <v>30089</v>
      </c>
      <c r="Q4573" s="40" t="s">
        <v>17481</v>
      </c>
      <c r="R4573" s="33" t="s">
        <v>512</v>
      </c>
      <c r="S4573" s="33" t="s">
        <v>22</v>
      </c>
      <c r="T4573" s="33" t="s">
        <v>26781</v>
      </c>
      <c r="U4573" s="33" t="s">
        <v>26572</v>
      </c>
      <c r="V4573" s="33" t="s">
        <v>26573</v>
      </c>
      <c r="W4573" s="33" t="s">
        <v>94</v>
      </c>
      <c r="X4573" s="33">
        <v>986</v>
      </c>
      <c r="Z4573" s="33" t="e">
        <v>#N/A</v>
      </c>
      <c r="AA4573" s="33">
        <v>3089</v>
      </c>
    </row>
    <row r="4574" spans="1:27" ht="12" customHeight="1" x14ac:dyDescent="0.15">
      <c r="A4574" s="33" t="s">
        <v>17487</v>
      </c>
      <c r="B4574" s="33">
        <v>55</v>
      </c>
      <c r="C4574" s="33" t="s">
        <v>14</v>
      </c>
      <c r="D4574" s="33" t="s">
        <v>31</v>
      </c>
      <c r="E4574" s="33" t="s">
        <v>17532</v>
      </c>
      <c r="F4574" s="67">
        <v>42314</v>
      </c>
      <c r="G4574" s="33" t="s">
        <v>17488</v>
      </c>
      <c r="H4574" s="33" t="s">
        <v>607</v>
      </c>
      <c r="I4574" s="33" t="s">
        <v>250</v>
      </c>
      <c r="J4574" s="33" t="s">
        <v>13752</v>
      </c>
      <c r="K4574" s="33" t="s">
        <v>527</v>
      </c>
      <c r="L4574" s="33" t="s">
        <v>17489</v>
      </c>
      <c r="M4574" s="33" t="s">
        <v>21</v>
      </c>
      <c r="N4574" s="33" t="s">
        <v>19115</v>
      </c>
      <c r="P4574" s="33" t="s">
        <v>30089</v>
      </c>
      <c r="Q4574" s="40" t="s">
        <v>17490</v>
      </c>
      <c r="R4574" s="33" t="s">
        <v>23</v>
      </c>
      <c r="S4574" s="33" t="s">
        <v>351</v>
      </c>
      <c r="T4574" s="33" t="s">
        <v>26867</v>
      </c>
      <c r="U4574" s="33" t="s">
        <v>26570</v>
      </c>
      <c r="V4574" s="33" t="s">
        <v>26571</v>
      </c>
      <c r="W4574" s="33" t="s">
        <v>94</v>
      </c>
      <c r="X4574" s="33">
        <v>988</v>
      </c>
      <c r="Z4574" s="33" t="s">
        <v>42968</v>
      </c>
      <c r="AA4574" s="33">
        <v>3092</v>
      </c>
    </row>
    <row r="4575" spans="1:27" ht="12" customHeight="1" x14ac:dyDescent="0.15">
      <c r="A4575" s="33" t="s">
        <v>17476</v>
      </c>
      <c r="B4575" s="33">
        <v>68</v>
      </c>
      <c r="C4575" s="33" t="s">
        <v>14</v>
      </c>
      <c r="D4575" s="33" t="s">
        <v>31</v>
      </c>
      <c r="F4575" s="67">
        <v>42314</v>
      </c>
      <c r="G4575" s="33" t="s">
        <v>17477</v>
      </c>
      <c r="H4575" s="33" t="s">
        <v>3569</v>
      </c>
      <c r="I4575" s="33" t="s">
        <v>56</v>
      </c>
      <c r="J4575" s="33" t="s">
        <v>19283</v>
      </c>
      <c r="K4575" s="33" t="s">
        <v>3571</v>
      </c>
      <c r="L4575" s="33" t="s">
        <v>15195</v>
      </c>
      <c r="M4575" s="33" t="s">
        <v>21</v>
      </c>
      <c r="N4575" s="33" t="s">
        <v>30081</v>
      </c>
      <c r="P4575" s="33" t="s">
        <v>30089</v>
      </c>
      <c r="Q4575" s="40" t="s">
        <v>17478</v>
      </c>
      <c r="R4575" s="33" t="s">
        <v>23</v>
      </c>
      <c r="S4575" s="33" t="s">
        <v>12</v>
      </c>
      <c r="T4575" s="54" t="s">
        <v>29705</v>
      </c>
      <c r="Y4575" s="33" t="s">
        <v>42476</v>
      </c>
      <c r="Z4575" s="33" t="s">
        <v>42968</v>
      </c>
      <c r="AA4575" s="33">
        <v>3090</v>
      </c>
    </row>
    <row r="4576" spans="1:27" ht="12" customHeight="1" x14ac:dyDescent="0.15">
      <c r="A4576" s="33" t="s">
        <v>17482</v>
      </c>
      <c r="B4576" s="33">
        <v>48</v>
      </c>
      <c r="C4576" s="33" t="s">
        <v>14</v>
      </c>
      <c r="D4576" s="33" t="s">
        <v>31</v>
      </c>
      <c r="E4576" s="33" t="s">
        <v>17536</v>
      </c>
      <c r="F4576" s="67">
        <v>42314</v>
      </c>
      <c r="G4576" s="33" t="s">
        <v>17483</v>
      </c>
      <c r="H4576" s="33" t="s">
        <v>17484</v>
      </c>
      <c r="I4576" s="33" t="s">
        <v>338</v>
      </c>
      <c r="J4576" s="33" t="s">
        <v>20821</v>
      </c>
      <c r="K4576" s="33" t="s">
        <v>4087</v>
      </c>
      <c r="L4576" s="33" t="s">
        <v>17485</v>
      </c>
      <c r="M4576" s="33" t="s">
        <v>21</v>
      </c>
      <c r="N4576" s="33" t="s">
        <v>19100</v>
      </c>
      <c r="O4576" s="33" t="s">
        <v>372</v>
      </c>
      <c r="P4576" s="33" t="s">
        <v>30089</v>
      </c>
      <c r="Q4576" s="40" t="s">
        <v>17486</v>
      </c>
      <c r="R4576" s="33" t="s">
        <v>23</v>
      </c>
      <c r="S4576" s="33" t="s">
        <v>29</v>
      </c>
      <c r="T4576" s="33" t="s">
        <v>26575</v>
      </c>
      <c r="U4576" s="33" t="s">
        <v>26575</v>
      </c>
      <c r="V4576" s="33" t="s">
        <v>26573</v>
      </c>
      <c r="W4576" s="33" t="s">
        <v>94</v>
      </c>
      <c r="X4576" s="33">
        <v>992</v>
      </c>
      <c r="Z4576" s="33" t="s">
        <v>42967</v>
      </c>
      <c r="AA4576" s="33">
        <v>3091</v>
      </c>
    </row>
    <row r="4577" spans="1:27" ht="12" customHeight="1" x14ac:dyDescent="0.15">
      <c r="A4577" s="33" t="s">
        <v>17503</v>
      </c>
      <c r="B4577" s="33">
        <v>30</v>
      </c>
      <c r="C4577" s="33" t="s">
        <v>14</v>
      </c>
      <c r="D4577" s="33" t="s">
        <v>31</v>
      </c>
      <c r="F4577" s="67">
        <v>42313</v>
      </c>
      <c r="G4577" s="33" t="s">
        <v>17504</v>
      </c>
      <c r="H4577" s="33" t="s">
        <v>17505</v>
      </c>
      <c r="I4577" s="33" t="s">
        <v>402</v>
      </c>
      <c r="J4577" s="33" t="s">
        <v>20809</v>
      </c>
      <c r="K4577" s="33" t="s">
        <v>20810</v>
      </c>
      <c r="L4577" s="33" t="s">
        <v>19215</v>
      </c>
      <c r="M4577" s="33" t="s">
        <v>21</v>
      </c>
      <c r="N4577" s="33" t="s">
        <v>19197</v>
      </c>
      <c r="P4577" s="33" t="s">
        <v>30089</v>
      </c>
      <c r="Q4577" s="40" t="s">
        <v>17506</v>
      </c>
      <c r="R4577" s="33" t="s">
        <v>23</v>
      </c>
      <c r="S4577" s="33" t="s">
        <v>22</v>
      </c>
      <c r="T4577" s="33" t="s">
        <v>26594</v>
      </c>
      <c r="U4577" s="33" t="s">
        <v>26572</v>
      </c>
      <c r="V4577" s="33" t="s">
        <v>26573</v>
      </c>
      <c r="W4577" s="33" t="s">
        <v>94</v>
      </c>
      <c r="X4577" s="33">
        <v>985</v>
      </c>
      <c r="Z4577" s="33" t="s">
        <v>42968</v>
      </c>
      <c r="AA4577" s="33">
        <v>3088</v>
      </c>
    </row>
    <row r="4578" spans="1:27" ht="12" customHeight="1" x14ac:dyDescent="0.15">
      <c r="A4578" s="33" t="s">
        <v>17491</v>
      </c>
      <c r="B4578" s="33">
        <v>20</v>
      </c>
      <c r="C4578" s="33" t="s">
        <v>14</v>
      </c>
      <c r="D4578" s="33" t="s">
        <v>31</v>
      </c>
      <c r="E4578" s="33" t="s">
        <v>17556</v>
      </c>
      <c r="F4578" s="67">
        <v>42313</v>
      </c>
      <c r="G4578" s="33" t="s">
        <v>17492</v>
      </c>
      <c r="H4578" s="33" t="s">
        <v>17493</v>
      </c>
      <c r="I4578" s="33" t="s">
        <v>367</v>
      </c>
      <c r="J4578" s="33" t="s">
        <v>20804</v>
      </c>
      <c r="K4578" s="33" t="s">
        <v>20805</v>
      </c>
      <c r="L4578" s="33" t="s">
        <v>17494</v>
      </c>
      <c r="M4578" s="33" t="s">
        <v>21</v>
      </c>
      <c r="N4578" s="33" t="s">
        <v>19196</v>
      </c>
      <c r="P4578" s="33" t="s">
        <v>30089</v>
      </c>
      <c r="Q4578" s="40" t="s">
        <v>17495</v>
      </c>
      <c r="R4578" s="33" t="s">
        <v>512</v>
      </c>
      <c r="S4578" s="33" t="s">
        <v>22</v>
      </c>
      <c r="T4578" s="33" t="s">
        <v>26781</v>
      </c>
      <c r="U4578" s="33" t="s">
        <v>26572</v>
      </c>
      <c r="V4578" s="33" t="s">
        <v>26571</v>
      </c>
      <c r="W4578" s="33" t="s">
        <v>94</v>
      </c>
      <c r="X4578" s="33">
        <v>984</v>
      </c>
      <c r="Z4578" s="33" t="s">
        <v>42967</v>
      </c>
      <c r="AA4578" s="33">
        <v>3086</v>
      </c>
    </row>
    <row r="4579" spans="1:27" ht="12" customHeight="1" x14ac:dyDescent="0.15">
      <c r="A4579" s="33" t="s">
        <v>17496</v>
      </c>
      <c r="B4579" s="33">
        <v>36</v>
      </c>
      <c r="C4579" s="33" t="s">
        <v>103</v>
      </c>
      <c r="D4579" s="33" t="s">
        <v>31</v>
      </c>
      <c r="F4579" s="67">
        <v>42313</v>
      </c>
      <c r="G4579" s="33" t="s">
        <v>17497</v>
      </c>
      <c r="H4579" s="33" t="s">
        <v>6454</v>
      </c>
      <c r="I4579" s="33" t="s">
        <v>26</v>
      </c>
      <c r="J4579" s="33" t="s">
        <v>6455</v>
      </c>
      <c r="K4579" s="33" t="s">
        <v>4889</v>
      </c>
      <c r="L4579" s="33" t="s">
        <v>17498</v>
      </c>
      <c r="M4579" s="33" t="s">
        <v>21</v>
      </c>
      <c r="N4579" s="33" t="s">
        <v>19198</v>
      </c>
      <c r="P4579" s="33" t="s">
        <v>30089</v>
      </c>
      <c r="Q4579" s="40" t="s">
        <v>17499</v>
      </c>
      <c r="R4579" s="33" t="s">
        <v>512</v>
      </c>
      <c r="S4579" s="33" t="s">
        <v>22</v>
      </c>
      <c r="T4579" s="33" t="s">
        <v>26781</v>
      </c>
      <c r="U4579" s="33" t="s">
        <v>26572</v>
      </c>
      <c r="V4579" s="33" t="s">
        <v>26573</v>
      </c>
      <c r="W4579" s="33" t="s">
        <v>94</v>
      </c>
      <c r="X4579" s="33">
        <v>987</v>
      </c>
      <c r="Z4579" s="33" t="s">
        <v>42968</v>
      </c>
      <c r="AA4579" s="33">
        <v>3087</v>
      </c>
    </row>
    <row r="4580" spans="1:27" ht="12" customHeight="1" x14ac:dyDescent="0.15">
      <c r="A4580" s="33" t="s">
        <v>17500</v>
      </c>
      <c r="B4580" s="33">
        <v>48</v>
      </c>
      <c r="C4580" s="33" t="s">
        <v>14</v>
      </c>
      <c r="D4580" s="33" t="s">
        <v>31</v>
      </c>
      <c r="E4580" s="33" t="s">
        <v>17555</v>
      </c>
      <c r="F4580" s="67">
        <v>42313</v>
      </c>
      <c r="G4580" s="33" t="s">
        <v>17501</v>
      </c>
      <c r="H4580" s="33" t="s">
        <v>1800</v>
      </c>
      <c r="I4580" s="33" t="s">
        <v>139</v>
      </c>
      <c r="J4580" s="33" t="s">
        <v>20815</v>
      </c>
      <c r="K4580" s="33" t="s">
        <v>1802</v>
      </c>
      <c r="L4580" s="33" t="s">
        <v>22896</v>
      </c>
      <c r="M4580" s="33" t="s">
        <v>21</v>
      </c>
      <c r="N4580" s="33" t="s">
        <v>19199</v>
      </c>
      <c r="P4580" s="33" t="s">
        <v>30089</v>
      </c>
      <c r="Q4580" s="40" t="s">
        <v>17502</v>
      </c>
      <c r="R4580" s="33" t="s">
        <v>23</v>
      </c>
      <c r="S4580" s="33" t="s">
        <v>22</v>
      </c>
      <c r="T4580" s="33" t="s">
        <v>26781</v>
      </c>
      <c r="U4580" s="33" t="s">
        <v>26572</v>
      </c>
      <c r="V4580" s="33" t="s">
        <v>26573</v>
      </c>
      <c r="W4580" s="33" t="s">
        <v>94</v>
      </c>
      <c r="X4580" s="33">
        <v>983</v>
      </c>
      <c r="Z4580" s="33" t="s">
        <v>42966</v>
      </c>
      <c r="AA4580" s="33">
        <v>3085</v>
      </c>
    </row>
    <row r="4581" spans="1:27" ht="12" customHeight="1" x14ac:dyDescent="0.15">
      <c r="A4581" s="33" t="s">
        <v>17231</v>
      </c>
      <c r="B4581" s="33">
        <v>57</v>
      </c>
      <c r="C4581" s="33" t="s">
        <v>14</v>
      </c>
      <c r="D4581" s="33" t="s">
        <v>79</v>
      </c>
      <c r="E4581" s="33" t="s">
        <v>17232</v>
      </c>
      <c r="F4581" s="67">
        <v>42312</v>
      </c>
      <c r="G4581" s="33" t="s">
        <v>17233</v>
      </c>
      <c r="H4581" s="33" t="s">
        <v>674</v>
      </c>
      <c r="I4581" s="33" t="s">
        <v>67</v>
      </c>
      <c r="J4581" s="33" t="s">
        <v>17234</v>
      </c>
      <c r="K4581" s="33" t="s">
        <v>515</v>
      </c>
      <c r="L4581" s="33" t="s">
        <v>675</v>
      </c>
      <c r="M4581" s="33" t="s">
        <v>21</v>
      </c>
      <c r="N4581" s="33" t="s">
        <v>17235</v>
      </c>
      <c r="O4581" s="33" t="s">
        <v>4311</v>
      </c>
      <c r="P4581" s="33" t="s">
        <v>30089</v>
      </c>
      <c r="Q4581" s="40" t="s">
        <v>17236</v>
      </c>
      <c r="R4581" s="33" t="s">
        <v>94</v>
      </c>
      <c r="S4581" s="33" t="s">
        <v>22</v>
      </c>
      <c r="T4581" s="33" t="s">
        <v>26781</v>
      </c>
      <c r="U4581" s="33" t="s">
        <v>26572</v>
      </c>
      <c r="V4581" s="33" t="s">
        <v>26571</v>
      </c>
      <c r="W4581" s="33" t="s">
        <v>94</v>
      </c>
      <c r="X4581" s="33">
        <v>978</v>
      </c>
      <c r="Z4581" s="33" t="s">
        <v>42966</v>
      </c>
      <c r="AA4581" s="33">
        <v>3082</v>
      </c>
    </row>
    <row r="4582" spans="1:27" ht="12" customHeight="1" x14ac:dyDescent="0.15">
      <c r="A4582" s="33" t="s">
        <v>17507</v>
      </c>
      <c r="B4582" s="33">
        <v>18</v>
      </c>
      <c r="C4582" s="33" t="s">
        <v>14</v>
      </c>
      <c r="D4582" s="33" t="s">
        <v>15</v>
      </c>
      <c r="E4582" s="33" t="s">
        <v>17535</v>
      </c>
      <c r="F4582" s="67">
        <v>42312</v>
      </c>
      <c r="G4582" s="33" t="s">
        <v>17508</v>
      </c>
      <c r="H4582" s="33" t="s">
        <v>1332</v>
      </c>
      <c r="I4582" s="33" t="s">
        <v>39</v>
      </c>
      <c r="J4582" s="33" t="s">
        <v>9270</v>
      </c>
      <c r="K4582" s="33" t="s">
        <v>1332</v>
      </c>
      <c r="L4582" s="33" t="s">
        <v>17509</v>
      </c>
      <c r="M4582" s="33" t="s">
        <v>21</v>
      </c>
      <c r="N4582" s="33" t="s">
        <v>19101</v>
      </c>
      <c r="P4582" s="33" t="s">
        <v>30089</v>
      </c>
      <c r="Q4582" s="40" t="s">
        <v>17510</v>
      </c>
      <c r="R4582" s="33" t="s">
        <v>23</v>
      </c>
      <c r="S4582" s="33" t="s">
        <v>22</v>
      </c>
      <c r="T4582" s="33" t="s">
        <v>26774</v>
      </c>
      <c r="U4582" s="33" t="s">
        <v>26572</v>
      </c>
      <c r="V4582" s="33" t="s">
        <v>26574</v>
      </c>
      <c r="W4582" s="33" t="s">
        <v>94</v>
      </c>
      <c r="X4582" s="33">
        <v>979</v>
      </c>
      <c r="Z4582" s="33" t="s">
        <v>42968</v>
      </c>
      <c r="AA4582" s="33">
        <v>3083</v>
      </c>
    </row>
    <row r="4583" spans="1:27" ht="12" customHeight="1" x14ac:dyDescent="0.15">
      <c r="A4583" s="33" t="s">
        <v>17514</v>
      </c>
      <c r="B4583" s="33">
        <v>30</v>
      </c>
      <c r="C4583" s="33" t="s">
        <v>14</v>
      </c>
      <c r="D4583" s="33" t="s">
        <v>31</v>
      </c>
      <c r="E4583" s="33" t="s">
        <v>17554</v>
      </c>
      <c r="F4583" s="67">
        <v>42312</v>
      </c>
      <c r="G4583" s="33" t="s">
        <v>17515</v>
      </c>
      <c r="H4583" s="33" t="s">
        <v>3846</v>
      </c>
      <c r="I4583" s="33" t="s">
        <v>402</v>
      </c>
      <c r="J4583" s="33" t="s">
        <v>20792</v>
      </c>
      <c r="K4583" s="33" t="s">
        <v>4549</v>
      </c>
      <c r="L4583" s="33" t="s">
        <v>3849</v>
      </c>
      <c r="M4583" s="33" t="s">
        <v>21</v>
      </c>
      <c r="N4583" s="33" t="s">
        <v>19200</v>
      </c>
      <c r="P4583" s="33" t="s">
        <v>30089</v>
      </c>
      <c r="Q4583" s="40" t="s">
        <v>17516</v>
      </c>
      <c r="R4583" s="33" t="s">
        <v>23</v>
      </c>
      <c r="S4583" s="33" t="s">
        <v>22</v>
      </c>
      <c r="T4583" s="33" t="s">
        <v>26781</v>
      </c>
      <c r="U4583" s="33" t="s">
        <v>26572</v>
      </c>
      <c r="V4583" s="33" t="s">
        <v>26574</v>
      </c>
      <c r="W4583" s="33" t="s">
        <v>94</v>
      </c>
      <c r="X4583" s="33">
        <v>977</v>
      </c>
      <c r="Z4583" s="33" t="s">
        <v>42968</v>
      </c>
      <c r="AA4583" s="33">
        <v>3081</v>
      </c>
    </row>
    <row r="4584" spans="1:27" ht="12" customHeight="1" x14ac:dyDescent="0.15">
      <c r="A4584" s="33" t="s">
        <v>17511</v>
      </c>
      <c r="B4584" s="33">
        <v>47</v>
      </c>
      <c r="C4584" s="33" t="s">
        <v>14</v>
      </c>
      <c r="D4584" s="33" t="s">
        <v>31</v>
      </c>
      <c r="E4584" s="33" t="s">
        <v>17543</v>
      </c>
      <c r="F4584" s="67">
        <v>42312</v>
      </c>
      <c r="G4584" s="33" t="s">
        <v>17512</v>
      </c>
      <c r="H4584" s="33" t="s">
        <v>143</v>
      </c>
      <c r="I4584" s="33" t="s">
        <v>39</v>
      </c>
      <c r="J4584" s="33" t="s">
        <v>14787</v>
      </c>
      <c r="K4584" s="33" t="s">
        <v>143</v>
      </c>
      <c r="L4584" s="33" t="s">
        <v>144</v>
      </c>
      <c r="M4584" s="33" t="s">
        <v>21</v>
      </c>
      <c r="N4584" s="33" t="s">
        <v>30082</v>
      </c>
      <c r="P4584" s="33" t="s">
        <v>30089</v>
      </c>
      <c r="Q4584" s="40" t="s">
        <v>17513</v>
      </c>
      <c r="R4584" s="33" t="s">
        <v>23</v>
      </c>
      <c r="S4584" s="33" t="s">
        <v>12</v>
      </c>
      <c r="T4584" s="33" t="s">
        <v>29705</v>
      </c>
      <c r="U4584" s="33" t="s">
        <v>26570</v>
      </c>
      <c r="V4584" s="33" t="s">
        <v>26574</v>
      </c>
      <c r="W4584" s="33" t="s">
        <v>512</v>
      </c>
      <c r="X4584" s="33">
        <v>981</v>
      </c>
      <c r="Z4584" s="33" t="s">
        <v>42966</v>
      </c>
      <c r="AA4584" s="33">
        <v>3084</v>
      </c>
    </row>
    <row r="4585" spans="1:27" ht="12" customHeight="1" x14ac:dyDescent="0.15">
      <c r="A4585" s="33" t="s">
        <v>17517</v>
      </c>
      <c r="B4585" s="33">
        <v>6</v>
      </c>
      <c r="C4585" s="33" t="s">
        <v>14</v>
      </c>
      <c r="D4585" s="33" t="s">
        <v>31</v>
      </c>
      <c r="E4585" s="33" t="s">
        <v>17542</v>
      </c>
      <c r="F4585" s="67">
        <v>42311</v>
      </c>
      <c r="G4585" s="33" t="s">
        <v>17518</v>
      </c>
      <c r="H4585" s="33" t="s">
        <v>17519</v>
      </c>
      <c r="I4585" s="33" t="s">
        <v>19</v>
      </c>
      <c r="J4585" s="33" t="s">
        <v>20813</v>
      </c>
      <c r="K4585" s="33" t="s">
        <v>20814</v>
      </c>
      <c r="L4585" s="33" t="s">
        <v>18548</v>
      </c>
      <c r="M4585" s="33" t="s">
        <v>21</v>
      </c>
      <c r="N4585" s="33" t="s">
        <v>18547</v>
      </c>
      <c r="O4585" s="33" t="s">
        <v>26521</v>
      </c>
      <c r="P4585" s="33" t="s">
        <v>26520</v>
      </c>
      <c r="Q4585" s="40" t="s">
        <v>17520</v>
      </c>
      <c r="R4585" s="33" t="s">
        <v>23</v>
      </c>
      <c r="S4585" s="33" t="s">
        <v>12</v>
      </c>
      <c r="T4585" s="33" t="s">
        <v>29705</v>
      </c>
      <c r="U4585" s="33" t="s">
        <v>26570</v>
      </c>
      <c r="V4585" s="33" t="s">
        <v>26571</v>
      </c>
      <c r="W4585" s="33" t="s">
        <v>512</v>
      </c>
      <c r="X4585" s="33">
        <v>980</v>
      </c>
      <c r="Z4585" s="33" t="s">
        <v>42967</v>
      </c>
      <c r="AA4585" s="33">
        <v>3080</v>
      </c>
    </row>
    <row r="4586" spans="1:27" ht="12" customHeight="1" x14ac:dyDescent="0.15">
      <c r="A4586" s="33" t="s">
        <v>17226</v>
      </c>
      <c r="B4586" s="33">
        <v>62</v>
      </c>
      <c r="C4586" s="33" t="s">
        <v>14</v>
      </c>
      <c r="D4586" s="33" t="s">
        <v>79</v>
      </c>
      <c r="F4586" s="67">
        <v>42310</v>
      </c>
      <c r="G4586" s="33" t="s">
        <v>17227</v>
      </c>
      <c r="H4586" s="33" t="s">
        <v>107</v>
      </c>
      <c r="I4586" s="33" t="s">
        <v>3357</v>
      </c>
      <c r="J4586" s="33" t="s">
        <v>7411</v>
      </c>
      <c r="K4586" s="33" t="s">
        <v>3359</v>
      </c>
      <c r="L4586" s="33" t="s">
        <v>17228</v>
      </c>
      <c r="M4586" s="33" t="s">
        <v>21</v>
      </c>
      <c r="N4586" s="33" t="s">
        <v>17229</v>
      </c>
      <c r="O4586" s="33" t="s">
        <v>372</v>
      </c>
      <c r="P4586" s="33" t="s">
        <v>30089</v>
      </c>
      <c r="Q4586" s="40" t="s">
        <v>17230</v>
      </c>
      <c r="R4586" s="33" t="s">
        <v>94</v>
      </c>
      <c r="S4586" s="33" t="s">
        <v>22</v>
      </c>
      <c r="T4586" s="33" t="s">
        <v>26781</v>
      </c>
      <c r="U4586" s="33" t="s">
        <v>26572</v>
      </c>
      <c r="V4586" s="33" t="s">
        <v>26571</v>
      </c>
      <c r="W4586" s="33" t="s">
        <v>94</v>
      </c>
      <c r="X4586" s="33">
        <v>975</v>
      </c>
      <c r="Z4586" s="33" t="s">
        <v>42966</v>
      </c>
      <c r="AA4586" s="33">
        <v>3079</v>
      </c>
    </row>
    <row r="4587" spans="1:27" ht="12" customHeight="1" x14ac:dyDescent="0.15">
      <c r="A4587" s="33" t="s">
        <v>17528</v>
      </c>
      <c r="B4587" s="33">
        <v>49</v>
      </c>
      <c r="C4587" s="33" t="s">
        <v>14</v>
      </c>
      <c r="D4587" s="33" t="s">
        <v>31</v>
      </c>
      <c r="E4587" s="33" t="s">
        <v>17534</v>
      </c>
      <c r="F4587" s="67">
        <v>42309</v>
      </c>
      <c r="G4587" s="33" t="s">
        <v>17529</v>
      </c>
      <c r="H4587" s="33" t="s">
        <v>1504</v>
      </c>
      <c r="I4587" s="33" t="s">
        <v>122</v>
      </c>
      <c r="J4587" s="33" t="s">
        <v>20806</v>
      </c>
      <c r="K4587" s="33" t="s">
        <v>20807</v>
      </c>
      <c r="L4587" s="33" t="s">
        <v>17530</v>
      </c>
      <c r="M4587" s="33" t="s">
        <v>21</v>
      </c>
      <c r="N4587" s="33" t="s">
        <v>19102</v>
      </c>
      <c r="P4587" s="33" t="s">
        <v>30089</v>
      </c>
      <c r="Q4587" s="40" t="s">
        <v>17531</v>
      </c>
      <c r="R4587" s="33" t="s">
        <v>23</v>
      </c>
      <c r="S4587" s="33" t="s">
        <v>22</v>
      </c>
      <c r="T4587" s="33" t="s">
        <v>26781</v>
      </c>
      <c r="U4587" s="33" t="s">
        <v>26572</v>
      </c>
      <c r="V4587" s="33" t="s">
        <v>26573</v>
      </c>
      <c r="W4587" s="33" t="s">
        <v>94</v>
      </c>
      <c r="X4587" s="33">
        <v>972</v>
      </c>
      <c r="Z4587" s="33" t="s">
        <v>42967</v>
      </c>
      <c r="AA4587" s="33">
        <v>3075</v>
      </c>
    </row>
    <row r="4588" spans="1:27" ht="12" customHeight="1" x14ac:dyDescent="0.15">
      <c r="A4588" s="33" t="s">
        <v>17524</v>
      </c>
      <c r="B4588" s="33">
        <v>62</v>
      </c>
      <c r="C4588" s="33" t="s">
        <v>14</v>
      </c>
      <c r="D4588" s="33" t="s">
        <v>31</v>
      </c>
      <c r="E4588" s="33" t="s">
        <v>17552</v>
      </c>
      <c r="F4588" s="67">
        <v>42309</v>
      </c>
      <c r="G4588" s="33" t="s">
        <v>17525</v>
      </c>
      <c r="H4588" s="33" t="s">
        <v>17526</v>
      </c>
      <c r="I4588" s="33" t="s">
        <v>735</v>
      </c>
      <c r="J4588" s="33" t="s">
        <v>20797</v>
      </c>
      <c r="K4588" s="33" t="s">
        <v>1790</v>
      </c>
      <c r="L4588" s="33" t="s">
        <v>9286</v>
      </c>
      <c r="M4588" s="33" t="s">
        <v>21</v>
      </c>
      <c r="N4588" s="33" t="s">
        <v>19201</v>
      </c>
      <c r="P4588" s="33" t="s">
        <v>30089</v>
      </c>
      <c r="Q4588" s="40" t="s">
        <v>17527</v>
      </c>
      <c r="R4588" s="33" t="s">
        <v>23</v>
      </c>
      <c r="S4588" s="33" t="s">
        <v>22</v>
      </c>
      <c r="T4588" s="33" t="s">
        <v>26781</v>
      </c>
      <c r="U4588" s="33" t="s">
        <v>26575</v>
      </c>
      <c r="V4588" s="33" t="s">
        <v>26573</v>
      </c>
      <c r="W4588" s="33" t="s">
        <v>512</v>
      </c>
      <c r="X4588" s="33">
        <v>974</v>
      </c>
      <c r="Z4588" s="33" t="s">
        <v>42967</v>
      </c>
      <c r="AA4588" s="33">
        <v>3077</v>
      </c>
    </row>
    <row r="4589" spans="1:27" ht="12" customHeight="1" x14ac:dyDescent="0.15">
      <c r="A4589" s="33" t="s">
        <v>36746</v>
      </c>
      <c r="B4589" s="33">
        <v>20</v>
      </c>
      <c r="C4589" s="33" t="s">
        <v>14</v>
      </c>
      <c r="D4589" s="33" t="s">
        <v>31</v>
      </c>
      <c r="E4589" s="33" t="s">
        <v>17553</v>
      </c>
      <c r="F4589" s="67">
        <v>42309</v>
      </c>
      <c r="G4589" s="33" t="s">
        <v>17522</v>
      </c>
      <c r="H4589" s="33" t="s">
        <v>6560</v>
      </c>
      <c r="I4589" s="33" t="s">
        <v>39</v>
      </c>
      <c r="J4589" s="33" t="s">
        <v>20803</v>
      </c>
      <c r="K4589" s="33" t="s">
        <v>4965</v>
      </c>
      <c r="L4589" s="33" t="s">
        <v>897</v>
      </c>
      <c r="M4589" s="33" t="s">
        <v>21</v>
      </c>
      <c r="N4589" s="33" t="s">
        <v>36747</v>
      </c>
      <c r="P4589" s="33" t="s">
        <v>30089</v>
      </c>
      <c r="Q4589" s="40" t="s">
        <v>17523</v>
      </c>
      <c r="R4589" s="33" t="s">
        <v>23</v>
      </c>
      <c r="S4589" s="33" t="s">
        <v>22</v>
      </c>
      <c r="T4589" s="33" t="s">
        <v>26781</v>
      </c>
      <c r="U4589" s="33" t="s">
        <v>26572</v>
      </c>
      <c r="V4589" s="33" t="s">
        <v>26573</v>
      </c>
      <c r="W4589" s="33" t="s">
        <v>94</v>
      </c>
      <c r="X4589" s="33">
        <v>973</v>
      </c>
      <c r="Z4589" s="33" t="s">
        <v>42966</v>
      </c>
      <c r="AA4589" s="33">
        <v>3076</v>
      </c>
    </row>
    <row r="4590" spans="1:27" ht="12" customHeight="1" x14ac:dyDescent="0.15">
      <c r="A4590" s="33" t="s">
        <v>17221</v>
      </c>
      <c r="B4590" s="33">
        <v>27</v>
      </c>
      <c r="C4590" s="33" t="s">
        <v>14</v>
      </c>
      <c r="D4590" s="33" t="s">
        <v>79</v>
      </c>
      <c r="E4590" s="33" t="s">
        <v>17222</v>
      </c>
      <c r="F4590" s="67">
        <v>42309</v>
      </c>
      <c r="G4590" s="33" t="s">
        <v>17223</v>
      </c>
      <c r="H4590" s="33" t="s">
        <v>107</v>
      </c>
      <c r="I4590" s="33" t="s">
        <v>3357</v>
      </c>
      <c r="J4590" s="33">
        <v>20020</v>
      </c>
      <c r="K4590" s="33" t="s">
        <v>3359</v>
      </c>
      <c r="L4590" s="33" t="s">
        <v>17224</v>
      </c>
      <c r="M4590" s="33" t="s">
        <v>27767</v>
      </c>
      <c r="N4590" s="33" t="s">
        <v>37065</v>
      </c>
      <c r="O4590" s="33" t="s">
        <v>372</v>
      </c>
      <c r="P4590" s="33" t="s">
        <v>30089</v>
      </c>
      <c r="Q4590" s="40" t="s">
        <v>17225</v>
      </c>
      <c r="R4590" s="33" t="s">
        <v>94</v>
      </c>
      <c r="S4590" s="33" t="s">
        <v>12</v>
      </c>
      <c r="T4590" s="54" t="s">
        <v>29705</v>
      </c>
      <c r="Z4590" s="33" t="s">
        <v>42966</v>
      </c>
      <c r="AA4590" s="33">
        <v>3078</v>
      </c>
    </row>
    <row r="4591" spans="1:27" ht="12" customHeight="1" x14ac:dyDescent="0.15">
      <c r="A4591" s="33" t="s">
        <v>17064</v>
      </c>
      <c r="B4591" s="33">
        <v>33</v>
      </c>
      <c r="C4591" s="33" t="s">
        <v>14</v>
      </c>
      <c r="D4591" s="33" t="s">
        <v>31</v>
      </c>
      <c r="E4591" s="33" t="s">
        <v>17139</v>
      </c>
      <c r="F4591" s="67">
        <v>42308</v>
      </c>
      <c r="G4591" s="33" t="s">
        <v>18213</v>
      </c>
      <c r="H4591" s="33" t="s">
        <v>18214</v>
      </c>
      <c r="I4591" s="33" t="s">
        <v>192</v>
      </c>
      <c r="J4591" s="33" t="s">
        <v>18215</v>
      </c>
      <c r="K4591" s="33" t="s">
        <v>801</v>
      </c>
      <c r="L4591" s="33" t="s">
        <v>18216</v>
      </c>
      <c r="M4591" s="33" t="s">
        <v>21</v>
      </c>
      <c r="N4591" s="33" t="s">
        <v>18217</v>
      </c>
      <c r="O4591" s="33" t="s">
        <v>372</v>
      </c>
      <c r="P4591" s="33" t="s">
        <v>30089</v>
      </c>
      <c r="Q4591" s="40" t="s">
        <v>18218</v>
      </c>
      <c r="R4591" s="33" t="s">
        <v>94</v>
      </c>
      <c r="S4591" s="33" t="s">
        <v>22</v>
      </c>
      <c r="T4591" s="33" t="s">
        <v>26781</v>
      </c>
      <c r="U4591" s="33" t="s">
        <v>26572</v>
      </c>
      <c r="V4591" s="33" t="s">
        <v>26573</v>
      </c>
      <c r="W4591" s="33" t="s">
        <v>94</v>
      </c>
      <c r="X4591" s="33">
        <v>969</v>
      </c>
      <c r="Z4591" s="33" t="s">
        <v>42966</v>
      </c>
      <c r="AA4591" s="33">
        <v>3073</v>
      </c>
    </row>
    <row r="4592" spans="1:27" ht="12" customHeight="1" x14ac:dyDescent="0.15">
      <c r="A4592" s="33" t="s">
        <v>17214</v>
      </c>
      <c r="B4592" s="33">
        <v>56</v>
      </c>
      <c r="C4592" s="33" t="s">
        <v>14</v>
      </c>
      <c r="D4592" s="33" t="s">
        <v>79</v>
      </c>
      <c r="E4592" s="33" t="s">
        <v>17215</v>
      </c>
      <c r="F4592" s="67">
        <v>42308</v>
      </c>
      <c r="G4592" s="33" t="s">
        <v>22121</v>
      </c>
      <c r="H4592" s="33" t="s">
        <v>17216</v>
      </c>
      <c r="I4592" s="33" t="s">
        <v>88</v>
      </c>
      <c r="J4592" s="33" t="s">
        <v>17217</v>
      </c>
      <c r="K4592" s="33" t="s">
        <v>5086</v>
      </c>
      <c r="L4592" s="33" t="s">
        <v>17218</v>
      </c>
      <c r="M4592" s="33" t="s">
        <v>21</v>
      </c>
      <c r="N4592" s="33" t="s">
        <v>17219</v>
      </c>
      <c r="O4592" s="33" t="s">
        <v>372</v>
      </c>
      <c r="P4592" s="33" t="s">
        <v>30089</v>
      </c>
      <c r="Q4592" s="40" t="s">
        <v>17220</v>
      </c>
      <c r="R4592" s="33" t="s">
        <v>904</v>
      </c>
      <c r="S4592" s="33" t="s">
        <v>22</v>
      </c>
      <c r="T4592" s="33" t="s">
        <v>26781</v>
      </c>
      <c r="U4592" s="33" t="s">
        <v>26570</v>
      </c>
      <c r="V4592" s="33" t="s">
        <v>26571</v>
      </c>
      <c r="W4592" s="33" t="s">
        <v>94</v>
      </c>
      <c r="X4592" s="33">
        <v>970</v>
      </c>
      <c r="Z4592" s="33" t="s">
        <v>42967</v>
      </c>
      <c r="AA4592" s="33">
        <v>3074</v>
      </c>
    </row>
    <row r="4593" spans="1:27" ht="12" customHeight="1" x14ac:dyDescent="0.15">
      <c r="A4593" s="33" t="s">
        <v>17007</v>
      </c>
      <c r="B4593" s="33">
        <v>29</v>
      </c>
      <c r="C4593" s="33" t="s">
        <v>14</v>
      </c>
      <c r="D4593" s="33" t="s">
        <v>42</v>
      </c>
      <c r="F4593" s="67">
        <v>42307</v>
      </c>
      <c r="G4593" s="33" t="s">
        <v>17009</v>
      </c>
      <c r="H4593" s="33" t="s">
        <v>5313</v>
      </c>
      <c r="I4593" s="33" t="s">
        <v>67</v>
      </c>
      <c r="J4593" s="33" t="s">
        <v>18222</v>
      </c>
      <c r="K4593" s="33" t="s">
        <v>266</v>
      </c>
      <c r="L4593" s="33" t="s">
        <v>18223</v>
      </c>
      <c r="M4593" s="33" t="s">
        <v>21</v>
      </c>
      <c r="N4593" s="33" t="s">
        <v>18224</v>
      </c>
      <c r="O4593" s="33" t="s">
        <v>372</v>
      </c>
      <c r="P4593" s="33" t="s">
        <v>30089</v>
      </c>
      <c r="Q4593" s="40" t="s">
        <v>17008</v>
      </c>
      <c r="R4593" s="33" t="s">
        <v>94</v>
      </c>
      <c r="S4593" s="33" t="s">
        <v>22</v>
      </c>
      <c r="T4593" s="33" t="s">
        <v>26781</v>
      </c>
      <c r="U4593" s="33" t="s">
        <v>26572</v>
      </c>
      <c r="V4593" s="33" t="s">
        <v>26571</v>
      </c>
      <c r="W4593" s="33" t="s">
        <v>94</v>
      </c>
      <c r="X4593" s="33">
        <v>967</v>
      </c>
      <c r="Z4593" s="33" t="s">
        <v>42968</v>
      </c>
      <c r="AA4593" s="33">
        <v>3069</v>
      </c>
    </row>
    <row r="4594" spans="1:27" ht="12" customHeight="1" x14ac:dyDescent="0.15">
      <c r="A4594" s="33" t="s">
        <v>18534</v>
      </c>
      <c r="B4594" s="33">
        <v>20</v>
      </c>
      <c r="C4594" s="33" t="s">
        <v>14</v>
      </c>
      <c r="D4594" s="33" t="s">
        <v>79</v>
      </c>
      <c r="F4594" s="67">
        <v>42307</v>
      </c>
      <c r="G4594" s="33" t="s">
        <v>18536</v>
      </c>
      <c r="H4594" s="33" t="s">
        <v>674</v>
      </c>
      <c r="I4594" s="33" t="s">
        <v>67</v>
      </c>
      <c r="K4594" s="33" t="s">
        <v>515</v>
      </c>
      <c r="L4594" s="33" t="s">
        <v>675</v>
      </c>
      <c r="M4594" s="33" t="s">
        <v>21</v>
      </c>
      <c r="N4594" s="33" t="s">
        <v>18535</v>
      </c>
      <c r="P4594" s="33" t="s">
        <v>30089</v>
      </c>
      <c r="Q4594" s="40" t="s">
        <v>17040</v>
      </c>
      <c r="R4594" s="33" t="s">
        <v>94</v>
      </c>
      <c r="S4594" s="33" t="s">
        <v>22</v>
      </c>
      <c r="T4594" s="33" t="s">
        <v>26576</v>
      </c>
      <c r="X4594" s="33">
        <v>2867</v>
      </c>
      <c r="Z4594" s="33" t="e">
        <v>#N/A</v>
      </c>
      <c r="AA4594" s="33">
        <v>3072</v>
      </c>
    </row>
    <row r="4595" spans="1:27" ht="12" customHeight="1" x14ac:dyDescent="0.15">
      <c r="A4595" s="33" t="s">
        <v>18537</v>
      </c>
      <c r="B4595" s="33">
        <v>25</v>
      </c>
      <c r="C4595" s="33" t="s">
        <v>14</v>
      </c>
      <c r="D4595" s="33" t="s">
        <v>79</v>
      </c>
      <c r="F4595" s="67">
        <v>42307</v>
      </c>
      <c r="G4595" s="33" t="s">
        <v>18536</v>
      </c>
      <c r="H4595" s="33" t="s">
        <v>674</v>
      </c>
      <c r="I4595" s="33" t="s">
        <v>67</v>
      </c>
      <c r="K4595" s="33" t="s">
        <v>515</v>
      </c>
      <c r="L4595" s="33" t="s">
        <v>675</v>
      </c>
      <c r="M4595" s="33" t="s">
        <v>21</v>
      </c>
      <c r="N4595" s="33" t="s">
        <v>18535</v>
      </c>
      <c r="P4595" s="33" t="s">
        <v>30089</v>
      </c>
      <c r="Q4595" s="40" t="s">
        <v>17040</v>
      </c>
      <c r="R4595" s="33" t="s">
        <v>94</v>
      </c>
      <c r="S4595" s="33" t="s">
        <v>22</v>
      </c>
      <c r="T4595" s="33" t="s">
        <v>26781</v>
      </c>
      <c r="U4595" s="33" t="s">
        <v>26570</v>
      </c>
      <c r="V4595" s="33" t="s">
        <v>26574</v>
      </c>
      <c r="W4595" s="33" t="s">
        <v>94</v>
      </c>
      <c r="X4595" s="33">
        <v>968</v>
      </c>
      <c r="Z4595" s="33" t="e">
        <v>#N/A</v>
      </c>
      <c r="AA4595" s="33">
        <v>3070</v>
      </c>
    </row>
    <row r="4596" spans="1:27" ht="12" customHeight="1" x14ac:dyDescent="0.15">
      <c r="A4596" s="33" t="s">
        <v>18539</v>
      </c>
      <c r="B4596" s="33">
        <v>30</v>
      </c>
      <c r="C4596" s="33" t="s">
        <v>14</v>
      </c>
      <c r="D4596" s="33" t="s">
        <v>31</v>
      </c>
      <c r="E4596" s="33" t="s">
        <v>18538</v>
      </c>
      <c r="F4596" s="67">
        <v>42307</v>
      </c>
      <c r="G4596" s="33" t="s">
        <v>18975</v>
      </c>
      <c r="H4596" s="33" t="s">
        <v>18976</v>
      </c>
      <c r="I4596" s="33" t="s">
        <v>367</v>
      </c>
      <c r="K4596" s="33" t="s">
        <v>1470</v>
      </c>
      <c r="L4596" s="33" t="s">
        <v>18974</v>
      </c>
      <c r="M4596" s="33" t="s">
        <v>4966</v>
      </c>
      <c r="N4596" s="33" t="s">
        <v>19141</v>
      </c>
      <c r="P4596" s="33" t="s">
        <v>30089</v>
      </c>
      <c r="Q4596" s="40" t="s">
        <v>17039</v>
      </c>
      <c r="R4596" s="33" t="s">
        <v>23</v>
      </c>
      <c r="S4596" s="33" t="s">
        <v>22</v>
      </c>
      <c r="T4596" s="33" t="s">
        <v>26774</v>
      </c>
      <c r="U4596" s="33" t="s">
        <v>26572</v>
      </c>
      <c r="V4596" s="33" t="s">
        <v>26574</v>
      </c>
      <c r="W4596" s="33" t="s">
        <v>94</v>
      </c>
      <c r="X4596" s="33">
        <v>971</v>
      </c>
      <c r="Z4596" s="33" t="e">
        <v>#N/A</v>
      </c>
      <c r="AA4596" s="33">
        <v>3071</v>
      </c>
    </row>
    <row r="4597" spans="1:27" ht="12" customHeight="1" x14ac:dyDescent="0.15">
      <c r="A4597" s="33" t="s">
        <v>17065</v>
      </c>
      <c r="B4597" s="33">
        <v>62</v>
      </c>
      <c r="C4597" s="33" t="s">
        <v>14</v>
      </c>
      <c r="D4597" s="33" t="s">
        <v>31</v>
      </c>
      <c r="E4597" s="33" t="s">
        <v>17140</v>
      </c>
      <c r="F4597" s="67">
        <v>42307</v>
      </c>
      <c r="G4597" s="33" t="s">
        <v>17066</v>
      </c>
      <c r="H4597" s="33" t="s">
        <v>17067</v>
      </c>
      <c r="I4597" s="33" t="s">
        <v>294</v>
      </c>
      <c r="J4597" s="33" t="s">
        <v>18219</v>
      </c>
      <c r="K4597" s="33" t="s">
        <v>2907</v>
      </c>
      <c r="L4597" s="33" t="s">
        <v>17068</v>
      </c>
      <c r="M4597" s="33" t="s">
        <v>21</v>
      </c>
      <c r="N4597" s="33" t="s">
        <v>18220</v>
      </c>
      <c r="O4597" s="33" t="s">
        <v>372</v>
      </c>
      <c r="P4597" s="33" t="s">
        <v>30089</v>
      </c>
      <c r="Q4597" s="40" t="s">
        <v>18221</v>
      </c>
      <c r="R4597" s="33" t="s">
        <v>94</v>
      </c>
      <c r="S4597" s="33" t="s">
        <v>22</v>
      </c>
      <c r="T4597" s="33" t="s">
        <v>26781</v>
      </c>
      <c r="U4597" s="33" t="s">
        <v>26572</v>
      </c>
      <c r="V4597" s="33" t="s">
        <v>19228</v>
      </c>
      <c r="W4597" s="33" t="s">
        <v>94</v>
      </c>
      <c r="X4597" s="33">
        <v>966</v>
      </c>
      <c r="Z4597" s="33" t="s">
        <v>42967</v>
      </c>
      <c r="AA4597" s="33">
        <v>3068</v>
      </c>
    </row>
    <row r="4598" spans="1:27" ht="12" customHeight="1" x14ac:dyDescent="0.15">
      <c r="A4598" s="33" t="s">
        <v>16950</v>
      </c>
      <c r="B4598" s="33">
        <v>25</v>
      </c>
      <c r="C4598" s="33" t="s">
        <v>14</v>
      </c>
      <c r="D4598" s="33" t="s">
        <v>79</v>
      </c>
      <c r="E4598" s="33" t="s">
        <v>17171</v>
      </c>
      <c r="F4598" s="67">
        <v>42306</v>
      </c>
      <c r="G4598" s="33" t="s">
        <v>18231</v>
      </c>
      <c r="H4598" s="33" t="s">
        <v>1202</v>
      </c>
      <c r="I4598" s="33" t="s">
        <v>63</v>
      </c>
      <c r="J4598" s="33" t="s">
        <v>17192</v>
      </c>
      <c r="K4598" s="33" t="s">
        <v>1203</v>
      </c>
      <c r="L4598" s="33" t="s">
        <v>11441</v>
      </c>
      <c r="M4598" s="33" t="s">
        <v>21</v>
      </c>
      <c r="N4598" s="33" t="s">
        <v>17213</v>
      </c>
      <c r="O4598" s="33" t="s">
        <v>950</v>
      </c>
      <c r="P4598" s="33" t="s">
        <v>30089</v>
      </c>
      <c r="Q4598" s="40" t="s">
        <v>16951</v>
      </c>
      <c r="R4598" s="33" t="s">
        <v>94</v>
      </c>
      <c r="S4598" s="33" t="s">
        <v>22</v>
      </c>
      <c r="T4598" s="33" t="s">
        <v>26781</v>
      </c>
      <c r="U4598" s="33" t="s">
        <v>26570</v>
      </c>
      <c r="V4598" s="33" t="s">
        <v>26573</v>
      </c>
      <c r="W4598" s="33" t="s">
        <v>94</v>
      </c>
      <c r="X4598" s="33">
        <v>964</v>
      </c>
      <c r="Z4598" s="33" t="s">
        <v>42968</v>
      </c>
      <c r="AA4598" s="33">
        <v>3065</v>
      </c>
    </row>
    <row r="4599" spans="1:27" ht="12" customHeight="1" x14ac:dyDescent="0.15">
      <c r="A4599" s="33" t="s">
        <v>17041</v>
      </c>
      <c r="B4599" s="33">
        <v>52</v>
      </c>
      <c r="C4599" s="33" t="s">
        <v>14</v>
      </c>
      <c r="D4599" s="33" t="s">
        <v>31</v>
      </c>
      <c r="F4599" s="67">
        <v>42306</v>
      </c>
      <c r="G4599" s="33" t="s">
        <v>18232</v>
      </c>
      <c r="H4599" s="33" t="s">
        <v>12531</v>
      </c>
      <c r="I4599" s="33" t="s">
        <v>56</v>
      </c>
      <c r="J4599" s="33" t="s">
        <v>18233</v>
      </c>
      <c r="K4599" s="33" t="s">
        <v>7640</v>
      </c>
      <c r="L4599" s="33" t="s">
        <v>7641</v>
      </c>
      <c r="M4599" s="33" t="s">
        <v>21</v>
      </c>
      <c r="N4599" s="33" t="s">
        <v>18234</v>
      </c>
      <c r="O4599" s="33" t="s">
        <v>372</v>
      </c>
      <c r="P4599" s="33" t="s">
        <v>30089</v>
      </c>
      <c r="Q4599" s="40" t="s">
        <v>18235</v>
      </c>
      <c r="R4599" s="33" t="s">
        <v>94</v>
      </c>
      <c r="S4599" s="33" t="s">
        <v>22</v>
      </c>
      <c r="T4599" s="33" t="s">
        <v>26576</v>
      </c>
      <c r="X4599" s="33">
        <v>2871</v>
      </c>
      <c r="Z4599" s="33" t="s">
        <v>42967</v>
      </c>
      <c r="AA4599" s="33">
        <v>3067</v>
      </c>
    </row>
    <row r="4600" spans="1:27" ht="12" customHeight="1" x14ac:dyDescent="0.15">
      <c r="A4600" s="33" t="s">
        <v>17069</v>
      </c>
      <c r="B4600" s="33">
        <v>36</v>
      </c>
      <c r="C4600" s="33" t="s">
        <v>14</v>
      </c>
      <c r="D4600" s="33" t="s">
        <v>31</v>
      </c>
      <c r="E4600" s="33" t="s">
        <v>17141</v>
      </c>
      <c r="F4600" s="67">
        <v>42306</v>
      </c>
      <c r="G4600" s="33" t="s">
        <v>17071</v>
      </c>
      <c r="H4600" s="33" t="s">
        <v>17072</v>
      </c>
      <c r="I4600" s="33" t="s">
        <v>106</v>
      </c>
      <c r="J4600" s="33" t="s">
        <v>20823</v>
      </c>
      <c r="K4600" s="33" t="s">
        <v>107</v>
      </c>
      <c r="L4600" s="33" t="s">
        <v>23</v>
      </c>
      <c r="M4600" s="33" t="s">
        <v>21</v>
      </c>
      <c r="N4600" s="33" t="s">
        <v>19140</v>
      </c>
      <c r="P4600" s="33" t="s">
        <v>30089</v>
      </c>
      <c r="Q4600" s="40" t="s">
        <v>17070</v>
      </c>
      <c r="R4600" s="33" t="s">
        <v>23</v>
      </c>
      <c r="S4600" s="33" t="s">
        <v>22</v>
      </c>
      <c r="T4600" s="1" t="s">
        <v>26781</v>
      </c>
      <c r="Z4600" s="33" t="s">
        <v>42968</v>
      </c>
      <c r="AA4600" s="33">
        <v>3064</v>
      </c>
    </row>
    <row r="4601" spans="1:27" ht="12" customHeight="1" x14ac:dyDescent="0.15">
      <c r="A4601" s="33" t="s">
        <v>17073</v>
      </c>
      <c r="B4601" s="33">
        <v>18</v>
      </c>
      <c r="C4601" s="33" t="s">
        <v>14</v>
      </c>
      <c r="D4601" s="33" t="s">
        <v>31</v>
      </c>
      <c r="F4601" s="67">
        <v>42306</v>
      </c>
      <c r="G4601" s="33" t="s">
        <v>18225</v>
      </c>
      <c r="H4601" s="33" t="s">
        <v>18226</v>
      </c>
      <c r="I4601" s="33" t="s">
        <v>298</v>
      </c>
      <c r="J4601" s="33" t="s">
        <v>18227</v>
      </c>
      <c r="K4601" s="33" t="s">
        <v>1441</v>
      </c>
      <c r="L4601" s="33" t="s">
        <v>18228</v>
      </c>
      <c r="M4601" s="33" t="s">
        <v>21</v>
      </c>
      <c r="N4601" s="33" t="s">
        <v>18229</v>
      </c>
      <c r="O4601" s="33" t="s">
        <v>4311</v>
      </c>
      <c r="P4601" s="33" t="s">
        <v>30089</v>
      </c>
      <c r="Q4601" s="40" t="s">
        <v>18230</v>
      </c>
      <c r="R4601" s="33" t="s">
        <v>23</v>
      </c>
      <c r="S4601" s="33" t="s">
        <v>22</v>
      </c>
      <c r="T4601" s="33" t="s">
        <v>26781</v>
      </c>
      <c r="U4601" s="33" t="s">
        <v>26572</v>
      </c>
      <c r="V4601" s="33" t="s">
        <v>26573</v>
      </c>
      <c r="W4601" s="33" t="s">
        <v>94</v>
      </c>
      <c r="X4601" s="33">
        <v>965</v>
      </c>
      <c r="Z4601" s="33" t="s">
        <v>42967</v>
      </c>
      <c r="AA4601" s="33">
        <v>3066</v>
      </c>
    </row>
    <row r="4602" spans="1:27" ht="12" customHeight="1" x14ac:dyDescent="0.15">
      <c r="A4602" s="33" t="s">
        <v>17074</v>
      </c>
      <c r="B4602" s="33">
        <v>57</v>
      </c>
      <c r="C4602" s="33" t="s">
        <v>14</v>
      </c>
      <c r="D4602" s="33" t="s">
        <v>31</v>
      </c>
      <c r="E4602" s="33" t="s">
        <v>17142</v>
      </c>
      <c r="F4602" s="67">
        <v>42305</v>
      </c>
      <c r="G4602" s="33" t="s">
        <v>17076</v>
      </c>
      <c r="H4602" s="33" t="s">
        <v>17077</v>
      </c>
      <c r="I4602" s="33" t="s">
        <v>621</v>
      </c>
      <c r="J4602" s="33" t="s">
        <v>18236</v>
      </c>
      <c r="K4602" s="33" t="s">
        <v>1037</v>
      </c>
      <c r="L4602" s="33" t="s">
        <v>4752</v>
      </c>
      <c r="M4602" s="33" t="s">
        <v>21</v>
      </c>
      <c r="N4602" s="33" t="s">
        <v>18237</v>
      </c>
      <c r="O4602" s="33" t="s">
        <v>372</v>
      </c>
      <c r="P4602" s="33" t="s">
        <v>30089</v>
      </c>
      <c r="Q4602" s="40" t="s">
        <v>17075</v>
      </c>
      <c r="R4602" s="33" t="s">
        <v>94</v>
      </c>
      <c r="S4602" s="33" t="s">
        <v>22</v>
      </c>
      <c r="T4602" s="33" t="s">
        <v>26781</v>
      </c>
      <c r="U4602" s="33" t="s">
        <v>26572</v>
      </c>
      <c r="V4602" s="33" t="s">
        <v>26573</v>
      </c>
      <c r="W4602" s="33" t="s">
        <v>94</v>
      </c>
      <c r="X4602" s="33">
        <v>959</v>
      </c>
      <c r="Z4602" s="33" t="s">
        <v>42967</v>
      </c>
      <c r="AA4602" s="33">
        <v>3060</v>
      </c>
    </row>
    <row r="4603" spans="1:27" ht="12" customHeight="1" x14ac:dyDescent="0.15">
      <c r="A4603" s="33" t="s">
        <v>16958</v>
      </c>
      <c r="B4603" s="33">
        <v>29</v>
      </c>
      <c r="C4603" s="33" t="s">
        <v>14</v>
      </c>
      <c r="D4603" s="33" t="s">
        <v>79</v>
      </c>
      <c r="E4603" s="33" t="s">
        <v>17174</v>
      </c>
      <c r="F4603" s="67">
        <v>42305</v>
      </c>
      <c r="G4603" s="33" t="s">
        <v>16960</v>
      </c>
      <c r="H4603" s="33" t="s">
        <v>143</v>
      </c>
      <c r="I4603" s="33" t="s">
        <v>39</v>
      </c>
      <c r="J4603" s="33" t="s">
        <v>20826</v>
      </c>
      <c r="K4603" s="33" t="s">
        <v>143</v>
      </c>
      <c r="L4603" s="33" t="s">
        <v>16961</v>
      </c>
      <c r="M4603" s="33" t="s">
        <v>21</v>
      </c>
      <c r="N4603" s="33" t="s">
        <v>36748</v>
      </c>
      <c r="O4603" s="33" t="s">
        <v>372</v>
      </c>
      <c r="P4603" s="33" t="s">
        <v>30089</v>
      </c>
      <c r="Q4603" s="40" t="s">
        <v>16959</v>
      </c>
      <c r="R4603" s="33" t="s">
        <v>23</v>
      </c>
      <c r="S4603" s="33" t="s">
        <v>12</v>
      </c>
      <c r="T4603" s="33" t="s">
        <v>29705</v>
      </c>
      <c r="U4603" s="33" t="s">
        <v>26572</v>
      </c>
      <c r="V4603" s="33" t="s">
        <v>26573</v>
      </c>
      <c r="W4603" s="33" t="s">
        <v>94</v>
      </c>
      <c r="X4603" s="33">
        <v>958</v>
      </c>
      <c r="Z4603" s="33" t="s">
        <v>42968</v>
      </c>
      <c r="AA4603" s="33">
        <v>3063</v>
      </c>
    </row>
    <row r="4604" spans="1:27" ht="12" customHeight="1" x14ac:dyDescent="0.15">
      <c r="A4604" s="33" t="s">
        <v>16952</v>
      </c>
      <c r="B4604" s="33">
        <v>34</v>
      </c>
      <c r="C4604" s="33" t="s">
        <v>14</v>
      </c>
      <c r="D4604" s="33" t="s">
        <v>79</v>
      </c>
      <c r="E4604" s="33" t="s">
        <v>17172</v>
      </c>
      <c r="F4604" s="67">
        <v>42305</v>
      </c>
      <c r="G4604" s="33" t="s">
        <v>16954</v>
      </c>
      <c r="H4604" s="33" t="s">
        <v>603</v>
      </c>
      <c r="I4604" s="33" t="s">
        <v>56</v>
      </c>
      <c r="J4604" s="33" t="s">
        <v>16199</v>
      </c>
      <c r="K4604" s="33" t="s">
        <v>604</v>
      </c>
      <c r="L4604" s="33" t="s">
        <v>605</v>
      </c>
      <c r="M4604" s="33" t="s">
        <v>21</v>
      </c>
      <c r="N4604" s="33" t="s">
        <v>19139</v>
      </c>
      <c r="O4604" s="33" t="s">
        <v>372</v>
      </c>
      <c r="P4604" s="33" t="s">
        <v>30089</v>
      </c>
      <c r="Q4604" s="40" t="s">
        <v>16953</v>
      </c>
      <c r="R4604" s="33" t="s">
        <v>23</v>
      </c>
      <c r="S4604" s="33" t="s">
        <v>22</v>
      </c>
      <c r="T4604" s="33" t="s">
        <v>26781</v>
      </c>
      <c r="U4604" s="33" t="s">
        <v>26572</v>
      </c>
      <c r="V4604" s="33" t="s">
        <v>26573</v>
      </c>
      <c r="W4604" s="33" t="s">
        <v>94</v>
      </c>
      <c r="X4604" s="33">
        <v>961</v>
      </c>
      <c r="Z4604" s="33" t="s">
        <v>42966</v>
      </c>
      <c r="AA4604" s="33">
        <v>3061</v>
      </c>
    </row>
    <row r="4605" spans="1:27" ht="12" customHeight="1" x14ac:dyDescent="0.15">
      <c r="A4605" s="33" t="s">
        <v>17078</v>
      </c>
      <c r="B4605" s="33">
        <v>35</v>
      </c>
      <c r="C4605" s="33" t="s">
        <v>14</v>
      </c>
      <c r="D4605" s="33" t="s">
        <v>31</v>
      </c>
      <c r="E4605" s="33" t="s">
        <v>17143</v>
      </c>
      <c r="F4605" s="67">
        <v>42305</v>
      </c>
      <c r="G4605" s="33" t="s">
        <v>18977</v>
      </c>
      <c r="H4605" s="33" t="s">
        <v>2455</v>
      </c>
      <c r="I4605" s="33" t="s">
        <v>106</v>
      </c>
      <c r="J4605" s="33" t="s">
        <v>30063</v>
      </c>
      <c r="K4605" s="33" t="s">
        <v>392</v>
      </c>
      <c r="L4605" s="33" t="s">
        <v>1910</v>
      </c>
      <c r="M4605" s="33" t="s">
        <v>21</v>
      </c>
      <c r="N4605" s="33" t="s">
        <v>19138</v>
      </c>
      <c r="O4605" s="33" t="s">
        <v>372</v>
      </c>
      <c r="P4605" s="33" t="s">
        <v>30089</v>
      </c>
      <c r="Q4605" s="40" t="s">
        <v>17079</v>
      </c>
      <c r="R4605" s="33" t="s">
        <v>23</v>
      </c>
      <c r="S4605" s="33" t="s">
        <v>22</v>
      </c>
      <c r="T4605" s="33" t="s">
        <v>26781</v>
      </c>
      <c r="U4605" s="33" t="s">
        <v>26572</v>
      </c>
      <c r="V4605" s="33" t="s">
        <v>26571</v>
      </c>
      <c r="W4605" s="33" t="s">
        <v>94</v>
      </c>
      <c r="X4605" s="33">
        <v>962</v>
      </c>
      <c r="Z4605" s="33" t="s">
        <v>42968</v>
      </c>
      <c r="AA4605" s="33">
        <v>3062</v>
      </c>
    </row>
    <row r="4606" spans="1:27" ht="12" customHeight="1" x14ac:dyDescent="0.15">
      <c r="A4606" s="33" t="s">
        <v>16955</v>
      </c>
      <c r="B4606" s="33">
        <v>25</v>
      </c>
      <c r="C4606" s="33" t="s">
        <v>14</v>
      </c>
      <c r="D4606" s="33" t="s">
        <v>79</v>
      </c>
      <c r="E4606" s="33" t="s">
        <v>17173</v>
      </c>
      <c r="F4606" s="67">
        <v>42304</v>
      </c>
      <c r="G4606" s="33" t="s">
        <v>16957</v>
      </c>
      <c r="H4606" s="33" t="s">
        <v>4747</v>
      </c>
      <c r="I4606" s="33" t="s">
        <v>160</v>
      </c>
      <c r="J4606" s="33" t="s">
        <v>6541</v>
      </c>
      <c r="K4606" s="33" t="s">
        <v>3428</v>
      </c>
      <c r="L4606" s="33" t="s">
        <v>6542</v>
      </c>
      <c r="M4606" s="33" t="s">
        <v>21</v>
      </c>
      <c r="N4606" s="33" t="s">
        <v>17212</v>
      </c>
      <c r="O4606" s="33" t="s">
        <v>372</v>
      </c>
      <c r="P4606" s="33" t="s">
        <v>30089</v>
      </c>
      <c r="Q4606" s="40" t="s">
        <v>16956</v>
      </c>
      <c r="R4606" s="33" t="s">
        <v>94</v>
      </c>
      <c r="S4606" s="33" t="s">
        <v>22</v>
      </c>
      <c r="T4606" s="33" t="s">
        <v>26781</v>
      </c>
      <c r="U4606" s="33" t="s">
        <v>26572</v>
      </c>
      <c r="V4606" s="33" t="s">
        <v>26573</v>
      </c>
      <c r="W4606" s="33" t="s">
        <v>512</v>
      </c>
      <c r="X4606" s="33">
        <v>960</v>
      </c>
      <c r="Z4606" s="33" t="s">
        <v>42966</v>
      </c>
      <c r="AA4606" s="33">
        <v>3059</v>
      </c>
    </row>
    <row r="4607" spans="1:27" ht="12" customHeight="1" x14ac:dyDescent="0.15">
      <c r="A4607" s="33" t="s">
        <v>16967</v>
      </c>
      <c r="B4607" s="33">
        <v>45</v>
      </c>
      <c r="C4607" s="33" t="s">
        <v>14</v>
      </c>
      <c r="D4607" s="33" t="s">
        <v>79</v>
      </c>
      <c r="F4607" s="67">
        <v>42303</v>
      </c>
      <c r="G4607" s="33" t="s">
        <v>16969</v>
      </c>
      <c r="H4607" s="33" t="s">
        <v>2865</v>
      </c>
      <c r="I4607" s="33" t="s">
        <v>46</v>
      </c>
      <c r="J4607" s="33" t="s">
        <v>16720</v>
      </c>
      <c r="K4607" s="33" t="s">
        <v>2865</v>
      </c>
      <c r="L4607" s="33" t="s">
        <v>647</v>
      </c>
      <c r="M4607" s="33" t="s">
        <v>21</v>
      </c>
      <c r="N4607" s="33" t="s">
        <v>18238</v>
      </c>
      <c r="O4607" s="33" t="s">
        <v>372</v>
      </c>
      <c r="P4607" s="33" t="s">
        <v>30089</v>
      </c>
      <c r="Q4607" s="40" t="s">
        <v>16968</v>
      </c>
      <c r="R4607" s="33" t="s">
        <v>94</v>
      </c>
      <c r="S4607" s="33" t="s">
        <v>351</v>
      </c>
      <c r="T4607" s="33" t="s">
        <v>26867</v>
      </c>
      <c r="U4607" s="33" t="s">
        <v>26570</v>
      </c>
      <c r="V4607" s="33" t="s">
        <v>26573</v>
      </c>
      <c r="W4607" s="33" t="s">
        <v>94</v>
      </c>
      <c r="X4607" s="33">
        <v>954</v>
      </c>
      <c r="Z4607" s="33" t="s">
        <v>42968</v>
      </c>
      <c r="AA4607" s="33">
        <v>3058</v>
      </c>
    </row>
    <row r="4608" spans="1:27" ht="12" customHeight="1" x14ac:dyDescent="0.15">
      <c r="A4608" s="33" t="s">
        <v>17010</v>
      </c>
      <c r="B4608" s="33">
        <v>24</v>
      </c>
      <c r="C4608" s="33" t="s">
        <v>14</v>
      </c>
      <c r="D4608" s="33" t="s">
        <v>42</v>
      </c>
      <c r="E4608" s="33" t="s">
        <v>17164</v>
      </c>
      <c r="F4608" s="67">
        <v>42303</v>
      </c>
      <c r="G4608" s="33" t="s">
        <v>29930</v>
      </c>
      <c r="H4608" s="33" t="s">
        <v>1033</v>
      </c>
      <c r="I4608" s="33" t="s">
        <v>376</v>
      </c>
      <c r="J4608" s="33" t="s">
        <v>20824</v>
      </c>
      <c r="K4608" s="33" t="s">
        <v>20825</v>
      </c>
      <c r="L4608" s="33" t="s">
        <v>17011</v>
      </c>
      <c r="M4608" s="33" t="s">
        <v>363</v>
      </c>
      <c r="N4608" s="33" t="s">
        <v>29931</v>
      </c>
      <c r="O4608" s="33" t="s">
        <v>372</v>
      </c>
      <c r="P4608" s="33" t="s">
        <v>30089</v>
      </c>
      <c r="Q4608" s="40" t="s">
        <v>29932</v>
      </c>
      <c r="R4608" s="33" t="s">
        <v>23</v>
      </c>
      <c r="S4608" s="33" t="s">
        <v>12</v>
      </c>
      <c r="T4608" s="54" t="s">
        <v>29705</v>
      </c>
      <c r="Z4608" s="33" t="s">
        <v>42966</v>
      </c>
      <c r="AA4608" s="33">
        <v>3057</v>
      </c>
    </row>
    <row r="4609" spans="1:27" ht="12" customHeight="1" x14ac:dyDescent="0.15">
      <c r="A4609" s="33" t="s">
        <v>16962</v>
      </c>
      <c r="B4609" s="33">
        <v>21</v>
      </c>
      <c r="C4609" s="33" t="s">
        <v>103</v>
      </c>
      <c r="D4609" s="33" t="s">
        <v>79</v>
      </c>
      <c r="E4609" s="33" t="s">
        <v>17175</v>
      </c>
      <c r="F4609" s="67">
        <v>42303</v>
      </c>
      <c r="G4609" s="33" t="s">
        <v>16964</v>
      </c>
      <c r="H4609" s="33" t="s">
        <v>107</v>
      </c>
      <c r="I4609" s="33" t="s">
        <v>3357</v>
      </c>
      <c r="J4609" s="33">
        <v>20012</v>
      </c>
      <c r="K4609" s="33" t="s">
        <v>3359</v>
      </c>
      <c r="L4609" s="33" t="s">
        <v>17581</v>
      </c>
      <c r="M4609" s="33" t="s">
        <v>21</v>
      </c>
      <c r="N4609" s="33" t="s">
        <v>19137</v>
      </c>
      <c r="O4609" s="33" t="s">
        <v>372</v>
      </c>
      <c r="P4609" s="33" t="s">
        <v>30089</v>
      </c>
      <c r="Q4609" s="40" t="s">
        <v>16963</v>
      </c>
      <c r="R4609" s="33" t="s">
        <v>23</v>
      </c>
      <c r="S4609" s="33" t="s">
        <v>22</v>
      </c>
      <c r="T4609" s="33" t="s">
        <v>26781</v>
      </c>
      <c r="U4609" s="33" t="s">
        <v>26572</v>
      </c>
      <c r="V4609" s="33" t="s">
        <v>26573</v>
      </c>
      <c r="W4609" s="33" t="s">
        <v>94</v>
      </c>
      <c r="X4609" s="33">
        <v>955</v>
      </c>
      <c r="Z4609" s="33" t="s">
        <v>42966</v>
      </c>
      <c r="AA4609" s="33">
        <v>3055</v>
      </c>
    </row>
    <row r="4610" spans="1:27" ht="12" customHeight="1" x14ac:dyDescent="0.15">
      <c r="A4610" s="33" t="s">
        <v>16965</v>
      </c>
      <c r="B4610" s="33">
        <v>18</v>
      </c>
      <c r="C4610" s="33" t="s">
        <v>14</v>
      </c>
      <c r="D4610" s="33" t="s">
        <v>15</v>
      </c>
      <c r="E4610" s="33" t="s">
        <v>17176</v>
      </c>
      <c r="F4610" s="67">
        <v>42303</v>
      </c>
      <c r="G4610" s="33" t="s">
        <v>18239</v>
      </c>
      <c r="H4610" s="33" t="s">
        <v>1463</v>
      </c>
      <c r="I4610" s="33" t="s">
        <v>56</v>
      </c>
      <c r="J4610" s="33" t="s">
        <v>18240</v>
      </c>
      <c r="K4610" s="33" t="s">
        <v>590</v>
      </c>
      <c r="L4610" s="33" t="s">
        <v>1465</v>
      </c>
      <c r="M4610" s="33" t="s">
        <v>21</v>
      </c>
      <c r="N4610" s="33" t="s">
        <v>18241</v>
      </c>
      <c r="O4610" s="33" t="s">
        <v>372</v>
      </c>
      <c r="P4610" s="33" t="s">
        <v>30089</v>
      </c>
      <c r="Q4610" s="40" t="s">
        <v>16966</v>
      </c>
      <c r="R4610" s="33" t="s">
        <v>94</v>
      </c>
      <c r="S4610" s="33" t="s">
        <v>12</v>
      </c>
      <c r="T4610" s="33" t="s">
        <v>29705</v>
      </c>
      <c r="U4610" s="33" t="s">
        <v>26572</v>
      </c>
      <c r="V4610" s="33" t="s">
        <v>26574</v>
      </c>
      <c r="W4610" s="33" t="s">
        <v>94</v>
      </c>
      <c r="X4610" s="33">
        <v>956</v>
      </c>
      <c r="Z4610" s="33" t="s">
        <v>42968</v>
      </c>
      <c r="AA4610" s="33">
        <v>3056</v>
      </c>
    </row>
    <row r="4611" spans="1:27" ht="12" customHeight="1" x14ac:dyDescent="0.15">
      <c r="A4611" s="33" t="s">
        <v>17080</v>
      </c>
      <c r="B4611" s="33">
        <v>36</v>
      </c>
      <c r="C4611" s="33" t="s">
        <v>14</v>
      </c>
      <c r="D4611" s="33" t="s">
        <v>31</v>
      </c>
      <c r="E4611" s="33" t="s">
        <v>17144</v>
      </c>
      <c r="F4611" s="67">
        <v>42302</v>
      </c>
      <c r="G4611" s="33" t="s">
        <v>17082</v>
      </c>
      <c r="H4611" s="33" t="s">
        <v>17083</v>
      </c>
      <c r="I4611" s="33" t="s">
        <v>160</v>
      </c>
      <c r="J4611" s="33" t="s">
        <v>20827</v>
      </c>
      <c r="K4611" s="33" t="s">
        <v>4698</v>
      </c>
      <c r="L4611" s="33" t="s">
        <v>4699</v>
      </c>
      <c r="M4611" s="33" t="s">
        <v>21</v>
      </c>
      <c r="N4611" s="33" t="s">
        <v>19134</v>
      </c>
      <c r="P4611" s="33" t="s">
        <v>30089</v>
      </c>
      <c r="Q4611" s="40" t="s">
        <v>17081</v>
      </c>
      <c r="R4611" s="33" t="s">
        <v>23</v>
      </c>
      <c r="S4611" s="33" t="s">
        <v>22</v>
      </c>
      <c r="T4611" s="33" t="s">
        <v>26781</v>
      </c>
      <c r="U4611" s="33" t="s">
        <v>26572</v>
      </c>
      <c r="V4611" s="33" t="s">
        <v>26573</v>
      </c>
      <c r="W4611" s="33" t="s">
        <v>94</v>
      </c>
      <c r="X4611" s="33">
        <v>949</v>
      </c>
      <c r="Z4611" s="33" t="s">
        <v>42967</v>
      </c>
      <c r="AA4611" s="33">
        <v>3054</v>
      </c>
    </row>
    <row r="4612" spans="1:27" ht="12" customHeight="1" x14ac:dyDescent="0.15">
      <c r="A4612" s="33" t="s">
        <v>17042</v>
      </c>
      <c r="B4612" s="33">
        <v>49</v>
      </c>
      <c r="C4612" s="33" t="s">
        <v>14</v>
      </c>
      <c r="D4612" s="33" t="s">
        <v>31</v>
      </c>
      <c r="F4612" s="67">
        <v>42301</v>
      </c>
      <c r="G4612" s="33" t="s">
        <v>18247</v>
      </c>
      <c r="H4612" s="33" t="s">
        <v>14805</v>
      </c>
      <c r="I4612" s="33" t="s">
        <v>309</v>
      </c>
      <c r="J4612" s="33" t="s">
        <v>18248</v>
      </c>
      <c r="K4612" s="33" t="s">
        <v>18249</v>
      </c>
      <c r="L4612" s="33" t="s">
        <v>10186</v>
      </c>
      <c r="M4612" s="33" t="s">
        <v>21</v>
      </c>
      <c r="N4612" s="33" t="s">
        <v>18250</v>
      </c>
      <c r="O4612" s="33" t="s">
        <v>372</v>
      </c>
      <c r="P4612" s="33" t="s">
        <v>30089</v>
      </c>
      <c r="Q4612" s="40" t="s">
        <v>18251</v>
      </c>
      <c r="R4612" s="33" t="s">
        <v>94</v>
      </c>
      <c r="S4612" s="33" t="s">
        <v>29</v>
      </c>
      <c r="T4612" s="33" t="s">
        <v>26575</v>
      </c>
      <c r="U4612" s="33" t="s">
        <v>26572</v>
      </c>
      <c r="V4612" s="33" t="s">
        <v>26573</v>
      </c>
      <c r="W4612" s="33" t="s">
        <v>94</v>
      </c>
      <c r="X4612" s="33">
        <v>953</v>
      </c>
      <c r="Z4612" s="33" t="s">
        <v>42967</v>
      </c>
      <c r="AA4612" s="33">
        <v>3053</v>
      </c>
    </row>
    <row r="4613" spans="1:27" ht="12" customHeight="1" x14ac:dyDescent="0.15">
      <c r="A4613" s="33" t="s">
        <v>16972</v>
      </c>
      <c r="B4613" s="33">
        <v>30</v>
      </c>
      <c r="C4613" s="33" t="s">
        <v>14</v>
      </c>
      <c r="D4613" s="33" t="s">
        <v>79</v>
      </c>
      <c r="E4613" s="33" t="s">
        <v>17178</v>
      </c>
      <c r="F4613" s="67">
        <v>42301</v>
      </c>
      <c r="G4613" s="33" t="s">
        <v>16974</v>
      </c>
      <c r="H4613" s="33" t="s">
        <v>16975</v>
      </c>
      <c r="I4613" s="33" t="s">
        <v>39</v>
      </c>
      <c r="J4613" s="33" t="s">
        <v>18246</v>
      </c>
      <c r="K4613" s="33" t="s">
        <v>728</v>
      </c>
      <c r="L4613" s="33" t="s">
        <v>16976</v>
      </c>
      <c r="M4613" s="33" t="s">
        <v>21</v>
      </c>
      <c r="N4613" s="33" t="s">
        <v>27758</v>
      </c>
      <c r="O4613" s="33" t="s">
        <v>372</v>
      </c>
      <c r="P4613" s="33" t="s">
        <v>30089</v>
      </c>
      <c r="Q4613" s="40" t="s">
        <v>16973</v>
      </c>
      <c r="R4613" s="33" t="s">
        <v>23</v>
      </c>
      <c r="S4613" s="33" t="s">
        <v>12</v>
      </c>
      <c r="T4613" s="33" t="s">
        <v>27759</v>
      </c>
      <c r="U4613" s="33" t="s">
        <v>26575</v>
      </c>
      <c r="V4613" s="33" t="s">
        <v>26573</v>
      </c>
      <c r="W4613" s="33" t="s">
        <v>94</v>
      </c>
      <c r="X4613" s="33">
        <v>950</v>
      </c>
      <c r="Z4613" s="33" t="s">
        <v>42968</v>
      </c>
      <c r="AA4613" s="33">
        <v>3047</v>
      </c>
    </row>
    <row r="4614" spans="1:27" ht="12" customHeight="1" x14ac:dyDescent="0.15">
      <c r="A4614" s="33" t="s">
        <v>17089</v>
      </c>
      <c r="B4614" s="33">
        <v>47</v>
      </c>
      <c r="C4614" s="33" t="s">
        <v>14</v>
      </c>
      <c r="D4614" s="33" t="s">
        <v>31</v>
      </c>
      <c r="F4614" s="67">
        <v>42301</v>
      </c>
      <c r="G4614" s="33" t="s">
        <v>17090</v>
      </c>
      <c r="H4614" s="33" t="s">
        <v>2455</v>
      </c>
      <c r="I4614" s="33" t="s">
        <v>409</v>
      </c>
      <c r="J4614" s="33" t="s">
        <v>18242</v>
      </c>
      <c r="K4614" s="33" t="s">
        <v>3318</v>
      </c>
      <c r="L4614" s="33" t="s">
        <v>18243</v>
      </c>
      <c r="M4614" s="33" t="s">
        <v>21</v>
      </c>
      <c r="N4614" s="33" t="s">
        <v>18244</v>
      </c>
      <c r="O4614" s="33" t="s">
        <v>372</v>
      </c>
      <c r="P4614" s="33" t="s">
        <v>30089</v>
      </c>
      <c r="Q4614" s="40" t="s">
        <v>18245</v>
      </c>
      <c r="R4614" s="33" t="s">
        <v>94</v>
      </c>
      <c r="S4614" s="33" t="s">
        <v>22</v>
      </c>
      <c r="T4614" s="33" t="s">
        <v>26781</v>
      </c>
      <c r="U4614" s="33" t="s">
        <v>26572</v>
      </c>
      <c r="V4614" s="33" t="s">
        <v>26573</v>
      </c>
      <c r="W4614" s="33" t="s">
        <v>94</v>
      </c>
      <c r="X4614" s="33">
        <v>952</v>
      </c>
      <c r="Z4614" s="33" t="s">
        <v>42967</v>
      </c>
      <c r="AA4614" s="33">
        <v>3051</v>
      </c>
    </row>
    <row r="4615" spans="1:27" ht="12" customHeight="1" x14ac:dyDescent="0.15">
      <c r="A4615" s="33" t="s">
        <v>17012</v>
      </c>
      <c r="B4615" s="33">
        <v>34</v>
      </c>
      <c r="C4615" s="33" t="s">
        <v>14</v>
      </c>
      <c r="D4615" s="33" t="s">
        <v>42</v>
      </c>
      <c r="F4615" s="67">
        <v>42301</v>
      </c>
      <c r="G4615" s="33" t="s">
        <v>17014</v>
      </c>
      <c r="H4615" s="33" t="s">
        <v>728</v>
      </c>
      <c r="I4615" s="33" t="s">
        <v>39</v>
      </c>
      <c r="J4615" s="33" t="s">
        <v>11718</v>
      </c>
      <c r="K4615" s="33" t="s">
        <v>728</v>
      </c>
      <c r="L4615" s="33" t="s">
        <v>897</v>
      </c>
      <c r="M4615" s="33" t="s">
        <v>21</v>
      </c>
      <c r="N4615" s="33" t="s">
        <v>19136</v>
      </c>
      <c r="P4615" s="33" t="s">
        <v>30089</v>
      </c>
      <c r="Q4615" s="40" t="s">
        <v>17013</v>
      </c>
      <c r="R4615" s="33" t="s">
        <v>23</v>
      </c>
      <c r="S4615" s="33" t="s">
        <v>22</v>
      </c>
      <c r="T4615" s="33" t="s">
        <v>26781</v>
      </c>
      <c r="U4615" s="33" t="s">
        <v>26572</v>
      </c>
      <c r="V4615" s="33" t="s">
        <v>26573</v>
      </c>
      <c r="W4615" s="33" t="s">
        <v>94</v>
      </c>
      <c r="X4615" s="33">
        <v>947</v>
      </c>
      <c r="Z4615" s="33" t="s">
        <v>42968</v>
      </c>
      <c r="AA4615" s="33">
        <v>3048</v>
      </c>
    </row>
    <row r="4616" spans="1:27" ht="12" customHeight="1" x14ac:dyDescent="0.15">
      <c r="A4616" s="33" t="s">
        <v>21344</v>
      </c>
      <c r="B4616" s="33">
        <v>61</v>
      </c>
      <c r="C4616" s="33" t="s">
        <v>14</v>
      </c>
      <c r="D4616" s="33" t="s">
        <v>31</v>
      </c>
      <c r="E4616" s="33" t="s">
        <v>21388</v>
      </c>
      <c r="F4616" s="67">
        <v>42301</v>
      </c>
      <c r="G4616" s="33" t="s">
        <v>21392</v>
      </c>
      <c r="H4616" s="33" t="s">
        <v>21393</v>
      </c>
      <c r="I4616" s="33" t="s">
        <v>395</v>
      </c>
      <c r="J4616" s="33">
        <v>12561</v>
      </c>
      <c r="K4616" s="33" t="s">
        <v>21389</v>
      </c>
      <c r="L4616" s="33" t="s">
        <v>21390</v>
      </c>
      <c r="M4616" s="33" t="s">
        <v>21</v>
      </c>
      <c r="N4616" s="54" t="s">
        <v>36749</v>
      </c>
      <c r="O4616" s="33" t="s">
        <v>372</v>
      </c>
      <c r="P4616" s="33" t="s">
        <v>30089</v>
      </c>
      <c r="Q4616" s="40" t="s">
        <v>21391</v>
      </c>
      <c r="R4616" s="33" t="s">
        <v>512</v>
      </c>
      <c r="S4616" s="33" t="s">
        <v>22</v>
      </c>
      <c r="T4616" s="33" t="s">
        <v>26781</v>
      </c>
      <c r="U4616" s="33" t="s">
        <v>26572</v>
      </c>
      <c r="V4616" s="33" t="s">
        <v>26573</v>
      </c>
      <c r="W4616" s="33" t="s">
        <v>94</v>
      </c>
      <c r="X4616" s="33">
        <v>1283</v>
      </c>
      <c r="Z4616" s="33" t="s">
        <v>42968</v>
      </c>
      <c r="AA4616" s="33">
        <v>3052</v>
      </c>
    </row>
    <row r="4617" spans="1:27" ht="12" customHeight="1" x14ac:dyDescent="0.15">
      <c r="A4617" s="33" t="s">
        <v>16970</v>
      </c>
      <c r="B4617" s="33">
        <v>34</v>
      </c>
      <c r="C4617" s="33" t="s">
        <v>14</v>
      </c>
      <c r="D4617" s="33" t="s">
        <v>79</v>
      </c>
      <c r="E4617" s="33" t="s">
        <v>17177</v>
      </c>
      <c r="F4617" s="67">
        <v>42301</v>
      </c>
      <c r="G4617" s="33" t="s">
        <v>16971</v>
      </c>
      <c r="H4617" s="33" t="s">
        <v>7050</v>
      </c>
      <c r="I4617" s="33" t="s">
        <v>56</v>
      </c>
      <c r="J4617" s="33" t="s">
        <v>7051</v>
      </c>
      <c r="K4617" s="33" t="s">
        <v>5086</v>
      </c>
      <c r="L4617" s="33" t="s">
        <v>14271</v>
      </c>
      <c r="M4617" s="33" t="s">
        <v>21</v>
      </c>
      <c r="N4617" s="33" t="s">
        <v>17211</v>
      </c>
      <c r="O4617" s="33" t="s">
        <v>372</v>
      </c>
      <c r="P4617" s="33" t="s">
        <v>30089</v>
      </c>
      <c r="Q4617" s="40" t="s">
        <v>18252</v>
      </c>
      <c r="R4617" s="33" t="s">
        <v>94</v>
      </c>
      <c r="S4617" s="33" t="s">
        <v>22</v>
      </c>
      <c r="T4617" s="33" t="s">
        <v>26781</v>
      </c>
      <c r="U4617" s="33" t="s">
        <v>26572</v>
      </c>
      <c r="V4617" s="33" t="s">
        <v>26573</v>
      </c>
      <c r="W4617" s="33" t="s">
        <v>512</v>
      </c>
      <c r="X4617" s="33">
        <v>948</v>
      </c>
      <c r="Z4617" s="33" t="s">
        <v>42968</v>
      </c>
      <c r="AA4617" s="33">
        <v>3049</v>
      </c>
    </row>
    <row r="4618" spans="1:27" ht="12" customHeight="1" x14ac:dyDescent="0.15">
      <c r="A4618" s="33" t="s">
        <v>17084</v>
      </c>
      <c r="B4618" s="33">
        <v>28</v>
      </c>
      <c r="C4618" s="33" t="s">
        <v>14</v>
      </c>
      <c r="D4618" s="33" t="s">
        <v>31</v>
      </c>
      <c r="E4618" s="33" t="s">
        <v>17145</v>
      </c>
      <c r="F4618" s="67">
        <v>42301</v>
      </c>
      <c r="G4618" s="33" t="s">
        <v>17086</v>
      </c>
      <c r="H4618" s="33" t="s">
        <v>17087</v>
      </c>
      <c r="I4618" s="33" t="s">
        <v>63</v>
      </c>
      <c r="J4618" s="33" t="s">
        <v>20828</v>
      </c>
      <c r="K4618" s="33" t="s">
        <v>20829</v>
      </c>
      <c r="L4618" s="33" t="s">
        <v>17088</v>
      </c>
      <c r="M4618" s="33" t="s">
        <v>21</v>
      </c>
      <c r="N4618" s="33" t="s">
        <v>19135</v>
      </c>
      <c r="P4618" s="33" t="s">
        <v>30089</v>
      </c>
      <c r="Q4618" s="40" t="s">
        <v>17085</v>
      </c>
      <c r="R4618" s="33" t="s">
        <v>512</v>
      </c>
      <c r="S4618" s="33" t="s">
        <v>22</v>
      </c>
      <c r="T4618" s="33" t="s">
        <v>26781</v>
      </c>
      <c r="U4618" s="33" t="s">
        <v>26572</v>
      </c>
      <c r="V4618" s="33" t="s">
        <v>26573</v>
      </c>
      <c r="W4618" s="33" t="s">
        <v>94</v>
      </c>
      <c r="X4618" s="33">
        <v>951</v>
      </c>
      <c r="Z4618" s="33" t="s">
        <v>42968</v>
      </c>
      <c r="AA4618" s="33">
        <v>3050</v>
      </c>
    </row>
    <row r="4619" spans="1:27" ht="12" customHeight="1" x14ac:dyDescent="0.15">
      <c r="A4619" s="33" t="s">
        <v>16977</v>
      </c>
      <c r="B4619" s="33">
        <v>18</v>
      </c>
      <c r="C4619" s="33" t="s">
        <v>14</v>
      </c>
      <c r="D4619" s="33" t="s">
        <v>79</v>
      </c>
      <c r="E4619" s="33" t="s">
        <v>17179</v>
      </c>
      <c r="F4619" s="67">
        <v>42300</v>
      </c>
      <c r="G4619" s="33" t="s">
        <v>16979</v>
      </c>
      <c r="H4619" s="33" t="s">
        <v>14414</v>
      </c>
      <c r="I4619" s="33" t="s">
        <v>367</v>
      </c>
      <c r="J4619" s="33" t="s">
        <v>14415</v>
      </c>
      <c r="K4619" s="33" t="s">
        <v>1028</v>
      </c>
      <c r="L4619" s="33" t="s">
        <v>1071</v>
      </c>
      <c r="M4619" s="33" t="s">
        <v>21</v>
      </c>
      <c r="N4619" s="33" t="s">
        <v>19132</v>
      </c>
      <c r="O4619" s="33" t="s">
        <v>372</v>
      </c>
      <c r="P4619" s="33" t="s">
        <v>30089</v>
      </c>
      <c r="Q4619" s="40" t="s">
        <v>16978</v>
      </c>
      <c r="R4619" s="33" t="s">
        <v>23</v>
      </c>
      <c r="S4619" s="33" t="s">
        <v>22</v>
      </c>
      <c r="T4619" s="33" t="s">
        <v>26781</v>
      </c>
      <c r="U4619" s="33" t="s">
        <v>26572</v>
      </c>
      <c r="V4619" s="33" t="s">
        <v>26573</v>
      </c>
      <c r="W4619" s="33" t="s">
        <v>94</v>
      </c>
      <c r="X4619" s="33">
        <v>957</v>
      </c>
      <c r="Z4619" s="33" t="s">
        <v>42968</v>
      </c>
      <c r="AA4619" s="33">
        <v>3046</v>
      </c>
    </row>
    <row r="4620" spans="1:27" ht="12" customHeight="1" x14ac:dyDescent="0.15">
      <c r="A4620" s="33" t="s">
        <v>16980</v>
      </c>
      <c r="B4620" s="33">
        <v>36</v>
      </c>
      <c r="C4620" s="33" t="s">
        <v>14</v>
      </c>
      <c r="D4620" s="33" t="s">
        <v>79</v>
      </c>
      <c r="E4620" s="33" t="s">
        <v>17180</v>
      </c>
      <c r="F4620" s="67">
        <v>42299</v>
      </c>
      <c r="G4620" s="33" t="s">
        <v>18253</v>
      </c>
      <c r="H4620" s="33" t="s">
        <v>16981</v>
      </c>
      <c r="I4620" s="33" t="s">
        <v>39</v>
      </c>
      <c r="J4620" s="33" t="s">
        <v>17197</v>
      </c>
      <c r="K4620" s="33" t="s">
        <v>1537</v>
      </c>
      <c r="L4620" s="33" t="s">
        <v>22038</v>
      </c>
      <c r="M4620" s="33" t="s">
        <v>21</v>
      </c>
      <c r="N4620" s="33" t="s">
        <v>17209</v>
      </c>
      <c r="O4620" s="33" t="s">
        <v>372</v>
      </c>
      <c r="P4620" s="33" t="s">
        <v>30089</v>
      </c>
      <c r="Q4620" s="40" t="s">
        <v>18254</v>
      </c>
      <c r="R4620" s="33" t="s">
        <v>94</v>
      </c>
      <c r="S4620" s="33" t="s">
        <v>22</v>
      </c>
      <c r="T4620" s="33" t="s">
        <v>26781</v>
      </c>
      <c r="U4620" s="33" t="s">
        <v>26572</v>
      </c>
      <c r="V4620" s="33" t="s">
        <v>26571</v>
      </c>
      <c r="W4620" s="33" t="s">
        <v>94</v>
      </c>
      <c r="X4620" s="33">
        <v>945</v>
      </c>
      <c r="Z4620" s="33" t="s">
        <v>42968</v>
      </c>
      <c r="AA4620" s="33">
        <v>3043</v>
      </c>
    </row>
    <row r="4621" spans="1:27" ht="12" customHeight="1" x14ac:dyDescent="0.15">
      <c r="A4621" s="33" t="s">
        <v>16982</v>
      </c>
      <c r="B4621" s="33">
        <v>38</v>
      </c>
      <c r="C4621" s="33" t="s">
        <v>14</v>
      </c>
      <c r="D4621" s="33" t="s">
        <v>79</v>
      </c>
      <c r="E4621" s="33" t="s">
        <v>17181</v>
      </c>
      <c r="F4621" s="67">
        <v>42299</v>
      </c>
      <c r="G4621" s="33" t="s">
        <v>16983</v>
      </c>
      <c r="H4621" s="33" t="s">
        <v>430</v>
      </c>
      <c r="I4621" s="33" t="s">
        <v>19</v>
      </c>
      <c r="J4621" s="33" t="s">
        <v>9169</v>
      </c>
      <c r="K4621" s="33" t="s">
        <v>5432</v>
      </c>
      <c r="L4621" s="33" t="s">
        <v>431</v>
      </c>
      <c r="M4621" s="33" t="s">
        <v>21</v>
      </c>
      <c r="N4621" s="33" t="s">
        <v>17210</v>
      </c>
      <c r="O4621" s="33" t="s">
        <v>372</v>
      </c>
      <c r="P4621" s="33" t="s">
        <v>30089</v>
      </c>
      <c r="Q4621" s="40" t="s">
        <v>18255</v>
      </c>
      <c r="R4621" s="33" t="s">
        <v>94</v>
      </c>
      <c r="S4621" s="33" t="s">
        <v>22</v>
      </c>
      <c r="T4621" s="33" t="s">
        <v>26774</v>
      </c>
      <c r="U4621" s="33" t="s">
        <v>26572</v>
      </c>
      <c r="V4621" s="33" t="s">
        <v>26573</v>
      </c>
      <c r="W4621" s="33" t="s">
        <v>94</v>
      </c>
      <c r="X4621" s="33">
        <v>943</v>
      </c>
      <c r="Z4621" s="33" t="s">
        <v>42966</v>
      </c>
      <c r="AA4621" s="33">
        <v>3044</v>
      </c>
    </row>
    <row r="4622" spans="1:27" ht="12" customHeight="1" x14ac:dyDescent="0.15">
      <c r="A4622" s="33" t="s">
        <v>17043</v>
      </c>
      <c r="B4622" s="33">
        <v>53</v>
      </c>
      <c r="C4622" s="33" t="s">
        <v>14</v>
      </c>
      <c r="D4622" s="33" t="s">
        <v>31</v>
      </c>
      <c r="E4622" s="33" t="s">
        <v>18823</v>
      </c>
      <c r="F4622" s="67">
        <v>42299</v>
      </c>
      <c r="G4622" s="33" t="s">
        <v>17044</v>
      </c>
      <c r="H4622" s="33" t="s">
        <v>17045</v>
      </c>
      <c r="I4622" s="33" t="s">
        <v>294</v>
      </c>
      <c r="J4622" s="33" t="s">
        <v>18256</v>
      </c>
      <c r="K4622" s="33" t="s">
        <v>18257</v>
      </c>
      <c r="L4622" s="33" t="s">
        <v>18258</v>
      </c>
      <c r="M4622" s="33" t="s">
        <v>21</v>
      </c>
      <c r="N4622" s="33" t="s">
        <v>18259</v>
      </c>
      <c r="O4622" s="33" t="s">
        <v>372</v>
      </c>
      <c r="P4622" s="33" t="s">
        <v>30089</v>
      </c>
      <c r="Q4622" s="40" t="s">
        <v>18260</v>
      </c>
      <c r="R4622" s="33" t="s">
        <v>94</v>
      </c>
      <c r="S4622" s="33" t="s">
        <v>29</v>
      </c>
      <c r="T4622" s="33" t="s">
        <v>26575</v>
      </c>
      <c r="U4622" s="33" t="s">
        <v>26570</v>
      </c>
      <c r="V4622" s="33" t="s">
        <v>26573</v>
      </c>
      <c r="W4622" s="33" t="s">
        <v>94</v>
      </c>
      <c r="X4622" s="33">
        <v>946</v>
      </c>
      <c r="Z4622" s="33" t="s">
        <v>42967</v>
      </c>
      <c r="AA4622" s="33">
        <v>3045</v>
      </c>
    </row>
    <row r="4623" spans="1:27" ht="12" customHeight="1" x14ac:dyDescent="0.15">
      <c r="A4623" s="33" t="s">
        <v>17018</v>
      </c>
      <c r="B4623" s="33">
        <v>21</v>
      </c>
      <c r="C4623" s="33" t="s">
        <v>14</v>
      </c>
      <c r="D4623" s="33" t="s">
        <v>42</v>
      </c>
      <c r="E4623" s="33" t="s">
        <v>17162</v>
      </c>
      <c r="F4623" s="67">
        <v>42298</v>
      </c>
      <c r="G4623" s="33" t="s">
        <v>22122</v>
      </c>
      <c r="H4623" s="33" t="s">
        <v>1632</v>
      </c>
      <c r="I4623" s="33" t="s">
        <v>39</v>
      </c>
      <c r="J4623" s="33" t="s">
        <v>18265</v>
      </c>
      <c r="K4623" s="33" t="s">
        <v>1088</v>
      </c>
      <c r="L4623" s="33" t="s">
        <v>18266</v>
      </c>
      <c r="M4623" s="33" t="s">
        <v>21</v>
      </c>
      <c r="N4623" s="33" t="s">
        <v>18267</v>
      </c>
      <c r="O4623" s="33" t="s">
        <v>372</v>
      </c>
      <c r="P4623" s="33" t="s">
        <v>30089</v>
      </c>
      <c r="Q4623" s="40" t="s">
        <v>18268</v>
      </c>
      <c r="R4623" s="33" t="s">
        <v>512</v>
      </c>
      <c r="S4623" s="33" t="s">
        <v>12</v>
      </c>
      <c r="T4623" s="33" t="s">
        <v>29705</v>
      </c>
      <c r="U4623" s="33" t="s">
        <v>26572</v>
      </c>
      <c r="V4623" s="33" t="s">
        <v>26573</v>
      </c>
      <c r="W4623" s="33" t="s">
        <v>94</v>
      </c>
      <c r="X4623" s="33">
        <v>941</v>
      </c>
      <c r="Z4623" s="33" t="s">
        <v>42966</v>
      </c>
      <c r="AA4623" s="33">
        <v>3041</v>
      </c>
    </row>
    <row r="4624" spans="1:27" ht="12" customHeight="1" x14ac:dyDescent="0.15">
      <c r="A4624" s="33" t="s">
        <v>17046</v>
      </c>
      <c r="B4624" s="33">
        <v>36</v>
      </c>
      <c r="C4624" s="33" t="s">
        <v>14</v>
      </c>
      <c r="D4624" s="33" t="s">
        <v>42</v>
      </c>
      <c r="E4624" s="33" t="s">
        <v>18824</v>
      </c>
      <c r="F4624" s="67">
        <v>42298</v>
      </c>
      <c r="G4624" s="33" t="s">
        <v>17048</v>
      </c>
      <c r="H4624" s="33" t="s">
        <v>11314</v>
      </c>
      <c r="I4624" s="33" t="s">
        <v>67</v>
      </c>
      <c r="J4624" s="33" t="s">
        <v>30064</v>
      </c>
      <c r="K4624" s="33" t="s">
        <v>11316</v>
      </c>
      <c r="L4624" s="33" t="s">
        <v>11317</v>
      </c>
      <c r="M4624" s="33" t="s">
        <v>363</v>
      </c>
      <c r="N4624" s="33" t="s">
        <v>30057</v>
      </c>
      <c r="O4624" s="33" t="s">
        <v>372</v>
      </c>
      <c r="P4624" s="33" t="s">
        <v>30089</v>
      </c>
      <c r="Q4624" s="40" t="s">
        <v>17047</v>
      </c>
      <c r="R4624" s="33" t="s">
        <v>23</v>
      </c>
      <c r="S4624" s="33" t="s">
        <v>12</v>
      </c>
      <c r="T4624" s="54" t="s">
        <v>29705</v>
      </c>
      <c r="Z4624" s="33" t="s">
        <v>42968</v>
      </c>
      <c r="AA4624" s="33">
        <v>3042</v>
      </c>
    </row>
    <row r="4625" spans="1:31" ht="12" customHeight="1" x14ac:dyDescent="0.15">
      <c r="A4625" s="33" t="s">
        <v>17091</v>
      </c>
      <c r="B4625" s="33">
        <v>47</v>
      </c>
      <c r="C4625" s="33" t="s">
        <v>14</v>
      </c>
      <c r="D4625" s="33" t="s">
        <v>31</v>
      </c>
      <c r="E4625" s="33" t="s">
        <v>17146</v>
      </c>
      <c r="F4625" s="67">
        <v>42298</v>
      </c>
      <c r="G4625" s="33" t="s">
        <v>17092</v>
      </c>
      <c r="H4625" s="33" t="s">
        <v>17093</v>
      </c>
      <c r="I4625" s="33" t="s">
        <v>51</v>
      </c>
      <c r="J4625" s="33" t="s">
        <v>18269</v>
      </c>
      <c r="K4625" s="33" t="s">
        <v>2350</v>
      </c>
      <c r="L4625" s="33" t="s">
        <v>17094</v>
      </c>
      <c r="M4625" s="33" t="s">
        <v>21</v>
      </c>
      <c r="N4625" s="33" t="s">
        <v>18270</v>
      </c>
      <c r="O4625" s="33" t="s">
        <v>372</v>
      </c>
      <c r="P4625" s="33" t="s">
        <v>30089</v>
      </c>
      <c r="Q4625" s="40" t="s">
        <v>18271</v>
      </c>
      <c r="R4625" s="33" t="s">
        <v>512</v>
      </c>
      <c r="S4625" s="33" t="s">
        <v>22</v>
      </c>
      <c r="T4625" s="33" t="s">
        <v>26781</v>
      </c>
      <c r="U4625" s="33" t="s">
        <v>26572</v>
      </c>
      <c r="V4625" s="33" t="s">
        <v>26573</v>
      </c>
      <c r="W4625" s="33" t="s">
        <v>94</v>
      </c>
      <c r="X4625" s="33">
        <v>944</v>
      </c>
      <c r="Z4625" s="33" t="s">
        <v>42968</v>
      </c>
      <c r="AA4625" s="33">
        <v>3039</v>
      </c>
    </row>
    <row r="4626" spans="1:31" ht="12" customHeight="1" x14ac:dyDescent="0.15">
      <c r="A4626" s="33" t="s">
        <v>17015</v>
      </c>
      <c r="B4626" s="33">
        <v>35</v>
      </c>
      <c r="C4626" s="33" t="s">
        <v>14</v>
      </c>
      <c r="D4626" s="33" t="s">
        <v>42</v>
      </c>
      <c r="E4626" s="33" t="s">
        <v>17163</v>
      </c>
      <c r="F4626" s="67">
        <v>42298</v>
      </c>
      <c r="G4626" s="33" t="s">
        <v>17016</v>
      </c>
      <c r="H4626" s="33" t="s">
        <v>17017</v>
      </c>
      <c r="I4626" s="33" t="s">
        <v>39</v>
      </c>
      <c r="J4626" s="33" t="s">
        <v>18261</v>
      </c>
      <c r="K4626" s="33" t="s">
        <v>8996</v>
      </c>
      <c r="L4626" s="33" t="s">
        <v>18262</v>
      </c>
      <c r="M4626" s="33" t="s">
        <v>21</v>
      </c>
      <c r="N4626" s="33" t="s">
        <v>18263</v>
      </c>
      <c r="O4626" s="33" t="s">
        <v>372</v>
      </c>
      <c r="P4626" s="33" t="s">
        <v>30089</v>
      </c>
      <c r="Q4626" s="40" t="s">
        <v>18264</v>
      </c>
      <c r="R4626" s="33" t="s">
        <v>94</v>
      </c>
      <c r="S4626" s="33" t="s">
        <v>22</v>
      </c>
      <c r="T4626" s="33" t="s">
        <v>26774</v>
      </c>
      <c r="U4626" s="33" t="s">
        <v>26570</v>
      </c>
      <c r="V4626" s="33" t="s">
        <v>19228</v>
      </c>
      <c r="W4626" s="33" t="s">
        <v>94</v>
      </c>
      <c r="X4626" s="33">
        <v>940</v>
      </c>
      <c r="Z4626" s="33" t="s">
        <v>42968</v>
      </c>
      <c r="AA4626" s="33">
        <v>3040</v>
      </c>
    </row>
    <row r="4627" spans="1:31" ht="12" customHeight="1" x14ac:dyDescent="0.15">
      <c r="A4627" s="33" t="s">
        <v>17019</v>
      </c>
      <c r="B4627" s="33">
        <v>40</v>
      </c>
      <c r="C4627" s="33" t="s">
        <v>14</v>
      </c>
      <c r="D4627" s="33" t="s">
        <v>42</v>
      </c>
      <c r="E4627" s="33" t="s">
        <v>17161</v>
      </c>
      <c r="F4627" s="67">
        <v>42297</v>
      </c>
      <c r="G4627" s="33" t="s">
        <v>30060</v>
      </c>
      <c r="H4627" s="33" t="s">
        <v>17021</v>
      </c>
      <c r="I4627" s="33" t="s">
        <v>178</v>
      </c>
      <c r="J4627" s="33" t="s">
        <v>30061</v>
      </c>
      <c r="K4627" s="33" t="s">
        <v>30048</v>
      </c>
      <c r="L4627" s="33" t="s">
        <v>17022</v>
      </c>
      <c r="M4627" s="33" t="s">
        <v>21</v>
      </c>
      <c r="N4627" s="33" t="s">
        <v>30062</v>
      </c>
      <c r="O4627" s="33" t="s">
        <v>372</v>
      </c>
      <c r="P4627" s="33" t="s">
        <v>30089</v>
      </c>
      <c r="Q4627" s="40" t="s">
        <v>17020</v>
      </c>
      <c r="R4627" s="33" t="s">
        <v>23</v>
      </c>
      <c r="S4627" s="33" t="s">
        <v>22</v>
      </c>
      <c r="T4627" s="33" t="s">
        <v>26781</v>
      </c>
      <c r="U4627" s="33" t="s">
        <v>26572</v>
      </c>
      <c r="V4627" s="33" t="s">
        <v>26573</v>
      </c>
      <c r="W4627" s="33" t="s">
        <v>94</v>
      </c>
      <c r="X4627" s="33">
        <v>937</v>
      </c>
      <c r="Z4627" s="33" t="s">
        <v>42967</v>
      </c>
      <c r="AA4627" s="33">
        <v>3033</v>
      </c>
    </row>
    <row r="4628" spans="1:31" ht="12" customHeight="1" x14ac:dyDescent="0.15">
      <c r="A4628" s="33" t="s">
        <v>17105</v>
      </c>
      <c r="B4628" s="33">
        <v>30</v>
      </c>
      <c r="C4628" s="33" t="s">
        <v>14</v>
      </c>
      <c r="D4628" s="33" t="s">
        <v>31</v>
      </c>
      <c r="E4628" s="33" t="s">
        <v>17150</v>
      </c>
      <c r="F4628" s="67">
        <v>42297</v>
      </c>
      <c r="G4628" s="33" t="s">
        <v>18281</v>
      </c>
      <c r="H4628" s="33" t="s">
        <v>834</v>
      </c>
      <c r="I4628" s="33" t="s">
        <v>294</v>
      </c>
      <c r="J4628" s="33" t="s">
        <v>18282</v>
      </c>
      <c r="K4628" s="33" t="s">
        <v>1659</v>
      </c>
      <c r="L4628" s="33" t="s">
        <v>17106</v>
      </c>
      <c r="M4628" s="33" t="s">
        <v>21</v>
      </c>
      <c r="N4628" s="33" t="s">
        <v>18283</v>
      </c>
      <c r="O4628" s="33" t="s">
        <v>372</v>
      </c>
      <c r="P4628" s="33" t="s">
        <v>30089</v>
      </c>
      <c r="Q4628" s="40" t="s">
        <v>18284</v>
      </c>
      <c r="R4628" s="33" t="s">
        <v>94</v>
      </c>
      <c r="S4628" s="33" t="s">
        <v>12</v>
      </c>
      <c r="T4628" s="33" t="s">
        <v>29425</v>
      </c>
      <c r="U4628" s="33" t="s">
        <v>26572</v>
      </c>
      <c r="V4628" s="33" t="s">
        <v>26573</v>
      </c>
      <c r="W4628" s="33" t="s">
        <v>94</v>
      </c>
      <c r="X4628" s="33">
        <v>935</v>
      </c>
      <c r="Z4628" s="33" t="s">
        <v>42968</v>
      </c>
      <c r="AA4628" s="33">
        <v>3036</v>
      </c>
    </row>
    <row r="4629" spans="1:31" ht="12" customHeight="1" x14ac:dyDescent="0.15">
      <c r="A4629" s="33" t="s">
        <v>17095</v>
      </c>
      <c r="B4629" s="33">
        <v>21</v>
      </c>
      <c r="C4629" s="33" t="s">
        <v>14</v>
      </c>
      <c r="D4629" s="33" t="s">
        <v>31</v>
      </c>
      <c r="E4629" s="33" t="s">
        <v>17147</v>
      </c>
      <c r="F4629" s="67">
        <v>42297</v>
      </c>
      <c r="G4629" s="33" t="s">
        <v>17096</v>
      </c>
      <c r="H4629" s="33" t="s">
        <v>17097</v>
      </c>
      <c r="I4629" s="33" t="s">
        <v>342</v>
      </c>
      <c r="J4629" s="33" t="s">
        <v>18276</v>
      </c>
      <c r="K4629" s="33" t="s">
        <v>18277</v>
      </c>
      <c r="L4629" s="33" t="s">
        <v>17098</v>
      </c>
      <c r="M4629" s="33" t="s">
        <v>21</v>
      </c>
      <c r="N4629" s="33" t="s">
        <v>18278</v>
      </c>
      <c r="O4629" s="33" t="s">
        <v>372</v>
      </c>
      <c r="P4629" s="33" t="s">
        <v>30089</v>
      </c>
      <c r="Q4629" s="40" t="s">
        <v>18279</v>
      </c>
      <c r="R4629" s="33" t="s">
        <v>94</v>
      </c>
      <c r="S4629" s="33" t="s">
        <v>22</v>
      </c>
      <c r="T4629" s="33" t="s">
        <v>26781</v>
      </c>
      <c r="U4629" s="33" t="s">
        <v>26572</v>
      </c>
      <c r="V4629" s="33" t="s">
        <v>26574</v>
      </c>
      <c r="W4629" s="33" t="s">
        <v>94</v>
      </c>
      <c r="X4629" s="33">
        <v>939</v>
      </c>
      <c r="Z4629" s="33" t="s">
        <v>42968</v>
      </c>
      <c r="AA4629" s="33">
        <v>3034</v>
      </c>
    </row>
    <row r="4630" spans="1:31" ht="12" customHeight="1" x14ac:dyDescent="0.15">
      <c r="A4630" s="33" t="s">
        <v>17099</v>
      </c>
      <c r="B4630" s="33">
        <v>30</v>
      </c>
      <c r="C4630" s="33" t="s">
        <v>14</v>
      </c>
      <c r="D4630" s="33" t="s">
        <v>31</v>
      </c>
      <c r="E4630" s="33" t="s">
        <v>17148</v>
      </c>
      <c r="F4630" s="67">
        <v>42297</v>
      </c>
      <c r="G4630" s="33" t="s">
        <v>18272</v>
      </c>
      <c r="H4630" s="33" t="s">
        <v>17100</v>
      </c>
      <c r="I4630" s="33" t="s">
        <v>19</v>
      </c>
      <c r="J4630" s="33" t="s">
        <v>18273</v>
      </c>
      <c r="K4630" s="33" t="s">
        <v>15980</v>
      </c>
      <c r="L4630" s="33" t="s">
        <v>15981</v>
      </c>
      <c r="M4630" s="33" t="s">
        <v>21</v>
      </c>
      <c r="N4630" s="33" t="s">
        <v>18274</v>
      </c>
      <c r="O4630" s="33" t="s">
        <v>372</v>
      </c>
      <c r="P4630" s="33" t="s">
        <v>30089</v>
      </c>
      <c r="Q4630" s="40" t="s">
        <v>18275</v>
      </c>
      <c r="R4630" s="33" t="s">
        <v>94</v>
      </c>
      <c r="S4630" s="33" t="s">
        <v>22</v>
      </c>
      <c r="T4630" s="33" t="s">
        <v>26774</v>
      </c>
      <c r="U4630" s="33" t="s">
        <v>26572</v>
      </c>
      <c r="V4630" s="33" t="s">
        <v>26573</v>
      </c>
      <c r="W4630" s="33" t="s">
        <v>94</v>
      </c>
      <c r="X4630" s="33">
        <v>938</v>
      </c>
      <c r="Z4630" s="33" t="s">
        <v>42968</v>
      </c>
      <c r="AA4630" s="33">
        <v>3035</v>
      </c>
    </row>
    <row r="4631" spans="1:31" ht="12" customHeight="1" x14ac:dyDescent="0.15">
      <c r="A4631" s="33" t="s">
        <v>17101</v>
      </c>
      <c r="B4631" s="33">
        <v>47</v>
      </c>
      <c r="C4631" s="33" t="s">
        <v>14</v>
      </c>
      <c r="D4631" s="33" t="s">
        <v>31</v>
      </c>
      <c r="E4631" s="33" t="s">
        <v>17149</v>
      </c>
      <c r="F4631" s="67">
        <v>42297</v>
      </c>
      <c r="G4631" s="33" t="s">
        <v>17103</v>
      </c>
      <c r="H4631" s="33" t="s">
        <v>17104</v>
      </c>
      <c r="I4631" s="33" t="s">
        <v>337</v>
      </c>
      <c r="J4631" s="33" t="s">
        <v>30059</v>
      </c>
      <c r="K4631" s="33" t="s">
        <v>3818</v>
      </c>
      <c r="L4631" s="33" t="s">
        <v>3819</v>
      </c>
      <c r="M4631" s="33" t="s">
        <v>363</v>
      </c>
      <c r="N4631" s="33" t="s">
        <v>30058</v>
      </c>
      <c r="O4631" s="33" t="s">
        <v>372</v>
      </c>
      <c r="P4631" s="33" t="s">
        <v>30089</v>
      </c>
      <c r="Q4631" s="40" t="s">
        <v>17102</v>
      </c>
      <c r="R4631" s="33" t="s">
        <v>23</v>
      </c>
      <c r="S4631" s="33" t="s">
        <v>12</v>
      </c>
      <c r="T4631" s="54" t="s">
        <v>29705</v>
      </c>
      <c r="Z4631" s="33" t="s">
        <v>42967</v>
      </c>
      <c r="AA4631" s="33">
        <v>3038</v>
      </c>
    </row>
    <row r="4632" spans="1:31" ht="12" customHeight="1" x14ac:dyDescent="0.15">
      <c r="A4632" s="33" t="s">
        <v>16984</v>
      </c>
      <c r="B4632" s="33">
        <v>39</v>
      </c>
      <c r="C4632" s="33" t="s">
        <v>14</v>
      </c>
      <c r="D4632" s="33" t="s">
        <v>79</v>
      </c>
      <c r="E4632" s="33" t="s">
        <v>17182</v>
      </c>
      <c r="F4632" s="67">
        <v>42297</v>
      </c>
      <c r="G4632" s="33" t="s">
        <v>16985</v>
      </c>
      <c r="H4632" s="33" t="s">
        <v>143</v>
      </c>
      <c r="I4632" s="33" t="s">
        <v>39</v>
      </c>
      <c r="J4632" s="33" t="s">
        <v>10388</v>
      </c>
      <c r="K4632" s="33" t="s">
        <v>143</v>
      </c>
      <c r="L4632" s="33" t="s">
        <v>144</v>
      </c>
      <c r="M4632" s="33" t="s">
        <v>21</v>
      </c>
      <c r="N4632" s="33" t="s">
        <v>17208</v>
      </c>
      <c r="O4632" s="33" t="s">
        <v>950</v>
      </c>
      <c r="P4632" s="33" t="s">
        <v>30089</v>
      </c>
      <c r="Q4632" s="40" t="s">
        <v>18280</v>
      </c>
      <c r="R4632" s="33" t="s">
        <v>94</v>
      </c>
      <c r="S4632" s="33" t="s">
        <v>12</v>
      </c>
      <c r="T4632" s="33" t="s">
        <v>29425</v>
      </c>
      <c r="U4632" s="33" t="s">
        <v>26572</v>
      </c>
      <c r="V4632" s="33" t="s">
        <v>26573</v>
      </c>
      <c r="W4632" s="33" t="s">
        <v>94</v>
      </c>
      <c r="X4632" s="33">
        <v>936</v>
      </c>
      <c r="Z4632" s="33" t="s">
        <v>42966</v>
      </c>
      <c r="AA4632" s="33">
        <v>3037</v>
      </c>
    </row>
    <row r="4633" spans="1:31" ht="12" customHeight="1" x14ac:dyDescent="0.15">
      <c r="A4633" s="33" t="s">
        <v>18211</v>
      </c>
      <c r="B4633" s="33">
        <v>53</v>
      </c>
      <c r="C4633" s="33" t="s">
        <v>14</v>
      </c>
      <c r="D4633" s="33" t="s">
        <v>79</v>
      </c>
      <c r="F4633" s="67">
        <v>42296</v>
      </c>
      <c r="G4633" s="33" t="s">
        <v>17049</v>
      </c>
      <c r="H4633" s="33" t="s">
        <v>92</v>
      </c>
      <c r="I4633" s="33" t="s">
        <v>39</v>
      </c>
      <c r="J4633" s="33" t="s">
        <v>18285</v>
      </c>
      <c r="K4633" s="33" t="s">
        <v>92</v>
      </c>
      <c r="L4633" s="33" t="s">
        <v>386</v>
      </c>
      <c r="M4633" s="33" t="s">
        <v>21</v>
      </c>
      <c r="N4633" s="33" t="s">
        <v>36750</v>
      </c>
      <c r="O4633" s="33" t="s">
        <v>372</v>
      </c>
      <c r="P4633" s="33" t="s">
        <v>30089</v>
      </c>
      <c r="Q4633" s="40" t="s">
        <v>18286</v>
      </c>
      <c r="R4633" s="33" t="s">
        <v>23</v>
      </c>
      <c r="S4633" s="33" t="s">
        <v>351</v>
      </c>
      <c r="T4633" s="33" t="s">
        <v>26867</v>
      </c>
      <c r="U4633" s="33" t="s">
        <v>26572</v>
      </c>
      <c r="V4633" s="33" t="s">
        <v>26573</v>
      </c>
      <c r="W4633" s="33" t="s">
        <v>94</v>
      </c>
      <c r="X4633" s="33">
        <v>934</v>
      </c>
      <c r="Z4633" s="33" t="s">
        <v>42966</v>
      </c>
      <c r="AA4633" s="33">
        <v>3032</v>
      </c>
    </row>
    <row r="4634" spans="1:31" ht="12" customHeight="1" x14ac:dyDescent="0.15">
      <c r="A4634" s="33" t="s">
        <v>17109</v>
      </c>
      <c r="B4634" s="33">
        <v>28</v>
      </c>
      <c r="C4634" s="33" t="s">
        <v>14</v>
      </c>
      <c r="D4634" s="33" t="s">
        <v>31</v>
      </c>
      <c r="E4634" s="33" t="s">
        <v>17152</v>
      </c>
      <c r="F4634" s="67">
        <v>42295</v>
      </c>
      <c r="G4634" s="33" t="s">
        <v>22123</v>
      </c>
      <c r="H4634" s="33" t="s">
        <v>183</v>
      </c>
      <c r="I4634" s="33" t="s">
        <v>39</v>
      </c>
      <c r="J4634" s="33" t="s">
        <v>18289</v>
      </c>
      <c r="K4634" s="33" t="s">
        <v>183</v>
      </c>
      <c r="L4634" s="33" t="s">
        <v>184</v>
      </c>
      <c r="M4634" s="33" t="s">
        <v>21</v>
      </c>
      <c r="N4634" s="33" t="s">
        <v>18290</v>
      </c>
      <c r="O4634" s="33" t="s">
        <v>372</v>
      </c>
      <c r="P4634" s="33" t="s">
        <v>30089</v>
      </c>
      <c r="Q4634" s="40" t="s">
        <v>18291</v>
      </c>
      <c r="R4634" s="33" t="s">
        <v>512</v>
      </c>
      <c r="S4634" s="33" t="s">
        <v>22</v>
      </c>
      <c r="T4634" s="33" t="s">
        <v>26774</v>
      </c>
      <c r="U4634" s="33" t="s">
        <v>26572</v>
      </c>
      <c r="V4634" s="33" t="s">
        <v>26573</v>
      </c>
      <c r="W4634" s="33" t="s">
        <v>94</v>
      </c>
      <c r="X4634" s="33">
        <v>932</v>
      </c>
      <c r="Z4634" s="33" t="s">
        <v>42968</v>
      </c>
      <c r="AA4634" s="33">
        <v>3030</v>
      </c>
    </row>
    <row r="4635" spans="1:31" ht="12" customHeight="1" x14ac:dyDescent="0.15">
      <c r="A4635" s="33" t="s">
        <v>17023</v>
      </c>
      <c r="B4635" s="33">
        <v>37</v>
      </c>
      <c r="C4635" s="33" t="s">
        <v>14</v>
      </c>
      <c r="D4635" s="33" t="s">
        <v>42</v>
      </c>
      <c r="E4635" s="33" t="s">
        <v>17137</v>
      </c>
      <c r="F4635" s="67">
        <v>42295</v>
      </c>
      <c r="G4635" s="33" t="s">
        <v>30065</v>
      </c>
      <c r="H4635" s="33" t="s">
        <v>16360</v>
      </c>
      <c r="I4635" s="33" t="s">
        <v>67</v>
      </c>
      <c r="J4635" s="33" t="s">
        <v>16361</v>
      </c>
      <c r="K4635" s="33" t="s">
        <v>1123</v>
      </c>
      <c r="L4635" s="33" t="s">
        <v>16362</v>
      </c>
      <c r="M4635" s="33" t="s">
        <v>2909</v>
      </c>
      <c r="N4635" s="33" t="s">
        <v>30066</v>
      </c>
      <c r="O4635" s="33" t="s">
        <v>372</v>
      </c>
      <c r="P4635" s="33" t="s">
        <v>30089</v>
      </c>
      <c r="Q4635" s="40" t="s">
        <v>18983</v>
      </c>
      <c r="R4635" s="33" t="s">
        <v>23</v>
      </c>
      <c r="S4635" s="33" t="s">
        <v>12</v>
      </c>
      <c r="T4635" s="54" t="s">
        <v>29705</v>
      </c>
      <c r="Z4635" s="33" t="s">
        <v>42966</v>
      </c>
      <c r="AA4635" s="33">
        <v>3031</v>
      </c>
    </row>
    <row r="4636" spans="1:31" ht="12" customHeight="1" x14ac:dyDescent="0.15">
      <c r="A4636" s="33" t="s">
        <v>17107</v>
      </c>
      <c r="B4636" s="33">
        <v>50</v>
      </c>
      <c r="C4636" s="33" t="s">
        <v>14</v>
      </c>
      <c r="D4636" s="33" t="s">
        <v>31</v>
      </c>
      <c r="E4636" s="33" t="s">
        <v>17151</v>
      </c>
      <c r="F4636" s="67">
        <v>42295</v>
      </c>
      <c r="H4636" s="33" t="s">
        <v>13954</v>
      </c>
      <c r="I4636" s="33" t="s">
        <v>122</v>
      </c>
      <c r="J4636" s="33" t="s">
        <v>30074</v>
      </c>
      <c r="K4636" s="33" t="s">
        <v>18986</v>
      </c>
      <c r="L4636" s="33" t="s">
        <v>18984</v>
      </c>
      <c r="M4636" s="33" t="s">
        <v>21</v>
      </c>
      <c r="N4636" s="33" t="s">
        <v>36751</v>
      </c>
      <c r="P4636" s="33" t="s">
        <v>30089</v>
      </c>
      <c r="Q4636" s="40" t="s">
        <v>17108</v>
      </c>
      <c r="R4636" s="33" t="s">
        <v>23</v>
      </c>
      <c r="S4636" s="33" t="s">
        <v>22</v>
      </c>
      <c r="T4636" s="33" t="s">
        <v>26781</v>
      </c>
      <c r="Z4636" s="33" t="s">
        <v>42968</v>
      </c>
      <c r="AA4636" s="33">
        <v>3028</v>
      </c>
      <c r="AE4636" s="33"/>
    </row>
    <row r="4637" spans="1:31" ht="12" customHeight="1" x14ac:dyDescent="0.15">
      <c r="A4637" s="33" t="s">
        <v>16986</v>
      </c>
      <c r="B4637" s="33">
        <v>31</v>
      </c>
      <c r="C4637" s="33" t="s">
        <v>14</v>
      </c>
      <c r="D4637" s="33" t="s">
        <v>79</v>
      </c>
      <c r="E4637" s="33" t="s">
        <v>17183</v>
      </c>
      <c r="F4637" s="67">
        <v>42295</v>
      </c>
      <c r="G4637" s="33" t="s">
        <v>18287</v>
      </c>
      <c r="H4637" s="33" t="s">
        <v>4878</v>
      </c>
      <c r="I4637" s="33" t="s">
        <v>56</v>
      </c>
      <c r="J4637" s="33" t="s">
        <v>5077</v>
      </c>
      <c r="K4637" s="33" t="s">
        <v>4878</v>
      </c>
      <c r="L4637" s="33" t="s">
        <v>5078</v>
      </c>
      <c r="M4637" s="33" t="s">
        <v>21</v>
      </c>
      <c r="N4637" s="33" t="s">
        <v>17207</v>
      </c>
      <c r="O4637" s="33" t="s">
        <v>23118</v>
      </c>
      <c r="P4637" s="33" t="s">
        <v>1084</v>
      </c>
      <c r="Q4637" s="40" t="s">
        <v>18288</v>
      </c>
      <c r="R4637" s="33" t="s">
        <v>94</v>
      </c>
      <c r="S4637" s="33" t="s">
        <v>22</v>
      </c>
      <c r="T4637" s="33" t="s">
        <v>26781</v>
      </c>
      <c r="U4637" s="33" t="s">
        <v>26575</v>
      </c>
      <c r="V4637" s="33" t="s">
        <v>26573</v>
      </c>
      <c r="W4637" s="33" t="s">
        <v>94</v>
      </c>
      <c r="X4637" s="33">
        <v>931</v>
      </c>
      <c r="Z4637" s="33" t="s">
        <v>42968</v>
      </c>
      <c r="AA4637" s="33">
        <v>3029</v>
      </c>
    </row>
    <row r="4638" spans="1:31" ht="12" customHeight="1" x14ac:dyDescent="0.15">
      <c r="A4638" s="33" t="s">
        <v>16987</v>
      </c>
      <c r="B4638" s="33">
        <v>28</v>
      </c>
      <c r="C4638" s="33" t="s">
        <v>14</v>
      </c>
      <c r="D4638" s="33" t="s">
        <v>79</v>
      </c>
      <c r="E4638" s="33" t="s">
        <v>17184</v>
      </c>
      <c r="F4638" s="67">
        <v>42294</v>
      </c>
      <c r="G4638" s="33" t="s">
        <v>18292</v>
      </c>
      <c r="H4638" s="33" t="s">
        <v>1499</v>
      </c>
      <c r="I4638" s="33" t="s">
        <v>376</v>
      </c>
      <c r="J4638" s="33" t="s">
        <v>17196</v>
      </c>
      <c r="K4638" s="33" t="s">
        <v>1499</v>
      </c>
      <c r="L4638" s="33" t="s">
        <v>16988</v>
      </c>
      <c r="M4638" s="33" t="s">
        <v>4966</v>
      </c>
      <c r="N4638" s="33" t="s">
        <v>17206</v>
      </c>
      <c r="O4638" s="33" t="s">
        <v>372</v>
      </c>
      <c r="P4638" s="33" t="s">
        <v>30089</v>
      </c>
      <c r="Q4638" s="40" t="s">
        <v>18293</v>
      </c>
      <c r="R4638" s="33" t="s">
        <v>512</v>
      </c>
      <c r="S4638" s="33" t="s">
        <v>22</v>
      </c>
      <c r="T4638" s="33" t="s">
        <v>26774</v>
      </c>
      <c r="U4638" s="33" t="s">
        <v>26570</v>
      </c>
      <c r="V4638" s="33" t="s">
        <v>26573</v>
      </c>
      <c r="W4638" s="33" t="s">
        <v>94</v>
      </c>
      <c r="X4638" s="33">
        <v>930</v>
      </c>
      <c r="Z4638" s="33" t="s">
        <v>42968</v>
      </c>
      <c r="AA4638" s="33">
        <v>3024</v>
      </c>
    </row>
    <row r="4639" spans="1:31" ht="12" customHeight="1" x14ac:dyDescent="0.15">
      <c r="A4639" s="33" t="s">
        <v>16992</v>
      </c>
      <c r="B4639" s="33">
        <v>18</v>
      </c>
      <c r="C4639" s="33" t="s">
        <v>14</v>
      </c>
      <c r="D4639" s="33" t="s">
        <v>79</v>
      </c>
      <c r="E4639" s="33" t="s">
        <v>17170</v>
      </c>
      <c r="F4639" s="67">
        <v>42294</v>
      </c>
      <c r="G4639" s="33" t="s">
        <v>16994</v>
      </c>
      <c r="H4639" s="33" t="s">
        <v>818</v>
      </c>
      <c r="I4639" s="33" t="s">
        <v>225</v>
      </c>
      <c r="J4639" s="33" t="s">
        <v>17194</v>
      </c>
      <c r="K4639" s="33" t="s">
        <v>17195</v>
      </c>
      <c r="L4639" s="33" t="s">
        <v>819</v>
      </c>
      <c r="M4639" s="33" t="s">
        <v>21</v>
      </c>
      <c r="N4639" s="33" t="s">
        <v>17205</v>
      </c>
      <c r="O4639" s="33" t="s">
        <v>26752</v>
      </c>
      <c r="P4639" s="33" t="s">
        <v>26753</v>
      </c>
      <c r="Q4639" s="40" t="s">
        <v>16993</v>
      </c>
      <c r="R4639" s="33" t="s">
        <v>94</v>
      </c>
      <c r="S4639" s="33" t="s">
        <v>12</v>
      </c>
      <c r="T4639" s="54" t="s">
        <v>29705</v>
      </c>
      <c r="W4639" s="33" t="s">
        <v>26736</v>
      </c>
      <c r="Y4639" s="33" t="s">
        <v>42476</v>
      </c>
      <c r="Z4639" s="33" t="s">
        <v>42968</v>
      </c>
      <c r="AA4639" s="33">
        <v>3027</v>
      </c>
    </row>
    <row r="4640" spans="1:31" ht="12" customHeight="1" x14ac:dyDescent="0.15">
      <c r="A4640" s="33" t="s">
        <v>16989</v>
      </c>
      <c r="B4640" s="33">
        <v>30</v>
      </c>
      <c r="C4640" s="33" t="s">
        <v>14</v>
      </c>
      <c r="D4640" s="33" t="s">
        <v>79</v>
      </c>
      <c r="E4640" s="33" t="s">
        <v>17185</v>
      </c>
      <c r="F4640" s="67">
        <v>42294</v>
      </c>
      <c r="G4640" s="33" t="s">
        <v>16991</v>
      </c>
      <c r="H4640" s="33" t="s">
        <v>5546</v>
      </c>
      <c r="I4640" s="33" t="s">
        <v>39</v>
      </c>
      <c r="J4640" s="33" t="s">
        <v>30067</v>
      </c>
      <c r="K4640" s="33" t="s">
        <v>143</v>
      </c>
      <c r="L4640" s="33" t="s">
        <v>17585</v>
      </c>
      <c r="M4640" s="33" t="s">
        <v>21</v>
      </c>
      <c r="N4640" s="33" t="s">
        <v>18850</v>
      </c>
      <c r="O4640" s="33" t="s">
        <v>15165</v>
      </c>
      <c r="P4640" s="33" t="s">
        <v>30089</v>
      </c>
      <c r="Q4640" s="40" t="s">
        <v>16990</v>
      </c>
      <c r="R4640" s="33" t="s">
        <v>23</v>
      </c>
      <c r="S4640" s="33" t="s">
        <v>12</v>
      </c>
      <c r="T4640" s="54" t="s">
        <v>29705</v>
      </c>
      <c r="Z4640" s="33" t="s">
        <v>42968</v>
      </c>
      <c r="AA4640" s="33">
        <v>3026</v>
      </c>
    </row>
    <row r="4641" spans="1:27" ht="12" customHeight="1" x14ac:dyDescent="0.15">
      <c r="A4641" s="33" t="s">
        <v>17024</v>
      </c>
      <c r="B4641" s="33">
        <v>22</v>
      </c>
      <c r="C4641" s="33" t="s">
        <v>14</v>
      </c>
      <c r="D4641" s="33" t="s">
        <v>42</v>
      </c>
      <c r="E4641" s="33" t="s">
        <v>17136</v>
      </c>
      <c r="F4641" s="67">
        <v>42294</v>
      </c>
      <c r="G4641" s="33" t="s">
        <v>17025</v>
      </c>
      <c r="H4641" s="33" t="s">
        <v>9302</v>
      </c>
      <c r="I4641" s="33" t="s">
        <v>39</v>
      </c>
      <c r="J4641" s="33" t="s">
        <v>2953</v>
      </c>
      <c r="K4641" s="33" t="s">
        <v>2954</v>
      </c>
      <c r="L4641" s="33" t="s">
        <v>9304</v>
      </c>
      <c r="M4641" s="33" t="s">
        <v>21</v>
      </c>
      <c r="N4641" s="33" t="s">
        <v>18294</v>
      </c>
      <c r="O4641" s="33" t="s">
        <v>372</v>
      </c>
      <c r="P4641" s="33" t="s">
        <v>30089</v>
      </c>
      <c r="Q4641" s="40" t="s">
        <v>18295</v>
      </c>
      <c r="R4641" s="33" t="s">
        <v>94</v>
      </c>
      <c r="S4641" s="33" t="s">
        <v>12</v>
      </c>
      <c r="T4641" s="33" t="s">
        <v>29425</v>
      </c>
      <c r="U4641" s="33" t="s">
        <v>26572</v>
      </c>
      <c r="V4641" s="33" t="s">
        <v>26573</v>
      </c>
      <c r="W4641" s="33" t="s">
        <v>94</v>
      </c>
      <c r="X4641" s="33">
        <v>929</v>
      </c>
      <c r="Z4641" s="33" t="s">
        <v>42968</v>
      </c>
      <c r="AA4641" s="33">
        <v>3025</v>
      </c>
    </row>
    <row r="4642" spans="1:27" ht="12" customHeight="1" x14ac:dyDescent="0.15">
      <c r="A4642" s="33" t="s">
        <v>17050</v>
      </c>
      <c r="B4642" s="33">
        <v>45</v>
      </c>
      <c r="C4642" s="33" t="s">
        <v>14</v>
      </c>
      <c r="D4642" s="33" t="s">
        <v>24</v>
      </c>
      <c r="F4642" s="67">
        <v>42293</v>
      </c>
      <c r="G4642" s="33" t="s">
        <v>18978</v>
      </c>
      <c r="H4642" s="33" t="s">
        <v>18979</v>
      </c>
      <c r="I4642" s="33" t="s">
        <v>160</v>
      </c>
      <c r="K4642" s="33" t="s">
        <v>18981</v>
      </c>
      <c r="L4642" s="33" t="s">
        <v>18980</v>
      </c>
      <c r="M4642" s="33" t="s">
        <v>21</v>
      </c>
      <c r="N4642" s="33" t="s">
        <v>19133</v>
      </c>
      <c r="P4642" s="33" t="s">
        <v>30089</v>
      </c>
      <c r="Q4642" s="40" t="s">
        <v>17051</v>
      </c>
      <c r="R4642" s="33" t="s">
        <v>23</v>
      </c>
      <c r="S4642" s="33" t="s">
        <v>22</v>
      </c>
      <c r="T4642" s="33" t="s">
        <v>26781</v>
      </c>
      <c r="U4642" s="33" t="s">
        <v>26572</v>
      </c>
      <c r="V4642" s="33" t="s">
        <v>26573</v>
      </c>
      <c r="W4642" s="33" t="s">
        <v>94</v>
      </c>
      <c r="X4642" s="33">
        <v>926</v>
      </c>
      <c r="Z4642" s="33" t="e">
        <v>#N/A</v>
      </c>
      <c r="AA4642" s="33">
        <v>3021</v>
      </c>
    </row>
    <row r="4643" spans="1:27" ht="12" customHeight="1" x14ac:dyDescent="0.15">
      <c r="A4643" s="33" t="s">
        <v>16995</v>
      </c>
      <c r="B4643" s="33">
        <v>33</v>
      </c>
      <c r="C4643" s="33" t="s">
        <v>14</v>
      </c>
      <c r="D4643" s="33" t="s">
        <v>79</v>
      </c>
      <c r="E4643" s="33" t="s">
        <v>17169</v>
      </c>
      <c r="F4643" s="67">
        <v>42293</v>
      </c>
      <c r="G4643" s="33" t="s">
        <v>16996</v>
      </c>
      <c r="H4643" s="33" t="s">
        <v>1202</v>
      </c>
      <c r="I4643" s="33" t="s">
        <v>621</v>
      </c>
      <c r="J4643" s="33" t="s">
        <v>17193</v>
      </c>
      <c r="K4643" s="33" t="s">
        <v>2763</v>
      </c>
      <c r="L4643" s="33" t="s">
        <v>3124</v>
      </c>
      <c r="M4643" s="33" t="s">
        <v>21</v>
      </c>
      <c r="N4643" s="33" t="s">
        <v>17204</v>
      </c>
      <c r="O4643" s="33" t="s">
        <v>372</v>
      </c>
      <c r="P4643" s="33" t="s">
        <v>30089</v>
      </c>
      <c r="Q4643" s="40" t="s">
        <v>18298</v>
      </c>
      <c r="R4643" s="33" t="s">
        <v>94</v>
      </c>
      <c r="S4643" s="33" t="s">
        <v>29</v>
      </c>
      <c r="T4643" s="33" t="s">
        <v>26575</v>
      </c>
      <c r="U4643" s="33" t="s">
        <v>26575</v>
      </c>
      <c r="V4643" s="33" t="s">
        <v>26574</v>
      </c>
      <c r="W4643" s="33" t="s">
        <v>94</v>
      </c>
      <c r="X4643" s="33">
        <v>927</v>
      </c>
      <c r="Z4643" s="33" t="s">
        <v>42968</v>
      </c>
      <c r="AA4643" s="33">
        <v>3023</v>
      </c>
    </row>
    <row r="4644" spans="1:27" ht="12" customHeight="1" x14ac:dyDescent="0.15">
      <c r="A4644" s="33" t="s">
        <v>18825</v>
      </c>
      <c r="B4644" s="33">
        <v>27</v>
      </c>
      <c r="C4644" s="33" t="s">
        <v>14</v>
      </c>
      <c r="D4644" s="33" t="s">
        <v>31</v>
      </c>
      <c r="F4644" s="67">
        <v>42293</v>
      </c>
      <c r="G4644" s="33" t="s">
        <v>17055</v>
      </c>
      <c r="H4644" s="33" t="s">
        <v>674</v>
      </c>
      <c r="I4644" s="33" t="s">
        <v>67</v>
      </c>
      <c r="J4644" s="33" t="s">
        <v>30068</v>
      </c>
      <c r="K4644" s="33" t="s">
        <v>515</v>
      </c>
      <c r="L4644" s="33" t="s">
        <v>675</v>
      </c>
      <c r="M4644" s="33" t="s">
        <v>21</v>
      </c>
      <c r="N4644" s="33" t="s">
        <v>19131</v>
      </c>
      <c r="O4644" s="33" t="s">
        <v>372</v>
      </c>
      <c r="P4644" s="33" t="s">
        <v>30089</v>
      </c>
      <c r="Q4644" s="40" t="s">
        <v>17054</v>
      </c>
      <c r="R4644" s="33" t="s">
        <v>23</v>
      </c>
      <c r="S4644" s="33" t="s">
        <v>22</v>
      </c>
      <c r="T4644" s="1" t="s">
        <v>26781</v>
      </c>
      <c r="X4644" s="33">
        <v>2868</v>
      </c>
      <c r="Z4644" s="33" t="s">
        <v>42966</v>
      </c>
      <c r="AA4644" s="33">
        <v>3019</v>
      </c>
    </row>
    <row r="4645" spans="1:27" ht="12" customHeight="1" x14ac:dyDescent="0.15">
      <c r="A4645" s="33" t="s">
        <v>17026</v>
      </c>
      <c r="B4645" s="33">
        <v>27</v>
      </c>
      <c r="C4645" s="33" t="s">
        <v>14</v>
      </c>
      <c r="D4645" s="33" t="s">
        <v>42</v>
      </c>
      <c r="F4645" s="67">
        <v>42293</v>
      </c>
      <c r="G4645" s="33" t="s">
        <v>22124</v>
      </c>
      <c r="H4645" s="33" t="s">
        <v>14304</v>
      </c>
      <c r="I4645" s="33" t="s">
        <v>39</v>
      </c>
      <c r="J4645" s="33" t="s">
        <v>14305</v>
      </c>
      <c r="K4645" s="33" t="s">
        <v>92</v>
      </c>
      <c r="L4645" s="33" t="s">
        <v>386</v>
      </c>
      <c r="M4645" s="33" t="s">
        <v>21</v>
      </c>
      <c r="N4645" s="33" t="s">
        <v>18296</v>
      </c>
      <c r="O4645" s="33" t="s">
        <v>372</v>
      </c>
      <c r="P4645" s="33" t="s">
        <v>30089</v>
      </c>
      <c r="Q4645" s="40" t="s">
        <v>18297</v>
      </c>
      <c r="R4645" s="33" t="s">
        <v>94</v>
      </c>
      <c r="S4645" s="33" t="s">
        <v>12</v>
      </c>
      <c r="T4645" s="33" t="s">
        <v>29705</v>
      </c>
      <c r="U4645" s="33" t="s">
        <v>26572</v>
      </c>
      <c r="V4645" s="33" t="s">
        <v>26573</v>
      </c>
      <c r="W4645" s="33" t="s">
        <v>94</v>
      </c>
      <c r="X4645" s="33">
        <v>924</v>
      </c>
      <c r="Z4645" s="33" t="s">
        <v>42968</v>
      </c>
      <c r="AA4645" s="33">
        <v>3022</v>
      </c>
    </row>
    <row r="4646" spans="1:27" ht="12" customHeight="1" x14ac:dyDescent="0.15">
      <c r="A4646" s="33" t="s">
        <v>17052</v>
      </c>
      <c r="B4646" s="33">
        <v>27</v>
      </c>
      <c r="C4646" s="33" t="s">
        <v>14</v>
      </c>
      <c r="D4646" s="33" t="s">
        <v>31</v>
      </c>
      <c r="F4646" s="67">
        <v>42293</v>
      </c>
      <c r="G4646" s="33" t="s">
        <v>18988</v>
      </c>
      <c r="H4646" s="33" t="s">
        <v>18987</v>
      </c>
      <c r="I4646" s="33" t="s">
        <v>250</v>
      </c>
      <c r="J4646" s="33" t="s">
        <v>30084</v>
      </c>
      <c r="K4646" s="33" t="s">
        <v>882</v>
      </c>
      <c r="L4646" s="33" t="s">
        <v>1524</v>
      </c>
      <c r="M4646" s="33" t="s">
        <v>21</v>
      </c>
      <c r="N4646" s="33" t="s">
        <v>30083</v>
      </c>
      <c r="P4646" s="33" t="s">
        <v>30089</v>
      </c>
      <c r="Q4646" s="40" t="s">
        <v>17053</v>
      </c>
      <c r="R4646" s="33" t="s">
        <v>23</v>
      </c>
      <c r="S4646" s="33" t="s">
        <v>22</v>
      </c>
      <c r="T4646" s="1" t="s">
        <v>26781</v>
      </c>
      <c r="Z4646" s="33" t="s">
        <v>42967</v>
      </c>
      <c r="AA4646" s="33">
        <v>3020</v>
      </c>
    </row>
    <row r="4647" spans="1:27" ht="12" customHeight="1" x14ac:dyDescent="0.15">
      <c r="A4647" s="33" t="s">
        <v>16999</v>
      </c>
      <c r="B4647" s="33">
        <v>20</v>
      </c>
      <c r="C4647" s="33" t="s">
        <v>14</v>
      </c>
      <c r="D4647" s="33" t="s">
        <v>79</v>
      </c>
      <c r="E4647" s="33" t="s">
        <v>17167</v>
      </c>
      <c r="F4647" s="67">
        <v>42292</v>
      </c>
      <c r="G4647" s="33" t="s">
        <v>17001</v>
      </c>
      <c r="H4647" s="33" t="s">
        <v>674</v>
      </c>
      <c r="I4647" s="33" t="s">
        <v>67</v>
      </c>
      <c r="J4647" s="33" t="s">
        <v>30069</v>
      </c>
      <c r="K4647" s="33" t="s">
        <v>515</v>
      </c>
      <c r="L4647" s="33" t="s">
        <v>675</v>
      </c>
      <c r="M4647" s="33" t="s">
        <v>21</v>
      </c>
      <c r="N4647" s="33" t="s">
        <v>19130</v>
      </c>
      <c r="O4647" s="33" t="s">
        <v>372</v>
      </c>
      <c r="P4647" s="33" t="s">
        <v>30089</v>
      </c>
      <c r="Q4647" s="40" t="s">
        <v>17000</v>
      </c>
      <c r="R4647" s="33" t="s">
        <v>23</v>
      </c>
      <c r="S4647" s="33" t="s">
        <v>22</v>
      </c>
      <c r="T4647" s="33" t="s">
        <v>26781</v>
      </c>
      <c r="U4647" s="33" t="s">
        <v>26572</v>
      </c>
      <c r="V4647" s="33" t="s">
        <v>26573</v>
      </c>
      <c r="W4647" s="33" t="s">
        <v>94</v>
      </c>
      <c r="X4647" s="33">
        <v>923</v>
      </c>
      <c r="Z4647" s="33" t="s">
        <v>42968</v>
      </c>
      <c r="AA4647" s="33">
        <v>3017</v>
      </c>
    </row>
    <row r="4648" spans="1:27" ht="12" customHeight="1" x14ac:dyDescent="0.15">
      <c r="A4648" s="33" t="s">
        <v>17111</v>
      </c>
      <c r="B4648" s="33">
        <v>31</v>
      </c>
      <c r="C4648" s="33" t="s">
        <v>14</v>
      </c>
      <c r="D4648" s="33" t="s">
        <v>31</v>
      </c>
      <c r="E4648" s="33" t="s">
        <v>17154</v>
      </c>
      <c r="F4648" s="67">
        <v>42292</v>
      </c>
      <c r="G4648" s="33" t="s">
        <v>18307</v>
      </c>
      <c r="H4648" s="33" t="s">
        <v>924</v>
      </c>
      <c r="I4648" s="33" t="s">
        <v>63</v>
      </c>
      <c r="J4648" s="33" t="s">
        <v>18308</v>
      </c>
      <c r="K4648" s="33" t="s">
        <v>95</v>
      </c>
      <c r="L4648" s="33" t="s">
        <v>18309</v>
      </c>
      <c r="M4648" s="33" t="s">
        <v>21</v>
      </c>
      <c r="N4648" s="33" t="s">
        <v>18310</v>
      </c>
      <c r="O4648" s="33" t="s">
        <v>372</v>
      </c>
      <c r="P4648" s="33" t="s">
        <v>30089</v>
      </c>
      <c r="Q4648" s="40" t="s">
        <v>18311</v>
      </c>
      <c r="R4648" s="33" t="s">
        <v>94</v>
      </c>
      <c r="S4648" s="33" t="s">
        <v>12</v>
      </c>
      <c r="T4648" s="33" t="s">
        <v>29425</v>
      </c>
      <c r="U4648" s="33" t="s">
        <v>26572</v>
      </c>
      <c r="V4648" s="33" t="s">
        <v>26571</v>
      </c>
      <c r="W4648" s="33" t="s">
        <v>94</v>
      </c>
      <c r="X4648" s="33">
        <v>920</v>
      </c>
      <c r="Z4648" s="33" t="s">
        <v>42966</v>
      </c>
      <c r="AA4648" s="33">
        <v>3018</v>
      </c>
    </row>
    <row r="4649" spans="1:27" ht="12" customHeight="1" x14ac:dyDescent="0.15">
      <c r="A4649" s="33" t="s">
        <v>16997</v>
      </c>
      <c r="B4649" s="33">
        <v>25</v>
      </c>
      <c r="C4649" s="33" t="s">
        <v>14</v>
      </c>
      <c r="D4649" s="33" t="s">
        <v>79</v>
      </c>
      <c r="E4649" s="33" t="s">
        <v>17168</v>
      </c>
      <c r="F4649" s="67">
        <v>42292</v>
      </c>
      <c r="G4649" s="33" t="s">
        <v>16998</v>
      </c>
      <c r="H4649" s="33" t="s">
        <v>1202</v>
      </c>
      <c r="I4649" s="33" t="s">
        <v>63</v>
      </c>
      <c r="J4649" s="33" t="s">
        <v>17192</v>
      </c>
      <c r="K4649" s="33" t="s">
        <v>1203</v>
      </c>
      <c r="L4649" s="33" t="s">
        <v>11441</v>
      </c>
      <c r="M4649" s="33" t="s">
        <v>21</v>
      </c>
      <c r="N4649" s="33" t="s">
        <v>17203</v>
      </c>
      <c r="O4649" s="33" t="s">
        <v>950</v>
      </c>
      <c r="P4649" s="33" t="s">
        <v>30089</v>
      </c>
      <c r="Q4649" s="40" t="s">
        <v>18302</v>
      </c>
      <c r="R4649" s="33" t="s">
        <v>94</v>
      </c>
      <c r="S4649" s="33" t="s">
        <v>22</v>
      </c>
      <c r="T4649" s="33" t="s">
        <v>26781</v>
      </c>
      <c r="U4649" s="33" t="s">
        <v>26572</v>
      </c>
      <c r="V4649" s="33" t="s">
        <v>26573</v>
      </c>
      <c r="W4649" s="33" t="s">
        <v>94</v>
      </c>
      <c r="X4649" s="33">
        <v>917</v>
      </c>
      <c r="Z4649" s="33" t="s">
        <v>42968</v>
      </c>
      <c r="AA4649" s="33">
        <v>3013</v>
      </c>
    </row>
    <row r="4650" spans="1:27" ht="12" customHeight="1" x14ac:dyDescent="0.15">
      <c r="A4650" s="33" t="s">
        <v>17112</v>
      </c>
      <c r="B4650" s="33">
        <v>35</v>
      </c>
      <c r="C4650" s="33" t="s">
        <v>14</v>
      </c>
      <c r="D4650" s="33" t="s">
        <v>31</v>
      </c>
      <c r="E4650" s="33" t="s">
        <v>17155</v>
      </c>
      <c r="F4650" s="67">
        <v>42292</v>
      </c>
      <c r="G4650" s="33" t="s">
        <v>17113</v>
      </c>
      <c r="H4650" s="33" t="s">
        <v>17114</v>
      </c>
      <c r="I4650" s="33" t="s">
        <v>282</v>
      </c>
      <c r="J4650" s="33" t="s">
        <v>18312</v>
      </c>
      <c r="K4650" s="33" t="s">
        <v>5363</v>
      </c>
      <c r="L4650" s="33" t="s">
        <v>17115</v>
      </c>
      <c r="M4650" s="33" t="s">
        <v>21</v>
      </c>
      <c r="N4650" s="33" t="s">
        <v>18313</v>
      </c>
      <c r="O4650" s="33" t="s">
        <v>372</v>
      </c>
      <c r="P4650" s="33" t="s">
        <v>30089</v>
      </c>
      <c r="Q4650" s="40" t="s">
        <v>18314</v>
      </c>
      <c r="R4650" s="33" t="s">
        <v>23</v>
      </c>
      <c r="S4650" s="33" t="s">
        <v>22</v>
      </c>
      <c r="T4650" s="33" t="s">
        <v>26781</v>
      </c>
      <c r="U4650" s="33" t="s">
        <v>26572</v>
      </c>
      <c r="V4650" s="33" t="s">
        <v>26574</v>
      </c>
      <c r="W4650" s="33" t="s">
        <v>94</v>
      </c>
      <c r="X4650" s="33">
        <v>921</v>
      </c>
      <c r="Z4650" s="33" t="s">
        <v>42968</v>
      </c>
      <c r="AA4650" s="33">
        <v>3015</v>
      </c>
    </row>
    <row r="4651" spans="1:27" ht="12" customHeight="1" x14ac:dyDescent="0.15">
      <c r="A4651" s="33" t="s">
        <v>17029</v>
      </c>
      <c r="B4651" s="33">
        <v>15</v>
      </c>
      <c r="C4651" s="33" t="s">
        <v>14</v>
      </c>
      <c r="D4651" s="33" t="s">
        <v>42</v>
      </c>
      <c r="E4651" s="33" t="s">
        <v>17135</v>
      </c>
      <c r="F4651" s="67">
        <v>42292</v>
      </c>
      <c r="G4651" s="33" t="s">
        <v>17031</v>
      </c>
      <c r="H4651" s="33" t="s">
        <v>1148</v>
      </c>
      <c r="I4651" s="33" t="s">
        <v>56</v>
      </c>
      <c r="J4651" s="33" t="s">
        <v>6367</v>
      </c>
      <c r="K4651" s="33" t="s">
        <v>148</v>
      </c>
      <c r="L4651" s="33" t="s">
        <v>149</v>
      </c>
      <c r="M4651" s="33" t="s">
        <v>21</v>
      </c>
      <c r="N4651" s="33" t="s">
        <v>18123</v>
      </c>
      <c r="O4651" s="33" t="s">
        <v>372</v>
      </c>
      <c r="P4651" s="33" t="s">
        <v>30089</v>
      </c>
      <c r="Q4651" s="40" t="s">
        <v>17030</v>
      </c>
      <c r="R4651" s="33" t="s">
        <v>94</v>
      </c>
      <c r="S4651" s="33" t="s">
        <v>22</v>
      </c>
      <c r="T4651" s="33" t="s">
        <v>26781</v>
      </c>
      <c r="U4651" s="33" t="s">
        <v>26572</v>
      </c>
      <c r="V4651" s="33" t="s">
        <v>26571</v>
      </c>
      <c r="W4651" s="33" t="s">
        <v>94</v>
      </c>
      <c r="X4651" s="33">
        <v>916</v>
      </c>
      <c r="Z4651" s="33" t="s">
        <v>42968</v>
      </c>
      <c r="AA4651" s="33">
        <v>3012</v>
      </c>
    </row>
    <row r="4652" spans="1:27" ht="12" customHeight="1" x14ac:dyDescent="0.15">
      <c r="A4652" s="33" t="s">
        <v>17110</v>
      </c>
      <c r="B4652" s="33">
        <v>50</v>
      </c>
      <c r="C4652" s="33" t="s">
        <v>103</v>
      </c>
      <c r="D4652" s="33" t="s">
        <v>31</v>
      </c>
      <c r="E4652" s="33" t="s">
        <v>17153</v>
      </c>
      <c r="F4652" s="67">
        <v>42292</v>
      </c>
      <c r="G4652" s="33" t="s">
        <v>18303</v>
      </c>
      <c r="H4652" s="33" t="s">
        <v>607</v>
      </c>
      <c r="I4652" s="33" t="s">
        <v>250</v>
      </c>
      <c r="J4652" s="33" t="s">
        <v>18304</v>
      </c>
      <c r="K4652" s="33" t="s">
        <v>527</v>
      </c>
      <c r="L4652" s="33" t="s">
        <v>528</v>
      </c>
      <c r="M4652" s="33" t="s">
        <v>21</v>
      </c>
      <c r="N4652" s="33" t="s">
        <v>18305</v>
      </c>
      <c r="O4652" s="33" t="s">
        <v>950</v>
      </c>
      <c r="P4652" s="33" t="s">
        <v>30089</v>
      </c>
      <c r="Q4652" s="40" t="s">
        <v>18306</v>
      </c>
      <c r="R4652" s="33" t="s">
        <v>512</v>
      </c>
      <c r="S4652" s="33" t="s">
        <v>22</v>
      </c>
      <c r="T4652" s="33" t="s">
        <v>26781</v>
      </c>
      <c r="U4652" s="33" t="s">
        <v>26572</v>
      </c>
      <c r="V4652" s="33" t="s">
        <v>26571</v>
      </c>
      <c r="W4652" s="33" t="s">
        <v>94</v>
      </c>
      <c r="X4652" s="33">
        <v>919</v>
      </c>
      <c r="Z4652" s="33" t="s">
        <v>42966</v>
      </c>
      <c r="AA4652" s="33">
        <v>3014</v>
      </c>
    </row>
    <row r="4653" spans="1:27" ht="12" customHeight="1" x14ac:dyDescent="0.15">
      <c r="A4653" s="33" t="s">
        <v>17027</v>
      </c>
      <c r="B4653" s="33">
        <v>27</v>
      </c>
      <c r="C4653" s="33" t="s">
        <v>14</v>
      </c>
      <c r="D4653" s="33" t="s">
        <v>42</v>
      </c>
      <c r="F4653" s="67">
        <v>42292</v>
      </c>
      <c r="G4653" s="33" t="s">
        <v>17028</v>
      </c>
      <c r="H4653" s="33" t="s">
        <v>886</v>
      </c>
      <c r="I4653" s="33" t="s">
        <v>39</v>
      </c>
      <c r="J4653" s="33" t="s">
        <v>18299</v>
      </c>
      <c r="K4653" s="33" t="s">
        <v>886</v>
      </c>
      <c r="L4653" s="33" t="s">
        <v>887</v>
      </c>
      <c r="M4653" s="33" t="s">
        <v>21</v>
      </c>
      <c r="N4653" s="33" t="s">
        <v>18300</v>
      </c>
      <c r="O4653" s="33" t="s">
        <v>372</v>
      </c>
      <c r="P4653" s="33" t="s">
        <v>30089</v>
      </c>
      <c r="Q4653" s="40" t="s">
        <v>18301</v>
      </c>
      <c r="R4653" s="33" t="s">
        <v>94</v>
      </c>
      <c r="S4653" s="33" t="s">
        <v>22</v>
      </c>
      <c r="T4653" s="33" t="s">
        <v>26781</v>
      </c>
      <c r="U4653" s="33" t="s">
        <v>26572</v>
      </c>
      <c r="V4653" s="33" t="s">
        <v>26573</v>
      </c>
      <c r="W4653" s="33" t="s">
        <v>94</v>
      </c>
      <c r="X4653" s="33">
        <v>922</v>
      </c>
      <c r="Z4653" s="33" t="s">
        <v>42966</v>
      </c>
      <c r="AA4653" s="33">
        <v>3016</v>
      </c>
    </row>
    <row r="4654" spans="1:27" ht="12" customHeight="1" x14ac:dyDescent="0.15">
      <c r="A4654" s="33" t="s">
        <v>17118</v>
      </c>
      <c r="B4654" s="33">
        <v>46</v>
      </c>
      <c r="C4654" s="33" t="s">
        <v>103</v>
      </c>
      <c r="D4654" s="33" t="s">
        <v>31</v>
      </c>
      <c r="E4654" s="33" t="s">
        <v>17157</v>
      </c>
      <c r="F4654" s="67">
        <v>42291</v>
      </c>
      <c r="G4654" s="33" t="s">
        <v>17120</v>
      </c>
      <c r="H4654" s="33" t="s">
        <v>17121</v>
      </c>
      <c r="I4654" s="33" t="s">
        <v>56</v>
      </c>
      <c r="J4654" s="33" t="s">
        <v>30070</v>
      </c>
      <c r="K4654" s="33" t="s">
        <v>17198</v>
      </c>
      <c r="L4654" s="33" t="s">
        <v>17122</v>
      </c>
      <c r="M4654" s="33" t="s">
        <v>21</v>
      </c>
      <c r="N4654" s="33" t="s">
        <v>19103</v>
      </c>
      <c r="O4654" s="33" t="s">
        <v>372</v>
      </c>
      <c r="P4654" s="33" t="s">
        <v>30089</v>
      </c>
      <c r="Q4654" s="40" t="s">
        <v>17119</v>
      </c>
      <c r="R4654" s="33" t="s">
        <v>512</v>
      </c>
      <c r="S4654" s="33" t="s">
        <v>22</v>
      </c>
      <c r="T4654" s="33" t="s">
        <v>26781</v>
      </c>
      <c r="U4654" s="33" t="s">
        <v>26572</v>
      </c>
      <c r="V4654" s="33" t="s">
        <v>26571</v>
      </c>
      <c r="W4654" s="33" t="s">
        <v>94</v>
      </c>
      <c r="X4654" s="33">
        <v>913</v>
      </c>
      <c r="Z4654" s="33" t="s">
        <v>42968</v>
      </c>
      <c r="AA4654" s="33">
        <v>3008</v>
      </c>
    </row>
    <row r="4655" spans="1:27" ht="12" customHeight="1" x14ac:dyDescent="0.15">
      <c r="A4655" s="33" t="s">
        <v>17002</v>
      </c>
      <c r="B4655" s="33">
        <v>57</v>
      </c>
      <c r="C4655" s="33" t="s">
        <v>14</v>
      </c>
      <c r="D4655" s="33" t="s">
        <v>79</v>
      </c>
      <c r="F4655" s="67">
        <v>42291</v>
      </c>
      <c r="G4655" s="33" t="s">
        <v>18320</v>
      </c>
      <c r="H4655" s="33" t="s">
        <v>17003</v>
      </c>
      <c r="I4655" s="33" t="s">
        <v>88</v>
      </c>
      <c r="J4655" s="33" t="s">
        <v>17190</v>
      </c>
      <c r="K4655" s="33" t="s">
        <v>17191</v>
      </c>
      <c r="L4655" s="33" t="s">
        <v>17004</v>
      </c>
      <c r="M4655" s="33" t="s">
        <v>21</v>
      </c>
      <c r="N4655" s="33" t="s">
        <v>17202</v>
      </c>
      <c r="O4655" s="33" t="s">
        <v>372</v>
      </c>
      <c r="P4655" s="33" t="s">
        <v>30089</v>
      </c>
      <c r="Q4655" s="40" t="s">
        <v>18321</v>
      </c>
      <c r="R4655" s="33" t="s">
        <v>94</v>
      </c>
      <c r="S4655" s="33" t="s">
        <v>22</v>
      </c>
      <c r="T4655" s="33" t="s">
        <v>26781</v>
      </c>
      <c r="U4655" s="33" t="s">
        <v>26572</v>
      </c>
      <c r="V4655" s="33" t="s">
        <v>26573</v>
      </c>
      <c r="W4655" s="33" t="s">
        <v>94</v>
      </c>
      <c r="X4655" s="33">
        <v>918</v>
      </c>
      <c r="Z4655" s="33" t="s">
        <v>42967</v>
      </c>
      <c r="AA4655" s="33">
        <v>3010</v>
      </c>
    </row>
    <row r="4656" spans="1:27" ht="12" customHeight="1" x14ac:dyDescent="0.15">
      <c r="A4656" s="33" t="s">
        <v>17032</v>
      </c>
      <c r="B4656" s="33">
        <v>18</v>
      </c>
      <c r="C4656" s="33" t="s">
        <v>14</v>
      </c>
      <c r="D4656" s="33" t="s">
        <v>42</v>
      </c>
      <c r="F4656" s="67">
        <v>42291</v>
      </c>
      <c r="G4656" s="33" t="s">
        <v>18324</v>
      </c>
      <c r="H4656" s="33" t="s">
        <v>5782</v>
      </c>
      <c r="I4656" s="33" t="s">
        <v>39</v>
      </c>
      <c r="J4656" s="33" t="s">
        <v>5783</v>
      </c>
      <c r="K4656" s="33" t="s">
        <v>728</v>
      </c>
      <c r="L4656" s="33" t="s">
        <v>5784</v>
      </c>
      <c r="M4656" s="33" t="s">
        <v>21</v>
      </c>
      <c r="N4656" s="33" t="s">
        <v>18325</v>
      </c>
      <c r="O4656" s="33" t="s">
        <v>372</v>
      </c>
      <c r="P4656" s="33" t="s">
        <v>30089</v>
      </c>
      <c r="Q4656" s="40" t="s">
        <v>18326</v>
      </c>
      <c r="R4656" s="33" t="s">
        <v>94</v>
      </c>
      <c r="S4656" s="33" t="s">
        <v>351</v>
      </c>
      <c r="T4656" s="33" t="s">
        <v>26867</v>
      </c>
      <c r="U4656" s="33" t="s">
        <v>26570</v>
      </c>
      <c r="V4656" s="33" t="s">
        <v>26571</v>
      </c>
      <c r="W4656" s="33" t="s">
        <v>94</v>
      </c>
      <c r="X4656" s="33">
        <v>914</v>
      </c>
      <c r="Z4656" s="33" t="s">
        <v>42968</v>
      </c>
      <c r="AA4656" s="33">
        <v>3011</v>
      </c>
    </row>
    <row r="4657" spans="1:27" ht="12" customHeight="1" x14ac:dyDescent="0.15">
      <c r="A4657" s="33" t="s">
        <v>17116</v>
      </c>
      <c r="B4657" s="33">
        <v>27</v>
      </c>
      <c r="C4657" s="33" t="s">
        <v>14</v>
      </c>
      <c r="D4657" s="33" t="s">
        <v>31</v>
      </c>
      <c r="E4657" s="33" t="s">
        <v>17156</v>
      </c>
      <c r="F4657" s="67">
        <v>42291</v>
      </c>
      <c r="G4657" s="33" t="s">
        <v>18315</v>
      </c>
      <c r="H4657" s="33" t="s">
        <v>18316</v>
      </c>
      <c r="I4657" s="33" t="s">
        <v>160</v>
      </c>
      <c r="J4657" s="33" t="s">
        <v>18317</v>
      </c>
      <c r="K4657" s="33" t="s">
        <v>1046</v>
      </c>
      <c r="L4657" s="33" t="s">
        <v>17117</v>
      </c>
      <c r="M4657" s="33" t="s">
        <v>21</v>
      </c>
      <c r="N4657" s="33" t="s">
        <v>18318</v>
      </c>
      <c r="O4657" s="33" t="s">
        <v>372</v>
      </c>
      <c r="P4657" s="33" t="s">
        <v>30089</v>
      </c>
      <c r="Q4657" s="40" t="s">
        <v>18319</v>
      </c>
      <c r="R4657" s="33" t="s">
        <v>94</v>
      </c>
      <c r="S4657" s="33" t="s">
        <v>22</v>
      </c>
      <c r="T4657" s="33" t="s">
        <v>26781</v>
      </c>
      <c r="U4657" s="33" t="s">
        <v>26572</v>
      </c>
      <c r="V4657" s="33" t="s">
        <v>26573</v>
      </c>
      <c r="W4657" s="33" t="s">
        <v>94</v>
      </c>
      <c r="X4657" s="33">
        <v>912</v>
      </c>
      <c r="Z4657" s="33" t="s">
        <v>42968</v>
      </c>
      <c r="AA4657" s="33">
        <v>3007</v>
      </c>
    </row>
    <row r="4658" spans="1:27" ht="12" customHeight="1" x14ac:dyDescent="0.15">
      <c r="A4658" s="33" t="s">
        <v>17056</v>
      </c>
      <c r="B4658" s="33">
        <v>59</v>
      </c>
      <c r="C4658" s="33" t="s">
        <v>14</v>
      </c>
      <c r="D4658" s="33" t="s">
        <v>24</v>
      </c>
      <c r="F4658" s="67">
        <v>42291</v>
      </c>
      <c r="G4658" s="33" t="s">
        <v>17057</v>
      </c>
      <c r="H4658" s="33" t="s">
        <v>5376</v>
      </c>
      <c r="I4658" s="33" t="s">
        <v>39</v>
      </c>
      <c r="J4658" s="33" t="s">
        <v>5377</v>
      </c>
      <c r="K4658" s="33" t="s">
        <v>59</v>
      </c>
      <c r="L4658" s="33" t="s">
        <v>5378</v>
      </c>
      <c r="M4658" s="33" t="s">
        <v>21</v>
      </c>
      <c r="N4658" s="33" t="s">
        <v>18322</v>
      </c>
      <c r="O4658" s="33" t="s">
        <v>372</v>
      </c>
      <c r="P4658" s="33" t="s">
        <v>30089</v>
      </c>
      <c r="Q4658" s="40" t="s">
        <v>18323</v>
      </c>
      <c r="R4658" s="33" t="s">
        <v>94</v>
      </c>
      <c r="S4658" s="33" t="s">
        <v>22</v>
      </c>
      <c r="T4658" s="33" t="s">
        <v>26781</v>
      </c>
      <c r="U4658" s="33" t="s">
        <v>26572</v>
      </c>
      <c r="V4658" s="33" t="s">
        <v>26573</v>
      </c>
      <c r="W4658" s="33" t="s">
        <v>94</v>
      </c>
      <c r="X4658" s="33">
        <v>915</v>
      </c>
      <c r="Z4658" s="33" t="s">
        <v>42968</v>
      </c>
      <c r="AA4658" s="33">
        <v>3009</v>
      </c>
    </row>
    <row r="4659" spans="1:27" ht="12" customHeight="1" x14ac:dyDescent="0.15">
      <c r="A4659" s="33" t="s">
        <v>17123</v>
      </c>
      <c r="B4659" s="33">
        <v>31</v>
      </c>
      <c r="C4659" s="33" t="s">
        <v>14</v>
      </c>
      <c r="D4659" s="33" t="s">
        <v>31</v>
      </c>
      <c r="E4659" s="33" t="s">
        <v>17158</v>
      </c>
      <c r="F4659" s="67">
        <v>42289</v>
      </c>
      <c r="G4659" s="33" t="s">
        <v>18329</v>
      </c>
      <c r="H4659" s="33" t="s">
        <v>17124</v>
      </c>
      <c r="I4659" s="33" t="s">
        <v>621</v>
      </c>
      <c r="J4659" s="33" t="s">
        <v>18330</v>
      </c>
      <c r="K4659" s="33" t="s">
        <v>2159</v>
      </c>
      <c r="L4659" s="33" t="s">
        <v>17125</v>
      </c>
      <c r="M4659" s="33" t="s">
        <v>21</v>
      </c>
      <c r="N4659" s="33" t="s">
        <v>18331</v>
      </c>
      <c r="O4659" s="33" t="s">
        <v>372</v>
      </c>
      <c r="P4659" s="33" t="s">
        <v>30089</v>
      </c>
      <c r="Q4659" s="40" t="s">
        <v>18332</v>
      </c>
      <c r="R4659" s="33" t="s">
        <v>94</v>
      </c>
      <c r="S4659" s="33" t="s">
        <v>22</v>
      </c>
      <c r="T4659" s="33" t="s">
        <v>26781</v>
      </c>
      <c r="U4659" s="33" t="s">
        <v>26572</v>
      </c>
      <c r="V4659" s="33" t="s">
        <v>26573</v>
      </c>
      <c r="W4659" s="33" t="s">
        <v>94</v>
      </c>
      <c r="X4659" s="33">
        <v>909</v>
      </c>
      <c r="Z4659" s="33" t="s">
        <v>42967</v>
      </c>
      <c r="AA4659" s="33">
        <v>3006</v>
      </c>
    </row>
    <row r="4660" spans="1:27" ht="12" customHeight="1" x14ac:dyDescent="0.15">
      <c r="A4660" s="33" t="s">
        <v>17006</v>
      </c>
      <c r="B4660" s="33">
        <v>40</v>
      </c>
      <c r="C4660" s="33" t="s">
        <v>14</v>
      </c>
      <c r="D4660" s="33" t="s">
        <v>79</v>
      </c>
      <c r="E4660" s="33" t="s">
        <v>17165</v>
      </c>
      <c r="F4660" s="67">
        <v>42289</v>
      </c>
      <c r="G4660" s="33" t="s">
        <v>18327</v>
      </c>
      <c r="H4660" s="33" t="s">
        <v>10040</v>
      </c>
      <c r="I4660" s="33" t="s">
        <v>367</v>
      </c>
      <c r="J4660" s="33" t="s">
        <v>10041</v>
      </c>
      <c r="K4660" s="33" t="s">
        <v>17189</v>
      </c>
      <c r="L4660" s="33" t="s">
        <v>10043</v>
      </c>
      <c r="M4660" s="33" t="s">
        <v>21</v>
      </c>
      <c r="N4660" s="33" t="s">
        <v>17201</v>
      </c>
      <c r="O4660" s="33" t="s">
        <v>372</v>
      </c>
      <c r="P4660" s="33" t="s">
        <v>30089</v>
      </c>
      <c r="Q4660" s="40" t="s">
        <v>18328</v>
      </c>
      <c r="R4660" s="33" t="s">
        <v>94</v>
      </c>
      <c r="S4660" s="33" t="s">
        <v>22</v>
      </c>
      <c r="T4660" s="33" t="s">
        <v>26781</v>
      </c>
      <c r="U4660" s="33" t="s">
        <v>26572</v>
      </c>
      <c r="V4660" s="33" t="s">
        <v>26573</v>
      </c>
      <c r="W4660" s="33" t="s">
        <v>94</v>
      </c>
      <c r="X4660" s="33">
        <v>908</v>
      </c>
      <c r="Z4660" s="33" t="s">
        <v>42968</v>
      </c>
      <c r="AA4660" s="33">
        <v>3005</v>
      </c>
    </row>
    <row r="4661" spans="1:27" ht="12" customHeight="1" x14ac:dyDescent="0.15">
      <c r="A4661" s="33" t="s">
        <v>13</v>
      </c>
      <c r="B4661" s="33">
        <v>44</v>
      </c>
      <c r="C4661" s="33" t="s">
        <v>14</v>
      </c>
      <c r="D4661" s="33" t="s">
        <v>15</v>
      </c>
      <c r="E4661" s="33" t="s">
        <v>16</v>
      </c>
      <c r="F4661" s="67">
        <v>42288</v>
      </c>
      <c r="G4661" s="33" t="s">
        <v>17</v>
      </c>
      <c r="H4661" s="33" t="s">
        <v>18</v>
      </c>
      <c r="I4661" s="33" t="s">
        <v>19</v>
      </c>
      <c r="J4661" s="33" t="s">
        <v>18338</v>
      </c>
      <c r="K4661" s="33" t="s">
        <v>18339</v>
      </c>
      <c r="L4661" s="33" t="s">
        <v>20</v>
      </c>
      <c r="M4661" s="33" t="s">
        <v>21</v>
      </c>
      <c r="N4661" s="33" t="s">
        <v>18340</v>
      </c>
      <c r="O4661" s="33" t="s">
        <v>372</v>
      </c>
      <c r="P4661" s="33" t="s">
        <v>30089</v>
      </c>
      <c r="Q4661" s="40" t="s">
        <v>18341</v>
      </c>
      <c r="R4661" s="33" t="s">
        <v>94</v>
      </c>
      <c r="S4661" s="33" t="s">
        <v>22</v>
      </c>
      <c r="T4661" s="33" t="s">
        <v>26781</v>
      </c>
      <c r="U4661" s="33" t="s">
        <v>26572</v>
      </c>
      <c r="V4661" s="33" t="s">
        <v>26573</v>
      </c>
      <c r="W4661" s="33" t="s">
        <v>94</v>
      </c>
      <c r="X4661" s="33">
        <v>900</v>
      </c>
      <c r="Z4661" s="33" t="s">
        <v>42968</v>
      </c>
      <c r="AA4661" s="33">
        <v>3001</v>
      </c>
    </row>
    <row r="4662" spans="1:27" ht="12" customHeight="1" x14ac:dyDescent="0.15">
      <c r="A4662" s="33" t="s">
        <v>17005</v>
      </c>
      <c r="B4662" s="33">
        <v>23</v>
      </c>
      <c r="C4662" s="33" t="s">
        <v>14</v>
      </c>
      <c r="D4662" s="33" t="s">
        <v>79</v>
      </c>
      <c r="E4662" s="33" t="s">
        <v>17166</v>
      </c>
      <c r="F4662" s="67">
        <v>42288</v>
      </c>
      <c r="G4662" s="33" t="s">
        <v>25</v>
      </c>
      <c r="H4662" s="33" t="s">
        <v>18333</v>
      </c>
      <c r="I4662" s="33" t="s">
        <v>26</v>
      </c>
      <c r="J4662" s="33" t="s">
        <v>18334</v>
      </c>
      <c r="K4662" s="33" t="s">
        <v>27</v>
      </c>
      <c r="L4662" s="33" t="s">
        <v>28</v>
      </c>
      <c r="M4662" s="33" t="s">
        <v>21</v>
      </c>
      <c r="N4662" s="33" t="s">
        <v>17200</v>
      </c>
      <c r="O4662" s="33" t="s">
        <v>372</v>
      </c>
      <c r="P4662" s="33" t="s">
        <v>30089</v>
      </c>
      <c r="Q4662" s="40" t="s">
        <v>18335</v>
      </c>
      <c r="R4662" s="33" t="s">
        <v>94</v>
      </c>
      <c r="S4662" s="33" t="s">
        <v>22</v>
      </c>
      <c r="T4662" s="33" t="s">
        <v>26781</v>
      </c>
      <c r="U4662" s="33" t="s">
        <v>26572</v>
      </c>
      <c r="V4662" s="33" t="s">
        <v>26573</v>
      </c>
      <c r="W4662" s="33" t="s">
        <v>94</v>
      </c>
      <c r="X4662" s="33">
        <v>901</v>
      </c>
      <c r="Z4662" s="33" t="s">
        <v>42968</v>
      </c>
      <c r="AA4662" s="33">
        <v>3002</v>
      </c>
    </row>
    <row r="4663" spans="1:27" ht="12" customHeight="1" x14ac:dyDescent="0.15">
      <c r="A4663" s="33" t="s">
        <v>17033</v>
      </c>
      <c r="B4663" s="33">
        <v>43</v>
      </c>
      <c r="C4663" s="33" t="s">
        <v>14</v>
      </c>
      <c r="D4663" s="33" t="s">
        <v>42</v>
      </c>
      <c r="E4663" s="33" t="s">
        <v>17134</v>
      </c>
      <c r="F4663" s="67">
        <v>42288</v>
      </c>
      <c r="G4663" s="33" t="s">
        <v>22125</v>
      </c>
      <c r="H4663" s="33" t="s">
        <v>739</v>
      </c>
      <c r="I4663" s="33" t="s">
        <v>67</v>
      </c>
      <c r="J4663" s="33" t="s">
        <v>18342</v>
      </c>
      <c r="K4663" s="33" t="s">
        <v>740</v>
      </c>
      <c r="L4663" s="33" t="s">
        <v>17035</v>
      </c>
      <c r="M4663" s="33" t="s">
        <v>21</v>
      </c>
      <c r="N4663" s="33" t="s">
        <v>18343</v>
      </c>
      <c r="O4663" s="33" t="s">
        <v>372</v>
      </c>
      <c r="P4663" s="33" t="s">
        <v>30089</v>
      </c>
      <c r="Q4663" s="40" t="s">
        <v>17034</v>
      </c>
      <c r="R4663" s="33" t="s">
        <v>94</v>
      </c>
      <c r="S4663" s="33" t="s">
        <v>22</v>
      </c>
      <c r="T4663" s="33" t="s">
        <v>26593</v>
      </c>
      <c r="U4663" s="33" t="s">
        <v>26570</v>
      </c>
      <c r="V4663" s="33" t="s">
        <v>26571</v>
      </c>
      <c r="W4663" s="33" t="s">
        <v>94</v>
      </c>
      <c r="X4663" s="33">
        <v>907</v>
      </c>
      <c r="Z4663" s="33" t="s">
        <v>42968</v>
      </c>
      <c r="AA4663" s="33">
        <v>3003</v>
      </c>
    </row>
    <row r="4664" spans="1:27" ht="12" customHeight="1" x14ac:dyDescent="0.15">
      <c r="A4664" s="33" t="s">
        <v>17036</v>
      </c>
      <c r="B4664" s="33">
        <v>34</v>
      </c>
      <c r="C4664" s="33" t="s">
        <v>14</v>
      </c>
      <c r="D4664" s="33" t="s">
        <v>42</v>
      </c>
      <c r="F4664" s="67">
        <v>42288</v>
      </c>
      <c r="G4664" s="33" t="s">
        <v>18336</v>
      </c>
      <c r="H4664" s="33" t="s">
        <v>288</v>
      </c>
      <c r="I4664" s="33" t="s">
        <v>39</v>
      </c>
      <c r="J4664" s="33" t="s">
        <v>6272</v>
      </c>
      <c r="K4664" s="33" t="s">
        <v>288</v>
      </c>
      <c r="L4664" s="33" t="s">
        <v>3983</v>
      </c>
      <c r="M4664" s="33" t="s">
        <v>21</v>
      </c>
      <c r="N4664" s="33" t="s">
        <v>18337</v>
      </c>
      <c r="O4664" s="33" t="s">
        <v>372</v>
      </c>
      <c r="P4664" s="33" t="s">
        <v>30089</v>
      </c>
      <c r="Q4664" s="40" t="s">
        <v>17037</v>
      </c>
      <c r="R4664" s="33" t="s">
        <v>94</v>
      </c>
      <c r="S4664" s="33" t="s">
        <v>29</v>
      </c>
      <c r="T4664" s="33" t="s">
        <v>26575</v>
      </c>
      <c r="U4664" s="33" t="s">
        <v>26575</v>
      </c>
      <c r="V4664" s="33" t="s">
        <v>19228</v>
      </c>
      <c r="W4664" s="33" t="s">
        <v>94</v>
      </c>
      <c r="X4664" s="33">
        <v>899</v>
      </c>
      <c r="Z4664" s="33" t="s">
        <v>42968</v>
      </c>
      <c r="AA4664" s="33">
        <v>3004</v>
      </c>
    </row>
    <row r="4665" spans="1:27" ht="12" customHeight="1" x14ac:dyDescent="0.15">
      <c r="A4665" s="33" t="s">
        <v>17058</v>
      </c>
      <c r="B4665" s="33">
        <v>35</v>
      </c>
      <c r="C4665" s="33" t="s">
        <v>14</v>
      </c>
      <c r="D4665" s="33" t="s">
        <v>42</v>
      </c>
      <c r="E4665" s="33" t="s">
        <v>17138</v>
      </c>
      <c r="F4665" s="67">
        <v>42287</v>
      </c>
      <c r="G4665" s="33" t="s">
        <v>22126</v>
      </c>
      <c r="H4665" s="33" t="s">
        <v>17059</v>
      </c>
      <c r="I4665" s="33" t="s">
        <v>38</v>
      </c>
      <c r="J4665" s="33" t="s">
        <v>18344</v>
      </c>
      <c r="K4665" s="33" t="s">
        <v>30044</v>
      </c>
      <c r="L4665" s="33" t="s">
        <v>17060</v>
      </c>
      <c r="M4665" s="33" t="s">
        <v>4966</v>
      </c>
      <c r="N4665" s="33" t="s">
        <v>18345</v>
      </c>
      <c r="O4665" s="33" t="s">
        <v>372</v>
      </c>
      <c r="P4665" s="33" t="s">
        <v>30089</v>
      </c>
      <c r="Q4665" s="40" t="s">
        <v>18346</v>
      </c>
      <c r="R4665" s="33" t="s">
        <v>94</v>
      </c>
      <c r="S4665" s="33" t="s">
        <v>29</v>
      </c>
      <c r="T4665" s="33" t="s">
        <v>26576</v>
      </c>
      <c r="U4665" s="33" t="s">
        <v>26575</v>
      </c>
      <c r="V4665" s="33" t="s">
        <v>26573</v>
      </c>
      <c r="W4665" s="33" t="s">
        <v>94</v>
      </c>
      <c r="X4665" s="33">
        <v>906</v>
      </c>
      <c r="Z4665" s="33" t="s">
        <v>42968</v>
      </c>
      <c r="AA4665" s="33">
        <v>2998</v>
      </c>
    </row>
    <row r="4666" spans="1:27" ht="12" customHeight="1" x14ac:dyDescent="0.15">
      <c r="A4666" s="33" t="s">
        <v>49</v>
      </c>
      <c r="B4666" s="33">
        <v>40</v>
      </c>
      <c r="C4666" s="33" t="s">
        <v>14</v>
      </c>
      <c r="D4666" s="33" t="s">
        <v>31</v>
      </c>
      <c r="E4666" s="33" t="s">
        <v>50</v>
      </c>
      <c r="F4666" s="67">
        <v>42287</v>
      </c>
      <c r="G4666" s="33" t="s">
        <v>18362</v>
      </c>
      <c r="H4666" s="33" t="s">
        <v>10847</v>
      </c>
      <c r="I4666" s="33" t="s">
        <v>51</v>
      </c>
      <c r="J4666" s="33" t="s">
        <v>18363</v>
      </c>
      <c r="K4666" s="33" t="s">
        <v>52</v>
      </c>
      <c r="L4666" s="33" t="s">
        <v>3627</v>
      </c>
      <c r="M4666" s="33" t="s">
        <v>21</v>
      </c>
      <c r="N4666" s="33" t="s">
        <v>18364</v>
      </c>
      <c r="O4666" s="33" t="s">
        <v>372</v>
      </c>
      <c r="P4666" s="33" t="s">
        <v>30089</v>
      </c>
      <c r="Q4666" s="40" t="s">
        <v>53</v>
      </c>
      <c r="R4666" s="33" t="s">
        <v>94</v>
      </c>
      <c r="S4666" s="33" t="s">
        <v>22</v>
      </c>
      <c r="T4666" s="33" t="s">
        <v>26587</v>
      </c>
      <c r="U4666" s="33" t="s">
        <v>26572</v>
      </c>
      <c r="V4666" s="33" t="s">
        <v>26573</v>
      </c>
      <c r="W4666" s="33" t="s">
        <v>94</v>
      </c>
      <c r="X4666" s="33">
        <v>905</v>
      </c>
      <c r="Z4666" s="33" t="s">
        <v>42967</v>
      </c>
      <c r="AA4666" s="33">
        <v>2996</v>
      </c>
    </row>
    <row r="4667" spans="1:27" ht="12" customHeight="1" x14ac:dyDescent="0.15">
      <c r="A4667" s="33" t="s">
        <v>30</v>
      </c>
      <c r="B4667" s="33">
        <v>31</v>
      </c>
      <c r="C4667" s="33" t="s">
        <v>14</v>
      </c>
      <c r="D4667" s="33" t="s">
        <v>31</v>
      </c>
      <c r="E4667" s="33" t="s">
        <v>32</v>
      </c>
      <c r="F4667" s="67">
        <v>42287</v>
      </c>
      <c r="G4667" s="33" t="s">
        <v>33</v>
      </c>
      <c r="H4667" s="33" t="s">
        <v>34</v>
      </c>
      <c r="I4667" s="33" t="s">
        <v>35</v>
      </c>
      <c r="J4667" s="33" t="s">
        <v>18350</v>
      </c>
      <c r="K4667" s="33" t="s">
        <v>36</v>
      </c>
      <c r="L4667" s="33" t="s">
        <v>37</v>
      </c>
      <c r="M4667" s="33" t="s">
        <v>21</v>
      </c>
      <c r="N4667" s="33" t="s">
        <v>18351</v>
      </c>
      <c r="O4667" s="33" t="s">
        <v>372</v>
      </c>
      <c r="P4667" s="33" t="s">
        <v>30089</v>
      </c>
      <c r="Q4667" s="40" t="s">
        <v>18352</v>
      </c>
      <c r="R4667" s="33" t="s">
        <v>94</v>
      </c>
      <c r="S4667" s="33" t="s">
        <v>22</v>
      </c>
      <c r="T4667" s="33" t="s">
        <v>26781</v>
      </c>
      <c r="U4667" s="33" t="s">
        <v>26572</v>
      </c>
      <c r="V4667" s="33" t="s">
        <v>26573</v>
      </c>
      <c r="W4667" s="33" t="s">
        <v>94</v>
      </c>
      <c r="X4667" s="33">
        <v>903</v>
      </c>
      <c r="Z4667" s="33" t="s">
        <v>42968</v>
      </c>
      <c r="AA4667" s="33">
        <v>2997</v>
      </c>
    </row>
    <row r="4668" spans="1:27" ht="12" customHeight="1" x14ac:dyDescent="0.15">
      <c r="A4668" s="33" t="s">
        <v>17128</v>
      </c>
      <c r="B4668" s="33">
        <v>49</v>
      </c>
      <c r="C4668" s="33" t="s">
        <v>14</v>
      </c>
      <c r="D4668" s="33" t="s">
        <v>31</v>
      </c>
      <c r="E4668" s="33" t="s">
        <v>17160</v>
      </c>
      <c r="F4668" s="67">
        <v>42287</v>
      </c>
      <c r="G4668" s="33" t="s">
        <v>17129</v>
      </c>
      <c r="H4668" s="33" t="s">
        <v>655</v>
      </c>
      <c r="I4668" s="33" t="s">
        <v>40</v>
      </c>
      <c r="J4668" s="33" t="s">
        <v>18347</v>
      </c>
      <c r="K4668" s="33" t="s">
        <v>486</v>
      </c>
      <c r="L4668" s="33" t="s">
        <v>17130</v>
      </c>
      <c r="M4668" s="33" t="s">
        <v>21</v>
      </c>
      <c r="N4668" s="33" t="s">
        <v>18348</v>
      </c>
      <c r="O4668" s="33" t="s">
        <v>372</v>
      </c>
      <c r="P4668" s="33" t="s">
        <v>30089</v>
      </c>
      <c r="Q4668" s="40" t="s">
        <v>18349</v>
      </c>
      <c r="R4668" s="33" t="s">
        <v>512</v>
      </c>
      <c r="S4668" s="33" t="s">
        <v>351</v>
      </c>
      <c r="T4668" s="33" t="s">
        <v>26867</v>
      </c>
      <c r="U4668" s="33" t="s">
        <v>26572</v>
      </c>
      <c r="V4668" s="33" t="s">
        <v>26573</v>
      </c>
      <c r="W4668" s="33" t="s">
        <v>94</v>
      </c>
      <c r="X4668" s="33">
        <v>902</v>
      </c>
      <c r="Z4668" s="33" t="s">
        <v>42968</v>
      </c>
      <c r="AA4668" s="33">
        <v>2999</v>
      </c>
    </row>
    <row r="4669" spans="1:27" ht="12" customHeight="1" x14ac:dyDescent="0.15">
      <c r="A4669" s="33" t="s">
        <v>17126</v>
      </c>
      <c r="B4669" s="33">
        <v>38</v>
      </c>
      <c r="C4669" s="33" t="s">
        <v>14</v>
      </c>
      <c r="D4669" s="33" t="s">
        <v>31</v>
      </c>
      <c r="E4669" s="33" t="s">
        <v>17159</v>
      </c>
      <c r="F4669" s="67">
        <v>42287</v>
      </c>
      <c r="G4669" s="33" t="s">
        <v>18353</v>
      </c>
      <c r="H4669" s="33" t="s">
        <v>17127</v>
      </c>
      <c r="I4669" s="33" t="s">
        <v>39</v>
      </c>
      <c r="J4669" s="33" t="s">
        <v>18354</v>
      </c>
      <c r="K4669" s="33" t="s">
        <v>288</v>
      </c>
      <c r="L4669" s="33" t="s">
        <v>289</v>
      </c>
      <c r="M4669" s="33" t="s">
        <v>21</v>
      </c>
      <c r="N4669" s="33" t="s">
        <v>18355</v>
      </c>
      <c r="O4669" s="33" t="s">
        <v>372</v>
      </c>
      <c r="P4669" s="33" t="s">
        <v>30089</v>
      </c>
      <c r="Q4669" s="40" t="s">
        <v>18356</v>
      </c>
      <c r="R4669" s="33" t="s">
        <v>512</v>
      </c>
      <c r="S4669" s="33" t="s">
        <v>351</v>
      </c>
      <c r="T4669" s="33" t="s">
        <v>26867</v>
      </c>
      <c r="U4669" s="33" t="s">
        <v>26570</v>
      </c>
      <c r="V4669" s="33" t="s">
        <v>26571</v>
      </c>
      <c r="W4669" s="33" t="s">
        <v>94</v>
      </c>
      <c r="X4669" s="33">
        <v>904</v>
      </c>
      <c r="Z4669" s="33" t="s">
        <v>42967</v>
      </c>
      <c r="AA4669" s="33">
        <v>3000</v>
      </c>
    </row>
    <row r="4670" spans="1:27" ht="12" customHeight="1" x14ac:dyDescent="0.15">
      <c r="A4670" s="33" t="s">
        <v>41</v>
      </c>
      <c r="B4670" s="33">
        <v>19</v>
      </c>
      <c r="C4670" s="33" t="s">
        <v>14</v>
      </c>
      <c r="D4670" s="33" t="s">
        <v>42</v>
      </c>
      <c r="E4670" s="33" t="s">
        <v>43</v>
      </c>
      <c r="F4670" s="67">
        <v>42286</v>
      </c>
      <c r="G4670" s="33" t="s">
        <v>44</v>
      </c>
      <c r="H4670" s="33" t="s">
        <v>45</v>
      </c>
      <c r="I4670" s="33" t="s">
        <v>46</v>
      </c>
      <c r="J4670" s="33" t="s">
        <v>18357</v>
      </c>
      <c r="K4670" s="33" t="s">
        <v>47</v>
      </c>
      <c r="L4670" s="33" t="s">
        <v>48</v>
      </c>
      <c r="M4670" s="33" t="s">
        <v>21</v>
      </c>
      <c r="N4670" s="33" t="s">
        <v>18358</v>
      </c>
      <c r="O4670" s="33" t="s">
        <v>372</v>
      </c>
      <c r="P4670" s="33" t="s">
        <v>30089</v>
      </c>
      <c r="Q4670" s="40" t="s">
        <v>18359</v>
      </c>
      <c r="R4670" s="33" t="s">
        <v>94</v>
      </c>
      <c r="S4670" s="33" t="s">
        <v>22</v>
      </c>
      <c r="T4670" s="33" t="s">
        <v>26774</v>
      </c>
      <c r="U4670" s="33" t="s">
        <v>26570</v>
      </c>
      <c r="V4670" s="33" t="s">
        <v>26573</v>
      </c>
      <c r="W4670" s="33" t="s">
        <v>94</v>
      </c>
      <c r="X4670" s="33">
        <v>898</v>
      </c>
      <c r="Z4670" s="33" t="s">
        <v>42968</v>
      </c>
      <c r="AA4670" s="33">
        <v>2995</v>
      </c>
    </row>
    <row r="4671" spans="1:27" ht="12" customHeight="1" x14ac:dyDescent="0.15">
      <c r="A4671" s="33" t="s">
        <v>17061</v>
      </c>
      <c r="B4671" s="33">
        <v>62</v>
      </c>
      <c r="C4671" s="33" t="s">
        <v>103</v>
      </c>
      <c r="D4671" s="33" t="s">
        <v>31</v>
      </c>
      <c r="F4671" s="67">
        <v>42286</v>
      </c>
      <c r="G4671" s="33" t="s">
        <v>22127</v>
      </c>
      <c r="H4671" s="33" t="s">
        <v>17063</v>
      </c>
      <c r="I4671" s="33" t="s">
        <v>39</v>
      </c>
      <c r="J4671" s="33" t="s">
        <v>18360</v>
      </c>
      <c r="K4671" s="33" t="s">
        <v>728</v>
      </c>
      <c r="L4671" s="33" t="s">
        <v>729</v>
      </c>
      <c r="M4671" s="33" t="s">
        <v>21</v>
      </c>
      <c r="N4671" s="33" t="s">
        <v>18361</v>
      </c>
      <c r="O4671" s="33" t="s">
        <v>950</v>
      </c>
      <c r="P4671" s="33" t="s">
        <v>30089</v>
      </c>
      <c r="Q4671" s="40" t="s">
        <v>17062</v>
      </c>
      <c r="R4671" s="33" t="s">
        <v>23</v>
      </c>
      <c r="S4671" s="33" t="s">
        <v>22</v>
      </c>
      <c r="T4671" s="33" t="s">
        <v>26781</v>
      </c>
      <c r="U4671" s="33" t="s">
        <v>26572</v>
      </c>
      <c r="V4671" s="33" t="s">
        <v>26573</v>
      </c>
      <c r="W4671" s="33" t="s">
        <v>94</v>
      </c>
      <c r="X4671" s="33">
        <v>910</v>
      </c>
      <c r="Z4671" s="33" t="s">
        <v>42967</v>
      </c>
      <c r="AA4671" s="33">
        <v>2994</v>
      </c>
    </row>
    <row r="4672" spans="1:27" ht="12" customHeight="1" x14ac:dyDescent="0.15">
      <c r="A4672" s="33" t="s">
        <v>54</v>
      </c>
      <c r="B4672" s="33">
        <v>46</v>
      </c>
      <c r="C4672" s="33" t="s">
        <v>14</v>
      </c>
      <c r="D4672" s="33" t="s">
        <v>42</v>
      </c>
      <c r="F4672" s="67">
        <v>42284</v>
      </c>
      <c r="G4672" s="33" t="s">
        <v>22128</v>
      </c>
      <c r="H4672" s="33" t="s">
        <v>55</v>
      </c>
      <c r="I4672" s="33" t="s">
        <v>56</v>
      </c>
      <c r="J4672" s="33" t="s">
        <v>15769</v>
      </c>
      <c r="K4672" s="33" t="s">
        <v>4878</v>
      </c>
      <c r="L4672" s="33" t="s">
        <v>57</v>
      </c>
      <c r="M4672" s="33" t="s">
        <v>21</v>
      </c>
      <c r="N4672" s="33" t="s">
        <v>18365</v>
      </c>
      <c r="O4672" s="33" t="s">
        <v>950</v>
      </c>
      <c r="P4672" s="33" t="s">
        <v>30089</v>
      </c>
      <c r="Q4672" s="40" t="s">
        <v>18366</v>
      </c>
      <c r="R4672" s="33" t="s">
        <v>94</v>
      </c>
      <c r="S4672" s="33" t="s">
        <v>22</v>
      </c>
      <c r="T4672" s="33" t="s">
        <v>26593</v>
      </c>
      <c r="U4672" s="33" t="s">
        <v>26572</v>
      </c>
      <c r="V4672" s="33" t="s">
        <v>26573</v>
      </c>
      <c r="W4672" s="33" t="s">
        <v>94</v>
      </c>
      <c r="X4672" s="33">
        <v>897</v>
      </c>
      <c r="Z4672" s="33" t="s">
        <v>42968</v>
      </c>
      <c r="AA4672" s="33">
        <v>2993</v>
      </c>
    </row>
    <row r="4673" spans="1:27" ht="12" customHeight="1" x14ac:dyDescent="0.15">
      <c r="A4673" s="33" t="s">
        <v>58</v>
      </c>
      <c r="B4673" s="33">
        <v>39</v>
      </c>
      <c r="C4673" s="33" t="s">
        <v>14</v>
      </c>
      <c r="D4673" s="33" t="s">
        <v>31</v>
      </c>
      <c r="F4673" s="67">
        <v>42283</v>
      </c>
      <c r="G4673" s="33" t="s">
        <v>18367</v>
      </c>
      <c r="H4673" s="33" t="s">
        <v>59</v>
      </c>
      <c r="I4673" s="33" t="s">
        <v>39</v>
      </c>
      <c r="J4673" s="33" t="s">
        <v>18368</v>
      </c>
      <c r="K4673" s="33" t="s">
        <v>59</v>
      </c>
      <c r="L4673" s="33" t="s">
        <v>60</v>
      </c>
      <c r="M4673" s="33" t="s">
        <v>21</v>
      </c>
      <c r="N4673" s="33" t="s">
        <v>18369</v>
      </c>
      <c r="O4673" s="33" t="s">
        <v>372</v>
      </c>
      <c r="P4673" s="33" t="s">
        <v>30089</v>
      </c>
      <c r="Q4673" s="40" t="s">
        <v>18370</v>
      </c>
      <c r="R4673" s="33" t="s">
        <v>512</v>
      </c>
      <c r="S4673" s="33" t="s">
        <v>12</v>
      </c>
      <c r="T4673" s="33" t="s">
        <v>29425</v>
      </c>
      <c r="U4673" s="33" t="s">
        <v>26572</v>
      </c>
      <c r="V4673" s="33" t="s">
        <v>26573</v>
      </c>
      <c r="W4673" s="33" t="s">
        <v>94</v>
      </c>
      <c r="X4673" s="33">
        <v>896</v>
      </c>
      <c r="Z4673" s="33" t="s">
        <v>42968</v>
      </c>
      <c r="AA4673" s="33">
        <v>2992</v>
      </c>
    </row>
    <row r="4674" spans="1:27" ht="12" customHeight="1" x14ac:dyDescent="0.15">
      <c r="A4674" s="33" t="s">
        <v>61</v>
      </c>
      <c r="B4674" s="33">
        <v>27</v>
      </c>
      <c r="C4674" s="33" t="s">
        <v>14</v>
      </c>
      <c r="D4674" s="33" t="s">
        <v>15</v>
      </c>
      <c r="E4674" s="33" t="s">
        <v>62</v>
      </c>
      <c r="F4674" s="67">
        <v>42282</v>
      </c>
      <c r="G4674" s="33" t="s">
        <v>18044</v>
      </c>
      <c r="H4674" s="33" t="s">
        <v>187</v>
      </c>
      <c r="I4674" s="33" t="s">
        <v>63</v>
      </c>
      <c r="J4674" s="33" t="s">
        <v>18045</v>
      </c>
      <c r="K4674" s="33" t="s">
        <v>3180</v>
      </c>
      <c r="L4674" s="33" t="s">
        <v>188</v>
      </c>
      <c r="M4674" s="33" t="s">
        <v>21</v>
      </c>
      <c r="N4674" s="33" t="s">
        <v>18046</v>
      </c>
      <c r="O4674" s="33" t="s">
        <v>372</v>
      </c>
      <c r="P4674" s="33" t="s">
        <v>30089</v>
      </c>
      <c r="Q4674" s="40" t="s">
        <v>64</v>
      </c>
      <c r="R4674" s="33" t="s">
        <v>94</v>
      </c>
      <c r="S4674" s="33" t="s">
        <v>12</v>
      </c>
      <c r="T4674" s="33" t="s">
        <v>29705</v>
      </c>
      <c r="U4674" s="33" t="s">
        <v>26570</v>
      </c>
      <c r="V4674" s="33" t="s">
        <v>26573</v>
      </c>
      <c r="W4674" s="33" t="s">
        <v>94</v>
      </c>
      <c r="X4674" s="33">
        <v>895</v>
      </c>
      <c r="Z4674" s="33" t="s">
        <v>42968</v>
      </c>
      <c r="AA4674" s="33">
        <v>2991</v>
      </c>
    </row>
    <row r="4675" spans="1:27" ht="12" customHeight="1" x14ac:dyDescent="0.15">
      <c r="A4675" s="33" t="s">
        <v>71</v>
      </c>
      <c r="B4675" s="33">
        <v>50</v>
      </c>
      <c r="C4675" s="33" t="s">
        <v>14</v>
      </c>
      <c r="D4675" s="33" t="s">
        <v>31</v>
      </c>
      <c r="E4675" s="33" t="s">
        <v>72</v>
      </c>
      <c r="F4675" s="67">
        <v>42282</v>
      </c>
      <c r="G4675" s="33" t="s">
        <v>73</v>
      </c>
      <c r="H4675" s="33" t="s">
        <v>74</v>
      </c>
      <c r="I4675" s="33" t="s">
        <v>75</v>
      </c>
      <c r="J4675" s="33" t="s">
        <v>18373</v>
      </c>
      <c r="K4675" s="33" t="s">
        <v>36</v>
      </c>
      <c r="L4675" s="33" t="s">
        <v>76</v>
      </c>
      <c r="M4675" s="33" t="s">
        <v>21</v>
      </c>
      <c r="N4675" s="33" t="s">
        <v>18374</v>
      </c>
      <c r="O4675" s="33" t="s">
        <v>372</v>
      </c>
      <c r="P4675" s="33" t="s">
        <v>30089</v>
      </c>
      <c r="Q4675" s="40" t="s">
        <v>77</v>
      </c>
      <c r="R4675" s="33" t="s">
        <v>94</v>
      </c>
      <c r="S4675" s="33" t="s">
        <v>22</v>
      </c>
      <c r="T4675" s="33" t="s">
        <v>26781</v>
      </c>
      <c r="U4675" s="33" t="s">
        <v>26572</v>
      </c>
      <c r="V4675" s="33" t="s">
        <v>26573</v>
      </c>
      <c r="W4675" s="33" t="s">
        <v>94</v>
      </c>
      <c r="X4675" s="33">
        <v>894</v>
      </c>
      <c r="Z4675" s="33" t="s">
        <v>42968</v>
      </c>
      <c r="AA4675" s="33">
        <v>2990</v>
      </c>
    </row>
    <row r="4676" spans="1:27" ht="12" customHeight="1" x14ac:dyDescent="0.15">
      <c r="A4676" s="33" t="s">
        <v>65</v>
      </c>
      <c r="B4676" s="33">
        <v>51</v>
      </c>
      <c r="C4676" s="33" t="s">
        <v>14</v>
      </c>
      <c r="D4676" s="33" t="s">
        <v>31</v>
      </c>
      <c r="E4676" s="33" t="s">
        <v>17131</v>
      </c>
      <c r="F4676" s="67">
        <v>42282</v>
      </c>
      <c r="G4676" s="33" t="s">
        <v>22129</v>
      </c>
      <c r="H4676" s="33" t="s">
        <v>66</v>
      </c>
      <c r="I4676" s="33" t="s">
        <v>67</v>
      </c>
      <c r="J4676" s="33" t="s">
        <v>18371</v>
      </c>
      <c r="K4676" s="33" t="s">
        <v>68</v>
      </c>
      <c r="L4676" s="33" t="s">
        <v>69</v>
      </c>
      <c r="M4676" s="33" t="s">
        <v>21</v>
      </c>
      <c r="N4676" s="33" t="s">
        <v>18372</v>
      </c>
      <c r="O4676" s="33" t="s">
        <v>372</v>
      </c>
      <c r="P4676" s="33" t="s">
        <v>30089</v>
      </c>
      <c r="Q4676" s="40" t="s">
        <v>70</v>
      </c>
      <c r="R4676" s="33" t="s">
        <v>94</v>
      </c>
      <c r="S4676" s="33" t="s">
        <v>22</v>
      </c>
      <c r="T4676" s="33" t="s">
        <v>26781</v>
      </c>
      <c r="U4676" s="33" t="s">
        <v>26572</v>
      </c>
      <c r="V4676" s="33" t="s">
        <v>26574</v>
      </c>
      <c r="W4676" s="33" t="s">
        <v>94</v>
      </c>
      <c r="X4676" s="33">
        <v>893</v>
      </c>
      <c r="Z4676" s="33" t="s">
        <v>42968</v>
      </c>
      <c r="AA4676" s="33">
        <v>2989</v>
      </c>
    </row>
    <row r="4677" spans="1:27" ht="12" customHeight="1" x14ac:dyDescent="0.15">
      <c r="A4677" s="33" t="s">
        <v>78</v>
      </c>
      <c r="B4677" s="33">
        <v>31</v>
      </c>
      <c r="C4677" s="33" t="s">
        <v>14</v>
      </c>
      <c r="D4677" s="33" t="s">
        <v>79</v>
      </c>
      <c r="E4677" s="33" t="s">
        <v>80</v>
      </c>
      <c r="F4677" s="67">
        <v>42281</v>
      </c>
      <c r="G4677" s="33" t="s">
        <v>22130</v>
      </c>
      <c r="H4677" s="33" t="s">
        <v>81</v>
      </c>
      <c r="I4677" s="33" t="s">
        <v>38</v>
      </c>
      <c r="J4677" s="33" t="s">
        <v>6039</v>
      </c>
      <c r="K4677" s="33" t="s">
        <v>82</v>
      </c>
      <c r="L4677" s="33" t="s">
        <v>83</v>
      </c>
      <c r="M4677" s="33" t="s">
        <v>21</v>
      </c>
      <c r="N4677" s="33" t="s">
        <v>18377</v>
      </c>
      <c r="O4677" s="33" t="s">
        <v>372</v>
      </c>
      <c r="P4677" s="33" t="s">
        <v>30089</v>
      </c>
      <c r="Q4677" s="40" t="s">
        <v>18378</v>
      </c>
      <c r="R4677" s="33" t="s">
        <v>94</v>
      </c>
      <c r="S4677" s="33" t="s">
        <v>22</v>
      </c>
      <c r="T4677" s="33" t="s">
        <v>26781</v>
      </c>
      <c r="U4677" s="33" t="s">
        <v>26572</v>
      </c>
      <c r="V4677" s="33" t="s">
        <v>26573</v>
      </c>
      <c r="W4677" s="33" t="s">
        <v>94</v>
      </c>
      <c r="X4677" s="33">
        <v>891</v>
      </c>
      <c r="Z4677" s="33" t="s">
        <v>42966</v>
      </c>
      <c r="AA4677" s="33">
        <v>2988</v>
      </c>
    </row>
    <row r="4678" spans="1:27" ht="12" customHeight="1" x14ac:dyDescent="0.15">
      <c r="A4678" s="33" t="s">
        <v>18212</v>
      </c>
      <c r="B4678" s="33">
        <v>45</v>
      </c>
      <c r="C4678" s="33" t="s">
        <v>14</v>
      </c>
      <c r="D4678" s="33" t="s">
        <v>31</v>
      </c>
      <c r="F4678" s="67">
        <v>42281</v>
      </c>
      <c r="G4678" s="33" t="s">
        <v>91</v>
      </c>
      <c r="H4678" s="33" t="s">
        <v>92</v>
      </c>
      <c r="I4678" s="33" t="s">
        <v>39</v>
      </c>
      <c r="J4678" s="33" t="s">
        <v>18379</v>
      </c>
      <c r="K4678" s="33" t="s">
        <v>92</v>
      </c>
      <c r="L4678" s="33" t="s">
        <v>93</v>
      </c>
      <c r="M4678" s="33" t="s">
        <v>21</v>
      </c>
      <c r="N4678" s="33" t="s">
        <v>36752</v>
      </c>
      <c r="O4678" s="33" t="s">
        <v>372</v>
      </c>
      <c r="P4678" s="33" t="s">
        <v>30089</v>
      </c>
      <c r="Q4678" s="40" t="s">
        <v>18380</v>
      </c>
      <c r="R4678" s="33" t="s">
        <v>23</v>
      </c>
      <c r="S4678" s="33" t="s">
        <v>29</v>
      </c>
      <c r="T4678" s="33" t="s">
        <v>26583</v>
      </c>
      <c r="U4678" s="33" t="s">
        <v>26575</v>
      </c>
      <c r="V4678" s="33" t="s">
        <v>26573</v>
      </c>
      <c r="W4678" s="33" t="s">
        <v>94</v>
      </c>
      <c r="X4678" s="33">
        <v>886</v>
      </c>
      <c r="Z4678" s="33" t="s">
        <v>42966</v>
      </c>
      <c r="AA4678" s="33">
        <v>2986</v>
      </c>
    </row>
    <row r="4679" spans="1:27" ht="12" customHeight="1" x14ac:dyDescent="0.15">
      <c r="A4679" s="33" t="s">
        <v>84</v>
      </c>
      <c r="B4679" s="33">
        <v>27</v>
      </c>
      <c r="C4679" s="33" t="s">
        <v>14</v>
      </c>
      <c r="D4679" s="33" t="s">
        <v>31</v>
      </c>
      <c r="E4679" s="33" t="s">
        <v>85</v>
      </c>
      <c r="F4679" s="67">
        <v>42281</v>
      </c>
      <c r="G4679" s="33" t="s">
        <v>86</v>
      </c>
      <c r="H4679" s="33" t="s">
        <v>87</v>
      </c>
      <c r="I4679" s="33" t="s">
        <v>88</v>
      </c>
      <c r="J4679" s="33" t="s">
        <v>7199</v>
      </c>
      <c r="K4679" s="33" t="s">
        <v>89</v>
      </c>
      <c r="L4679" s="33" t="s">
        <v>90</v>
      </c>
      <c r="M4679" s="33" t="s">
        <v>21</v>
      </c>
      <c r="N4679" s="33" t="s">
        <v>18375</v>
      </c>
      <c r="O4679" s="33" t="s">
        <v>372</v>
      </c>
      <c r="P4679" s="33" t="s">
        <v>30089</v>
      </c>
      <c r="Q4679" s="40" t="s">
        <v>18376</v>
      </c>
      <c r="R4679" s="33" t="s">
        <v>512</v>
      </c>
      <c r="S4679" s="33" t="s">
        <v>22</v>
      </c>
      <c r="T4679" s="33" t="s">
        <v>26781</v>
      </c>
      <c r="U4679" s="33" t="s">
        <v>26572</v>
      </c>
      <c r="V4679" s="33" t="s">
        <v>26574</v>
      </c>
      <c r="W4679" s="33" t="s">
        <v>94</v>
      </c>
      <c r="X4679" s="33">
        <v>887</v>
      </c>
      <c r="Z4679" s="33" t="s">
        <v>42966</v>
      </c>
      <c r="AA4679" s="33">
        <v>2987</v>
      </c>
    </row>
    <row r="4680" spans="1:27" ht="12" customHeight="1" x14ac:dyDescent="0.15">
      <c r="A4680" s="33" t="s">
        <v>114</v>
      </c>
      <c r="B4680" s="33">
        <v>29</v>
      </c>
      <c r="C4680" s="33" t="s">
        <v>14</v>
      </c>
      <c r="D4680" s="33" t="s">
        <v>31</v>
      </c>
      <c r="E4680" s="33" t="s">
        <v>17133</v>
      </c>
      <c r="F4680" s="67">
        <v>42279</v>
      </c>
      <c r="G4680" s="33" t="s">
        <v>115</v>
      </c>
      <c r="H4680" s="33" t="s">
        <v>116</v>
      </c>
      <c r="I4680" s="33" t="s">
        <v>67</v>
      </c>
      <c r="J4680" s="33" t="s">
        <v>18384</v>
      </c>
      <c r="K4680" s="33" t="s">
        <v>117</v>
      </c>
      <c r="L4680" s="33" t="s">
        <v>118</v>
      </c>
      <c r="M4680" s="33" t="s">
        <v>21</v>
      </c>
      <c r="N4680" s="33" t="s">
        <v>18385</v>
      </c>
      <c r="O4680" s="33" t="s">
        <v>507</v>
      </c>
      <c r="P4680" s="33" t="s">
        <v>30089</v>
      </c>
      <c r="Q4680" s="40" t="s">
        <v>18386</v>
      </c>
      <c r="R4680" s="33" t="s">
        <v>94</v>
      </c>
      <c r="S4680" s="33" t="s">
        <v>12</v>
      </c>
      <c r="T4680" s="33" t="s">
        <v>29705</v>
      </c>
      <c r="U4680" s="33" t="s">
        <v>26575</v>
      </c>
      <c r="V4680" s="33" t="s">
        <v>26573</v>
      </c>
      <c r="W4680" s="33" t="s">
        <v>94</v>
      </c>
      <c r="X4680" s="33">
        <v>892</v>
      </c>
      <c r="Z4680" s="33" t="s">
        <v>42967</v>
      </c>
      <c r="AA4680" s="33">
        <v>2985</v>
      </c>
    </row>
    <row r="4681" spans="1:27" ht="12" customHeight="1" x14ac:dyDescent="0.15">
      <c r="A4681" s="33" t="s">
        <v>102</v>
      </c>
      <c r="B4681" s="33">
        <v>55</v>
      </c>
      <c r="C4681" s="33" t="s">
        <v>103</v>
      </c>
      <c r="D4681" s="33" t="s">
        <v>31</v>
      </c>
      <c r="E4681" s="33" t="s">
        <v>17132</v>
      </c>
      <c r="F4681" s="67">
        <v>42279</v>
      </c>
      <c r="G4681" s="33" t="s">
        <v>104</v>
      </c>
      <c r="H4681" s="33" t="s">
        <v>105</v>
      </c>
      <c r="I4681" s="33" t="s">
        <v>106</v>
      </c>
      <c r="J4681" s="33" t="s">
        <v>4744</v>
      </c>
      <c r="K4681" s="33" t="s">
        <v>107</v>
      </c>
      <c r="L4681" s="33" t="s">
        <v>108</v>
      </c>
      <c r="M4681" s="33" t="s">
        <v>21</v>
      </c>
      <c r="N4681" s="33" t="s">
        <v>18387</v>
      </c>
      <c r="O4681" s="33" t="s">
        <v>372</v>
      </c>
      <c r="P4681" s="33" t="s">
        <v>30089</v>
      </c>
      <c r="Q4681" s="40" t="s">
        <v>18388</v>
      </c>
      <c r="R4681" s="33" t="s">
        <v>512</v>
      </c>
      <c r="S4681" s="33" t="s">
        <v>22</v>
      </c>
      <c r="T4681" s="33" t="s">
        <v>26774</v>
      </c>
      <c r="U4681" s="33" t="s">
        <v>26570</v>
      </c>
      <c r="V4681" s="33" t="s">
        <v>26573</v>
      </c>
      <c r="W4681" s="33" t="s">
        <v>94</v>
      </c>
      <c r="X4681" s="33">
        <v>890</v>
      </c>
      <c r="Z4681" s="33" t="s">
        <v>42968</v>
      </c>
      <c r="AA4681" s="33">
        <v>2983</v>
      </c>
    </row>
    <row r="4682" spans="1:27" ht="12" customHeight="1" x14ac:dyDescent="0.15">
      <c r="A4682" s="33" t="s">
        <v>109</v>
      </c>
      <c r="B4682" s="33">
        <v>28</v>
      </c>
      <c r="C4682" s="33" t="s">
        <v>14</v>
      </c>
      <c r="D4682" s="33" t="s">
        <v>42</v>
      </c>
      <c r="E4682" s="33" t="s">
        <v>110</v>
      </c>
      <c r="F4682" s="67">
        <v>42279</v>
      </c>
      <c r="G4682" s="33" t="s">
        <v>18381</v>
      </c>
      <c r="H4682" s="33" t="s">
        <v>111</v>
      </c>
      <c r="I4682" s="33" t="s">
        <v>112</v>
      </c>
      <c r="J4682" s="33" t="s">
        <v>11115</v>
      </c>
      <c r="K4682" s="33" t="s">
        <v>113</v>
      </c>
      <c r="M4682" s="33" t="s">
        <v>21</v>
      </c>
      <c r="N4682" s="33" t="s">
        <v>18382</v>
      </c>
      <c r="O4682" s="33" t="s">
        <v>372</v>
      </c>
      <c r="P4682" s="33" t="s">
        <v>30089</v>
      </c>
      <c r="Q4682" s="40" t="s">
        <v>18383</v>
      </c>
      <c r="R4682" s="33" t="s">
        <v>94</v>
      </c>
      <c r="S4682" s="33" t="s">
        <v>22</v>
      </c>
      <c r="T4682" s="33" t="s">
        <v>26781</v>
      </c>
      <c r="U4682" s="33" t="s">
        <v>26572</v>
      </c>
      <c r="V4682" s="33" t="s">
        <v>26571</v>
      </c>
      <c r="W4682" s="33" t="s">
        <v>94</v>
      </c>
      <c r="X4682" s="33">
        <v>888</v>
      </c>
      <c r="Z4682" s="33" t="s">
        <v>42968</v>
      </c>
      <c r="AA4682" s="33">
        <v>2982</v>
      </c>
    </row>
    <row r="4683" spans="1:27" ht="12" customHeight="1" x14ac:dyDescent="0.15">
      <c r="A4683" s="33" t="s">
        <v>19148</v>
      </c>
      <c r="B4683" s="33">
        <v>26</v>
      </c>
      <c r="C4683" s="33" t="s">
        <v>14</v>
      </c>
      <c r="D4683" s="33" t="s">
        <v>42</v>
      </c>
      <c r="F4683" s="67">
        <v>42279</v>
      </c>
      <c r="G4683" s="33" t="s">
        <v>97</v>
      </c>
      <c r="H4683" s="33" t="s">
        <v>98</v>
      </c>
      <c r="I4683" s="33" t="s">
        <v>39</v>
      </c>
      <c r="J4683" s="33">
        <v>92376</v>
      </c>
      <c r="K4683" s="33" t="s">
        <v>99</v>
      </c>
      <c r="L4683" s="33" t="s">
        <v>100</v>
      </c>
      <c r="M4683" s="33" t="s">
        <v>4966</v>
      </c>
      <c r="P4683" s="33" t="s">
        <v>30089</v>
      </c>
      <c r="Q4683" s="40" t="s">
        <v>101</v>
      </c>
      <c r="R4683" s="33" t="s">
        <v>23</v>
      </c>
      <c r="S4683" s="33" t="s">
        <v>22</v>
      </c>
      <c r="T4683" s="33" t="s">
        <v>26774</v>
      </c>
      <c r="U4683" s="33" t="s">
        <v>26572</v>
      </c>
      <c r="V4683" s="33" t="s">
        <v>26573</v>
      </c>
      <c r="W4683" s="33" t="s">
        <v>94</v>
      </c>
      <c r="X4683" s="33">
        <v>889</v>
      </c>
      <c r="Z4683" s="33" t="s">
        <v>42968</v>
      </c>
      <c r="AA4683" s="33">
        <v>2984</v>
      </c>
    </row>
    <row r="4684" spans="1:27" ht="12" customHeight="1" x14ac:dyDescent="0.15">
      <c r="A4684" s="33" t="s">
        <v>125</v>
      </c>
      <c r="B4684" s="33">
        <v>40</v>
      </c>
      <c r="C4684" s="33" t="s">
        <v>14</v>
      </c>
      <c r="D4684" s="33" t="s">
        <v>31</v>
      </c>
      <c r="E4684" s="33" t="s">
        <v>126</v>
      </c>
      <c r="F4684" s="67">
        <v>42277</v>
      </c>
      <c r="G4684" s="33" t="s">
        <v>18993</v>
      </c>
      <c r="H4684" s="33" t="s">
        <v>18992</v>
      </c>
      <c r="I4684" s="33" t="s">
        <v>67</v>
      </c>
      <c r="J4684" s="33">
        <v>78382</v>
      </c>
      <c r="K4684" s="33" t="s">
        <v>18991</v>
      </c>
      <c r="L4684" s="33" t="s">
        <v>14142</v>
      </c>
      <c r="M4684" s="33" t="s">
        <v>5569</v>
      </c>
      <c r="N4684" s="33" t="s">
        <v>18990</v>
      </c>
      <c r="P4684" s="33" t="s">
        <v>30089</v>
      </c>
      <c r="Q4684" s="40" t="str">
        <f>HYPERLINK("http://www.kristv.com/story/30147782/texas-rangers-investigating-aransas-co-death","http://www.kristv.com/story/30147782/texas-rangers-investigating-aransas-co-death")</f>
        <v>http://www.kristv.com/story/30147782/texas-rangers-investigating-aransas-co-death</v>
      </c>
      <c r="R4684" s="33" t="s">
        <v>23</v>
      </c>
      <c r="S4684" s="33" t="s">
        <v>29</v>
      </c>
      <c r="T4684" s="1" t="s">
        <v>41840</v>
      </c>
      <c r="Z4684" s="33" t="s">
        <v>42967</v>
      </c>
      <c r="AA4684" s="33">
        <v>2981</v>
      </c>
    </row>
    <row r="4685" spans="1:27" ht="12" customHeight="1" x14ac:dyDescent="0.15">
      <c r="A4685" s="33" t="s">
        <v>135</v>
      </c>
      <c r="B4685" s="33">
        <v>28</v>
      </c>
      <c r="C4685" s="33" t="s">
        <v>14</v>
      </c>
      <c r="D4685" s="33" t="s">
        <v>79</v>
      </c>
      <c r="E4685" s="33" t="s">
        <v>136</v>
      </c>
      <c r="F4685" s="67">
        <v>42277</v>
      </c>
      <c r="G4685" s="33" t="s">
        <v>137</v>
      </c>
      <c r="H4685" s="33" t="s">
        <v>138</v>
      </c>
      <c r="I4685" s="33" t="s">
        <v>139</v>
      </c>
      <c r="J4685" s="33" t="s">
        <v>17959</v>
      </c>
      <c r="K4685" s="33" t="s">
        <v>140</v>
      </c>
      <c r="L4685" s="33" t="s">
        <v>141</v>
      </c>
      <c r="M4685" s="33" t="s">
        <v>21</v>
      </c>
      <c r="N4685" s="33" t="s">
        <v>17199</v>
      </c>
      <c r="O4685" s="33" t="s">
        <v>950</v>
      </c>
      <c r="P4685" s="33" t="s">
        <v>30089</v>
      </c>
      <c r="Q4685" s="40" t="s">
        <v>17960</v>
      </c>
      <c r="R4685" s="33" t="s">
        <v>94</v>
      </c>
      <c r="S4685" s="33" t="s">
        <v>22</v>
      </c>
      <c r="T4685" s="33" t="s">
        <v>26781</v>
      </c>
      <c r="U4685" s="33" t="s">
        <v>26572</v>
      </c>
      <c r="V4685" s="33" t="s">
        <v>26571</v>
      </c>
      <c r="W4685" s="33" t="s">
        <v>94</v>
      </c>
      <c r="X4685" s="33">
        <v>876</v>
      </c>
      <c r="Z4685" s="33" t="s">
        <v>42968</v>
      </c>
      <c r="AA4685" s="33">
        <v>2980</v>
      </c>
    </row>
    <row r="4686" spans="1:27" ht="12" customHeight="1" x14ac:dyDescent="0.15">
      <c r="A4686" s="33" t="s">
        <v>127</v>
      </c>
      <c r="B4686" s="33">
        <v>46</v>
      </c>
      <c r="C4686" s="33" t="s">
        <v>14</v>
      </c>
      <c r="D4686" s="33" t="s">
        <v>128</v>
      </c>
      <c r="E4686" s="33" t="s">
        <v>129</v>
      </c>
      <c r="F4686" s="67">
        <v>42276</v>
      </c>
      <c r="G4686" s="33" t="s">
        <v>130</v>
      </c>
      <c r="H4686" s="33" t="s">
        <v>131</v>
      </c>
      <c r="I4686" s="33" t="s">
        <v>132</v>
      </c>
      <c r="J4686" s="33" t="s">
        <v>4940</v>
      </c>
      <c r="K4686" s="33" t="s">
        <v>133</v>
      </c>
      <c r="L4686" s="33" t="s">
        <v>134</v>
      </c>
      <c r="M4686" s="33" t="s">
        <v>21</v>
      </c>
      <c r="N4686" s="33" t="s">
        <v>17961</v>
      </c>
      <c r="O4686" s="33" t="s">
        <v>372</v>
      </c>
      <c r="P4686" s="33" t="s">
        <v>30089</v>
      </c>
      <c r="Q4686" s="40" t="s">
        <v>17962</v>
      </c>
      <c r="R4686" s="33" t="s">
        <v>94</v>
      </c>
      <c r="S4686" s="33" t="s">
        <v>29</v>
      </c>
      <c r="T4686" s="33" t="s">
        <v>26591</v>
      </c>
      <c r="U4686" s="33" t="s">
        <v>26572</v>
      </c>
      <c r="V4686" s="33" t="s">
        <v>26573</v>
      </c>
      <c r="W4686" s="33" t="s">
        <v>94</v>
      </c>
      <c r="X4686" s="33">
        <v>877</v>
      </c>
      <c r="Z4686" s="33" t="s">
        <v>42968</v>
      </c>
      <c r="AA4686" s="33">
        <v>2978</v>
      </c>
    </row>
    <row r="4687" spans="1:27" ht="12" customHeight="1" x14ac:dyDescent="0.15">
      <c r="A4687" s="33" t="s">
        <v>119</v>
      </c>
      <c r="B4687" s="33">
        <v>37</v>
      </c>
      <c r="C4687" s="33" t="s">
        <v>14</v>
      </c>
      <c r="D4687" s="33" t="s">
        <v>31</v>
      </c>
      <c r="E4687" s="33" t="s">
        <v>120</v>
      </c>
      <c r="F4687" s="67">
        <v>42276</v>
      </c>
      <c r="G4687" s="33" t="s">
        <v>22131</v>
      </c>
      <c r="H4687" s="33" t="s">
        <v>121</v>
      </c>
      <c r="I4687" s="33" t="s">
        <v>122</v>
      </c>
      <c r="J4687" s="33" t="s">
        <v>17956</v>
      </c>
      <c r="K4687" s="33" t="s">
        <v>123</v>
      </c>
      <c r="L4687" s="33" t="s">
        <v>124</v>
      </c>
      <c r="M4687" s="33" t="s">
        <v>21</v>
      </c>
      <c r="N4687" s="33" t="s">
        <v>17957</v>
      </c>
      <c r="O4687" s="33" t="s">
        <v>372</v>
      </c>
      <c r="P4687" s="33" t="s">
        <v>30089</v>
      </c>
      <c r="Q4687" s="40" t="s">
        <v>17958</v>
      </c>
      <c r="R4687" s="33" t="s">
        <v>94</v>
      </c>
      <c r="S4687" s="33" t="s">
        <v>12</v>
      </c>
      <c r="T4687" s="33" t="s">
        <v>29705</v>
      </c>
      <c r="U4687" s="33" t="s">
        <v>26572</v>
      </c>
      <c r="V4687" s="33" t="s">
        <v>26573</v>
      </c>
      <c r="W4687" s="33" t="s">
        <v>94</v>
      </c>
      <c r="X4687" s="33">
        <v>880</v>
      </c>
      <c r="Z4687" s="33" t="s">
        <v>42967</v>
      </c>
      <c r="AA4687" s="33">
        <v>2979</v>
      </c>
    </row>
    <row r="4688" spans="1:27" ht="12" customHeight="1" x14ac:dyDescent="0.15">
      <c r="A4688" s="33" t="s">
        <v>142</v>
      </c>
      <c r="B4688" s="33">
        <v>59</v>
      </c>
      <c r="C4688" s="33" t="s">
        <v>14</v>
      </c>
      <c r="D4688" s="33" t="s">
        <v>42</v>
      </c>
      <c r="F4688" s="67">
        <v>42275</v>
      </c>
      <c r="G4688" s="33" t="s">
        <v>22132</v>
      </c>
      <c r="H4688" s="33" t="s">
        <v>143</v>
      </c>
      <c r="I4688" s="33" t="s">
        <v>39</v>
      </c>
      <c r="J4688" s="33" t="s">
        <v>11814</v>
      </c>
      <c r="K4688" s="33" t="s">
        <v>143</v>
      </c>
      <c r="L4688" s="33" t="s">
        <v>144</v>
      </c>
      <c r="M4688" s="33" t="s">
        <v>21</v>
      </c>
      <c r="N4688" s="33" t="s">
        <v>17963</v>
      </c>
      <c r="O4688" s="33" t="s">
        <v>950</v>
      </c>
      <c r="P4688" s="33" t="s">
        <v>30089</v>
      </c>
      <c r="Q4688" s="40" t="s">
        <v>17964</v>
      </c>
      <c r="R4688" s="33" t="s">
        <v>94</v>
      </c>
      <c r="S4688" s="33" t="s">
        <v>12</v>
      </c>
      <c r="T4688" s="33" t="s">
        <v>29425</v>
      </c>
      <c r="U4688" s="33" t="s">
        <v>26572</v>
      </c>
      <c r="V4688" s="33" t="s">
        <v>26573</v>
      </c>
      <c r="W4688" s="33" t="s">
        <v>512</v>
      </c>
      <c r="X4688" s="33">
        <v>873</v>
      </c>
      <c r="Z4688" s="33" t="s">
        <v>42968</v>
      </c>
      <c r="AA4688" s="33">
        <v>2976</v>
      </c>
    </row>
    <row r="4689" spans="1:27" ht="12" customHeight="1" x14ac:dyDescent="0.15">
      <c r="A4689" s="33" t="s">
        <v>145</v>
      </c>
      <c r="B4689" s="33">
        <v>31</v>
      </c>
      <c r="C4689" s="33" t="s">
        <v>14</v>
      </c>
      <c r="D4689" s="33" t="s">
        <v>79</v>
      </c>
      <c r="E4689" s="33" t="s">
        <v>146</v>
      </c>
      <c r="F4689" s="67">
        <v>42275</v>
      </c>
      <c r="G4689" s="33" t="s">
        <v>17965</v>
      </c>
      <c r="H4689" s="33" t="s">
        <v>147</v>
      </c>
      <c r="I4689" s="33" t="s">
        <v>56</v>
      </c>
      <c r="J4689" s="33" t="s">
        <v>17966</v>
      </c>
      <c r="K4689" s="33" t="s">
        <v>148</v>
      </c>
      <c r="L4689" s="33" t="s">
        <v>149</v>
      </c>
      <c r="M4689" s="33" t="s">
        <v>4966</v>
      </c>
      <c r="N4689" s="33" t="s">
        <v>17967</v>
      </c>
      <c r="O4689" s="33" t="s">
        <v>372</v>
      </c>
      <c r="P4689" s="33" t="s">
        <v>30089</v>
      </c>
      <c r="Q4689" s="40" t="s">
        <v>17968</v>
      </c>
      <c r="R4689" s="33" t="s">
        <v>94</v>
      </c>
      <c r="S4689" s="33" t="s">
        <v>12</v>
      </c>
      <c r="T4689" s="33" t="s">
        <v>29705</v>
      </c>
      <c r="U4689" s="33" t="s">
        <v>26572</v>
      </c>
      <c r="V4689" s="33" t="s">
        <v>26574</v>
      </c>
      <c r="W4689" s="33" t="s">
        <v>94</v>
      </c>
      <c r="X4689" s="33">
        <v>872</v>
      </c>
      <c r="Z4689" s="33" t="s">
        <v>42968</v>
      </c>
      <c r="AA4689" s="33">
        <v>2977</v>
      </c>
    </row>
    <row r="4690" spans="1:27" ht="12" customHeight="1" x14ac:dyDescent="0.15">
      <c r="A4690" s="33" t="s">
        <v>155</v>
      </c>
      <c r="B4690" s="33">
        <v>37</v>
      </c>
      <c r="C4690" s="33" t="s">
        <v>103</v>
      </c>
      <c r="D4690" s="33" t="s">
        <v>42</v>
      </c>
      <c r="E4690" s="33" t="s">
        <v>156</v>
      </c>
      <c r="F4690" s="67">
        <v>42274</v>
      </c>
      <c r="G4690" s="33" t="s">
        <v>157</v>
      </c>
      <c r="H4690" s="33" t="s">
        <v>92</v>
      </c>
      <c r="I4690" s="33" t="s">
        <v>39</v>
      </c>
      <c r="J4690" s="33" t="s">
        <v>17973</v>
      </c>
      <c r="K4690" s="33" t="s">
        <v>92</v>
      </c>
      <c r="L4690" s="33" t="s">
        <v>93</v>
      </c>
      <c r="M4690" s="33" t="s">
        <v>21</v>
      </c>
      <c r="N4690" s="33" t="s">
        <v>17974</v>
      </c>
      <c r="O4690" s="33" t="s">
        <v>372</v>
      </c>
      <c r="P4690" s="33" t="s">
        <v>30089</v>
      </c>
      <c r="Q4690" s="40" t="s">
        <v>17975</v>
      </c>
      <c r="R4690" s="33" t="s">
        <v>512</v>
      </c>
      <c r="S4690" s="33" t="s">
        <v>22</v>
      </c>
      <c r="T4690" s="33" t="s">
        <v>26774</v>
      </c>
      <c r="U4690" s="33" t="s">
        <v>26570</v>
      </c>
      <c r="V4690" s="33" t="s">
        <v>26573</v>
      </c>
      <c r="W4690" s="33" t="s">
        <v>512</v>
      </c>
      <c r="X4690" s="33">
        <v>871</v>
      </c>
      <c r="Z4690" s="33" t="s">
        <v>42966</v>
      </c>
      <c r="AA4690" s="33">
        <v>2975</v>
      </c>
    </row>
    <row r="4691" spans="1:27" ht="12" customHeight="1" x14ac:dyDescent="0.15">
      <c r="A4691" s="33" t="s">
        <v>150</v>
      </c>
      <c r="B4691" s="33">
        <v>40</v>
      </c>
      <c r="C4691" s="33" t="s">
        <v>14</v>
      </c>
      <c r="D4691" s="33" t="s">
        <v>42</v>
      </c>
      <c r="E4691" s="33" t="s">
        <v>151</v>
      </c>
      <c r="F4691" s="67">
        <v>42274</v>
      </c>
      <c r="G4691" s="33" t="s">
        <v>22133</v>
      </c>
      <c r="H4691" s="33" t="s">
        <v>152</v>
      </c>
      <c r="I4691" s="33" t="s">
        <v>67</v>
      </c>
      <c r="J4691" s="33" t="s">
        <v>17976</v>
      </c>
      <c r="K4691" s="33" t="s">
        <v>153</v>
      </c>
      <c r="L4691" s="33" t="s">
        <v>154</v>
      </c>
      <c r="M4691" s="33" t="s">
        <v>21</v>
      </c>
      <c r="N4691" s="33" t="s">
        <v>17977</v>
      </c>
      <c r="O4691" s="33" t="s">
        <v>372</v>
      </c>
      <c r="P4691" s="33" t="s">
        <v>30089</v>
      </c>
      <c r="Q4691" s="40" t="s">
        <v>17978</v>
      </c>
      <c r="R4691" s="33" t="s">
        <v>94</v>
      </c>
      <c r="S4691" s="33" t="s">
        <v>22</v>
      </c>
      <c r="T4691" s="33" t="s">
        <v>26781</v>
      </c>
      <c r="U4691" s="33" t="s">
        <v>26572</v>
      </c>
      <c r="V4691" s="33" t="s">
        <v>26573</v>
      </c>
      <c r="W4691" s="33" t="s">
        <v>94</v>
      </c>
      <c r="X4691" s="33">
        <v>875</v>
      </c>
      <c r="Z4691" s="33" t="s">
        <v>42967</v>
      </c>
      <c r="AA4691" s="33">
        <v>2974</v>
      </c>
    </row>
    <row r="4692" spans="1:27" ht="12" customHeight="1" x14ac:dyDescent="0.15">
      <c r="A4692" s="33" t="s">
        <v>158</v>
      </c>
      <c r="B4692" s="33">
        <v>43</v>
      </c>
      <c r="C4692" s="33" t="s">
        <v>14</v>
      </c>
      <c r="D4692" s="33" t="s">
        <v>31</v>
      </c>
      <c r="E4692" s="33" t="s">
        <v>18826</v>
      </c>
      <c r="F4692" s="67">
        <v>42274</v>
      </c>
      <c r="G4692" s="33" t="s">
        <v>17969</v>
      </c>
      <c r="H4692" s="33" t="s">
        <v>159</v>
      </c>
      <c r="I4692" s="33" t="s">
        <v>160</v>
      </c>
      <c r="J4692" s="33" t="s">
        <v>17970</v>
      </c>
      <c r="K4692" s="33" t="s">
        <v>161</v>
      </c>
      <c r="L4692" s="33" t="s">
        <v>162</v>
      </c>
      <c r="M4692" s="33" t="s">
        <v>21</v>
      </c>
      <c r="N4692" s="33" t="s">
        <v>17971</v>
      </c>
      <c r="O4692" s="33" t="s">
        <v>372</v>
      </c>
      <c r="P4692" s="33" t="s">
        <v>30089</v>
      </c>
      <c r="Q4692" s="40" t="s">
        <v>17972</v>
      </c>
      <c r="R4692" s="33" t="s">
        <v>94</v>
      </c>
      <c r="S4692" s="33" t="s">
        <v>22</v>
      </c>
      <c r="T4692" s="33" t="s">
        <v>26781</v>
      </c>
      <c r="U4692" s="33" t="s">
        <v>26572</v>
      </c>
      <c r="V4692" s="33" t="s">
        <v>26573</v>
      </c>
      <c r="W4692" s="33" t="s">
        <v>94</v>
      </c>
      <c r="X4692" s="33">
        <v>874</v>
      </c>
      <c r="Z4692" s="33" t="s">
        <v>42968</v>
      </c>
      <c r="AA4692" s="33">
        <v>2973</v>
      </c>
    </row>
    <row r="4693" spans="1:27" ht="12" customHeight="1" x14ac:dyDescent="0.15">
      <c r="A4693" s="33" t="s">
        <v>170</v>
      </c>
      <c r="B4693" s="33">
        <v>46</v>
      </c>
      <c r="C4693" s="33" t="s">
        <v>14</v>
      </c>
      <c r="D4693" s="33" t="s">
        <v>79</v>
      </c>
      <c r="E4693" s="33" t="s">
        <v>171</v>
      </c>
      <c r="F4693" s="67">
        <v>42273</v>
      </c>
      <c r="G4693" s="33" t="s">
        <v>17981</v>
      </c>
      <c r="H4693" s="33" t="s">
        <v>172</v>
      </c>
      <c r="I4693" s="33" t="s">
        <v>19</v>
      </c>
      <c r="J4693" s="33" t="s">
        <v>17982</v>
      </c>
      <c r="K4693" s="33" t="s">
        <v>3435</v>
      </c>
      <c r="L4693" s="33" t="s">
        <v>173</v>
      </c>
      <c r="M4693" s="33" t="s">
        <v>21</v>
      </c>
      <c r="N4693" s="33" t="s">
        <v>17983</v>
      </c>
      <c r="O4693" s="33" t="s">
        <v>372</v>
      </c>
      <c r="P4693" s="33" t="s">
        <v>30089</v>
      </c>
      <c r="Q4693" s="40" t="s">
        <v>17984</v>
      </c>
      <c r="R4693" s="33" t="s">
        <v>94</v>
      </c>
      <c r="S4693" s="33" t="s">
        <v>22</v>
      </c>
      <c r="T4693" s="33" t="s">
        <v>26774</v>
      </c>
      <c r="U4693" s="33" t="s">
        <v>26572</v>
      </c>
      <c r="V4693" s="33" t="s">
        <v>26573</v>
      </c>
      <c r="W4693" s="33" t="s">
        <v>94</v>
      </c>
      <c r="X4693" s="33">
        <v>869</v>
      </c>
      <c r="Z4693" s="33" t="s">
        <v>42968</v>
      </c>
      <c r="AA4693" s="33">
        <v>2972</v>
      </c>
    </row>
    <row r="4694" spans="1:27" ht="12" customHeight="1" x14ac:dyDescent="0.15">
      <c r="A4694" s="33" t="s">
        <v>174</v>
      </c>
      <c r="B4694" s="33">
        <v>23</v>
      </c>
      <c r="C4694" s="33" t="s">
        <v>14</v>
      </c>
      <c r="D4694" s="33" t="s">
        <v>42</v>
      </c>
      <c r="E4694" s="33" t="s">
        <v>175</v>
      </c>
      <c r="F4694" s="67">
        <v>42273</v>
      </c>
      <c r="G4694" s="33" t="s">
        <v>176</v>
      </c>
      <c r="H4694" s="33" t="s">
        <v>177</v>
      </c>
      <c r="I4694" s="33" t="s">
        <v>178</v>
      </c>
      <c r="J4694" s="33" t="s">
        <v>12151</v>
      </c>
      <c r="K4694" s="33" t="s">
        <v>731</v>
      </c>
      <c r="L4694" s="33" t="s">
        <v>179</v>
      </c>
      <c r="M4694" s="33" t="s">
        <v>21</v>
      </c>
      <c r="N4694" s="33" t="s">
        <v>17979</v>
      </c>
      <c r="O4694" s="33" t="s">
        <v>372</v>
      </c>
      <c r="P4694" s="33" t="s">
        <v>30089</v>
      </c>
      <c r="Q4694" s="40" t="s">
        <v>17980</v>
      </c>
      <c r="R4694" s="33" t="s">
        <v>94</v>
      </c>
      <c r="S4694" s="33" t="s">
        <v>22</v>
      </c>
      <c r="T4694" s="33" t="s">
        <v>26781</v>
      </c>
      <c r="U4694" s="33" t="s">
        <v>26572</v>
      </c>
      <c r="V4694" s="33" t="s">
        <v>26573</v>
      </c>
      <c r="W4694" s="33" t="s">
        <v>94</v>
      </c>
      <c r="X4694" s="33">
        <v>870</v>
      </c>
      <c r="Z4694" s="33" t="s">
        <v>42967</v>
      </c>
      <c r="AA4694" s="33">
        <v>2971</v>
      </c>
    </row>
    <row r="4695" spans="1:27" ht="12" customHeight="1" x14ac:dyDescent="0.15">
      <c r="A4695" s="33" t="s">
        <v>168</v>
      </c>
      <c r="B4695" s="33">
        <v>33</v>
      </c>
      <c r="C4695" s="33" t="s">
        <v>14</v>
      </c>
      <c r="D4695" s="33" t="s">
        <v>79</v>
      </c>
      <c r="F4695" s="67">
        <v>42272</v>
      </c>
      <c r="G4695" s="33" t="s">
        <v>169</v>
      </c>
      <c r="H4695" s="33" t="s">
        <v>81</v>
      </c>
      <c r="I4695" s="33" t="s">
        <v>38</v>
      </c>
      <c r="J4695" s="33" t="s">
        <v>17986</v>
      </c>
      <c r="K4695" s="33" t="s">
        <v>82</v>
      </c>
      <c r="L4695" s="33" t="s">
        <v>83</v>
      </c>
      <c r="M4695" s="33" t="s">
        <v>4966</v>
      </c>
      <c r="N4695" s="33" t="s">
        <v>17987</v>
      </c>
      <c r="O4695" s="33" t="s">
        <v>372</v>
      </c>
      <c r="P4695" s="33" t="s">
        <v>30089</v>
      </c>
      <c r="Q4695" s="40" t="s">
        <v>17988</v>
      </c>
      <c r="R4695" s="33" t="s">
        <v>94</v>
      </c>
      <c r="S4695" s="33" t="s">
        <v>22</v>
      </c>
      <c r="T4695" s="33" t="s">
        <v>26612</v>
      </c>
      <c r="U4695" s="33" t="s">
        <v>26570</v>
      </c>
      <c r="V4695" s="33" t="s">
        <v>26573</v>
      </c>
      <c r="W4695" s="33" t="s">
        <v>94</v>
      </c>
      <c r="X4695" s="33">
        <v>867</v>
      </c>
      <c r="Z4695" s="33" t="s">
        <v>42966</v>
      </c>
      <c r="AA4695" s="33">
        <v>2967</v>
      </c>
    </row>
    <row r="4696" spans="1:27" ht="12" customHeight="1" x14ac:dyDescent="0.15">
      <c r="A4696" s="33" t="s">
        <v>163</v>
      </c>
      <c r="B4696" s="33">
        <v>45</v>
      </c>
      <c r="C4696" s="33" t="s">
        <v>14</v>
      </c>
      <c r="D4696" s="33" t="s">
        <v>31</v>
      </c>
      <c r="E4696" s="33" t="s">
        <v>164</v>
      </c>
      <c r="F4696" s="67">
        <v>42272</v>
      </c>
      <c r="G4696" s="33" t="s">
        <v>22135</v>
      </c>
      <c r="H4696" s="33" t="s">
        <v>165</v>
      </c>
      <c r="I4696" s="33" t="s">
        <v>112</v>
      </c>
      <c r="J4696" s="33" t="s">
        <v>17989</v>
      </c>
      <c r="K4696" s="33" t="s">
        <v>166</v>
      </c>
      <c r="L4696" s="33" t="s">
        <v>167</v>
      </c>
      <c r="M4696" s="33" t="s">
        <v>21</v>
      </c>
      <c r="N4696" s="33" t="s">
        <v>17990</v>
      </c>
      <c r="O4696" s="33" t="s">
        <v>372</v>
      </c>
      <c r="P4696" s="33" t="s">
        <v>30089</v>
      </c>
      <c r="Q4696" s="40" t="s">
        <v>17991</v>
      </c>
      <c r="R4696" s="33" t="s">
        <v>94</v>
      </c>
      <c r="S4696" s="33" t="s">
        <v>22</v>
      </c>
      <c r="T4696" s="33" t="s">
        <v>26781</v>
      </c>
      <c r="U4696" s="33" t="s">
        <v>26572</v>
      </c>
      <c r="V4696" s="33" t="s">
        <v>26573</v>
      </c>
      <c r="W4696" s="33" t="s">
        <v>94</v>
      </c>
      <c r="X4696" s="33">
        <v>868</v>
      </c>
      <c r="Z4696" s="33" t="s">
        <v>42967</v>
      </c>
      <c r="AA4696" s="33">
        <v>2968</v>
      </c>
    </row>
    <row r="4697" spans="1:27" ht="12" customHeight="1" x14ac:dyDescent="0.15">
      <c r="A4697" s="33" t="s">
        <v>180</v>
      </c>
      <c r="B4697" s="33">
        <v>40</v>
      </c>
      <c r="C4697" s="33" t="s">
        <v>14</v>
      </c>
      <c r="D4697" s="33" t="s">
        <v>42</v>
      </c>
      <c r="E4697" s="33" t="s">
        <v>181</v>
      </c>
      <c r="F4697" s="67">
        <v>42272</v>
      </c>
      <c r="G4697" s="33" t="s">
        <v>182</v>
      </c>
      <c r="H4697" s="33" t="s">
        <v>183</v>
      </c>
      <c r="I4697" s="33" t="s">
        <v>39</v>
      </c>
      <c r="J4697" s="33" t="s">
        <v>14047</v>
      </c>
      <c r="K4697" s="33" t="s">
        <v>183</v>
      </c>
      <c r="L4697" s="33" t="s">
        <v>184</v>
      </c>
      <c r="M4697" s="33" t="s">
        <v>21</v>
      </c>
      <c r="N4697" s="33" t="s">
        <v>18391</v>
      </c>
      <c r="O4697" s="33" t="s">
        <v>372</v>
      </c>
      <c r="P4697" s="33" t="s">
        <v>30089</v>
      </c>
      <c r="Q4697" s="40" t="str">
        <f>HYPERLINK("http://www.fresnobee.com/news/local/crime/article37140321.html","http://www.fresnobee.com/news/local/crime/article37140321.html")</f>
        <v>http://www.fresnobee.com/news/local/crime/article37140321.html</v>
      </c>
      <c r="R4697" s="33" t="s">
        <v>512</v>
      </c>
      <c r="S4697" s="33" t="s">
        <v>12</v>
      </c>
      <c r="T4697" s="33" t="s">
        <v>29705</v>
      </c>
      <c r="U4697" s="33" t="s">
        <v>26572</v>
      </c>
      <c r="V4697" s="33" t="s">
        <v>26573</v>
      </c>
      <c r="W4697" s="33" t="s">
        <v>512</v>
      </c>
      <c r="X4697" s="33">
        <v>1409</v>
      </c>
      <c r="Z4697" s="33" t="s">
        <v>42966</v>
      </c>
      <c r="AA4697" s="33">
        <v>2970</v>
      </c>
    </row>
    <row r="4698" spans="1:27" ht="12" customHeight="1" x14ac:dyDescent="0.15">
      <c r="A4698" s="33" t="s">
        <v>185</v>
      </c>
      <c r="B4698" s="33">
        <v>21</v>
      </c>
      <c r="C4698" s="33" t="s">
        <v>14</v>
      </c>
      <c r="D4698" s="33" t="s">
        <v>31</v>
      </c>
      <c r="E4698" s="33" t="s">
        <v>186</v>
      </c>
      <c r="F4698" s="67">
        <v>42272</v>
      </c>
      <c r="G4698" s="33" t="s">
        <v>22134</v>
      </c>
      <c r="H4698" s="33" t="s">
        <v>187</v>
      </c>
      <c r="I4698" s="33" t="s">
        <v>63</v>
      </c>
      <c r="J4698" s="33" t="s">
        <v>17992</v>
      </c>
      <c r="K4698" s="33" t="s">
        <v>3180</v>
      </c>
      <c r="L4698" s="33" t="s">
        <v>188</v>
      </c>
      <c r="M4698" s="33" t="s">
        <v>21</v>
      </c>
      <c r="N4698" s="33" t="s">
        <v>17993</v>
      </c>
      <c r="O4698" s="33" t="s">
        <v>372</v>
      </c>
      <c r="P4698" s="33" t="s">
        <v>30089</v>
      </c>
      <c r="Q4698" s="40" t="s">
        <v>17994</v>
      </c>
      <c r="R4698" s="33" t="s">
        <v>94</v>
      </c>
      <c r="S4698" s="33" t="s">
        <v>12</v>
      </c>
      <c r="T4698" s="33" t="s">
        <v>29705</v>
      </c>
      <c r="U4698" s="33" t="s">
        <v>26575</v>
      </c>
      <c r="V4698" s="33" t="s">
        <v>19228</v>
      </c>
      <c r="W4698" s="33" t="s">
        <v>94</v>
      </c>
      <c r="X4698" s="33">
        <v>866</v>
      </c>
      <c r="Z4698" s="33" t="s">
        <v>42966</v>
      </c>
      <c r="AA4698" s="33">
        <v>2969</v>
      </c>
    </row>
    <row r="4699" spans="1:27" ht="12" customHeight="1" x14ac:dyDescent="0.15">
      <c r="A4699" s="33" t="s">
        <v>189</v>
      </c>
      <c r="B4699" s="33">
        <v>17</v>
      </c>
      <c r="C4699" s="33" t="s">
        <v>14</v>
      </c>
      <c r="D4699" s="33" t="s">
        <v>31</v>
      </c>
      <c r="E4699" s="33" t="s">
        <v>190</v>
      </c>
      <c r="F4699" s="67">
        <v>42271</v>
      </c>
      <c r="G4699" s="33" t="s">
        <v>17999</v>
      </c>
      <c r="H4699" s="33" t="s">
        <v>191</v>
      </c>
      <c r="I4699" s="33" t="s">
        <v>192</v>
      </c>
      <c r="J4699" s="33" t="s">
        <v>11925</v>
      </c>
      <c r="K4699" s="33" t="s">
        <v>801</v>
      </c>
      <c r="L4699" s="33" t="s">
        <v>193</v>
      </c>
      <c r="M4699" s="33" t="s">
        <v>21</v>
      </c>
      <c r="N4699" s="33" t="s">
        <v>18000</v>
      </c>
      <c r="O4699" s="33" t="s">
        <v>372</v>
      </c>
      <c r="P4699" s="33" t="s">
        <v>30089</v>
      </c>
      <c r="Q4699" s="40" t="s">
        <v>18001</v>
      </c>
      <c r="R4699" s="33" t="s">
        <v>94</v>
      </c>
      <c r="S4699" s="33" t="s">
        <v>22</v>
      </c>
      <c r="T4699" s="33" t="s">
        <v>26781</v>
      </c>
      <c r="U4699" s="33" t="s">
        <v>26572</v>
      </c>
      <c r="V4699" s="33" t="s">
        <v>26573</v>
      </c>
      <c r="W4699" s="33" t="s">
        <v>94</v>
      </c>
      <c r="X4699" s="33">
        <v>863</v>
      </c>
      <c r="Z4699" s="33" t="s">
        <v>42968</v>
      </c>
      <c r="AA4699" s="33">
        <v>2964</v>
      </c>
    </row>
    <row r="4700" spans="1:27" ht="12" customHeight="1" x14ac:dyDescent="0.15">
      <c r="A4700" s="33" t="s">
        <v>194</v>
      </c>
      <c r="B4700" s="33">
        <v>42</v>
      </c>
      <c r="C4700" s="33" t="s">
        <v>14</v>
      </c>
      <c r="D4700" s="33" t="s">
        <v>79</v>
      </c>
      <c r="E4700" s="33" t="s">
        <v>195</v>
      </c>
      <c r="F4700" s="67">
        <v>42271</v>
      </c>
      <c r="G4700" s="33" t="s">
        <v>17995</v>
      </c>
      <c r="H4700" s="33" t="s">
        <v>196</v>
      </c>
      <c r="I4700" s="33" t="s">
        <v>56</v>
      </c>
      <c r="J4700" s="33" t="s">
        <v>17996</v>
      </c>
      <c r="K4700" s="33" t="s">
        <v>148</v>
      </c>
      <c r="L4700" s="33" t="s">
        <v>149</v>
      </c>
      <c r="M4700" s="33" t="s">
        <v>21</v>
      </c>
      <c r="N4700" s="33" t="s">
        <v>17997</v>
      </c>
      <c r="O4700" s="33" t="s">
        <v>372</v>
      </c>
      <c r="P4700" s="33" t="s">
        <v>30089</v>
      </c>
      <c r="Q4700" s="40" t="s">
        <v>17998</v>
      </c>
      <c r="R4700" s="33" t="s">
        <v>512</v>
      </c>
      <c r="S4700" s="33" t="s">
        <v>22</v>
      </c>
      <c r="T4700" s="33" t="s">
        <v>26774</v>
      </c>
      <c r="U4700" s="33" t="s">
        <v>26572</v>
      </c>
      <c r="V4700" s="33" t="s">
        <v>26573</v>
      </c>
      <c r="W4700" s="33" t="s">
        <v>94</v>
      </c>
      <c r="X4700" s="33">
        <v>860</v>
      </c>
      <c r="Z4700" s="33" t="s">
        <v>42968</v>
      </c>
      <c r="AA4700" s="33">
        <v>2965</v>
      </c>
    </row>
    <row r="4701" spans="1:27" ht="12" customHeight="1" x14ac:dyDescent="0.15">
      <c r="A4701" s="33" t="s">
        <v>200</v>
      </c>
      <c r="B4701" s="33">
        <v>30</v>
      </c>
      <c r="C4701" s="33" t="s">
        <v>14</v>
      </c>
      <c r="D4701" s="33" t="s">
        <v>128</v>
      </c>
      <c r="E4701" s="33" t="s">
        <v>201</v>
      </c>
      <c r="F4701" s="67">
        <v>42271</v>
      </c>
      <c r="G4701" s="33" t="s">
        <v>22136</v>
      </c>
      <c r="H4701" s="33" t="s">
        <v>202</v>
      </c>
      <c r="I4701" s="33" t="s">
        <v>122</v>
      </c>
      <c r="J4701" s="33" t="s">
        <v>18002</v>
      </c>
      <c r="K4701" s="33" t="s">
        <v>3291</v>
      </c>
      <c r="L4701" s="33" t="s">
        <v>4522</v>
      </c>
      <c r="M4701" s="33" t="s">
        <v>21</v>
      </c>
      <c r="N4701" s="33" t="s">
        <v>18003</v>
      </c>
      <c r="O4701" s="33" t="s">
        <v>372</v>
      </c>
      <c r="P4701" s="33" t="s">
        <v>30089</v>
      </c>
      <c r="Q4701" s="40" t="s">
        <v>18004</v>
      </c>
      <c r="R4701" s="33" t="s">
        <v>512</v>
      </c>
      <c r="S4701" s="33" t="s">
        <v>29</v>
      </c>
      <c r="T4701" s="33" t="s">
        <v>26586</v>
      </c>
      <c r="U4701" s="33" t="s">
        <v>26570</v>
      </c>
      <c r="V4701" s="33" t="s">
        <v>26573</v>
      </c>
      <c r="W4701" s="33" t="s">
        <v>94</v>
      </c>
      <c r="X4701" s="33">
        <v>865</v>
      </c>
      <c r="Z4701" s="33" t="s">
        <v>42966</v>
      </c>
      <c r="AA4701" s="33">
        <v>2966</v>
      </c>
    </row>
    <row r="4702" spans="1:27" ht="12" customHeight="1" x14ac:dyDescent="0.15">
      <c r="A4702" s="33" t="s">
        <v>218</v>
      </c>
      <c r="B4702" s="33">
        <v>48</v>
      </c>
      <c r="C4702" s="33" t="s">
        <v>14</v>
      </c>
      <c r="D4702" s="33" t="s">
        <v>79</v>
      </c>
      <c r="E4702" s="33" t="s">
        <v>219</v>
      </c>
      <c r="F4702" s="67">
        <v>42270</v>
      </c>
      <c r="G4702" s="33" t="s">
        <v>18019</v>
      </c>
      <c r="H4702" s="33" t="s">
        <v>220</v>
      </c>
      <c r="I4702" s="33" t="s">
        <v>221</v>
      </c>
      <c r="J4702" s="33" t="s">
        <v>9363</v>
      </c>
      <c r="K4702" s="33" t="s">
        <v>564</v>
      </c>
      <c r="L4702" s="33" t="s">
        <v>222</v>
      </c>
      <c r="M4702" s="33" t="s">
        <v>21</v>
      </c>
      <c r="N4702" s="33" t="s">
        <v>18020</v>
      </c>
      <c r="O4702" s="33" t="s">
        <v>372</v>
      </c>
      <c r="P4702" s="33" t="s">
        <v>30089</v>
      </c>
      <c r="Q4702" s="40" t="s">
        <v>18021</v>
      </c>
      <c r="R4702" s="33" t="s">
        <v>94</v>
      </c>
      <c r="S4702" s="33" t="s">
        <v>22</v>
      </c>
      <c r="T4702" s="33" t="s">
        <v>26774</v>
      </c>
      <c r="U4702" s="33" t="s">
        <v>26572</v>
      </c>
      <c r="V4702" s="33" t="s">
        <v>26573</v>
      </c>
      <c r="W4702" s="33" t="s">
        <v>94</v>
      </c>
      <c r="X4702" s="33">
        <v>857</v>
      </c>
      <c r="Z4702" s="33" t="s">
        <v>42966</v>
      </c>
      <c r="AA4702" s="33">
        <v>2962</v>
      </c>
    </row>
    <row r="4703" spans="1:27" ht="12" customHeight="1" x14ac:dyDescent="0.15">
      <c r="A4703" s="33" t="s">
        <v>223</v>
      </c>
      <c r="B4703" s="33">
        <v>45</v>
      </c>
      <c r="C4703" s="33" t="s">
        <v>14</v>
      </c>
      <c r="D4703" s="33" t="s">
        <v>31</v>
      </c>
      <c r="F4703" s="67">
        <v>42270</v>
      </c>
      <c r="G4703" s="33" t="s">
        <v>22137</v>
      </c>
      <c r="H4703" s="33" t="s">
        <v>224</v>
      </c>
      <c r="I4703" s="33" t="s">
        <v>225</v>
      </c>
      <c r="J4703" s="33" t="s">
        <v>18015</v>
      </c>
      <c r="K4703" s="33" t="s">
        <v>18016</v>
      </c>
      <c r="L4703" s="33" t="s">
        <v>226</v>
      </c>
      <c r="M4703" s="33" t="s">
        <v>21</v>
      </c>
      <c r="N4703" s="33" t="s">
        <v>18017</v>
      </c>
      <c r="O4703" s="33" t="s">
        <v>372</v>
      </c>
      <c r="P4703" s="33" t="s">
        <v>30089</v>
      </c>
      <c r="Q4703" s="40" t="s">
        <v>18018</v>
      </c>
      <c r="R4703" s="33" t="s">
        <v>94</v>
      </c>
      <c r="S4703" s="33" t="s">
        <v>22</v>
      </c>
      <c r="T4703" s="33" t="s">
        <v>26781</v>
      </c>
      <c r="U4703" s="33" t="s">
        <v>26572</v>
      </c>
      <c r="V4703" s="33" t="s">
        <v>26573</v>
      </c>
      <c r="W4703" s="33" t="s">
        <v>94</v>
      </c>
      <c r="X4703" s="33">
        <v>861</v>
      </c>
      <c r="Z4703" s="33" t="s">
        <v>42967</v>
      </c>
      <c r="AA4703" s="33">
        <v>2960</v>
      </c>
    </row>
    <row r="4704" spans="1:27" ht="12" customHeight="1" x14ac:dyDescent="0.15">
      <c r="A4704" s="33" t="s">
        <v>208</v>
      </c>
      <c r="B4704" s="33">
        <v>19</v>
      </c>
      <c r="C4704" s="33" t="s">
        <v>14</v>
      </c>
      <c r="D4704" s="33" t="s">
        <v>79</v>
      </c>
      <c r="E4704" s="33" t="s">
        <v>209</v>
      </c>
      <c r="F4704" s="67">
        <v>42270</v>
      </c>
      <c r="G4704" s="33" t="s">
        <v>210</v>
      </c>
      <c r="H4704" s="33" t="s">
        <v>211</v>
      </c>
      <c r="I4704" s="33" t="s">
        <v>46</v>
      </c>
      <c r="J4704" s="33" t="s">
        <v>18012</v>
      </c>
      <c r="K4704" s="33" t="s">
        <v>1487</v>
      </c>
      <c r="L4704" s="33" t="s">
        <v>212</v>
      </c>
      <c r="M4704" s="33" t="s">
        <v>21</v>
      </c>
      <c r="N4704" s="33" t="s">
        <v>18013</v>
      </c>
      <c r="O4704" s="33" t="s">
        <v>372</v>
      </c>
      <c r="P4704" s="33" t="s">
        <v>30089</v>
      </c>
      <c r="Q4704" s="40" t="s">
        <v>18014</v>
      </c>
      <c r="R4704" s="33" t="s">
        <v>94</v>
      </c>
      <c r="S4704" s="33" t="s">
        <v>12</v>
      </c>
      <c r="T4704" s="33" t="s">
        <v>29705</v>
      </c>
      <c r="U4704" s="33" t="s">
        <v>26570</v>
      </c>
      <c r="V4704" s="33" t="s">
        <v>26574</v>
      </c>
      <c r="W4704" s="33" t="s">
        <v>94</v>
      </c>
      <c r="X4704" s="33">
        <v>859</v>
      </c>
      <c r="Z4704" s="33" t="s">
        <v>42968</v>
      </c>
      <c r="AA4704" s="33">
        <v>2963</v>
      </c>
    </row>
    <row r="4705" spans="1:27" ht="12" customHeight="1" x14ac:dyDescent="0.15">
      <c r="A4705" s="33" t="s">
        <v>203</v>
      </c>
      <c r="B4705" s="33">
        <v>28</v>
      </c>
      <c r="C4705" s="33" t="s">
        <v>14</v>
      </c>
      <c r="D4705" s="33" t="s">
        <v>79</v>
      </c>
      <c r="E4705" s="33" t="s">
        <v>204</v>
      </c>
      <c r="F4705" s="67">
        <v>42270</v>
      </c>
      <c r="G4705" s="33" t="s">
        <v>22138</v>
      </c>
      <c r="H4705" s="33" t="s">
        <v>205</v>
      </c>
      <c r="I4705" s="33" t="s">
        <v>206</v>
      </c>
      <c r="J4705" s="33" t="s">
        <v>18005</v>
      </c>
      <c r="K4705" s="33" t="s">
        <v>3496</v>
      </c>
      <c r="L4705" s="33" t="s">
        <v>207</v>
      </c>
      <c r="M4705" s="33" t="s">
        <v>21</v>
      </c>
      <c r="N4705" s="33" t="s">
        <v>18006</v>
      </c>
      <c r="O4705" s="33" t="s">
        <v>372</v>
      </c>
      <c r="P4705" s="33" t="s">
        <v>30089</v>
      </c>
      <c r="Q4705" s="40" t="s">
        <v>18007</v>
      </c>
      <c r="R4705" s="33" t="s">
        <v>512</v>
      </c>
      <c r="S4705" s="33" t="s">
        <v>22</v>
      </c>
      <c r="T4705" s="33" t="s">
        <v>26781</v>
      </c>
      <c r="U4705" s="33" t="s">
        <v>26575</v>
      </c>
      <c r="V4705" s="33" t="s">
        <v>26573</v>
      </c>
      <c r="W4705" s="33" t="s">
        <v>94</v>
      </c>
      <c r="X4705" s="33">
        <v>862</v>
      </c>
      <c r="Z4705" s="33" t="s">
        <v>42966</v>
      </c>
      <c r="AA4705" s="33">
        <v>2961</v>
      </c>
    </row>
    <row r="4706" spans="1:27" ht="12" customHeight="1" x14ac:dyDescent="0.15">
      <c r="A4706" s="33" t="s">
        <v>213</v>
      </c>
      <c r="B4706" s="33">
        <v>35</v>
      </c>
      <c r="C4706" s="33" t="s">
        <v>14</v>
      </c>
      <c r="D4706" s="33" t="s">
        <v>31</v>
      </c>
      <c r="E4706" s="33" t="s">
        <v>214</v>
      </c>
      <c r="F4706" s="67">
        <v>42270</v>
      </c>
      <c r="G4706" s="33" t="s">
        <v>215</v>
      </c>
      <c r="H4706" s="33" t="s">
        <v>216</v>
      </c>
      <c r="I4706" s="33" t="s">
        <v>67</v>
      </c>
      <c r="J4706" s="33" t="s">
        <v>18008</v>
      </c>
      <c r="K4706" s="33" t="s">
        <v>18009</v>
      </c>
      <c r="L4706" s="33" t="s">
        <v>217</v>
      </c>
      <c r="M4706" s="33" t="s">
        <v>21</v>
      </c>
      <c r="N4706" s="33" t="s">
        <v>18010</v>
      </c>
      <c r="O4706" s="33" t="s">
        <v>372</v>
      </c>
      <c r="P4706" s="33" t="s">
        <v>30089</v>
      </c>
      <c r="Q4706" s="40" t="s">
        <v>18011</v>
      </c>
      <c r="R4706" s="33" t="s">
        <v>94</v>
      </c>
      <c r="S4706" s="33" t="s">
        <v>22</v>
      </c>
      <c r="T4706" s="33" t="s">
        <v>26781</v>
      </c>
      <c r="U4706" s="33" t="s">
        <v>26572</v>
      </c>
      <c r="V4706" s="33" t="s">
        <v>26573</v>
      </c>
      <c r="W4706" s="33" t="s">
        <v>94</v>
      </c>
      <c r="X4706" s="33">
        <v>858</v>
      </c>
      <c r="Z4706" s="33" t="s">
        <v>42968</v>
      </c>
      <c r="AA4706" s="33">
        <v>2959</v>
      </c>
    </row>
    <row r="4707" spans="1:27" ht="12" customHeight="1" x14ac:dyDescent="0.15">
      <c r="A4707" s="33" t="s">
        <v>243</v>
      </c>
      <c r="B4707" s="33">
        <v>33</v>
      </c>
      <c r="C4707" s="33" t="s">
        <v>14</v>
      </c>
      <c r="D4707" s="33" t="s">
        <v>31</v>
      </c>
      <c r="E4707" s="33" t="s">
        <v>244</v>
      </c>
      <c r="F4707" s="67">
        <v>42269</v>
      </c>
      <c r="G4707" s="33" t="s">
        <v>245</v>
      </c>
      <c r="H4707" s="33" t="s">
        <v>246</v>
      </c>
      <c r="I4707" s="33" t="s">
        <v>56</v>
      </c>
      <c r="J4707" s="33" t="s">
        <v>18027</v>
      </c>
      <c r="K4707" s="33" t="s">
        <v>11165</v>
      </c>
      <c r="L4707" s="33" t="s">
        <v>247</v>
      </c>
      <c r="M4707" s="33" t="s">
        <v>21</v>
      </c>
      <c r="N4707" s="33" t="s">
        <v>18028</v>
      </c>
      <c r="O4707" s="33" t="s">
        <v>950</v>
      </c>
      <c r="P4707" s="33" t="s">
        <v>30089</v>
      </c>
      <c r="Q4707" s="40" t="s">
        <v>18029</v>
      </c>
      <c r="R4707" s="33" t="s">
        <v>512</v>
      </c>
      <c r="S4707" s="33" t="s">
        <v>22</v>
      </c>
      <c r="T4707" s="33" t="s">
        <v>26781</v>
      </c>
      <c r="U4707" s="33" t="s">
        <v>26572</v>
      </c>
      <c r="V4707" s="33" t="s">
        <v>26573</v>
      </c>
      <c r="W4707" s="33" t="s">
        <v>94</v>
      </c>
      <c r="X4707" s="33">
        <v>854</v>
      </c>
      <c r="Z4707" s="33" t="s">
        <v>42968</v>
      </c>
      <c r="AA4707" s="33">
        <v>2956</v>
      </c>
    </row>
    <row r="4708" spans="1:27" ht="12" customHeight="1" x14ac:dyDescent="0.15">
      <c r="A4708" s="33" t="s">
        <v>231</v>
      </c>
      <c r="B4708" s="33">
        <v>55</v>
      </c>
      <c r="C4708" s="33" t="s">
        <v>14</v>
      </c>
      <c r="D4708" s="33" t="s">
        <v>31</v>
      </c>
      <c r="E4708" s="33" t="s">
        <v>18827</v>
      </c>
      <c r="F4708" s="67">
        <v>42269</v>
      </c>
      <c r="G4708" s="33" t="s">
        <v>232</v>
      </c>
      <c r="H4708" s="33" t="s">
        <v>233</v>
      </c>
      <c r="I4708" s="33" t="s">
        <v>39</v>
      </c>
      <c r="J4708" s="33">
        <v>96007</v>
      </c>
      <c r="K4708" s="33" t="s">
        <v>6887</v>
      </c>
      <c r="L4708" s="33" t="s">
        <v>234</v>
      </c>
      <c r="M4708" s="33" t="s">
        <v>21</v>
      </c>
      <c r="N4708" s="33" t="s">
        <v>19104</v>
      </c>
      <c r="O4708" s="33" t="s">
        <v>372</v>
      </c>
      <c r="P4708" s="33" t="s">
        <v>30089</v>
      </c>
      <c r="Q4708" s="40" t="str">
        <f>HYPERLINK("http://www.redding.com/news/local-news/happy-valley-road-closing-in-search-for-armed-suspect","http://www.redding.com/news/local-news/happy-valley-road-closing-in-search-for-armed-suspect")</f>
        <v>http://www.redding.com/news/local-news/happy-valley-road-closing-in-search-for-armed-suspect</v>
      </c>
      <c r="R4708" s="33" t="s">
        <v>512</v>
      </c>
      <c r="S4708" s="33" t="s">
        <v>22</v>
      </c>
      <c r="T4708" s="33" t="s">
        <v>26781</v>
      </c>
      <c r="U4708" s="33" t="s">
        <v>26572</v>
      </c>
      <c r="V4708" s="33" t="s">
        <v>26573</v>
      </c>
      <c r="W4708" s="33" t="s">
        <v>94</v>
      </c>
      <c r="X4708" s="33">
        <v>855</v>
      </c>
      <c r="Z4708" s="33" t="s">
        <v>42967</v>
      </c>
      <c r="AA4708" s="33">
        <v>2957</v>
      </c>
    </row>
    <row r="4709" spans="1:27" ht="12" customHeight="1" x14ac:dyDescent="0.15">
      <c r="A4709" s="33" t="s">
        <v>248</v>
      </c>
      <c r="B4709" s="33">
        <v>26</v>
      </c>
      <c r="C4709" s="33" t="s">
        <v>14</v>
      </c>
      <c r="D4709" s="33" t="s">
        <v>31</v>
      </c>
      <c r="F4709" s="67">
        <v>42269</v>
      </c>
      <c r="G4709" s="33" t="s">
        <v>22139</v>
      </c>
      <c r="H4709" s="33" t="s">
        <v>249</v>
      </c>
      <c r="I4709" s="33" t="s">
        <v>250</v>
      </c>
      <c r="J4709" s="33" t="s">
        <v>7712</v>
      </c>
      <c r="K4709" s="33" t="s">
        <v>527</v>
      </c>
      <c r="L4709" s="33" t="s">
        <v>251</v>
      </c>
      <c r="M4709" s="33" t="s">
        <v>21</v>
      </c>
      <c r="N4709" s="33" t="s">
        <v>18025</v>
      </c>
      <c r="O4709" s="33" t="s">
        <v>372</v>
      </c>
      <c r="P4709" s="33" t="s">
        <v>30089</v>
      </c>
      <c r="Q4709" s="40" t="s">
        <v>18026</v>
      </c>
      <c r="R4709" s="33" t="s">
        <v>94</v>
      </c>
      <c r="S4709" s="33" t="s">
        <v>22</v>
      </c>
      <c r="T4709" s="33" t="s">
        <v>26781</v>
      </c>
      <c r="U4709" s="33" t="s">
        <v>26572</v>
      </c>
      <c r="V4709" s="33" t="s">
        <v>26573</v>
      </c>
      <c r="W4709" s="33" t="s">
        <v>94</v>
      </c>
      <c r="X4709" s="33">
        <v>856</v>
      </c>
      <c r="Z4709" s="33" t="s">
        <v>42968</v>
      </c>
      <c r="AA4709" s="33">
        <v>2958</v>
      </c>
    </row>
    <row r="4710" spans="1:27" ht="12" customHeight="1" x14ac:dyDescent="0.15">
      <c r="A4710" s="33" t="s">
        <v>227</v>
      </c>
      <c r="B4710" s="33">
        <v>32</v>
      </c>
      <c r="C4710" s="33" t="s">
        <v>14</v>
      </c>
      <c r="D4710" s="33" t="s">
        <v>79</v>
      </c>
      <c r="E4710" s="33" t="s">
        <v>228</v>
      </c>
      <c r="F4710" s="67">
        <v>42269</v>
      </c>
      <c r="G4710" s="33" t="s">
        <v>18022</v>
      </c>
      <c r="H4710" s="33" t="s">
        <v>671</v>
      </c>
      <c r="I4710" s="33" t="s">
        <v>39</v>
      </c>
      <c r="J4710" s="33" t="s">
        <v>7929</v>
      </c>
      <c r="K4710" s="33" t="s">
        <v>558</v>
      </c>
      <c r="L4710" s="33" t="s">
        <v>230</v>
      </c>
      <c r="M4710" s="33" t="s">
        <v>21</v>
      </c>
      <c r="N4710" s="33" t="s">
        <v>18023</v>
      </c>
      <c r="O4710" s="33" t="s">
        <v>950</v>
      </c>
      <c r="P4710" s="33" t="s">
        <v>30089</v>
      </c>
      <c r="Q4710" s="40" t="s">
        <v>18024</v>
      </c>
      <c r="R4710" s="33" t="s">
        <v>94</v>
      </c>
      <c r="S4710" s="33" t="s">
        <v>22</v>
      </c>
      <c r="T4710" s="33" t="s">
        <v>26781</v>
      </c>
      <c r="U4710" s="33" t="s">
        <v>26572</v>
      </c>
      <c r="V4710" s="33" t="s">
        <v>26571</v>
      </c>
      <c r="W4710" s="33" t="s">
        <v>94</v>
      </c>
      <c r="X4710" s="33">
        <v>853</v>
      </c>
      <c r="Z4710" s="33" t="s">
        <v>42966</v>
      </c>
      <c r="AA4710" s="33">
        <v>2955</v>
      </c>
    </row>
    <row r="4711" spans="1:27" ht="12" customHeight="1" x14ac:dyDescent="0.15">
      <c r="A4711" s="33" t="s">
        <v>263</v>
      </c>
      <c r="B4711" s="33">
        <v>24</v>
      </c>
      <c r="C4711" s="33" t="s">
        <v>14</v>
      </c>
      <c r="D4711" s="33" t="s">
        <v>42</v>
      </c>
      <c r="E4711" s="33" t="s">
        <v>264</v>
      </c>
      <c r="F4711" s="67">
        <v>42268</v>
      </c>
      <c r="G4711" s="33" t="s">
        <v>265</v>
      </c>
      <c r="H4711" s="33" t="s">
        <v>266</v>
      </c>
      <c r="I4711" s="33" t="s">
        <v>67</v>
      </c>
      <c r="J4711" s="33" t="s">
        <v>18041</v>
      </c>
      <c r="K4711" s="33" t="s">
        <v>266</v>
      </c>
      <c r="L4711" s="33" t="s">
        <v>267</v>
      </c>
      <c r="M4711" s="33" t="s">
        <v>21</v>
      </c>
      <c r="N4711" s="33" t="s">
        <v>18042</v>
      </c>
      <c r="O4711" s="33" t="s">
        <v>372</v>
      </c>
      <c r="P4711" s="33" t="s">
        <v>30089</v>
      </c>
      <c r="Q4711" s="40" t="s">
        <v>18043</v>
      </c>
      <c r="R4711" s="33" t="s">
        <v>512</v>
      </c>
      <c r="S4711" s="33" t="s">
        <v>22</v>
      </c>
      <c r="T4711" s="33" t="s">
        <v>26781</v>
      </c>
      <c r="U4711" s="33" t="s">
        <v>26572</v>
      </c>
      <c r="V4711" s="33" t="s">
        <v>26573</v>
      </c>
      <c r="W4711" s="33" t="s">
        <v>94</v>
      </c>
      <c r="X4711" s="33">
        <v>840</v>
      </c>
      <c r="Z4711" s="33" t="s">
        <v>42968</v>
      </c>
      <c r="AA4711" s="33">
        <v>2949</v>
      </c>
    </row>
    <row r="4712" spans="1:27" ht="12" customHeight="1" x14ac:dyDescent="0.15">
      <c r="A4712" s="33" t="s">
        <v>239</v>
      </c>
      <c r="B4712" s="33">
        <v>26</v>
      </c>
      <c r="C4712" s="33" t="s">
        <v>14</v>
      </c>
      <c r="D4712" s="33" t="s">
        <v>31</v>
      </c>
      <c r="E4712" s="33" t="s">
        <v>240</v>
      </c>
      <c r="F4712" s="67">
        <v>42268</v>
      </c>
      <c r="G4712" s="33" t="s">
        <v>18030</v>
      </c>
      <c r="H4712" s="33" t="s">
        <v>241</v>
      </c>
      <c r="I4712" s="33" t="s">
        <v>56</v>
      </c>
      <c r="J4712" s="33" t="s">
        <v>18031</v>
      </c>
      <c r="K4712" s="33" t="s">
        <v>3571</v>
      </c>
      <c r="L4712" s="33" t="s">
        <v>242</v>
      </c>
      <c r="M4712" s="33" t="s">
        <v>21</v>
      </c>
      <c r="N4712" s="33" t="s">
        <v>18032</v>
      </c>
      <c r="O4712" s="33" t="s">
        <v>372</v>
      </c>
      <c r="P4712" s="33" t="s">
        <v>30089</v>
      </c>
      <c r="Q4712" s="40" t="s">
        <v>18033</v>
      </c>
      <c r="R4712" s="33" t="s">
        <v>94</v>
      </c>
      <c r="S4712" s="33" t="s">
        <v>22</v>
      </c>
      <c r="T4712" s="33" t="s">
        <v>26781</v>
      </c>
      <c r="U4712" s="33" t="s">
        <v>26572</v>
      </c>
      <c r="V4712" s="33" t="s">
        <v>26573</v>
      </c>
      <c r="W4712" s="33" t="s">
        <v>94</v>
      </c>
      <c r="X4712" s="33">
        <v>851</v>
      </c>
      <c r="Z4712" s="33" t="s">
        <v>42967</v>
      </c>
      <c r="AA4712" s="33">
        <v>2952</v>
      </c>
    </row>
    <row r="4713" spans="1:27" ht="12" customHeight="1" x14ac:dyDescent="0.15">
      <c r="A4713" s="33" t="s">
        <v>259</v>
      </c>
      <c r="B4713" s="33">
        <v>21</v>
      </c>
      <c r="C4713" s="33" t="s">
        <v>14</v>
      </c>
      <c r="D4713" s="33" t="s">
        <v>31</v>
      </c>
      <c r="E4713" s="33" t="s">
        <v>260</v>
      </c>
      <c r="F4713" s="67">
        <v>42268</v>
      </c>
      <c r="G4713" s="33" t="s">
        <v>18038</v>
      </c>
      <c r="H4713" s="33" t="s">
        <v>261</v>
      </c>
      <c r="I4713" s="33" t="s">
        <v>67</v>
      </c>
      <c r="J4713" s="33" t="s">
        <v>15322</v>
      </c>
      <c r="K4713" s="33" t="s">
        <v>6396</v>
      </c>
      <c r="L4713" s="33" t="s">
        <v>262</v>
      </c>
      <c r="M4713" s="33" t="s">
        <v>4966</v>
      </c>
      <c r="N4713" s="33" t="s">
        <v>18039</v>
      </c>
      <c r="O4713" s="33" t="s">
        <v>372</v>
      </c>
      <c r="P4713" s="33" t="s">
        <v>30089</v>
      </c>
      <c r="Q4713" s="40" t="s">
        <v>18040</v>
      </c>
      <c r="R4713" s="33" t="s">
        <v>94</v>
      </c>
      <c r="S4713" s="33" t="s">
        <v>12</v>
      </c>
      <c r="T4713" s="33" t="s">
        <v>29705</v>
      </c>
      <c r="U4713" s="33" t="s">
        <v>26572</v>
      </c>
      <c r="V4713" s="33" t="s">
        <v>26573</v>
      </c>
      <c r="W4713" s="33" t="s">
        <v>94</v>
      </c>
      <c r="X4713" s="33">
        <v>850</v>
      </c>
      <c r="Z4713" s="33" t="s">
        <v>42968</v>
      </c>
      <c r="AA4713" s="33">
        <v>2954</v>
      </c>
    </row>
    <row r="4714" spans="1:27" ht="12" customHeight="1" x14ac:dyDescent="0.15">
      <c r="A4714" s="33" t="s">
        <v>252</v>
      </c>
      <c r="B4714" s="33">
        <v>23</v>
      </c>
      <c r="C4714" s="33" t="s">
        <v>103</v>
      </c>
      <c r="D4714" s="33" t="s">
        <v>31</v>
      </c>
      <c r="E4714" s="33" t="s">
        <v>253</v>
      </c>
      <c r="F4714" s="67">
        <v>42268</v>
      </c>
      <c r="G4714" s="33" t="s">
        <v>254</v>
      </c>
      <c r="H4714" s="33" t="s">
        <v>255</v>
      </c>
      <c r="I4714" s="33" t="s">
        <v>39</v>
      </c>
      <c r="J4714" s="33" t="s">
        <v>5377</v>
      </c>
      <c r="K4714" s="33" t="s">
        <v>59</v>
      </c>
      <c r="L4714" s="33" t="s">
        <v>256</v>
      </c>
      <c r="M4714" s="33" t="s">
        <v>21</v>
      </c>
      <c r="N4714" s="33" t="s">
        <v>18047</v>
      </c>
      <c r="O4714" s="33" t="s">
        <v>372</v>
      </c>
      <c r="P4714" s="33" t="s">
        <v>30089</v>
      </c>
      <c r="Q4714" s="40" t="s">
        <v>18048</v>
      </c>
      <c r="R4714" s="33" t="s">
        <v>94</v>
      </c>
      <c r="S4714" s="33" t="s">
        <v>22</v>
      </c>
      <c r="T4714" s="33" t="s">
        <v>26781</v>
      </c>
      <c r="U4714" s="33" t="s">
        <v>26572</v>
      </c>
      <c r="V4714" s="33" t="s">
        <v>26573</v>
      </c>
      <c r="W4714" s="33" t="s">
        <v>94</v>
      </c>
      <c r="X4714" s="33">
        <v>849</v>
      </c>
      <c r="Z4714" s="33" t="s">
        <v>42968</v>
      </c>
      <c r="AA4714" s="33">
        <v>2951</v>
      </c>
    </row>
    <row r="4715" spans="1:27" ht="12" customHeight="1" x14ac:dyDescent="0.15">
      <c r="A4715" s="33" t="s">
        <v>257</v>
      </c>
      <c r="B4715" s="33">
        <v>27</v>
      </c>
      <c r="C4715" s="33" t="s">
        <v>14</v>
      </c>
      <c r="D4715" s="33" t="s">
        <v>31</v>
      </c>
      <c r="E4715" s="33" t="s">
        <v>258</v>
      </c>
      <c r="F4715" s="67">
        <v>42268</v>
      </c>
      <c r="G4715" s="33" t="s">
        <v>254</v>
      </c>
      <c r="H4715" s="33" t="s">
        <v>255</v>
      </c>
      <c r="I4715" s="33" t="s">
        <v>39</v>
      </c>
      <c r="J4715" s="33" t="s">
        <v>5377</v>
      </c>
      <c r="K4715" s="33" t="s">
        <v>59</v>
      </c>
      <c r="L4715" s="33" t="s">
        <v>256</v>
      </c>
      <c r="M4715" s="33" t="s">
        <v>21</v>
      </c>
      <c r="N4715" s="33" t="s">
        <v>18049</v>
      </c>
      <c r="O4715" s="33" t="s">
        <v>372</v>
      </c>
      <c r="P4715" s="33" t="s">
        <v>30089</v>
      </c>
      <c r="Q4715" s="40" t="s">
        <v>18048</v>
      </c>
      <c r="R4715" s="33" t="s">
        <v>94</v>
      </c>
      <c r="S4715" s="33" t="s">
        <v>22</v>
      </c>
      <c r="T4715" s="33" t="s">
        <v>26781</v>
      </c>
      <c r="U4715" s="33" t="s">
        <v>26572</v>
      </c>
      <c r="V4715" s="33" t="s">
        <v>26573</v>
      </c>
      <c r="W4715" s="33" t="s">
        <v>94</v>
      </c>
      <c r="X4715" s="33">
        <v>848</v>
      </c>
      <c r="Z4715" s="33" t="s">
        <v>42968</v>
      </c>
      <c r="AA4715" s="33">
        <v>2950</v>
      </c>
    </row>
    <row r="4716" spans="1:27" ht="12" customHeight="1" x14ac:dyDescent="0.15">
      <c r="A4716" s="33" t="s">
        <v>235</v>
      </c>
      <c r="B4716" s="33">
        <v>34</v>
      </c>
      <c r="C4716" s="33" t="s">
        <v>14</v>
      </c>
      <c r="D4716" s="33" t="s">
        <v>42</v>
      </c>
      <c r="E4716" s="33" t="s">
        <v>236</v>
      </c>
      <c r="F4716" s="67">
        <v>42268</v>
      </c>
      <c r="G4716" s="33" t="s">
        <v>18034</v>
      </c>
      <c r="H4716" s="33" t="s">
        <v>237</v>
      </c>
      <c r="I4716" s="33" t="s">
        <v>56</v>
      </c>
      <c r="J4716" s="33" t="s">
        <v>18035</v>
      </c>
      <c r="K4716" s="33" t="s">
        <v>1736</v>
      </c>
      <c r="L4716" s="33" t="s">
        <v>238</v>
      </c>
      <c r="M4716" s="33" t="s">
        <v>21</v>
      </c>
      <c r="N4716" s="33" t="s">
        <v>18036</v>
      </c>
      <c r="O4716" s="33" t="s">
        <v>372</v>
      </c>
      <c r="P4716" s="33" t="s">
        <v>30089</v>
      </c>
      <c r="Q4716" s="40" t="s">
        <v>18037</v>
      </c>
      <c r="R4716" s="33" t="s">
        <v>94</v>
      </c>
      <c r="S4716" s="33" t="s">
        <v>12</v>
      </c>
      <c r="T4716" s="33" t="s">
        <v>26626</v>
      </c>
      <c r="U4716" s="33" t="s">
        <v>26570</v>
      </c>
      <c r="V4716" s="33" t="s">
        <v>26574</v>
      </c>
      <c r="W4716" s="33" t="s">
        <v>94</v>
      </c>
      <c r="X4716" s="33">
        <v>852</v>
      </c>
      <c r="Z4716" s="33" t="s">
        <v>42968</v>
      </c>
      <c r="AA4716" s="33">
        <v>2953</v>
      </c>
    </row>
    <row r="4717" spans="1:27" ht="12" customHeight="1" x14ac:dyDescent="0.15">
      <c r="A4717" s="33" t="s">
        <v>268</v>
      </c>
      <c r="B4717" s="33">
        <v>56</v>
      </c>
      <c r="C4717" s="33" t="s">
        <v>14</v>
      </c>
      <c r="D4717" s="33" t="s">
        <v>31</v>
      </c>
      <c r="E4717" s="33" t="s">
        <v>269</v>
      </c>
      <c r="F4717" s="67">
        <v>42267</v>
      </c>
      <c r="G4717" s="33" t="s">
        <v>22140</v>
      </c>
      <c r="H4717" s="33" t="s">
        <v>270</v>
      </c>
      <c r="I4717" s="33" t="s">
        <v>198</v>
      </c>
      <c r="J4717" s="33" t="s">
        <v>18050</v>
      </c>
      <c r="K4717" s="33" t="s">
        <v>1117</v>
      </c>
      <c r="L4717" s="33" t="s">
        <v>18390</v>
      </c>
      <c r="M4717" s="33" t="s">
        <v>21</v>
      </c>
      <c r="N4717" s="33" t="s">
        <v>18051</v>
      </c>
      <c r="O4717" s="33" t="s">
        <v>372</v>
      </c>
      <c r="P4717" s="33" t="s">
        <v>30089</v>
      </c>
      <c r="Q4717" s="40" t="s">
        <v>18052</v>
      </c>
      <c r="R4717" s="33" t="s">
        <v>94</v>
      </c>
      <c r="S4717" s="33" t="s">
        <v>22</v>
      </c>
      <c r="T4717" s="33" t="s">
        <v>26781</v>
      </c>
      <c r="U4717" s="33" t="s">
        <v>26572</v>
      </c>
      <c r="V4717" s="33" t="s">
        <v>26573</v>
      </c>
      <c r="W4717" s="33" t="s">
        <v>94</v>
      </c>
      <c r="X4717" s="33">
        <v>847</v>
      </c>
      <c r="Z4717" s="33" t="s">
        <v>42968</v>
      </c>
      <c r="AA4717" s="33">
        <v>2948</v>
      </c>
    </row>
    <row r="4718" spans="1:27" ht="12" customHeight="1" x14ac:dyDescent="0.15">
      <c r="A4718" s="33" t="s">
        <v>272</v>
      </c>
      <c r="B4718" s="33">
        <v>23</v>
      </c>
      <c r="C4718" s="33" t="s">
        <v>14</v>
      </c>
      <c r="D4718" s="33" t="s">
        <v>31</v>
      </c>
      <c r="E4718" s="33" t="s">
        <v>273</v>
      </c>
      <c r="F4718" s="67">
        <v>42267</v>
      </c>
      <c r="G4718" s="33" t="s">
        <v>274</v>
      </c>
      <c r="H4718" s="33" t="s">
        <v>275</v>
      </c>
      <c r="I4718" s="33" t="s">
        <v>225</v>
      </c>
      <c r="J4718" s="33" t="s">
        <v>18053</v>
      </c>
      <c r="K4718" s="33" t="s">
        <v>4386</v>
      </c>
      <c r="L4718" s="33" t="s">
        <v>276</v>
      </c>
      <c r="M4718" s="33" t="s">
        <v>21</v>
      </c>
      <c r="N4718" s="33" t="s">
        <v>18054</v>
      </c>
      <c r="O4718" s="33" t="s">
        <v>372</v>
      </c>
      <c r="P4718" s="33" t="s">
        <v>30089</v>
      </c>
      <c r="Q4718" s="40" t="s">
        <v>18055</v>
      </c>
      <c r="R4718" s="33" t="s">
        <v>94</v>
      </c>
      <c r="S4718" s="33" t="s">
        <v>22</v>
      </c>
      <c r="T4718" s="33" t="s">
        <v>26781</v>
      </c>
      <c r="U4718" s="33" t="s">
        <v>26572</v>
      </c>
      <c r="V4718" s="33" t="s">
        <v>26573</v>
      </c>
      <c r="W4718" s="33" t="s">
        <v>512</v>
      </c>
      <c r="X4718" s="33">
        <v>845</v>
      </c>
      <c r="Z4718" s="33" t="s">
        <v>42968</v>
      </c>
      <c r="AA4718" s="33">
        <v>2947</v>
      </c>
    </row>
    <row r="4719" spans="1:27" ht="12" customHeight="1" x14ac:dyDescent="0.15">
      <c r="A4719" s="33" t="s">
        <v>284</v>
      </c>
      <c r="B4719" s="33">
        <v>57</v>
      </c>
      <c r="C4719" s="33" t="s">
        <v>14</v>
      </c>
      <c r="D4719" s="33" t="s">
        <v>31</v>
      </c>
      <c r="E4719" s="33" t="s">
        <v>285</v>
      </c>
      <c r="F4719" s="67">
        <v>42266</v>
      </c>
      <c r="G4719" s="33" t="s">
        <v>18071</v>
      </c>
      <c r="H4719" s="33" t="s">
        <v>18072</v>
      </c>
      <c r="I4719" s="33" t="s">
        <v>88</v>
      </c>
      <c r="J4719" s="33" t="s">
        <v>18073</v>
      </c>
      <c r="K4719" s="33" t="s">
        <v>107</v>
      </c>
      <c r="L4719" s="33" t="s">
        <v>18074</v>
      </c>
      <c r="M4719" s="33" t="s">
        <v>21</v>
      </c>
      <c r="N4719" s="33" t="s">
        <v>18075</v>
      </c>
      <c r="O4719" s="33" t="s">
        <v>372</v>
      </c>
      <c r="P4719" s="33" t="s">
        <v>30089</v>
      </c>
      <c r="Q4719" s="40" t="s">
        <v>18076</v>
      </c>
      <c r="R4719" s="33" t="s">
        <v>512</v>
      </c>
      <c r="S4719" s="33" t="s">
        <v>22</v>
      </c>
      <c r="T4719" s="33" t="s">
        <v>26781</v>
      </c>
      <c r="U4719" s="33" t="s">
        <v>26572</v>
      </c>
      <c r="V4719" s="33" t="s">
        <v>26573</v>
      </c>
      <c r="W4719" s="33" t="s">
        <v>512</v>
      </c>
      <c r="X4719" s="33">
        <v>846</v>
      </c>
      <c r="Z4719" s="33" t="s">
        <v>42967</v>
      </c>
      <c r="AA4719" s="33">
        <v>2945</v>
      </c>
    </row>
    <row r="4720" spans="1:27" ht="12" customHeight="1" x14ac:dyDescent="0.15">
      <c r="A4720" s="33" t="s">
        <v>279</v>
      </c>
      <c r="B4720" s="33">
        <v>50</v>
      </c>
      <c r="C4720" s="33" t="s">
        <v>14</v>
      </c>
      <c r="D4720" s="33" t="s">
        <v>128</v>
      </c>
      <c r="E4720" s="33" t="s">
        <v>280</v>
      </c>
      <c r="F4720" s="67">
        <v>42266</v>
      </c>
      <c r="G4720" s="33" t="s">
        <v>18056</v>
      </c>
      <c r="H4720" s="33" t="s">
        <v>281</v>
      </c>
      <c r="I4720" s="33" t="s">
        <v>282</v>
      </c>
      <c r="J4720" s="33" t="s">
        <v>18057</v>
      </c>
      <c r="K4720" s="33" t="s">
        <v>2004</v>
      </c>
      <c r="L4720" s="33" t="s">
        <v>283</v>
      </c>
      <c r="M4720" s="33" t="s">
        <v>2909</v>
      </c>
      <c r="N4720" s="33" t="s">
        <v>18058</v>
      </c>
      <c r="O4720" s="33" t="s">
        <v>372</v>
      </c>
      <c r="P4720" s="33" t="s">
        <v>30089</v>
      </c>
      <c r="Q4720" s="40" t="s">
        <v>18059</v>
      </c>
      <c r="R4720" s="33" t="s">
        <v>94</v>
      </c>
      <c r="S4720" s="33" t="s">
        <v>12</v>
      </c>
      <c r="T4720" s="54" t="s">
        <v>29705</v>
      </c>
      <c r="Z4720" s="33" t="s">
        <v>42968</v>
      </c>
      <c r="AA4720" s="33">
        <v>2946</v>
      </c>
    </row>
    <row r="4721" spans="1:27" ht="12" customHeight="1" x14ac:dyDescent="0.15">
      <c r="A4721" s="33" t="s">
        <v>277</v>
      </c>
      <c r="B4721" s="33">
        <v>46</v>
      </c>
      <c r="C4721" s="33" t="s">
        <v>14</v>
      </c>
      <c r="D4721" s="33" t="s">
        <v>31</v>
      </c>
      <c r="E4721" s="33" t="s">
        <v>278</v>
      </c>
      <c r="F4721" s="67">
        <v>42266</v>
      </c>
      <c r="G4721" s="33" t="s">
        <v>18060</v>
      </c>
      <c r="H4721" s="33" t="s">
        <v>18061</v>
      </c>
      <c r="I4721" s="33" t="s">
        <v>19</v>
      </c>
      <c r="J4721" s="33" t="s">
        <v>18062</v>
      </c>
      <c r="K4721" s="33" t="s">
        <v>15980</v>
      </c>
      <c r="L4721" s="33" t="s">
        <v>18063</v>
      </c>
      <c r="M4721" s="33" t="s">
        <v>21</v>
      </c>
      <c r="N4721" s="33" t="s">
        <v>18064</v>
      </c>
      <c r="O4721" s="33" t="s">
        <v>372</v>
      </c>
      <c r="P4721" s="33" t="s">
        <v>30089</v>
      </c>
      <c r="Q4721" s="40" t="s">
        <v>18065</v>
      </c>
      <c r="R4721" s="33" t="s">
        <v>23</v>
      </c>
      <c r="S4721" s="33" t="s">
        <v>22</v>
      </c>
      <c r="T4721" s="33" t="s">
        <v>26781</v>
      </c>
      <c r="U4721" s="33" t="s">
        <v>26572</v>
      </c>
      <c r="V4721" s="33" t="s">
        <v>26571</v>
      </c>
      <c r="W4721" s="33" t="s">
        <v>94</v>
      </c>
      <c r="X4721" s="33">
        <v>842</v>
      </c>
      <c r="Z4721" s="33" t="s">
        <v>42968</v>
      </c>
      <c r="AA4721" s="33">
        <v>2944</v>
      </c>
    </row>
    <row r="4722" spans="1:27" ht="12" customHeight="1" x14ac:dyDescent="0.15">
      <c r="A4722" s="33" t="s">
        <v>286</v>
      </c>
      <c r="B4722" s="33">
        <v>32</v>
      </c>
      <c r="C4722" s="33" t="s">
        <v>14</v>
      </c>
      <c r="D4722" s="33" t="s">
        <v>31</v>
      </c>
      <c r="E4722" s="33" t="s">
        <v>287</v>
      </c>
      <c r="F4722" s="67">
        <v>42265</v>
      </c>
      <c r="G4722" s="33" t="s">
        <v>18077</v>
      </c>
      <c r="H4722" s="33" t="s">
        <v>288</v>
      </c>
      <c r="I4722" s="33" t="s">
        <v>39</v>
      </c>
      <c r="J4722" s="33" t="s">
        <v>3982</v>
      </c>
      <c r="K4722" s="33" t="s">
        <v>288</v>
      </c>
      <c r="L4722" s="33" t="s">
        <v>289</v>
      </c>
      <c r="M4722" s="33" t="s">
        <v>21</v>
      </c>
      <c r="N4722" s="33" t="s">
        <v>18078</v>
      </c>
      <c r="O4722" s="33" t="s">
        <v>372</v>
      </c>
      <c r="P4722" s="33" t="s">
        <v>30089</v>
      </c>
      <c r="Q4722" s="40" t="s">
        <v>18079</v>
      </c>
      <c r="R4722" s="33" t="s">
        <v>94</v>
      </c>
      <c r="S4722" s="33" t="s">
        <v>351</v>
      </c>
      <c r="T4722" s="33" t="s">
        <v>26867</v>
      </c>
      <c r="U4722" s="33" t="s">
        <v>26575</v>
      </c>
      <c r="V4722" s="33" t="s">
        <v>26571</v>
      </c>
      <c r="W4722" s="33" t="s">
        <v>94</v>
      </c>
      <c r="X4722" s="33">
        <v>843</v>
      </c>
      <c r="Z4722" s="33" t="s">
        <v>42968</v>
      </c>
      <c r="AA4722" s="33">
        <v>2943</v>
      </c>
    </row>
    <row r="4723" spans="1:27" ht="12" customHeight="1" x14ac:dyDescent="0.15">
      <c r="A4723" s="33" t="s">
        <v>295</v>
      </c>
      <c r="B4723" s="33">
        <v>47</v>
      </c>
      <c r="C4723" s="33" t="s">
        <v>14</v>
      </c>
      <c r="D4723" s="33" t="s">
        <v>31</v>
      </c>
      <c r="E4723" s="33" t="s">
        <v>296</v>
      </c>
      <c r="F4723" s="67">
        <v>42265</v>
      </c>
      <c r="G4723" s="33" t="s">
        <v>18066</v>
      </c>
      <c r="H4723" s="33" t="s">
        <v>297</v>
      </c>
      <c r="I4723" s="33" t="s">
        <v>298</v>
      </c>
      <c r="J4723" s="33" t="s">
        <v>18067</v>
      </c>
      <c r="K4723" s="33" t="s">
        <v>18068</v>
      </c>
      <c r="L4723" s="33" t="s">
        <v>299</v>
      </c>
      <c r="M4723" s="33" t="s">
        <v>21</v>
      </c>
      <c r="N4723" s="33" t="s">
        <v>18069</v>
      </c>
      <c r="O4723" s="33" t="s">
        <v>372</v>
      </c>
      <c r="P4723" s="33" t="s">
        <v>30089</v>
      </c>
      <c r="Q4723" s="40" t="s">
        <v>18070</v>
      </c>
      <c r="R4723" s="33" t="s">
        <v>94</v>
      </c>
      <c r="S4723" s="33" t="s">
        <v>29</v>
      </c>
      <c r="T4723" s="33" t="s">
        <v>26575</v>
      </c>
      <c r="U4723" s="33" t="s">
        <v>26575</v>
      </c>
      <c r="V4723" s="33" t="s">
        <v>26573</v>
      </c>
      <c r="W4723" s="33" t="s">
        <v>94</v>
      </c>
      <c r="X4723" s="33">
        <v>844</v>
      </c>
      <c r="Z4723" s="33" t="s">
        <v>42967</v>
      </c>
      <c r="AA4723" s="33">
        <v>2942</v>
      </c>
    </row>
    <row r="4724" spans="1:27" ht="12" customHeight="1" x14ac:dyDescent="0.15">
      <c r="A4724" s="33" t="s">
        <v>301</v>
      </c>
      <c r="B4724" s="33">
        <v>50</v>
      </c>
      <c r="C4724" s="33" t="s">
        <v>14</v>
      </c>
      <c r="D4724" s="33" t="s">
        <v>31</v>
      </c>
      <c r="E4724" s="33" t="s">
        <v>302</v>
      </c>
      <c r="F4724" s="67">
        <v>42264</v>
      </c>
      <c r="G4724" s="33" t="s">
        <v>303</v>
      </c>
      <c r="H4724" s="33" t="s">
        <v>304</v>
      </c>
      <c r="I4724" s="33" t="s">
        <v>51</v>
      </c>
      <c r="J4724" s="33" t="s">
        <v>18085</v>
      </c>
      <c r="K4724" s="33" t="s">
        <v>18086</v>
      </c>
      <c r="L4724" s="33" t="s">
        <v>3627</v>
      </c>
      <c r="M4724" s="33" t="s">
        <v>21</v>
      </c>
      <c r="N4724" s="33" t="s">
        <v>18087</v>
      </c>
      <c r="O4724" s="33" t="s">
        <v>950</v>
      </c>
      <c r="P4724" s="33" t="s">
        <v>30089</v>
      </c>
      <c r="Q4724" s="40" t="s">
        <v>18088</v>
      </c>
      <c r="R4724" s="33" t="s">
        <v>904</v>
      </c>
      <c r="S4724" s="33" t="s">
        <v>22</v>
      </c>
      <c r="T4724" s="33" t="s">
        <v>26781</v>
      </c>
      <c r="U4724" s="33" t="s">
        <v>26572</v>
      </c>
      <c r="V4724" s="33" t="s">
        <v>26573</v>
      </c>
      <c r="W4724" s="33" t="s">
        <v>94</v>
      </c>
      <c r="X4724" s="33">
        <v>838</v>
      </c>
      <c r="Z4724" s="33" t="s">
        <v>42967</v>
      </c>
      <c r="AA4724" s="33">
        <v>2940</v>
      </c>
    </row>
    <row r="4725" spans="1:27" ht="12" customHeight="1" x14ac:dyDescent="0.15">
      <c r="A4725" s="33" t="s">
        <v>290</v>
      </c>
      <c r="B4725" s="33">
        <v>61</v>
      </c>
      <c r="C4725" s="33" t="s">
        <v>14</v>
      </c>
      <c r="D4725" s="33" t="s">
        <v>31</v>
      </c>
      <c r="E4725" s="33" t="s">
        <v>291</v>
      </c>
      <c r="F4725" s="67">
        <v>42264</v>
      </c>
      <c r="G4725" s="33" t="s">
        <v>292</v>
      </c>
      <c r="H4725" s="33" t="s">
        <v>293</v>
      </c>
      <c r="I4725" s="33" t="s">
        <v>294</v>
      </c>
      <c r="J4725" s="33" t="s">
        <v>18080</v>
      </c>
      <c r="K4725" s="33" t="s">
        <v>18081</v>
      </c>
      <c r="L4725" s="33" t="s">
        <v>18082</v>
      </c>
      <c r="M4725" s="33" t="s">
        <v>21</v>
      </c>
      <c r="N4725" s="33" t="s">
        <v>18083</v>
      </c>
      <c r="O4725" s="33" t="s">
        <v>372</v>
      </c>
      <c r="P4725" s="33" t="s">
        <v>30089</v>
      </c>
      <c r="Q4725" s="40" t="s">
        <v>18084</v>
      </c>
      <c r="R4725" s="33" t="s">
        <v>94</v>
      </c>
      <c r="S4725" s="33" t="s">
        <v>22</v>
      </c>
      <c r="T4725" s="33" t="s">
        <v>26781</v>
      </c>
      <c r="U4725" s="33" t="s">
        <v>26572</v>
      </c>
      <c r="V4725" s="33" t="s">
        <v>26573</v>
      </c>
      <c r="W4725" s="33" t="s">
        <v>94</v>
      </c>
      <c r="X4725" s="33">
        <v>839</v>
      </c>
      <c r="Z4725" s="33" t="s">
        <v>42967</v>
      </c>
      <c r="AA4725" s="33">
        <v>2941</v>
      </c>
    </row>
    <row r="4726" spans="1:27" ht="12" customHeight="1" x14ac:dyDescent="0.15">
      <c r="A4726" s="33" t="s">
        <v>316</v>
      </c>
      <c r="B4726" s="33">
        <v>31</v>
      </c>
      <c r="C4726" s="33" t="s">
        <v>14</v>
      </c>
      <c r="D4726" s="33" t="s">
        <v>31</v>
      </c>
      <c r="E4726" s="33" t="s">
        <v>317</v>
      </c>
      <c r="F4726" s="67">
        <v>42263</v>
      </c>
      <c r="G4726" s="33" t="s">
        <v>318</v>
      </c>
      <c r="H4726" s="33" t="s">
        <v>319</v>
      </c>
      <c r="I4726" s="33" t="s">
        <v>132</v>
      </c>
      <c r="J4726" s="33" t="s">
        <v>18095</v>
      </c>
      <c r="K4726" s="33" t="s">
        <v>1924</v>
      </c>
      <c r="L4726" s="33" t="s">
        <v>320</v>
      </c>
      <c r="M4726" s="33" t="s">
        <v>21</v>
      </c>
      <c r="N4726" s="33" t="s">
        <v>18096</v>
      </c>
      <c r="O4726" s="33" t="s">
        <v>950</v>
      </c>
      <c r="P4726" s="33" t="s">
        <v>30089</v>
      </c>
      <c r="Q4726" s="40" t="s">
        <v>18097</v>
      </c>
      <c r="R4726" s="33" t="s">
        <v>512</v>
      </c>
      <c r="S4726" s="33" t="s">
        <v>22</v>
      </c>
      <c r="T4726" s="33" t="s">
        <v>26781</v>
      </c>
      <c r="U4726" s="33" t="s">
        <v>26572</v>
      </c>
      <c r="V4726" s="33" t="s">
        <v>26574</v>
      </c>
      <c r="W4726" s="33" t="s">
        <v>94</v>
      </c>
      <c r="X4726" s="33">
        <v>835</v>
      </c>
      <c r="Z4726" s="33" t="s">
        <v>42967</v>
      </c>
      <c r="AA4726" s="33">
        <v>2939</v>
      </c>
    </row>
    <row r="4727" spans="1:27" ht="12" customHeight="1" x14ac:dyDescent="0.15">
      <c r="A4727" s="33" t="s">
        <v>326</v>
      </c>
      <c r="B4727" s="33">
        <v>32</v>
      </c>
      <c r="C4727" s="33" t="s">
        <v>14</v>
      </c>
      <c r="D4727" s="33" t="s">
        <v>42</v>
      </c>
      <c r="F4727" s="67">
        <v>42262</v>
      </c>
      <c r="G4727" s="33" t="s">
        <v>327</v>
      </c>
      <c r="H4727" s="33" t="s">
        <v>92</v>
      </c>
      <c r="I4727" s="33" t="s">
        <v>39</v>
      </c>
      <c r="J4727" s="33">
        <v>91402</v>
      </c>
      <c r="K4727" s="33" t="s">
        <v>92</v>
      </c>
      <c r="L4727" s="33" t="s">
        <v>93</v>
      </c>
      <c r="M4727" s="33" t="s">
        <v>21</v>
      </c>
      <c r="N4727" s="33" t="s">
        <v>19125</v>
      </c>
      <c r="P4727" s="33" t="s">
        <v>30089</v>
      </c>
      <c r="Q4727" s="40" t="str">
        <f>HYPERLINK("http://abc7.com/news/suspect-killed-in-panorama-city-officer-involved-shooting/986303/","http://abc7.com/news/suspect-killed-in-panorama-city-officer-involved-shooting/986303/")</f>
        <v>http://abc7.com/news/suspect-killed-in-panorama-city-officer-involved-shooting/986303/</v>
      </c>
      <c r="R4727" s="33" t="s">
        <v>23</v>
      </c>
      <c r="S4727" s="33" t="s">
        <v>22</v>
      </c>
      <c r="T4727" s="33" t="s">
        <v>26781</v>
      </c>
      <c r="U4727" s="33" t="s">
        <v>26572</v>
      </c>
      <c r="V4727" s="33" t="s">
        <v>26573</v>
      </c>
      <c r="W4727" s="33" t="s">
        <v>512</v>
      </c>
      <c r="X4727" s="33">
        <v>832</v>
      </c>
      <c r="Z4727" s="33" t="s">
        <v>42966</v>
      </c>
      <c r="AA4727" s="33">
        <v>2934</v>
      </c>
    </row>
    <row r="4728" spans="1:27" ht="12" customHeight="1" x14ac:dyDescent="0.15">
      <c r="A4728" s="33" t="s">
        <v>313</v>
      </c>
      <c r="B4728" s="33">
        <v>27</v>
      </c>
      <c r="C4728" s="33" t="s">
        <v>14</v>
      </c>
      <c r="D4728" s="33" t="s">
        <v>79</v>
      </c>
      <c r="E4728" s="33" t="s">
        <v>314</v>
      </c>
      <c r="F4728" s="67">
        <v>42262</v>
      </c>
      <c r="G4728" s="33" t="s">
        <v>22142</v>
      </c>
      <c r="H4728" s="33" t="s">
        <v>315</v>
      </c>
      <c r="I4728" s="33" t="s">
        <v>19</v>
      </c>
      <c r="J4728" s="33" t="s">
        <v>18089</v>
      </c>
      <c r="K4728" s="33" t="s">
        <v>2888</v>
      </c>
      <c r="L4728" s="33" t="s">
        <v>18389</v>
      </c>
      <c r="M4728" s="33" t="s">
        <v>21</v>
      </c>
      <c r="N4728" s="33" t="s">
        <v>18090</v>
      </c>
      <c r="O4728" s="33" t="s">
        <v>372</v>
      </c>
      <c r="P4728" s="33" t="s">
        <v>30089</v>
      </c>
      <c r="Q4728" s="40" t="s">
        <v>18091</v>
      </c>
      <c r="R4728" s="33" t="s">
        <v>23</v>
      </c>
      <c r="S4728" s="33" t="s">
        <v>22</v>
      </c>
      <c r="T4728" s="33" t="s">
        <v>26781</v>
      </c>
      <c r="U4728" s="33" t="s">
        <v>26570</v>
      </c>
      <c r="V4728" s="33" t="s">
        <v>26573</v>
      </c>
      <c r="W4728" s="33" t="s">
        <v>94</v>
      </c>
      <c r="X4728" s="33">
        <v>837</v>
      </c>
      <c r="Z4728" s="33" t="s">
        <v>42968</v>
      </c>
      <c r="AA4728" s="33">
        <v>2937</v>
      </c>
    </row>
    <row r="4729" spans="1:27" ht="12" customHeight="1" x14ac:dyDescent="0.15">
      <c r="A4729" s="33" t="s">
        <v>300</v>
      </c>
      <c r="B4729" s="33">
        <v>39</v>
      </c>
      <c r="C4729" s="33" t="s">
        <v>14</v>
      </c>
      <c r="D4729" s="33" t="s">
        <v>42</v>
      </c>
      <c r="F4729" s="67">
        <v>42262</v>
      </c>
      <c r="G4729" s="33" t="s">
        <v>22141</v>
      </c>
      <c r="H4729" s="33" t="s">
        <v>92</v>
      </c>
      <c r="I4729" s="33" t="s">
        <v>39</v>
      </c>
      <c r="J4729" s="33" t="s">
        <v>18092</v>
      </c>
      <c r="K4729" s="33" t="s">
        <v>92</v>
      </c>
      <c r="L4729" s="33" t="s">
        <v>93</v>
      </c>
      <c r="M4729" s="33" t="s">
        <v>21</v>
      </c>
      <c r="N4729" s="33" t="s">
        <v>18093</v>
      </c>
      <c r="O4729" s="33" t="s">
        <v>950</v>
      </c>
      <c r="P4729" s="33" t="s">
        <v>30089</v>
      </c>
      <c r="Q4729" s="40" t="s">
        <v>18094</v>
      </c>
      <c r="R4729" s="33" t="s">
        <v>94</v>
      </c>
      <c r="S4729" s="33" t="s">
        <v>22</v>
      </c>
      <c r="T4729" s="33" t="s">
        <v>26781</v>
      </c>
      <c r="U4729" s="33" t="s">
        <v>26572</v>
      </c>
      <c r="V4729" s="33" t="s">
        <v>26573</v>
      </c>
      <c r="W4729" s="33" t="s">
        <v>94</v>
      </c>
      <c r="X4729" s="33">
        <v>834</v>
      </c>
      <c r="Z4729" s="33" t="s">
        <v>42966</v>
      </c>
      <c r="AA4729" s="33">
        <v>2936</v>
      </c>
    </row>
    <row r="4730" spans="1:27" ht="12" customHeight="1" x14ac:dyDescent="0.15">
      <c r="A4730" s="33" t="s">
        <v>311</v>
      </c>
      <c r="B4730" s="33">
        <v>51</v>
      </c>
      <c r="C4730" s="33" t="s">
        <v>14</v>
      </c>
      <c r="D4730" s="33" t="s">
        <v>42</v>
      </c>
      <c r="F4730" s="67">
        <v>42262</v>
      </c>
      <c r="G4730" s="33" t="s">
        <v>312</v>
      </c>
      <c r="H4730" s="33" t="s">
        <v>196</v>
      </c>
      <c r="I4730" s="33" t="s">
        <v>56</v>
      </c>
      <c r="J4730" s="33">
        <v>33185</v>
      </c>
      <c r="K4730" s="33" t="s">
        <v>148</v>
      </c>
      <c r="L4730" s="33" t="s">
        <v>149</v>
      </c>
      <c r="M4730" s="33" t="s">
        <v>21</v>
      </c>
      <c r="N4730" s="33" t="s">
        <v>19105</v>
      </c>
      <c r="O4730" s="33" t="s">
        <v>372</v>
      </c>
      <c r="P4730" s="33" t="s">
        <v>30089</v>
      </c>
      <c r="Q4730" s="40" t="str">
        <f>HYPERLINK("http://www.local10.com/news/man-killed-in-policeinvolved-shooting-in-sw-miamidade/35298042","http://www.local10.com/news/man-killed-in-policeinvolved-shooting-in-sw-miamidade/35298042")</f>
        <v>http://www.local10.com/news/man-killed-in-policeinvolved-shooting-in-sw-miamidade/35298042</v>
      </c>
      <c r="R4730" s="33" t="s">
        <v>512</v>
      </c>
      <c r="S4730" s="33" t="s">
        <v>22</v>
      </c>
      <c r="T4730" s="33" t="s">
        <v>26781</v>
      </c>
      <c r="U4730" s="33" t="s">
        <v>26575</v>
      </c>
      <c r="V4730" s="33" t="s">
        <v>26571</v>
      </c>
      <c r="W4730" s="33" t="s">
        <v>94</v>
      </c>
      <c r="X4730" s="33">
        <v>833</v>
      </c>
      <c r="Z4730" s="33" t="s">
        <v>42968</v>
      </c>
      <c r="AA4730" s="33">
        <v>2935</v>
      </c>
    </row>
    <row r="4731" spans="1:27" ht="12" customHeight="1" x14ac:dyDescent="0.15">
      <c r="A4731" s="33" t="s">
        <v>331</v>
      </c>
      <c r="B4731" s="33">
        <v>21</v>
      </c>
      <c r="C4731" s="33" t="s">
        <v>14</v>
      </c>
      <c r="D4731" s="33" t="s">
        <v>79</v>
      </c>
      <c r="E4731" s="33" t="s">
        <v>332</v>
      </c>
      <c r="F4731" s="67">
        <v>42262</v>
      </c>
      <c r="G4731" s="33" t="s">
        <v>18098</v>
      </c>
      <c r="H4731" s="33" t="s">
        <v>333</v>
      </c>
      <c r="I4731" s="33" t="s">
        <v>19</v>
      </c>
      <c r="J4731" s="33" t="s">
        <v>18099</v>
      </c>
      <c r="K4731" s="33" t="s">
        <v>18100</v>
      </c>
      <c r="L4731" s="33" t="s">
        <v>18101</v>
      </c>
      <c r="M4731" s="33" t="s">
        <v>21</v>
      </c>
      <c r="N4731" s="33" t="s">
        <v>18102</v>
      </c>
      <c r="O4731" s="33" t="s">
        <v>372</v>
      </c>
      <c r="P4731" s="33" t="s">
        <v>30089</v>
      </c>
      <c r="Q4731" s="40" t="s">
        <v>18103</v>
      </c>
      <c r="R4731" s="33" t="s">
        <v>23</v>
      </c>
      <c r="S4731" s="33" t="s">
        <v>22</v>
      </c>
      <c r="T4731" s="33" t="s">
        <v>27757</v>
      </c>
      <c r="U4731" s="33" t="s">
        <v>26572</v>
      </c>
      <c r="V4731" s="33" t="s">
        <v>26573</v>
      </c>
      <c r="W4731" s="33" t="s">
        <v>94</v>
      </c>
      <c r="X4731" s="33">
        <v>830</v>
      </c>
      <c r="Z4731" s="33" t="s">
        <v>42968</v>
      </c>
      <c r="AA4731" s="33">
        <v>2938</v>
      </c>
    </row>
    <row r="4732" spans="1:27" ht="12" customHeight="1" x14ac:dyDescent="0.15">
      <c r="A4732" s="33" t="s">
        <v>343</v>
      </c>
      <c r="B4732" s="33">
        <v>25</v>
      </c>
      <c r="C4732" s="33" t="s">
        <v>14</v>
      </c>
      <c r="D4732" s="33" t="s">
        <v>79</v>
      </c>
      <c r="E4732" s="33" t="s">
        <v>344</v>
      </c>
      <c r="F4732" s="67">
        <v>42261</v>
      </c>
      <c r="G4732" s="33" t="s">
        <v>345</v>
      </c>
      <c r="H4732" s="33" t="s">
        <v>346</v>
      </c>
      <c r="I4732" s="33" t="s">
        <v>294</v>
      </c>
      <c r="J4732" s="33">
        <v>42038</v>
      </c>
      <c r="K4732" s="33" t="s">
        <v>16439</v>
      </c>
      <c r="L4732" s="33" t="s">
        <v>23</v>
      </c>
      <c r="M4732" s="33" t="s">
        <v>21</v>
      </c>
      <c r="N4732" s="33" t="s">
        <v>19127</v>
      </c>
      <c r="O4732" s="33" t="s">
        <v>372</v>
      </c>
      <c r="P4732" s="33" t="s">
        <v>30089</v>
      </c>
      <c r="Q4732" s="40" t="str">
        <f>HYPERLINK("http://www.courier-journal.com/story/news/local/2015/09/14/ky-trooper-shot-western-kentucky-after-chase/72241764/","http://www.courier-journal.com/story/news/local/2015/09/14/ky-trooper-shot-western-kentucky-after-chase/72241764/")</f>
        <v>http://www.courier-journal.com/story/news/local/2015/09/14/ky-trooper-shot-western-kentucky-after-chase/72241764/</v>
      </c>
      <c r="R4732" s="33" t="s">
        <v>23</v>
      </c>
      <c r="S4732" s="33" t="s">
        <v>22</v>
      </c>
      <c r="T4732" s="33" t="s">
        <v>26781</v>
      </c>
      <c r="U4732" s="33" t="s">
        <v>26572</v>
      </c>
      <c r="V4732" s="33" t="s">
        <v>26571</v>
      </c>
      <c r="W4732" s="33" t="s">
        <v>94</v>
      </c>
      <c r="X4732" s="33">
        <v>828</v>
      </c>
      <c r="Z4732" s="33" t="s">
        <v>42967</v>
      </c>
      <c r="AA4732" s="33">
        <v>2932</v>
      </c>
    </row>
    <row r="4733" spans="1:27" ht="12" customHeight="1" x14ac:dyDescent="0.15">
      <c r="A4733" s="33" t="s">
        <v>321</v>
      </c>
      <c r="B4733" s="33">
        <v>28</v>
      </c>
      <c r="C4733" s="33" t="s">
        <v>14</v>
      </c>
      <c r="D4733" s="33" t="s">
        <v>31</v>
      </c>
      <c r="E4733" s="33" t="s">
        <v>322</v>
      </c>
      <c r="F4733" s="67">
        <v>42261</v>
      </c>
      <c r="G4733" s="33" t="s">
        <v>323</v>
      </c>
      <c r="H4733" s="33" t="s">
        <v>324</v>
      </c>
      <c r="I4733" s="33" t="s">
        <v>39</v>
      </c>
      <c r="J4733" s="33">
        <v>92311</v>
      </c>
      <c r="K4733" s="33" t="s">
        <v>288</v>
      </c>
      <c r="L4733" s="33" t="s">
        <v>325</v>
      </c>
      <c r="M4733" s="33" t="s">
        <v>21</v>
      </c>
      <c r="N4733" s="33" t="s">
        <v>19106</v>
      </c>
      <c r="O4733" s="33" t="s">
        <v>372</v>
      </c>
      <c r="P4733" s="33" t="s">
        <v>30089</v>
      </c>
      <c r="Q4733" s="40" t="str">
        <f>HYPERLINK("http://www.vvng.com/barstow-man-killed-in-officer-involved-shooting/","http://www.vvng.com/barstow-man-killed-in-officer-involved-shooting/")</f>
        <v>http://www.vvng.com/barstow-man-killed-in-officer-involved-shooting/</v>
      </c>
      <c r="R4733" s="33" t="s">
        <v>512</v>
      </c>
      <c r="S4733" s="33" t="s">
        <v>12</v>
      </c>
      <c r="T4733" s="33" t="s">
        <v>29705</v>
      </c>
      <c r="U4733" s="33" t="s">
        <v>26572</v>
      </c>
      <c r="V4733" s="33" t="s">
        <v>26573</v>
      </c>
      <c r="W4733" s="33" t="s">
        <v>94</v>
      </c>
      <c r="X4733" s="33">
        <v>829</v>
      </c>
      <c r="Z4733" s="33" t="s">
        <v>42968</v>
      </c>
      <c r="AA4733" s="33">
        <v>2933</v>
      </c>
    </row>
    <row r="4734" spans="1:27" ht="12" customHeight="1" x14ac:dyDescent="0.15">
      <c r="A4734" s="33" t="s">
        <v>339</v>
      </c>
      <c r="B4734" s="33">
        <v>39</v>
      </c>
      <c r="C4734" s="33" t="s">
        <v>14</v>
      </c>
      <c r="D4734" s="33" t="s">
        <v>31</v>
      </c>
      <c r="F4734" s="67">
        <v>42260</v>
      </c>
      <c r="G4734" s="33" t="s">
        <v>340</v>
      </c>
      <c r="H4734" s="33" t="s">
        <v>341</v>
      </c>
      <c r="I4734" s="33" t="s">
        <v>342</v>
      </c>
      <c r="J4734" s="33">
        <v>52356</v>
      </c>
      <c r="K4734" s="33" t="s">
        <v>107</v>
      </c>
      <c r="L4734" s="33" t="s">
        <v>108</v>
      </c>
      <c r="M4734" s="33" t="s">
        <v>21</v>
      </c>
      <c r="N4734" s="33" t="s">
        <v>19128</v>
      </c>
      <c r="P4734" s="33" t="s">
        <v>30089</v>
      </c>
      <c r="Q4734" s="40" t="str">
        <f>HYPERLINK("http://www.kwwl.com/story/30019391/2015/09/13/officer-involved-shooting-near-wellman-leaves-one-person-dead","http://www.kwwl.com/story/30019391/2015/09/13/officer-involved-shooting-near-wellman-leaves-one-person-dead")</f>
        <v>http://www.kwwl.com/story/30019391/2015/09/13/officer-involved-shooting-near-wellman-leaves-one-person-dead</v>
      </c>
      <c r="R4734" s="33" t="s">
        <v>512</v>
      </c>
      <c r="S4734" s="33" t="s">
        <v>22</v>
      </c>
      <c r="T4734" s="33" t="s">
        <v>26781</v>
      </c>
      <c r="U4734" s="33" t="s">
        <v>26572</v>
      </c>
      <c r="V4734" s="33" t="s">
        <v>26573</v>
      </c>
      <c r="W4734" s="33" t="s">
        <v>94</v>
      </c>
      <c r="X4734" s="33">
        <v>821</v>
      </c>
      <c r="Z4734" s="33" t="s">
        <v>42967</v>
      </c>
      <c r="AA4734" s="33">
        <v>2929</v>
      </c>
    </row>
    <row r="4735" spans="1:27" ht="12" customHeight="1" x14ac:dyDescent="0.15">
      <c r="A4735" s="33" t="s">
        <v>364</v>
      </c>
      <c r="B4735" s="33">
        <v>67</v>
      </c>
      <c r="C4735" s="33" t="s">
        <v>14</v>
      </c>
      <c r="D4735" s="33" t="s">
        <v>79</v>
      </c>
      <c r="E4735" s="33" t="s">
        <v>357</v>
      </c>
      <c r="F4735" s="67">
        <v>42260</v>
      </c>
      <c r="G4735" s="33" t="s">
        <v>365</v>
      </c>
      <c r="H4735" s="33" t="s">
        <v>366</v>
      </c>
      <c r="I4735" s="33" t="s">
        <v>367</v>
      </c>
      <c r="J4735" s="33" t="s">
        <v>368</v>
      </c>
      <c r="K4735" s="33" t="s">
        <v>369</v>
      </c>
      <c r="L4735" s="33" t="s">
        <v>370</v>
      </c>
      <c r="M4735" s="33" t="s">
        <v>21</v>
      </c>
      <c r="N4735" s="33" t="s">
        <v>371</v>
      </c>
      <c r="O4735" s="33" t="s">
        <v>372</v>
      </c>
      <c r="P4735" s="33" t="s">
        <v>30089</v>
      </c>
      <c r="Q4735" s="40" t="s">
        <v>374</v>
      </c>
      <c r="R4735" s="33" t="s">
        <v>512</v>
      </c>
      <c r="S4735" s="33" t="s">
        <v>22</v>
      </c>
      <c r="T4735" s="33" t="s">
        <v>26781</v>
      </c>
      <c r="U4735" s="33" t="s">
        <v>26572</v>
      </c>
      <c r="V4735" s="33" t="s">
        <v>26573</v>
      </c>
      <c r="W4735" s="33" t="s">
        <v>94</v>
      </c>
      <c r="X4735" s="33">
        <v>825</v>
      </c>
      <c r="Z4735" s="33" t="s">
        <v>42967</v>
      </c>
      <c r="AA4735" s="33">
        <v>2930</v>
      </c>
    </row>
    <row r="4736" spans="1:27" ht="12" customHeight="1" x14ac:dyDescent="0.15">
      <c r="A4736" s="33" t="s">
        <v>347</v>
      </c>
      <c r="B4736" s="33">
        <v>29</v>
      </c>
      <c r="C4736" s="33" t="s">
        <v>14</v>
      </c>
      <c r="D4736" s="33" t="s">
        <v>31</v>
      </c>
      <c r="E4736" s="33" t="s">
        <v>348</v>
      </c>
      <c r="F4736" s="67">
        <v>42260</v>
      </c>
      <c r="G4736" s="33" t="s">
        <v>23</v>
      </c>
      <c r="H4736" s="33" t="s">
        <v>349</v>
      </c>
      <c r="I4736" s="33" t="s">
        <v>67</v>
      </c>
      <c r="J4736" s="33">
        <v>77531</v>
      </c>
      <c r="K4736" s="33" t="s">
        <v>4537</v>
      </c>
      <c r="L4736" s="33" t="s">
        <v>350</v>
      </c>
      <c r="M4736" s="33" t="s">
        <v>21</v>
      </c>
      <c r="N4736" s="33" t="s">
        <v>19126</v>
      </c>
      <c r="P4736" s="33" t="s">
        <v>30089</v>
      </c>
      <c r="Q4736" s="40" t="str">
        <f>HYPERLINK("http://www.tylerpaper.com/TP-Breaking+Silent/224089/jeffrey-brooks-fugitive-shot-and-killed-by-law-enforcement-officers-near-clute","http://www.tylerpaper.com/TP-Breaking+Silent/224089/jeffrey-brooks-fugitive-shot-and-killed-by-law-enforcement-officers-near-clute")</f>
        <v>http://www.tylerpaper.com/TP-Breaking+Silent/224089/jeffrey-brooks-fugitive-shot-and-killed-by-law-enforcement-officers-near-clute</v>
      </c>
      <c r="R4736" s="33" t="s">
        <v>23</v>
      </c>
      <c r="S4736" s="33" t="s">
        <v>22</v>
      </c>
      <c r="T4736" s="33" t="s">
        <v>26781</v>
      </c>
      <c r="U4736" s="33" t="s">
        <v>26572</v>
      </c>
      <c r="V4736" s="33" t="s">
        <v>26571</v>
      </c>
      <c r="W4736" s="33" t="s">
        <v>94</v>
      </c>
      <c r="X4736" s="33">
        <v>827</v>
      </c>
      <c r="Z4736" s="33" t="s">
        <v>42968</v>
      </c>
      <c r="AA4736" s="33">
        <v>2931</v>
      </c>
    </row>
    <row r="4737" spans="1:27" ht="12" customHeight="1" x14ac:dyDescent="0.15">
      <c r="A4737" s="33" t="s">
        <v>352</v>
      </c>
      <c r="B4737" s="33">
        <v>23</v>
      </c>
      <c r="C4737" s="33" t="s">
        <v>14</v>
      </c>
      <c r="D4737" s="33" t="s">
        <v>31</v>
      </c>
      <c r="E4737" s="33" t="s">
        <v>353</v>
      </c>
      <c r="F4737" s="67">
        <v>42259</v>
      </c>
      <c r="G4737" s="33" t="s">
        <v>18104</v>
      </c>
      <c r="H4737" s="33" t="s">
        <v>354</v>
      </c>
      <c r="I4737" s="33" t="s">
        <v>88</v>
      </c>
      <c r="J4737" s="33" t="s">
        <v>18105</v>
      </c>
      <c r="K4737" s="33" t="s">
        <v>18106</v>
      </c>
      <c r="L4737" s="33" t="s">
        <v>355</v>
      </c>
      <c r="M4737" s="33" t="s">
        <v>21</v>
      </c>
      <c r="N4737" s="33" t="s">
        <v>36753</v>
      </c>
      <c r="O4737" s="33" t="s">
        <v>372</v>
      </c>
      <c r="P4737" s="33" t="s">
        <v>30089</v>
      </c>
      <c r="Q4737" s="40" t="s">
        <v>18107</v>
      </c>
      <c r="R4737" s="33" t="s">
        <v>23</v>
      </c>
      <c r="S4737" s="33" t="s">
        <v>29</v>
      </c>
      <c r="T4737" s="33" t="s">
        <v>26575</v>
      </c>
      <c r="U4737" s="33" t="s">
        <v>26575</v>
      </c>
      <c r="V4737" s="33" t="s">
        <v>19228</v>
      </c>
      <c r="W4737" s="33" t="s">
        <v>94</v>
      </c>
      <c r="X4737" s="33">
        <v>822</v>
      </c>
      <c r="Z4737" s="33" t="s">
        <v>42968</v>
      </c>
      <c r="AA4737" s="33">
        <v>2928</v>
      </c>
    </row>
    <row r="4738" spans="1:27" ht="12" customHeight="1" x14ac:dyDescent="0.15">
      <c r="A4738" s="33" t="s">
        <v>356</v>
      </c>
      <c r="B4738" s="33">
        <v>45</v>
      </c>
      <c r="C4738" s="33" t="s">
        <v>14</v>
      </c>
      <c r="D4738" s="33" t="s">
        <v>31</v>
      </c>
      <c r="E4738" s="33" t="s">
        <v>357</v>
      </c>
      <c r="F4738" s="67">
        <v>42259</v>
      </c>
      <c r="G4738" s="33" t="s">
        <v>358</v>
      </c>
      <c r="H4738" s="33" t="s">
        <v>359</v>
      </c>
      <c r="I4738" s="33" t="s">
        <v>298</v>
      </c>
      <c r="J4738" s="33" t="s">
        <v>18108</v>
      </c>
      <c r="K4738" s="33" t="s">
        <v>2476</v>
      </c>
      <c r="L4738" s="33" t="s">
        <v>2477</v>
      </c>
      <c r="M4738" s="33" t="s">
        <v>21</v>
      </c>
      <c r="N4738" s="33" t="s">
        <v>18109</v>
      </c>
      <c r="O4738" s="33" t="s">
        <v>372</v>
      </c>
      <c r="P4738" s="33" t="s">
        <v>30089</v>
      </c>
      <c r="Q4738" s="40" t="s">
        <v>18110</v>
      </c>
      <c r="R4738" s="33" t="s">
        <v>94</v>
      </c>
      <c r="S4738" s="33" t="s">
        <v>22</v>
      </c>
      <c r="T4738" s="33" t="s">
        <v>26781</v>
      </c>
      <c r="U4738" s="33" t="s">
        <v>26572</v>
      </c>
      <c r="V4738" s="33" t="s">
        <v>26573</v>
      </c>
      <c r="W4738" s="33" t="s">
        <v>94</v>
      </c>
      <c r="X4738" s="33">
        <v>878</v>
      </c>
      <c r="Z4738" s="33" t="s">
        <v>42968</v>
      </c>
      <c r="AA4738" s="33">
        <v>2927</v>
      </c>
    </row>
    <row r="4739" spans="1:27" ht="12" customHeight="1" x14ac:dyDescent="0.15">
      <c r="A4739" s="33" t="s">
        <v>328</v>
      </c>
      <c r="B4739" s="33">
        <v>44</v>
      </c>
      <c r="C4739" s="33" t="s">
        <v>14</v>
      </c>
      <c r="D4739" s="33" t="s">
        <v>31</v>
      </c>
      <c r="F4739" s="67">
        <v>42258</v>
      </c>
      <c r="G4739" s="33" t="s">
        <v>18111</v>
      </c>
      <c r="H4739" s="33" t="s">
        <v>329</v>
      </c>
      <c r="I4739" s="33" t="s">
        <v>192</v>
      </c>
      <c r="J4739" s="33" t="s">
        <v>18112</v>
      </c>
      <c r="K4739" s="33" t="s">
        <v>936</v>
      </c>
      <c r="L4739" s="33" t="s">
        <v>330</v>
      </c>
      <c r="M4739" s="33" t="s">
        <v>21</v>
      </c>
      <c r="N4739" s="33" t="s">
        <v>18113</v>
      </c>
      <c r="O4739" s="33" t="s">
        <v>372</v>
      </c>
      <c r="P4739" s="33" t="s">
        <v>30089</v>
      </c>
      <c r="Q4739" s="40" t="s">
        <v>18114</v>
      </c>
      <c r="R4739" s="33" t="s">
        <v>94</v>
      </c>
      <c r="S4739" s="33" t="s">
        <v>22</v>
      </c>
      <c r="T4739" s="33" t="s">
        <v>26781</v>
      </c>
      <c r="U4739" s="33" t="s">
        <v>26572</v>
      </c>
      <c r="V4739" s="33" t="s">
        <v>26571</v>
      </c>
      <c r="W4739" s="33" t="s">
        <v>94</v>
      </c>
      <c r="X4739" s="33">
        <v>831</v>
      </c>
      <c r="Z4739" s="33" t="s">
        <v>42968</v>
      </c>
      <c r="AA4739" s="33">
        <v>2926</v>
      </c>
    </row>
    <row r="4740" spans="1:27" ht="12" customHeight="1" x14ac:dyDescent="0.15">
      <c r="A4740" s="33" t="s">
        <v>4532</v>
      </c>
      <c r="B4740" s="33">
        <v>31</v>
      </c>
      <c r="C4740" s="33" t="s">
        <v>14</v>
      </c>
      <c r="D4740" s="33" t="s">
        <v>31</v>
      </c>
      <c r="F4740" s="67">
        <v>42258</v>
      </c>
      <c r="G4740" s="33" t="s">
        <v>18161</v>
      </c>
      <c r="H4740" s="33" t="s">
        <v>375</v>
      </c>
      <c r="I4740" s="33" t="s">
        <v>376</v>
      </c>
      <c r="J4740" s="33" t="s">
        <v>1822</v>
      </c>
      <c r="K4740" s="33" t="s">
        <v>850</v>
      </c>
      <c r="L4740" s="33" t="s">
        <v>377</v>
      </c>
      <c r="M4740" s="33" t="s">
        <v>21</v>
      </c>
      <c r="N4740" s="33" t="s">
        <v>18162</v>
      </c>
      <c r="O4740" s="33" t="s">
        <v>372</v>
      </c>
      <c r="P4740" s="33" t="s">
        <v>30089</v>
      </c>
      <c r="Q4740" s="40" t="s">
        <v>18163</v>
      </c>
      <c r="R4740" s="33" t="s">
        <v>94</v>
      </c>
      <c r="S4740" s="33" t="s">
        <v>22</v>
      </c>
      <c r="T4740" s="33" t="s">
        <v>26781</v>
      </c>
      <c r="U4740" s="33" t="s">
        <v>26572</v>
      </c>
      <c r="V4740" s="33" t="s">
        <v>26573</v>
      </c>
      <c r="W4740" s="33" t="s">
        <v>94</v>
      </c>
      <c r="X4740" s="33">
        <v>824</v>
      </c>
      <c r="Z4740" s="33" t="s">
        <v>42968</v>
      </c>
      <c r="AA4740" s="33">
        <v>2925</v>
      </c>
    </row>
    <row r="4741" spans="1:27" ht="12" customHeight="1" x14ac:dyDescent="0.15">
      <c r="A4741" s="33" t="s">
        <v>389</v>
      </c>
      <c r="B4741" s="33">
        <v>29</v>
      </c>
      <c r="C4741" s="33" t="s">
        <v>14</v>
      </c>
      <c r="D4741" s="33" t="s">
        <v>79</v>
      </c>
      <c r="E4741" s="33" t="s">
        <v>390</v>
      </c>
      <c r="F4741" s="67">
        <v>42257</v>
      </c>
      <c r="G4741" s="33" t="s">
        <v>18118</v>
      </c>
      <c r="H4741" s="33" t="s">
        <v>197</v>
      </c>
      <c r="I4741" s="33" t="s">
        <v>198</v>
      </c>
      <c r="J4741" s="33" t="s">
        <v>391</v>
      </c>
      <c r="K4741" s="33" t="s">
        <v>392</v>
      </c>
      <c r="L4741" s="33" t="s">
        <v>18119</v>
      </c>
      <c r="M4741" s="33" t="s">
        <v>21</v>
      </c>
      <c r="N4741" s="33" t="s">
        <v>18120</v>
      </c>
      <c r="O4741" s="33" t="s">
        <v>950</v>
      </c>
      <c r="P4741" s="33" t="s">
        <v>30089</v>
      </c>
      <c r="Q4741" s="40" t="s">
        <v>18121</v>
      </c>
      <c r="R4741" s="33" t="s">
        <v>94</v>
      </c>
      <c r="S4741" s="33" t="s">
        <v>22</v>
      </c>
      <c r="T4741" s="33" t="s">
        <v>26781</v>
      </c>
      <c r="U4741" s="33" t="s">
        <v>26572</v>
      </c>
      <c r="V4741" s="33" t="s">
        <v>26573</v>
      </c>
      <c r="W4741" s="33" t="s">
        <v>94</v>
      </c>
      <c r="X4741" s="33">
        <v>819</v>
      </c>
      <c r="Z4741" s="33" t="s">
        <v>42968</v>
      </c>
      <c r="AA4741" s="33">
        <v>2920</v>
      </c>
    </row>
    <row r="4742" spans="1:27" ht="12" customHeight="1" x14ac:dyDescent="0.15">
      <c r="A4742" s="33" t="s">
        <v>382</v>
      </c>
      <c r="B4742" s="33">
        <v>41</v>
      </c>
      <c r="C4742" s="33" t="s">
        <v>14</v>
      </c>
      <c r="D4742" s="33" t="s">
        <v>42</v>
      </c>
      <c r="E4742" s="33" t="s">
        <v>383</v>
      </c>
      <c r="F4742" s="67">
        <v>42257</v>
      </c>
      <c r="G4742" s="33" t="s">
        <v>384</v>
      </c>
      <c r="H4742" s="33" t="s">
        <v>385</v>
      </c>
      <c r="I4742" s="33" t="s">
        <v>39</v>
      </c>
      <c r="J4742" s="33" t="s">
        <v>18122</v>
      </c>
      <c r="K4742" s="33" t="s">
        <v>92</v>
      </c>
      <c r="L4742" s="33" t="s">
        <v>386</v>
      </c>
      <c r="M4742" s="33" t="s">
        <v>21</v>
      </c>
      <c r="N4742" s="33" t="s">
        <v>18123</v>
      </c>
      <c r="O4742" s="33" t="s">
        <v>372</v>
      </c>
      <c r="P4742" s="33" t="s">
        <v>30089</v>
      </c>
      <c r="Q4742" s="40" t="s">
        <v>18124</v>
      </c>
      <c r="R4742" s="33" t="s">
        <v>94</v>
      </c>
      <c r="S4742" s="33" t="s">
        <v>22</v>
      </c>
      <c r="T4742" s="33" t="s">
        <v>26781</v>
      </c>
      <c r="U4742" s="33" t="s">
        <v>26572</v>
      </c>
      <c r="V4742" s="33" t="s">
        <v>26571</v>
      </c>
      <c r="W4742" s="33" t="s">
        <v>94</v>
      </c>
      <c r="X4742" s="33">
        <v>823</v>
      </c>
      <c r="Z4742" s="33" t="s">
        <v>42966</v>
      </c>
      <c r="AA4742" s="33">
        <v>2922</v>
      </c>
    </row>
    <row r="4743" spans="1:27" ht="12" customHeight="1" x14ac:dyDescent="0.15">
      <c r="A4743" s="33" t="s">
        <v>378</v>
      </c>
      <c r="B4743" s="33">
        <v>32</v>
      </c>
      <c r="C4743" s="33" t="s">
        <v>14</v>
      </c>
      <c r="D4743" s="33" t="s">
        <v>31</v>
      </c>
      <c r="E4743" s="33" t="s">
        <v>379</v>
      </c>
      <c r="F4743" s="67">
        <v>42257</v>
      </c>
      <c r="G4743" s="33" t="s">
        <v>18115</v>
      </c>
      <c r="H4743" s="33" t="s">
        <v>380</v>
      </c>
      <c r="I4743" s="33" t="s">
        <v>39</v>
      </c>
      <c r="J4743" s="33" t="s">
        <v>18116</v>
      </c>
      <c r="K4743" s="33" t="s">
        <v>1647</v>
      </c>
      <c r="L4743" s="33" t="s">
        <v>381</v>
      </c>
      <c r="M4743" s="33" t="s">
        <v>21</v>
      </c>
      <c r="N4743" s="33" t="s">
        <v>36754</v>
      </c>
      <c r="O4743" s="33" t="s">
        <v>950</v>
      </c>
      <c r="P4743" s="33" t="s">
        <v>30089</v>
      </c>
      <c r="Q4743" s="40" t="s">
        <v>18117</v>
      </c>
      <c r="R4743" s="33" t="s">
        <v>94</v>
      </c>
      <c r="S4743" s="33" t="s">
        <v>22</v>
      </c>
      <c r="T4743" s="33" t="s">
        <v>26781</v>
      </c>
      <c r="U4743" s="33" t="s">
        <v>26572</v>
      </c>
      <c r="V4743" s="33" t="s">
        <v>26574</v>
      </c>
      <c r="W4743" s="33" t="s">
        <v>94</v>
      </c>
      <c r="X4743" s="33">
        <v>820</v>
      </c>
      <c r="Z4743" s="33" t="s">
        <v>42968</v>
      </c>
      <c r="AA4743" s="33">
        <v>2921</v>
      </c>
    </row>
    <row r="4744" spans="1:27" ht="12" customHeight="1" x14ac:dyDescent="0.15">
      <c r="A4744" s="33" t="s">
        <v>17955</v>
      </c>
      <c r="B4744" s="33">
        <v>35</v>
      </c>
      <c r="C4744" s="33" t="s">
        <v>14</v>
      </c>
      <c r="D4744" s="33" t="s">
        <v>42</v>
      </c>
      <c r="F4744" s="67">
        <v>42257</v>
      </c>
      <c r="G4744" s="33" t="s">
        <v>22143</v>
      </c>
      <c r="H4744" s="33" t="s">
        <v>387</v>
      </c>
      <c r="I4744" s="33" t="s">
        <v>39</v>
      </c>
      <c r="J4744" s="33" t="s">
        <v>3339</v>
      </c>
      <c r="K4744" s="33" t="s">
        <v>288</v>
      </c>
      <c r="L4744" s="33" t="s">
        <v>388</v>
      </c>
      <c r="M4744" s="33" t="s">
        <v>21</v>
      </c>
      <c r="N4744" s="33" t="s">
        <v>18164</v>
      </c>
      <c r="O4744" s="33" t="s">
        <v>372</v>
      </c>
      <c r="P4744" s="33" t="s">
        <v>30089</v>
      </c>
      <c r="Q4744" s="40" t="s">
        <v>18165</v>
      </c>
      <c r="R4744" s="33" t="s">
        <v>512</v>
      </c>
      <c r="S4744" s="33" t="s">
        <v>22</v>
      </c>
      <c r="T4744" s="33" t="s">
        <v>26774</v>
      </c>
      <c r="U4744" s="33" t="s">
        <v>26570</v>
      </c>
      <c r="V4744" s="33" t="s">
        <v>26573</v>
      </c>
      <c r="W4744" s="33" t="s">
        <v>94</v>
      </c>
      <c r="X4744" s="33">
        <v>818</v>
      </c>
      <c r="Z4744" s="33" t="s">
        <v>42968</v>
      </c>
      <c r="AA4744" s="33">
        <v>2924</v>
      </c>
    </row>
    <row r="4745" spans="1:27" ht="12" customHeight="1" x14ac:dyDescent="0.15">
      <c r="A4745" s="33" t="s">
        <v>393</v>
      </c>
      <c r="B4745" s="33">
        <v>31</v>
      </c>
      <c r="C4745" s="33" t="s">
        <v>14</v>
      </c>
      <c r="D4745" s="33" t="s">
        <v>15</v>
      </c>
      <c r="F4745" s="67">
        <v>42257</v>
      </c>
      <c r="G4745" s="33" t="s">
        <v>18125</v>
      </c>
      <c r="H4745" s="33" t="s">
        <v>394</v>
      </c>
      <c r="I4745" s="33" t="s">
        <v>395</v>
      </c>
      <c r="J4745" s="33" t="s">
        <v>18126</v>
      </c>
      <c r="K4745" s="33" t="s">
        <v>18127</v>
      </c>
      <c r="L4745" s="33" t="s">
        <v>396</v>
      </c>
      <c r="M4745" s="33" t="s">
        <v>21</v>
      </c>
      <c r="N4745" s="33" t="s">
        <v>18128</v>
      </c>
      <c r="O4745" s="33" t="s">
        <v>17668</v>
      </c>
      <c r="P4745" s="33" t="s">
        <v>30089</v>
      </c>
      <c r="Q4745" s="40" t="s">
        <v>18129</v>
      </c>
      <c r="R4745" s="33" t="s">
        <v>23</v>
      </c>
      <c r="S4745" s="33" t="s">
        <v>22</v>
      </c>
      <c r="T4745" s="33" t="s">
        <v>26774</v>
      </c>
      <c r="U4745" s="33" t="s">
        <v>26572</v>
      </c>
      <c r="V4745" s="33" t="s">
        <v>26573</v>
      </c>
      <c r="W4745" s="33" t="s">
        <v>94</v>
      </c>
      <c r="X4745" s="33">
        <v>817</v>
      </c>
      <c r="Z4745" s="33" t="s">
        <v>42967</v>
      </c>
      <c r="AA4745" s="33">
        <v>2923</v>
      </c>
    </row>
    <row r="4746" spans="1:27" ht="12" customHeight="1" x14ac:dyDescent="0.15">
      <c r="A4746" s="33" t="s">
        <v>406</v>
      </c>
      <c r="B4746" s="33">
        <v>25</v>
      </c>
      <c r="C4746" s="33" t="s">
        <v>14</v>
      </c>
      <c r="D4746" s="33" t="s">
        <v>31</v>
      </c>
      <c r="E4746" s="33" t="s">
        <v>407</v>
      </c>
      <c r="F4746" s="67">
        <v>42256</v>
      </c>
      <c r="G4746" s="33" t="s">
        <v>18130</v>
      </c>
      <c r="H4746" s="33" t="s">
        <v>408</v>
      </c>
      <c r="I4746" s="33" t="s">
        <v>409</v>
      </c>
      <c r="J4746" s="33" t="s">
        <v>18131</v>
      </c>
      <c r="K4746" s="33" t="s">
        <v>3728</v>
      </c>
      <c r="L4746" s="33" t="s">
        <v>410</v>
      </c>
      <c r="M4746" s="33" t="s">
        <v>21</v>
      </c>
      <c r="N4746" s="33" t="s">
        <v>18132</v>
      </c>
      <c r="O4746" s="33" t="s">
        <v>372</v>
      </c>
      <c r="P4746" s="33" t="s">
        <v>30089</v>
      </c>
      <c r="Q4746" s="40" t="s">
        <v>18133</v>
      </c>
      <c r="R4746" s="33" t="s">
        <v>94</v>
      </c>
      <c r="S4746" s="33" t="s">
        <v>22</v>
      </c>
      <c r="T4746" s="33" t="s">
        <v>26781</v>
      </c>
      <c r="U4746" s="33" t="s">
        <v>26572</v>
      </c>
      <c r="V4746" s="33" t="s">
        <v>26573</v>
      </c>
      <c r="W4746" s="33" t="s">
        <v>94</v>
      </c>
      <c r="X4746" s="33">
        <v>812</v>
      </c>
      <c r="Z4746" s="33" t="s">
        <v>42968</v>
      </c>
      <c r="AA4746" s="33">
        <v>2916</v>
      </c>
    </row>
    <row r="4747" spans="1:27" ht="12" customHeight="1" x14ac:dyDescent="0.15">
      <c r="A4747" s="33" t="s">
        <v>397</v>
      </c>
      <c r="B4747" s="33">
        <v>33</v>
      </c>
      <c r="C4747" s="33" t="s">
        <v>14</v>
      </c>
      <c r="D4747" s="33" t="s">
        <v>128</v>
      </c>
      <c r="E4747" s="33" t="s">
        <v>398</v>
      </c>
      <c r="F4747" s="67">
        <v>42256</v>
      </c>
      <c r="G4747" s="33" t="s">
        <v>18136</v>
      </c>
      <c r="H4747" s="33" t="s">
        <v>399</v>
      </c>
      <c r="I4747" s="33" t="s">
        <v>309</v>
      </c>
      <c r="J4747" s="33" t="s">
        <v>18137</v>
      </c>
      <c r="K4747" s="33" t="s">
        <v>18138</v>
      </c>
      <c r="L4747" s="33" t="s">
        <v>30680</v>
      </c>
      <c r="M4747" s="33" t="s">
        <v>21</v>
      </c>
      <c r="N4747" s="33" t="s">
        <v>36755</v>
      </c>
      <c r="O4747" s="33" t="s">
        <v>372</v>
      </c>
      <c r="P4747" s="33" t="s">
        <v>30089</v>
      </c>
      <c r="Q4747" s="40" t="s">
        <v>18139</v>
      </c>
      <c r="R4747" s="33" t="s">
        <v>94</v>
      </c>
      <c r="S4747" s="33" t="s">
        <v>22</v>
      </c>
      <c r="T4747" s="33" t="s">
        <v>26781</v>
      </c>
      <c r="U4747" s="33" t="s">
        <v>26572</v>
      </c>
      <c r="V4747" s="33" t="s">
        <v>26571</v>
      </c>
      <c r="W4747" s="33" t="s">
        <v>94</v>
      </c>
      <c r="X4747" s="33">
        <v>816</v>
      </c>
      <c r="Z4747" s="33" t="s">
        <v>42968</v>
      </c>
      <c r="AA4747" s="33">
        <v>2917</v>
      </c>
    </row>
    <row r="4748" spans="1:27" ht="12" customHeight="1" x14ac:dyDescent="0.15">
      <c r="A4748" s="33" t="s">
        <v>400</v>
      </c>
      <c r="B4748" s="33">
        <v>37</v>
      </c>
      <c r="C4748" s="33" t="s">
        <v>14</v>
      </c>
      <c r="D4748" s="33" t="s">
        <v>79</v>
      </c>
      <c r="F4748" s="67">
        <v>42256</v>
      </c>
      <c r="G4748" s="33" t="s">
        <v>18134</v>
      </c>
      <c r="H4748" s="33" t="s">
        <v>401</v>
      </c>
      <c r="I4748" s="33" t="s">
        <v>402</v>
      </c>
      <c r="J4748" s="33" t="s">
        <v>403</v>
      </c>
      <c r="K4748" s="33" t="s">
        <v>404</v>
      </c>
      <c r="L4748" s="33" t="s">
        <v>405</v>
      </c>
      <c r="M4748" s="33" t="s">
        <v>21</v>
      </c>
      <c r="N4748" s="33" t="s">
        <v>19109</v>
      </c>
      <c r="O4748" s="33" t="s">
        <v>372</v>
      </c>
      <c r="P4748" s="33" t="s">
        <v>30089</v>
      </c>
      <c r="Q4748" s="40" t="s">
        <v>18135</v>
      </c>
      <c r="R4748" s="33" t="s">
        <v>512</v>
      </c>
      <c r="S4748" s="33" t="s">
        <v>22</v>
      </c>
      <c r="T4748" s="33" t="s">
        <v>29421</v>
      </c>
      <c r="U4748" s="33" t="s">
        <v>26570</v>
      </c>
      <c r="V4748" s="33" t="s">
        <v>26573</v>
      </c>
      <c r="W4748" s="33" t="s">
        <v>94</v>
      </c>
      <c r="X4748" s="33">
        <v>815</v>
      </c>
      <c r="Z4748" s="33" t="s">
        <v>42966</v>
      </c>
      <c r="AA4748" s="33">
        <v>2918</v>
      </c>
    </row>
    <row r="4749" spans="1:27" ht="12" customHeight="1" x14ac:dyDescent="0.15">
      <c r="A4749" s="33" t="s">
        <v>334</v>
      </c>
      <c r="B4749" s="33">
        <v>59</v>
      </c>
      <c r="C4749" s="33" t="s">
        <v>14</v>
      </c>
      <c r="D4749" s="33" t="s">
        <v>15</v>
      </c>
      <c r="F4749" s="67">
        <v>42256</v>
      </c>
      <c r="G4749" s="33" t="s">
        <v>22144</v>
      </c>
      <c r="H4749" s="33" t="s">
        <v>335</v>
      </c>
      <c r="I4749" s="33" t="s">
        <v>39</v>
      </c>
      <c r="J4749" s="33" t="s">
        <v>18140</v>
      </c>
      <c r="K4749" s="33" t="s">
        <v>92</v>
      </c>
      <c r="L4749" s="33" t="s">
        <v>336</v>
      </c>
      <c r="M4749" s="33" t="s">
        <v>21</v>
      </c>
      <c r="N4749" s="33" t="s">
        <v>18141</v>
      </c>
      <c r="O4749" s="33" t="s">
        <v>950</v>
      </c>
      <c r="P4749" s="33" t="s">
        <v>30089</v>
      </c>
      <c r="Q4749" s="40" t="s">
        <v>18142</v>
      </c>
      <c r="R4749" s="33" t="s">
        <v>94</v>
      </c>
      <c r="S4749" s="33" t="s">
        <v>22</v>
      </c>
      <c r="T4749" s="33" t="s">
        <v>26774</v>
      </c>
      <c r="U4749" s="33" t="s">
        <v>26572</v>
      </c>
      <c r="V4749" s="33" t="s">
        <v>26573</v>
      </c>
      <c r="W4749" s="33" t="s">
        <v>94</v>
      </c>
      <c r="X4749" s="33">
        <v>879</v>
      </c>
      <c r="Z4749" s="33" t="s">
        <v>42968</v>
      </c>
      <c r="AA4749" s="33">
        <v>2919</v>
      </c>
    </row>
    <row r="4750" spans="1:27" ht="12" customHeight="1" x14ac:dyDescent="0.15">
      <c r="A4750" s="33" t="s">
        <v>305</v>
      </c>
      <c r="B4750" s="33">
        <v>19</v>
      </c>
      <c r="C4750" s="33" t="s">
        <v>14</v>
      </c>
      <c r="D4750" s="33" t="s">
        <v>128</v>
      </c>
      <c r="E4750" s="33" t="s">
        <v>306</v>
      </c>
      <c r="F4750" s="67">
        <v>42255</v>
      </c>
      <c r="G4750" s="33" t="s">
        <v>307</v>
      </c>
      <c r="H4750" s="33" t="s">
        <v>308</v>
      </c>
      <c r="I4750" s="33" t="s">
        <v>309</v>
      </c>
      <c r="J4750" s="33" t="s">
        <v>18145</v>
      </c>
      <c r="K4750" s="33" t="s">
        <v>18138</v>
      </c>
      <c r="L4750" s="33" t="s">
        <v>310</v>
      </c>
      <c r="M4750" s="33" t="s">
        <v>21</v>
      </c>
      <c r="N4750" s="33" t="s">
        <v>18146</v>
      </c>
      <c r="O4750" s="33" t="s">
        <v>372</v>
      </c>
      <c r="P4750" s="33" t="s">
        <v>30089</v>
      </c>
      <c r="Q4750" s="40" t="s">
        <v>18147</v>
      </c>
      <c r="R4750" s="33" t="s">
        <v>94</v>
      </c>
      <c r="S4750" s="33" t="s">
        <v>22</v>
      </c>
      <c r="T4750" s="33" t="s">
        <v>26781</v>
      </c>
      <c r="U4750" s="33" t="s">
        <v>26572</v>
      </c>
      <c r="V4750" s="33" t="s">
        <v>26573</v>
      </c>
      <c r="W4750" s="33" t="s">
        <v>94</v>
      </c>
      <c r="X4750" s="33">
        <v>836</v>
      </c>
      <c r="Z4750" s="33" t="s">
        <v>42967</v>
      </c>
      <c r="AA4750" s="33">
        <v>2914</v>
      </c>
    </row>
    <row r="4751" spans="1:27" ht="12" customHeight="1" x14ac:dyDescent="0.15">
      <c r="A4751" s="33" t="s">
        <v>360</v>
      </c>
      <c r="B4751" s="33">
        <v>24</v>
      </c>
      <c r="C4751" s="33" t="s">
        <v>14</v>
      </c>
      <c r="D4751" s="33" t="s">
        <v>31</v>
      </c>
      <c r="E4751" s="33" t="s">
        <v>361</v>
      </c>
      <c r="F4751" s="67">
        <v>42255</v>
      </c>
      <c r="G4751" s="33" t="s">
        <v>22145</v>
      </c>
      <c r="H4751" s="33" t="s">
        <v>187</v>
      </c>
      <c r="I4751" s="33" t="s">
        <v>63</v>
      </c>
      <c r="J4751" s="33" t="s">
        <v>18045</v>
      </c>
      <c r="K4751" s="33" t="s">
        <v>3180</v>
      </c>
      <c r="L4751" s="33" t="s">
        <v>362</v>
      </c>
      <c r="M4751" s="33" t="s">
        <v>363</v>
      </c>
      <c r="N4751" s="33" t="s">
        <v>18143</v>
      </c>
      <c r="O4751" s="33" t="s">
        <v>372</v>
      </c>
      <c r="P4751" s="33" t="s">
        <v>30089</v>
      </c>
      <c r="Q4751" s="40" t="s">
        <v>18144</v>
      </c>
      <c r="R4751" s="33" t="s">
        <v>23</v>
      </c>
      <c r="S4751" s="33" t="s">
        <v>12</v>
      </c>
      <c r="T4751" s="54" t="s">
        <v>29705</v>
      </c>
      <c r="Z4751" s="33" t="s">
        <v>42968</v>
      </c>
      <c r="AA4751" s="33">
        <v>2915</v>
      </c>
    </row>
    <row r="4752" spans="1:27" ht="12" customHeight="1" x14ac:dyDescent="0.15">
      <c r="A4752" s="33" t="s">
        <v>422</v>
      </c>
      <c r="B4752" s="33">
        <v>1</v>
      </c>
      <c r="C4752" s="33" t="s">
        <v>14</v>
      </c>
      <c r="D4752" s="33" t="s">
        <v>31</v>
      </c>
      <c r="E4752" s="33" t="s">
        <v>423</v>
      </c>
      <c r="F4752" s="67">
        <v>42254</v>
      </c>
      <c r="G4752" s="33" t="s">
        <v>18873</v>
      </c>
      <c r="H4752" s="33" t="s">
        <v>18874</v>
      </c>
      <c r="I4752" s="33" t="s">
        <v>298</v>
      </c>
      <c r="J4752" s="33">
        <v>38251</v>
      </c>
      <c r="K4752" s="33" t="s">
        <v>7624</v>
      </c>
      <c r="L4752" s="33" t="s">
        <v>18872</v>
      </c>
      <c r="M4752" s="33" t="s">
        <v>21</v>
      </c>
      <c r="N4752" s="33" t="s">
        <v>18871</v>
      </c>
      <c r="O4752" s="33" t="s">
        <v>1083</v>
      </c>
      <c r="P4752" s="33" t="s">
        <v>1084</v>
      </c>
      <c r="Q4752" s="40" t="str">
        <f>HYPERLINK("http://wreg.com/2015/09/24/paris-police-officer-charged-for-murdering-his-own-son/","http://wreg.com/2015/09/24/paris-police-officer-charged-for-murdering-his-own-son/")</f>
        <v>http://wreg.com/2015/09/24/paris-police-officer-charged-for-murdering-his-own-son/</v>
      </c>
      <c r="R4752" s="33" t="s">
        <v>23</v>
      </c>
      <c r="S4752" s="33" t="s">
        <v>12</v>
      </c>
      <c r="T4752" s="54" t="s">
        <v>29705</v>
      </c>
      <c r="Y4752" s="33" t="s">
        <v>42476</v>
      </c>
      <c r="Z4752" s="33" t="s">
        <v>42967</v>
      </c>
      <c r="AA4752" s="33">
        <v>2913</v>
      </c>
    </row>
    <row r="4753" spans="1:27" ht="12" customHeight="1" x14ac:dyDescent="0.15">
      <c r="A4753" s="33" t="s">
        <v>411</v>
      </c>
      <c r="B4753" s="33">
        <v>45</v>
      </c>
      <c r="C4753" s="33" t="s">
        <v>14</v>
      </c>
      <c r="D4753" s="33" t="s">
        <v>42</v>
      </c>
      <c r="E4753" s="33" t="s">
        <v>412</v>
      </c>
      <c r="F4753" s="67">
        <v>42254</v>
      </c>
      <c r="G4753" s="33" t="s">
        <v>413</v>
      </c>
      <c r="H4753" s="33" t="s">
        <v>183</v>
      </c>
      <c r="I4753" s="33" t="s">
        <v>39</v>
      </c>
      <c r="J4753" s="33" t="s">
        <v>11970</v>
      </c>
      <c r="K4753" s="33" t="s">
        <v>183</v>
      </c>
      <c r="L4753" s="33" t="s">
        <v>184</v>
      </c>
      <c r="M4753" s="33" t="s">
        <v>21</v>
      </c>
      <c r="N4753" s="33" t="s">
        <v>18148</v>
      </c>
      <c r="O4753" s="33" t="s">
        <v>372</v>
      </c>
      <c r="P4753" s="33" t="s">
        <v>30089</v>
      </c>
      <c r="Q4753" s="40" t="s">
        <v>18149</v>
      </c>
      <c r="R4753" s="33" t="s">
        <v>94</v>
      </c>
      <c r="S4753" s="33" t="s">
        <v>22</v>
      </c>
      <c r="T4753" s="33" t="s">
        <v>26584</v>
      </c>
      <c r="U4753" s="33" t="s">
        <v>26570</v>
      </c>
      <c r="V4753" s="33" t="s">
        <v>26574</v>
      </c>
      <c r="W4753" s="33" t="s">
        <v>512</v>
      </c>
      <c r="X4753" s="33">
        <v>813</v>
      </c>
      <c r="Z4753" s="33" t="s">
        <v>42968</v>
      </c>
      <c r="AA4753" s="33">
        <v>2911</v>
      </c>
    </row>
    <row r="4754" spans="1:27" ht="12" customHeight="1" x14ac:dyDescent="0.15">
      <c r="A4754" s="33" t="s">
        <v>414</v>
      </c>
      <c r="B4754" s="33">
        <v>41</v>
      </c>
      <c r="C4754" s="33" t="s">
        <v>14</v>
      </c>
      <c r="D4754" s="33" t="s">
        <v>79</v>
      </c>
      <c r="E4754" s="33" t="s">
        <v>18851</v>
      </c>
      <c r="F4754" s="67">
        <v>42254</v>
      </c>
      <c r="G4754" s="33" t="s">
        <v>22146</v>
      </c>
      <c r="H4754" s="33" t="s">
        <v>415</v>
      </c>
      <c r="I4754" s="33" t="s">
        <v>51</v>
      </c>
      <c r="J4754" s="33" t="s">
        <v>18150</v>
      </c>
      <c r="K4754" s="33" t="s">
        <v>1057</v>
      </c>
      <c r="L4754" s="33" t="s">
        <v>416</v>
      </c>
      <c r="M4754" s="33" t="s">
        <v>2909</v>
      </c>
      <c r="N4754" s="33" t="s">
        <v>18151</v>
      </c>
      <c r="O4754" s="33" t="s">
        <v>372</v>
      </c>
      <c r="P4754" s="33" t="s">
        <v>30089</v>
      </c>
      <c r="Q4754" s="40" t="s">
        <v>18152</v>
      </c>
      <c r="R4754" s="33" t="s">
        <v>94</v>
      </c>
      <c r="S4754" s="33" t="s">
        <v>12</v>
      </c>
      <c r="T4754" s="54" t="s">
        <v>29705</v>
      </c>
      <c r="Y4754" s="33" t="s">
        <v>42476</v>
      </c>
      <c r="Z4754" s="33" t="s">
        <v>42966</v>
      </c>
      <c r="AA4754" s="33">
        <v>2912</v>
      </c>
    </row>
    <row r="4755" spans="1:27" ht="12" customHeight="1" x14ac:dyDescent="0.15">
      <c r="A4755" s="33" t="s">
        <v>417</v>
      </c>
      <c r="B4755" s="33">
        <v>45</v>
      </c>
      <c r="C4755" s="33" t="s">
        <v>14</v>
      </c>
      <c r="D4755" s="33" t="s">
        <v>31</v>
      </c>
      <c r="E4755" s="33" t="s">
        <v>418</v>
      </c>
      <c r="F4755" s="67">
        <v>42253</v>
      </c>
      <c r="G4755" s="33" t="s">
        <v>419</v>
      </c>
      <c r="H4755" s="33" t="s">
        <v>420</v>
      </c>
      <c r="I4755" s="33" t="s">
        <v>178</v>
      </c>
      <c r="J4755" s="33" t="s">
        <v>1618</v>
      </c>
      <c r="K4755" s="33" t="s">
        <v>731</v>
      </c>
      <c r="L4755" s="33" t="s">
        <v>421</v>
      </c>
      <c r="M4755" s="33" t="s">
        <v>21</v>
      </c>
      <c r="N4755" s="33" t="s">
        <v>18153</v>
      </c>
      <c r="O4755" s="33" t="s">
        <v>372</v>
      </c>
      <c r="P4755" s="33" t="s">
        <v>30089</v>
      </c>
      <c r="Q4755" s="40" t="s">
        <v>18154</v>
      </c>
      <c r="R4755" s="33" t="s">
        <v>94</v>
      </c>
      <c r="S4755" s="33" t="s">
        <v>22</v>
      </c>
      <c r="T4755" s="33" t="s">
        <v>26781</v>
      </c>
      <c r="U4755" s="33" t="s">
        <v>26572</v>
      </c>
      <c r="V4755" s="33" t="s">
        <v>26573</v>
      </c>
      <c r="W4755" s="33" t="s">
        <v>94</v>
      </c>
      <c r="X4755" s="33">
        <v>811</v>
      </c>
      <c r="Z4755" s="33" t="s">
        <v>42968</v>
      </c>
      <c r="AA4755" s="33">
        <v>2910</v>
      </c>
    </row>
    <row r="4756" spans="1:27" ht="12" customHeight="1" x14ac:dyDescent="0.15">
      <c r="A4756" s="33" t="s">
        <v>428</v>
      </c>
      <c r="B4756" s="33">
        <v>28</v>
      </c>
      <c r="C4756" s="33" t="s">
        <v>14</v>
      </c>
      <c r="D4756" s="33" t="s">
        <v>15</v>
      </c>
      <c r="E4756" s="33" t="s">
        <v>429</v>
      </c>
      <c r="F4756" s="67">
        <v>42253</v>
      </c>
      <c r="G4756" s="33" t="s">
        <v>22147</v>
      </c>
      <c r="H4756" s="33" t="s">
        <v>430</v>
      </c>
      <c r="I4756" s="33" t="s">
        <v>19</v>
      </c>
      <c r="J4756" s="33" t="s">
        <v>5431</v>
      </c>
      <c r="K4756" s="33" t="s">
        <v>5432</v>
      </c>
      <c r="L4756" s="33" t="s">
        <v>431</v>
      </c>
      <c r="M4756" s="33" t="s">
        <v>21</v>
      </c>
      <c r="N4756" s="33" t="s">
        <v>18159</v>
      </c>
      <c r="O4756" s="33" t="s">
        <v>372</v>
      </c>
      <c r="P4756" s="33" t="s">
        <v>30089</v>
      </c>
      <c r="Q4756" s="40" t="s">
        <v>18160</v>
      </c>
      <c r="R4756" s="33" t="s">
        <v>512</v>
      </c>
      <c r="S4756" s="33" t="s">
        <v>22</v>
      </c>
      <c r="T4756" s="33" t="s">
        <v>26781</v>
      </c>
      <c r="U4756" s="33" t="s">
        <v>26572</v>
      </c>
      <c r="V4756" s="33" t="s">
        <v>26571</v>
      </c>
      <c r="W4756" s="33" t="s">
        <v>94</v>
      </c>
      <c r="X4756" s="33">
        <v>810</v>
      </c>
      <c r="Z4756" s="33" t="s">
        <v>42966</v>
      </c>
      <c r="AA4756" s="33">
        <v>2909</v>
      </c>
    </row>
    <row r="4757" spans="1:27" ht="12" customHeight="1" x14ac:dyDescent="0.15">
      <c r="A4757" s="33" t="s">
        <v>424</v>
      </c>
      <c r="B4757" s="33">
        <v>59</v>
      </c>
      <c r="C4757" s="33" t="s">
        <v>14</v>
      </c>
      <c r="D4757" s="33" t="s">
        <v>42</v>
      </c>
      <c r="E4757" s="33" t="s">
        <v>425</v>
      </c>
      <c r="F4757" s="67">
        <v>42253</v>
      </c>
      <c r="G4757" s="33" t="s">
        <v>426</v>
      </c>
      <c r="H4757" s="33" t="s">
        <v>196</v>
      </c>
      <c r="I4757" s="33" t="s">
        <v>56</v>
      </c>
      <c r="J4757" s="33" t="s">
        <v>18156</v>
      </c>
      <c r="K4757" s="33" t="s">
        <v>148</v>
      </c>
      <c r="L4757" s="33" t="s">
        <v>427</v>
      </c>
      <c r="M4757" s="33" t="s">
        <v>21</v>
      </c>
      <c r="N4757" s="33" t="s">
        <v>18157</v>
      </c>
      <c r="O4757" s="33" t="s">
        <v>372</v>
      </c>
      <c r="P4757" s="33" t="s">
        <v>30089</v>
      </c>
      <c r="Q4757" s="40" t="s">
        <v>18158</v>
      </c>
      <c r="R4757" s="33" t="s">
        <v>94</v>
      </c>
      <c r="S4757" s="33" t="s">
        <v>22</v>
      </c>
      <c r="T4757" s="33" t="s">
        <v>26781</v>
      </c>
      <c r="U4757" s="33" t="s">
        <v>26572</v>
      </c>
      <c r="V4757" s="33" t="s">
        <v>26571</v>
      </c>
      <c r="W4757" s="33" t="s">
        <v>94</v>
      </c>
      <c r="X4757" s="33">
        <v>809</v>
      </c>
      <c r="Z4757" s="33" t="s">
        <v>42966</v>
      </c>
      <c r="AA4757" s="33">
        <v>2908</v>
      </c>
    </row>
    <row r="4758" spans="1:27" ht="12" customHeight="1" x14ac:dyDescent="0.15">
      <c r="A4758" s="33" t="s">
        <v>453</v>
      </c>
      <c r="B4758" s="33">
        <v>21</v>
      </c>
      <c r="C4758" s="33" t="s">
        <v>14</v>
      </c>
      <c r="D4758" s="33" t="s">
        <v>79</v>
      </c>
      <c r="E4758" s="33" t="s">
        <v>454</v>
      </c>
      <c r="F4758" s="67">
        <v>42252</v>
      </c>
      <c r="G4758" s="33" t="s">
        <v>22148</v>
      </c>
      <c r="H4758" s="33" t="s">
        <v>455</v>
      </c>
      <c r="I4758" s="33" t="s">
        <v>338</v>
      </c>
      <c r="J4758" s="33" t="s">
        <v>456</v>
      </c>
      <c r="K4758" s="33" t="s">
        <v>455</v>
      </c>
      <c r="L4758" s="33" t="s">
        <v>457</v>
      </c>
      <c r="M4758" s="33" t="s">
        <v>21</v>
      </c>
      <c r="N4758" s="33" t="s">
        <v>18168</v>
      </c>
      <c r="O4758" s="33" t="s">
        <v>372</v>
      </c>
      <c r="P4758" s="33" t="s">
        <v>30089</v>
      </c>
      <c r="Q4758" s="40" t="s">
        <v>18169</v>
      </c>
      <c r="R4758" s="33" t="s">
        <v>512</v>
      </c>
      <c r="S4758" s="33" t="s">
        <v>12</v>
      </c>
      <c r="T4758" s="33" t="s">
        <v>29425</v>
      </c>
      <c r="U4758" s="33" t="s">
        <v>26572</v>
      </c>
      <c r="V4758" s="33" t="s">
        <v>26573</v>
      </c>
      <c r="W4758" s="33" t="s">
        <v>94</v>
      </c>
      <c r="X4758" s="33">
        <v>805</v>
      </c>
      <c r="Z4758" s="33" t="s">
        <v>42968</v>
      </c>
      <c r="AA4758" s="33">
        <v>2905</v>
      </c>
    </row>
    <row r="4759" spans="1:27" ht="12" customHeight="1" x14ac:dyDescent="0.15">
      <c r="A4759" s="33" t="s">
        <v>449</v>
      </c>
      <c r="B4759" s="33">
        <v>47</v>
      </c>
      <c r="C4759" s="33" t="s">
        <v>14</v>
      </c>
      <c r="D4759" s="33" t="s">
        <v>42</v>
      </c>
      <c r="E4759" s="33" t="s">
        <v>450</v>
      </c>
      <c r="F4759" s="67">
        <v>42252</v>
      </c>
      <c r="G4759" s="33" t="s">
        <v>22149</v>
      </c>
      <c r="H4759" s="33" t="s">
        <v>451</v>
      </c>
      <c r="I4759" s="33" t="s">
        <v>39</v>
      </c>
      <c r="J4759" s="33" t="s">
        <v>16170</v>
      </c>
      <c r="K4759" s="33" t="s">
        <v>92</v>
      </c>
      <c r="L4759" s="33" t="s">
        <v>452</v>
      </c>
      <c r="M4759" s="33" t="s">
        <v>363</v>
      </c>
      <c r="N4759" s="33" t="s">
        <v>18172</v>
      </c>
      <c r="O4759" s="33" t="s">
        <v>372</v>
      </c>
      <c r="P4759" s="33" t="s">
        <v>30089</v>
      </c>
      <c r="Q4759" s="40" t="s">
        <v>18173</v>
      </c>
      <c r="R4759" s="33" t="s">
        <v>904</v>
      </c>
      <c r="S4759" s="33" t="s">
        <v>12</v>
      </c>
      <c r="T4759" s="54" t="s">
        <v>29705</v>
      </c>
      <c r="Z4759" s="33" t="s">
        <v>42966</v>
      </c>
      <c r="AA4759" s="33">
        <v>2907</v>
      </c>
    </row>
    <row r="4760" spans="1:27" ht="12" customHeight="1" x14ac:dyDescent="0.15">
      <c r="A4760" s="33" t="s">
        <v>444</v>
      </c>
      <c r="B4760" s="33">
        <v>32</v>
      </c>
      <c r="C4760" s="33" t="s">
        <v>14</v>
      </c>
      <c r="D4760" s="33" t="s">
        <v>42</v>
      </c>
      <c r="E4760" s="33" t="s">
        <v>445</v>
      </c>
      <c r="F4760" s="67">
        <v>42252</v>
      </c>
      <c r="G4760" s="33" t="s">
        <v>446</v>
      </c>
      <c r="H4760" s="33" t="s">
        <v>447</v>
      </c>
      <c r="I4760" s="33" t="s">
        <v>39</v>
      </c>
      <c r="J4760" s="33" t="s">
        <v>17879</v>
      </c>
      <c r="K4760" s="33" t="s">
        <v>288</v>
      </c>
      <c r="L4760" s="33" t="s">
        <v>448</v>
      </c>
      <c r="M4760" s="33" t="s">
        <v>21</v>
      </c>
      <c r="N4760" s="33" t="s">
        <v>18170</v>
      </c>
      <c r="O4760" s="33" t="s">
        <v>372</v>
      </c>
      <c r="P4760" s="33" t="s">
        <v>30089</v>
      </c>
      <c r="Q4760" s="40" t="s">
        <v>18171</v>
      </c>
      <c r="R4760" s="33" t="s">
        <v>512</v>
      </c>
      <c r="S4760" s="33" t="s">
        <v>22</v>
      </c>
      <c r="T4760" s="33" t="s">
        <v>26584</v>
      </c>
      <c r="U4760" s="33" t="s">
        <v>26570</v>
      </c>
      <c r="V4760" s="33" t="s">
        <v>26573</v>
      </c>
      <c r="W4760" s="33" t="s">
        <v>512</v>
      </c>
      <c r="X4760" s="33">
        <v>806</v>
      </c>
      <c r="Z4760" s="33" t="s">
        <v>42966</v>
      </c>
      <c r="AA4760" s="33">
        <v>2904</v>
      </c>
    </row>
    <row r="4761" spans="1:27" ht="12" customHeight="1" x14ac:dyDescent="0.15">
      <c r="A4761" s="33" t="s">
        <v>442</v>
      </c>
      <c r="B4761" s="33">
        <v>35</v>
      </c>
      <c r="C4761" s="33" t="s">
        <v>14</v>
      </c>
      <c r="D4761" s="33" t="s">
        <v>79</v>
      </c>
      <c r="E4761" s="33" t="s">
        <v>443</v>
      </c>
      <c r="F4761" s="67">
        <v>42252</v>
      </c>
      <c r="G4761" s="33" t="s">
        <v>438</v>
      </c>
      <c r="H4761" s="33" t="s">
        <v>439</v>
      </c>
      <c r="I4761" s="33" t="s">
        <v>225</v>
      </c>
      <c r="J4761" s="33" t="s">
        <v>440</v>
      </c>
      <c r="K4761" s="33" t="s">
        <v>12081</v>
      </c>
      <c r="L4761" s="33" t="s">
        <v>441</v>
      </c>
      <c r="M4761" s="33" t="s">
        <v>21</v>
      </c>
      <c r="N4761" s="33" t="s">
        <v>18166</v>
      </c>
      <c r="O4761" s="33" t="s">
        <v>372</v>
      </c>
      <c r="P4761" s="33" t="s">
        <v>30089</v>
      </c>
      <c r="Q4761" s="40" t="s">
        <v>18167</v>
      </c>
      <c r="R4761" s="33" t="s">
        <v>94</v>
      </c>
      <c r="S4761" s="33" t="s">
        <v>22</v>
      </c>
      <c r="T4761" s="33" t="s">
        <v>26781</v>
      </c>
      <c r="U4761" s="33" t="s">
        <v>26572</v>
      </c>
      <c r="V4761" s="33" t="s">
        <v>26573</v>
      </c>
      <c r="W4761" s="33" t="s">
        <v>94</v>
      </c>
      <c r="X4761" s="33">
        <v>807</v>
      </c>
      <c r="Z4761" s="33" t="s">
        <v>42968</v>
      </c>
      <c r="AA4761" s="33">
        <v>2903</v>
      </c>
    </row>
    <row r="4762" spans="1:27" ht="12" customHeight="1" x14ac:dyDescent="0.15">
      <c r="A4762" s="33" t="s">
        <v>436</v>
      </c>
      <c r="B4762" s="33">
        <v>28</v>
      </c>
      <c r="C4762" s="33" t="s">
        <v>103</v>
      </c>
      <c r="D4762" s="33" t="s">
        <v>79</v>
      </c>
      <c r="E4762" s="33" t="s">
        <v>437</v>
      </c>
      <c r="F4762" s="67">
        <v>42252</v>
      </c>
      <c r="G4762" s="33" t="s">
        <v>438</v>
      </c>
      <c r="H4762" s="33" t="s">
        <v>439</v>
      </c>
      <c r="I4762" s="33" t="s">
        <v>225</v>
      </c>
      <c r="J4762" s="33" t="s">
        <v>440</v>
      </c>
      <c r="K4762" s="33" t="s">
        <v>12081</v>
      </c>
      <c r="L4762" s="33" t="s">
        <v>441</v>
      </c>
      <c r="M4762" s="33" t="s">
        <v>21</v>
      </c>
      <c r="N4762" s="33" t="s">
        <v>36756</v>
      </c>
      <c r="O4762" s="33" t="s">
        <v>372</v>
      </c>
      <c r="P4762" s="33" t="s">
        <v>30089</v>
      </c>
      <c r="Q4762" s="40" t="s">
        <v>18167</v>
      </c>
      <c r="R4762" s="33" t="s">
        <v>94</v>
      </c>
      <c r="S4762" s="33" t="s">
        <v>12</v>
      </c>
      <c r="T4762" s="33" t="s">
        <v>29705</v>
      </c>
      <c r="U4762" s="33" t="s">
        <v>26575</v>
      </c>
      <c r="V4762" s="33" t="s">
        <v>26573</v>
      </c>
      <c r="W4762" s="33" t="s">
        <v>94</v>
      </c>
      <c r="X4762" s="33">
        <v>808</v>
      </c>
      <c r="Z4762" s="33" t="s">
        <v>42968</v>
      </c>
      <c r="AA4762" s="33">
        <v>2906</v>
      </c>
    </row>
    <row r="4763" spans="1:27" ht="12" customHeight="1" x14ac:dyDescent="0.15">
      <c r="A4763" s="33" t="s">
        <v>458</v>
      </c>
      <c r="B4763" s="33">
        <v>27</v>
      </c>
      <c r="C4763" s="33" t="s">
        <v>14</v>
      </c>
      <c r="D4763" s="33" t="s">
        <v>31</v>
      </c>
      <c r="E4763" s="33" t="s">
        <v>459</v>
      </c>
      <c r="F4763" s="67">
        <v>42251</v>
      </c>
      <c r="G4763" s="33" t="s">
        <v>18184</v>
      </c>
      <c r="H4763" s="33" t="s">
        <v>18185</v>
      </c>
      <c r="I4763" s="33" t="s">
        <v>39</v>
      </c>
      <c r="J4763" s="33" t="s">
        <v>18186</v>
      </c>
      <c r="K4763" s="33" t="s">
        <v>4965</v>
      </c>
      <c r="L4763" s="33" t="s">
        <v>460</v>
      </c>
      <c r="M4763" s="33" t="s">
        <v>21</v>
      </c>
      <c r="N4763" s="33" t="s">
        <v>18187</v>
      </c>
      <c r="O4763" s="33" t="s">
        <v>372</v>
      </c>
      <c r="P4763" s="33" t="s">
        <v>30089</v>
      </c>
      <c r="Q4763" s="40" t="s">
        <v>18188</v>
      </c>
      <c r="R4763" s="33" t="s">
        <v>94</v>
      </c>
      <c r="S4763" s="33" t="s">
        <v>22</v>
      </c>
      <c r="T4763" s="33" t="s">
        <v>26781</v>
      </c>
      <c r="U4763" s="33" t="s">
        <v>26572</v>
      </c>
      <c r="V4763" s="33" t="s">
        <v>26571</v>
      </c>
      <c r="W4763" s="33" t="s">
        <v>94</v>
      </c>
      <c r="X4763" s="33">
        <v>802</v>
      </c>
      <c r="Z4763" s="33" t="s">
        <v>42967</v>
      </c>
      <c r="AA4763" s="33">
        <v>2898</v>
      </c>
    </row>
    <row r="4764" spans="1:27" ht="12" customHeight="1" x14ac:dyDescent="0.15">
      <c r="A4764" s="33" t="s">
        <v>470</v>
      </c>
      <c r="B4764" s="33">
        <v>33</v>
      </c>
      <c r="C4764" s="33" t="s">
        <v>14</v>
      </c>
      <c r="D4764" s="33" t="s">
        <v>31</v>
      </c>
      <c r="E4764" s="33" t="s">
        <v>471</v>
      </c>
      <c r="F4764" s="67">
        <v>42251</v>
      </c>
      <c r="G4764" s="33" t="s">
        <v>18180</v>
      </c>
      <c r="H4764" s="33" t="s">
        <v>472</v>
      </c>
      <c r="I4764" s="33" t="s">
        <v>376</v>
      </c>
      <c r="J4764" s="33" t="s">
        <v>18181</v>
      </c>
      <c r="K4764" s="33" t="s">
        <v>7338</v>
      </c>
      <c r="L4764" s="33" t="s">
        <v>473</v>
      </c>
      <c r="M4764" s="33" t="s">
        <v>363</v>
      </c>
      <c r="N4764" s="33" t="s">
        <v>18182</v>
      </c>
      <c r="O4764" s="33" t="s">
        <v>372</v>
      </c>
      <c r="P4764" s="33" t="s">
        <v>30089</v>
      </c>
      <c r="Q4764" s="40" t="s">
        <v>18183</v>
      </c>
      <c r="R4764" s="33" t="s">
        <v>94</v>
      </c>
      <c r="S4764" s="33" t="s">
        <v>12</v>
      </c>
      <c r="T4764" s="54" t="s">
        <v>29705</v>
      </c>
      <c r="Z4764" s="33" t="s">
        <v>42968</v>
      </c>
      <c r="AA4764" s="33">
        <v>2902</v>
      </c>
    </row>
    <row r="4765" spans="1:27" ht="12" customHeight="1" x14ac:dyDescent="0.15">
      <c r="A4765" s="33" t="s">
        <v>474</v>
      </c>
      <c r="B4765" s="33">
        <v>37</v>
      </c>
      <c r="C4765" s="33" t="s">
        <v>14</v>
      </c>
      <c r="D4765" s="33" t="s">
        <v>15</v>
      </c>
      <c r="E4765" s="33" t="s">
        <v>475</v>
      </c>
      <c r="F4765" s="67">
        <v>42251</v>
      </c>
      <c r="G4765" s="33" t="s">
        <v>22150</v>
      </c>
      <c r="H4765" s="33" t="s">
        <v>476</v>
      </c>
      <c r="I4765" s="33" t="s">
        <v>132</v>
      </c>
      <c r="J4765" s="33" t="s">
        <v>5685</v>
      </c>
      <c r="K4765" s="33" t="s">
        <v>5686</v>
      </c>
      <c r="L4765" s="33" t="s">
        <v>477</v>
      </c>
      <c r="M4765" s="33" t="s">
        <v>21</v>
      </c>
      <c r="N4765" s="33" t="s">
        <v>18174</v>
      </c>
      <c r="O4765" s="33" t="s">
        <v>372</v>
      </c>
      <c r="P4765" s="33" t="s">
        <v>30089</v>
      </c>
      <c r="Q4765" s="40" t="s">
        <v>18175</v>
      </c>
      <c r="R4765" s="33" t="s">
        <v>512</v>
      </c>
      <c r="S4765" s="33" t="s">
        <v>22</v>
      </c>
      <c r="T4765" s="33" t="s">
        <v>26781</v>
      </c>
      <c r="U4765" s="33" t="s">
        <v>26572</v>
      </c>
      <c r="V4765" s="33" t="s">
        <v>26573</v>
      </c>
      <c r="W4765" s="33" t="s">
        <v>94</v>
      </c>
      <c r="X4765" s="33">
        <v>800</v>
      </c>
      <c r="Z4765" s="33" t="s">
        <v>42967</v>
      </c>
      <c r="AA4765" s="33">
        <v>2897</v>
      </c>
    </row>
    <row r="4766" spans="1:27" ht="12" customHeight="1" x14ac:dyDescent="0.15">
      <c r="A4766" s="33" t="s">
        <v>465</v>
      </c>
      <c r="B4766" s="33">
        <v>23</v>
      </c>
      <c r="C4766" s="33" t="s">
        <v>14</v>
      </c>
      <c r="D4766" s="33" t="s">
        <v>31</v>
      </c>
      <c r="E4766" s="33" t="s">
        <v>466</v>
      </c>
      <c r="F4766" s="67">
        <v>42251</v>
      </c>
      <c r="G4766" s="33" t="s">
        <v>18193</v>
      </c>
      <c r="H4766" s="33" t="s">
        <v>467</v>
      </c>
      <c r="I4766" s="33" t="s">
        <v>468</v>
      </c>
      <c r="J4766" s="33" t="s">
        <v>18194</v>
      </c>
      <c r="K4766" s="33" t="s">
        <v>590</v>
      </c>
      <c r="L4766" s="33" t="s">
        <v>469</v>
      </c>
      <c r="M4766" s="33" t="s">
        <v>21</v>
      </c>
      <c r="N4766" s="33" t="s">
        <v>18195</v>
      </c>
      <c r="O4766" s="33" t="s">
        <v>372</v>
      </c>
      <c r="P4766" s="33" t="s">
        <v>30089</v>
      </c>
      <c r="Q4766" s="40" t="s">
        <v>18196</v>
      </c>
      <c r="R4766" s="33" t="s">
        <v>512</v>
      </c>
      <c r="S4766" s="33" t="s">
        <v>22</v>
      </c>
      <c r="T4766" s="33" t="s">
        <v>26774</v>
      </c>
      <c r="U4766" s="33" t="s">
        <v>26570</v>
      </c>
      <c r="V4766" s="33" t="s">
        <v>26573</v>
      </c>
      <c r="W4766" s="33" t="s">
        <v>94</v>
      </c>
      <c r="X4766" s="33">
        <v>804</v>
      </c>
      <c r="Z4766" s="33" t="s">
        <v>42968</v>
      </c>
      <c r="AA4766" s="33">
        <v>2900</v>
      </c>
    </row>
    <row r="4767" spans="1:27" ht="12" customHeight="1" x14ac:dyDescent="0.15">
      <c r="A4767" s="33" t="s">
        <v>478</v>
      </c>
      <c r="B4767" s="33">
        <v>36</v>
      </c>
      <c r="C4767" s="33" t="s">
        <v>14</v>
      </c>
      <c r="D4767" s="33" t="s">
        <v>31</v>
      </c>
      <c r="E4767" s="33" t="s">
        <v>479</v>
      </c>
      <c r="F4767" s="67">
        <v>42251</v>
      </c>
      <c r="G4767" s="33" t="s">
        <v>480</v>
      </c>
      <c r="H4767" s="33" t="s">
        <v>481</v>
      </c>
      <c r="I4767" s="33" t="s">
        <v>67</v>
      </c>
      <c r="J4767" s="33" t="s">
        <v>18189</v>
      </c>
      <c r="K4767" s="33" t="s">
        <v>1517</v>
      </c>
      <c r="L4767" s="33" t="s">
        <v>18190</v>
      </c>
      <c r="M4767" s="33" t="s">
        <v>21</v>
      </c>
      <c r="N4767" s="33" t="s">
        <v>18191</v>
      </c>
      <c r="O4767" s="33" t="s">
        <v>372</v>
      </c>
      <c r="P4767" s="33" t="s">
        <v>30089</v>
      </c>
      <c r="Q4767" s="40" t="s">
        <v>18192</v>
      </c>
      <c r="R4767" s="33" t="s">
        <v>23</v>
      </c>
      <c r="S4767" s="33" t="s">
        <v>22</v>
      </c>
      <c r="T4767" s="33" t="s">
        <v>26781</v>
      </c>
      <c r="U4767" s="33" t="s">
        <v>26572</v>
      </c>
      <c r="V4767" s="33" t="s">
        <v>26573</v>
      </c>
      <c r="W4767" s="33" t="s">
        <v>94</v>
      </c>
      <c r="X4767" s="33">
        <v>803</v>
      </c>
      <c r="Z4767" s="33" t="s">
        <v>42967</v>
      </c>
      <c r="AA4767" s="33">
        <v>2899</v>
      </c>
    </row>
    <row r="4768" spans="1:27" ht="12" customHeight="1" x14ac:dyDescent="0.15">
      <c r="A4768" s="33" t="s">
        <v>461</v>
      </c>
      <c r="B4768" s="33">
        <v>49</v>
      </c>
      <c r="C4768" s="33" t="s">
        <v>14</v>
      </c>
      <c r="D4768" s="33" t="s">
        <v>42</v>
      </c>
      <c r="E4768" s="33" t="s">
        <v>462</v>
      </c>
      <c r="F4768" s="67">
        <v>42251</v>
      </c>
      <c r="G4768" s="33" t="s">
        <v>18176</v>
      </c>
      <c r="H4768" s="33" t="s">
        <v>463</v>
      </c>
      <c r="I4768" s="33" t="s">
        <v>198</v>
      </c>
      <c r="J4768" s="33" t="s">
        <v>18177</v>
      </c>
      <c r="K4768" s="33" t="s">
        <v>998</v>
      </c>
      <c r="L4768" s="33" t="s">
        <v>464</v>
      </c>
      <c r="M4768" s="33" t="s">
        <v>4966</v>
      </c>
      <c r="N4768" s="33" t="s">
        <v>18178</v>
      </c>
      <c r="O4768" s="33" t="s">
        <v>372</v>
      </c>
      <c r="P4768" s="33" t="s">
        <v>30089</v>
      </c>
      <c r="Q4768" s="40" t="s">
        <v>18179</v>
      </c>
      <c r="R4768" s="33" t="s">
        <v>94</v>
      </c>
      <c r="S4768" s="33" t="s">
        <v>22</v>
      </c>
      <c r="T4768" s="33" t="s">
        <v>26584</v>
      </c>
      <c r="U4768" s="33" t="s">
        <v>26572</v>
      </c>
      <c r="V4768" s="33" t="s">
        <v>26573</v>
      </c>
      <c r="W4768" s="33" t="s">
        <v>94</v>
      </c>
      <c r="X4768" s="33">
        <v>801</v>
      </c>
      <c r="Z4768" s="33" t="s">
        <v>42967</v>
      </c>
      <c r="AA4768" s="33">
        <v>2901</v>
      </c>
    </row>
    <row r="4769" spans="1:27" ht="12" customHeight="1" x14ac:dyDescent="0.15">
      <c r="A4769" s="33" t="s">
        <v>483</v>
      </c>
      <c r="B4769" s="33">
        <v>45</v>
      </c>
      <c r="C4769" s="33" t="s">
        <v>14</v>
      </c>
      <c r="D4769" s="33" t="s">
        <v>31</v>
      </c>
      <c r="F4769" s="67">
        <v>42249</v>
      </c>
      <c r="G4769" s="33" t="s">
        <v>18197</v>
      </c>
      <c r="H4769" s="33" t="s">
        <v>484</v>
      </c>
      <c r="I4769" s="33" t="s">
        <v>112</v>
      </c>
      <c r="J4769" s="33" t="s">
        <v>18198</v>
      </c>
      <c r="K4769" s="33" t="s">
        <v>166</v>
      </c>
      <c r="L4769" s="33" t="s">
        <v>167</v>
      </c>
      <c r="M4769" s="33" t="s">
        <v>21</v>
      </c>
      <c r="N4769" s="33" t="s">
        <v>18199</v>
      </c>
      <c r="O4769" s="33" t="s">
        <v>372</v>
      </c>
      <c r="P4769" s="33" t="s">
        <v>30089</v>
      </c>
      <c r="Q4769" s="40" t="s">
        <v>18200</v>
      </c>
      <c r="R4769" s="33" t="s">
        <v>512</v>
      </c>
      <c r="S4769" s="33" t="s">
        <v>22</v>
      </c>
      <c r="T4769" s="33" t="s">
        <v>26781</v>
      </c>
      <c r="U4769" s="33" t="s">
        <v>26572</v>
      </c>
      <c r="V4769" s="33" t="s">
        <v>26573</v>
      </c>
      <c r="W4769" s="33" t="s">
        <v>512</v>
      </c>
      <c r="X4769" s="33">
        <v>799</v>
      </c>
      <c r="Z4769" s="33" t="s">
        <v>42968</v>
      </c>
      <c r="AA4769" s="33">
        <v>2896</v>
      </c>
    </row>
    <row r="4770" spans="1:27" ht="12" customHeight="1" x14ac:dyDescent="0.15">
      <c r="A4770" s="33" t="s">
        <v>488</v>
      </c>
      <c r="B4770" s="33">
        <v>47</v>
      </c>
      <c r="C4770" s="33" t="s">
        <v>14</v>
      </c>
      <c r="D4770" s="33" t="s">
        <v>31</v>
      </c>
      <c r="E4770" s="33" t="s">
        <v>489</v>
      </c>
      <c r="F4770" s="67">
        <v>42248</v>
      </c>
      <c r="G4770" s="33" t="s">
        <v>490</v>
      </c>
      <c r="H4770" s="33" t="s">
        <v>491</v>
      </c>
      <c r="I4770" s="33" t="s">
        <v>178</v>
      </c>
      <c r="J4770" s="33" t="s">
        <v>18208</v>
      </c>
      <c r="K4770" s="33" t="s">
        <v>8436</v>
      </c>
      <c r="L4770" s="33" t="s">
        <v>492</v>
      </c>
      <c r="M4770" s="33" t="s">
        <v>21</v>
      </c>
      <c r="N4770" s="33" t="s">
        <v>18209</v>
      </c>
      <c r="O4770" s="33" t="s">
        <v>372</v>
      </c>
      <c r="P4770" s="33" t="s">
        <v>30089</v>
      </c>
      <c r="Q4770" s="40" t="s">
        <v>18210</v>
      </c>
      <c r="R4770" s="33" t="s">
        <v>94</v>
      </c>
      <c r="S4770" s="33" t="s">
        <v>22</v>
      </c>
      <c r="T4770" s="33" t="s">
        <v>26781</v>
      </c>
      <c r="U4770" s="33" t="s">
        <v>26572</v>
      </c>
      <c r="V4770" s="33" t="s">
        <v>26573</v>
      </c>
      <c r="W4770" s="33" t="s">
        <v>94</v>
      </c>
      <c r="X4770" s="33">
        <v>798</v>
      </c>
      <c r="Z4770" s="33" t="s">
        <v>42967</v>
      </c>
      <c r="AA4770" s="33">
        <v>2894</v>
      </c>
    </row>
    <row r="4771" spans="1:27" ht="12" customHeight="1" x14ac:dyDescent="0.15">
      <c r="A4771" s="33" t="s">
        <v>493</v>
      </c>
      <c r="B4771" s="33">
        <v>76</v>
      </c>
      <c r="C4771" s="33" t="s">
        <v>14</v>
      </c>
      <c r="D4771" s="33" t="s">
        <v>31</v>
      </c>
      <c r="F4771" s="67">
        <v>42248</v>
      </c>
      <c r="G4771" s="33" t="s">
        <v>18204</v>
      </c>
      <c r="H4771" s="33" t="s">
        <v>494</v>
      </c>
      <c r="I4771" s="33" t="s">
        <v>63</v>
      </c>
      <c r="J4771" s="33" t="s">
        <v>18205</v>
      </c>
      <c r="K4771" s="33" t="s">
        <v>3180</v>
      </c>
      <c r="L4771" s="33" t="s">
        <v>495</v>
      </c>
      <c r="M4771" s="33" t="s">
        <v>21</v>
      </c>
      <c r="N4771" s="33" t="s">
        <v>18206</v>
      </c>
      <c r="O4771" s="33" t="s">
        <v>372</v>
      </c>
      <c r="P4771" s="33" t="s">
        <v>30089</v>
      </c>
      <c r="Q4771" s="40" t="s">
        <v>18207</v>
      </c>
      <c r="R4771" s="33" t="s">
        <v>94</v>
      </c>
      <c r="S4771" s="33" t="s">
        <v>22</v>
      </c>
      <c r="T4771" s="33" t="s">
        <v>26781</v>
      </c>
      <c r="U4771" s="33" t="s">
        <v>26572</v>
      </c>
      <c r="V4771" s="33" t="s">
        <v>26573</v>
      </c>
      <c r="W4771" s="33" t="s">
        <v>94</v>
      </c>
      <c r="X4771" s="33">
        <v>797</v>
      </c>
      <c r="Z4771" s="33" t="s">
        <v>42968</v>
      </c>
      <c r="AA4771" s="33">
        <v>2893</v>
      </c>
    </row>
    <row r="4772" spans="1:27" ht="12" customHeight="1" x14ac:dyDescent="0.15">
      <c r="A4772" s="33" t="s">
        <v>498</v>
      </c>
      <c r="B4772" s="33">
        <v>33</v>
      </c>
      <c r="C4772" s="33" t="s">
        <v>14</v>
      </c>
      <c r="D4772" s="33" t="s">
        <v>79</v>
      </c>
      <c r="E4772" s="33" t="s">
        <v>499</v>
      </c>
      <c r="F4772" s="67">
        <v>42248</v>
      </c>
      <c r="G4772" s="33" t="s">
        <v>18201</v>
      </c>
      <c r="H4772" s="33" t="s">
        <v>500</v>
      </c>
      <c r="I4772" s="33" t="s">
        <v>139</v>
      </c>
      <c r="J4772" s="33" t="s">
        <v>501</v>
      </c>
      <c r="K4772" s="33" t="s">
        <v>2675</v>
      </c>
      <c r="L4772" s="33" t="s">
        <v>502</v>
      </c>
      <c r="M4772" s="33" t="s">
        <v>21</v>
      </c>
      <c r="N4772" s="33" t="s">
        <v>18202</v>
      </c>
      <c r="O4772" s="33" t="s">
        <v>372</v>
      </c>
      <c r="P4772" s="33" t="s">
        <v>30089</v>
      </c>
      <c r="Q4772" s="40" t="s">
        <v>18203</v>
      </c>
      <c r="R4772" s="33" t="s">
        <v>94</v>
      </c>
      <c r="S4772" s="33" t="s">
        <v>22</v>
      </c>
      <c r="T4772" s="33" t="s">
        <v>29421</v>
      </c>
      <c r="U4772" s="33" t="s">
        <v>26572</v>
      </c>
      <c r="V4772" s="33" t="s">
        <v>26574</v>
      </c>
      <c r="W4772" s="33" t="s">
        <v>94</v>
      </c>
      <c r="X4772" s="33">
        <v>794</v>
      </c>
      <c r="Z4772" s="33" t="s">
        <v>42966</v>
      </c>
      <c r="AA4772" s="33">
        <v>2895</v>
      </c>
    </row>
    <row r="4773" spans="1:27" ht="12" customHeight="1" x14ac:dyDescent="0.15">
      <c r="A4773" s="33" t="s">
        <v>508</v>
      </c>
      <c r="B4773" s="33">
        <v>45</v>
      </c>
      <c r="C4773" s="33" t="s">
        <v>14</v>
      </c>
      <c r="D4773" s="33" t="s">
        <v>31</v>
      </c>
      <c r="E4773" s="33" t="s">
        <v>17593</v>
      </c>
      <c r="F4773" s="67">
        <v>42247</v>
      </c>
      <c r="G4773" s="33" t="s">
        <v>17835</v>
      </c>
      <c r="H4773" s="33" t="s">
        <v>509</v>
      </c>
      <c r="I4773" s="33" t="s">
        <v>192</v>
      </c>
      <c r="J4773" s="33" t="s">
        <v>17836</v>
      </c>
      <c r="K4773" s="33" t="s">
        <v>510</v>
      </c>
      <c r="L4773" s="33" t="s">
        <v>511</v>
      </c>
      <c r="M4773" s="33" t="s">
        <v>21</v>
      </c>
      <c r="N4773" s="33" t="s">
        <v>17657</v>
      </c>
      <c r="O4773" s="33" t="s">
        <v>372</v>
      </c>
      <c r="P4773" s="33" t="s">
        <v>30089</v>
      </c>
      <c r="Q4773" s="40" t="s">
        <v>17658</v>
      </c>
      <c r="R4773" s="33" t="s">
        <v>94</v>
      </c>
      <c r="S4773" s="33" t="s">
        <v>22</v>
      </c>
      <c r="T4773" s="33" t="s">
        <v>26774</v>
      </c>
      <c r="U4773" s="33" t="s">
        <v>26572</v>
      </c>
      <c r="V4773" s="33" t="s">
        <v>26574</v>
      </c>
      <c r="W4773" s="33" t="s">
        <v>94</v>
      </c>
      <c r="X4773" s="33">
        <v>792</v>
      </c>
      <c r="Z4773" s="33" t="s">
        <v>42968</v>
      </c>
      <c r="AA4773" s="33">
        <v>2890</v>
      </c>
    </row>
    <row r="4774" spans="1:27" ht="12" customHeight="1" x14ac:dyDescent="0.15">
      <c r="A4774" s="33" t="s">
        <v>503</v>
      </c>
      <c r="B4774" s="33">
        <v>48</v>
      </c>
      <c r="C4774" s="33" t="s">
        <v>14</v>
      </c>
      <c r="D4774" s="33" t="s">
        <v>79</v>
      </c>
      <c r="E4774" s="33" t="s">
        <v>17591</v>
      </c>
      <c r="F4774" s="67">
        <v>42247</v>
      </c>
      <c r="G4774" s="33" t="s">
        <v>17832</v>
      </c>
      <c r="H4774" s="33" t="s">
        <v>504</v>
      </c>
      <c r="I4774" s="33" t="s">
        <v>63</v>
      </c>
      <c r="J4774" s="33" t="s">
        <v>17833</v>
      </c>
      <c r="K4774" s="33" t="s">
        <v>505</v>
      </c>
      <c r="L4774" s="33" t="s">
        <v>506</v>
      </c>
      <c r="M4774" s="33" t="s">
        <v>363</v>
      </c>
      <c r="N4774" s="33" t="s">
        <v>17654</v>
      </c>
      <c r="O4774" s="33" t="s">
        <v>372</v>
      </c>
      <c r="P4774" s="33" t="s">
        <v>30089</v>
      </c>
      <c r="Q4774" s="40" t="s">
        <v>17655</v>
      </c>
      <c r="R4774" s="33" t="s">
        <v>94</v>
      </c>
      <c r="S4774" s="33" t="s">
        <v>12</v>
      </c>
      <c r="T4774" s="54" t="s">
        <v>29705</v>
      </c>
      <c r="Z4774" s="33" t="s">
        <v>42966</v>
      </c>
      <c r="AA4774" s="33">
        <v>2891</v>
      </c>
    </row>
    <row r="4775" spans="1:27" ht="12" customHeight="1" x14ac:dyDescent="0.15">
      <c r="A4775" s="33" t="s">
        <v>513</v>
      </c>
      <c r="B4775" s="33">
        <v>18</v>
      </c>
      <c r="C4775" s="33" t="s">
        <v>14</v>
      </c>
      <c r="D4775" s="33" t="s">
        <v>31</v>
      </c>
      <c r="E4775" s="33" t="s">
        <v>17592</v>
      </c>
      <c r="F4775" s="67">
        <v>42247</v>
      </c>
      <c r="G4775" s="33" t="s">
        <v>514</v>
      </c>
      <c r="H4775" s="33" t="s">
        <v>505</v>
      </c>
      <c r="I4775" s="33" t="s">
        <v>160</v>
      </c>
      <c r="J4775" s="33" t="s">
        <v>17834</v>
      </c>
      <c r="K4775" s="33" t="s">
        <v>515</v>
      </c>
      <c r="L4775" s="33" t="s">
        <v>516</v>
      </c>
      <c r="M4775" s="33" t="s">
        <v>363</v>
      </c>
      <c r="N4775" s="33" t="s">
        <v>19107</v>
      </c>
      <c r="O4775" s="33" t="s">
        <v>372</v>
      </c>
      <c r="P4775" s="33" t="s">
        <v>30089</v>
      </c>
      <c r="Q4775" s="40" t="s">
        <v>17656</v>
      </c>
      <c r="R4775" s="33" t="s">
        <v>94</v>
      </c>
      <c r="S4775" s="1" t="s">
        <v>12</v>
      </c>
      <c r="T4775" s="33" t="s">
        <v>26867</v>
      </c>
      <c r="Z4775" s="33" t="s">
        <v>42967</v>
      </c>
      <c r="AA4775" s="33">
        <v>2892</v>
      </c>
    </row>
    <row r="4776" spans="1:27" ht="12" customHeight="1" x14ac:dyDescent="0.15">
      <c r="A4776" s="33" t="s">
        <v>517</v>
      </c>
      <c r="B4776" s="33">
        <v>40</v>
      </c>
      <c r="C4776" s="33" t="s">
        <v>14</v>
      </c>
      <c r="D4776" s="33" t="s">
        <v>42</v>
      </c>
      <c r="F4776" s="67">
        <v>42246</v>
      </c>
      <c r="G4776" s="33" t="s">
        <v>22152</v>
      </c>
      <c r="H4776" s="33" t="s">
        <v>518</v>
      </c>
      <c r="I4776" s="33" t="s">
        <v>112</v>
      </c>
      <c r="J4776" s="33" t="s">
        <v>17837</v>
      </c>
      <c r="K4776" s="33" t="s">
        <v>519</v>
      </c>
      <c r="L4776" s="33" t="s">
        <v>520</v>
      </c>
      <c r="M4776" s="33" t="s">
        <v>21</v>
      </c>
      <c r="N4776" s="33" t="s">
        <v>17659</v>
      </c>
      <c r="O4776" s="33" t="s">
        <v>372</v>
      </c>
      <c r="P4776" s="33" t="s">
        <v>30089</v>
      </c>
      <c r="Q4776" s="40" t="s">
        <v>17660</v>
      </c>
      <c r="R4776" s="33" t="s">
        <v>94</v>
      </c>
      <c r="S4776" s="33" t="s">
        <v>22</v>
      </c>
      <c r="T4776" s="33" t="s">
        <v>26781</v>
      </c>
      <c r="U4776" s="33" t="s">
        <v>26572</v>
      </c>
      <c r="V4776" s="33" t="s">
        <v>26573</v>
      </c>
      <c r="W4776" s="33" t="s">
        <v>94</v>
      </c>
      <c r="X4776" s="33">
        <v>791</v>
      </c>
      <c r="Z4776" s="33" t="s">
        <v>42968</v>
      </c>
      <c r="AA4776" s="33">
        <v>2889</v>
      </c>
    </row>
    <row r="4777" spans="1:27" ht="12" customHeight="1" x14ac:dyDescent="0.15">
      <c r="A4777" s="33" t="s">
        <v>521</v>
      </c>
      <c r="B4777" s="33">
        <v>20</v>
      </c>
      <c r="C4777" s="33" t="s">
        <v>14</v>
      </c>
      <c r="D4777" s="33" t="s">
        <v>31</v>
      </c>
      <c r="F4777" s="67">
        <v>42246</v>
      </c>
      <c r="G4777" s="33" t="s">
        <v>22151</v>
      </c>
      <c r="H4777" s="33" t="s">
        <v>522</v>
      </c>
      <c r="I4777" s="33" t="s">
        <v>367</v>
      </c>
      <c r="J4777" s="33" t="s">
        <v>16751</v>
      </c>
      <c r="K4777" s="33" t="s">
        <v>523</v>
      </c>
      <c r="L4777" s="33" t="s">
        <v>524</v>
      </c>
      <c r="M4777" s="33" t="s">
        <v>21</v>
      </c>
      <c r="N4777" s="33" t="s">
        <v>17661</v>
      </c>
      <c r="O4777" s="33" t="s">
        <v>507</v>
      </c>
      <c r="P4777" s="33" t="s">
        <v>30089</v>
      </c>
      <c r="Q4777" s="40" t="s">
        <v>17662</v>
      </c>
      <c r="R4777" s="33" t="s">
        <v>94</v>
      </c>
      <c r="S4777" s="33" t="s">
        <v>22</v>
      </c>
      <c r="T4777" s="33" t="s">
        <v>26781</v>
      </c>
      <c r="U4777" s="33" t="s">
        <v>26572</v>
      </c>
      <c r="V4777" s="33" t="s">
        <v>26573</v>
      </c>
      <c r="W4777" s="33" t="s">
        <v>94</v>
      </c>
      <c r="X4777" s="33">
        <v>790</v>
      </c>
      <c r="Z4777" s="33" t="s">
        <v>42967</v>
      </c>
      <c r="AA4777" s="33">
        <v>2888</v>
      </c>
    </row>
    <row r="4778" spans="1:27" ht="12" customHeight="1" x14ac:dyDescent="0.15">
      <c r="A4778" s="33" t="s">
        <v>529</v>
      </c>
      <c r="B4778" s="33">
        <v>29</v>
      </c>
      <c r="C4778" s="33" t="s">
        <v>14</v>
      </c>
      <c r="D4778" s="33" t="s">
        <v>42</v>
      </c>
      <c r="F4778" s="67">
        <v>42245</v>
      </c>
      <c r="G4778" s="33" t="s">
        <v>17838</v>
      </c>
      <c r="H4778" s="33" t="s">
        <v>81</v>
      </c>
      <c r="I4778" s="33" t="s">
        <v>38</v>
      </c>
      <c r="J4778" s="33" t="s">
        <v>12382</v>
      </c>
      <c r="K4778" s="33" t="s">
        <v>82</v>
      </c>
      <c r="L4778" s="33" t="s">
        <v>83</v>
      </c>
      <c r="M4778" s="33" t="s">
        <v>21</v>
      </c>
      <c r="N4778" s="33" t="s">
        <v>36757</v>
      </c>
      <c r="O4778" s="33" t="s">
        <v>950</v>
      </c>
      <c r="P4778" s="33" t="s">
        <v>30089</v>
      </c>
      <c r="Q4778" s="40" t="s">
        <v>17665</v>
      </c>
      <c r="R4778" s="33" t="s">
        <v>94</v>
      </c>
      <c r="S4778" s="33" t="s">
        <v>12</v>
      </c>
      <c r="T4778" s="33" t="s">
        <v>29705</v>
      </c>
      <c r="U4778" s="33" t="s">
        <v>26575</v>
      </c>
      <c r="V4778" s="33" t="s">
        <v>26571</v>
      </c>
      <c r="W4778" s="33" t="s">
        <v>94</v>
      </c>
      <c r="X4778" s="33">
        <v>795</v>
      </c>
      <c r="Z4778" s="33" t="s">
        <v>42966</v>
      </c>
      <c r="AA4778" s="33">
        <v>2887</v>
      </c>
    </row>
    <row r="4779" spans="1:27" ht="12" customHeight="1" x14ac:dyDescent="0.15">
      <c r="A4779" s="33" t="s">
        <v>530</v>
      </c>
      <c r="B4779" s="33">
        <v>43</v>
      </c>
      <c r="C4779" s="33" t="s">
        <v>14</v>
      </c>
      <c r="D4779" s="33" t="s">
        <v>31</v>
      </c>
      <c r="E4779" s="33" t="s">
        <v>17595</v>
      </c>
      <c r="F4779" s="67">
        <v>42245</v>
      </c>
      <c r="G4779" s="33" t="s">
        <v>531</v>
      </c>
      <c r="H4779" s="33" t="s">
        <v>532</v>
      </c>
      <c r="I4779" s="33" t="s">
        <v>67</v>
      </c>
      <c r="J4779" s="33" t="s">
        <v>17839</v>
      </c>
      <c r="K4779" s="33" t="s">
        <v>533</v>
      </c>
      <c r="L4779" s="33" t="s">
        <v>534</v>
      </c>
      <c r="M4779" s="33" t="s">
        <v>21</v>
      </c>
      <c r="N4779" s="33" t="s">
        <v>17666</v>
      </c>
      <c r="O4779" s="33" t="s">
        <v>372</v>
      </c>
      <c r="P4779" s="33" t="s">
        <v>30089</v>
      </c>
      <c r="Q4779" s="40" t="s">
        <v>17667</v>
      </c>
      <c r="R4779" s="33" t="s">
        <v>94</v>
      </c>
      <c r="S4779" s="33" t="s">
        <v>22</v>
      </c>
      <c r="T4779" s="33" t="s">
        <v>26774</v>
      </c>
      <c r="U4779" s="33" t="s">
        <v>26570</v>
      </c>
      <c r="V4779" s="33" t="s">
        <v>26573</v>
      </c>
      <c r="W4779" s="33" t="s">
        <v>94</v>
      </c>
      <c r="X4779" s="33">
        <v>789</v>
      </c>
      <c r="Z4779" s="33" t="s">
        <v>42968</v>
      </c>
      <c r="AA4779" s="33">
        <v>2886</v>
      </c>
    </row>
    <row r="4780" spans="1:27" ht="12" customHeight="1" x14ac:dyDescent="0.15">
      <c r="A4780" s="33" t="s">
        <v>525</v>
      </c>
      <c r="B4780" s="33">
        <v>25</v>
      </c>
      <c r="C4780" s="33" t="s">
        <v>14</v>
      </c>
      <c r="D4780" s="33" t="s">
        <v>79</v>
      </c>
      <c r="E4780" s="33" t="s">
        <v>17594</v>
      </c>
      <c r="F4780" s="67">
        <v>42245</v>
      </c>
      <c r="G4780" s="33" t="s">
        <v>526</v>
      </c>
      <c r="H4780" s="33" t="s">
        <v>249</v>
      </c>
      <c r="I4780" s="33" t="s">
        <v>250</v>
      </c>
      <c r="J4780" s="33" t="s">
        <v>6231</v>
      </c>
      <c r="K4780" s="33" t="s">
        <v>527</v>
      </c>
      <c r="L4780" s="33" t="s">
        <v>528</v>
      </c>
      <c r="M4780" s="33" t="s">
        <v>21</v>
      </c>
      <c r="N4780" s="33" t="s">
        <v>17663</v>
      </c>
      <c r="O4780" s="33" t="s">
        <v>372</v>
      </c>
      <c r="P4780" s="33" t="s">
        <v>30089</v>
      </c>
      <c r="Q4780" s="40" t="s">
        <v>17664</v>
      </c>
      <c r="R4780" s="33" t="s">
        <v>94</v>
      </c>
      <c r="S4780" s="33" t="s">
        <v>22</v>
      </c>
      <c r="T4780" s="33" t="s">
        <v>26781</v>
      </c>
      <c r="U4780" s="33" t="s">
        <v>26572</v>
      </c>
      <c r="V4780" s="33" t="s">
        <v>26574</v>
      </c>
      <c r="W4780" s="33" t="s">
        <v>94</v>
      </c>
      <c r="X4780" s="33">
        <v>787</v>
      </c>
      <c r="Z4780" s="33" t="s">
        <v>42968</v>
      </c>
      <c r="AA4780" s="33">
        <v>2885</v>
      </c>
    </row>
    <row r="4781" spans="1:27" ht="12" customHeight="1" x14ac:dyDescent="0.15">
      <c r="A4781" s="33" t="s">
        <v>545</v>
      </c>
      <c r="B4781" s="33">
        <v>28</v>
      </c>
      <c r="C4781" s="33" t="s">
        <v>14</v>
      </c>
      <c r="D4781" s="33" t="s">
        <v>31</v>
      </c>
      <c r="E4781" s="33" t="s">
        <v>17597</v>
      </c>
      <c r="F4781" s="67">
        <v>42244</v>
      </c>
      <c r="G4781" s="33" t="s">
        <v>17844</v>
      </c>
      <c r="H4781" s="33" t="s">
        <v>546</v>
      </c>
      <c r="I4781" s="33" t="s">
        <v>221</v>
      </c>
      <c r="J4781" s="33" t="s">
        <v>10953</v>
      </c>
      <c r="K4781" s="33" t="s">
        <v>547</v>
      </c>
      <c r="L4781" s="33" t="s">
        <v>548</v>
      </c>
      <c r="M4781" s="33" t="s">
        <v>21</v>
      </c>
      <c r="N4781" s="33" t="s">
        <v>17675</v>
      </c>
      <c r="O4781" s="33" t="s">
        <v>17668</v>
      </c>
      <c r="P4781" s="33" t="s">
        <v>30089</v>
      </c>
      <c r="Q4781" s="40" t="s">
        <v>17676</v>
      </c>
      <c r="R4781" s="33" t="s">
        <v>512</v>
      </c>
      <c r="S4781" s="33" t="s">
        <v>22</v>
      </c>
      <c r="T4781" s="33" t="s">
        <v>26781</v>
      </c>
      <c r="U4781" s="33" t="s">
        <v>26572</v>
      </c>
      <c r="V4781" s="33" t="s">
        <v>26573</v>
      </c>
      <c r="W4781" s="33" t="s">
        <v>512</v>
      </c>
      <c r="X4781" s="33">
        <v>786</v>
      </c>
      <c r="Z4781" s="33" t="s">
        <v>42968</v>
      </c>
      <c r="AA4781" s="33">
        <v>2881</v>
      </c>
    </row>
    <row r="4782" spans="1:27" ht="12" customHeight="1" x14ac:dyDescent="0.15">
      <c r="A4782" s="33" t="s">
        <v>496</v>
      </c>
      <c r="B4782" s="33">
        <v>23</v>
      </c>
      <c r="C4782" s="33" t="s">
        <v>14</v>
      </c>
      <c r="D4782" s="33" t="s">
        <v>31</v>
      </c>
      <c r="E4782" s="33" t="s">
        <v>497</v>
      </c>
      <c r="F4782" s="67">
        <v>42244</v>
      </c>
      <c r="G4782" s="33" t="s">
        <v>549</v>
      </c>
      <c r="H4782" s="33" t="s">
        <v>550</v>
      </c>
      <c r="I4782" s="33" t="s">
        <v>67</v>
      </c>
      <c r="J4782" s="33">
        <v>75604</v>
      </c>
      <c r="K4782" s="33" t="s">
        <v>551</v>
      </c>
      <c r="L4782" s="33" t="s">
        <v>552</v>
      </c>
      <c r="M4782" s="33" t="s">
        <v>21</v>
      </c>
      <c r="N4782" s="33" t="s">
        <v>19129</v>
      </c>
      <c r="P4782" s="33" t="s">
        <v>30089</v>
      </c>
      <c r="Q4782" s="40" t="str">
        <f>HYPERLINK("http://www.kltv.com/story/29931923/man-shot-by-longview-officer-dies","http://www.kltv.com/story/29931923/man-shot-by-longview-officer-dies")</f>
        <v>http://www.kltv.com/story/29931923/man-shot-by-longview-officer-dies</v>
      </c>
      <c r="R4782" s="33" t="s">
        <v>23</v>
      </c>
      <c r="S4782" s="33" t="s">
        <v>22</v>
      </c>
      <c r="T4782" s="33" t="s">
        <v>26781</v>
      </c>
      <c r="U4782" s="33" t="s">
        <v>26572</v>
      </c>
      <c r="V4782" s="33" t="s">
        <v>26573</v>
      </c>
      <c r="W4782" s="33" t="s">
        <v>94</v>
      </c>
      <c r="X4782" s="33">
        <v>793</v>
      </c>
      <c r="Y4782" s="33" t="s">
        <v>42476</v>
      </c>
      <c r="Z4782" s="33" t="s">
        <v>42966</v>
      </c>
      <c r="AA4782" s="33">
        <v>2882</v>
      </c>
    </row>
    <row r="4783" spans="1:27" ht="12" customHeight="1" x14ac:dyDescent="0.15">
      <c r="A4783" s="33" t="s">
        <v>540</v>
      </c>
      <c r="B4783" s="33">
        <v>41</v>
      </c>
      <c r="C4783" s="33" t="s">
        <v>14</v>
      </c>
      <c r="D4783" s="33" t="s">
        <v>42</v>
      </c>
      <c r="E4783" s="33" t="s">
        <v>17596</v>
      </c>
      <c r="F4783" s="67">
        <v>42244</v>
      </c>
      <c r="G4783" s="33" t="s">
        <v>541</v>
      </c>
      <c r="H4783" s="33" t="s">
        <v>532</v>
      </c>
      <c r="I4783" s="33" t="s">
        <v>67</v>
      </c>
      <c r="J4783" s="33" t="s">
        <v>17842</v>
      </c>
      <c r="K4783" s="33" t="s">
        <v>533</v>
      </c>
      <c r="L4783" s="33" t="s">
        <v>542</v>
      </c>
      <c r="M4783" s="33" t="s">
        <v>21</v>
      </c>
      <c r="N4783" s="33" t="s">
        <v>17671</v>
      </c>
      <c r="O4783" s="33" t="s">
        <v>17668</v>
      </c>
      <c r="P4783" s="33" t="s">
        <v>30089</v>
      </c>
      <c r="Q4783" s="40" t="s">
        <v>17672</v>
      </c>
      <c r="R4783" s="33" t="s">
        <v>512</v>
      </c>
      <c r="S4783" s="33" t="s">
        <v>29</v>
      </c>
      <c r="T4783" s="33" t="s">
        <v>26575</v>
      </c>
      <c r="U4783" s="33" t="s">
        <v>26575</v>
      </c>
      <c r="V4783" s="33" t="s">
        <v>26573</v>
      </c>
      <c r="W4783" s="33" t="s">
        <v>94</v>
      </c>
      <c r="X4783" s="33">
        <v>785</v>
      </c>
      <c r="Z4783" s="33" t="s">
        <v>42968</v>
      </c>
      <c r="AA4783" s="33">
        <v>2884</v>
      </c>
    </row>
    <row r="4784" spans="1:27" ht="12" customHeight="1" x14ac:dyDescent="0.15">
      <c r="A4784" s="33" t="s">
        <v>535</v>
      </c>
      <c r="B4784" s="33">
        <v>61</v>
      </c>
      <c r="C4784" s="33" t="s">
        <v>14</v>
      </c>
      <c r="D4784" s="33" t="s">
        <v>79</v>
      </c>
      <c r="F4784" s="67">
        <v>42244</v>
      </c>
      <c r="G4784" s="33" t="s">
        <v>536</v>
      </c>
      <c r="H4784" s="33" t="s">
        <v>17840</v>
      </c>
      <c r="I4784" s="33" t="s">
        <v>395</v>
      </c>
      <c r="J4784" s="33" t="s">
        <v>17841</v>
      </c>
      <c r="K4784" s="33" t="s">
        <v>538</v>
      </c>
      <c r="L4784" s="33" t="s">
        <v>539</v>
      </c>
      <c r="M4784" s="33" t="s">
        <v>21</v>
      </c>
      <c r="N4784" s="33" t="s">
        <v>17669</v>
      </c>
      <c r="O4784" s="33" t="s">
        <v>372</v>
      </c>
      <c r="P4784" s="33" t="s">
        <v>30089</v>
      </c>
      <c r="Q4784" s="40" t="s">
        <v>17670</v>
      </c>
      <c r="R4784" s="33" t="s">
        <v>94</v>
      </c>
      <c r="S4784" s="33" t="s">
        <v>12</v>
      </c>
      <c r="T4784" s="33" t="s">
        <v>29705</v>
      </c>
      <c r="U4784" s="33" t="s">
        <v>26570</v>
      </c>
      <c r="V4784" s="33" t="s">
        <v>26573</v>
      </c>
      <c r="W4784" s="33" t="s">
        <v>94</v>
      </c>
      <c r="X4784" s="33">
        <v>788</v>
      </c>
      <c r="Z4784" s="33" t="s">
        <v>42966</v>
      </c>
      <c r="AA4784" s="33">
        <v>2883</v>
      </c>
    </row>
    <row r="4785" spans="1:27" ht="12" customHeight="1" x14ac:dyDescent="0.15">
      <c r="A4785" s="33" t="s">
        <v>555</v>
      </c>
      <c r="B4785" s="33">
        <v>29</v>
      </c>
      <c r="C4785" s="33" t="s">
        <v>14</v>
      </c>
      <c r="D4785" s="33" t="s">
        <v>42</v>
      </c>
      <c r="F4785" s="67">
        <v>42243</v>
      </c>
      <c r="G4785" s="33" t="s">
        <v>17846</v>
      </c>
      <c r="H4785" s="33" t="s">
        <v>92</v>
      </c>
      <c r="I4785" s="33" t="s">
        <v>39</v>
      </c>
      <c r="J4785" s="33" t="s">
        <v>17847</v>
      </c>
      <c r="K4785" s="33" t="s">
        <v>92</v>
      </c>
      <c r="L4785" s="33" t="s">
        <v>93</v>
      </c>
      <c r="M4785" s="33" t="s">
        <v>21</v>
      </c>
      <c r="N4785" s="33" t="s">
        <v>17679</v>
      </c>
      <c r="O4785" s="33" t="s">
        <v>17668</v>
      </c>
      <c r="P4785" s="33" t="s">
        <v>30089</v>
      </c>
      <c r="Q4785" s="40" t="s">
        <v>17680</v>
      </c>
      <c r="R4785" s="33" t="s">
        <v>23</v>
      </c>
      <c r="S4785" s="33" t="s">
        <v>29</v>
      </c>
      <c r="T4785" s="33" t="s">
        <v>26613</v>
      </c>
      <c r="U4785" s="33" t="s">
        <v>26572</v>
      </c>
      <c r="V4785" s="33" t="s">
        <v>26573</v>
      </c>
      <c r="W4785" s="33" t="s">
        <v>94</v>
      </c>
      <c r="X4785" s="33">
        <v>784</v>
      </c>
      <c r="Z4785" s="33" t="s">
        <v>42966</v>
      </c>
      <c r="AA4785" s="33">
        <v>2880</v>
      </c>
    </row>
    <row r="4786" spans="1:27" ht="12" customHeight="1" x14ac:dyDescent="0.15">
      <c r="A4786" s="33" t="s">
        <v>553</v>
      </c>
      <c r="B4786" s="33">
        <v>42</v>
      </c>
      <c r="C4786" s="33" t="s">
        <v>14</v>
      </c>
      <c r="D4786" s="33" t="s">
        <v>79</v>
      </c>
      <c r="E4786" s="33" t="s">
        <v>17598</v>
      </c>
      <c r="F4786" s="67">
        <v>42243</v>
      </c>
      <c r="G4786" s="33" t="s">
        <v>22153</v>
      </c>
      <c r="H4786" s="33" t="s">
        <v>266</v>
      </c>
      <c r="I4786" s="33" t="s">
        <v>67</v>
      </c>
      <c r="J4786" s="33" t="s">
        <v>17845</v>
      </c>
      <c r="K4786" s="33" t="s">
        <v>266</v>
      </c>
      <c r="L4786" s="33" t="s">
        <v>267</v>
      </c>
      <c r="M4786" s="33" t="s">
        <v>4966</v>
      </c>
      <c r="N4786" s="33" t="s">
        <v>17677</v>
      </c>
      <c r="O4786" s="33" t="s">
        <v>372</v>
      </c>
      <c r="P4786" s="33" t="s">
        <v>30089</v>
      </c>
      <c r="Q4786" s="40" t="s">
        <v>17678</v>
      </c>
      <c r="R4786" s="33" t="s">
        <v>94</v>
      </c>
      <c r="S4786" s="33" t="s">
        <v>22</v>
      </c>
      <c r="T4786" s="33" t="s">
        <v>26612</v>
      </c>
      <c r="U4786" s="33" t="s">
        <v>26572</v>
      </c>
      <c r="V4786" s="33" t="s">
        <v>26573</v>
      </c>
      <c r="W4786" s="33" t="s">
        <v>94</v>
      </c>
      <c r="X4786" s="33">
        <v>781</v>
      </c>
      <c r="Z4786" s="33" t="s">
        <v>42966</v>
      </c>
      <c r="AA4786" s="33">
        <v>2878</v>
      </c>
    </row>
    <row r="4787" spans="1:27" ht="12" customHeight="1" x14ac:dyDescent="0.15">
      <c r="A4787" s="33" t="s">
        <v>556</v>
      </c>
      <c r="B4787" s="33">
        <v>30</v>
      </c>
      <c r="C4787" s="33" t="s">
        <v>14</v>
      </c>
      <c r="D4787" s="33" t="s">
        <v>79</v>
      </c>
      <c r="E4787" s="33" t="s">
        <v>18828</v>
      </c>
      <c r="F4787" s="67">
        <v>42243</v>
      </c>
      <c r="G4787" s="33" t="s">
        <v>17848</v>
      </c>
      <c r="H4787" s="33" t="s">
        <v>557</v>
      </c>
      <c r="I4787" s="33" t="s">
        <v>39</v>
      </c>
      <c r="J4787" s="33" t="s">
        <v>1784</v>
      </c>
      <c r="K4787" s="33" t="s">
        <v>558</v>
      </c>
      <c r="L4787" s="33" t="s">
        <v>559</v>
      </c>
      <c r="M4787" s="33" t="s">
        <v>21</v>
      </c>
      <c r="N4787" s="33" t="s">
        <v>17681</v>
      </c>
      <c r="O4787" s="33" t="s">
        <v>17668</v>
      </c>
      <c r="P4787" s="33" t="s">
        <v>30089</v>
      </c>
      <c r="Q4787" s="40" t="s">
        <v>17682</v>
      </c>
      <c r="R4787" s="33" t="s">
        <v>23</v>
      </c>
      <c r="S4787" s="33" t="s">
        <v>22</v>
      </c>
      <c r="T4787" s="33" t="s">
        <v>26614</v>
      </c>
      <c r="U4787" s="33" t="s">
        <v>26572</v>
      </c>
      <c r="V4787" s="33" t="s">
        <v>26573</v>
      </c>
      <c r="W4787" s="33" t="s">
        <v>512</v>
      </c>
      <c r="X4787" s="33">
        <v>782</v>
      </c>
      <c r="Z4787" s="33" t="s">
        <v>42966</v>
      </c>
      <c r="AA4787" s="33">
        <v>2879</v>
      </c>
    </row>
    <row r="4788" spans="1:27" ht="12" customHeight="1" x14ac:dyDescent="0.15">
      <c r="A4788" s="33" t="s">
        <v>543</v>
      </c>
      <c r="B4788" s="33">
        <v>54</v>
      </c>
      <c r="C4788" s="33" t="s">
        <v>14</v>
      </c>
      <c r="D4788" s="33" t="s">
        <v>31</v>
      </c>
      <c r="F4788" s="67">
        <v>42243</v>
      </c>
      <c r="G4788" s="33" t="s">
        <v>544</v>
      </c>
      <c r="H4788" s="33" t="s">
        <v>143</v>
      </c>
      <c r="I4788" s="33" t="s">
        <v>39</v>
      </c>
      <c r="J4788" s="33" t="s">
        <v>17843</v>
      </c>
      <c r="K4788" s="33" t="s">
        <v>143</v>
      </c>
      <c r="L4788" s="33" t="s">
        <v>144</v>
      </c>
      <c r="M4788" s="33" t="s">
        <v>21</v>
      </c>
      <c r="N4788" s="33" t="s">
        <v>17673</v>
      </c>
      <c r="O4788" s="33" t="s">
        <v>372</v>
      </c>
      <c r="P4788" s="33" t="s">
        <v>30089</v>
      </c>
      <c r="Q4788" s="40" t="s">
        <v>17674</v>
      </c>
      <c r="R4788" s="33" t="s">
        <v>94</v>
      </c>
      <c r="S4788" s="33" t="s">
        <v>22</v>
      </c>
      <c r="T4788" s="33" t="s">
        <v>26612</v>
      </c>
      <c r="U4788" s="33" t="s">
        <v>26570</v>
      </c>
      <c r="V4788" s="33" t="s">
        <v>26573</v>
      </c>
      <c r="W4788" s="33" t="s">
        <v>512</v>
      </c>
      <c r="X4788" s="33">
        <v>783</v>
      </c>
      <c r="Z4788" s="33" t="s">
        <v>42966</v>
      </c>
      <c r="AA4788" s="33">
        <v>2877</v>
      </c>
    </row>
    <row r="4789" spans="1:27" ht="12" customHeight="1" x14ac:dyDescent="0.15">
      <c r="A4789" s="33" t="s">
        <v>562</v>
      </c>
      <c r="B4789" s="33">
        <v>27</v>
      </c>
      <c r="C4789" s="33" t="s">
        <v>14</v>
      </c>
      <c r="D4789" s="33" t="s">
        <v>31</v>
      </c>
      <c r="E4789" s="33" t="s">
        <v>17600</v>
      </c>
      <c r="F4789" s="67">
        <v>42242</v>
      </c>
      <c r="G4789" s="33" t="s">
        <v>17851</v>
      </c>
      <c r="H4789" s="33" t="s">
        <v>563</v>
      </c>
      <c r="I4789" s="33" t="s">
        <v>221</v>
      </c>
      <c r="J4789" s="33" t="s">
        <v>17852</v>
      </c>
      <c r="K4789" s="33" t="s">
        <v>564</v>
      </c>
      <c r="L4789" s="33" t="s">
        <v>565</v>
      </c>
      <c r="M4789" s="33" t="s">
        <v>21</v>
      </c>
      <c r="N4789" s="33" t="s">
        <v>17685</v>
      </c>
      <c r="O4789" s="33" t="s">
        <v>17668</v>
      </c>
      <c r="P4789" s="33" t="s">
        <v>30089</v>
      </c>
      <c r="Q4789" s="40" t="s">
        <v>17686</v>
      </c>
      <c r="R4789" s="33" t="s">
        <v>512</v>
      </c>
      <c r="S4789" s="33" t="s">
        <v>22</v>
      </c>
      <c r="T4789" s="33" t="s">
        <v>26781</v>
      </c>
      <c r="U4789" s="33" t="s">
        <v>26572</v>
      </c>
      <c r="V4789" s="33" t="s">
        <v>26573</v>
      </c>
      <c r="W4789" s="33" t="s">
        <v>94</v>
      </c>
      <c r="X4789" s="33">
        <v>780</v>
      </c>
      <c r="Z4789" s="33" t="s">
        <v>42968</v>
      </c>
      <c r="AA4789" s="33">
        <v>2875</v>
      </c>
    </row>
    <row r="4790" spans="1:27" ht="12" customHeight="1" x14ac:dyDescent="0.15">
      <c r="A4790" s="33" t="s">
        <v>569</v>
      </c>
      <c r="B4790" s="33">
        <v>22</v>
      </c>
      <c r="C4790" s="33" t="s">
        <v>14</v>
      </c>
      <c r="D4790" s="33" t="s">
        <v>31</v>
      </c>
      <c r="E4790" s="33" t="s">
        <v>17601</v>
      </c>
      <c r="F4790" s="67">
        <v>42242</v>
      </c>
      <c r="G4790" s="33" t="s">
        <v>570</v>
      </c>
      <c r="H4790" s="33" t="s">
        <v>571</v>
      </c>
      <c r="I4790" s="33" t="s">
        <v>298</v>
      </c>
      <c r="J4790" s="33" t="s">
        <v>17853</v>
      </c>
      <c r="K4790" s="33" t="s">
        <v>572</v>
      </c>
      <c r="L4790" s="33" t="s">
        <v>573</v>
      </c>
      <c r="M4790" s="33" t="s">
        <v>21</v>
      </c>
      <c r="N4790" s="33" t="s">
        <v>17687</v>
      </c>
      <c r="O4790" s="33" t="s">
        <v>507</v>
      </c>
      <c r="P4790" s="33" t="s">
        <v>30089</v>
      </c>
      <c r="Q4790" s="40" t="s">
        <v>17688</v>
      </c>
      <c r="R4790" s="33" t="s">
        <v>512</v>
      </c>
      <c r="S4790" s="33" t="s">
        <v>12</v>
      </c>
      <c r="T4790" s="33" t="s">
        <v>29425</v>
      </c>
      <c r="U4790" s="33" t="s">
        <v>26572</v>
      </c>
      <c r="V4790" s="33" t="s">
        <v>26573</v>
      </c>
      <c r="W4790" s="33" t="s">
        <v>94</v>
      </c>
      <c r="X4790" s="33">
        <v>776</v>
      </c>
      <c r="Z4790" s="33" t="s">
        <v>42968</v>
      </c>
      <c r="AA4790" s="33">
        <v>2876</v>
      </c>
    </row>
    <row r="4791" spans="1:27" ht="12" customHeight="1" x14ac:dyDescent="0.15">
      <c r="A4791" s="33" t="s">
        <v>566</v>
      </c>
      <c r="B4791" s="33">
        <v>46</v>
      </c>
      <c r="C4791" s="33" t="s">
        <v>14</v>
      </c>
      <c r="D4791" s="33" t="s">
        <v>31</v>
      </c>
      <c r="E4791" s="33" t="s">
        <v>17599</v>
      </c>
      <c r="F4791" s="67">
        <v>42242</v>
      </c>
      <c r="G4791" s="33" t="s">
        <v>17849</v>
      </c>
      <c r="H4791" s="33" t="s">
        <v>567</v>
      </c>
      <c r="I4791" s="33" t="s">
        <v>298</v>
      </c>
      <c r="J4791" s="33" t="s">
        <v>17850</v>
      </c>
      <c r="K4791" s="33" t="s">
        <v>505</v>
      </c>
      <c r="L4791" s="33" t="s">
        <v>568</v>
      </c>
      <c r="M4791" s="33" t="s">
        <v>21</v>
      </c>
      <c r="N4791" s="33" t="s">
        <v>17683</v>
      </c>
      <c r="O4791" s="33" t="s">
        <v>17668</v>
      </c>
      <c r="P4791" s="33" t="s">
        <v>30089</v>
      </c>
      <c r="Q4791" s="40" t="s">
        <v>17684</v>
      </c>
      <c r="R4791" s="33" t="s">
        <v>23</v>
      </c>
      <c r="S4791" s="33" t="s">
        <v>22</v>
      </c>
      <c r="T4791" s="33" t="s">
        <v>26781</v>
      </c>
      <c r="U4791" s="33" t="s">
        <v>26572</v>
      </c>
      <c r="V4791" s="33" t="s">
        <v>26571</v>
      </c>
      <c r="W4791" s="33" t="s">
        <v>94</v>
      </c>
      <c r="X4791" s="33">
        <v>777</v>
      </c>
      <c r="Z4791" s="33" t="s">
        <v>42968</v>
      </c>
      <c r="AA4791" s="33">
        <v>2874</v>
      </c>
    </row>
    <row r="4792" spans="1:27" ht="12" customHeight="1" x14ac:dyDescent="0.15">
      <c r="A4792" s="33" t="s">
        <v>574</v>
      </c>
      <c r="B4792" s="33">
        <v>34</v>
      </c>
      <c r="C4792" s="33" t="s">
        <v>14</v>
      </c>
      <c r="D4792" s="33" t="s">
        <v>79</v>
      </c>
      <c r="E4792" s="33" t="s">
        <v>17602</v>
      </c>
      <c r="F4792" s="67">
        <v>42241</v>
      </c>
      <c r="G4792" s="33" t="s">
        <v>575</v>
      </c>
      <c r="H4792" s="33" t="s">
        <v>576</v>
      </c>
      <c r="I4792" s="33" t="s">
        <v>376</v>
      </c>
      <c r="J4792" s="33" t="s">
        <v>17854</v>
      </c>
      <c r="K4792" s="33" t="s">
        <v>375</v>
      </c>
      <c r="L4792" s="33" t="s">
        <v>577</v>
      </c>
      <c r="M4792" s="33" t="s">
        <v>21</v>
      </c>
      <c r="N4792" s="33" t="s">
        <v>578</v>
      </c>
      <c r="O4792" s="33" t="s">
        <v>507</v>
      </c>
      <c r="P4792" s="33" t="s">
        <v>30089</v>
      </c>
      <c r="Q4792" s="40" t="s">
        <v>17689</v>
      </c>
      <c r="R4792" s="33" t="s">
        <v>23</v>
      </c>
      <c r="S4792" s="33" t="s">
        <v>22</v>
      </c>
      <c r="T4792" s="33" t="s">
        <v>26774</v>
      </c>
      <c r="U4792" s="33" t="s">
        <v>26572</v>
      </c>
      <c r="V4792" s="33" t="s">
        <v>26573</v>
      </c>
      <c r="W4792" s="33" t="s">
        <v>94</v>
      </c>
      <c r="X4792" s="33">
        <v>773</v>
      </c>
      <c r="Z4792" s="33" t="s">
        <v>42968</v>
      </c>
      <c r="AA4792" s="33">
        <v>2873</v>
      </c>
    </row>
    <row r="4793" spans="1:27" ht="12" customHeight="1" x14ac:dyDescent="0.15">
      <c r="A4793" s="33" t="s">
        <v>582</v>
      </c>
      <c r="B4793" s="33">
        <v>45</v>
      </c>
      <c r="C4793" s="33" t="s">
        <v>14</v>
      </c>
      <c r="D4793" s="33" t="s">
        <v>31</v>
      </c>
      <c r="F4793" s="67">
        <v>42241</v>
      </c>
      <c r="G4793" s="33" t="s">
        <v>583</v>
      </c>
      <c r="H4793" s="33" t="s">
        <v>584</v>
      </c>
      <c r="I4793" s="33" t="s">
        <v>112</v>
      </c>
      <c r="J4793" s="33" t="s">
        <v>11537</v>
      </c>
      <c r="K4793" s="33" t="s">
        <v>585</v>
      </c>
      <c r="L4793" s="33" t="s">
        <v>586</v>
      </c>
      <c r="M4793" s="33" t="s">
        <v>21</v>
      </c>
      <c r="N4793" s="33" t="s">
        <v>17694</v>
      </c>
      <c r="O4793" s="33" t="s">
        <v>17668</v>
      </c>
      <c r="P4793" s="33" t="s">
        <v>30089</v>
      </c>
      <c r="Q4793" s="40" t="s">
        <v>17695</v>
      </c>
      <c r="R4793" s="33" t="s">
        <v>23</v>
      </c>
      <c r="S4793" s="33" t="s">
        <v>22</v>
      </c>
      <c r="T4793" s="33" t="s">
        <v>26781</v>
      </c>
      <c r="U4793" s="33" t="s">
        <v>26572</v>
      </c>
      <c r="V4793" s="33" t="s">
        <v>26573</v>
      </c>
      <c r="W4793" s="33" t="s">
        <v>94</v>
      </c>
      <c r="X4793" s="33">
        <v>775</v>
      </c>
      <c r="Z4793" s="33" t="s">
        <v>42966</v>
      </c>
      <c r="AA4793" s="33">
        <v>2871</v>
      </c>
    </row>
    <row r="4794" spans="1:27" ht="12" customHeight="1" x14ac:dyDescent="0.15">
      <c r="A4794" s="33" t="s">
        <v>581</v>
      </c>
      <c r="B4794" s="33">
        <v>22</v>
      </c>
      <c r="C4794" s="33" t="s">
        <v>14</v>
      </c>
      <c r="D4794" s="33" t="s">
        <v>42</v>
      </c>
      <c r="F4794" s="67">
        <v>42241</v>
      </c>
      <c r="G4794" s="33" t="s">
        <v>17857</v>
      </c>
      <c r="H4794" s="33" t="s">
        <v>196</v>
      </c>
      <c r="I4794" s="33" t="s">
        <v>56</v>
      </c>
      <c r="J4794" s="33" t="s">
        <v>3911</v>
      </c>
      <c r="K4794" s="33" t="s">
        <v>148</v>
      </c>
      <c r="L4794" s="33" t="s">
        <v>149</v>
      </c>
      <c r="M4794" s="33" t="s">
        <v>21</v>
      </c>
      <c r="N4794" s="33" t="s">
        <v>17692</v>
      </c>
      <c r="O4794" s="33" t="s">
        <v>17668</v>
      </c>
      <c r="P4794" s="33" t="s">
        <v>30089</v>
      </c>
      <c r="Q4794" s="40" t="s">
        <v>17693</v>
      </c>
      <c r="R4794" s="33" t="s">
        <v>23</v>
      </c>
      <c r="S4794" s="33" t="s">
        <v>22</v>
      </c>
      <c r="T4794" s="33" t="s">
        <v>26781</v>
      </c>
      <c r="U4794" s="33" t="s">
        <v>26572</v>
      </c>
      <c r="V4794" s="33" t="s">
        <v>26573</v>
      </c>
      <c r="W4794" s="33" t="s">
        <v>94</v>
      </c>
      <c r="X4794" s="33">
        <v>779</v>
      </c>
      <c r="Z4794" s="33" t="s">
        <v>42968</v>
      </c>
      <c r="AA4794" s="33">
        <v>2872</v>
      </c>
    </row>
    <row r="4795" spans="1:27" ht="12" customHeight="1" x14ac:dyDescent="0.15">
      <c r="A4795" s="33" t="s">
        <v>579</v>
      </c>
      <c r="B4795" s="33">
        <v>30</v>
      </c>
      <c r="C4795" s="33" t="s">
        <v>14</v>
      </c>
      <c r="D4795" s="33" t="s">
        <v>42</v>
      </c>
      <c r="E4795" s="33" t="s">
        <v>17603</v>
      </c>
      <c r="F4795" s="67">
        <v>42241</v>
      </c>
      <c r="G4795" s="33" t="s">
        <v>17855</v>
      </c>
      <c r="H4795" s="33" t="s">
        <v>580</v>
      </c>
      <c r="I4795" s="33" t="s">
        <v>178</v>
      </c>
      <c r="J4795" s="33" t="s">
        <v>11951</v>
      </c>
      <c r="K4795" s="33" t="s">
        <v>580</v>
      </c>
      <c r="L4795" s="33" t="s">
        <v>17856</v>
      </c>
      <c r="M4795" s="33" t="s">
        <v>21</v>
      </c>
      <c r="N4795" s="33" t="s">
        <v>17690</v>
      </c>
      <c r="O4795" s="33" t="s">
        <v>17668</v>
      </c>
      <c r="P4795" s="33" t="s">
        <v>30089</v>
      </c>
      <c r="Q4795" s="40" t="s">
        <v>17691</v>
      </c>
      <c r="R4795" s="33" t="s">
        <v>23</v>
      </c>
      <c r="S4795" s="33" t="s">
        <v>22</v>
      </c>
      <c r="T4795" s="33" t="s">
        <v>26781</v>
      </c>
      <c r="U4795" s="33" t="s">
        <v>26572</v>
      </c>
      <c r="V4795" s="33" t="s">
        <v>26574</v>
      </c>
      <c r="W4795" s="33" t="s">
        <v>94</v>
      </c>
      <c r="X4795" s="33">
        <v>770</v>
      </c>
      <c r="Z4795" s="33" t="s">
        <v>42968</v>
      </c>
      <c r="AA4795" s="33">
        <v>2869</v>
      </c>
    </row>
    <row r="4796" spans="1:27" ht="12" customHeight="1" x14ac:dyDescent="0.15">
      <c r="A4796" s="33" t="s">
        <v>587</v>
      </c>
      <c r="B4796" s="33">
        <v>53</v>
      </c>
      <c r="C4796" s="33" t="s">
        <v>14</v>
      </c>
      <c r="D4796" s="33" t="s">
        <v>31</v>
      </c>
      <c r="F4796" s="67">
        <v>42241</v>
      </c>
      <c r="G4796" s="33" t="s">
        <v>588</v>
      </c>
      <c r="H4796" s="33" t="s">
        <v>589</v>
      </c>
      <c r="I4796" s="33" t="s">
        <v>56</v>
      </c>
      <c r="J4796" s="33" t="s">
        <v>17858</v>
      </c>
      <c r="K4796" s="33" t="s">
        <v>590</v>
      </c>
      <c r="L4796" s="33" t="s">
        <v>591</v>
      </c>
      <c r="M4796" s="33" t="s">
        <v>21</v>
      </c>
      <c r="N4796" s="33" t="s">
        <v>17696</v>
      </c>
      <c r="O4796" s="33" t="s">
        <v>17668</v>
      </c>
      <c r="P4796" s="33" t="s">
        <v>30089</v>
      </c>
      <c r="Q4796" s="40" t="s">
        <v>17697</v>
      </c>
      <c r="R4796" s="33" t="s">
        <v>23</v>
      </c>
      <c r="S4796" s="33" t="s">
        <v>22</v>
      </c>
      <c r="T4796" s="33" t="s">
        <v>26781</v>
      </c>
      <c r="U4796" s="33" t="s">
        <v>26572</v>
      </c>
      <c r="V4796" s="33" t="s">
        <v>26573</v>
      </c>
      <c r="W4796" s="33" t="s">
        <v>94</v>
      </c>
      <c r="X4796" s="33">
        <v>774</v>
      </c>
      <c r="Z4796" s="33" t="s">
        <v>42968</v>
      </c>
      <c r="AA4796" s="33">
        <v>2870</v>
      </c>
    </row>
    <row r="4797" spans="1:27" ht="12" customHeight="1" x14ac:dyDescent="0.15">
      <c r="A4797" s="33" t="s">
        <v>601</v>
      </c>
      <c r="B4797" s="33">
        <v>36</v>
      </c>
      <c r="C4797" s="33" t="s">
        <v>14</v>
      </c>
      <c r="D4797" s="33" t="s">
        <v>31</v>
      </c>
      <c r="E4797" s="33" t="s">
        <v>17605</v>
      </c>
      <c r="F4797" s="67">
        <v>42239</v>
      </c>
      <c r="G4797" s="33" t="s">
        <v>602</v>
      </c>
      <c r="H4797" s="33" t="s">
        <v>603</v>
      </c>
      <c r="I4797" s="33" t="s">
        <v>56</v>
      </c>
      <c r="J4797" s="33" t="s">
        <v>17863</v>
      </c>
      <c r="K4797" s="33" t="s">
        <v>604</v>
      </c>
      <c r="L4797" s="33" t="s">
        <v>605</v>
      </c>
      <c r="M4797" s="33" t="s">
        <v>21</v>
      </c>
      <c r="N4797" s="33" t="s">
        <v>17704</v>
      </c>
      <c r="O4797" s="33" t="s">
        <v>372</v>
      </c>
      <c r="P4797" s="33" t="s">
        <v>30089</v>
      </c>
      <c r="Q4797" s="40" t="s">
        <v>17705</v>
      </c>
      <c r="R4797" s="33" t="s">
        <v>512</v>
      </c>
      <c r="S4797" s="33" t="s">
        <v>22</v>
      </c>
      <c r="T4797" s="33" t="s">
        <v>26781</v>
      </c>
      <c r="U4797" s="33" t="s">
        <v>26572</v>
      </c>
      <c r="V4797" s="33" t="s">
        <v>26573</v>
      </c>
      <c r="W4797" s="33" t="s">
        <v>94</v>
      </c>
      <c r="X4797" s="33">
        <v>768</v>
      </c>
      <c r="Z4797" s="33" t="s">
        <v>42968</v>
      </c>
      <c r="AA4797" s="33">
        <v>2865</v>
      </c>
    </row>
    <row r="4798" spans="1:27" ht="12" customHeight="1" x14ac:dyDescent="0.15">
      <c r="A4798" s="33" t="s">
        <v>592</v>
      </c>
      <c r="B4798" s="33">
        <v>21</v>
      </c>
      <c r="C4798" s="33" t="s">
        <v>14</v>
      </c>
      <c r="D4798" s="33" t="s">
        <v>31</v>
      </c>
      <c r="F4798" s="67">
        <v>42239</v>
      </c>
      <c r="G4798" s="33" t="s">
        <v>593</v>
      </c>
      <c r="H4798" s="33" t="s">
        <v>594</v>
      </c>
      <c r="I4798" s="33" t="s">
        <v>75</v>
      </c>
      <c r="J4798" s="33" t="s">
        <v>17862</v>
      </c>
      <c r="K4798" s="33" t="s">
        <v>595</v>
      </c>
      <c r="L4798" s="33" t="s">
        <v>596</v>
      </c>
      <c r="M4798" s="33" t="s">
        <v>21</v>
      </c>
      <c r="N4798" s="33" t="s">
        <v>17702</v>
      </c>
      <c r="O4798" s="33" t="s">
        <v>372</v>
      </c>
      <c r="P4798" s="33" t="s">
        <v>30089</v>
      </c>
      <c r="Q4798" s="40" t="s">
        <v>17703</v>
      </c>
      <c r="R4798" s="33" t="s">
        <v>23</v>
      </c>
      <c r="S4798" s="33" t="s">
        <v>12</v>
      </c>
      <c r="T4798" s="33" t="s">
        <v>29425</v>
      </c>
      <c r="U4798" s="33" t="s">
        <v>26572</v>
      </c>
      <c r="V4798" s="33" t="s">
        <v>26573</v>
      </c>
      <c r="W4798" s="33" t="s">
        <v>94</v>
      </c>
      <c r="X4798" s="33">
        <v>771</v>
      </c>
      <c r="Z4798" s="33" t="s">
        <v>42968</v>
      </c>
      <c r="AA4798" s="33">
        <v>2868</v>
      </c>
    </row>
    <row r="4799" spans="1:27" ht="12" customHeight="1" x14ac:dyDescent="0.15">
      <c r="A4799" s="33" t="s">
        <v>606</v>
      </c>
      <c r="B4799" s="33">
        <v>57</v>
      </c>
      <c r="C4799" s="33" t="s">
        <v>14</v>
      </c>
      <c r="D4799" s="33" t="s">
        <v>31</v>
      </c>
      <c r="E4799" s="33" t="s">
        <v>17606</v>
      </c>
      <c r="F4799" s="67">
        <v>42239</v>
      </c>
      <c r="G4799" s="33" t="s">
        <v>22154</v>
      </c>
      <c r="H4799" s="33" t="s">
        <v>607</v>
      </c>
      <c r="I4799" s="33" t="s">
        <v>250</v>
      </c>
      <c r="J4799" s="33" t="s">
        <v>17864</v>
      </c>
      <c r="K4799" s="33" t="s">
        <v>527</v>
      </c>
      <c r="L4799" s="33" t="s">
        <v>528</v>
      </c>
      <c r="M4799" s="33" t="s">
        <v>21</v>
      </c>
      <c r="N4799" s="33" t="s">
        <v>17706</v>
      </c>
      <c r="O4799" s="33" t="s">
        <v>17668</v>
      </c>
      <c r="P4799" s="33" t="s">
        <v>30089</v>
      </c>
      <c r="Q4799" s="40" t="s">
        <v>17707</v>
      </c>
      <c r="R4799" s="33" t="s">
        <v>23</v>
      </c>
      <c r="S4799" s="33" t="s">
        <v>22</v>
      </c>
      <c r="T4799" s="33" t="s">
        <v>26781</v>
      </c>
      <c r="U4799" s="33" t="s">
        <v>26572</v>
      </c>
      <c r="V4799" s="33" t="s">
        <v>26573</v>
      </c>
      <c r="W4799" s="33" t="s">
        <v>94</v>
      </c>
      <c r="X4799" s="33">
        <v>767</v>
      </c>
      <c r="Z4799" s="33" t="s">
        <v>42968</v>
      </c>
      <c r="AA4799" s="33">
        <v>2864</v>
      </c>
    </row>
    <row r="4800" spans="1:27" ht="12" customHeight="1" x14ac:dyDescent="0.15">
      <c r="A4800" s="33" t="s">
        <v>597</v>
      </c>
      <c r="B4800" s="33">
        <v>53</v>
      </c>
      <c r="C4800" s="33" t="s">
        <v>14</v>
      </c>
      <c r="D4800" s="33" t="s">
        <v>79</v>
      </c>
      <c r="F4800" s="67">
        <v>42239</v>
      </c>
      <c r="G4800" s="33" t="s">
        <v>17859</v>
      </c>
      <c r="H4800" s="33" t="s">
        <v>598</v>
      </c>
      <c r="I4800" s="33" t="s">
        <v>338</v>
      </c>
      <c r="J4800" s="33" t="s">
        <v>17860</v>
      </c>
      <c r="K4800" s="33" t="s">
        <v>14479</v>
      </c>
      <c r="L4800" s="33" t="s">
        <v>600</v>
      </c>
      <c r="M4800" s="33" t="s">
        <v>21</v>
      </c>
      <c r="N4800" s="33" t="s">
        <v>17698</v>
      </c>
      <c r="O4800" s="33" t="s">
        <v>372</v>
      </c>
      <c r="P4800" s="33" t="s">
        <v>30089</v>
      </c>
      <c r="Q4800" s="40" t="s">
        <v>17699</v>
      </c>
      <c r="R4800" s="33" t="s">
        <v>23</v>
      </c>
      <c r="S4800" s="33" t="s">
        <v>22</v>
      </c>
      <c r="T4800" s="33" t="s">
        <v>26781</v>
      </c>
      <c r="U4800" s="33" t="s">
        <v>26572</v>
      </c>
      <c r="V4800" s="33" t="s">
        <v>26573</v>
      </c>
      <c r="W4800" s="33" t="s">
        <v>94</v>
      </c>
      <c r="X4800" s="33">
        <v>772</v>
      </c>
      <c r="Z4800" s="33" t="s">
        <v>42968</v>
      </c>
      <c r="AA4800" s="33">
        <v>2867</v>
      </c>
    </row>
    <row r="4801" spans="1:27" ht="12" customHeight="1" x14ac:dyDescent="0.15">
      <c r="A4801" s="33" t="s">
        <v>608</v>
      </c>
      <c r="B4801" s="33">
        <v>36</v>
      </c>
      <c r="C4801" s="33" t="s">
        <v>14</v>
      </c>
      <c r="D4801" s="33" t="s">
        <v>31</v>
      </c>
      <c r="E4801" s="33" t="s">
        <v>17604</v>
      </c>
      <c r="F4801" s="67">
        <v>42239</v>
      </c>
      <c r="G4801" s="33" t="s">
        <v>609</v>
      </c>
      <c r="H4801" s="33" t="s">
        <v>610</v>
      </c>
      <c r="I4801" s="33" t="s">
        <v>88</v>
      </c>
      <c r="J4801" s="33" t="s">
        <v>17861</v>
      </c>
      <c r="K4801" s="33" t="s">
        <v>611</v>
      </c>
      <c r="L4801" s="33" t="s">
        <v>612</v>
      </c>
      <c r="M4801" s="33" t="s">
        <v>21</v>
      </c>
      <c r="N4801" s="33" t="s">
        <v>17700</v>
      </c>
      <c r="O4801" s="33" t="s">
        <v>372</v>
      </c>
      <c r="P4801" s="33" t="s">
        <v>30089</v>
      </c>
      <c r="Q4801" s="40" t="s">
        <v>17701</v>
      </c>
      <c r="R4801" s="33" t="s">
        <v>23</v>
      </c>
      <c r="S4801" s="33" t="s">
        <v>22</v>
      </c>
      <c r="T4801" s="33" t="s">
        <v>26781</v>
      </c>
      <c r="U4801" s="33" t="s">
        <v>26572</v>
      </c>
      <c r="V4801" s="33" t="s">
        <v>26571</v>
      </c>
      <c r="W4801" s="33" t="s">
        <v>94</v>
      </c>
      <c r="X4801" s="33">
        <v>769</v>
      </c>
      <c r="Z4801" s="33" t="s">
        <v>42967</v>
      </c>
      <c r="AA4801" s="33">
        <v>2866</v>
      </c>
    </row>
    <row r="4802" spans="1:27" ht="12" customHeight="1" x14ac:dyDescent="0.15">
      <c r="A4802" s="33" t="s">
        <v>613</v>
      </c>
      <c r="B4802" s="33">
        <v>39</v>
      </c>
      <c r="C4802" s="33" t="s">
        <v>14</v>
      </c>
      <c r="D4802" s="33" t="s">
        <v>79</v>
      </c>
      <c r="E4802" s="33" t="s">
        <v>17610</v>
      </c>
      <c r="F4802" s="67">
        <v>42238</v>
      </c>
      <c r="G4802" s="33" t="s">
        <v>614</v>
      </c>
      <c r="H4802" s="33" t="s">
        <v>615</v>
      </c>
      <c r="I4802" s="33" t="s">
        <v>395</v>
      </c>
      <c r="J4802" s="33" t="s">
        <v>17870</v>
      </c>
      <c r="K4802" s="33" t="s">
        <v>616</v>
      </c>
      <c r="L4802" s="33" t="s">
        <v>617</v>
      </c>
      <c r="M4802" s="33" t="s">
        <v>4966</v>
      </c>
      <c r="N4802" s="33" t="s">
        <v>17716</v>
      </c>
      <c r="O4802" s="33" t="s">
        <v>950</v>
      </c>
      <c r="P4802" s="33" t="s">
        <v>30089</v>
      </c>
      <c r="Q4802" s="40" t="s">
        <v>17717</v>
      </c>
      <c r="R4802" s="33" t="s">
        <v>23</v>
      </c>
      <c r="S4802" s="33" t="s">
        <v>22</v>
      </c>
      <c r="T4802" s="33" t="s">
        <v>26781</v>
      </c>
      <c r="U4802" s="33" t="s">
        <v>26572</v>
      </c>
      <c r="V4802" s="33" t="s">
        <v>26574</v>
      </c>
      <c r="W4802" s="33" t="s">
        <v>94</v>
      </c>
      <c r="X4802" s="33">
        <v>763</v>
      </c>
      <c r="Z4802" s="33" t="s">
        <v>42968</v>
      </c>
      <c r="AA4802" s="33">
        <v>2860</v>
      </c>
    </row>
    <row r="4803" spans="1:27" ht="12" customHeight="1" x14ac:dyDescent="0.15">
      <c r="A4803" s="33" t="s">
        <v>630</v>
      </c>
      <c r="B4803" s="33">
        <v>29</v>
      </c>
      <c r="C4803" s="33" t="s">
        <v>14</v>
      </c>
      <c r="D4803" s="33" t="s">
        <v>31</v>
      </c>
      <c r="F4803" s="67">
        <v>42238</v>
      </c>
      <c r="G4803" s="33" t="s">
        <v>17867</v>
      </c>
      <c r="H4803" s="33" t="s">
        <v>631</v>
      </c>
      <c r="I4803" s="33" t="s">
        <v>39</v>
      </c>
      <c r="J4803" s="33" t="s">
        <v>3193</v>
      </c>
      <c r="K4803" s="33" t="s">
        <v>632</v>
      </c>
      <c r="L4803" s="33" t="s">
        <v>633</v>
      </c>
      <c r="M4803" s="33" t="s">
        <v>21</v>
      </c>
      <c r="N4803" s="33" t="s">
        <v>17710</v>
      </c>
      <c r="O4803" s="33" t="s">
        <v>372</v>
      </c>
      <c r="P4803" s="33" t="s">
        <v>30089</v>
      </c>
      <c r="Q4803" s="40" t="s">
        <v>17711</v>
      </c>
      <c r="R4803" s="33" t="s">
        <v>94</v>
      </c>
      <c r="S4803" s="33" t="s">
        <v>29</v>
      </c>
      <c r="T4803" s="33" t="s">
        <v>26615</v>
      </c>
      <c r="U4803" s="33" t="s">
        <v>26575</v>
      </c>
      <c r="V4803" s="33" t="s">
        <v>26573</v>
      </c>
      <c r="W4803" s="33" t="s">
        <v>94</v>
      </c>
      <c r="X4803" s="33">
        <v>764</v>
      </c>
      <c r="Z4803" s="33" t="s">
        <v>42968</v>
      </c>
      <c r="AA4803" s="33">
        <v>2858</v>
      </c>
    </row>
    <row r="4804" spans="1:27" ht="12" customHeight="1" x14ac:dyDescent="0.15">
      <c r="A4804" s="33" t="s">
        <v>627</v>
      </c>
      <c r="B4804" s="33">
        <v>64</v>
      </c>
      <c r="C4804" s="33" t="s">
        <v>14</v>
      </c>
      <c r="D4804" s="33" t="s">
        <v>31</v>
      </c>
      <c r="E4804" s="33" t="s">
        <v>17608</v>
      </c>
      <c r="F4804" s="67">
        <v>42238</v>
      </c>
      <c r="G4804" s="33" t="s">
        <v>22156</v>
      </c>
      <c r="H4804" s="33" t="s">
        <v>628</v>
      </c>
      <c r="I4804" s="33" t="s">
        <v>225</v>
      </c>
      <c r="J4804" s="33" t="s">
        <v>17868</v>
      </c>
      <c r="K4804" s="33" t="s">
        <v>628</v>
      </c>
      <c r="L4804" s="33" t="s">
        <v>629</v>
      </c>
      <c r="M4804" s="33" t="s">
        <v>21</v>
      </c>
      <c r="N4804" s="33" t="s">
        <v>17712</v>
      </c>
      <c r="O4804" s="33" t="s">
        <v>372</v>
      </c>
      <c r="P4804" s="33" t="s">
        <v>30089</v>
      </c>
      <c r="Q4804" s="40" t="s">
        <v>17713</v>
      </c>
      <c r="R4804" s="33" t="s">
        <v>23</v>
      </c>
      <c r="S4804" s="33" t="s">
        <v>22</v>
      </c>
      <c r="T4804" s="33" t="s">
        <v>26774</v>
      </c>
      <c r="U4804" s="33" t="s">
        <v>26570</v>
      </c>
      <c r="V4804" s="33" t="s">
        <v>26573</v>
      </c>
      <c r="W4804" s="33" t="s">
        <v>94</v>
      </c>
      <c r="X4804" s="33">
        <v>766</v>
      </c>
      <c r="Z4804" s="33" t="s">
        <v>42967</v>
      </c>
      <c r="AA4804" s="33">
        <v>2861</v>
      </c>
    </row>
    <row r="4805" spans="1:27" ht="12" customHeight="1" x14ac:dyDescent="0.15">
      <c r="A4805" s="33" t="s">
        <v>634</v>
      </c>
      <c r="B4805" s="33">
        <v>26</v>
      </c>
      <c r="C4805" s="33" t="s">
        <v>14</v>
      </c>
      <c r="D4805" s="33" t="s">
        <v>31</v>
      </c>
      <c r="E4805" s="33" t="s">
        <v>17609</v>
      </c>
      <c r="F4805" s="67">
        <v>42238</v>
      </c>
      <c r="G4805" s="33" t="s">
        <v>22157</v>
      </c>
      <c r="H4805" s="33" t="s">
        <v>635</v>
      </c>
      <c r="I4805" s="33" t="s">
        <v>337</v>
      </c>
      <c r="J4805" s="33" t="s">
        <v>17869</v>
      </c>
      <c r="K4805" s="33" t="s">
        <v>636</v>
      </c>
      <c r="L4805" s="33" t="s">
        <v>637</v>
      </c>
      <c r="M4805" s="33" t="s">
        <v>21</v>
      </c>
      <c r="N4805" s="33" t="s">
        <v>17714</v>
      </c>
      <c r="O4805" s="33" t="s">
        <v>372</v>
      </c>
      <c r="P4805" s="33" t="s">
        <v>30089</v>
      </c>
      <c r="Q4805" s="40" t="s">
        <v>17715</v>
      </c>
      <c r="R4805" s="33" t="s">
        <v>904</v>
      </c>
      <c r="S4805" s="33" t="s">
        <v>351</v>
      </c>
      <c r="T4805" s="33" t="s">
        <v>26867</v>
      </c>
      <c r="U4805" s="33" t="s">
        <v>26572</v>
      </c>
      <c r="V4805" s="33" t="s">
        <v>26571</v>
      </c>
      <c r="W4805" s="33" t="s">
        <v>94</v>
      </c>
      <c r="X4805" s="33">
        <v>765</v>
      </c>
      <c r="Z4805" s="33" t="s">
        <v>42966</v>
      </c>
      <c r="AA4805" s="33">
        <v>2862</v>
      </c>
    </row>
    <row r="4806" spans="1:27" ht="12" customHeight="1" x14ac:dyDescent="0.15">
      <c r="A4806" s="33" t="s">
        <v>624</v>
      </c>
      <c r="B4806" s="33">
        <v>31</v>
      </c>
      <c r="C4806" s="33" t="s">
        <v>14</v>
      </c>
      <c r="D4806" s="33" t="s">
        <v>31</v>
      </c>
      <c r="E4806" s="33" t="s">
        <v>17607</v>
      </c>
      <c r="F4806" s="67">
        <v>42238</v>
      </c>
      <c r="G4806" s="33" t="s">
        <v>22155</v>
      </c>
      <c r="H4806" s="33" t="s">
        <v>625</v>
      </c>
      <c r="I4806" s="33" t="s">
        <v>122</v>
      </c>
      <c r="J4806" s="33" t="s">
        <v>17865</v>
      </c>
      <c r="K4806" s="33" t="s">
        <v>626</v>
      </c>
      <c r="L4806" s="33" t="s">
        <v>17866</v>
      </c>
      <c r="M4806" s="33" t="s">
        <v>21</v>
      </c>
      <c r="N4806" s="33" t="s">
        <v>17708</v>
      </c>
      <c r="O4806" s="33" t="s">
        <v>372</v>
      </c>
      <c r="P4806" s="33" t="s">
        <v>30089</v>
      </c>
      <c r="Q4806" s="40" t="s">
        <v>17709</v>
      </c>
      <c r="R4806" s="33" t="s">
        <v>94</v>
      </c>
      <c r="S4806" s="33" t="s">
        <v>22</v>
      </c>
      <c r="T4806" s="33" t="s">
        <v>26781</v>
      </c>
      <c r="U4806" s="33" t="s">
        <v>26572</v>
      </c>
      <c r="V4806" s="33" t="s">
        <v>26573</v>
      </c>
      <c r="W4806" s="33" t="s">
        <v>94</v>
      </c>
      <c r="X4806" s="33">
        <v>762</v>
      </c>
      <c r="Z4806" s="33" t="s">
        <v>42967</v>
      </c>
      <c r="AA4806" s="33">
        <v>2859</v>
      </c>
    </row>
    <row r="4807" spans="1:27" ht="12" customHeight="1" x14ac:dyDescent="0.15">
      <c r="A4807" s="33" t="s">
        <v>618</v>
      </c>
      <c r="B4807" s="33">
        <v>38</v>
      </c>
      <c r="C4807" s="33" t="s">
        <v>14</v>
      </c>
      <c r="D4807" s="33" t="s">
        <v>31</v>
      </c>
      <c r="E4807" s="33" t="str">
        <f>HYPERLINK("http://www.killedbypolice.net/victims/150755.jpg","http://www.killedbypolice.net/victims/150755.jpg")</f>
        <v>http://www.killedbypolice.net/victims/150755.jpg</v>
      </c>
      <c r="F4807" s="67">
        <v>42238</v>
      </c>
      <c r="G4807" s="33" t="s">
        <v>619</v>
      </c>
      <c r="H4807" s="33" t="s">
        <v>620</v>
      </c>
      <c r="I4807" s="33" t="s">
        <v>621</v>
      </c>
      <c r="J4807" s="33">
        <v>38652</v>
      </c>
      <c r="K4807" s="33" t="s">
        <v>622</v>
      </c>
      <c r="L4807" s="33" t="s">
        <v>623</v>
      </c>
      <c r="M4807" s="33" t="s">
        <v>21</v>
      </c>
      <c r="P4807" s="33" t="s">
        <v>30089</v>
      </c>
      <c r="Q4807" s="40" t="str">
        <f>HYPERLINK("https://djournal.com/news/man-dies-after-police-chase-2/","https://djournal.com/news/man-dies-after-police-chase-2/")</f>
        <v>https://djournal.com/news/man-dies-after-police-chase-2/</v>
      </c>
      <c r="R4807" s="33" t="s">
        <v>23</v>
      </c>
      <c r="S4807" s="33" t="s">
        <v>351</v>
      </c>
      <c r="T4807" s="1" t="s">
        <v>42983</v>
      </c>
      <c r="Z4807" s="33" t="s">
        <v>42967</v>
      </c>
      <c r="AA4807" s="33">
        <v>2863</v>
      </c>
    </row>
    <row r="4808" spans="1:27" ht="12" customHeight="1" x14ac:dyDescent="0.15">
      <c r="A4808" s="33" t="s">
        <v>18829</v>
      </c>
      <c r="B4808" s="33">
        <v>57</v>
      </c>
      <c r="C4808" s="33" t="s">
        <v>14</v>
      </c>
      <c r="D4808" s="33" t="s">
        <v>31</v>
      </c>
      <c r="E4808" s="33" t="s">
        <v>18830</v>
      </c>
      <c r="F4808" s="67">
        <v>42237</v>
      </c>
      <c r="G4808" s="33" t="s">
        <v>638</v>
      </c>
      <c r="H4808" s="33" t="s">
        <v>639</v>
      </c>
      <c r="I4808" s="33" t="s">
        <v>112</v>
      </c>
      <c r="J4808" s="33">
        <v>85258</v>
      </c>
      <c r="K4808" s="33" t="s">
        <v>585</v>
      </c>
      <c r="L4808" s="33" t="s">
        <v>4494</v>
      </c>
      <c r="M4808" s="33" t="s">
        <v>363</v>
      </c>
      <c r="N4808" s="33" t="s">
        <v>30076</v>
      </c>
      <c r="P4808" s="33" t="s">
        <v>30089</v>
      </c>
      <c r="Q4808" s="40" t="s">
        <v>18392</v>
      </c>
      <c r="R4808" s="33" t="s">
        <v>23</v>
      </c>
      <c r="S4808" s="33" t="s">
        <v>12</v>
      </c>
      <c r="T4808" s="54" t="s">
        <v>29705</v>
      </c>
      <c r="Z4808" s="33" t="s">
        <v>42968</v>
      </c>
      <c r="AA4808" s="33">
        <v>2856</v>
      </c>
    </row>
    <row r="4809" spans="1:27" ht="12" customHeight="1" x14ac:dyDescent="0.15">
      <c r="A4809" s="33" t="s">
        <v>644</v>
      </c>
      <c r="B4809" s="33">
        <v>30</v>
      </c>
      <c r="C4809" s="33" t="s">
        <v>14</v>
      </c>
      <c r="D4809" s="33" t="s">
        <v>31</v>
      </c>
      <c r="F4809" s="67">
        <v>42237</v>
      </c>
      <c r="G4809" s="33" t="s">
        <v>17873</v>
      </c>
      <c r="H4809" s="33" t="s">
        <v>645</v>
      </c>
      <c r="I4809" s="33" t="s">
        <v>46</v>
      </c>
      <c r="J4809" s="33" t="s">
        <v>17874</v>
      </c>
      <c r="K4809" s="33" t="s">
        <v>646</v>
      </c>
      <c r="L4809" s="33" t="s">
        <v>647</v>
      </c>
      <c r="M4809" s="33" t="s">
        <v>21</v>
      </c>
      <c r="N4809" s="33" t="s">
        <v>17720</v>
      </c>
      <c r="O4809" s="33" t="s">
        <v>372</v>
      </c>
      <c r="P4809" s="33" t="s">
        <v>30089</v>
      </c>
      <c r="Q4809" s="40" t="s">
        <v>17721</v>
      </c>
      <c r="R4809" s="33" t="s">
        <v>94</v>
      </c>
      <c r="S4809" s="33" t="s">
        <v>351</v>
      </c>
      <c r="T4809" s="33" t="s">
        <v>26867</v>
      </c>
      <c r="U4809" s="33" t="s">
        <v>26572</v>
      </c>
      <c r="V4809" s="33" t="s">
        <v>26571</v>
      </c>
      <c r="W4809" s="33" t="s">
        <v>94</v>
      </c>
      <c r="X4809" s="33">
        <v>760</v>
      </c>
      <c r="Z4809" s="33" t="s">
        <v>42968</v>
      </c>
      <c r="AA4809" s="33">
        <v>2857</v>
      </c>
    </row>
    <row r="4810" spans="1:27" ht="12" customHeight="1" x14ac:dyDescent="0.15">
      <c r="A4810" s="33" t="s">
        <v>648</v>
      </c>
      <c r="B4810" s="33">
        <v>57</v>
      </c>
      <c r="C4810" s="33" t="s">
        <v>14</v>
      </c>
      <c r="D4810" s="33" t="s">
        <v>31</v>
      </c>
      <c r="F4810" s="67">
        <v>42237</v>
      </c>
      <c r="G4810" s="33" t="s">
        <v>22158</v>
      </c>
      <c r="H4810" s="33" t="s">
        <v>649</v>
      </c>
      <c r="I4810" s="33" t="s">
        <v>282</v>
      </c>
      <c r="J4810" s="33" t="s">
        <v>17875</v>
      </c>
      <c r="K4810" s="33" t="s">
        <v>650</v>
      </c>
      <c r="L4810" s="33" t="s">
        <v>651</v>
      </c>
      <c r="M4810" s="33" t="s">
        <v>21</v>
      </c>
      <c r="N4810" s="33" t="s">
        <v>19108</v>
      </c>
      <c r="O4810" s="33" t="s">
        <v>372</v>
      </c>
      <c r="P4810" s="33" t="s">
        <v>30089</v>
      </c>
      <c r="Q4810" s="40" t="s">
        <v>17722</v>
      </c>
      <c r="R4810" s="33" t="s">
        <v>512</v>
      </c>
      <c r="S4810" s="33" t="s">
        <v>22</v>
      </c>
      <c r="T4810" s="33" t="s">
        <v>26781</v>
      </c>
      <c r="U4810" s="33" t="s">
        <v>26572</v>
      </c>
      <c r="V4810" s="33" t="s">
        <v>26573</v>
      </c>
      <c r="W4810" s="33" t="s">
        <v>94</v>
      </c>
      <c r="X4810" s="33">
        <v>758</v>
      </c>
      <c r="Z4810" s="33" t="s">
        <v>42967</v>
      </c>
      <c r="AA4810" s="33">
        <v>2854</v>
      </c>
    </row>
    <row r="4811" spans="1:27" ht="12" customHeight="1" x14ac:dyDescent="0.15">
      <c r="A4811" s="33" t="s">
        <v>640</v>
      </c>
      <c r="B4811" s="33">
        <v>38</v>
      </c>
      <c r="C4811" s="33" t="s">
        <v>14</v>
      </c>
      <c r="D4811" s="33" t="s">
        <v>31</v>
      </c>
      <c r="E4811" s="33" t="s">
        <v>17611</v>
      </c>
      <c r="F4811" s="67">
        <v>42237</v>
      </c>
      <c r="G4811" s="33" t="s">
        <v>17871</v>
      </c>
      <c r="H4811" s="33" t="s">
        <v>641</v>
      </c>
      <c r="I4811" s="33" t="s">
        <v>338</v>
      </c>
      <c r="J4811" s="33" t="s">
        <v>17872</v>
      </c>
      <c r="K4811" s="33" t="s">
        <v>642</v>
      </c>
      <c r="L4811" s="33" t="s">
        <v>643</v>
      </c>
      <c r="M4811" s="33" t="s">
        <v>21</v>
      </c>
      <c r="N4811" s="33" t="s">
        <v>17718</v>
      </c>
      <c r="O4811" s="33" t="s">
        <v>372</v>
      </c>
      <c r="P4811" s="33" t="s">
        <v>30089</v>
      </c>
      <c r="Q4811" s="40" t="s">
        <v>17719</v>
      </c>
      <c r="R4811" s="33" t="s">
        <v>94</v>
      </c>
      <c r="S4811" s="33" t="s">
        <v>22</v>
      </c>
      <c r="T4811" s="33" t="s">
        <v>26774</v>
      </c>
      <c r="U4811" s="33" t="s">
        <v>26570</v>
      </c>
      <c r="V4811" s="33" t="s">
        <v>26573</v>
      </c>
      <c r="W4811" s="33" t="s">
        <v>94</v>
      </c>
      <c r="X4811" s="33">
        <v>761</v>
      </c>
      <c r="Z4811" s="33" t="s">
        <v>42968</v>
      </c>
      <c r="AA4811" s="33">
        <v>2855</v>
      </c>
    </row>
    <row r="4812" spans="1:27" ht="12" customHeight="1" x14ac:dyDescent="0.15">
      <c r="A4812" s="33" t="s">
        <v>656</v>
      </c>
      <c r="B4812" s="33">
        <v>50</v>
      </c>
      <c r="C4812" s="33" t="s">
        <v>14</v>
      </c>
      <c r="D4812" s="33" t="s">
        <v>31</v>
      </c>
      <c r="F4812" s="67">
        <v>42236</v>
      </c>
      <c r="G4812" s="33" t="s">
        <v>17876</v>
      </c>
      <c r="H4812" s="33" t="s">
        <v>657</v>
      </c>
      <c r="I4812" s="33" t="s">
        <v>88</v>
      </c>
      <c r="J4812" s="33" t="s">
        <v>17877</v>
      </c>
      <c r="K4812" s="33" t="s">
        <v>657</v>
      </c>
      <c r="L4812" s="33" t="s">
        <v>658</v>
      </c>
      <c r="M4812" s="33" t="s">
        <v>4966</v>
      </c>
      <c r="N4812" s="33" t="s">
        <v>17723</v>
      </c>
      <c r="O4812" s="33" t="s">
        <v>372</v>
      </c>
      <c r="P4812" s="33" t="s">
        <v>30089</v>
      </c>
      <c r="Q4812" s="40" t="s">
        <v>17724</v>
      </c>
      <c r="R4812" s="33" t="s">
        <v>512</v>
      </c>
      <c r="S4812" s="33" t="s">
        <v>12</v>
      </c>
      <c r="T4812" s="33" t="s">
        <v>29705</v>
      </c>
      <c r="U4812" s="33" t="s">
        <v>26572</v>
      </c>
      <c r="V4812" s="33" t="s">
        <v>26573</v>
      </c>
      <c r="W4812" s="33" t="s">
        <v>94</v>
      </c>
      <c r="X4812" s="33">
        <v>755</v>
      </c>
      <c r="Z4812" s="33" t="s">
        <v>42968</v>
      </c>
      <c r="AA4812" s="33">
        <v>2853</v>
      </c>
    </row>
    <row r="4813" spans="1:27" ht="12" customHeight="1" x14ac:dyDescent="0.15">
      <c r="A4813" s="33" t="s">
        <v>652</v>
      </c>
      <c r="B4813" s="33">
        <v>17</v>
      </c>
      <c r="C4813" s="33" t="s">
        <v>14</v>
      </c>
      <c r="D4813" s="33" t="s">
        <v>42</v>
      </c>
      <c r="E4813" s="33" t="s">
        <v>17612</v>
      </c>
      <c r="F4813" s="67">
        <v>42236</v>
      </c>
      <c r="G4813" s="33" t="s">
        <v>17878</v>
      </c>
      <c r="H4813" s="33" t="s">
        <v>447</v>
      </c>
      <c r="I4813" s="33" t="s">
        <v>39</v>
      </c>
      <c r="J4813" s="33" t="s">
        <v>17879</v>
      </c>
      <c r="K4813" s="33" t="s">
        <v>288</v>
      </c>
      <c r="L4813" s="33" t="s">
        <v>448</v>
      </c>
      <c r="M4813" s="33" t="s">
        <v>21</v>
      </c>
      <c r="N4813" s="33" t="s">
        <v>17725</v>
      </c>
      <c r="O4813" s="33" t="s">
        <v>372</v>
      </c>
      <c r="P4813" s="33" t="s">
        <v>30089</v>
      </c>
      <c r="Q4813" s="40" t="s">
        <v>17726</v>
      </c>
      <c r="R4813" s="33" t="s">
        <v>512</v>
      </c>
      <c r="S4813" s="33" t="s">
        <v>22</v>
      </c>
      <c r="T4813" s="33" t="s">
        <v>26781</v>
      </c>
      <c r="U4813" s="33" t="s">
        <v>26572</v>
      </c>
      <c r="V4813" s="33" t="s">
        <v>26573</v>
      </c>
      <c r="W4813" s="33" t="s">
        <v>94</v>
      </c>
      <c r="X4813" s="33">
        <v>756</v>
      </c>
      <c r="Z4813" s="33" t="s">
        <v>42966</v>
      </c>
      <c r="AA4813" s="33">
        <v>2851</v>
      </c>
    </row>
    <row r="4814" spans="1:27" ht="12" customHeight="1" x14ac:dyDescent="0.15">
      <c r="A4814" s="33" t="s">
        <v>653</v>
      </c>
      <c r="B4814" s="33">
        <v>19</v>
      </c>
      <c r="C4814" s="33" t="s">
        <v>14</v>
      </c>
      <c r="D4814" s="33" t="s">
        <v>31</v>
      </c>
      <c r="F4814" s="67">
        <v>42236</v>
      </c>
      <c r="G4814" s="33" t="s">
        <v>654</v>
      </c>
      <c r="H4814" s="33" t="s">
        <v>655</v>
      </c>
      <c r="I4814" s="33" t="s">
        <v>63</v>
      </c>
      <c r="J4814" s="33" t="s">
        <v>17880</v>
      </c>
      <c r="K4814" s="33" t="s">
        <v>107</v>
      </c>
      <c r="L4814" s="33" t="s">
        <v>108</v>
      </c>
      <c r="M4814" s="33" t="s">
        <v>21</v>
      </c>
      <c r="N4814" s="33" t="s">
        <v>17727</v>
      </c>
      <c r="O4814" s="33" t="s">
        <v>17668</v>
      </c>
      <c r="P4814" s="33" t="s">
        <v>30089</v>
      </c>
      <c r="Q4814" s="40" t="s">
        <v>17728</v>
      </c>
      <c r="R4814" s="33" t="s">
        <v>512</v>
      </c>
      <c r="S4814" s="33" t="s">
        <v>22</v>
      </c>
      <c r="T4814" s="33" t="s">
        <v>26781</v>
      </c>
      <c r="U4814" s="33" t="s">
        <v>26572</v>
      </c>
      <c r="V4814" s="33" t="s">
        <v>26573</v>
      </c>
      <c r="W4814" s="33" t="s">
        <v>94</v>
      </c>
      <c r="X4814" s="33">
        <v>881</v>
      </c>
      <c r="Z4814" s="33" t="s">
        <v>42967</v>
      </c>
      <c r="AA4814" s="33">
        <v>2852</v>
      </c>
    </row>
    <row r="4815" spans="1:27" ht="12" customHeight="1" x14ac:dyDescent="0.15">
      <c r="A4815" s="33" t="s">
        <v>663</v>
      </c>
      <c r="B4815" s="33">
        <v>24</v>
      </c>
      <c r="C4815" s="33" t="s">
        <v>14</v>
      </c>
      <c r="D4815" s="33" t="s">
        <v>79</v>
      </c>
      <c r="E4815" s="33" t="s">
        <v>17613</v>
      </c>
      <c r="F4815" s="67">
        <v>42235</v>
      </c>
      <c r="G4815" s="33" t="s">
        <v>17881</v>
      </c>
      <c r="H4815" s="33" t="s">
        <v>17882</v>
      </c>
      <c r="I4815" s="33" t="s">
        <v>51</v>
      </c>
      <c r="J4815" s="33" t="s">
        <v>17883</v>
      </c>
      <c r="K4815" s="33" t="s">
        <v>557</v>
      </c>
      <c r="L4815" s="33" t="s">
        <v>17884</v>
      </c>
      <c r="M4815" s="33" t="s">
        <v>21</v>
      </c>
      <c r="N4815" s="33" t="s">
        <v>17729</v>
      </c>
      <c r="O4815" s="33" t="s">
        <v>372</v>
      </c>
      <c r="P4815" s="33" t="s">
        <v>30089</v>
      </c>
      <c r="Q4815" s="40" t="s">
        <v>17730</v>
      </c>
      <c r="R4815" s="33" t="s">
        <v>94</v>
      </c>
      <c r="S4815" s="33" t="s">
        <v>22</v>
      </c>
      <c r="T4815" s="33" t="s">
        <v>26781</v>
      </c>
      <c r="U4815" s="33" t="s">
        <v>26572</v>
      </c>
      <c r="V4815" s="33" t="s">
        <v>26571</v>
      </c>
      <c r="W4815" s="33" t="s">
        <v>94</v>
      </c>
      <c r="X4815" s="33">
        <v>752</v>
      </c>
      <c r="Z4815" s="33" t="s">
        <v>42968</v>
      </c>
      <c r="AA4815" s="33">
        <v>2847</v>
      </c>
    </row>
    <row r="4816" spans="1:27" ht="12" customHeight="1" x14ac:dyDescent="0.15">
      <c r="A4816" s="33" t="s">
        <v>668</v>
      </c>
      <c r="B4816" s="33">
        <v>44</v>
      </c>
      <c r="C4816" s="33" t="s">
        <v>14</v>
      </c>
      <c r="D4816" s="33" t="s">
        <v>31</v>
      </c>
      <c r="E4816" s="33" t="s">
        <v>17615</v>
      </c>
      <c r="F4816" s="67">
        <v>42235</v>
      </c>
      <c r="G4816" s="33" t="s">
        <v>669</v>
      </c>
      <c r="H4816" s="33" t="s">
        <v>670</v>
      </c>
      <c r="I4816" s="33" t="s">
        <v>338</v>
      </c>
      <c r="J4816" s="33" t="s">
        <v>17887</v>
      </c>
      <c r="K4816" s="33" t="s">
        <v>671</v>
      </c>
      <c r="L4816" s="33" t="s">
        <v>36915</v>
      </c>
      <c r="M4816" s="33" t="s">
        <v>21</v>
      </c>
      <c r="N4816" s="33" t="s">
        <v>17734</v>
      </c>
      <c r="O4816" s="33" t="s">
        <v>372</v>
      </c>
      <c r="P4816" s="33" t="s">
        <v>30089</v>
      </c>
      <c r="Q4816" s="40" t="s">
        <v>17735</v>
      </c>
      <c r="R4816" s="33" t="s">
        <v>512</v>
      </c>
      <c r="S4816" s="33" t="s">
        <v>22</v>
      </c>
      <c r="T4816" s="33" t="s">
        <v>26781</v>
      </c>
      <c r="U4816" s="33" t="s">
        <v>26572</v>
      </c>
      <c r="V4816" s="33" t="s">
        <v>26573</v>
      </c>
      <c r="W4816" s="33" t="s">
        <v>94</v>
      </c>
      <c r="X4816" s="33">
        <v>754</v>
      </c>
      <c r="Z4816" s="33" t="s">
        <v>42968</v>
      </c>
      <c r="AA4816" s="33">
        <v>2849</v>
      </c>
    </row>
    <row r="4817" spans="1:27" ht="12" customHeight="1" x14ac:dyDescent="0.15">
      <c r="A4817" s="33" t="s">
        <v>659</v>
      </c>
      <c r="B4817" s="33">
        <v>18</v>
      </c>
      <c r="C4817" s="33" t="s">
        <v>14</v>
      </c>
      <c r="D4817" s="33" t="s">
        <v>79</v>
      </c>
      <c r="E4817" s="33" t="s">
        <v>17614</v>
      </c>
      <c r="F4817" s="67">
        <v>42235</v>
      </c>
      <c r="G4817" s="33" t="s">
        <v>660</v>
      </c>
      <c r="H4817" s="33" t="s">
        <v>661</v>
      </c>
      <c r="I4817" s="33" t="s">
        <v>402</v>
      </c>
      <c r="J4817" s="33" t="s">
        <v>4371</v>
      </c>
      <c r="K4817" s="33" t="s">
        <v>661</v>
      </c>
      <c r="L4817" s="33" t="s">
        <v>4162</v>
      </c>
      <c r="M4817" s="33" t="s">
        <v>21</v>
      </c>
      <c r="N4817" s="33" t="s">
        <v>662</v>
      </c>
      <c r="O4817" s="33" t="s">
        <v>372</v>
      </c>
      <c r="P4817" s="33" t="s">
        <v>30089</v>
      </c>
      <c r="Q4817" s="40" t="s">
        <v>17733</v>
      </c>
      <c r="R4817" s="33" t="s">
        <v>23</v>
      </c>
      <c r="S4817" s="33" t="s">
        <v>29</v>
      </c>
      <c r="T4817" s="33" t="s">
        <v>26781</v>
      </c>
      <c r="U4817" s="33" t="s">
        <v>26572</v>
      </c>
      <c r="V4817" s="33" t="s">
        <v>26574</v>
      </c>
      <c r="W4817" s="33" t="s">
        <v>94</v>
      </c>
      <c r="X4817" s="33">
        <v>751</v>
      </c>
      <c r="Z4817" s="33" t="s">
        <v>42966</v>
      </c>
      <c r="AA4817" s="33">
        <v>2850</v>
      </c>
    </row>
    <row r="4818" spans="1:27" ht="12" customHeight="1" x14ac:dyDescent="0.15">
      <c r="A4818" s="33" t="s">
        <v>664</v>
      </c>
      <c r="B4818" s="33">
        <v>29</v>
      </c>
      <c r="C4818" s="33" t="s">
        <v>14</v>
      </c>
      <c r="D4818" s="33" t="s">
        <v>31</v>
      </c>
      <c r="F4818" s="67">
        <v>42235</v>
      </c>
      <c r="G4818" s="33" t="s">
        <v>17885</v>
      </c>
      <c r="H4818" s="33" t="s">
        <v>665</v>
      </c>
      <c r="I4818" s="33" t="s">
        <v>282</v>
      </c>
      <c r="J4818" s="33" t="s">
        <v>17886</v>
      </c>
      <c r="K4818" s="33" t="s">
        <v>666</v>
      </c>
      <c r="L4818" s="33" t="s">
        <v>667</v>
      </c>
      <c r="M4818" s="33" t="s">
        <v>21</v>
      </c>
      <c r="N4818" s="33" t="s">
        <v>17731</v>
      </c>
      <c r="O4818" s="33" t="s">
        <v>372</v>
      </c>
      <c r="P4818" s="33" t="s">
        <v>30089</v>
      </c>
      <c r="Q4818" s="40" t="s">
        <v>17732</v>
      </c>
      <c r="R4818" s="33" t="s">
        <v>512</v>
      </c>
      <c r="S4818" s="33" t="s">
        <v>22</v>
      </c>
      <c r="T4818" s="33" t="s">
        <v>26781</v>
      </c>
      <c r="U4818" s="33" t="s">
        <v>26572</v>
      </c>
      <c r="V4818" s="33" t="s">
        <v>26574</v>
      </c>
      <c r="W4818" s="33" t="s">
        <v>94</v>
      </c>
      <c r="X4818" s="33">
        <v>753</v>
      </c>
      <c r="Z4818" s="33" t="s">
        <v>42967</v>
      </c>
      <c r="AA4818" s="33">
        <v>2848</v>
      </c>
    </row>
    <row r="4819" spans="1:27" ht="12" customHeight="1" x14ac:dyDescent="0.15">
      <c r="A4819" s="33" t="s">
        <v>672</v>
      </c>
      <c r="B4819" s="33">
        <v>35</v>
      </c>
      <c r="C4819" s="33" t="s">
        <v>14</v>
      </c>
      <c r="D4819" s="33" t="s">
        <v>79</v>
      </c>
      <c r="E4819" s="33" t="s">
        <v>17616</v>
      </c>
      <c r="F4819" s="67">
        <v>42233</v>
      </c>
      <c r="G4819" s="33" t="s">
        <v>673</v>
      </c>
      <c r="H4819" s="33" t="s">
        <v>674</v>
      </c>
      <c r="I4819" s="33" t="s">
        <v>67</v>
      </c>
      <c r="J4819" s="33" t="s">
        <v>17888</v>
      </c>
      <c r="K4819" s="33" t="s">
        <v>515</v>
      </c>
      <c r="L4819" s="33" t="s">
        <v>675</v>
      </c>
      <c r="M4819" s="33" t="s">
        <v>21</v>
      </c>
      <c r="N4819" s="33" t="s">
        <v>17736</v>
      </c>
      <c r="O4819" s="33" t="s">
        <v>372</v>
      </c>
      <c r="P4819" s="33" t="s">
        <v>30089</v>
      </c>
      <c r="Q4819" s="40" t="s">
        <v>676</v>
      </c>
      <c r="R4819" s="33" t="s">
        <v>904</v>
      </c>
      <c r="S4819" s="33" t="s">
        <v>22</v>
      </c>
      <c r="T4819" s="33" t="s">
        <v>26781</v>
      </c>
      <c r="U4819" s="33" t="s">
        <v>26572</v>
      </c>
      <c r="V4819" s="33" t="s">
        <v>26573</v>
      </c>
      <c r="W4819" s="33" t="s">
        <v>94</v>
      </c>
      <c r="X4819" s="33">
        <v>748</v>
      </c>
      <c r="Z4819" s="33" t="s">
        <v>42966</v>
      </c>
      <c r="AA4819" s="33">
        <v>2845</v>
      </c>
    </row>
    <row r="4820" spans="1:27" ht="12" customHeight="1" x14ac:dyDescent="0.15">
      <c r="A4820" s="33" t="s">
        <v>677</v>
      </c>
      <c r="B4820" s="33">
        <v>40</v>
      </c>
      <c r="C4820" s="33" t="s">
        <v>14</v>
      </c>
      <c r="D4820" s="33" t="s">
        <v>42</v>
      </c>
      <c r="E4820" s="33" t="s">
        <v>17617</v>
      </c>
      <c r="F4820" s="67">
        <v>42233</v>
      </c>
      <c r="G4820" s="33" t="s">
        <v>17889</v>
      </c>
      <c r="H4820" s="33" t="s">
        <v>560</v>
      </c>
      <c r="I4820" s="33" t="s">
        <v>39</v>
      </c>
      <c r="J4820" s="33" t="s">
        <v>3075</v>
      </c>
      <c r="K4820" s="33" t="s">
        <v>561</v>
      </c>
      <c r="L4820" s="33" t="s">
        <v>678</v>
      </c>
      <c r="M4820" s="33" t="s">
        <v>21</v>
      </c>
      <c r="N4820" s="33" t="s">
        <v>17737</v>
      </c>
      <c r="O4820" s="33" t="s">
        <v>372</v>
      </c>
      <c r="P4820" s="33" t="s">
        <v>30089</v>
      </c>
      <c r="Q4820" s="40" t="s">
        <v>17738</v>
      </c>
      <c r="R4820" s="33" t="s">
        <v>94</v>
      </c>
      <c r="S4820" s="33" t="s">
        <v>12</v>
      </c>
      <c r="T4820" s="33" t="s">
        <v>29705</v>
      </c>
      <c r="U4820" s="33" t="s">
        <v>26570</v>
      </c>
      <c r="V4820" s="33" t="s">
        <v>26574</v>
      </c>
      <c r="W4820" s="33" t="s">
        <v>94</v>
      </c>
      <c r="X4820" s="33">
        <v>749</v>
      </c>
      <c r="Z4820" s="33" t="s">
        <v>42966</v>
      </c>
      <c r="AA4820" s="33">
        <v>2846</v>
      </c>
    </row>
    <row r="4821" spans="1:27" ht="12" customHeight="1" x14ac:dyDescent="0.15">
      <c r="A4821" s="33" t="s">
        <v>680</v>
      </c>
      <c r="B4821" s="33">
        <v>47</v>
      </c>
      <c r="C4821" s="33" t="s">
        <v>14</v>
      </c>
      <c r="D4821" s="33" t="s">
        <v>31</v>
      </c>
      <c r="E4821" s="33" t="s">
        <v>17619</v>
      </c>
      <c r="F4821" s="67">
        <v>42232</v>
      </c>
      <c r="G4821" s="33" t="s">
        <v>681</v>
      </c>
      <c r="H4821" s="33" t="s">
        <v>682</v>
      </c>
      <c r="I4821" s="33" t="s">
        <v>67</v>
      </c>
      <c r="J4821" s="33" t="s">
        <v>17890</v>
      </c>
      <c r="K4821" s="33" t="s">
        <v>683</v>
      </c>
      <c r="L4821" s="33" t="s">
        <v>684</v>
      </c>
      <c r="M4821" s="33" t="s">
        <v>21</v>
      </c>
      <c r="N4821" s="33" t="s">
        <v>17741</v>
      </c>
      <c r="O4821" s="33" t="s">
        <v>372</v>
      </c>
      <c r="P4821" s="33" t="s">
        <v>30089</v>
      </c>
      <c r="Q4821" s="40" t="s">
        <v>17742</v>
      </c>
      <c r="R4821" s="33" t="s">
        <v>23</v>
      </c>
      <c r="S4821" s="33" t="s">
        <v>22</v>
      </c>
      <c r="T4821" s="33" t="s">
        <v>26781</v>
      </c>
      <c r="U4821" s="33" t="s">
        <v>26572</v>
      </c>
      <c r="V4821" s="33" t="s">
        <v>26573</v>
      </c>
      <c r="W4821" s="33" t="s">
        <v>94</v>
      </c>
      <c r="X4821" s="33">
        <v>746</v>
      </c>
      <c r="Z4821" s="33" t="s">
        <v>42968</v>
      </c>
      <c r="AA4821" s="33">
        <v>2844</v>
      </c>
    </row>
    <row r="4822" spans="1:27" ht="12" customHeight="1" x14ac:dyDescent="0.15">
      <c r="A4822" s="33" t="s">
        <v>679</v>
      </c>
      <c r="B4822" s="33">
        <v>29</v>
      </c>
      <c r="C4822" s="33" t="s">
        <v>14</v>
      </c>
      <c r="D4822" s="33" t="s">
        <v>42</v>
      </c>
      <c r="E4822" s="33" t="s">
        <v>17618</v>
      </c>
      <c r="F4822" s="67">
        <v>42232</v>
      </c>
      <c r="G4822" s="33" t="s">
        <v>22159</v>
      </c>
      <c r="H4822" s="33" t="s">
        <v>560</v>
      </c>
      <c r="I4822" s="33" t="s">
        <v>39</v>
      </c>
      <c r="J4822" s="33" t="s">
        <v>3075</v>
      </c>
      <c r="K4822" s="33" t="s">
        <v>561</v>
      </c>
      <c r="L4822" s="33" t="s">
        <v>678</v>
      </c>
      <c r="M4822" s="33" t="s">
        <v>21</v>
      </c>
      <c r="N4822" s="33" t="s">
        <v>17739</v>
      </c>
      <c r="O4822" s="33" t="s">
        <v>372</v>
      </c>
      <c r="P4822" s="33" t="s">
        <v>30089</v>
      </c>
      <c r="Q4822" s="40" t="s">
        <v>17740</v>
      </c>
      <c r="R4822" s="33" t="s">
        <v>23</v>
      </c>
      <c r="S4822" s="33" t="s">
        <v>22</v>
      </c>
      <c r="T4822" s="33" t="s">
        <v>26781</v>
      </c>
      <c r="U4822" s="33" t="s">
        <v>26570</v>
      </c>
      <c r="V4822" s="33" t="s">
        <v>26573</v>
      </c>
      <c r="W4822" s="33" t="s">
        <v>94</v>
      </c>
      <c r="X4822" s="33">
        <v>745</v>
      </c>
      <c r="Z4822" s="33" t="s">
        <v>42966</v>
      </c>
      <c r="AA4822" s="33">
        <v>2843</v>
      </c>
    </row>
    <row r="4823" spans="1:27" ht="12" customHeight="1" x14ac:dyDescent="0.15">
      <c r="A4823" s="33" t="s">
        <v>690</v>
      </c>
      <c r="B4823" s="33">
        <v>34</v>
      </c>
      <c r="C4823" s="33" t="s">
        <v>14</v>
      </c>
      <c r="D4823" s="33" t="s">
        <v>79</v>
      </c>
      <c r="E4823" s="33" t="s">
        <v>17621</v>
      </c>
      <c r="F4823" s="67">
        <v>42231</v>
      </c>
      <c r="G4823" s="33" t="s">
        <v>691</v>
      </c>
      <c r="H4823" s="33" t="s">
        <v>692</v>
      </c>
      <c r="I4823" s="33" t="s">
        <v>39</v>
      </c>
      <c r="J4823" s="33" t="s">
        <v>17891</v>
      </c>
      <c r="K4823" s="33" t="s">
        <v>632</v>
      </c>
      <c r="L4823" s="33" t="s">
        <v>693</v>
      </c>
      <c r="M4823" s="33" t="s">
        <v>21</v>
      </c>
      <c r="N4823" s="33" t="s">
        <v>17745</v>
      </c>
      <c r="O4823" s="33" t="s">
        <v>372</v>
      </c>
      <c r="P4823" s="33" t="s">
        <v>30089</v>
      </c>
      <c r="Q4823" s="40" t="s">
        <v>17746</v>
      </c>
      <c r="R4823" s="33" t="s">
        <v>23</v>
      </c>
      <c r="S4823" s="33" t="s">
        <v>22</v>
      </c>
      <c r="T4823" s="1" t="s">
        <v>26781</v>
      </c>
      <c r="U4823" s="33" t="s">
        <v>26572</v>
      </c>
      <c r="V4823" s="33" t="s">
        <v>26573</v>
      </c>
      <c r="W4823" s="33" t="s">
        <v>94</v>
      </c>
      <c r="X4823" s="33">
        <v>743</v>
      </c>
      <c r="Z4823" s="33" t="s">
        <v>42967</v>
      </c>
      <c r="AA4823" s="33">
        <v>2839</v>
      </c>
    </row>
    <row r="4824" spans="1:27" ht="12" customHeight="1" x14ac:dyDescent="0.15">
      <c r="A4824" s="33" t="s">
        <v>687</v>
      </c>
      <c r="B4824" s="33">
        <v>43</v>
      </c>
      <c r="C4824" s="33" t="s">
        <v>14</v>
      </c>
      <c r="D4824" s="33" t="s">
        <v>31</v>
      </c>
      <c r="F4824" s="67">
        <v>42231</v>
      </c>
      <c r="G4824" s="33" t="s">
        <v>17892</v>
      </c>
      <c r="H4824" s="33" t="s">
        <v>688</v>
      </c>
      <c r="I4824" s="33" t="s">
        <v>198</v>
      </c>
      <c r="J4824" s="33" t="s">
        <v>17893</v>
      </c>
      <c r="K4824" s="33" t="s">
        <v>1659</v>
      </c>
      <c r="L4824" s="33" t="s">
        <v>689</v>
      </c>
      <c r="M4824" s="33" t="s">
        <v>4966</v>
      </c>
      <c r="N4824" s="33" t="s">
        <v>17747</v>
      </c>
      <c r="O4824" s="33" t="s">
        <v>372</v>
      </c>
      <c r="P4824" s="33" t="s">
        <v>30089</v>
      </c>
      <c r="Q4824" s="40" t="s">
        <v>17748</v>
      </c>
      <c r="R4824" s="33" t="s">
        <v>23</v>
      </c>
      <c r="S4824" s="33" t="s">
        <v>12</v>
      </c>
      <c r="T4824" s="33" t="s">
        <v>29705</v>
      </c>
      <c r="U4824" s="33" t="s">
        <v>26572</v>
      </c>
      <c r="V4824" s="33" t="s">
        <v>26573</v>
      </c>
      <c r="W4824" s="33" t="s">
        <v>94</v>
      </c>
      <c r="X4824" s="33">
        <v>741</v>
      </c>
      <c r="Z4824" s="33" t="s">
        <v>42967</v>
      </c>
      <c r="AA4824" s="33">
        <v>2842</v>
      </c>
    </row>
    <row r="4825" spans="1:27" ht="12" customHeight="1" x14ac:dyDescent="0.15">
      <c r="A4825" s="33" t="s">
        <v>694</v>
      </c>
      <c r="B4825" s="33">
        <v>30</v>
      </c>
      <c r="C4825" s="33" t="s">
        <v>14</v>
      </c>
      <c r="D4825" s="33" t="s">
        <v>31</v>
      </c>
      <c r="F4825" s="67">
        <v>42231</v>
      </c>
      <c r="G4825" s="33" t="s">
        <v>695</v>
      </c>
      <c r="H4825" s="33" t="s">
        <v>696</v>
      </c>
      <c r="I4825" s="33" t="s">
        <v>250</v>
      </c>
      <c r="J4825" s="33" t="s">
        <v>17894</v>
      </c>
      <c r="K4825" s="33" t="s">
        <v>696</v>
      </c>
      <c r="L4825" s="33" t="s">
        <v>697</v>
      </c>
      <c r="M4825" s="33" t="s">
        <v>21</v>
      </c>
      <c r="N4825" s="33" t="s">
        <v>17749</v>
      </c>
      <c r="O4825" s="33" t="s">
        <v>372</v>
      </c>
      <c r="P4825" s="33" t="s">
        <v>30089</v>
      </c>
      <c r="Q4825" s="40" t="s">
        <v>17750</v>
      </c>
      <c r="R4825" s="33" t="s">
        <v>23</v>
      </c>
      <c r="S4825" s="33" t="s">
        <v>22</v>
      </c>
      <c r="T4825" s="33" t="s">
        <v>26781</v>
      </c>
      <c r="U4825" s="33" t="s">
        <v>26572</v>
      </c>
      <c r="V4825" s="33" t="s">
        <v>26573</v>
      </c>
      <c r="W4825" s="33" t="s">
        <v>94</v>
      </c>
      <c r="X4825" s="33">
        <v>744</v>
      </c>
      <c r="Z4825" s="33" t="s">
        <v>42966</v>
      </c>
      <c r="AA4825" s="33">
        <v>2841</v>
      </c>
    </row>
    <row r="4826" spans="1:27" ht="12" customHeight="1" x14ac:dyDescent="0.15">
      <c r="A4826" s="33" t="s">
        <v>715</v>
      </c>
      <c r="B4826" s="33">
        <v>23</v>
      </c>
      <c r="C4826" s="33" t="s">
        <v>14</v>
      </c>
      <c r="D4826" s="33" t="s">
        <v>79</v>
      </c>
      <c r="E4826" s="33" t="s">
        <v>17620</v>
      </c>
      <c r="F4826" s="67">
        <v>42231</v>
      </c>
      <c r="G4826" s="33" t="s">
        <v>22160</v>
      </c>
      <c r="H4826" s="33" t="s">
        <v>716</v>
      </c>
      <c r="I4826" s="33" t="s">
        <v>39</v>
      </c>
      <c r="J4826" s="33" t="s">
        <v>8518</v>
      </c>
      <c r="K4826" s="33" t="s">
        <v>561</v>
      </c>
      <c r="L4826" s="33" t="s">
        <v>717</v>
      </c>
      <c r="M4826" s="33" t="s">
        <v>21</v>
      </c>
      <c r="N4826" s="33" t="s">
        <v>17743</v>
      </c>
      <c r="O4826" s="33" t="s">
        <v>372</v>
      </c>
      <c r="P4826" s="33" t="s">
        <v>30089</v>
      </c>
      <c r="Q4826" s="40" t="s">
        <v>17744</v>
      </c>
      <c r="R4826" s="33" t="s">
        <v>23</v>
      </c>
      <c r="S4826" s="33" t="s">
        <v>22</v>
      </c>
      <c r="T4826" s="33" t="s">
        <v>26781</v>
      </c>
      <c r="U4826" s="33" t="s">
        <v>26572</v>
      </c>
      <c r="V4826" s="33" t="s">
        <v>26573</v>
      </c>
      <c r="W4826" s="33" t="s">
        <v>94</v>
      </c>
      <c r="X4826" s="33">
        <v>742</v>
      </c>
      <c r="Z4826" s="33" t="s">
        <v>42968</v>
      </c>
      <c r="AA4826" s="33">
        <v>2840</v>
      </c>
    </row>
    <row r="4827" spans="1:27" ht="12" customHeight="1" x14ac:dyDescent="0.15">
      <c r="A4827" s="33" t="s">
        <v>685</v>
      </c>
      <c r="B4827" s="33">
        <v>44</v>
      </c>
      <c r="C4827" s="33" t="s">
        <v>14</v>
      </c>
      <c r="D4827" s="33" t="s">
        <v>42</v>
      </c>
      <c r="E4827" s="33" t="s">
        <v>17622</v>
      </c>
      <c r="F4827" s="67">
        <v>42231</v>
      </c>
      <c r="G4827" s="33" t="s">
        <v>17895</v>
      </c>
      <c r="H4827" s="33" t="s">
        <v>686</v>
      </c>
      <c r="I4827" s="33" t="s">
        <v>39</v>
      </c>
      <c r="J4827" s="33" t="s">
        <v>17896</v>
      </c>
      <c r="K4827" s="33" t="s">
        <v>92</v>
      </c>
      <c r="L4827" s="33" t="s">
        <v>386</v>
      </c>
      <c r="M4827" s="33" t="s">
        <v>363</v>
      </c>
      <c r="N4827" s="33" t="s">
        <v>17751</v>
      </c>
      <c r="O4827" s="33" t="s">
        <v>372</v>
      </c>
      <c r="P4827" s="33" t="s">
        <v>30089</v>
      </c>
      <c r="Q4827" s="40" t="s">
        <v>17752</v>
      </c>
      <c r="R4827" s="33" t="s">
        <v>23</v>
      </c>
      <c r="S4827" s="1" t="s">
        <v>29</v>
      </c>
      <c r="T4827" s="33" t="s">
        <v>26618</v>
      </c>
      <c r="Z4827" s="33" t="s">
        <v>42968</v>
      </c>
      <c r="AA4827" s="33">
        <v>2838</v>
      </c>
    </row>
    <row r="4828" spans="1:27" ht="12" customHeight="1" x14ac:dyDescent="0.15">
      <c r="A4828" s="33" t="s">
        <v>711</v>
      </c>
      <c r="B4828" s="33">
        <v>53</v>
      </c>
      <c r="C4828" s="33" t="s">
        <v>14</v>
      </c>
      <c r="D4828" s="33" t="s">
        <v>31</v>
      </c>
      <c r="E4828" s="33" t="s">
        <v>17623</v>
      </c>
      <c r="F4828" s="67">
        <v>42230</v>
      </c>
      <c r="G4828" s="33" t="s">
        <v>712</v>
      </c>
      <c r="H4828" s="33" t="s">
        <v>713</v>
      </c>
      <c r="I4828" s="33" t="s">
        <v>35</v>
      </c>
      <c r="J4828" s="33" t="s">
        <v>17901</v>
      </c>
      <c r="K4828" s="33" t="s">
        <v>714</v>
      </c>
      <c r="L4828" s="33" t="s">
        <v>36953</v>
      </c>
      <c r="M4828" s="33" t="s">
        <v>4966</v>
      </c>
      <c r="N4828" s="33" t="s">
        <v>17755</v>
      </c>
      <c r="O4828" s="33" t="s">
        <v>372</v>
      </c>
      <c r="P4828" s="33" t="s">
        <v>30089</v>
      </c>
      <c r="Q4828" s="40" t="s">
        <v>17756</v>
      </c>
      <c r="R4828" s="33" t="s">
        <v>23</v>
      </c>
      <c r="S4828" s="33" t="s">
        <v>22</v>
      </c>
      <c r="T4828" s="33" t="s">
        <v>26612</v>
      </c>
      <c r="U4828" s="33" t="s">
        <v>26572</v>
      </c>
      <c r="V4828" s="33" t="s">
        <v>26571</v>
      </c>
      <c r="W4828" s="33" t="s">
        <v>94</v>
      </c>
      <c r="X4828" s="33">
        <v>750</v>
      </c>
      <c r="Z4828" s="33" t="s">
        <v>42968</v>
      </c>
      <c r="AA4828" s="33">
        <v>2834</v>
      </c>
    </row>
    <row r="4829" spans="1:27" ht="12" customHeight="1" x14ac:dyDescent="0.15">
      <c r="A4829" s="33" t="s">
        <v>706</v>
      </c>
      <c r="B4829" s="33">
        <v>26</v>
      </c>
      <c r="C4829" s="33" t="s">
        <v>14</v>
      </c>
      <c r="D4829" s="33" t="s">
        <v>42</v>
      </c>
      <c r="F4829" s="67">
        <v>42230</v>
      </c>
      <c r="G4829" s="33" t="s">
        <v>707</v>
      </c>
      <c r="H4829" s="33" t="s">
        <v>708</v>
      </c>
      <c r="I4829" s="33" t="s">
        <v>67</v>
      </c>
      <c r="J4829" s="33" t="s">
        <v>17902</v>
      </c>
      <c r="K4829" s="33" t="s">
        <v>709</v>
      </c>
      <c r="L4829" s="33" t="s">
        <v>710</v>
      </c>
      <c r="M4829" s="33" t="s">
        <v>21</v>
      </c>
      <c r="N4829" s="33" t="s">
        <v>17757</v>
      </c>
      <c r="O4829" s="33" t="s">
        <v>372</v>
      </c>
      <c r="P4829" s="33" t="s">
        <v>30089</v>
      </c>
      <c r="Q4829" s="40" t="s">
        <v>17758</v>
      </c>
      <c r="R4829" s="33" t="s">
        <v>23</v>
      </c>
      <c r="S4829" s="33" t="s">
        <v>22</v>
      </c>
      <c r="T4829" s="33" t="s">
        <v>26781</v>
      </c>
      <c r="U4829" s="33" t="s">
        <v>26572</v>
      </c>
      <c r="V4829" s="33" t="s">
        <v>26573</v>
      </c>
      <c r="W4829" s="33" t="s">
        <v>94</v>
      </c>
      <c r="X4829" s="33">
        <v>739</v>
      </c>
      <c r="Z4829" s="33" t="s">
        <v>42967</v>
      </c>
      <c r="AA4829" s="33">
        <v>2836</v>
      </c>
    </row>
    <row r="4830" spans="1:27" ht="12" customHeight="1" x14ac:dyDescent="0.15">
      <c r="A4830" s="33" t="s">
        <v>698</v>
      </c>
      <c r="B4830" s="33">
        <v>38</v>
      </c>
      <c r="C4830" s="33" t="s">
        <v>14</v>
      </c>
      <c r="D4830" s="33" t="s">
        <v>79</v>
      </c>
      <c r="E4830" s="33" t="s">
        <v>17624</v>
      </c>
      <c r="F4830" s="67">
        <v>42230</v>
      </c>
      <c r="G4830" s="33" t="s">
        <v>699</v>
      </c>
      <c r="H4830" s="33" t="s">
        <v>700</v>
      </c>
      <c r="I4830" s="33" t="s">
        <v>395</v>
      </c>
      <c r="J4830" s="33" t="s">
        <v>12601</v>
      </c>
      <c r="K4830" s="33" t="s">
        <v>818</v>
      </c>
      <c r="L4830" s="33" t="s">
        <v>539</v>
      </c>
      <c r="M4830" s="33" t="s">
        <v>21</v>
      </c>
      <c r="N4830" s="33" t="s">
        <v>701</v>
      </c>
      <c r="O4830" s="33" t="s">
        <v>372</v>
      </c>
      <c r="P4830" s="33" t="s">
        <v>30089</v>
      </c>
      <c r="Q4830" s="40" t="s">
        <v>702</v>
      </c>
      <c r="R4830" s="33" t="s">
        <v>23</v>
      </c>
      <c r="S4830" s="33" t="s">
        <v>22</v>
      </c>
      <c r="T4830" s="33" t="s">
        <v>26781</v>
      </c>
      <c r="U4830" s="33" t="s">
        <v>26572</v>
      </c>
      <c r="V4830" s="33" t="s">
        <v>26573</v>
      </c>
      <c r="W4830" s="33" t="s">
        <v>94</v>
      </c>
      <c r="X4830" s="33">
        <v>738</v>
      </c>
      <c r="Z4830" s="33" t="s">
        <v>42966</v>
      </c>
      <c r="AA4830" s="33">
        <v>2835</v>
      </c>
    </row>
    <row r="4831" spans="1:27" ht="12" customHeight="1" x14ac:dyDescent="0.15">
      <c r="A4831" s="33" t="s">
        <v>703</v>
      </c>
      <c r="B4831" s="33">
        <v>30</v>
      </c>
      <c r="C4831" s="33" t="s">
        <v>14</v>
      </c>
      <c r="D4831" s="33" t="s">
        <v>79</v>
      </c>
      <c r="F4831" s="67">
        <v>42230</v>
      </c>
      <c r="G4831" s="33" t="s">
        <v>17897</v>
      </c>
      <c r="H4831" s="33" t="s">
        <v>17898</v>
      </c>
      <c r="I4831" s="33" t="s">
        <v>46</v>
      </c>
      <c r="J4831" s="33" t="s">
        <v>17899</v>
      </c>
      <c r="K4831" s="33" t="s">
        <v>2210</v>
      </c>
      <c r="L4831" s="33" t="s">
        <v>17900</v>
      </c>
      <c r="M4831" s="33" t="s">
        <v>21</v>
      </c>
      <c r="N4831" s="33" t="s">
        <v>17753</v>
      </c>
      <c r="O4831" s="33" t="s">
        <v>372</v>
      </c>
      <c r="P4831" s="33" t="s">
        <v>30089</v>
      </c>
      <c r="Q4831" s="40" t="s">
        <v>17754</v>
      </c>
      <c r="R4831" s="33" t="s">
        <v>512</v>
      </c>
      <c r="S4831" s="33" t="s">
        <v>12</v>
      </c>
      <c r="T4831" s="33" t="s">
        <v>29705</v>
      </c>
      <c r="U4831" s="33" t="s">
        <v>26572</v>
      </c>
      <c r="V4831" s="33" t="s">
        <v>26574</v>
      </c>
      <c r="W4831" s="33" t="s">
        <v>94</v>
      </c>
      <c r="X4831" s="33">
        <v>740</v>
      </c>
      <c r="Z4831" s="33" t="s">
        <v>42968</v>
      </c>
      <c r="AA4831" s="33">
        <v>2837</v>
      </c>
    </row>
    <row r="4832" spans="1:27" ht="12" customHeight="1" x14ac:dyDescent="0.15">
      <c r="A4832" s="33" t="s">
        <v>723</v>
      </c>
      <c r="B4832" s="33">
        <v>30</v>
      </c>
      <c r="C4832" s="33" t="s">
        <v>103</v>
      </c>
      <c r="D4832" s="33" t="s">
        <v>79</v>
      </c>
      <c r="F4832" s="67">
        <v>42228</v>
      </c>
      <c r="G4832" s="33" t="s">
        <v>724</v>
      </c>
      <c r="H4832" s="33" t="s">
        <v>92</v>
      </c>
      <c r="I4832" s="33" t="s">
        <v>39</v>
      </c>
      <c r="J4832" s="33" t="s">
        <v>8105</v>
      </c>
      <c r="K4832" s="33" t="s">
        <v>92</v>
      </c>
      <c r="L4832" s="33" t="s">
        <v>93</v>
      </c>
      <c r="M4832" s="33" t="s">
        <v>4966</v>
      </c>
      <c r="N4832" s="33" t="s">
        <v>725</v>
      </c>
      <c r="O4832" s="33" t="s">
        <v>372</v>
      </c>
      <c r="P4832" s="33" t="s">
        <v>30089</v>
      </c>
      <c r="Q4832" s="40" t="s">
        <v>17763</v>
      </c>
      <c r="R4832" s="33" t="s">
        <v>94</v>
      </c>
      <c r="S4832" s="33" t="s">
        <v>22</v>
      </c>
      <c r="T4832" s="33" t="s">
        <v>26774</v>
      </c>
      <c r="U4832" s="33" t="s">
        <v>26570</v>
      </c>
      <c r="V4832" s="33" t="s">
        <v>26573</v>
      </c>
      <c r="W4832" s="33" t="s">
        <v>94</v>
      </c>
      <c r="X4832" s="33">
        <v>732</v>
      </c>
      <c r="Z4832" s="33" t="s">
        <v>42966</v>
      </c>
      <c r="AA4832" s="33">
        <v>2833</v>
      </c>
    </row>
    <row r="4833" spans="1:27" ht="12" customHeight="1" x14ac:dyDescent="0.15">
      <c r="A4833" s="33" t="s">
        <v>719</v>
      </c>
      <c r="B4833" s="33">
        <v>27</v>
      </c>
      <c r="C4833" s="33" t="s">
        <v>14</v>
      </c>
      <c r="D4833" s="33" t="s">
        <v>79</v>
      </c>
      <c r="E4833" s="33" t="s">
        <v>17626</v>
      </c>
      <c r="F4833" s="67">
        <v>42228</v>
      </c>
      <c r="G4833" s="33" t="s">
        <v>17907</v>
      </c>
      <c r="H4833" s="33" t="s">
        <v>720</v>
      </c>
      <c r="I4833" s="33" t="s">
        <v>63</v>
      </c>
      <c r="J4833" s="33" t="s">
        <v>17908</v>
      </c>
      <c r="K4833" s="33" t="s">
        <v>721</v>
      </c>
      <c r="L4833" s="33" t="s">
        <v>722</v>
      </c>
      <c r="M4833" s="33" t="s">
        <v>21</v>
      </c>
      <c r="N4833" s="33" t="s">
        <v>17764</v>
      </c>
      <c r="O4833" s="33" t="s">
        <v>372</v>
      </c>
      <c r="P4833" s="33" t="s">
        <v>30089</v>
      </c>
      <c r="Q4833" s="40" t="s">
        <v>17765</v>
      </c>
      <c r="R4833" s="33" t="s">
        <v>94</v>
      </c>
      <c r="S4833" s="33" t="s">
        <v>22</v>
      </c>
      <c r="T4833" s="33" t="s">
        <v>26781</v>
      </c>
      <c r="U4833" s="33" t="s">
        <v>26572</v>
      </c>
      <c r="V4833" s="33" t="s">
        <v>26571</v>
      </c>
      <c r="W4833" s="33" t="s">
        <v>94</v>
      </c>
      <c r="X4833" s="33">
        <v>735</v>
      </c>
      <c r="Z4833" s="33" t="s">
        <v>42966</v>
      </c>
      <c r="AA4833" s="33">
        <v>2831</v>
      </c>
    </row>
    <row r="4834" spans="1:27" ht="12" customHeight="1" x14ac:dyDescent="0.15">
      <c r="A4834" s="33" t="s">
        <v>730</v>
      </c>
      <c r="B4834" s="33">
        <v>49</v>
      </c>
      <c r="C4834" s="33" t="s">
        <v>14</v>
      </c>
      <c r="D4834" s="33" t="s">
        <v>31</v>
      </c>
      <c r="F4834" s="67">
        <v>42228</v>
      </c>
      <c r="G4834" s="33" t="s">
        <v>17909</v>
      </c>
      <c r="H4834" s="33" t="s">
        <v>420</v>
      </c>
      <c r="I4834" s="33" t="s">
        <v>178</v>
      </c>
      <c r="J4834" s="33" t="s">
        <v>17910</v>
      </c>
      <c r="K4834" s="33" t="s">
        <v>731</v>
      </c>
      <c r="L4834" s="33" t="s">
        <v>36916</v>
      </c>
      <c r="M4834" s="33" t="s">
        <v>21</v>
      </c>
      <c r="N4834" s="33" t="s">
        <v>17766</v>
      </c>
      <c r="O4834" s="33" t="s">
        <v>372</v>
      </c>
      <c r="P4834" s="33" t="s">
        <v>30089</v>
      </c>
      <c r="Q4834" s="40" t="s">
        <v>17767</v>
      </c>
      <c r="R4834" s="33" t="s">
        <v>23</v>
      </c>
      <c r="S4834" s="33" t="s">
        <v>22</v>
      </c>
      <c r="T4834" s="33" t="s">
        <v>26781</v>
      </c>
      <c r="U4834" s="33" t="s">
        <v>26575</v>
      </c>
      <c r="V4834" s="33" t="s">
        <v>26571</v>
      </c>
      <c r="W4834" s="33" t="s">
        <v>94</v>
      </c>
      <c r="X4834" s="33">
        <v>736</v>
      </c>
      <c r="Z4834" s="33" t="s">
        <v>42967</v>
      </c>
      <c r="AA4834" s="33">
        <v>2832</v>
      </c>
    </row>
    <row r="4835" spans="1:27" ht="12" customHeight="1" x14ac:dyDescent="0.15">
      <c r="A4835" s="33" t="s">
        <v>737</v>
      </c>
      <c r="B4835" s="33">
        <v>24</v>
      </c>
      <c r="C4835" s="33" t="s">
        <v>14</v>
      </c>
      <c r="D4835" s="33" t="s">
        <v>31</v>
      </c>
      <c r="E4835" s="33" t="s">
        <v>17628</v>
      </c>
      <c r="F4835" s="67">
        <v>42228</v>
      </c>
      <c r="G4835" s="33" t="s">
        <v>738</v>
      </c>
      <c r="H4835" s="33" t="s">
        <v>739</v>
      </c>
      <c r="I4835" s="33" t="s">
        <v>67</v>
      </c>
      <c r="J4835" s="33" t="s">
        <v>17912</v>
      </c>
      <c r="K4835" s="33" t="s">
        <v>740</v>
      </c>
      <c r="L4835" s="33" t="s">
        <v>262</v>
      </c>
      <c r="M4835" s="33" t="s">
        <v>21</v>
      </c>
      <c r="N4835" s="33" t="s">
        <v>17772</v>
      </c>
      <c r="O4835" s="33" t="s">
        <v>372</v>
      </c>
      <c r="P4835" s="33" t="s">
        <v>30089</v>
      </c>
      <c r="Q4835" s="40" t="s">
        <v>17773</v>
      </c>
      <c r="R4835" s="33" t="s">
        <v>23</v>
      </c>
      <c r="S4835" s="33" t="s">
        <v>22</v>
      </c>
      <c r="T4835" s="33" t="s">
        <v>26781</v>
      </c>
      <c r="U4835" s="33" t="s">
        <v>26572</v>
      </c>
      <c r="V4835" s="33" t="s">
        <v>26573</v>
      </c>
      <c r="W4835" s="33" t="s">
        <v>94</v>
      </c>
      <c r="X4835" s="33">
        <v>729</v>
      </c>
      <c r="Z4835" s="33" t="s">
        <v>42968</v>
      </c>
      <c r="AA4835" s="33">
        <v>2828</v>
      </c>
    </row>
    <row r="4836" spans="1:27" ht="12" customHeight="1" x14ac:dyDescent="0.15">
      <c r="A4836" s="33" t="s">
        <v>726</v>
      </c>
      <c r="B4836" s="33">
        <v>27</v>
      </c>
      <c r="C4836" s="33" t="s">
        <v>14</v>
      </c>
      <c r="D4836" s="33" t="s">
        <v>42</v>
      </c>
      <c r="F4836" s="67">
        <v>42228</v>
      </c>
      <c r="G4836" s="33" t="s">
        <v>17903</v>
      </c>
      <c r="H4836" s="33" t="s">
        <v>727</v>
      </c>
      <c r="I4836" s="33" t="s">
        <v>39</v>
      </c>
      <c r="J4836" s="33" t="s">
        <v>17904</v>
      </c>
      <c r="K4836" s="33" t="s">
        <v>728</v>
      </c>
      <c r="L4836" s="33" t="s">
        <v>729</v>
      </c>
      <c r="M4836" s="33" t="s">
        <v>21</v>
      </c>
      <c r="N4836" s="33" t="s">
        <v>17759</v>
      </c>
      <c r="O4836" s="33" t="s">
        <v>950</v>
      </c>
      <c r="P4836" s="33" t="s">
        <v>30089</v>
      </c>
      <c r="Q4836" s="40" t="s">
        <v>17760</v>
      </c>
      <c r="R4836" s="33" t="s">
        <v>23</v>
      </c>
      <c r="S4836" s="33" t="s">
        <v>22</v>
      </c>
      <c r="T4836" s="33" t="s">
        <v>26781</v>
      </c>
      <c r="U4836" s="33" t="s">
        <v>26572</v>
      </c>
      <c r="V4836" s="33" t="s">
        <v>26571</v>
      </c>
      <c r="W4836" s="33" t="s">
        <v>94</v>
      </c>
      <c r="X4836" s="33">
        <v>733</v>
      </c>
      <c r="Z4836" s="33" t="s">
        <v>42968</v>
      </c>
      <c r="AA4836" s="33">
        <v>2830</v>
      </c>
    </row>
    <row r="4837" spans="1:27" ht="12" customHeight="1" x14ac:dyDescent="0.15">
      <c r="A4837" s="33" t="s">
        <v>718</v>
      </c>
      <c r="B4837" s="33">
        <v>27</v>
      </c>
      <c r="C4837" s="33" t="s">
        <v>14</v>
      </c>
      <c r="D4837" s="33" t="s">
        <v>79</v>
      </c>
      <c r="E4837" s="33" t="s">
        <v>17625</v>
      </c>
      <c r="F4837" s="67">
        <v>42228</v>
      </c>
      <c r="G4837" s="33" t="s">
        <v>17905</v>
      </c>
      <c r="H4837" s="33" t="s">
        <v>557</v>
      </c>
      <c r="I4837" s="33" t="s">
        <v>39</v>
      </c>
      <c r="J4837" s="33" t="s">
        <v>17906</v>
      </c>
      <c r="K4837" s="33" t="s">
        <v>558</v>
      </c>
      <c r="L4837" s="33" t="s">
        <v>559</v>
      </c>
      <c r="M4837" s="33" t="s">
        <v>21</v>
      </c>
      <c r="N4837" s="33" t="s">
        <v>17761</v>
      </c>
      <c r="O4837" s="33" t="s">
        <v>372</v>
      </c>
      <c r="P4837" s="33" t="s">
        <v>30089</v>
      </c>
      <c r="Q4837" s="40" t="s">
        <v>17762</v>
      </c>
      <c r="R4837" s="33" t="s">
        <v>94</v>
      </c>
      <c r="S4837" s="33" t="s">
        <v>22</v>
      </c>
      <c r="T4837" s="33" t="s">
        <v>26781</v>
      </c>
      <c r="U4837" s="33" t="s">
        <v>26572</v>
      </c>
      <c r="V4837" s="33" t="s">
        <v>26571</v>
      </c>
      <c r="W4837" s="33" t="s">
        <v>512</v>
      </c>
      <c r="X4837" s="33">
        <v>731</v>
      </c>
      <c r="Z4837" s="33" t="s">
        <v>42966</v>
      </c>
      <c r="AA4837" s="33">
        <v>2829</v>
      </c>
    </row>
    <row r="4838" spans="1:27" ht="12" customHeight="1" x14ac:dyDescent="0.15">
      <c r="A4838" s="33" t="s">
        <v>741</v>
      </c>
      <c r="B4838" s="33">
        <v>48</v>
      </c>
      <c r="C4838" s="33" t="s">
        <v>14</v>
      </c>
      <c r="D4838" s="33" t="s">
        <v>31</v>
      </c>
      <c r="E4838" s="33" t="s">
        <v>17627</v>
      </c>
      <c r="F4838" s="67">
        <v>42227</v>
      </c>
      <c r="G4838" s="33" t="s">
        <v>742</v>
      </c>
      <c r="H4838" s="33" t="s">
        <v>743</v>
      </c>
      <c r="I4838" s="33" t="s">
        <v>67</v>
      </c>
      <c r="J4838" s="33" t="s">
        <v>17911</v>
      </c>
      <c r="K4838" s="33" t="s">
        <v>744</v>
      </c>
      <c r="L4838" s="33" t="s">
        <v>745</v>
      </c>
      <c r="M4838" s="33" t="s">
        <v>4966</v>
      </c>
      <c r="N4838" s="33" t="s">
        <v>17770</v>
      </c>
      <c r="O4838" s="33" t="s">
        <v>372</v>
      </c>
      <c r="P4838" s="33" t="s">
        <v>30089</v>
      </c>
      <c r="Q4838" s="40" t="s">
        <v>17771</v>
      </c>
      <c r="R4838" s="33" t="s">
        <v>23</v>
      </c>
      <c r="S4838" s="33" t="s">
        <v>22</v>
      </c>
      <c r="T4838" s="33" t="s">
        <v>26774</v>
      </c>
      <c r="U4838" s="33" t="s">
        <v>26570</v>
      </c>
      <c r="V4838" s="33" t="s">
        <v>26573</v>
      </c>
      <c r="W4838" s="33" t="s">
        <v>94</v>
      </c>
      <c r="X4838" s="33">
        <v>730</v>
      </c>
      <c r="Z4838" s="33" t="s">
        <v>42968</v>
      </c>
      <c r="AA4838" s="33">
        <v>2827</v>
      </c>
    </row>
    <row r="4839" spans="1:27" ht="12" customHeight="1" x14ac:dyDescent="0.15">
      <c r="A4839" s="33" t="s">
        <v>732</v>
      </c>
      <c r="B4839" s="33">
        <v>34</v>
      </c>
      <c r="C4839" s="33" t="s">
        <v>14</v>
      </c>
      <c r="D4839" s="33" t="s">
        <v>31</v>
      </c>
      <c r="F4839" s="67">
        <v>42227</v>
      </c>
      <c r="G4839" s="33" t="s">
        <v>733</v>
      </c>
      <c r="H4839" s="33" t="s">
        <v>734</v>
      </c>
      <c r="I4839" s="33" t="s">
        <v>735</v>
      </c>
      <c r="J4839" s="33" t="s">
        <v>7916</v>
      </c>
      <c r="K4839" s="33" t="s">
        <v>736</v>
      </c>
      <c r="L4839" s="33" t="s">
        <v>36917</v>
      </c>
      <c r="M4839" s="33" t="s">
        <v>21</v>
      </c>
      <c r="N4839" s="33" t="s">
        <v>17768</v>
      </c>
      <c r="O4839" s="33" t="s">
        <v>372</v>
      </c>
      <c r="P4839" s="33" t="s">
        <v>30089</v>
      </c>
      <c r="Q4839" s="40" t="s">
        <v>17769</v>
      </c>
      <c r="R4839" s="33" t="s">
        <v>23</v>
      </c>
      <c r="S4839" s="33" t="s">
        <v>22</v>
      </c>
      <c r="T4839" s="33" t="s">
        <v>26781</v>
      </c>
      <c r="U4839" s="33" t="s">
        <v>26572</v>
      </c>
      <c r="V4839" s="33" t="s">
        <v>26573</v>
      </c>
      <c r="W4839" s="33" t="s">
        <v>94</v>
      </c>
      <c r="X4839" s="33">
        <v>728</v>
      </c>
      <c r="Z4839" s="33" t="s">
        <v>42967</v>
      </c>
      <c r="AA4839" s="33">
        <v>2826</v>
      </c>
    </row>
    <row r="4840" spans="1:27" ht="12" customHeight="1" x14ac:dyDescent="0.15">
      <c r="A4840" s="33" t="s">
        <v>749</v>
      </c>
      <c r="B4840" s="33">
        <v>24</v>
      </c>
      <c r="C4840" s="33" t="s">
        <v>14</v>
      </c>
      <c r="D4840" s="33" t="s">
        <v>31</v>
      </c>
      <c r="E4840" s="33" t="s">
        <v>17629</v>
      </c>
      <c r="F4840" s="67">
        <v>42226</v>
      </c>
      <c r="G4840" s="33" t="s">
        <v>17913</v>
      </c>
      <c r="H4840" s="33" t="s">
        <v>750</v>
      </c>
      <c r="I4840" s="33" t="s">
        <v>112</v>
      </c>
      <c r="J4840" s="33" t="s">
        <v>17914</v>
      </c>
      <c r="K4840" s="33" t="s">
        <v>585</v>
      </c>
      <c r="L4840" s="33" t="s">
        <v>751</v>
      </c>
      <c r="M4840" s="33" t="s">
        <v>21</v>
      </c>
      <c r="N4840" s="33" t="s">
        <v>17774</v>
      </c>
      <c r="O4840" s="33" t="s">
        <v>372</v>
      </c>
      <c r="P4840" s="33" t="s">
        <v>30089</v>
      </c>
      <c r="Q4840" s="40" t="s">
        <v>17775</v>
      </c>
      <c r="R4840" s="33" t="s">
        <v>23</v>
      </c>
      <c r="S4840" s="33" t="s">
        <v>351</v>
      </c>
      <c r="T4840" s="33" t="s">
        <v>26867</v>
      </c>
      <c r="U4840" s="33" t="s">
        <v>26570</v>
      </c>
      <c r="V4840" s="33" t="s">
        <v>26573</v>
      </c>
      <c r="W4840" s="33" t="s">
        <v>94</v>
      </c>
      <c r="X4840" s="33">
        <v>725</v>
      </c>
      <c r="Z4840" s="33" t="s">
        <v>42968</v>
      </c>
      <c r="AA4840" s="33">
        <v>2825</v>
      </c>
    </row>
    <row r="4841" spans="1:27" ht="12" customHeight="1" x14ac:dyDescent="0.15">
      <c r="A4841" s="33" t="s">
        <v>754</v>
      </c>
      <c r="B4841" s="33">
        <v>77</v>
      </c>
      <c r="C4841" s="33" t="s">
        <v>14</v>
      </c>
      <c r="D4841" s="33" t="s">
        <v>24</v>
      </c>
      <c r="F4841" s="67">
        <v>42225</v>
      </c>
      <c r="G4841" s="33" t="s">
        <v>17916</v>
      </c>
      <c r="H4841" s="33" t="s">
        <v>755</v>
      </c>
      <c r="I4841" s="33" t="s">
        <v>376</v>
      </c>
      <c r="J4841" s="33" t="s">
        <v>17917</v>
      </c>
      <c r="K4841" s="33" t="s">
        <v>756</v>
      </c>
      <c r="L4841" s="33" t="s">
        <v>757</v>
      </c>
      <c r="M4841" s="33" t="s">
        <v>21</v>
      </c>
      <c r="N4841" s="33" t="s">
        <v>17780</v>
      </c>
      <c r="O4841" s="33" t="s">
        <v>950</v>
      </c>
      <c r="P4841" s="33" t="s">
        <v>30089</v>
      </c>
      <c r="Q4841" s="40" t="s">
        <v>17781</v>
      </c>
      <c r="R4841" s="33" t="s">
        <v>512</v>
      </c>
      <c r="S4841" s="33" t="s">
        <v>12</v>
      </c>
      <c r="T4841" s="33" t="s">
        <v>29425</v>
      </c>
      <c r="U4841" s="33" t="s">
        <v>26572</v>
      </c>
      <c r="V4841" s="33" t="s">
        <v>26573</v>
      </c>
      <c r="W4841" s="33" t="s">
        <v>94</v>
      </c>
      <c r="X4841" s="33">
        <v>724</v>
      </c>
      <c r="Z4841" s="33" t="s">
        <v>42968</v>
      </c>
      <c r="AA4841" s="33">
        <v>2823</v>
      </c>
    </row>
    <row r="4842" spans="1:27" ht="12" customHeight="1" x14ac:dyDescent="0.15">
      <c r="A4842" s="33" t="s">
        <v>746</v>
      </c>
      <c r="B4842" s="33">
        <v>15</v>
      </c>
      <c r="C4842" s="33" t="s">
        <v>14</v>
      </c>
      <c r="D4842" s="33" t="s">
        <v>79</v>
      </c>
      <c r="E4842" s="33" t="s">
        <v>17630</v>
      </c>
      <c r="F4842" s="67">
        <v>42225</v>
      </c>
      <c r="G4842" s="33" t="s">
        <v>22161</v>
      </c>
      <c r="H4842" s="33" t="s">
        <v>197</v>
      </c>
      <c r="I4842" s="33" t="s">
        <v>198</v>
      </c>
      <c r="J4842" s="33" t="s">
        <v>1511</v>
      </c>
      <c r="K4842" s="33" t="s">
        <v>392</v>
      </c>
      <c r="L4842" s="33" t="s">
        <v>199</v>
      </c>
      <c r="M4842" s="33" t="s">
        <v>21</v>
      </c>
      <c r="N4842" s="33" t="s">
        <v>747</v>
      </c>
      <c r="O4842" s="33" t="s">
        <v>372</v>
      </c>
      <c r="P4842" s="33" t="s">
        <v>30089</v>
      </c>
      <c r="Q4842" s="40" t="s">
        <v>748</v>
      </c>
      <c r="R4842" s="33" t="s">
        <v>23</v>
      </c>
      <c r="S4842" s="33" t="s">
        <v>351</v>
      </c>
      <c r="T4842" s="33" t="s">
        <v>26867</v>
      </c>
      <c r="U4842" s="33" t="s">
        <v>26572</v>
      </c>
      <c r="V4842" s="33" t="s">
        <v>26573</v>
      </c>
      <c r="W4842" s="33" t="s">
        <v>94</v>
      </c>
      <c r="X4842" s="33">
        <v>715</v>
      </c>
      <c r="Z4842" s="33" t="s">
        <v>42966</v>
      </c>
      <c r="AA4842" s="33">
        <v>2824</v>
      </c>
    </row>
    <row r="4843" spans="1:27" ht="12" customHeight="1" x14ac:dyDescent="0.15">
      <c r="A4843" s="33" t="s">
        <v>758</v>
      </c>
      <c r="B4843" s="33">
        <v>41</v>
      </c>
      <c r="C4843" s="33" t="s">
        <v>14</v>
      </c>
      <c r="D4843" s="33" t="s">
        <v>31</v>
      </c>
      <c r="E4843" s="33" t="s">
        <v>17631</v>
      </c>
      <c r="F4843" s="67">
        <v>42225</v>
      </c>
      <c r="G4843" s="33" t="s">
        <v>759</v>
      </c>
      <c r="H4843" s="33" t="s">
        <v>760</v>
      </c>
      <c r="I4843" s="33" t="s">
        <v>367</v>
      </c>
      <c r="J4843" s="33" t="s">
        <v>6978</v>
      </c>
      <c r="K4843" s="33" t="s">
        <v>761</v>
      </c>
      <c r="L4843" s="33" t="s">
        <v>762</v>
      </c>
      <c r="M4843" s="33" t="s">
        <v>21</v>
      </c>
      <c r="N4843" s="33" t="s">
        <v>17778</v>
      </c>
      <c r="O4843" s="33" t="s">
        <v>372</v>
      </c>
      <c r="P4843" s="33" t="s">
        <v>30089</v>
      </c>
      <c r="Q4843" s="40" t="s">
        <v>17779</v>
      </c>
      <c r="R4843" s="33" t="s">
        <v>512</v>
      </c>
      <c r="S4843" s="33" t="s">
        <v>22</v>
      </c>
      <c r="T4843" s="33" t="s">
        <v>26781</v>
      </c>
      <c r="U4843" s="33" t="s">
        <v>26572</v>
      </c>
      <c r="V4843" s="33" t="s">
        <v>26573</v>
      </c>
      <c r="W4843" s="33" t="s">
        <v>94</v>
      </c>
      <c r="X4843" s="33">
        <v>717</v>
      </c>
      <c r="Z4843" s="33" t="s">
        <v>42968</v>
      </c>
      <c r="AA4843" s="33">
        <v>2821</v>
      </c>
    </row>
    <row r="4844" spans="1:27" ht="12" customHeight="1" x14ac:dyDescent="0.15">
      <c r="A4844" s="33" t="s">
        <v>752</v>
      </c>
      <c r="B4844" s="33">
        <v>22</v>
      </c>
      <c r="C4844" s="33" t="s">
        <v>14</v>
      </c>
      <c r="D4844" s="33" t="s">
        <v>42</v>
      </c>
      <c r="F4844" s="67">
        <v>42225</v>
      </c>
      <c r="G4844" s="33" t="s">
        <v>753</v>
      </c>
      <c r="H4844" s="33" t="s">
        <v>560</v>
      </c>
      <c r="I4844" s="33" t="s">
        <v>39</v>
      </c>
      <c r="J4844" s="33" t="s">
        <v>17915</v>
      </c>
      <c r="K4844" s="33" t="s">
        <v>561</v>
      </c>
      <c r="L4844" s="33" t="s">
        <v>678</v>
      </c>
      <c r="M4844" s="33" t="s">
        <v>21</v>
      </c>
      <c r="N4844" s="33" t="s">
        <v>17776</v>
      </c>
      <c r="O4844" s="33" t="s">
        <v>372</v>
      </c>
      <c r="P4844" s="33" t="s">
        <v>30089</v>
      </c>
      <c r="Q4844" s="40" t="s">
        <v>17777</v>
      </c>
      <c r="R4844" s="33" t="s">
        <v>23</v>
      </c>
      <c r="S4844" s="33" t="s">
        <v>22</v>
      </c>
      <c r="T4844" s="33" t="s">
        <v>26606</v>
      </c>
      <c r="U4844" s="33" t="s">
        <v>26572</v>
      </c>
      <c r="V4844" s="33" t="s">
        <v>26574</v>
      </c>
      <c r="W4844" s="33" t="s">
        <v>94</v>
      </c>
      <c r="X4844" s="33">
        <v>727</v>
      </c>
      <c r="Z4844" s="33" t="s">
        <v>42966</v>
      </c>
      <c r="AA4844" s="33">
        <v>2822</v>
      </c>
    </row>
    <row r="4845" spans="1:27" ht="12" customHeight="1" x14ac:dyDescent="0.15">
      <c r="A4845" s="33" t="s">
        <v>777</v>
      </c>
      <c r="B4845" s="33">
        <v>59</v>
      </c>
      <c r="C4845" s="33" t="s">
        <v>14</v>
      </c>
      <c r="D4845" s="33" t="s">
        <v>31</v>
      </c>
      <c r="E4845" s="33" t="s">
        <v>17632</v>
      </c>
      <c r="F4845" s="67">
        <v>42224</v>
      </c>
      <c r="G4845" s="33" t="s">
        <v>17918</v>
      </c>
      <c r="H4845" s="33" t="s">
        <v>778</v>
      </c>
      <c r="I4845" s="33" t="s">
        <v>338</v>
      </c>
      <c r="J4845" s="33" t="s">
        <v>3284</v>
      </c>
      <c r="K4845" s="33" t="s">
        <v>779</v>
      </c>
      <c r="L4845" s="33" t="s">
        <v>780</v>
      </c>
      <c r="M4845" s="33" t="s">
        <v>21</v>
      </c>
      <c r="N4845" s="33" t="s">
        <v>17782</v>
      </c>
      <c r="O4845" s="33" t="s">
        <v>372</v>
      </c>
      <c r="P4845" s="33" t="s">
        <v>30089</v>
      </c>
      <c r="Q4845" s="40" t="s">
        <v>17783</v>
      </c>
      <c r="R4845" s="33" t="s">
        <v>23</v>
      </c>
      <c r="S4845" s="33" t="s">
        <v>22</v>
      </c>
      <c r="T4845" s="33" t="s">
        <v>26781</v>
      </c>
      <c r="U4845" s="33" t="s">
        <v>26572</v>
      </c>
      <c r="V4845" s="33" t="s">
        <v>26573</v>
      </c>
      <c r="W4845" s="33" t="s">
        <v>94</v>
      </c>
      <c r="X4845" s="33">
        <v>722</v>
      </c>
      <c r="Z4845" s="33" t="s">
        <v>42968</v>
      </c>
      <c r="AA4845" s="33">
        <v>2819</v>
      </c>
    </row>
    <row r="4846" spans="1:27" ht="12" customHeight="1" x14ac:dyDescent="0.15">
      <c r="A4846" s="33" t="s">
        <v>773</v>
      </c>
      <c r="B4846" s="33">
        <v>33</v>
      </c>
      <c r="C4846" s="33" t="s">
        <v>14</v>
      </c>
      <c r="D4846" s="33" t="s">
        <v>24</v>
      </c>
      <c r="F4846" s="67">
        <v>42224</v>
      </c>
      <c r="G4846" s="33" t="s">
        <v>17919</v>
      </c>
      <c r="H4846" s="33" t="s">
        <v>774</v>
      </c>
      <c r="I4846" s="33" t="s">
        <v>67</v>
      </c>
      <c r="J4846" s="33" t="s">
        <v>10633</v>
      </c>
      <c r="K4846" s="33" t="s">
        <v>775</v>
      </c>
      <c r="L4846" s="33" t="s">
        <v>776</v>
      </c>
      <c r="M4846" s="33" t="s">
        <v>21</v>
      </c>
      <c r="N4846" s="33" t="s">
        <v>17786</v>
      </c>
      <c r="O4846" s="33" t="s">
        <v>372</v>
      </c>
      <c r="P4846" s="33" t="s">
        <v>30089</v>
      </c>
      <c r="Q4846" s="40" t="s">
        <v>17787</v>
      </c>
      <c r="R4846" s="33" t="s">
        <v>23</v>
      </c>
      <c r="S4846" s="33" t="s">
        <v>22</v>
      </c>
      <c r="T4846" s="33" t="s">
        <v>26781</v>
      </c>
      <c r="U4846" s="33" t="s">
        <v>26572</v>
      </c>
      <c r="V4846" s="33" t="s">
        <v>26573</v>
      </c>
      <c r="W4846" s="33" t="s">
        <v>94</v>
      </c>
      <c r="X4846" s="33">
        <v>716</v>
      </c>
      <c r="Z4846" s="33" t="s">
        <v>42967</v>
      </c>
      <c r="AA4846" s="33">
        <v>2817</v>
      </c>
    </row>
    <row r="4847" spans="1:27" ht="12" customHeight="1" x14ac:dyDescent="0.15">
      <c r="A4847" s="33" t="s">
        <v>781</v>
      </c>
      <c r="B4847" s="33">
        <v>46</v>
      </c>
      <c r="C4847" s="33" t="s">
        <v>14</v>
      </c>
      <c r="D4847" s="33" t="s">
        <v>31</v>
      </c>
      <c r="E4847" s="33" t="s">
        <v>17633</v>
      </c>
      <c r="F4847" s="67">
        <v>42224</v>
      </c>
      <c r="G4847" s="33" t="s">
        <v>22162</v>
      </c>
      <c r="H4847" s="33" t="s">
        <v>782</v>
      </c>
      <c r="I4847" s="33" t="s">
        <v>282</v>
      </c>
      <c r="J4847" s="33" t="s">
        <v>2182</v>
      </c>
      <c r="K4847" s="33" t="s">
        <v>782</v>
      </c>
      <c r="L4847" s="33" t="s">
        <v>783</v>
      </c>
      <c r="M4847" s="33" t="s">
        <v>21</v>
      </c>
      <c r="N4847" s="33" t="s">
        <v>17784</v>
      </c>
      <c r="O4847" s="33" t="s">
        <v>372</v>
      </c>
      <c r="P4847" s="33" t="s">
        <v>30089</v>
      </c>
      <c r="Q4847" s="40" t="s">
        <v>17785</v>
      </c>
      <c r="R4847" s="33" t="s">
        <v>23</v>
      </c>
      <c r="S4847" s="33" t="s">
        <v>22</v>
      </c>
      <c r="T4847" s="33" t="s">
        <v>26781</v>
      </c>
      <c r="U4847" s="33" t="s">
        <v>26572</v>
      </c>
      <c r="V4847" s="33" t="s">
        <v>26573</v>
      </c>
      <c r="W4847" s="33" t="s">
        <v>94</v>
      </c>
      <c r="X4847" s="33">
        <v>723</v>
      </c>
      <c r="Z4847" s="33" t="s">
        <v>42966</v>
      </c>
      <c r="AA4847" s="33">
        <v>2820</v>
      </c>
    </row>
    <row r="4848" spans="1:27" ht="12" customHeight="1" x14ac:dyDescent="0.15">
      <c r="A4848" s="33" t="s">
        <v>763</v>
      </c>
      <c r="B4848" s="33">
        <v>24</v>
      </c>
      <c r="C4848" s="33" t="s">
        <v>14</v>
      </c>
      <c r="D4848" s="33" t="s">
        <v>79</v>
      </c>
      <c r="E4848" s="33" t="s">
        <v>17634</v>
      </c>
      <c r="F4848" s="67">
        <v>42224</v>
      </c>
      <c r="G4848" s="33" t="s">
        <v>764</v>
      </c>
      <c r="H4848" s="33" t="s">
        <v>765</v>
      </c>
      <c r="I4848" s="33" t="s">
        <v>26</v>
      </c>
      <c r="J4848" s="33" t="s">
        <v>17920</v>
      </c>
      <c r="K4848" s="33" t="s">
        <v>766</v>
      </c>
      <c r="L4848" s="33" t="s">
        <v>767</v>
      </c>
      <c r="M4848" s="33" t="s">
        <v>21</v>
      </c>
      <c r="N4848" s="33" t="s">
        <v>17788</v>
      </c>
      <c r="O4848" s="33" t="s">
        <v>507</v>
      </c>
      <c r="P4848" s="33" t="s">
        <v>30089</v>
      </c>
      <c r="Q4848" s="40" t="s">
        <v>17789</v>
      </c>
      <c r="R4848" s="33" t="s">
        <v>23</v>
      </c>
      <c r="S4848" s="33" t="s">
        <v>22</v>
      </c>
      <c r="T4848" s="33" t="s">
        <v>26781</v>
      </c>
      <c r="U4848" s="33" t="s">
        <v>26572</v>
      </c>
      <c r="V4848" s="33" t="s">
        <v>26571</v>
      </c>
      <c r="W4848" s="33" t="s">
        <v>94</v>
      </c>
      <c r="X4848" s="33">
        <v>719</v>
      </c>
      <c r="Z4848" s="33" t="s">
        <v>42968</v>
      </c>
      <c r="AA4848" s="33">
        <v>2818</v>
      </c>
    </row>
    <row r="4849" spans="1:27" ht="12" customHeight="1" x14ac:dyDescent="0.15">
      <c r="A4849" s="33" t="s">
        <v>795</v>
      </c>
      <c r="B4849" s="33">
        <v>30</v>
      </c>
      <c r="C4849" s="33" t="s">
        <v>14</v>
      </c>
      <c r="D4849" s="33" t="s">
        <v>31</v>
      </c>
      <c r="E4849" s="33" t="s">
        <v>17635</v>
      </c>
      <c r="F4849" s="67">
        <v>42223</v>
      </c>
      <c r="G4849" s="33" t="s">
        <v>17921</v>
      </c>
      <c r="H4849" s="33" t="s">
        <v>183</v>
      </c>
      <c r="I4849" s="33" t="s">
        <v>39</v>
      </c>
      <c r="J4849" s="33" t="s">
        <v>17922</v>
      </c>
      <c r="K4849" s="33" t="s">
        <v>183</v>
      </c>
      <c r="L4849" s="33" t="s">
        <v>184</v>
      </c>
      <c r="M4849" s="33" t="s">
        <v>21</v>
      </c>
      <c r="N4849" s="33" t="s">
        <v>17790</v>
      </c>
      <c r="O4849" s="33" t="s">
        <v>507</v>
      </c>
      <c r="P4849" s="33" t="s">
        <v>30089</v>
      </c>
      <c r="Q4849" s="40" t="s">
        <v>17791</v>
      </c>
      <c r="R4849" s="33" t="s">
        <v>512</v>
      </c>
      <c r="S4849" s="33" t="s">
        <v>12</v>
      </c>
      <c r="T4849" s="33" t="s">
        <v>29425</v>
      </c>
      <c r="U4849" s="33" t="s">
        <v>26572</v>
      </c>
      <c r="V4849" s="33" t="s">
        <v>26573</v>
      </c>
      <c r="W4849" s="33" t="s">
        <v>94</v>
      </c>
      <c r="X4849" s="33">
        <v>713</v>
      </c>
      <c r="Z4849" s="33" t="s">
        <v>42968</v>
      </c>
      <c r="AA4849" s="33">
        <v>2813</v>
      </c>
    </row>
    <row r="4850" spans="1:27" ht="12" customHeight="1" x14ac:dyDescent="0.15">
      <c r="A4850" s="33" t="s">
        <v>791</v>
      </c>
      <c r="B4850" s="33">
        <v>26</v>
      </c>
      <c r="C4850" s="33" t="s">
        <v>14</v>
      </c>
      <c r="D4850" s="33" t="s">
        <v>31</v>
      </c>
      <c r="F4850" s="67">
        <v>42223</v>
      </c>
      <c r="G4850" s="33" t="s">
        <v>792</v>
      </c>
      <c r="H4850" s="33" t="s">
        <v>793</v>
      </c>
      <c r="I4850" s="33" t="s">
        <v>35</v>
      </c>
      <c r="J4850" s="33" t="s">
        <v>15102</v>
      </c>
      <c r="K4850" s="33" t="s">
        <v>793</v>
      </c>
      <c r="L4850" s="33" t="s">
        <v>794</v>
      </c>
      <c r="M4850" s="33" t="s">
        <v>363</v>
      </c>
      <c r="N4850" s="33" t="s">
        <v>17800</v>
      </c>
      <c r="O4850" s="33" t="s">
        <v>372</v>
      </c>
      <c r="P4850" s="33" t="s">
        <v>30089</v>
      </c>
      <c r="Q4850" s="40" t="s">
        <v>17801</v>
      </c>
      <c r="R4850" s="33" t="s">
        <v>23</v>
      </c>
      <c r="S4850" s="33" t="s">
        <v>12</v>
      </c>
      <c r="T4850" s="54" t="s">
        <v>29705</v>
      </c>
      <c r="Z4850" s="33" t="s">
        <v>42966</v>
      </c>
      <c r="AA4850" s="33">
        <v>2815</v>
      </c>
    </row>
    <row r="4851" spans="1:27" ht="12" customHeight="1" x14ac:dyDescent="0.15">
      <c r="A4851" s="33" t="s">
        <v>784</v>
      </c>
      <c r="B4851" s="33">
        <v>28</v>
      </c>
      <c r="C4851" s="33" t="s">
        <v>14</v>
      </c>
      <c r="D4851" s="33" t="s">
        <v>79</v>
      </c>
      <c r="E4851" s="33" t="s">
        <v>17638</v>
      </c>
      <c r="F4851" s="67">
        <v>42223</v>
      </c>
      <c r="G4851" s="33" t="s">
        <v>785</v>
      </c>
      <c r="H4851" s="33" t="s">
        <v>451</v>
      </c>
      <c r="I4851" s="33" t="s">
        <v>39</v>
      </c>
      <c r="J4851" s="33" t="s">
        <v>14901</v>
      </c>
      <c r="K4851" s="33" t="s">
        <v>92</v>
      </c>
      <c r="L4851" s="33" t="s">
        <v>452</v>
      </c>
      <c r="M4851" s="33" t="s">
        <v>21</v>
      </c>
      <c r="N4851" s="33" t="s">
        <v>17796</v>
      </c>
      <c r="O4851" s="33" t="s">
        <v>372</v>
      </c>
      <c r="P4851" s="33" t="s">
        <v>30089</v>
      </c>
      <c r="Q4851" s="40" t="s">
        <v>17797</v>
      </c>
      <c r="R4851" s="33" t="s">
        <v>23</v>
      </c>
      <c r="S4851" s="33" t="s">
        <v>22</v>
      </c>
      <c r="T4851" s="33" t="s">
        <v>26774</v>
      </c>
      <c r="U4851" s="33" t="s">
        <v>26572</v>
      </c>
      <c r="V4851" s="33" t="s">
        <v>26573</v>
      </c>
      <c r="W4851" s="33" t="s">
        <v>94</v>
      </c>
      <c r="X4851" s="33">
        <v>721</v>
      </c>
      <c r="Z4851" s="33" t="s">
        <v>42966</v>
      </c>
      <c r="AA4851" s="33">
        <v>2811</v>
      </c>
    </row>
    <row r="4852" spans="1:27" ht="12" customHeight="1" x14ac:dyDescent="0.15">
      <c r="A4852" s="33" t="s">
        <v>796</v>
      </c>
      <c r="B4852" s="33">
        <v>53</v>
      </c>
      <c r="C4852" s="33" t="s">
        <v>14</v>
      </c>
      <c r="D4852" s="33" t="s">
        <v>31</v>
      </c>
      <c r="F4852" s="67">
        <v>42223</v>
      </c>
      <c r="G4852" s="33" t="s">
        <v>17925</v>
      </c>
      <c r="H4852" s="33" t="s">
        <v>797</v>
      </c>
      <c r="I4852" s="33" t="s">
        <v>798</v>
      </c>
      <c r="J4852" s="33" t="s">
        <v>17926</v>
      </c>
      <c r="K4852" s="33" t="s">
        <v>799</v>
      </c>
      <c r="L4852" s="33" t="s">
        <v>17927</v>
      </c>
      <c r="M4852" s="33" t="s">
        <v>21</v>
      </c>
      <c r="N4852" s="33" t="s">
        <v>17798</v>
      </c>
      <c r="O4852" s="33" t="s">
        <v>372</v>
      </c>
      <c r="P4852" s="33" t="s">
        <v>30089</v>
      </c>
      <c r="Q4852" s="40" t="s">
        <v>17799</v>
      </c>
      <c r="R4852" s="33" t="s">
        <v>23</v>
      </c>
      <c r="S4852" s="33" t="s">
        <v>351</v>
      </c>
      <c r="T4852" s="33" t="s">
        <v>26867</v>
      </c>
      <c r="U4852" s="33" t="s">
        <v>26570</v>
      </c>
      <c r="V4852" s="33" t="s">
        <v>26571</v>
      </c>
      <c r="W4852" s="33" t="s">
        <v>94</v>
      </c>
      <c r="X4852" s="33">
        <v>718</v>
      </c>
      <c r="Z4852" s="33" t="s">
        <v>42967</v>
      </c>
      <c r="AA4852" s="33">
        <v>2816</v>
      </c>
    </row>
    <row r="4853" spans="1:27" ht="12" customHeight="1" x14ac:dyDescent="0.15">
      <c r="A4853" s="33" t="s">
        <v>768</v>
      </c>
      <c r="B4853" s="33">
        <v>25</v>
      </c>
      <c r="C4853" s="33" t="s">
        <v>14</v>
      </c>
      <c r="D4853" s="33" t="s">
        <v>79</v>
      </c>
      <c r="E4853" s="33" t="s">
        <v>17639</v>
      </c>
      <c r="F4853" s="67">
        <v>42223</v>
      </c>
      <c r="G4853" s="33" t="s">
        <v>769</v>
      </c>
      <c r="H4853" s="33" t="s">
        <v>27</v>
      </c>
      <c r="I4853" s="33" t="s">
        <v>338</v>
      </c>
      <c r="J4853" s="33" t="s">
        <v>17928</v>
      </c>
      <c r="K4853" s="33" t="s">
        <v>770</v>
      </c>
      <c r="L4853" s="33" t="s">
        <v>771</v>
      </c>
      <c r="M4853" s="33" t="s">
        <v>21</v>
      </c>
      <c r="N4853" s="33" t="s">
        <v>17802</v>
      </c>
      <c r="O4853" s="33" t="s">
        <v>507</v>
      </c>
      <c r="P4853" s="33" t="s">
        <v>30089</v>
      </c>
      <c r="Q4853" s="40" t="s">
        <v>772</v>
      </c>
      <c r="R4853" s="33" t="s">
        <v>23</v>
      </c>
      <c r="S4853" s="33" t="s">
        <v>22</v>
      </c>
      <c r="T4853" s="33" t="s">
        <v>26781</v>
      </c>
      <c r="U4853" s="33" t="s">
        <v>26572</v>
      </c>
      <c r="V4853" s="33" t="s">
        <v>26573</v>
      </c>
      <c r="W4853" s="33" t="s">
        <v>94</v>
      </c>
      <c r="X4853" s="33">
        <v>720</v>
      </c>
      <c r="Y4853" s="33" t="s">
        <v>42476</v>
      </c>
      <c r="Z4853" s="33" t="s">
        <v>42968</v>
      </c>
      <c r="AA4853" s="33">
        <v>2810</v>
      </c>
    </row>
    <row r="4854" spans="1:27" ht="12" customHeight="1" x14ac:dyDescent="0.15">
      <c r="A4854" s="33" t="s">
        <v>789</v>
      </c>
      <c r="B4854" s="33">
        <v>24</v>
      </c>
      <c r="C4854" s="33" t="s">
        <v>14</v>
      </c>
      <c r="D4854" s="33" t="s">
        <v>42</v>
      </c>
      <c r="E4854" s="33" t="s">
        <v>17636</v>
      </c>
      <c r="F4854" s="67">
        <v>42223</v>
      </c>
      <c r="G4854" s="33" t="s">
        <v>790</v>
      </c>
      <c r="H4854" s="33" t="s">
        <v>607</v>
      </c>
      <c r="I4854" s="33" t="s">
        <v>250</v>
      </c>
      <c r="J4854" s="33" t="s">
        <v>17923</v>
      </c>
      <c r="K4854" s="33" t="s">
        <v>527</v>
      </c>
      <c r="L4854" s="33" t="s">
        <v>528</v>
      </c>
      <c r="M4854" s="33" t="s">
        <v>21</v>
      </c>
      <c r="N4854" s="33" t="s">
        <v>17792</v>
      </c>
      <c r="O4854" s="33" t="s">
        <v>372</v>
      </c>
      <c r="P4854" s="33" t="s">
        <v>30089</v>
      </c>
      <c r="Q4854" s="40" t="s">
        <v>17793</v>
      </c>
      <c r="R4854" s="33" t="s">
        <v>512</v>
      </c>
      <c r="S4854" s="33" t="s">
        <v>29</v>
      </c>
      <c r="T4854" s="33" t="s">
        <v>26578</v>
      </c>
      <c r="U4854" s="33" t="s">
        <v>26570</v>
      </c>
      <c r="V4854" s="33" t="s">
        <v>26573</v>
      </c>
      <c r="W4854" s="33" t="s">
        <v>512</v>
      </c>
      <c r="X4854" s="33">
        <v>712</v>
      </c>
      <c r="Z4854" s="33" t="s">
        <v>42966</v>
      </c>
      <c r="AA4854" s="33">
        <v>2812</v>
      </c>
    </row>
    <row r="4855" spans="1:27" ht="12" customHeight="1" x14ac:dyDescent="0.15">
      <c r="A4855" s="33" t="s">
        <v>786</v>
      </c>
      <c r="B4855" s="33">
        <v>19</v>
      </c>
      <c r="C4855" s="33" t="s">
        <v>14</v>
      </c>
      <c r="D4855" s="33" t="s">
        <v>79</v>
      </c>
      <c r="E4855" s="33" t="s">
        <v>17637</v>
      </c>
      <c r="F4855" s="67">
        <v>42223</v>
      </c>
      <c r="G4855" s="33" t="s">
        <v>17924</v>
      </c>
      <c r="H4855" s="33" t="s">
        <v>787</v>
      </c>
      <c r="I4855" s="33" t="s">
        <v>67</v>
      </c>
      <c r="J4855" s="33" t="s">
        <v>16479</v>
      </c>
      <c r="K4855" s="33" t="s">
        <v>68</v>
      </c>
      <c r="L4855" s="33" t="s">
        <v>788</v>
      </c>
      <c r="M4855" s="33" t="s">
        <v>21</v>
      </c>
      <c r="N4855" s="33" t="s">
        <v>17794</v>
      </c>
      <c r="O4855" s="33" t="s">
        <v>372</v>
      </c>
      <c r="P4855" s="33" t="s">
        <v>30089</v>
      </c>
      <c r="Q4855" s="40" t="s">
        <v>17795</v>
      </c>
      <c r="R4855" s="33" t="s">
        <v>23</v>
      </c>
      <c r="S4855" s="33" t="s">
        <v>12</v>
      </c>
      <c r="T4855" s="33" t="s">
        <v>29705</v>
      </c>
      <c r="U4855" s="33" t="s">
        <v>26570</v>
      </c>
      <c r="V4855" s="33" t="s">
        <v>26573</v>
      </c>
      <c r="W4855" s="33" t="s">
        <v>94</v>
      </c>
      <c r="X4855" s="33">
        <v>711</v>
      </c>
      <c r="Z4855" s="33" t="s">
        <v>42968</v>
      </c>
      <c r="AA4855" s="33">
        <v>2814</v>
      </c>
    </row>
    <row r="4856" spans="1:27" ht="12" customHeight="1" x14ac:dyDescent="0.15">
      <c r="A4856" s="33" t="s">
        <v>804</v>
      </c>
      <c r="B4856" s="33">
        <v>32</v>
      </c>
      <c r="C4856" s="33" t="s">
        <v>14</v>
      </c>
      <c r="D4856" s="33" t="s">
        <v>79</v>
      </c>
      <c r="E4856" s="33" t="s">
        <v>17642</v>
      </c>
      <c r="F4856" s="67">
        <v>42222</v>
      </c>
      <c r="G4856" s="33" t="s">
        <v>17932</v>
      </c>
      <c r="H4856" s="33" t="s">
        <v>974</v>
      </c>
      <c r="I4856" s="33" t="s">
        <v>160</v>
      </c>
      <c r="J4856" s="33" t="s">
        <v>17933</v>
      </c>
      <c r="K4856" s="33" t="s">
        <v>805</v>
      </c>
      <c r="L4856" s="33" t="s">
        <v>806</v>
      </c>
      <c r="M4856" s="33" t="s">
        <v>363</v>
      </c>
      <c r="N4856" s="33" t="s">
        <v>17806</v>
      </c>
      <c r="O4856" s="33" t="s">
        <v>372</v>
      </c>
      <c r="P4856" s="33" t="s">
        <v>30089</v>
      </c>
      <c r="Q4856" s="40" t="s">
        <v>17807</v>
      </c>
      <c r="R4856" s="33" t="s">
        <v>94</v>
      </c>
      <c r="S4856" s="33" t="s">
        <v>12</v>
      </c>
      <c r="T4856" s="54" t="s">
        <v>29705</v>
      </c>
      <c r="Z4856" s="33" t="s">
        <v>42968</v>
      </c>
      <c r="AA4856" s="33">
        <v>2808</v>
      </c>
    </row>
    <row r="4857" spans="1:27" ht="12" customHeight="1" x14ac:dyDescent="0.15">
      <c r="A4857" s="33" t="s">
        <v>807</v>
      </c>
      <c r="B4857" s="33">
        <v>42</v>
      </c>
      <c r="C4857" s="33" t="s">
        <v>14</v>
      </c>
      <c r="D4857" s="33" t="s">
        <v>42</v>
      </c>
      <c r="E4857" s="33" t="s">
        <v>17641</v>
      </c>
      <c r="F4857" s="67">
        <v>42222</v>
      </c>
      <c r="G4857" s="33" t="s">
        <v>808</v>
      </c>
      <c r="H4857" s="33" t="s">
        <v>809</v>
      </c>
      <c r="I4857" s="33" t="s">
        <v>294</v>
      </c>
      <c r="J4857" s="33" t="s">
        <v>17931</v>
      </c>
      <c r="K4857" s="33" t="s">
        <v>810</v>
      </c>
      <c r="L4857" s="33" t="s">
        <v>811</v>
      </c>
      <c r="M4857" s="33" t="s">
        <v>21</v>
      </c>
      <c r="N4857" s="33" t="s">
        <v>17804</v>
      </c>
      <c r="O4857" s="33" t="s">
        <v>372</v>
      </c>
      <c r="P4857" s="33" t="s">
        <v>30089</v>
      </c>
      <c r="Q4857" s="40" t="s">
        <v>17805</v>
      </c>
      <c r="R4857" s="33" t="s">
        <v>94</v>
      </c>
      <c r="S4857" s="33" t="s">
        <v>22</v>
      </c>
      <c r="T4857" s="33" t="s">
        <v>26774</v>
      </c>
      <c r="U4857" s="33" t="s">
        <v>26572</v>
      </c>
      <c r="V4857" s="33" t="s">
        <v>26573</v>
      </c>
      <c r="W4857" s="33" t="s">
        <v>94</v>
      </c>
      <c r="X4857" s="33">
        <v>710</v>
      </c>
      <c r="Z4857" s="33" t="s">
        <v>42968</v>
      </c>
      <c r="AA4857" s="33">
        <v>2807</v>
      </c>
    </row>
    <row r="4858" spans="1:27" ht="12" customHeight="1" x14ac:dyDescent="0.15">
      <c r="A4858" s="33" t="s">
        <v>800</v>
      </c>
      <c r="B4858" s="33">
        <v>22</v>
      </c>
      <c r="C4858" s="33" t="s">
        <v>14</v>
      </c>
      <c r="D4858" s="33" t="s">
        <v>79</v>
      </c>
      <c r="E4858" s="33" t="s">
        <v>17640</v>
      </c>
      <c r="F4858" s="67">
        <v>42222</v>
      </c>
      <c r="G4858" s="33" t="s">
        <v>17929</v>
      </c>
      <c r="H4858" s="33" t="s">
        <v>801</v>
      </c>
      <c r="I4858" s="33" t="s">
        <v>67</v>
      </c>
      <c r="J4858" s="33" t="s">
        <v>17930</v>
      </c>
      <c r="K4858" s="33" t="s">
        <v>801</v>
      </c>
      <c r="L4858" s="33" t="s">
        <v>802</v>
      </c>
      <c r="M4858" s="33" t="s">
        <v>21</v>
      </c>
      <c r="N4858" s="33" t="s">
        <v>17803</v>
      </c>
      <c r="O4858" s="33" t="s">
        <v>372</v>
      </c>
      <c r="P4858" s="33" t="s">
        <v>30089</v>
      </c>
      <c r="Q4858" s="40" t="s">
        <v>803</v>
      </c>
      <c r="R4858" s="33" t="s">
        <v>94</v>
      </c>
      <c r="S4858" s="33" t="s">
        <v>22</v>
      </c>
      <c r="T4858" s="33" t="s">
        <v>26781</v>
      </c>
      <c r="U4858" s="33" t="s">
        <v>26572</v>
      </c>
      <c r="V4858" s="33" t="s">
        <v>26571</v>
      </c>
      <c r="W4858" s="33" t="s">
        <v>94</v>
      </c>
      <c r="X4858" s="33">
        <v>737</v>
      </c>
      <c r="Z4858" s="33" t="s">
        <v>42966</v>
      </c>
      <c r="AA4858" s="33">
        <v>2806</v>
      </c>
    </row>
    <row r="4859" spans="1:27" ht="12" customHeight="1" x14ac:dyDescent="0.15">
      <c r="A4859" s="33" t="s">
        <v>20845</v>
      </c>
      <c r="B4859" s="33">
        <v>22</v>
      </c>
      <c r="C4859" s="33" t="s">
        <v>14</v>
      </c>
      <c r="D4859" s="33" t="s">
        <v>79</v>
      </c>
      <c r="E4859" s="33" t="s">
        <v>20855</v>
      </c>
      <c r="F4859" s="67">
        <v>42222</v>
      </c>
      <c r="G4859" s="33" t="s">
        <v>20854</v>
      </c>
      <c r="H4859" s="33" t="s">
        <v>997</v>
      </c>
      <c r="I4859" s="33" t="s">
        <v>56</v>
      </c>
      <c r="J4859" s="33">
        <v>32805</v>
      </c>
      <c r="K4859" s="33" t="s">
        <v>998</v>
      </c>
      <c r="L4859" s="33" t="s">
        <v>999</v>
      </c>
      <c r="M4859" s="33" t="s">
        <v>19228</v>
      </c>
      <c r="N4859" s="33" t="s">
        <v>20852</v>
      </c>
      <c r="O4859" s="33" t="s">
        <v>372</v>
      </c>
      <c r="P4859" s="33" t="s">
        <v>30089</v>
      </c>
      <c r="Q4859" s="40" t="s">
        <v>20853</v>
      </c>
      <c r="R4859" s="33" t="s">
        <v>94</v>
      </c>
      <c r="S4859" s="33" t="s">
        <v>29</v>
      </c>
      <c r="T4859" s="1" t="s">
        <v>41840</v>
      </c>
      <c r="Z4859" s="33" t="s">
        <v>42966</v>
      </c>
      <c r="AA4859" s="33">
        <v>2809</v>
      </c>
    </row>
    <row r="4860" spans="1:27" ht="12" customHeight="1" x14ac:dyDescent="0.15">
      <c r="A4860" s="33" t="s">
        <v>817</v>
      </c>
      <c r="B4860" s="33">
        <v>20</v>
      </c>
      <c r="C4860" s="33" t="s">
        <v>14</v>
      </c>
      <c r="D4860" s="33" t="s">
        <v>79</v>
      </c>
      <c r="E4860" s="33" t="s">
        <v>17644</v>
      </c>
      <c r="F4860" s="67">
        <v>42221</v>
      </c>
      <c r="G4860" s="33" t="s">
        <v>22163</v>
      </c>
      <c r="H4860" s="33" t="s">
        <v>818</v>
      </c>
      <c r="I4860" s="33" t="s">
        <v>225</v>
      </c>
      <c r="J4860" s="33" t="s">
        <v>17937</v>
      </c>
      <c r="K4860" s="33" t="s">
        <v>17195</v>
      </c>
      <c r="L4860" s="33" t="s">
        <v>819</v>
      </c>
      <c r="M4860" s="33" t="s">
        <v>21</v>
      </c>
      <c r="N4860" s="33" t="s">
        <v>17810</v>
      </c>
      <c r="O4860" s="33" t="s">
        <v>507</v>
      </c>
      <c r="P4860" s="33" t="s">
        <v>30089</v>
      </c>
      <c r="Q4860" s="40" t="s">
        <v>17811</v>
      </c>
      <c r="R4860" s="33" t="s">
        <v>23</v>
      </c>
      <c r="S4860" s="33" t="s">
        <v>22</v>
      </c>
      <c r="T4860" s="33" t="s">
        <v>26781</v>
      </c>
      <c r="U4860" s="33" t="s">
        <v>26572</v>
      </c>
      <c r="V4860" s="33" t="s">
        <v>26574</v>
      </c>
      <c r="W4860" s="33" t="s">
        <v>94</v>
      </c>
      <c r="X4860" s="33">
        <v>706</v>
      </c>
      <c r="Z4860" s="33" t="s">
        <v>42966</v>
      </c>
      <c r="AA4860" s="33">
        <v>2801</v>
      </c>
    </row>
    <row r="4861" spans="1:27" ht="12" customHeight="1" x14ac:dyDescent="0.15">
      <c r="A4861" s="33" t="s">
        <v>812</v>
      </c>
      <c r="B4861" s="33">
        <v>39</v>
      </c>
      <c r="C4861" s="33" t="s">
        <v>14</v>
      </c>
      <c r="D4861" s="33" t="s">
        <v>79</v>
      </c>
      <c r="E4861" s="33" t="s">
        <v>17645</v>
      </c>
      <c r="F4861" s="67">
        <v>42221</v>
      </c>
      <c r="G4861" s="33" t="s">
        <v>17938</v>
      </c>
      <c r="H4861" s="33" t="s">
        <v>813</v>
      </c>
      <c r="I4861" s="33" t="s">
        <v>814</v>
      </c>
      <c r="J4861" s="33" t="s">
        <v>17939</v>
      </c>
      <c r="K4861" s="33" t="s">
        <v>815</v>
      </c>
      <c r="L4861" s="33" t="s">
        <v>816</v>
      </c>
      <c r="M4861" s="33" t="s">
        <v>21</v>
      </c>
      <c r="N4861" s="33" t="s">
        <v>17812</v>
      </c>
      <c r="O4861" s="33" t="s">
        <v>507</v>
      </c>
      <c r="P4861" s="33" t="s">
        <v>30089</v>
      </c>
      <c r="Q4861" s="40" t="s">
        <v>17813</v>
      </c>
      <c r="R4861" s="33" t="s">
        <v>94</v>
      </c>
      <c r="S4861" s="33" t="s">
        <v>22</v>
      </c>
      <c r="T4861" s="33" t="s">
        <v>26781</v>
      </c>
      <c r="U4861" s="33" t="s">
        <v>26572</v>
      </c>
      <c r="V4861" s="33" t="s">
        <v>26573</v>
      </c>
      <c r="W4861" s="33" t="s">
        <v>94</v>
      </c>
      <c r="X4861" s="33">
        <v>705</v>
      </c>
      <c r="Z4861" s="33" t="s">
        <v>42968</v>
      </c>
      <c r="AA4861" s="33">
        <v>2800</v>
      </c>
    </row>
    <row r="4862" spans="1:27" ht="12" customHeight="1" x14ac:dyDescent="0.15">
      <c r="A4862" s="33" t="s">
        <v>825</v>
      </c>
      <c r="B4862" s="33">
        <v>40</v>
      </c>
      <c r="C4862" s="33" t="s">
        <v>14</v>
      </c>
      <c r="D4862" s="33" t="s">
        <v>31</v>
      </c>
      <c r="E4862" s="33" t="s">
        <v>17643</v>
      </c>
      <c r="F4862" s="67">
        <v>42221</v>
      </c>
      <c r="G4862" s="33" t="s">
        <v>17934</v>
      </c>
      <c r="H4862" s="33" t="s">
        <v>826</v>
      </c>
      <c r="I4862" s="33" t="s">
        <v>282</v>
      </c>
      <c r="J4862" s="33" t="s">
        <v>2242</v>
      </c>
      <c r="K4862" s="33" t="s">
        <v>827</v>
      </c>
      <c r="L4862" s="33" t="s">
        <v>828</v>
      </c>
      <c r="M4862" s="33" t="s">
        <v>21</v>
      </c>
      <c r="N4862" s="33" t="s">
        <v>17808</v>
      </c>
      <c r="O4862" s="33" t="s">
        <v>950</v>
      </c>
      <c r="P4862" s="33" t="s">
        <v>30089</v>
      </c>
      <c r="Q4862" s="40" t="s">
        <v>18909</v>
      </c>
      <c r="R4862" s="33" t="s">
        <v>94</v>
      </c>
      <c r="S4862" s="33" t="s">
        <v>22</v>
      </c>
      <c r="T4862" s="33" t="s">
        <v>26781</v>
      </c>
      <c r="U4862" s="33" t="s">
        <v>26572</v>
      </c>
      <c r="V4862" s="33" t="s">
        <v>26573</v>
      </c>
      <c r="W4862" s="33" t="s">
        <v>94</v>
      </c>
      <c r="X4862" s="33">
        <v>708</v>
      </c>
      <c r="Y4862" s="33" t="s">
        <v>42476</v>
      </c>
      <c r="Z4862" s="33" t="s">
        <v>42968</v>
      </c>
      <c r="AA4862" s="33">
        <v>2802</v>
      </c>
    </row>
    <row r="4863" spans="1:27" ht="12" customHeight="1" x14ac:dyDescent="0.15">
      <c r="A4863" s="33" t="s">
        <v>829</v>
      </c>
      <c r="B4863" s="33">
        <v>51</v>
      </c>
      <c r="C4863" s="33" t="s">
        <v>14</v>
      </c>
      <c r="D4863" s="33" t="s">
        <v>31</v>
      </c>
      <c r="F4863" s="67">
        <v>42221</v>
      </c>
      <c r="G4863" s="33" t="s">
        <v>17935</v>
      </c>
      <c r="H4863" s="33" t="s">
        <v>830</v>
      </c>
      <c r="I4863" s="33" t="s">
        <v>409</v>
      </c>
      <c r="J4863" s="33" t="s">
        <v>17936</v>
      </c>
      <c r="K4863" s="33" t="s">
        <v>831</v>
      </c>
      <c r="L4863" s="33" t="s">
        <v>832</v>
      </c>
      <c r="M4863" s="33" t="s">
        <v>21</v>
      </c>
      <c r="N4863" s="33" t="s">
        <v>17809</v>
      </c>
      <c r="O4863" s="33" t="s">
        <v>372</v>
      </c>
      <c r="P4863" s="33" t="s">
        <v>30089</v>
      </c>
      <c r="Q4863" s="40" t="s">
        <v>18908</v>
      </c>
      <c r="R4863" s="33" t="s">
        <v>512</v>
      </c>
      <c r="S4863" s="33" t="s">
        <v>22</v>
      </c>
      <c r="T4863" s="33" t="s">
        <v>26774</v>
      </c>
      <c r="U4863" s="33" t="s">
        <v>26570</v>
      </c>
      <c r="V4863" s="33" t="s">
        <v>26573</v>
      </c>
      <c r="W4863" s="33" t="s">
        <v>94</v>
      </c>
      <c r="X4863" s="33">
        <v>704</v>
      </c>
      <c r="Z4863" s="33" t="s">
        <v>42968</v>
      </c>
      <c r="AA4863" s="33">
        <v>2805</v>
      </c>
    </row>
    <row r="4864" spans="1:27" ht="12" customHeight="1" x14ac:dyDescent="0.15">
      <c r="A4864" s="33" t="s">
        <v>820</v>
      </c>
      <c r="B4864" s="33">
        <v>29</v>
      </c>
      <c r="C4864" s="33" t="s">
        <v>14</v>
      </c>
      <c r="D4864" s="33" t="s">
        <v>42</v>
      </c>
      <c r="E4864" s="33" t="s">
        <v>17647</v>
      </c>
      <c r="F4864" s="67">
        <v>42221</v>
      </c>
      <c r="G4864" s="33" t="s">
        <v>821</v>
      </c>
      <c r="H4864" s="33" t="s">
        <v>1888</v>
      </c>
      <c r="I4864" s="33" t="s">
        <v>298</v>
      </c>
      <c r="J4864" s="33" t="s">
        <v>10568</v>
      </c>
      <c r="K4864" s="33" t="s">
        <v>823</v>
      </c>
      <c r="L4864" s="33" t="s">
        <v>824</v>
      </c>
      <c r="M4864" s="33" t="s">
        <v>21</v>
      </c>
      <c r="N4864" s="33" t="s">
        <v>17816</v>
      </c>
      <c r="O4864" s="33" t="s">
        <v>372</v>
      </c>
      <c r="P4864" s="33" t="s">
        <v>30089</v>
      </c>
      <c r="Q4864" s="40" t="s">
        <v>17817</v>
      </c>
      <c r="R4864" s="33" t="s">
        <v>512</v>
      </c>
      <c r="S4864" s="33" t="s">
        <v>22</v>
      </c>
      <c r="T4864" s="33" t="s">
        <v>26585</v>
      </c>
      <c r="U4864" s="33" t="s">
        <v>26572</v>
      </c>
      <c r="V4864" s="33" t="s">
        <v>26573</v>
      </c>
      <c r="W4864" s="33" t="s">
        <v>94</v>
      </c>
      <c r="X4864" s="33">
        <v>707</v>
      </c>
      <c r="Z4864" s="33" t="s">
        <v>42968</v>
      </c>
      <c r="AA4864" s="33">
        <v>2803</v>
      </c>
    </row>
    <row r="4865" spans="1:27" ht="12" customHeight="1" x14ac:dyDescent="0.15">
      <c r="A4865" s="33" t="s">
        <v>833</v>
      </c>
      <c r="B4865" s="33">
        <v>18</v>
      </c>
      <c r="C4865" s="33" t="s">
        <v>14</v>
      </c>
      <c r="D4865" s="33" t="s">
        <v>31</v>
      </c>
      <c r="E4865" s="33" t="s">
        <v>17646</v>
      </c>
      <c r="F4865" s="67">
        <v>42221</v>
      </c>
      <c r="G4865" s="33" t="s">
        <v>17940</v>
      </c>
      <c r="H4865" s="33" t="s">
        <v>834</v>
      </c>
      <c r="I4865" s="33" t="s">
        <v>294</v>
      </c>
      <c r="J4865" s="33" t="s">
        <v>17941</v>
      </c>
      <c r="K4865" s="33" t="s">
        <v>1659</v>
      </c>
      <c r="L4865" s="33" t="s">
        <v>835</v>
      </c>
      <c r="M4865" s="33" t="s">
        <v>21</v>
      </c>
      <c r="N4865" s="33" t="s">
        <v>17814</v>
      </c>
      <c r="O4865" s="33" t="s">
        <v>372</v>
      </c>
      <c r="P4865" s="33" t="s">
        <v>30089</v>
      </c>
      <c r="Q4865" s="40" t="s">
        <v>17815</v>
      </c>
      <c r="R4865" s="33" t="s">
        <v>94</v>
      </c>
      <c r="S4865" s="33" t="s">
        <v>22</v>
      </c>
      <c r="T4865" s="33" t="s">
        <v>26774</v>
      </c>
      <c r="U4865" s="33" t="s">
        <v>26572</v>
      </c>
      <c r="V4865" s="33" t="s">
        <v>26573</v>
      </c>
      <c r="W4865" s="33" t="s">
        <v>94</v>
      </c>
      <c r="X4865" s="33">
        <v>703</v>
      </c>
      <c r="Z4865" s="33" t="s">
        <v>42966</v>
      </c>
      <c r="AA4865" s="33">
        <v>2804</v>
      </c>
    </row>
    <row r="4866" spans="1:27" ht="12" customHeight="1" x14ac:dyDescent="0.15">
      <c r="A4866" s="33" t="s">
        <v>839</v>
      </c>
      <c r="B4866" s="33">
        <v>31</v>
      </c>
      <c r="C4866" s="33" t="s">
        <v>14</v>
      </c>
      <c r="D4866" s="33" t="s">
        <v>79</v>
      </c>
      <c r="E4866" s="33" t="s">
        <v>17648</v>
      </c>
      <c r="F4866" s="67">
        <v>42220</v>
      </c>
      <c r="G4866" s="33" t="s">
        <v>17944</v>
      </c>
      <c r="H4866" s="33" t="s">
        <v>840</v>
      </c>
      <c r="I4866" s="33" t="s">
        <v>38</v>
      </c>
      <c r="J4866" s="33" t="s">
        <v>17945</v>
      </c>
      <c r="K4866" s="33" t="s">
        <v>841</v>
      </c>
      <c r="L4866" s="33" t="s">
        <v>842</v>
      </c>
      <c r="M4866" s="33" t="s">
        <v>21</v>
      </c>
      <c r="N4866" s="33" t="s">
        <v>17819</v>
      </c>
      <c r="O4866" s="33" t="s">
        <v>507</v>
      </c>
      <c r="P4866" s="33" t="s">
        <v>30089</v>
      </c>
      <c r="Q4866" s="40" t="s">
        <v>18905</v>
      </c>
      <c r="R4866" s="33" t="s">
        <v>512</v>
      </c>
      <c r="S4866" s="33" t="s">
        <v>22</v>
      </c>
      <c r="T4866" s="33" t="s">
        <v>26781</v>
      </c>
      <c r="U4866" s="33" t="s">
        <v>26575</v>
      </c>
      <c r="V4866" s="33" t="s">
        <v>26573</v>
      </c>
      <c r="W4866" s="33" t="s">
        <v>512</v>
      </c>
      <c r="X4866" s="33">
        <v>702</v>
      </c>
      <c r="Z4866" s="33" t="s">
        <v>42967</v>
      </c>
      <c r="AA4866" s="33">
        <v>2798</v>
      </c>
    </row>
    <row r="4867" spans="1:27" ht="12" customHeight="1" x14ac:dyDescent="0.15">
      <c r="A4867" s="33" t="s">
        <v>836</v>
      </c>
      <c r="B4867" s="33">
        <v>55</v>
      </c>
      <c r="C4867" s="33" t="s">
        <v>14</v>
      </c>
      <c r="D4867" s="33" t="s">
        <v>42</v>
      </c>
      <c r="F4867" s="67">
        <v>42220</v>
      </c>
      <c r="G4867" s="33" t="s">
        <v>17942</v>
      </c>
      <c r="H4867" s="33" t="s">
        <v>837</v>
      </c>
      <c r="I4867" s="33" t="s">
        <v>39</v>
      </c>
      <c r="J4867" s="33" t="s">
        <v>17943</v>
      </c>
      <c r="K4867" s="33" t="s">
        <v>143</v>
      </c>
      <c r="L4867" s="33" t="s">
        <v>42474</v>
      </c>
      <c r="M4867" s="33" t="s">
        <v>21</v>
      </c>
      <c r="N4867" s="33" t="s">
        <v>17818</v>
      </c>
      <c r="O4867" s="33" t="s">
        <v>372</v>
      </c>
      <c r="P4867" s="33" t="s">
        <v>30089</v>
      </c>
      <c r="Q4867" s="40" t="s">
        <v>18907</v>
      </c>
      <c r="R4867" s="33" t="s">
        <v>512</v>
      </c>
      <c r="S4867" s="33" t="s">
        <v>29</v>
      </c>
      <c r="T4867" s="33" t="s">
        <v>26575</v>
      </c>
      <c r="U4867" s="33" t="s">
        <v>26570</v>
      </c>
      <c r="V4867" s="33" t="s">
        <v>26573</v>
      </c>
      <c r="W4867" s="33" t="s">
        <v>94</v>
      </c>
      <c r="X4867" s="33">
        <v>701</v>
      </c>
      <c r="Z4867" s="33" t="s">
        <v>42968</v>
      </c>
      <c r="AA4867" s="33">
        <v>2799</v>
      </c>
    </row>
    <row r="4868" spans="1:27" ht="12" customHeight="1" x14ac:dyDescent="0.15">
      <c r="A4868" s="33" t="s">
        <v>852</v>
      </c>
      <c r="B4868" s="33">
        <v>71</v>
      </c>
      <c r="C4868" s="33" t="s">
        <v>14</v>
      </c>
      <c r="D4868" s="33" t="s">
        <v>31</v>
      </c>
      <c r="E4868" s="33" t="s">
        <v>17650</v>
      </c>
      <c r="F4868" s="67">
        <v>42219</v>
      </c>
      <c r="G4868" s="33" t="s">
        <v>22166</v>
      </c>
      <c r="H4868" s="33" t="s">
        <v>853</v>
      </c>
      <c r="I4868" s="33" t="s">
        <v>225</v>
      </c>
      <c r="J4868" s="33" t="s">
        <v>17947</v>
      </c>
      <c r="K4868" s="33" t="s">
        <v>853</v>
      </c>
      <c r="L4868" s="33" t="s">
        <v>17948</v>
      </c>
      <c r="M4868" s="33" t="s">
        <v>21</v>
      </c>
      <c r="N4868" s="33" t="s">
        <v>17821</v>
      </c>
      <c r="O4868" s="33" t="s">
        <v>17822</v>
      </c>
      <c r="P4868" s="33" t="s">
        <v>30089</v>
      </c>
      <c r="Q4868" s="40" t="s">
        <v>17823</v>
      </c>
      <c r="R4868" s="33" t="s">
        <v>23</v>
      </c>
      <c r="S4868" s="33" t="s">
        <v>22</v>
      </c>
      <c r="T4868" s="33" t="s">
        <v>26781</v>
      </c>
      <c r="U4868" s="33" t="s">
        <v>26572</v>
      </c>
      <c r="V4868" s="33" t="s">
        <v>26573</v>
      </c>
      <c r="W4868" s="33" t="s">
        <v>94</v>
      </c>
      <c r="X4868" s="33">
        <v>699</v>
      </c>
      <c r="Z4868" s="33" t="s">
        <v>42967</v>
      </c>
      <c r="AA4868" s="33">
        <v>2796</v>
      </c>
    </row>
    <row r="4869" spans="1:27" ht="12" customHeight="1" x14ac:dyDescent="0.15">
      <c r="A4869" s="33" t="s">
        <v>843</v>
      </c>
      <c r="B4869" s="33">
        <v>18</v>
      </c>
      <c r="C4869" s="33" t="s">
        <v>14</v>
      </c>
      <c r="D4869" s="33" t="s">
        <v>31</v>
      </c>
      <c r="E4869" s="33" t="s">
        <v>17651</v>
      </c>
      <c r="F4869" s="67">
        <v>42219</v>
      </c>
      <c r="G4869" s="33" t="s">
        <v>844</v>
      </c>
      <c r="H4869" s="33" t="s">
        <v>845</v>
      </c>
      <c r="I4869" s="33" t="s">
        <v>376</v>
      </c>
      <c r="J4869" s="33" t="s">
        <v>17949</v>
      </c>
      <c r="K4869" s="33" t="s">
        <v>846</v>
      </c>
      <c r="L4869" s="33" t="s">
        <v>847</v>
      </c>
      <c r="M4869" s="33" t="s">
        <v>21</v>
      </c>
      <c r="N4869" s="33" t="s">
        <v>17824</v>
      </c>
      <c r="O4869" s="33" t="s">
        <v>372</v>
      </c>
      <c r="P4869" s="33" t="s">
        <v>30089</v>
      </c>
      <c r="Q4869" s="40" t="s">
        <v>18906</v>
      </c>
      <c r="R4869" s="33" t="s">
        <v>23</v>
      </c>
      <c r="S4869" s="33" t="s">
        <v>22</v>
      </c>
      <c r="T4869" s="33" t="s">
        <v>26781</v>
      </c>
      <c r="U4869" s="33" t="s">
        <v>26572</v>
      </c>
      <c r="V4869" s="33" t="s">
        <v>26574</v>
      </c>
      <c r="W4869" s="33" t="s">
        <v>94</v>
      </c>
      <c r="X4869" s="33">
        <v>698</v>
      </c>
      <c r="Z4869" s="33" t="s">
        <v>42968</v>
      </c>
      <c r="AA4869" s="33">
        <v>2795</v>
      </c>
    </row>
    <row r="4870" spans="1:27" ht="12" customHeight="1" x14ac:dyDescent="0.15">
      <c r="A4870" s="33" t="s">
        <v>838</v>
      </c>
      <c r="B4870" s="33">
        <v>49</v>
      </c>
      <c r="C4870" s="33" t="s">
        <v>14</v>
      </c>
      <c r="D4870" s="33" t="s">
        <v>79</v>
      </c>
      <c r="E4870" s="33" t="s">
        <v>17649</v>
      </c>
      <c r="F4870" s="67">
        <v>42219</v>
      </c>
      <c r="G4870" s="33" t="s">
        <v>22165</v>
      </c>
      <c r="H4870" s="33" t="s">
        <v>557</v>
      </c>
      <c r="I4870" s="33" t="s">
        <v>39</v>
      </c>
      <c r="J4870" s="33" t="s">
        <v>17946</v>
      </c>
      <c r="K4870" s="33" t="s">
        <v>558</v>
      </c>
      <c r="L4870" s="33" t="s">
        <v>559</v>
      </c>
      <c r="M4870" s="33" t="s">
        <v>21</v>
      </c>
      <c r="N4870" s="33" t="s">
        <v>17820</v>
      </c>
      <c r="O4870" s="33" t="s">
        <v>372</v>
      </c>
      <c r="P4870" s="33" t="s">
        <v>30089</v>
      </c>
      <c r="Q4870" s="40" t="s">
        <v>18903</v>
      </c>
      <c r="R4870" s="33" t="s">
        <v>23</v>
      </c>
      <c r="S4870" s="33" t="s">
        <v>22</v>
      </c>
      <c r="T4870" s="33" t="s">
        <v>26781</v>
      </c>
      <c r="U4870" s="33" t="s">
        <v>26572</v>
      </c>
      <c r="V4870" s="33" t="s">
        <v>26573</v>
      </c>
      <c r="W4870" s="33" t="s">
        <v>94</v>
      </c>
      <c r="X4870" s="33">
        <v>697</v>
      </c>
      <c r="Z4870" s="33" t="s">
        <v>42966</v>
      </c>
      <c r="AA4870" s="33">
        <v>2794</v>
      </c>
    </row>
    <row r="4871" spans="1:27" ht="12" customHeight="1" x14ac:dyDescent="0.15">
      <c r="A4871" s="33" t="s">
        <v>848</v>
      </c>
      <c r="B4871" s="33">
        <v>35</v>
      </c>
      <c r="C4871" s="33" t="s">
        <v>14</v>
      </c>
      <c r="D4871" s="33" t="s">
        <v>31</v>
      </c>
      <c r="E4871" s="33" t="s">
        <v>17652</v>
      </c>
      <c r="F4871" s="67">
        <v>42219</v>
      </c>
      <c r="G4871" s="33" t="s">
        <v>22164</v>
      </c>
      <c r="H4871" s="33" t="s">
        <v>849</v>
      </c>
      <c r="I4871" s="33" t="s">
        <v>198</v>
      </c>
      <c r="J4871" s="33" t="s">
        <v>17950</v>
      </c>
      <c r="K4871" s="33" t="s">
        <v>850</v>
      </c>
      <c r="L4871" s="33" t="s">
        <v>851</v>
      </c>
      <c r="M4871" s="33" t="s">
        <v>21</v>
      </c>
      <c r="N4871" s="33" t="s">
        <v>17825</v>
      </c>
      <c r="O4871" s="33" t="s">
        <v>372</v>
      </c>
      <c r="P4871" s="33" t="s">
        <v>30089</v>
      </c>
      <c r="Q4871" s="40" t="s">
        <v>18904</v>
      </c>
      <c r="R4871" s="33" t="s">
        <v>512</v>
      </c>
      <c r="S4871" s="33" t="s">
        <v>12</v>
      </c>
      <c r="T4871" s="33" t="s">
        <v>29425</v>
      </c>
      <c r="U4871" s="33" t="s">
        <v>26572</v>
      </c>
      <c r="V4871" s="33" t="s">
        <v>26573</v>
      </c>
      <c r="W4871" s="33" t="s">
        <v>94</v>
      </c>
      <c r="X4871" s="33">
        <v>700</v>
      </c>
      <c r="Z4871" s="33" t="s">
        <v>42966</v>
      </c>
      <c r="AA4871" s="33">
        <v>2797</v>
      </c>
    </row>
    <row r="4872" spans="1:27" ht="12" customHeight="1" x14ac:dyDescent="0.15">
      <c r="A4872" s="33" t="s">
        <v>854</v>
      </c>
      <c r="B4872" s="33">
        <v>63</v>
      </c>
      <c r="C4872" s="33" t="s">
        <v>14</v>
      </c>
      <c r="D4872" s="33" t="s">
        <v>31</v>
      </c>
      <c r="E4872" s="33" t="s">
        <v>17653</v>
      </c>
      <c r="F4872" s="67">
        <v>42218</v>
      </c>
      <c r="G4872" s="33" t="s">
        <v>17951</v>
      </c>
      <c r="H4872" s="33" t="s">
        <v>674</v>
      </c>
      <c r="I4872" s="33" t="s">
        <v>67</v>
      </c>
      <c r="J4872" s="33" t="s">
        <v>6240</v>
      </c>
      <c r="K4872" s="33" t="s">
        <v>515</v>
      </c>
      <c r="L4872" s="33" t="s">
        <v>675</v>
      </c>
      <c r="M4872" s="33" t="s">
        <v>21</v>
      </c>
      <c r="N4872" s="33" t="s">
        <v>17826</v>
      </c>
      <c r="O4872" s="33" t="s">
        <v>372</v>
      </c>
      <c r="P4872" s="33" t="s">
        <v>30089</v>
      </c>
      <c r="Q4872" s="40" t="s">
        <v>17827</v>
      </c>
      <c r="R4872" s="33" t="s">
        <v>512</v>
      </c>
      <c r="S4872" s="33" t="s">
        <v>351</v>
      </c>
      <c r="T4872" s="33" t="s">
        <v>26867</v>
      </c>
      <c r="U4872" s="33" t="s">
        <v>26570</v>
      </c>
      <c r="V4872" s="33" t="s">
        <v>26573</v>
      </c>
      <c r="W4872" s="33" t="s">
        <v>94</v>
      </c>
      <c r="X4872" s="33">
        <v>695</v>
      </c>
      <c r="Z4872" s="33" t="s">
        <v>42966</v>
      </c>
      <c r="AA4872" s="33">
        <v>2793</v>
      </c>
    </row>
    <row r="4873" spans="1:27" ht="12" customHeight="1" x14ac:dyDescent="0.15">
      <c r="A4873" s="33" t="s">
        <v>855</v>
      </c>
      <c r="B4873" s="33">
        <v>29</v>
      </c>
      <c r="C4873" s="33" t="s">
        <v>14</v>
      </c>
      <c r="D4873" s="33" t="s">
        <v>42</v>
      </c>
      <c r="F4873" s="67">
        <v>42217</v>
      </c>
      <c r="G4873" s="33" t="s">
        <v>856</v>
      </c>
      <c r="H4873" s="33" t="s">
        <v>518</v>
      </c>
      <c r="I4873" s="33" t="s">
        <v>112</v>
      </c>
      <c r="J4873" s="33" t="s">
        <v>5802</v>
      </c>
      <c r="K4873" s="33" t="s">
        <v>519</v>
      </c>
      <c r="L4873" s="33" t="s">
        <v>520</v>
      </c>
      <c r="M4873" s="33" t="s">
        <v>21</v>
      </c>
      <c r="N4873" s="33" t="s">
        <v>17828</v>
      </c>
      <c r="O4873" s="33" t="s">
        <v>372</v>
      </c>
      <c r="P4873" s="33" t="s">
        <v>30089</v>
      </c>
      <c r="Q4873" s="40" t="s">
        <v>17829</v>
      </c>
      <c r="R4873" s="33" t="s">
        <v>94</v>
      </c>
      <c r="S4873" s="33" t="s">
        <v>22</v>
      </c>
      <c r="T4873" s="33" t="s">
        <v>26781</v>
      </c>
      <c r="U4873" s="33" t="s">
        <v>26572</v>
      </c>
      <c r="V4873" s="33" t="s">
        <v>26573</v>
      </c>
      <c r="W4873" s="33" t="s">
        <v>94</v>
      </c>
      <c r="X4873" s="33">
        <v>696</v>
      </c>
      <c r="Z4873" s="33" t="s">
        <v>42968</v>
      </c>
      <c r="AA4873" s="33">
        <v>2791</v>
      </c>
    </row>
    <row r="4874" spans="1:27" ht="12" customHeight="1" x14ac:dyDescent="0.15">
      <c r="A4874" s="33" t="s">
        <v>861</v>
      </c>
      <c r="B4874" s="33">
        <v>48</v>
      </c>
      <c r="C4874" s="33" t="s">
        <v>14</v>
      </c>
      <c r="D4874" s="33" t="s">
        <v>31</v>
      </c>
      <c r="F4874" s="67">
        <v>42217</v>
      </c>
      <c r="G4874" s="33" t="s">
        <v>862</v>
      </c>
      <c r="H4874" s="33" t="s">
        <v>266</v>
      </c>
      <c r="I4874" s="33" t="s">
        <v>67</v>
      </c>
      <c r="J4874" s="33" t="s">
        <v>17954</v>
      </c>
      <c r="K4874" s="33" t="s">
        <v>266</v>
      </c>
      <c r="L4874" s="33" t="s">
        <v>863</v>
      </c>
      <c r="M4874" s="33" t="s">
        <v>11646</v>
      </c>
      <c r="N4874" s="33" t="s">
        <v>17831</v>
      </c>
      <c r="O4874" s="33" t="s">
        <v>372</v>
      </c>
      <c r="P4874" s="33" t="s">
        <v>30089</v>
      </c>
      <c r="Q4874" s="40" t="s">
        <v>18902</v>
      </c>
      <c r="R4874" s="33" t="s">
        <v>23</v>
      </c>
      <c r="S4874" s="33" t="s">
        <v>12</v>
      </c>
      <c r="T4874" s="54" t="s">
        <v>29705</v>
      </c>
      <c r="Z4874" s="33" t="s">
        <v>42968</v>
      </c>
      <c r="AA4874" s="33">
        <v>2792</v>
      </c>
    </row>
    <row r="4875" spans="1:27" ht="12" customHeight="1" x14ac:dyDescent="0.15">
      <c r="A4875" s="33" t="s">
        <v>857</v>
      </c>
      <c r="B4875" s="33">
        <v>52</v>
      </c>
      <c r="C4875" s="33" t="s">
        <v>14</v>
      </c>
      <c r="D4875" s="33" t="s">
        <v>24</v>
      </c>
      <c r="F4875" s="67">
        <v>42217</v>
      </c>
      <c r="G4875" s="33" t="s">
        <v>17952</v>
      </c>
      <c r="H4875" s="33" t="s">
        <v>858</v>
      </c>
      <c r="I4875" s="33" t="s">
        <v>139</v>
      </c>
      <c r="J4875" s="33" t="s">
        <v>17953</v>
      </c>
      <c r="K4875" s="33" t="s">
        <v>859</v>
      </c>
      <c r="L4875" s="33" t="s">
        <v>860</v>
      </c>
      <c r="M4875" s="33" t="s">
        <v>21</v>
      </c>
      <c r="N4875" s="33" t="s">
        <v>17830</v>
      </c>
      <c r="O4875" s="33" t="s">
        <v>372</v>
      </c>
      <c r="P4875" s="33" t="s">
        <v>30089</v>
      </c>
      <c r="Q4875" s="40" t="s">
        <v>18901</v>
      </c>
      <c r="R4875" s="33" t="s">
        <v>94</v>
      </c>
      <c r="S4875" s="33" t="s">
        <v>22</v>
      </c>
      <c r="T4875" s="33" t="s">
        <v>26781</v>
      </c>
      <c r="U4875" s="33" t="s">
        <v>26572</v>
      </c>
      <c r="V4875" s="33" t="s">
        <v>26573</v>
      </c>
      <c r="W4875" s="33" t="s">
        <v>94</v>
      </c>
      <c r="X4875" s="33">
        <v>694</v>
      </c>
      <c r="Z4875" s="33" t="s">
        <v>42968</v>
      </c>
      <c r="AA4875" s="33">
        <v>2790</v>
      </c>
    </row>
    <row r="4876" spans="1:27" ht="12" customHeight="1" x14ac:dyDescent="0.15">
      <c r="A4876" s="33" t="s">
        <v>873</v>
      </c>
      <c r="B4876" s="33">
        <v>34</v>
      </c>
      <c r="C4876" s="33" t="s">
        <v>14</v>
      </c>
      <c r="D4876" s="33" t="s">
        <v>31</v>
      </c>
      <c r="F4876" s="67">
        <v>42216</v>
      </c>
      <c r="G4876" s="33" t="s">
        <v>874</v>
      </c>
      <c r="H4876" s="33" t="s">
        <v>875</v>
      </c>
      <c r="I4876" s="33" t="s">
        <v>178</v>
      </c>
      <c r="J4876" s="33">
        <v>88201</v>
      </c>
      <c r="K4876" s="33" t="s">
        <v>876</v>
      </c>
      <c r="L4876" s="33" t="s">
        <v>877</v>
      </c>
      <c r="M4876" s="33" t="s">
        <v>21</v>
      </c>
      <c r="N4876" s="33" t="s">
        <v>878</v>
      </c>
      <c r="O4876" s="33" t="s">
        <v>372</v>
      </c>
      <c r="P4876" s="33" t="s">
        <v>30089</v>
      </c>
      <c r="Q4876" s="40" t="s">
        <v>18898</v>
      </c>
      <c r="R4876" s="33" t="s">
        <v>94</v>
      </c>
      <c r="S4876" s="33" t="s">
        <v>22</v>
      </c>
      <c r="T4876" s="33" t="s">
        <v>26781</v>
      </c>
      <c r="U4876" s="33" t="s">
        <v>26572</v>
      </c>
      <c r="V4876" s="33" t="s">
        <v>26573</v>
      </c>
      <c r="W4876" s="33" t="s">
        <v>94</v>
      </c>
      <c r="X4876" s="33">
        <v>693</v>
      </c>
      <c r="Z4876" s="33" t="s">
        <v>42968</v>
      </c>
      <c r="AA4876" s="33">
        <v>2789</v>
      </c>
    </row>
    <row r="4877" spans="1:27" ht="12" customHeight="1" x14ac:dyDescent="0.15">
      <c r="A4877" s="33" t="s">
        <v>864</v>
      </c>
      <c r="B4877" s="33">
        <v>33</v>
      </c>
      <c r="C4877" s="33" t="s">
        <v>14</v>
      </c>
      <c r="D4877" s="33" t="s">
        <v>42</v>
      </c>
      <c r="E4877" s="33" t="str">
        <f>HYPERLINK("http://www.killedbypolice.net/victims/150680.jpg","http://www.killedbypolice.net/victims/150680.jpg")</f>
        <v>http://www.killedbypolice.net/victims/150680.jpg</v>
      </c>
      <c r="F4877" s="67">
        <v>42216</v>
      </c>
      <c r="G4877" s="33" t="s">
        <v>865</v>
      </c>
      <c r="H4877" s="33" t="s">
        <v>866</v>
      </c>
      <c r="I4877" s="33" t="s">
        <v>178</v>
      </c>
      <c r="J4877" s="33">
        <v>87102</v>
      </c>
      <c r="K4877" s="33" t="s">
        <v>433</v>
      </c>
      <c r="L4877" s="33" t="s">
        <v>4562</v>
      </c>
      <c r="M4877" s="33" t="s">
        <v>21</v>
      </c>
      <c r="N4877" s="33" t="s">
        <v>867</v>
      </c>
      <c r="O4877" s="33" t="s">
        <v>372</v>
      </c>
      <c r="P4877" s="33" t="s">
        <v>30089</v>
      </c>
      <c r="Q4877" s="40" t="s">
        <v>18899</v>
      </c>
      <c r="R4877" s="33" t="s">
        <v>94</v>
      </c>
      <c r="S4877" s="33" t="s">
        <v>22</v>
      </c>
      <c r="T4877" s="33" t="s">
        <v>26781</v>
      </c>
      <c r="U4877" s="33" t="s">
        <v>26572</v>
      </c>
      <c r="V4877" s="33" t="s">
        <v>26573</v>
      </c>
      <c r="W4877" s="33" t="s">
        <v>512</v>
      </c>
      <c r="X4877" s="33">
        <v>692</v>
      </c>
      <c r="Z4877" s="33" t="s">
        <v>42966</v>
      </c>
      <c r="AA4877" s="33">
        <v>2788</v>
      </c>
    </row>
    <row r="4878" spans="1:27" ht="12" customHeight="1" x14ac:dyDescent="0.15">
      <c r="A4878" s="33" t="s">
        <v>905</v>
      </c>
      <c r="B4878" s="33">
        <v>47</v>
      </c>
      <c r="C4878" s="33" t="s">
        <v>14</v>
      </c>
      <c r="D4878" s="33" t="s">
        <v>42</v>
      </c>
      <c r="F4878" s="67">
        <v>42215</v>
      </c>
      <c r="G4878" s="33" t="s">
        <v>906</v>
      </c>
      <c r="H4878" s="33" t="s">
        <v>907</v>
      </c>
      <c r="I4878" s="33" t="s">
        <v>39</v>
      </c>
      <c r="J4878" s="33">
        <v>90606</v>
      </c>
      <c r="K4878" s="33" t="s">
        <v>92</v>
      </c>
      <c r="L4878" s="33" t="s">
        <v>386</v>
      </c>
      <c r="M4878" s="33" t="s">
        <v>4966</v>
      </c>
      <c r="N4878" s="33" t="s">
        <v>908</v>
      </c>
      <c r="O4878" s="33" t="s">
        <v>372</v>
      </c>
      <c r="P4878" s="33" t="s">
        <v>30089</v>
      </c>
      <c r="Q4878" s="40" t="s">
        <v>18892</v>
      </c>
      <c r="R4878" s="33" t="s">
        <v>904</v>
      </c>
      <c r="S4878" s="33" t="s">
        <v>22</v>
      </c>
      <c r="T4878" s="33" t="s">
        <v>26581</v>
      </c>
      <c r="U4878" s="33" t="s">
        <v>26572</v>
      </c>
      <c r="V4878" s="33" t="s">
        <v>26573</v>
      </c>
      <c r="W4878" s="33" t="s">
        <v>94</v>
      </c>
      <c r="X4878" s="33">
        <v>691</v>
      </c>
      <c r="Z4878" s="33" t="s">
        <v>42966</v>
      </c>
      <c r="AA4878" s="33">
        <v>2786</v>
      </c>
    </row>
    <row r="4879" spans="1:27" ht="12" customHeight="1" x14ac:dyDescent="0.15">
      <c r="A4879" s="33" t="s">
        <v>879</v>
      </c>
      <c r="B4879" s="33">
        <v>48</v>
      </c>
      <c r="C4879" s="33" t="s">
        <v>14</v>
      </c>
      <c r="D4879" s="33" t="s">
        <v>31</v>
      </c>
      <c r="E4879" s="33" t="str">
        <f>HYPERLINK("http://media.graytvinc.com/images/Mark+Perkins.jpg","http://media.graytvinc.com/images/Mark+Perkins.jpg")</f>
        <v>http://media.graytvinc.com/images/Mark+Perkins.jpg</v>
      </c>
      <c r="F4879" s="67">
        <v>42215</v>
      </c>
      <c r="G4879" s="33" t="s">
        <v>880</v>
      </c>
      <c r="H4879" s="33" t="s">
        <v>881</v>
      </c>
      <c r="I4879" s="33" t="s">
        <v>250</v>
      </c>
      <c r="J4879" s="33">
        <v>89460</v>
      </c>
      <c r="K4879" s="33" t="s">
        <v>882</v>
      </c>
      <c r="L4879" s="33" t="s">
        <v>883</v>
      </c>
      <c r="M4879" s="33" t="s">
        <v>21</v>
      </c>
      <c r="N4879" s="33" t="s">
        <v>884</v>
      </c>
      <c r="O4879" s="33" t="s">
        <v>372</v>
      </c>
      <c r="P4879" s="33" t="s">
        <v>30089</v>
      </c>
      <c r="Q4879" s="40" t="s">
        <v>18897</v>
      </c>
      <c r="R4879" s="33" t="s">
        <v>94</v>
      </c>
      <c r="S4879" s="33" t="s">
        <v>22</v>
      </c>
      <c r="T4879" s="33" t="s">
        <v>26781</v>
      </c>
      <c r="U4879" s="33" t="s">
        <v>26572</v>
      </c>
      <c r="V4879" s="33" t="s">
        <v>26573</v>
      </c>
      <c r="W4879" s="33" t="s">
        <v>94</v>
      </c>
      <c r="X4879" s="33">
        <v>688</v>
      </c>
      <c r="Z4879" s="33" t="s">
        <v>42967</v>
      </c>
      <c r="AA4879" s="33">
        <v>2783</v>
      </c>
    </row>
    <row r="4880" spans="1:27" ht="12" customHeight="1" x14ac:dyDescent="0.15">
      <c r="A4880" s="33" t="s">
        <v>893</v>
      </c>
      <c r="B4880" s="33">
        <v>25</v>
      </c>
      <c r="C4880" s="33" t="s">
        <v>14</v>
      </c>
      <c r="D4880" s="33" t="s">
        <v>31</v>
      </c>
      <c r="E4880" s="33" t="str">
        <f>HYPERLINK("http://www.killedbypolice.net/victims/150676.jpg","http://www.killedbypolice.net/victims/150676.jpg")</f>
        <v>http://www.killedbypolice.net/victims/150676.jpg</v>
      </c>
      <c r="F4880" s="67">
        <v>42215</v>
      </c>
      <c r="G4880" s="33" t="s">
        <v>894</v>
      </c>
      <c r="H4880" s="33" t="s">
        <v>895</v>
      </c>
      <c r="I4880" s="33" t="s">
        <v>39</v>
      </c>
      <c r="J4880" s="33">
        <v>96067</v>
      </c>
      <c r="K4880" s="33" t="s">
        <v>896</v>
      </c>
      <c r="L4880" s="33" t="s">
        <v>897</v>
      </c>
      <c r="M4880" s="33" t="s">
        <v>21</v>
      </c>
      <c r="N4880" s="33" t="s">
        <v>898</v>
      </c>
      <c r="O4880" s="33" t="s">
        <v>372</v>
      </c>
      <c r="P4880" s="33" t="s">
        <v>30089</v>
      </c>
      <c r="Q4880" s="40" t="s">
        <v>18896</v>
      </c>
      <c r="R4880" s="33" t="s">
        <v>94</v>
      </c>
      <c r="S4880" s="33" t="s">
        <v>22</v>
      </c>
      <c r="T4880" s="33" t="s">
        <v>26781</v>
      </c>
      <c r="U4880" s="33" t="s">
        <v>26572</v>
      </c>
      <c r="V4880" s="33" t="s">
        <v>26571</v>
      </c>
      <c r="W4880" s="33" t="s">
        <v>94</v>
      </c>
      <c r="X4880" s="33">
        <v>689</v>
      </c>
      <c r="Z4880" s="33" t="s">
        <v>42967</v>
      </c>
      <c r="AA4880" s="33">
        <v>2784</v>
      </c>
    </row>
    <row r="4881" spans="1:27" ht="12" customHeight="1" x14ac:dyDescent="0.15">
      <c r="A4881" s="33" t="s">
        <v>868</v>
      </c>
      <c r="B4881" s="33">
        <v>30</v>
      </c>
      <c r="C4881" s="33" t="s">
        <v>14</v>
      </c>
      <c r="D4881" s="33" t="s">
        <v>42</v>
      </c>
      <c r="E4881" s="33" t="str">
        <f>HYPERLINK("http://www.star-telegram.com/news/local/community/fort-worth/rat54p/picture29706625/ALTERNATES/FREE_640/Flip%20Vallejo","http://www.star-telegram.com/news/local/community/fort-worth/rat54p/picture29706625/ALTERNATES/FREE_640/Flip%20Vallejo")</f>
        <v>http://www.star-telegram.com/news/local/community/fort-worth/rat54p/picture29706625/ALTERNATES/FREE_640/Flip%20Vallejo</v>
      </c>
      <c r="F4881" s="67">
        <v>42215</v>
      </c>
      <c r="G4881" s="33" t="s">
        <v>869</v>
      </c>
      <c r="H4881" s="33" t="s">
        <v>870</v>
      </c>
      <c r="I4881" s="33" t="s">
        <v>67</v>
      </c>
      <c r="J4881" s="33">
        <v>76102</v>
      </c>
      <c r="K4881" s="33" t="s">
        <v>68</v>
      </c>
      <c r="L4881" s="33" t="s">
        <v>871</v>
      </c>
      <c r="M4881" s="33" t="s">
        <v>21</v>
      </c>
      <c r="N4881" s="33" t="s">
        <v>872</v>
      </c>
      <c r="O4881" s="33" t="s">
        <v>372</v>
      </c>
      <c r="P4881" s="33" t="s">
        <v>30089</v>
      </c>
      <c r="Q4881" s="40" t="s">
        <v>18900</v>
      </c>
      <c r="R4881" s="33" t="s">
        <v>94</v>
      </c>
      <c r="S4881" s="33" t="s">
        <v>22</v>
      </c>
      <c r="T4881" s="33" t="s">
        <v>26781</v>
      </c>
      <c r="U4881" s="33" t="s">
        <v>26572</v>
      </c>
      <c r="V4881" s="33" t="s">
        <v>26573</v>
      </c>
      <c r="W4881" s="33" t="s">
        <v>94</v>
      </c>
      <c r="X4881" s="33">
        <v>690</v>
      </c>
      <c r="Z4881" s="33" t="s">
        <v>42966</v>
      </c>
      <c r="AA4881" s="33">
        <v>2785</v>
      </c>
    </row>
    <row r="4882" spans="1:27" ht="12" customHeight="1" x14ac:dyDescent="0.15">
      <c r="A4882" s="33" t="s">
        <v>888</v>
      </c>
      <c r="B4882" s="33">
        <v>38</v>
      </c>
      <c r="C4882" s="33" t="s">
        <v>14</v>
      </c>
      <c r="D4882" s="33" t="s">
        <v>42</v>
      </c>
      <c r="E4882" s="33" t="str">
        <f>HYPERLINK("http://media.masslive.com/mass_river_worcester_news/photo/screen-shot-2015-07-30-at-14303-pmpng-3c8d20217be5ac12.png","http://media.masslive.com/mass_river_worcester_news/photo/screen-shot-2015-07-30-at-14303-pmpng-3c8d20217be5ac12.png")</f>
        <v>http://media.masslive.com/mass_river_worcester_news/photo/screen-shot-2015-07-30-at-14303-pmpng-3c8d20217be5ac12.png</v>
      </c>
      <c r="F4882" s="67">
        <v>42215</v>
      </c>
      <c r="G4882" s="33" t="s">
        <v>889</v>
      </c>
      <c r="H4882" s="33" t="s">
        <v>890</v>
      </c>
      <c r="I4882" s="33" t="s">
        <v>40</v>
      </c>
      <c r="J4882" s="33">
        <v>1610</v>
      </c>
      <c r="K4882" s="33" t="s">
        <v>890</v>
      </c>
      <c r="L4882" s="33" t="s">
        <v>891</v>
      </c>
      <c r="M4882" s="33" t="s">
        <v>363</v>
      </c>
      <c r="N4882" s="33" t="s">
        <v>1193</v>
      </c>
      <c r="O4882" s="33" t="s">
        <v>372</v>
      </c>
      <c r="P4882" s="33" t="s">
        <v>30089</v>
      </c>
      <c r="Q4882" s="40" t="s">
        <v>18895</v>
      </c>
      <c r="R4882" s="33" t="s">
        <v>23</v>
      </c>
      <c r="S4882" s="33" t="s">
        <v>12</v>
      </c>
      <c r="T4882" s="54" t="s">
        <v>29705</v>
      </c>
      <c r="Z4882" s="33" t="s">
        <v>42966</v>
      </c>
      <c r="AA4882" s="33">
        <v>2787</v>
      </c>
    </row>
    <row r="4883" spans="1:27" ht="12" customHeight="1" x14ac:dyDescent="0.15">
      <c r="A4883" s="33" t="s">
        <v>909</v>
      </c>
      <c r="B4883" s="33">
        <v>34</v>
      </c>
      <c r="C4883" s="33" t="s">
        <v>14</v>
      </c>
      <c r="D4883" s="33" t="s">
        <v>42</v>
      </c>
      <c r="E4883" s="33" t="s">
        <v>18403</v>
      </c>
      <c r="F4883" s="67">
        <v>42214</v>
      </c>
      <c r="G4883" s="33" t="s">
        <v>910</v>
      </c>
      <c r="H4883" s="33" t="s">
        <v>911</v>
      </c>
      <c r="I4883" s="33" t="s">
        <v>178</v>
      </c>
      <c r="J4883" s="33">
        <v>88005</v>
      </c>
      <c r="K4883" s="33" t="s">
        <v>912</v>
      </c>
      <c r="L4883" s="33" t="s">
        <v>913</v>
      </c>
      <c r="M4883" s="33" t="s">
        <v>21</v>
      </c>
      <c r="N4883" s="33" t="s">
        <v>914</v>
      </c>
      <c r="O4883" s="33" t="s">
        <v>372</v>
      </c>
      <c r="P4883" s="33" t="s">
        <v>30089</v>
      </c>
      <c r="Q4883" s="40" t="s">
        <v>18894</v>
      </c>
      <c r="R4883" s="33" t="s">
        <v>94</v>
      </c>
      <c r="S4883" s="33" t="s">
        <v>22</v>
      </c>
      <c r="T4883" s="33" t="s">
        <v>26781</v>
      </c>
      <c r="U4883" s="33" t="s">
        <v>26575</v>
      </c>
      <c r="V4883" s="33" t="s">
        <v>26574</v>
      </c>
      <c r="W4883" s="33" t="s">
        <v>94</v>
      </c>
      <c r="X4883" s="33">
        <v>686</v>
      </c>
      <c r="Z4883" s="33" t="s">
        <v>42966</v>
      </c>
      <c r="AA4883" s="33">
        <v>2781</v>
      </c>
    </row>
    <row r="4884" spans="1:27" ht="12" customHeight="1" x14ac:dyDescent="0.15">
      <c r="A4884" s="33" t="s">
        <v>899</v>
      </c>
      <c r="B4884" s="33">
        <v>37</v>
      </c>
      <c r="C4884" s="33" t="s">
        <v>14</v>
      </c>
      <c r="D4884" s="33" t="s">
        <v>79</v>
      </c>
      <c r="E4884" s="33" t="s">
        <v>900</v>
      </c>
      <c r="F4884" s="67">
        <v>42214</v>
      </c>
      <c r="G4884" s="33" t="s">
        <v>901</v>
      </c>
      <c r="H4884" s="33" t="s">
        <v>172</v>
      </c>
      <c r="I4884" s="33" t="s">
        <v>19</v>
      </c>
      <c r="J4884" s="33">
        <v>70805</v>
      </c>
      <c r="K4884" s="33" t="s">
        <v>902</v>
      </c>
      <c r="L4884" s="33" t="s">
        <v>5161</v>
      </c>
      <c r="M4884" s="33" t="s">
        <v>21</v>
      </c>
      <c r="N4884" s="33" t="s">
        <v>17589</v>
      </c>
      <c r="O4884" s="33" t="s">
        <v>372</v>
      </c>
      <c r="P4884" s="33" t="s">
        <v>30089</v>
      </c>
      <c r="Q4884" s="40" t="s">
        <v>18893</v>
      </c>
      <c r="R4884" s="33" t="s">
        <v>23</v>
      </c>
      <c r="S4884" s="33" t="s">
        <v>22</v>
      </c>
      <c r="T4884" s="1" t="s">
        <v>26781</v>
      </c>
      <c r="Z4884" s="33" t="s">
        <v>42966</v>
      </c>
      <c r="AA4884" s="33">
        <v>2780</v>
      </c>
    </row>
    <row r="4885" spans="1:27" ht="12" customHeight="1" x14ac:dyDescent="0.15">
      <c r="A4885" s="33" t="s">
        <v>928</v>
      </c>
      <c r="B4885" s="33">
        <v>53</v>
      </c>
      <c r="C4885" s="33" t="s">
        <v>14</v>
      </c>
      <c r="D4885" s="33" t="s">
        <v>31</v>
      </c>
      <c r="E4885" s="33" t="str">
        <f>HYPERLINK("http://bloximages.chicago2.vip.townnews.com/news.hjnews.com/content/tncms/assets/v3/editorial/c/a4/ca4f81e2-cf7d-5033-933f-f993eb1d4c29/55ba527445ee0.image.jpg","http://bloximages.chicago2.vip.townnews.com/news.hjnews.com/content/tncms/assets/v3/editorial/c/a4/ca4f81e2-cf7d-5033-933f-f993eb1d4c29/55ba527445ee0.image.jpg")</f>
        <v>http://bloximages.chicago2.vip.townnews.com/news.hjnews.com/content/tncms/assets/v3/editorial/c/a4/ca4f81e2-cf7d-5033-933f-f993eb1d4c29/55ba527445ee0.image.jpg</v>
      </c>
      <c r="F4885" s="67">
        <v>42214</v>
      </c>
      <c r="G4885" s="33" t="s">
        <v>929</v>
      </c>
      <c r="H4885" s="33" t="s">
        <v>930</v>
      </c>
      <c r="I4885" s="33" t="s">
        <v>221</v>
      </c>
      <c r="J4885" s="33">
        <v>84321</v>
      </c>
      <c r="K4885" s="33" t="s">
        <v>931</v>
      </c>
      <c r="L4885" s="33" t="s">
        <v>932</v>
      </c>
      <c r="M4885" s="33" t="s">
        <v>21</v>
      </c>
      <c r="N4885" s="33" t="s">
        <v>933</v>
      </c>
      <c r="O4885" s="33" t="s">
        <v>372</v>
      </c>
      <c r="P4885" s="33" t="s">
        <v>30089</v>
      </c>
      <c r="Q4885" s="40" t="s">
        <v>18889</v>
      </c>
      <c r="R4885" s="33" t="s">
        <v>512</v>
      </c>
      <c r="S4885" s="33" t="s">
        <v>22</v>
      </c>
      <c r="T4885" s="33" t="s">
        <v>26781</v>
      </c>
      <c r="U4885" s="33" t="s">
        <v>26572</v>
      </c>
      <c r="V4885" s="33" t="s">
        <v>26573</v>
      </c>
      <c r="W4885" s="33" t="s">
        <v>94</v>
      </c>
      <c r="X4885" s="33">
        <v>687</v>
      </c>
      <c r="Z4885" s="33" t="s">
        <v>42968</v>
      </c>
      <c r="AA4885" s="33">
        <v>2782</v>
      </c>
    </row>
    <row r="4886" spans="1:27" ht="12" customHeight="1" x14ac:dyDescent="0.15">
      <c r="A4886" s="33" t="s">
        <v>915</v>
      </c>
      <c r="B4886" s="33">
        <v>41</v>
      </c>
      <c r="C4886" s="33" t="s">
        <v>14</v>
      </c>
      <c r="D4886" s="33" t="s">
        <v>31</v>
      </c>
      <c r="F4886" s="67">
        <v>42213</v>
      </c>
      <c r="G4886" s="33" t="s">
        <v>916</v>
      </c>
      <c r="H4886" s="33" t="s">
        <v>917</v>
      </c>
      <c r="I4886" s="33" t="s">
        <v>918</v>
      </c>
      <c r="J4886" s="33">
        <v>72442</v>
      </c>
      <c r="K4886" s="33" t="s">
        <v>919</v>
      </c>
      <c r="L4886" s="33" t="s">
        <v>920</v>
      </c>
      <c r="M4886" s="33" t="s">
        <v>21</v>
      </c>
      <c r="N4886" s="33" t="s">
        <v>921</v>
      </c>
      <c r="O4886" s="33" t="s">
        <v>372</v>
      </c>
      <c r="P4886" s="33" t="s">
        <v>30089</v>
      </c>
      <c r="Q4886" s="40" t="s">
        <v>18890</v>
      </c>
      <c r="R4886" s="33" t="s">
        <v>23</v>
      </c>
      <c r="S4886" s="33" t="s">
        <v>22</v>
      </c>
      <c r="T4886" s="33" t="s">
        <v>26774</v>
      </c>
      <c r="U4886" s="33" t="s">
        <v>26570</v>
      </c>
      <c r="V4886" s="33" t="s">
        <v>26573</v>
      </c>
      <c r="W4886" s="33" t="s">
        <v>94</v>
      </c>
      <c r="X4886" s="33">
        <v>684</v>
      </c>
      <c r="Z4886" s="33" t="s">
        <v>42967</v>
      </c>
      <c r="AA4886" s="33">
        <v>2778</v>
      </c>
    </row>
    <row r="4887" spans="1:27" ht="12" customHeight="1" x14ac:dyDescent="0.15">
      <c r="A4887" s="33" t="s">
        <v>922</v>
      </c>
      <c r="B4887" s="33">
        <v>23</v>
      </c>
      <c r="C4887" s="33" t="s">
        <v>14</v>
      </c>
      <c r="D4887" s="33" t="s">
        <v>31</v>
      </c>
      <c r="F4887" s="67">
        <v>42213</v>
      </c>
      <c r="G4887" s="33" t="s">
        <v>923</v>
      </c>
      <c r="H4887" s="33" t="s">
        <v>924</v>
      </c>
      <c r="I4887" s="33" t="s">
        <v>298</v>
      </c>
      <c r="J4887" s="33">
        <v>37311</v>
      </c>
      <c r="K4887" s="33" t="s">
        <v>925</v>
      </c>
      <c r="L4887" s="33" t="s">
        <v>926</v>
      </c>
      <c r="M4887" s="33" t="s">
        <v>21</v>
      </c>
      <c r="N4887" s="33" t="s">
        <v>927</v>
      </c>
      <c r="P4887" s="33" t="s">
        <v>30089</v>
      </c>
      <c r="Q4887" s="40" t="s">
        <v>18891</v>
      </c>
      <c r="R4887" s="33" t="s">
        <v>94</v>
      </c>
      <c r="S4887" s="33" t="s">
        <v>12</v>
      </c>
      <c r="T4887" s="54" t="s">
        <v>29705</v>
      </c>
      <c r="Z4887" s="33" t="s">
        <v>42968</v>
      </c>
      <c r="AA4887" s="33">
        <v>2779</v>
      </c>
    </row>
    <row r="4888" spans="1:27" ht="12" customHeight="1" x14ac:dyDescent="0.15">
      <c r="A4888" s="33" t="s">
        <v>939</v>
      </c>
      <c r="B4888" s="33">
        <v>45</v>
      </c>
      <c r="C4888" s="33" t="s">
        <v>14</v>
      </c>
      <c r="D4888" s="33" t="s">
        <v>31</v>
      </c>
      <c r="E4888" s="33" t="str">
        <f>HYPERLINK("http://bayoutimelive.com/wp-content/uploads/2013/04/Jean-P.-Falgout.jpg","http://bayoutimelive.com/wp-content/uploads/2013/04/Jean-P.-Falgout.jpg")</f>
        <v>http://bayoutimelive.com/wp-content/uploads/2013/04/Jean-P.-Falgout.jpg</v>
      </c>
      <c r="F4888" s="67">
        <v>42212</v>
      </c>
      <c r="G4888" s="33" t="s">
        <v>940</v>
      </c>
      <c r="H4888" s="33" t="s">
        <v>941</v>
      </c>
      <c r="I4888" s="33" t="s">
        <v>19</v>
      </c>
      <c r="J4888" s="33">
        <v>70363</v>
      </c>
      <c r="K4888" s="33" t="s">
        <v>942</v>
      </c>
      <c r="L4888" s="33" t="s">
        <v>943</v>
      </c>
      <c r="M4888" s="33" t="s">
        <v>21</v>
      </c>
      <c r="N4888" s="33" t="s">
        <v>944</v>
      </c>
      <c r="O4888" s="33" t="s">
        <v>372</v>
      </c>
      <c r="P4888" s="33" t="s">
        <v>30089</v>
      </c>
      <c r="Q4888" s="40" t="str">
        <f>HYPERLINK("http://www.houmatoday.com/article/20150728/ARTICLES/150729727/1319?p=1&amp;tc=pg","http://www.houmatoday.com/article/20150728/ARTICLES/150729727/1319?p=1&amp;tc=pg")</f>
        <v>http://www.houmatoday.com/article/20150728/ARTICLES/150729727/1319?p=1&amp;tc=pg</v>
      </c>
      <c r="R4888" s="33" t="s">
        <v>512</v>
      </c>
      <c r="S4888" s="33" t="s">
        <v>12</v>
      </c>
      <c r="T4888" s="33" t="s">
        <v>29425</v>
      </c>
      <c r="U4888" s="33" t="s">
        <v>26572</v>
      </c>
      <c r="V4888" s="33" t="s">
        <v>26571</v>
      </c>
      <c r="W4888" s="33" t="s">
        <v>94</v>
      </c>
      <c r="X4888" s="33">
        <v>682</v>
      </c>
      <c r="Z4888" s="33" t="s">
        <v>42968</v>
      </c>
      <c r="AA4888" s="33">
        <v>2777</v>
      </c>
    </row>
    <row r="4889" spans="1:27" ht="12" customHeight="1" x14ac:dyDescent="0.15">
      <c r="A4889" s="33" t="s">
        <v>934</v>
      </c>
      <c r="B4889" s="33">
        <v>22</v>
      </c>
      <c r="C4889" s="33" t="s">
        <v>14</v>
      </c>
      <c r="D4889" s="33" t="s">
        <v>31</v>
      </c>
      <c r="E4889" s="33" t="str">
        <f>HYPERLINK("http://images1.westword.com/imager/u/745xauto/6970529/sam.forgy.portrait.800.cropped.jpg","http://images1.westword.com/imager/u/745xauto/6970529/sam.forgy.portrait.800.cropped.jpg")</f>
        <v>http://images1.westword.com/imager/u/745xauto/6970529/sam.forgy.portrait.800.cropped.jpg</v>
      </c>
      <c r="F4889" s="67">
        <v>42212</v>
      </c>
      <c r="G4889" s="33" t="s">
        <v>935</v>
      </c>
      <c r="H4889" s="33" t="s">
        <v>936</v>
      </c>
      <c r="I4889" s="33" t="s">
        <v>192</v>
      </c>
      <c r="J4889" s="33">
        <v>80302</v>
      </c>
      <c r="K4889" s="33" t="s">
        <v>936</v>
      </c>
      <c r="L4889" s="33" t="s">
        <v>937</v>
      </c>
      <c r="M4889" s="33" t="s">
        <v>4966</v>
      </c>
      <c r="N4889" s="33" t="s">
        <v>938</v>
      </c>
      <c r="O4889" s="33" t="s">
        <v>372</v>
      </c>
      <c r="P4889" s="33" t="s">
        <v>30089</v>
      </c>
      <c r="Q4889" s="40" t="str">
        <f>HYPERLINK("http://www.thedenverchannel.com/news/local-news/naked-man-shot-and-killed-by-boulder-police-was-reportedly-high-on-lsd","http://www.thedenverchannel.com/news/local-news/naked-man-shot-and-killed-by-boulder-police-was-reportedly-high-on-lsd")</f>
        <v>http://www.thedenverchannel.com/news/local-news/naked-man-shot-and-killed-by-boulder-police-was-reportedly-high-on-lsd</v>
      </c>
      <c r="R4889" s="33" t="s">
        <v>904</v>
      </c>
      <c r="S4889" s="33" t="s">
        <v>22</v>
      </c>
      <c r="T4889" s="33" t="s">
        <v>26774</v>
      </c>
      <c r="U4889" s="33" t="s">
        <v>26570</v>
      </c>
      <c r="V4889" s="33" t="s">
        <v>26573</v>
      </c>
      <c r="W4889" s="33" t="s">
        <v>94</v>
      </c>
      <c r="X4889" s="33">
        <v>683</v>
      </c>
      <c r="Z4889" s="33" t="s">
        <v>42968</v>
      </c>
      <c r="AA4889" s="33">
        <v>2776</v>
      </c>
    </row>
    <row r="4890" spans="1:27" ht="12" customHeight="1" x14ac:dyDescent="0.15">
      <c r="A4890" s="33" t="s">
        <v>945</v>
      </c>
      <c r="B4890" s="33">
        <v>56</v>
      </c>
      <c r="C4890" s="33" t="s">
        <v>14</v>
      </c>
      <c r="D4890" s="33" t="s">
        <v>31</v>
      </c>
      <c r="F4890" s="67">
        <v>42212</v>
      </c>
      <c r="G4890" s="33" t="s">
        <v>946</v>
      </c>
      <c r="H4890" s="33" t="s">
        <v>45</v>
      </c>
      <c r="I4890" s="33" t="s">
        <v>26</v>
      </c>
      <c r="J4890" s="33">
        <v>29212</v>
      </c>
      <c r="K4890" s="33" t="s">
        <v>947</v>
      </c>
      <c r="L4890" s="33" t="s">
        <v>948</v>
      </c>
      <c r="M4890" s="33" t="s">
        <v>21</v>
      </c>
      <c r="N4890" s="33" t="s">
        <v>949</v>
      </c>
      <c r="O4890" s="33" t="s">
        <v>950</v>
      </c>
      <c r="P4890" s="33" t="s">
        <v>30089</v>
      </c>
      <c r="Q4890" s="40" t="str">
        <f>HYPERLINK("http://www.wistv.com/story/29644189/sled-investigating-deputy-involved-shooting-in-lexington-county","http://www.wistv.com/story/29644189/sled-investigating-deputy-involved-shooting-in-lexington-county")</f>
        <v>http://www.wistv.com/story/29644189/sled-investigating-deputy-involved-shooting-in-lexington-county</v>
      </c>
      <c r="R4890" s="33" t="s">
        <v>94</v>
      </c>
      <c r="S4890" s="33" t="s">
        <v>22</v>
      </c>
      <c r="T4890" s="33" t="s">
        <v>26774</v>
      </c>
      <c r="U4890" s="33" t="s">
        <v>26572</v>
      </c>
      <c r="V4890" s="33" t="s">
        <v>26573</v>
      </c>
      <c r="W4890" s="33" t="s">
        <v>94</v>
      </c>
      <c r="X4890" s="33">
        <v>681</v>
      </c>
      <c r="Z4890" s="33" t="s">
        <v>42968</v>
      </c>
      <c r="AA4890" s="33">
        <v>2775</v>
      </c>
    </row>
    <row r="4891" spans="1:27" ht="12" customHeight="1" x14ac:dyDescent="0.15">
      <c r="A4891" s="33" t="s">
        <v>956</v>
      </c>
      <c r="B4891" s="33">
        <v>19</v>
      </c>
      <c r="C4891" s="33" t="s">
        <v>14</v>
      </c>
      <c r="D4891" s="33" t="s">
        <v>31</v>
      </c>
      <c r="E4891" s="33" t="str">
        <f>HYPERLINK("http://www.independent.co.uk/incoming/article10446695.ece/alternates/w620/Zach-hammond.jpg","http://www.independent.co.uk/incoming/article10446695.ece/alternates/w620/Zach-hammond.jpg")</f>
        <v>http://www.independent.co.uk/incoming/article10446695.ece/alternates/w620/Zach-hammond.jpg</v>
      </c>
      <c r="F4891" s="67">
        <v>42211</v>
      </c>
      <c r="G4891" s="33" t="s">
        <v>957</v>
      </c>
      <c r="H4891" s="33" t="s">
        <v>958</v>
      </c>
      <c r="I4891" s="33" t="s">
        <v>26</v>
      </c>
      <c r="J4891" s="33">
        <v>29678</v>
      </c>
      <c r="K4891" s="33" t="s">
        <v>959</v>
      </c>
      <c r="L4891" s="33" t="s">
        <v>960</v>
      </c>
      <c r="M4891" s="33" t="s">
        <v>21</v>
      </c>
      <c r="N4891" s="33" t="s">
        <v>19208</v>
      </c>
      <c r="O4891" s="33" t="s">
        <v>372</v>
      </c>
      <c r="P4891" s="33" t="s">
        <v>30089</v>
      </c>
      <c r="Q4891" s="40" t="str">
        <f>HYPERLINK("http://www.independentmail.com/news/man-killed-by-seneca-police-officer","http://www.independentmail.com/news/man-killed-by-seneca-police-officer")</f>
        <v>http://www.independentmail.com/news/man-killed-by-seneca-police-officer</v>
      </c>
      <c r="R4891" s="33" t="s">
        <v>94</v>
      </c>
      <c r="S4891" s="33" t="s">
        <v>351</v>
      </c>
      <c r="T4891" s="33" t="s">
        <v>26867</v>
      </c>
      <c r="U4891" s="33" t="s">
        <v>26570</v>
      </c>
      <c r="V4891" s="33" t="s">
        <v>19228</v>
      </c>
      <c r="W4891" s="33" t="s">
        <v>94</v>
      </c>
      <c r="X4891" s="33">
        <v>680</v>
      </c>
      <c r="Z4891" s="33" t="s">
        <v>42968</v>
      </c>
      <c r="AA4891" s="33">
        <v>2774</v>
      </c>
    </row>
    <row r="4892" spans="1:27" ht="12" customHeight="1" x14ac:dyDescent="0.15">
      <c r="A4892" s="33" t="s">
        <v>951</v>
      </c>
      <c r="B4892" s="33">
        <v>33</v>
      </c>
      <c r="C4892" s="33" t="s">
        <v>14</v>
      </c>
      <c r="D4892" s="33" t="s">
        <v>79</v>
      </c>
      <c r="E4892" s="33" t="s">
        <v>952</v>
      </c>
      <c r="F4892" s="67">
        <v>42211</v>
      </c>
      <c r="G4892" s="33" t="s">
        <v>953</v>
      </c>
      <c r="H4892" s="33" t="s">
        <v>430</v>
      </c>
      <c r="I4892" s="33" t="s">
        <v>19</v>
      </c>
      <c r="J4892" s="33">
        <v>71109</v>
      </c>
      <c r="K4892" s="33" t="s">
        <v>954</v>
      </c>
      <c r="L4892" s="33" t="s">
        <v>431</v>
      </c>
      <c r="M4892" s="33" t="s">
        <v>21</v>
      </c>
      <c r="N4892" s="33" t="s">
        <v>955</v>
      </c>
      <c r="O4892" s="33" t="s">
        <v>372</v>
      </c>
      <c r="P4892" s="33" t="s">
        <v>30089</v>
      </c>
      <c r="Q4892" s="40" t="str">
        <f>HYPERLINK("http://www.ksla.com/story/29634844/spd-officers-involved-in-shooting-while-responding-to-hostage-situation","http://www.ksla.com/story/29634844/spd-officers-involved-in-shooting-while-responding-to-hostage-situation")</f>
        <v>http://www.ksla.com/story/29634844/spd-officers-involved-in-shooting-while-responding-to-hostage-situation</v>
      </c>
      <c r="R4892" s="33" t="s">
        <v>94</v>
      </c>
      <c r="S4892" s="33" t="s">
        <v>22</v>
      </c>
      <c r="T4892" s="33" t="s">
        <v>26781</v>
      </c>
      <c r="U4892" s="33" t="s">
        <v>26572</v>
      </c>
      <c r="V4892" s="33" t="s">
        <v>26573</v>
      </c>
      <c r="W4892" s="33" t="s">
        <v>94</v>
      </c>
      <c r="X4892" s="33">
        <v>679</v>
      </c>
      <c r="Z4892" s="33" t="s">
        <v>42966</v>
      </c>
      <c r="AA4892" s="33">
        <v>2773</v>
      </c>
    </row>
    <row r="4893" spans="1:27" ht="12" customHeight="1" x14ac:dyDescent="0.15">
      <c r="A4893" s="33" t="s">
        <v>961</v>
      </c>
      <c r="B4893" s="33">
        <v>59</v>
      </c>
      <c r="C4893" s="33" t="s">
        <v>14</v>
      </c>
      <c r="D4893" s="33" t="s">
        <v>79</v>
      </c>
      <c r="F4893" s="67">
        <v>42210</v>
      </c>
      <c r="G4893" s="33" t="s">
        <v>962</v>
      </c>
      <c r="H4893" s="33" t="s">
        <v>963</v>
      </c>
      <c r="I4893" s="33" t="s">
        <v>56</v>
      </c>
      <c r="J4893" s="33">
        <v>32667</v>
      </c>
      <c r="K4893" s="33" t="s">
        <v>964</v>
      </c>
      <c r="L4893" s="33" t="s">
        <v>965</v>
      </c>
      <c r="M4893" s="33" t="s">
        <v>21</v>
      </c>
      <c r="N4893" s="33" t="s">
        <v>966</v>
      </c>
      <c r="O4893" s="33" t="s">
        <v>372</v>
      </c>
      <c r="P4893" s="33" t="s">
        <v>30089</v>
      </c>
      <c r="Q4893" s="40" t="str">
        <f>HYPERLINK("http://www.miamiherald.com/news/local/crime/article28915918.html","http://www.miamiherald.com/news/local/crime/article28915918.html")</f>
        <v>http://www.miamiherald.com/news/local/crime/article28915918.html</v>
      </c>
      <c r="R4893" s="33" t="s">
        <v>94</v>
      </c>
      <c r="S4893" s="33" t="s">
        <v>22</v>
      </c>
      <c r="T4893" s="33" t="s">
        <v>26781</v>
      </c>
      <c r="U4893" s="33" t="s">
        <v>26572</v>
      </c>
      <c r="V4893" s="33" t="s">
        <v>26573</v>
      </c>
      <c r="W4893" s="33" t="s">
        <v>94</v>
      </c>
      <c r="X4893" s="33">
        <v>685</v>
      </c>
      <c r="Z4893" s="33" t="s">
        <v>42967</v>
      </c>
      <c r="AA4893" s="33">
        <v>2771</v>
      </c>
    </row>
    <row r="4894" spans="1:27" ht="12" customHeight="1" x14ac:dyDescent="0.15">
      <c r="A4894" s="33" t="s">
        <v>977</v>
      </c>
      <c r="B4894" s="33">
        <v>60</v>
      </c>
      <c r="C4894" s="33" t="s">
        <v>14</v>
      </c>
      <c r="D4894" s="33" t="s">
        <v>31</v>
      </c>
      <c r="F4894" s="67">
        <v>42210</v>
      </c>
      <c r="G4894" s="33" t="s">
        <v>978</v>
      </c>
      <c r="H4894" s="33" t="s">
        <v>979</v>
      </c>
      <c r="I4894" s="33" t="s">
        <v>19</v>
      </c>
      <c r="J4894" s="33">
        <v>70117</v>
      </c>
      <c r="K4894" s="33" t="s">
        <v>2393</v>
      </c>
      <c r="L4894" s="33" t="s">
        <v>980</v>
      </c>
      <c r="M4894" s="33" t="s">
        <v>21</v>
      </c>
      <c r="N4894" s="33" t="s">
        <v>981</v>
      </c>
      <c r="O4894" s="33" t="s">
        <v>372</v>
      </c>
      <c r="P4894" s="33" t="s">
        <v>30089</v>
      </c>
      <c r="Q4894" s="40" t="str">
        <f>HYPERLINK("http://www.nola.com/crime/index.ssf/2015/07/breaking_new_orleans_police_sh.html#incart_river","http://www.nola.com/crime/index.ssf/2015/07/breaking_new_orleans_police_sh.html#incart_river")</f>
        <v>http://www.nola.com/crime/index.ssf/2015/07/breaking_new_orleans_police_sh.html#incart_river</v>
      </c>
      <c r="R4894" s="33" t="s">
        <v>512</v>
      </c>
      <c r="S4894" s="33" t="s">
        <v>29</v>
      </c>
      <c r="T4894" s="33" t="s">
        <v>26591</v>
      </c>
      <c r="U4894" s="33" t="s">
        <v>26572</v>
      </c>
      <c r="V4894" s="33" t="s">
        <v>26571</v>
      </c>
      <c r="W4894" s="33" t="s">
        <v>94</v>
      </c>
      <c r="X4894" s="33">
        <v>676</v>
      </c>
      <c r="Z4894" s="33" t="s">
        <v>42966</v>
      </c>
      <c r="AA4894" s="33">
        <v>2769</v>
      </c>
    </row>
    <row r="4895" spans="1:27" ht="12" customHeight="1" x14ac:dyDescent="0.15">
      <c r="A4895" s="33" t="s">
        <v>967</v>
      </c>
      <c r="B4895" s="33">
        <v>36</v>
      </c>
      <c r="C4895" s="33" t="s">
        <v>14</v>
      </c>
      <c r="D4895" s="33" t="s">
        <v>79</v>
      </c>
      <c r="E4895" s="33" t="s">
        <v>968</v>
      </c>
      <c r="F4895" s="67">
        <v>42210</v>
      </c>
      <c r="G4895" s="33" t="s">
        <v>969</v>
      </c>
      <c r="H4895" s="33" t="s">
        <v>607</v>
      </c>
      <c r="I4895" s="33" t="s">
        <v>250</v>
      </c>
      <c r="J4895" s="33">
        <v>89104</v>
      </c>
      <c r="K4895" s="33" t="s">
        <v>527</v>
      </c>
      <c r="L4895" s="33" t="s">
        <v>528</v>
      </c>
      <c r="M4895" s="33" t="s">
        <v>21</v>
      </c>
      <c r="N4895" s="33" t="s">
        <v>970</v>
      </c>
      <c r="O4895" s="33" t="s">
        <v>372</v>
      </c>
      <c r="P4895" s="33" t="s">
        <v>30089</v>
      </c>
      <c r="Q4895" s="40" t="str">
        <f>HYPERLINK("http://www.reviewjournal.com/news/las-vegas/metro-officer-wounded-suspect-shot-death","http://www.reviewjournal.com/news/las-vegas/metro-officer-wounded-suspect-shot-death")</f>
        <v>http://www.reviewjournal.com/news/las-vegas/metro-officer-wounded-suspect-shot-death</v>
      </c>
      <c r="R4895" s="33" t="s">
        <v>94</v>
      </c>
      <c r="S4895" s="33" t="s">
        <v>12</v>
      </c>
      <c r="T4895" s="33" t="s">
        <v>29425</v>
      </c>
      <c r="U4895" s="33" t="s">
        <v>26572</v>
      </c>
      <c r="V4895" s="33" t="s">
        <v>26573</v>
      </c>
      <c r="W4895" s="33" t="s">
        <v>94</v>
      </c>
      <c r="X4895" s="33">
        <v>678</v>
      </c>
      <c r="Z4895" s="33" t="s">
        <v>42966</v>
      </c>
      <c r="AA4895" s="33">
        <v>2772</v>
      </c>
    </row>
    <row r="4896" spans="1:27" ht="12" customHeight="1" x14ac:dyDescent="0.15">
      <c r="A4896" s="33" t="s">
        <v>971</v>
      </c>
      <c r="B4896" s="33">
        <v>50</v>
      </c>
      <c r="C4896" s="33" t="s">
        <v>14</v>
      </c>
      <c r="D4896" s="33" t="s">
        <v>31</v>
      </c>
      <c r="F4896" s="67">
        <v>42210</v>
      </c>
      <c r="G4896" s="33" t="s">
        <v>972</v>
      </c>
      <c r="H4896" s="33" t="s">
        <v>973</v>
      </c>
      <c r="I4896" s="33" t="s">
        <v>160</v>
      </c>
      <c r="J4896" s="33">
        <v>39825</v>
      </c>
      <c r="K4896" s="33" t="s">
        <v>974</v>
      </c>
      <c r="L4896" s="33" t="s">
        <v>975</v>
      </c>
      <c r="M4896" s="33" t="s">
        <v>21</v>
      </c>
      <c r="N4896" s="33" t="s">
        <v>976</v>
      </c>
      <c r="O4896" s="33" t="s">
        <v>372</v>
      </c>
      <c r="P4896" s="33" t="s">
        <v>30089</v>
      </c>
      <c r="Q4896" s="40" t="str">
        <f>HYPERLINK("http://www.walb.com/story/29631891/1-dead-after-officer-involved-shooting-in-decatur-co","http://www.walb.com/story/29631891/1-dead-after-officer-involved-shooting-in-decatur-co")</f>
        <v>http://www.walb.com/story/29631891/1-dead-after-officer-involved-shooting-in-decatur-co</v>
      </c>
      <c r="R4896" s="33" t="s">
        <v>512</v>
      </c>
      <c r="S4896" s="33" t="s">
        <v>22</v>
      </c>
      <c r="T4896" s="33" t="s">
        <v>26781</v>
      </c>
      <c r="U4896" s="33" t="s">
        <v>26572</v>
      </c>
      <c r="V4896" s="33" t="s">
        <v>26573</v>
      </c>
      <c r="W4896" s="33" t="s">
        <v>94</v>
      </c>
      <c r="X4896" s="33">
        <v>677</v>
      </c>
      <c r="Z4896" s="33" t="s">
        <v>42967</v>
      </c>
      <c r="AA4896" s="33">
        <v>2770</v>
      </c>
    </row>
    <row r="4897" spans="1:27" ht="12" customHeight="1" x14ac:dyDescent="0.15">
      <c r="A4897" s="33" t="s">
        <v>988</v>
      </c>
      <c r="B4897" s="33">
        <v>44</v>
      </c>
      <c r="C4897" s="33" t="s">
        <v>14</v>
      </c>
      <c r="D4897" s="33" t="s">
        <v>31</v>
      </c>
      <c r="E4897" s="33" t="str">
        <f>HYPERLINK("http://cdn.abclocal.go.com/content/kabc/images/cms/889902_1280x720.jpg","http://cdn.abclocal.go.com/content/kabc/images/cms/889902_1280x720.jpg")</f>
        <v>http://cdn.abclocal.go.com/content/kabc/images/cms/889902_1280x720.jpg</v>
      </c>
      <c r="F4897" s="67">
        <v>42209</v>
      </c>
      <c r="G4897" s="33" t="s">
        <v>989</v>
      </c>
      <c r="H4897" s="33" t="s">
        <v>990</v>
      </c>
      <c r="I4897" s="33" t="s">
        <v>39</v>
      </c>
      <c r="J4897" s="33">
        <v>91604</v>
      </c>
      <c r="K4897" s="33" t="s">
        <v>92</v>
      </c>
      <c r="L4897" s="33" t="s">
        <v>93</v>
      </c>
      <c r="M4897" s="33" t="s">
        <v>21</v>
      </c>
      <c r="N4897" s="33" t="s">
        <v>991</v>
      </c>
      <c r="O4897" s="33" t="s">
        <v>372</v>
      </c>
      <c r="P4897" s="33" t="s">
        <v>30089</v>
      </c>
      <c r="Q4897" s="40" t="str">
        <f>HYPERLINK("http://www.latimes.com/local/lanow/la-me-ln-report-of-gunman-opening-fire-bring-lapd-swarm-in-studio-city-20150724-story.html","http://www.latimes.com/local/lanow/la-me-ln-report-of-gunman-opening-fire-bring-lapd-swarm-in-studio-city-20150724-story.html")</f>
        <v>http://www.latimes.com/local/lanow/la-me-ln-report-of-gunman-opening-fire-bring-lapd-swarm-in-studio-city-20150724-story.html</v>
      </c>
      <c r="R4897" s="33" t="s">
        <v>23</v>
      </c>
      <c r="S4897" s="33" t="s">
        <v>22</v>
      </c>
      <c r="T4897" s="33" t="s">
        <v>26781</v>
      </c>
      <c r="U4897" s="33" t="s">
        <v>26572</v>
      </c>
      <c r="V4897" s="33" t="s">
        <v>26573</v>
      </c>
      <c r="W4897" s="33" t="s">
        <v>94</v>
      </c>
      <c r="X4897" s="33">
        <v>674</v>
      </c>
      <c r="Z4897" s="33" t="s">
        <v>42966</v>
      </c>
      <c r="AA4897" s="33">
        <v>2767</v>
      </c>
    </row>
    <row r="4898" spans="1:27" ht="12" customHeight="1" x14ac:dyDescent="0.15">
      <c r="A4898" s="33" t="s">
        <v>982</v>
      </c>
      <c r="B4898" s="33">
        <v>30</v>
      </c>
      <c r="C4898" s="33" t="s">
        <v>14</v>
      </c>
      <c r="D4898" s="33" t="s">
        <v>31</v>
      </c>
      <c r="F4898" s="67">
        <v>42209</v>
      </c>
      <c r="G4898" s="33" t="s">
        <v>983</v>
      </c>
      <c r="H4898" s="33" t="s">
        <v>984</v>
      </c>
      <c r="I4898" s="33" t="s">
        <v>338</v>
      </c>
      <c r="J4898" s="33">
        <v>27043</v>
      </c>
      <c r="K4898" s="33" t="s">
        <v>985</v>
      </c>
      <c r="L4898" s="33" t="s">
        <v>986</v>
      </c>
      <c r="M4898" s="33" t="s">
        <v>4966</v>
      </c>
      <c r="N4898" s="33" t="s">
        <v>1196</v>
      </c>
      <c r="O4898" s="33" t="s">
        <v>950</v>
      </c>
      <c r="P4898" s="33" t="s">
        <v>30089</v>
      </c>
      <c r="Q4898" s="40" t="str">
        <f>HYPERLINK("http://www.wxii12.com/news/stabbing-standoff-reported-in-stokes-co/34345684","http://www.wxii12.com/news/stabbing-standoff-reported-in-stokes-co/34345684")</f>
        <v>http://www.wxii12.com/news/stabbing-standoff-reported-in-stokes-co/34345684</v>
      </c>
      <c r="R4898" s="33" t="s">
        <v>94</v>
      </c>
      <c r="S4898" s="33" t="s">
        <v>22</v>
      </c>
      <c r="T4898" s="33" t="s">
        <v>26774</v>
      </c>
      <c r="U4898" s="33" t="s">
        <v>26570</v>
      </c>
      <c r="V4898" s="33" t="s">
        <v>26573</v>
      </c>
      <c r="W4898" s="33" t="s">
        <v>94</v>
      </c>
      <c r="X4898" s="33">
        <v>675</v>
      </c>
      <c r="Z4898" s="33" t="s">
        <v>42967</v>
      </c>
      <c r="AA4898" s="33">
        <v>2768</v>
      </c>
    </row>
    <row r="4899" spans="1:27" ht="12" customHeight="1" x14ac:dyDescent="0.15">
      <c r="A4899" s="33" t="s">
        <v>1018</v>
      </c>
      <c r="B4899" s="33">
        <v>47</v>
      </c>
      <c r="C4899" s="33" t="s">
        <v>14</v>
      </c>
      <c r="D4899" s="33" t="s">
        <v>31</v>
      </c>
      <c r="F4899" s="67">
        <v>42208</v>
      </c>
      <c r="G4899" s="33" t="s">
        <v>1019</v>
      </c>
      <c r="H4899" s="33" t="s">
        <v>882</v>
      </c>
      <c r="I4899" s="33" t="s">
        <v>1020</v>
      </c>
      <c r="J4899" s="33">
        <v>82633</v>
      </c>
      <c r="K4899" s="33" t="s">
        <v>1021</v>
      </c>
      <c r="L4899" s="33" t="s">
        <v>1022</v>
      </c>
      <c r="M4899" s="33" t="s">
        <v>21</v>
      </c>
      <c r="N4899" s="33" t="s">
        <v>19112</v>
      </c>
      <c r="O4899" s="33" t="s">
        <v>372</v>
      </c>
      <c r="P4899" s="33" t="s">
        <v>30089</v>
      </c>
      <c r="Q4899" s="40" t="s">
        <v>18885</v>
      </c>
      <c r="R4899" s="33" t="s">
        <v>94</v>
      </c>
      <c r="S4899" s="33" t="s">
        <v>12</v>
      </c>
      <c r="T4899" s="33" t="s">
        <v>29425</v>
      </c>
      <c r="U4899" s="33" t="s">
        <v>26572</v>
      </c>
      <c r="V4899" s="33" t="s">
        <v>26573</v>
      </c>
      <c r="W4899" s="33" t="s">
        <v>94</v>
      </c>
      <c r="X4899" s="33">
        <v>672</v>
      </c>
      <c r="Z4899" s="33" t="s">
        <v>42967</v>
      </c>
      <c r="AA4899" s="33">
        <v>2765</v>
      </c>
    </row>
    <row r="4900" spans="1:27" ht="12" customHeight="1" x14ac:dyDescent="0.15">
      <c r="A4900" s="33" t="s">
        <v>1012</v>
      </c>
      <c r="B4900" s="33">
        <v>32</v>
      </c>
      <c r="C4900" s="33" t="s">
        <v>14</v>
      </c>
      <c r="D4900" s="33" t="s">
        <v>31</v>
      </c>
      <c r="F4900" s="67">
        <v>42208</v>
      </c>
      <c r="G4900" s="33" t="s">
        <v>1013</v>
      </c>
      <c r="H4900" s="33" t="s">
        <v>1014</v>
      </c>
      <c r="I4900" s="33" t="s">
        <v>26</v>
      </c>
      <c r="J4900" s="33">
        <v>29579</v>
      </c>
      <c r="K4900" s="33" t="s">
        <v>1015</v>
      </c>
      <c r="L4900" s="33" t="s">
        <v>1016</v>
      </c>
      <c r="M4900" s="33" t="s">
        <v>21</v>
      </c>
      <c r="N4900" s="33" t="s">
        <v>1017</v>
      </c>
      <c r="O4900" s="33" t="s">
        <v>372</v>
      </c>
      <c r="P4900" s="33" t="s">
        <v>30089</v>
      </c>
      <c r="Q4900" s="40" t="s">
        <v>18888</v>
      </c>
      <c r="R4900" s="33" t="s">
        <v>94</v>
      </c>
      <c r="S4900" s="33" t="s">
        <v>22</v>
      </c>
      <c r="T4900" s="33" t="s">
        <v>26781</v>
      </c>
      <c r="U4900" s="33" t="s">
        <v>26572</v>
      </c>
      <c r="V4900" s="33" t="s">
        <v>26573</v>
      </c>
      <c r="W4900" s="33" t="s">
        <v>94</v>
      </c>
      <c r="X4900" s="33">
        <v>671</v>
      </c>
      <c r="Z4900" s="33" t="s">
        <v>42968</v>
      </c>
      <c r="AA4900" s="33">
        <v>2763</v>
      </c>
    </row>
    <row r="4901" spans="1:27" ht="12" customHeight="1" x14ac:dyDescent="0.15">
      <c r="A4901" s="33" t="s">
        <v>1000</v>
      </c>
      <c r="B4901" s="33">
        <v>44</v>
      </c>
      <c r="C4901" s="33" t="s">
        <v>103</v>
      </c>
      <c r="D4901" s="33" t="s">
        <v>31</v>
      </c>
      <c r="F4901" s="67">
        <v>42208</v>
      </c>
      <c r="G4901" s="33" t="s">
        <v>1001</v>
      </c>
      <c r="H4901" s="33" t="s">
        <v>1002</v>
      </c>
      <c r="I4901" s="33" t="s">
        <v>39</v>
      </c>
      <c r="J4901" s="33">
        <v>95722</v>
      </c>
      <c r="K4901" s="33" t="s">
        <v>1003</v>
      </c>
      <c r="L4901" s="33" t="s">
        <v>1004</v>
      </c>
      <c r="M4901" s="33" t="s">
        <v>21</v>
      </c>
      <c r="N4901" s="33" t="s">
        <v>1005</v>
      </c>
      <c r="O4901" s="33" t="s">
        <v>372</v>
      </c>
      <c r="P4901" s="33" t="s">
        <v>30089</v>
      </c>
      <c r="Q4901" s="40" t="s">
        <v>18886</v>
      </c>
      <c r="R4901" s="33" t="s">
        <v>512</v>
      </c>
      <c r="S4901" s="33" t="s">
        <v>22</v>
      </c>
      <c r="T4901" s="33" t="s">
        <v>26781</v>
      </c>
      <c r="U4901" s="33" t="s">
        <v>26572</v>
      </c>
      <c r="V4901" s="33" t="s">
        <v>26573</v>
      </c>
      <c r="W4901" s="33" t="s">
        <v>94</v>
      </c>
      <c r="X4901" s="33">
        <v>673</v>
      </c>
      <c r="Z4901" s="33" t="s">
        <v>42968</v>
      </c>
      <c r="AA4901" s="33">
        <v>2764</v>
      </c>
    </row>
    <row r="4902" spans="1:27" ht="12" customHeight="1" x14ac:dyDescent="0.15">
      <c r="A4902" s="33" t="s">
        <v>1006</v>
      </c>
      <c r="B4902" s="33">
        <v>31</v>
      </c>
      <c r="C4902" s="33" t="s">
        <v>14</v>
      </c>
      <c r="D4902" s="33" t="s">
        <v>31</v>
      </c>
      <c r="F4902" s="67">
        <v>42208</v>
      </c>
      <c r="G4902" s="33" t="s">
        <v>1007</v>
      </c>
      <c r="H4902" s="33" t="s">
        <v>1008</v>
      </c>
      <c r="I4902" s="33" t="s">
        <v>122</v>
      </c>
      <c r="J4902" s="33">
        <v>55447</v>
      </c>
      <c r="K4902" s="33" t="s">
        <v>1009</v>
      </c>
      <c r="L4902" s="33" t="s">
        <v>1010</v>
      </c>
      <c r="M4902" s="33" t="s">
        <v>4966</v>
      </c>
      <c r="N4902" s="33" t="s">
        <v>1042</v>
      </c>
      <c r="O4902" s="33" t="s">
        <v>372</v>
      </c>
      <c r="P4902" s="33" t="s">
        <v>30089</v>
      </c>
      <c r="Q4902" s="40" t="str">
        <f>HYPERLINK("http://www.startribune.com/officer-involved-shooting-at-plymouth-arby-s-leaves-one-man-dead/318383701/","http://www.startribune.com/officer-involved-shooting-at-plymouth-arby-s-leaves-one-man-dead/318383701/")</f>
        <v>http://www.startribune.com/officer-involved-shooting-at-plymouth-arby-s-leaves-one-man-dead/318383701/</v>
      </c>
      <c r="R4902" s="33" t="s">
        <v>512</v>
      </c>
      <c r="S4902" s="33" t="s">
        <v>12</v>
      </c>
      <c r="T4902" s="33" t="s">
        <v>29705</v>
      </c>
      <c r="U4902" s="33" t="s">
        <v>26572</v>
      </c>
      <c r="V4902" s="33" t="s">
        <v>26573</v>
      </c>
      <c r="W4902" s="33" t="s">
        <v>94</v>
      </c>
      <c r="X4902" s="33">
        <v>670</v>
      </c>
      <c r="Z4902" s="33" t="s">
        <v>42968</v>
      </c>
      <c r="AA4902" s="33">
        <v>2766</v>
      </c>
    </row>
    <row r="4903" spans="1:27" ht="12" customHeight="1" x14ac:dyDescent="0.15">
      <c r="A4903" s="33" t="s">
        <v>992</v>
      </c>
      <c r="B4903" s="33">
        <v>34</v>
      </c>
      <c r="C4903" s="33" t="s">
        <v>14</v>
      </c>
      <c r="D4903" s="33" t="s">
        <v>79</v>
      </c>
      <c r="F4903" s="67">
        <v>42208</v>
      </c>
      <c r="G4903" s="33" t="s">
        <v>993</v>
      </c>
      <c r="H4903" s="33" t="s">
        <v>994</v>
      </c>
      <c r="I4903" s="33" t="s">
        <v>63</v>
      </c>
      <c r="J4903" s="33">
        <v>45405</v>
      </c>
      <c r="K4903" s="33" t="s">
        <v>995</v>
      </c>
      <c r="L4903" s="33" t="s">
        <v>36758</v>
      </c>
      <c r="M4903" s="33" t="s">
        <v>21</v>
      </c>
      <c r="N4903" s="33" t="s">
        <v>996</v>
      </c>
      <c r="O4903" s="33" t="s">
        <v>372</v>
      </c>
      <c r="P4903" s="33" t="s">
        <v>30089</v>
      </c>
      <c r="Q4903" s="40" t="s">
        <v>18887</v>
      </c>
      <c r="R4903" s="33" t="s">
        <v>94</v>
      </c>
      <c r="S4903" s="33" t="s">
        <v>22</v>
      </c>
      <c r="T4903" s="33" t="s">
        <v>26781</v>
      </c>
      <c r="U4903" s="33" t="s">
        <v>26572</v>
      </c>
      <c r="V4903" s="33" t="s">
        <v>26573</v>
      </c>
      <c r="W4903" s="33" t="s">
        <v>94</v>
      </c>
      <c r="X4903" s="33">
        <v>668</v>
      </c>
      <c r="Z4903" s="33" t="s">
        <v>42966</v>
      </c>
      <c r="AA4903" s="33">
        <v>2762</v>
      </c>
    </row>
    <row r="4904" spans="1:27" ht="12" customHeight="1" x14ac:dyDescent="0.15">
      <c r="A4904" s="33" t="s">
        <v>26568</v>
      </c>
      <c r="B4904" s="33">
        <v>25</v>
      </c>
      <c r="C4904" s="33" t="s">
        <v>14</v>
      </c>
      <c r="D4904" s="33" t="s">
        <v>42</v>
      </c>
      <c r="F4904" s="67">
        <v>42207</v>
      </c>
      <c r="G4904" s="33" t="s">
        <v>1036</v>
      </c>
      <c r="H4904" s="33" t="s">
        <v>1037</v>
      </c>
      <c r="I4904" s="33" t="s">
        <v>409</v>
      </c>
      <c r="J4904" s="33">
        <v>53566</v>
      </c>
      <c r="K4904" s="33" t="s">
        <v>1038</v>
      </c>
      <c r="L4904" s="33" t="s">
        <v>1039</v>
      </c>
      <c r="M4904" s="33" t="s">
        <v>21</v>
      </c>
      <c r="N4904" s="33" t="s">
        <v>1040</v>
      </c>
      <c r="O4904" s="33" t="s">
        <v>950</v>
      </c>
      <c r="P4904" s="33" t="s">
        <v>30089</v>
      </c>
      <c r="Q4904" s="40" t="s">
        <v>18884</v>
      </c>
      <c r="R4904" s="33" t="s">
        <v>94</v>
      </c>
      <c r="S4904" s="33" t="s">
        <v>22</v>
      </c>
      <c r="T4904" s="33" t="s">
        <v>26781</v>
      </c>
      <c r="U4904" s="33" t="s">
        <v>26572</v>
      </c>
      <c r="V4904" s="33" t="s">
        <v>26573</v>
      </c>
      <c r="W4904" s="33" t="s">
        <v>94</v>
      </c>
      <c r="X4904" s="33">
        <v>666</v>
      </c>
      <c r="Z4904" s="33" t="s">
        <v>42967</v>
      </c>
      <c r="AA4904" s="33">
        <v>2759</v>
      </c>
    </row>
    <row r="4905" spans="1:27" ht="12" customHeight="1" x14ac:dyDescent="0.15">
      <c r="A4905" s="33" t="s">
        <v>1031</v>
      </c>
      <c r="B4905" s="33">
        <v>27</v>
      </c>
      <c r="C4905" s="33" t="s">
        <v>14</v>
      </c>
      <c r="D4905" s="33" t="s">
        <v>79</v>
      </c>
      <c r="F4905" s="67">
        <v>42207</v>
      </c>
      <c r="G4905" s="33" t="s">
        <v>1032</v>
      </c>
      <c r="H4905" s="33" t="s">
        <v>1033</v>
      </c>
      <c r="I4905" s="33" t="s">
        <v>376</v>
      </c>
      <c r="J4905" s="33">
        <v>19154</v>
      </c>
      <c r="K4905" s="33" t="s">
        <v>1033</v>
      </c>
      <c r="L4905" s="33" t="s">
        <v>1034</v>
      </c>
      <c r="M4905" s="33" t="s">
        <v>21</v>
      </c>
      <c r="N4905" s="33" t="s">
        <v>1035</v>
      </c>
      <c r="O4905" s="33" t="s">
        <v>950</v>
      </c>
      <c r="P4905" s="33" t="s">
        <v>30089</v>
      </c>
      <c r="Q4905" s="40" t="str">
        <f>HYPERLINK("http://philadelphia.cbslocal.com/2014/09/16/police-id-suspect-in-shooting-death-of-pregnant-woman-unborn-child/","http://philadelphia.cbslocal.com/2014/09/16/police-id-suspect-in-shooting-death-of-pregnant-woman-unborn-child/")</f>
        <v>http://philadelphia.cbslocal.com/2014/09/16/police-id-suspect-in-shooting-death-of-pregnant-woman-unborn-child/</v>
      </c>
      <c r="R4905" s="33" t="s">
        <v>94</v>
      </c>
      <c r="S4905" s="33" t="s">
        <v>22</v>
      </c>
      <c r="T4905" s="33" t="s">
        <v>26781</v>
      </c>
      <c r="U4905" s="33" t="s">
        <v>26572</v>
      </c>
      <c r="V4905" s="33" t="s">
        <v>26573</v>
      </c>
      <c r="W4905" s="33" t="s">
        <v>94</v>
      </c>
      <c r="X4905" s="33">
        <v>669</v>
      </c>
      <c r="Z4905" s="33" t="s">
        <v>42968</v>
      </c>
      <c r="AA4905" s="33">
        <v>2760</v>
      </c>
    </row>
    <row r="4906" spans="1:27" ht="12" customHeight="1" x14ac:dyDescent="0.15">
      <c r="A4906" s="33" t="s">
        <v>1025</v>
      </c>
      <c r="B4906" s="33">
        <v>26</v>
      </c>
      <c r="C4906" s="33" t="s">
        <v>14</v>
      </c>
      <c r="D4906" s="33" t="s">
        <v>79</v>
      </c>
      <c r="F4906" s="67">
        <v>42207</v>
      </c>
      <c r="G4906" s="33" t="s">
        <v>1026</v>
      </c>
      <c r="H4906" s="33" t="s">
        <v>1027</v>
      </c>
      <c r="I4906" s="33" t="s">
        <v>367</v>
      </c>
      <c r="J4906" s="33">
        <v>73111</v>
      </c>
      <c r="K4906" s="33" t="s">
        <v>1028</v>
      </c>
      <c r="L4906" s="33" t="s">
        <v>1029</v>
      </c>
      <c r="M4906" s="33" t="s">
        <v>4966</v>
      </c>
      <c r="N4906" s="33" t="s">
        <v>1030</v>
      </c>
      <c r="O4906" s="33" t="s">
        <v>372</v>
      </c>
      <c r="P4906" s="33" t="s">
        <v>30089</v>
      </c>
      <c r="Q4906" s="40" t="str">
        <f>HYPERLINK("http://www.koco.com/news/okc-police-investigating-officerinvolved-shooting-on-northeast-side/34302646","http://www.koco.com/news/okc-police-investigating-officerinvolved-shooting-on-northeast-side/34302646")</f>
        <v>http://www.koco.com/news/okc-police-investigating-officerinvolved-shooting-on-northeast-side/34302646</v>
      </c>
      <c r="R4906" s="33" t="s">
        <v>94</v>
      </c>
      <c r="S4906" s="33" t="s">
        <v>22</v>
      </c>
      <c r="T4906" s="33" t="s">
        <v>26774</v>
      </c>
      <c r="U4906" s="33" t="s">
        <v>26570</v>
      </c>
      <c r="V4906" s="33" t="s">
        <v>19228</v>
      </c>
      <c r="W4906" s="33" t="s">
        <v>94</v>
      </c>
      <c r="X4906" s="33">
        <v>667</v>
      </c>
      <c r="Z4906" s="33" t="s">
        <v>42966</v>
      </c>
      <c r="AA4906" s="33">
        <v>2761</v>
      </c>
    </row>
    <row r="4907" spans="1:27" ht="12" customHeight="1" x14ac:dyDescent="0.15">
      <c r="A4907" s="33" t="s">
        <v>1049</v>
      </c>
      <c r="B4907" s="33">
        <v>24</v>
      </c>
      <c r="C4907" s="33" t="s">
        <v>14</v>
      </c>
      <c r="D4907" s="33" t="s">
        <v>31</v>
      </c>
      <c r="F4907" s="67">
        <v>42206</v>
      </c>
      <c r="G4907" s="33" t="s">
        <v>1050</v>
      </c>
      <c r="H4907" s="33" t="s">
        <v>1051</v>
      </c>
      <c r="I4907" s="33" t="s">
        <v>56</v>
      </c>
      <c r="J4907" s="33">
        <v>33334</v>
      </c>
      <c r="K4907" s="33" t="s">
        <v>1052</v>
      </c>
      <c r="L4907" s="33" t="s">
        <v>4045</v>
      </c>
      <c r="M4907" s="33" t="s">
        <v>21</v>
      </c>
      <c r="N4907" s="33" t="s">
        <v>1053</v>
      </c>
      <c r="O4907" s="33" t="s">
        <v>950</v>
      </c>
      <c r="P4907" s="33" t="s">
        <v>30089</v>
      </c>
      <c r="Q4907" s="40" t="s">
        <v>18883</v>
      </c>
      <c r="R4907" s="33" t="s">
        <v>94</v>
      </c>
      <c r="S4907" s="33" t="s">
        <v>22</v>
      </c>
      <c r="T4907" s="33" t="s">
        <v>26781</v>
      </c>
      <c r="U4907" s="33" t="s">
        <v>26570</v>
      </c>
      <c r="V4907" s="33" t="s">
        <v>26571</v>
      </c>
      <c r="W4907" s="33" t="s">
        <v>94</v>
      </c>
      <c r="X4907" s="33">
        <v>662</v>
      </c>
      <c r="Z4907" s="33" t="s">
        <v>42966</v>
      </c>
      <c r="AA4907" s="33">
        <v>2756</v>
      </c>
    </row>
    <row r="4908" spans="1:27" ht="12" customHeight="1" x14ac:dyDescent="0.15">
      <c r="A4908" s="33" t="s">
        <v>1043</v>
      </c>
      <c r="B4908" s="33">
        <v>47</v>
      </c>
      <c r="C4908" s="33" t="s">
        <v>14</v>
      </c>
      <c r="D4908" s="33" t="s">
        <v>31</v>
      </c>
      <c r="F4908" s="67">
        <v>42206</v>
      </c>
      <c r="G4908" s="33" t="s">
        <v>1044</v>
      </c>
      <c r="H4908" s="33" t="s">
        <v>1045</v>
      </c>
      <c r="I4908" s="33" t="s">
        <v>160</v>
      </c>
      <c r="J4908" s="33">
        <v>30184</v>
      </c>
      <c r="K4908" s="33" t="s">
        <v>1046</v>
      </c>
      <c r="L4908" s="33" t="s">
        <v>1047</v>
      </c>
      <c r="M4908" s="33" t="s">
        <v>21</v>
      </c>
      <c r="N4908" s="33" t="s">
        <v>1048</v>
      </c>
      <c r="O4908" s="33" t="s">
        <v>372</v>
      </c>
      <c r="P4908" s="33" t="s">
        <v>30089</v>
      </c>
      <c r="Q4908" s="40" t="s">
        <v>18881</v>
      </c>
      <c r="R4908" s="33" t="s">
        <v>94</v>
      </c>
      <c r="S4908" s="33" t="s">
        <v>12</v>
      </c>
      <c r="T4908" s="33" t="s">
        <v>29705</v>
      </c>
      <c r="U4908" s="33" t="s">
        <v>26570</v>
      </c>
      <c r="V4908" s="33" t="s">
        <v>26573</v>
      </c>
      <c r="W4908" s="33" t="s">
        <v>94</v>
      </c>
      <c r="X4908" s="33">
        <v>661</v>
      </c>
      <c r="Z4908" s="33" t="s">
        <v>42967</v>
      </c>
      <c r="AA4908" s="33">
        <v>2758</v>
      </c>
    </row>
    <row r="4909" spans="1:27" ht="12" customHeight="1" x14ac:dyDescent="0.15">
      <c r="A4909" s="33" t="s">
        <v>1054</v>
      </c>
      <c r="B4909" s="33">
        <v>35</v>
      </c>
      <c r="C4909" s="33" t="s">
        <v>14</v>
      </c>
      <c r="D4909" s="33" t="s">
        <v>31</v>
      </c>
      <c r="F4909" s="67">
        <v>42206</v>
      </c>
      <c r="G4909" s="33" t="s">
        <v>1055</v>
      </c>
      <c r="H4909" s="33" t="s">
        <v>1056</v>
      </c>
      <c r="I4909" s="33" t="s">
        <v>160</v>
      </c>
      <c r="J4909" s="33">
        <v>31545</v>
      </c>
      <c r="K4909" s="33" t="s">
        <v>1057</v>
      </c>
      <c r="L4909" s="33" t="s">
        <v>29602</v>
      </c>
      <c r="M4909" s="33" t="s">
        <v>21</v>
      </c>
      <c r="N4909" s="33" t="s">
        <v>1058</v>
      </c>
      <c r="O4909" s="33" t="s">
        <v>372</v>
      </c>
      <c r="P4909" s="33" t="s">
        <v>30089</v>
      </c>
      <c r="Q4909" s="40" t="s">
        <v>18882</v>
      </c>
      <c r="R4909" s="33" t="s">
        <v>23</v>
      </c>
      <c r="S4909" s="33" t="s">
        <v>22</v>
      </c>
      <c r="T4909" s="33" t="s">
        <v>26781</v>
      </c>
      <c r="U4909" s="33" t="s">
        <v>26572</v>
      </c>
      <c r="V4909" s="33" t="s">
        <v>26573</v>
      </c>
      <c r="W4909" s="33" t="s">
        <v>94</v>
      </c>
      <c r="X4909" s="33">
        <v>663</v>
      </c>
      <c r="Z4909" s="33" t="s">
        <v>42967</v>
      </c>
      <c r="AA4909" s="33">
        <v>2757</v>
      </c>
    </row>
    <row r="4910" spans="1:27" ht="12" customHeight="1" x14ac:dyDescent="0.15">
      <c r="A4910" s="33" t="s">
        <v>1061</v>
      </c>
      <c r="B4910" s="33" t="s">
        <v>23</v>
      </c>
      <c r="C4910" s="33" t="s">
        <v>14</v>
      </c>
      <c r="D4910" s="33" t="s">
        <v>42</v>
      </c>
      <c r="F4910" s="67">
        <v>42205</v>
      </c>
      <c r="G4910" s="33" t="s">
        <v>1062</v>
      </c>
      <c r="H4910" s="33" t="s">
        <v>674</v>
      </c>
      <c r="I4910" s="33" t="s">
        <v>67</v>
      </c>
      <c r="J4910" s="33">
        <v>77092</v>
      </c>
      <c r="K4910" s="33" t="s">
        <v>515</v>
      </c>
      <c r="L4910" s="33" t="s">
        <v>516</v>
      </c>
      <c r="M4910" s="33" t="s">
        <v>21</v>
      </c>
      <c r="N4910" s="33" t="s">
        <v>1063</v>
      </c>
      <c r="O4910" s="33" t="s">
        <v>372</v>
      </c>
      <c r="P4910" s="33" t="s">
        <v>30089</v>
      </c>
      <c r="Q4910" s="40" t="s">
        <v>18876</v>
      </c>
      <c r="R4910" s="33" t="s">
        <v>94</v>
      </c>
      <c r="S4910" s="33" t="s">
        <v>22</v>
      </c>
      <c r="T4910" s="1" t="s">
        <v>26781</v>
      </c>
      <c r="Y4910" s="33" t="s">
        <v>42476</v>
      </c>
      <c r="Z4910" s="33" t="s">
        <v>42968</v>
      </c>
      <c r="AA4910" s="33">
        <v>2751</v>
      </c>
    </row>
    <row r="4911" spans="1:27" ht="12" customHeight="1" x14ac:dyDescent="0.15">
      <c r="A4911" s="33" t="s">
        <v>1073</v>
      </c>
      <c r="B4911" s="33">
        <v>35</v>
      </c>
      <c r="C4911" s="33" t="s">
        <v>14</v>
      </c>
      <c r="D4911" s="33" t="s">
        <v>31</v>
      </c>
      <c r="F4911" s="67">
        <v>42205</v>
      </c>
      <c r="G4911" s="33" t="s">
        <v>1074</v>
      </c>
      <c r="H4911" s="33" t="s">
        <v>1075</v>
      </c>
      <c r="I4911" s="33" t="s">
        <v>67</v>
      </c>
      <c r="J4911" s="33">
        <v>77665</v>
      </c>
      <c r="K4911" s="33" t="s">
        <v>1076</v>
      </c>
      <c r="L4911" s="33" t="s">
        <v>1077</v>
      </c>
      <c r="M4911" s="33" t="s">
        <v>21</v>
      </c>
      <c r="N4911" s="33" t="s">
        <v>1078</v>
      </c>
      <c r="O4911" s="33" t="s">
        <v>950</v>
      </c>
      <c r="P4911" s="33" t="s">
        <v>30089</v>
      </c>
      <c r="Q4911" s="40" t="s">
        <v>18879</v>
      </c>
      <c r="R4911" s="33" t="s">
        <v>94</v>
      </c>
      <c r="S4911" s="33" t="s">
        <v>22</v>
      </c>
      <c r="T4911" s="33" t="s">
        <v>26781</v>
      </c>
      <c r="U4911" s="33" t="s">
        <v>26572</v>
      </c>
      <c r="V4911" s="33" t="s">
        <v>19228</v>
      </c>
      <c r="W4911" s="33" t="s">
        <v>94</v>
      </c>
      <c r="X4911" s="33">
        <v>658</v>
      </c>
      <c r="Z4911" s="33" t="s">
        <v>42967</v>
      </c>
      <c r="AA4911" s="33">
        <v>2753</v>
      </c>
    </row>
    <row r="4912" spans="1:27" ht="12" customHeight="1" x14ac:dyDescent="0.15">
      <c r="A4912" s="33" t="s">
        <v>1059</v>
      </c>
      <c r="B4912" s="33">
        <v>24</v>
      </c>
      <c r="C4912" s="33" t="s">
        <v>14</v>
      </c>
      <c r="D4912" s="33" t="s">
        <v>42</v>
      </c>
      <c r="E4912" s="33" t="str">
        <f>HYPERLINK("http://www.killedbypolice.net/victims/150642.jpg","http://www.killedbypolice.net/victims/150642.jpg")</f>
        <v>http://www.killedbypolice.net/victims/150642.jpg</v>
      </c>
      <c r="F4912" s="67">
        <v>42205</v>
      </c>
      <c r="G4912" s="33" t="s">
        <v>1060</v>
      </c>
      <c r="H4912" s="33" t="s">
        <v>81</v>
      </c>
      <c r="I4912" s="33" t="s">
        <v>38</v>
      </c>
      <c r="J4912" s="33">
        <v>60632</v>
      </c>
      <c r="K4912" s="33" t="s">
        <v>82</v>
      </c>
      <c r="L4912" s="33" t="s">
        <v>83</v>
      </c>
      <c r="M4912" s="33" t="s">
        <v>2134</v>
      </c>
      <c r="N4912" s="33" t="s">
        <v>17588</v>
      </c>
      <c r="O4912" s="33" t="s">
        <v>950</v>
      </c>
      <c r="P4912" s="33" t="s">
        <v>30089</v>
      </c>
      <c r="Q4912" s="40" t="s">
        <v>18880</v>
      </c>
      <c r="R4912" s="33" t="s">
        <v>23</v>
      </c>
      <c r="S4912" s="33" t="s">
        <v>12</v>
      </c>
      <c r="T4912" s="54" t="s">
        <v>29705</v>
      </c>
      <c r="Z4912" s="33" t="s">
        <v>42966</v>
      </c>
      <c r="AA4912" s="33">
        <v>2755</v>
      </c>
    </row>
    <row r="4913" spans="1:27" ht="12" customHeight="1" x14ac:dyDescent="0.15">
      <c r="A4913" s="33" t="s">
        <v>1068</v>
      </c>
      <c r="B4913" s="33">
        <v>54</v>
      </c>
      <c r="C4913" s="33" t="s">
        <v>14</v>
      </c>
      <c r="D4913" s="33" t="s">
        <v>31</v>
      </c>
      <c r="F4913" s="67">
        <v>42205</v>
      </c>
      <c r="G4913" s="33" t="s">
        <v>1069</v>
      </c>
      <c r="H4913" s="33" t="s">
        <v>1070</v>
      </c>
      <c r="I4913" s="33" t="s">
        <v>367</v>
      </c>
      <c r="J4913" s="33">
        <v>73020</v>
      </c>
      <c r="K4913" s="33" t="s">
        <v>1028</v>
      </c>
      <c r="L4913" s="33" t="s">
        <v>1071</v>
      </c>
      <c r="M4913" s="33" t="s">
        <v>21</v>
      </c>
      <c r="N4913" s="33" t="s">
        <v>1072</v>
      </c>
      <c r="O4913" s="33" t="s">
        <v>507</v>
      </c>
      <c r="P4913" s="33" t="s">
        <v>30089</v>
      </c>
      <c r="Q4913" s="40" t="s">
        <v>18877</v>
      </c>
      <c r="R4913" s="33" t="s">
        <v>94</v>
      </c>
      <c r="S4913" s="33" t="s">
        <v>22</v>
      </c>
      <c r="T4913" s="1" t="s">
        <v>26781</v>
      </c>
      <c r="Y4913" s="33" t="s">
        <v>42476</v>
      </c>
      <c r="Z4913" s="33" t="s">
        <v>42968</v>
      </c>
      <c r="AA4913" s="33">
        <v>2752</v>
      </c>
    </row>
    <row r="4914" spans="1:27" ht="12" customHeight="1" x14ac:dyDescent="0.15">
      <c r="A4914" s="33" t="s">
        <v>1064</v>
      </c>
      <c r="B4914" s="33">
        <v>54</v>
      </c>
      <c r="C4914" s="33" t="s">
        <v>14</v>
      </c>
      <c r="D4914" s="33" t="s">
        <v>15</v>
      </c>
      <c r="F4914" s="67">
        <v>42205</v>
      </c>
      <c r="G4914" s="33" t="s">
        <v>1065</v>
      </c>
      <c r="H4914" s="33" t="s">
        <v>1066</v>
      </c>
      <c r="I4914" s="33" t="s">
        <v>39</v>
      </c>
      <c r="J4914" s="33">
        <v>94536</v>
      </c>
      <c r="K4914" s="33" t="s">
        <v>558</v>
      </c>
      <c r="L4914" s="33" t="s">
        <v>1067</v>
      </c>
      <c r="M4914" s="33" t="s">
        <v>21</v>
      </c>
      <c r="N4914" s="33" t="s">
        <v>30075</v>
      </c>
      <c r="P4914" s="33" t="s">
        <v>30089</v>
      </c>
      <c r="Q4914" s="40" t="s">
        <v>18878</v>
      </c>
      <c r="R4914" s="33" t="s">
        <v>23</v>
      </c>
      <c r="S4914" s="33" t="s">
        <v>22</v>
      </c>
      <c r="T4914" s="33" t="s">
        <v>26774</v>
      </c>
      <c r="U4914" s="33" t="s">
        <v>26570</v>
      </c>
      <c r="V4914" s="33" t="s">
        <v>26573</v>
      </c>
      <c r="W4914" s="33" t="s">
        <v>94</v>
      </c>
      <c r="X4914" s="33">
        <v>759</v>
      </c>
      <c r="Z4914" s="33" t="s">
        <v>42968</v>
      </c>
      <c r="AA4914" s="33">
        <v>2754</v>
      </c>
    </row>
    <row r="4915" spans="1:27" ht="12" customHeight="1" x14ac:dyDescent="0.15">
      <c r="A4915" s="33" t="s">
        <v>1079</v>
      </c>
      <c r="B4915" s="33">
        <v>43</v>
      </c>
      <c r="C4915" s="33" t="s">
        <v>14</v>
      </c>
      <c r="D4915" s="33" t="s">
        <v>79</v>
      </c>
      <c r="E4915" s="33" t="s">
        <v>1080</v>
      </c>
      <c r="F4915" s="67">
        <v>42204</v>
      </c>
      <c r="G4915" s="33" t="s">
        <v>1081</v>
      </c>
      <c r="H4915" s="33" t="s">
        <v>504</v>
      </c>
      <c r="I4915" s="33" t="s">
        <v>63</v>
      </c>
      <c r="J4915" s="33">
        <v>45219</v>
      </c>
      <c r="K4915" s="33" t="s">
        <v>505</v>
      </c>
      <c r="L4915" s="33" t="s">
        <v>1082</v>
      </c>
      <c r="M4915" s="33" t="s">
        <v>21</v>
      </c>
      <c r="N4915" s="33" t="s">
        <v>19203</v>
      </c>
      <c r="O4915" s="33" t="s">
        <v>26740</v>
      </c>
      <c r="P4915" s="33" t="s">
        <v>26746</v>
      </c>
      <c r="Q4915" s="40" t="str">
        <f>HYPERLINK("http://www.cincinnati.com/story/news/2015/07/29/publish/30830777/","http://www.cincinnati.com/story/news/2015/07/29/publish/30830777/")</f>
        <v>http://www.cincinnati.com/story/news/2015/07/29/publish/30830777/</v>
      </c>
      <c r="R4915" s="33" t="s">
        <v>94</v>
      </c>
      <c r="S4915" s="33" t="s">
        <v>12</v>
      </c>
      <c r="T4915" s="33" t="s">
        <v>29705</v>
      </c>
      <c r="U4915" s="33" t="s">
        <v>26570</v>
      </c>
      <c r="V4915" s="33" t="s">
        <v>26571</v>
      </c>
      <c r="W4915" s="33" t="s">
        <v>512</v>
      </c>
      <c r="X4915" s="33">
        <v>653</v>
      </c>
      <c r="Z4915" s="33" t="s">
        <v>42966</v>
      </c>
      <c r="AA4915" s="33">
        <v>2750</v>
      </c>
    </row>
    <row r="4916" spans="1:27" ht="12" customHeight="1" x14ac:dyDescent="0.15">
      <c r="A4916" s="33" t="s">
        <v>1091</v>
      </c>
      <c r="B4916" s="33">
        <v>46</v>
      </c>
      <c r="C4916" s="33" t="s">
        <v>14</v>
      </c>
      <c r="D4916" s="33" t="s">
        <v>31</v>
      </c>
      <c r="F4916" s="67">
        <v>42203</v>
      </c>
      <c r="G4916" s="33" t="s">
        <v>1092</v>
      </c>
      <c r="H4916" s="33" t="s">
        <v>584</v>
      </c>
      <c r="I4916" s="33" t="s">
        <v>112</v>
      </c>
      <c r="J4916" s="33">
        <v>85051</v>
      </c>
      <c r="K4916" s="33" t="s">
        <v>585</v>
      </c>
      <c r="L4916" s="33" t="s">
        <v>586</v>
      </c>
      <c r="M4916" s="33" t="s">
        <v>21</v>
      </c>
      <c r="N4916" s="33" t="s">
        <v>1093</v>
      </c>
      <c r="O4916" s="33" t="s">
        <v>950</v>
      </c>
      <c r="P4916" s="33" t="s">
        <v>30089</v>
      </c>
      <c r="Q4916" s="40" t="str">
        <f>HYPERLINK("http://www.azcentral.com/story/news/local/phoenix/2015/07/18/west-phoenix-fatal-officer-involved-shooting-abrk/30349421/","http://www.azcentral.com/story/news/local/phoenix/2015/07/18/west-phoenix-fatal-officer-involved-shooting-abrk/30349421/")</f>
        <v>http://www.azcentral.com/story/news/local/phoenix/2015/07/18/west-phoenix-fatal-officer-involved-shooting-abrk/30349421/</v>
      </c>
      <c r="R4916" s="33" t="s">
        <v>94</v>
      </c>
      <c r="S4916" s="33" t="s">
        <v>22</v>
      </c>
      <c r="T4916" s="33" t="s">
        <v>26781</v>
      </c>
      <c r="U4916" s="33" t="s">
        <v>26572</v>
      </c>
      <c r="V4916" s="33" t="s">
        <v>26573</v>
      </c>
      <c r="W4916" s="33" t="s">
        <v>94</v>
      </c>
      <c r="X4916" s="33">
        <v>652</v>
      </c>
      <c r="Z4916" s="33" t="s">
        <v>42966</v>
      </c>
      <c r="AA4916" s="33">
        <v>2745</v>
      </c>
    </row>
    <row r="4917" spans="1:27" ht="12" customHeight="1" x14ac:dyDescent="0.15">
      <c r="A4917" s="33" t="s">
        <v>1098</v>
      </c>
      <c r="B4917" s="33">
        <v>65</v>
      </c>
      <c r="C4917" s="33" t="s">
        <v>14</v>
      </c>
      <c r="D4917" s="33" t="s">
        <v>31</v>
      </c>
      <c r="F4917" s="67">
        <v>42203</v>
      </c>
      <c r="G4917" s="33" t="s">
        <v>1099</v>
      </c>
      <c r="H4917" s="33" t="s">
        <v>1100</v>
      </c>
      <c r="I4917" s="33" t="s">
        <v>337</v>
      </c>
      <c r="J4917" s="33">
        <v>67701</v>
      </c>
      <c r="K4917" s="33" t="s">
        <v>1101</v>
      </c>
      <c r="L4917" s="33" t="s">
        <v>1102</v>
      </c>
      <c r="M4917" s="33" t="s">
        <v>21</v>
      </c>
      <c r="N4917" s="33" t="s">
        <v>1103</v>
      </c>
      <c r="O4917" s="33" t="s">
        <v>950</v>
      </c>
      <c r="P4917" s="33" t="s">
        <v>30089</v>
      </c>
      <c r="Q4917" s="40" t="str">
        <f>HYPERLINK("http://www.kake.com/home/headlines/KBI-investigating-officer-involved-shooting-in-northwest-Kansas-316960821.html","http://www.kake.com/home/headlines/KBI-investigating-officer-involved-shooting-in-northwest-Kansas-316960821.html")</f>
        <v>http://www.kake.com/home/headlines/KBI-investigating-officer-involved-shooting-in-northwest-Kansas-316960821.html</v>
      </c>
      <c r="R4917" s="33" t="s">
        <v>94</v>
      </c>
      <c r="S4917" s="33" t="s">
        <v>22</v>
      </c>
      <c r="T4917" s="33" t="s">
        <v>26781</v>
      </c>
      <c r="U4917" s="33" t="s">
        <v>26572</v>
      </c>
      <c r="V4917" s="33" t="s">
        <v>26573</v>
      </c>
      <c r="W4917" s="33" t="s">
        <v>94</v>
      </c>
      <c r="X4917" s="33">
        <v>654</v>
      </c>
      <c r="Z4917" s="33" t="s">
        <v>42967</v>
      </c>
      <c r="AA4917" s="33">
        <v>2746</v>
      </c>
    </row>
    <row r="4918" spans="1:27" ht="12" customHeight="1" x14ac:dyDescent="0.15">
      <c r="A4918" s="33" t="s">
        <v>1104</v>
      </c>
      <c r="B4918" s="33">
        <v>30</v>
      </c>
      <c r="C4918" s="33" t="s">
        <v>14</v>
      </c>
      <c r="D4918" s="33" t="s">
        <v>31</v>
      </c>
      <c r="F4918" s="67">
        <v>42203</v>
      </c>
      <c r="G4918" s="33" t="s">
        <v>1105</v>
      </c>
      <c r="H4918" s="33" t="s">
        <v>1106</v>
      </c>
      <c r="I4918" s="33" t="s">
        <v>621</v>
      </c>
      <c r="J4918" s="33">
        <v>38654</v>
      </c>
      <c r="K4918" s="33" t="s">
        <v>1107</v>
      </c>
      <c r="L4918" s="33" t="s">
        <v>1108</v>
      </c>
      <c r="M4918" s="33" t="s">
        <v>2134</v>
      </c>
      <c r="N4918" s="33" t="s">
        <v>1283</v>
      </c>
      <c r="O4918" s="33" t="s">
        <v>1260</v>
      </c>
      <c r="P4918" s="33" t="s">
        <v>30089</v>
      </c>
      <c r="Q4918" s="40" t="str">
        <f>HYPERLINK("http://www.ksdk.com/story/news/nation/2015/07/20/man-hogtied-police-death/30433375/","http://www.ksdk.com/story/news/nation/2015/07/20/man-hogtied-police-death/30433375/")</f>
        <v>http://www.ksdk.com/story/news/nation/2015/07/20/man-hogtied-police-death/30433375/</v>
      </c>
      <c r="R4918" s="33" t="s">
        <v>23</v>
      </c>
      <c r="S4918" s="33" t="s">
        <v>12</v>
      </c>
      <c r="T4918" s="54" t="s">
        <v>29705</v>
      </c>
      <c r="Z4918" s="33" t="s">
        <v>42968</v>
      </c>
      <c r="AA4918" s="33">
        <v>2749</v>
      </c>
    </row>
    <row r="4919" spans="1:27" ht="12" customHeight="1" x14ac:dyDescent="0.15">
      <c r="A4919" s="33" t="s">
        <v>1094</v>
      </c>
      <c r="B4919" s="33">
        <v>22</v>
      </c>
      <c r="C4919" s="33" t="s">
        <v>14</v>
      </c>
      <c r="D4919" s="33" t="s">
        <v>31</v>
      </c>
      <c r="F4919" s="67">
        <v>42203</v>
      </c>
      <c r="G4919" s="33" t="s">
        <v>1095</v>
      </c>
      <c r="H4919" s="33" t="s">
        <v>1096</v>
      </c>
      <c r="I4919" s="33" t="s">
        <v>192</v>
      </c>
      <c r="J4919" s="33">
        <v>80526</v>
      </c>
      <c r="K4919" s="33" t="s">
        <v>510</v>
      </c>
      <c r="L4919" s="33" t="s">
        <v>22924</v>
      </c>
      <c r="M4919" s="33" t="s">
        <v>21</v>
      </c>
      <c r="N4919" s="33" t="s">
        <v>1097</v>
      </c>
      <c r="O4919" s="33" t="s">
        <v>507</v>
      </c>
      <c r="P4919" s="33" t="s">
        <v>30089</v>
      </c>
      <c r="Q4919" s="40" t="str">
        <f>HYPERLINK("http://www.thedenverchannel.com/news/local-news/man-dead-shot-by-fort-collins-officers-after-suspect-tried-to-attack-them-with-knife","http://www.thedenverchannel.com/news/local-news/man-dead-shot-by-fort-collins-officers-after-suspect-tried-to-attack-them-with-knife")</f>
        <v>http://www.thedenverchannel.com/news/local-news/man-dead-shot-by-fort-collins-officers-after-suspect-tried-to-attack-them-with-knife</v>
      </c>
      <c r="R4919" s="33" t="s">
        <v>512</v>
      </c>
      <c r="S4919" s="33" t="s">
        <v>22</v>
      </c>
      <c r="T4919" s="33" t="s">
        <v>26774</v>
      </c>
      <c r="U4919" s="33" t="s">
        <v>26572</v>
      </c>
      <c r="V4919" s="33" t="s">
        <v>26573</v>
      </c>
      <c r="W4919" s="33" t="s">
        <v>94</v>
      </c>
      <c r="X4919" s="33">
        <v>650</v>
      </c>
      <c r="Z4919" s="33" t="s">
        <v>42968</v>
      </c>
      <c r="AA4919" s="33">
        <v>2747</v>
      </c>
    </row>
    <row r="4920" spans="1:27" ht="12" customHeight="1" x14ac:dyDescent="0.15">
      <c r="A4920" s="33" t="s">
        <v>1085</v>
      </c>
      <c r="B4920" s="33">
        <v>26</v>
      </c>
      <c r="C4920" s="33" t="s">
        <v>14</v>
      </c>
      <c r="D4920" s="33" t="s">
        <v>42</v>
      </c>
      <c r="F4920" s="67">
        <v>42203</v>
      </c>
      <c r="G4920" s="33" t="s">
        <v>1086</v>
      </c>
      <c r="H4920" s="33" t="s">
        <v>1087</v>
      </c>
      <c r="I4920" s="33" t="s">
        <v>39</v>
      </c>
      <c r="J4920" s="33">
        <v>93223</v>
      </c>
      <c r="K4920" s="33" t="s">
        <v>1088</v>
      </c>
      <c r="L4920" s="33" t="s">
        <v>1089</v>
      </c>
      <c r="M4920" s="33" t="s">
        <v>21</v>
      </c>
      <c r="N4920" s="33" t="s">
        <v>1090</v>
      </c>
      <c r="O4920" s="33" t="s">
        <v>950</v>
      </c>
      <c r="P4920" s="33" t="s">
        <v>30089</v>
      </c>
      <c r="Q4920" s="40" t="str">
        <f>HYPERLINK("http://www.visaliatimesdelta.com/story/news/local/2015/07/22/single-bullet-killed-farmersville-man/30501679/","http://www.visaliatimesdelta.com/story/news/local/2015/07/22/single-bullet-killed-farmersville-man/30501679/")</f>
        <v>http://www.visaliatimesdelta.com/story/news/local/2015/07/22/single-bullet-killed-farmersville-man/30501679/</v>
      </c>
      <c r="R4920" s="33" t="s">
        <v>94</v>
      </c>
      <c r="S4920" s="33" t="s">
        <v>12</v>
      </c>
      <c r="T4920" s="54" t="s">
        <v>29705</v>
      </c>
      <c r="Z4920" s="33" t="s">
        <v>42968</v>
      </c>
      <c r="AA4920" s="33">
        <v>2748</v>
      </c>
    </row>
    <row r="4921" spans="1:27" ht="12" customHeight="1" x14ac:dyDescent="0.15">
      <c r="A4921" s="33" t="s">
        <v>1120</v>
      </c>
      <c r="B4921" s="33">
        <v>24</v>
      </c>
      <c r="C4921" s="33" t="s">
        <v>14</v>
      </c>
      <c r="D4921" s="33" t="s">
        <v>42</v>
      </c>
      <c r="F4921" s="67">
        <v>42202</v>
      </c>
      <c r="G4921" s="33" t="s">
        <v>1121</v>
      </c>
      <c r="H4921" s="33" t="s">
        <v>1122</v>
      </c>
      <c r="I4921" s="33" t="s">
        <v>67</v>
      </c>
      <c r="J4921" s="33">
        <v>78520</v>
      </c>
      <c r="K4921" s="33" t="s">
        <v>1123</v>
      </c>
      <c r="L4921" s="33" t="s">
        <v>1124</v>
      </c>
      <c r="M4921" s="33" t="s">
        <v>21</v>
      </c>
      <c r="N4921" s="33" t="s">
        <v>1125</v>
      </c>
      <c r="O4921" s="33" t="s">
        <v>372</v>
      </c>
      <c r="P4921" s="33" t="s">
        <v>30089</v>
      </c>
      <c r="Q4921" s="40" t="str">
        <f>HYPERLINK("http://www.click2houston.com/news/hpd-investigating-after-possible-incustody-death-in-southeast-houston/34238632","http://www.click2houston.com/news/hpd-investigating-after-possible-incustody-death-in-southeast-houston/34238632")</f>
        <v>http://www.click2houston.com/news/hpd-investigating-after-possible-incustody-death-in-southeast-houston/34238632</v>
      </c>
      <c r="R4921" s="33" t="s">
        <v>94</v>
      </c>
      <c r="S4921" s="33" t="s">
        <v>29</v>
      </c>
      <c r="T4921" s="33" t="s">
        <v>26575</v>
      </c>
      <c r="U4921" s="33" t="s">
        <v>26570</v>
      </c>
      <c r="V4921" s="33" t="s">
        <v>19228</v>
      </c>
      <c r="W4921" s="33" t="s">
        <v>94</v>
      </c>
      <c r="X4921" s="33">
        <v>660</v>
      </c>
      <c r="Z4921" s="33" t="s">
        <v>42966</v>
      </c>
      <c r="AA4921" s="33">
        <v>2744</v>
      </c>
    </row>
    <row r="4922" spans="1:27" ht="12" customHeight="1" x14ac:dyDescent="0.15">
      <c r="A4922" s="33" t="s">
        <v>1130</v>
      </c>
      <c r="B4922" s="33">
        <v>27</v>
      </c>
      <c r="C4922" s="33" t="s">
        <v>14</v>
      </c>
      <c r="D4922" s="33" t="s">
        <v>31</v>
      </c>
      <c r="F4922" s="67">
        <v>42202</v>
      </c>
      <c r="G4922" s="33" t="s">
        <v>1131</v>
      </c>
      <c r="H4922" s="33" t="s">
        <v>1132</v>
      </c>
      <c r="I4922" s="33" t="s">
        <v>282</v>
      </c>
      <c r="J4922" s="33">
        <v>98115</v>
      </c>
      <c r="K4922" s="33" t="s">
        <v>1133</v>
      </c>
      <c r="L4922" s="33" t="s">
        <v>1134</v>
      </c>
      <c r="M4922" s="33" t="s">
        <v>21</v>
      </c>
      <c r="N4922" s="33" t="s">
        <v>1135</v>
      </c>
      <c r="O4922" s="33" t="s">
        <v>372</v>
      </c>
      <c r="P4922" s="33" t="s">
        <v>30089</v>
      </c>
      <c r="Q4922" s="40" t="s">
        <v>18870</v>
      </c>
      <c r="R4922" s="33" t="s">
        <v>94</v>
      </c>
      <c r="S4922" s="33" t="s">
        <v>22</v>
      </c>
      <c r="T4922" s="33" t="s">
        <v>26774</v>
      </c>
      <c r="U4922" s="33" t="s">
        <v>26570</v>
      </c>
      <c r="V4922" s="33" t="s">
        <v>26574</v>
      </c>
      <c r="W4922" s="33" t="s">
        <v>94</v>
      </c>
      <c r="X4922" s="33">
        <v>644</v>
      </c>
      <c r="Z4922" s="33" t="s">
        <v>42966</v>
      </c>
      <c r="AA4922" s="33">
        <v>2741</v>
      </c>
    </row>
    <row r="4923" spans="1:27" ht="12" customHeight="1" x14ac:dyDescent="0.15">
      <c r="A4923" s="33" t="s">
        <v>1110</v>
      </c>
      <c r="B4923" s="33">
        <v>23</v>
      </c>
      <c r="C4923" s="33" t="s">
        <v>14</v>
      </c>
      <c r="D4923" s="33" t="s">
        <v>79</v>
      </c>
      <c r="E4923" s="33" t="s">
        <v>1111</v>
      </c>
      <c r="F4923" s="67">
        <v>42202</v>
      </c>
      <c r="G4923" s="33" t="s">
        <v>1112</v>
      </c>
      <c r="H4923" s="33" t="s">
        <v>997</v>
      </c>
      <c r="I4923" s="33" t="s">
        <v>56</v>
      </c>
      <c r="J4923" s="33">
        <v>32812</v>
      </c>
      <c r="K4923" s="33" t="s">
        <v>998</v>
      </c>
      <c r="L4923" s="33" t="s">
        <v>999</v>
      </c>
      <c r="M4923" s="33" t="s">
        <v>4966</v>
      </c>
      <c r="N4923" s="33" t="s">
        <v>1113</v>
      </c>
      <c r="O4923" s="33" t="s">
        <v>372</v>
      </c>
      <c r="P4923" s="33" t="s">
        <v>30089</v>
      </c>
      <c r="Q4923" s="40" t="str">
        <f>HYPERLINK("http://www.orlandosentinel.com/news/breaking-news/os-orlando-police-suspect-shooting-20150717-story.html","http://www.orlandosentinel.com/news/breaking-news/os-orlando-police-suspect-shooting-20150717-story.html")</f>
        <v>http://www.orlandosentinel.com/news/breaking-news/os-orlando-police-suspect-shooting-20150717-story.html</v>
      </c>
      <c r="R4923" s="33" t="s">
        <v>94</v>
      </c>
      <c r="S4923" s="33" t="s">
        <v>12</v>
      </c>
      <c r="T4923" s="33" t="s">
        <v>29705</v>
      </c>
      <c r="U4923" s="33" t="s">
        <v>26572</v>
      </c>
      <c r="V4923" s="33" t="s">
        <v>26574</v>
      </c>
      <c r="W4923" s="33" t="s">
        <v>94</v>
      </c>
      <c r="X4923" s="33">
        <v>651</v>
      </c>
      <c r="Z4923" s="33" t="s">
        <v>42968</v>
      </c>
      <c r="AA4923" s="33">
        <v>2743</v>
      </c>
    </row>
    <row r="4924" spans="1:27" ht="12" customHeight="1" x14ac:dyDescent="0.15">
      <c r="A4924" s="33" t="s">
        <v>1126</v>
      </c>
      <c r="B4924" s="33">
        <v>50</v>
      </c>
      <c r="C4924" s="33" t="s">
        <v>14</v>
      </c>
      <c r="D4924" s="33" t="s">
        <v>31</v>
      </c>
      <c r="F4924" s="67">
        <v>42202</v>
      </c>
      <c r="G4924" s="33" t="s">
        <v>1127</v>
      </c>
      <c r="H4924" s="33" t="s">
        <v>1128</v>
      </c>
      <c r="I4924" s="33" t="s">
        <v>39</v>
      </c>
      <c r="J4924" s="33">
        <v>92363</v>
      </c>
      <c r="K4924" s="33" t="s">
        <v>288</v>
      </c>
      <c r="L4924" s="33" t="s">
        <v>289</v>
      </c>
      <c r="M4924" s="33" t="s">
        <v>21</v>
      </c>
      <c r="N4924" s="33" t="s">
        <v>1129</v>
      </c>
      <c r="O4924" s="33" t="s">
        <v>372</v>
      </c>
      <c r="P4924" s="33" t="s">
        <v>30089</v>
      </c>
      <c r="Q4924" s="40" t="str">
        <f>HYPERLINK("http://www.sbsun.com/general-news/20150718/sheriffs-deputies-shoot-kill-highland-man-in-needles","http://www.sbsun.com/general-news/20150718/sheriffs-deputies-shoot-kill-highland-man-in-needles")</f>
        <v>http://www.sbsun.com/general-news/20150718/sheriffs-deputies-shoot-kill-highland-man-in-needles</v>
      </c>
      <c r="R4924" s="33" t="s">
        <v>512</v>
      </c>
      <c r="S4924" s="33" t="s">
        <v>22</v>
      </c>
      <c r="T4924" s="33" t="s">
        <v>26781</v>
      </c>
      <c r="U4924" s="33" t="s">
        <v>26572</v>
      </c>
      <c r="V4924" s="33" t="s">
        <v>26573</v>
      </c>
      <c r="W4924" s="33" t="s">
        <v>94</v>
      </c>
      <c r="X4924" s="33">
        <v>655</v>
      </c>
      <c r="Z4924" s="33" t="s">
        <v>42967</v>
      </c>
      <c r="AA4924" s="33">
        <v>2740</v>
      </c>
    </row>
    <row r="4925" spans="1:27" ht="12" customHeight="1" x14ac:dyDescent="0.15">
      <c r="A4925" s="33" t="s">
        <v>1114</v>
      </c>
      <c r="B4925" s="33">
        <v>19</v>
      </c>
      <c r="C4925" s="33" t="s">
        <v>14</v>
      </c>
      <c r="D4925" s="33" t="s">
        <v>79</v>
      </c>
      <c r="E4925" s="33" t="s">
        <v>18854</v>
      </c>
      <c r="F4925" s="67">
        <v>42202</v>
      </c>
      <c r="G4925" s="33" t="s">
        <v>1115</v>
      </c>
      <c r="H4925" s="33" t="s">
        <v>1116</v>
      </c>
      <c r="I4925" s="33" t="s">
        <v>298</v>
      </c>
      <c r="J4925" s="33">
        <v>38115</v>
      </c>
      <c r="K4925" s="33" t="s">
        <v>1117</v>
      </c>
      <c r="L4925" s="33" t="s">
        <v>1118</v>
      </c>
      <c r="M4925" s="33" t="s">
        <v>21</v>
      </c>
      <c r="N4925" s="33" t="s">
        <v>1119</v>
      </c>
      <c r="O4925" s="33" t="s">
        <v>372</v>
      </c>
      <c r="P4925" s="33" t="s">
        <v>30089</v>
      </c>
      <c r="Q4925" s="40" t="str">
        <f>HYPERLINK("http://www.wmcactionnews5.com/story/29578116/man-dead-after-struggle-with-mpd-officer","http://www.wmcactionnews5.com/story/29578116/man-dead-after-struggle-with-mpd-officer")</f>
        <v>http://www.wmcactionnews5.com/story/29578116/man-dead-after-struggle-with-mpd-officer</v>
      </c>
      <c r="R4925" s="33" t="s">
        <v>94</v>
      </c>
      <c r="S4925" s="33" t="s">
        <v>12</v>
      </c>
      <c r="T4925" s="33" t="s">
        <v>29705</v>
      </c>
      <c r="U4925" s="33" t="s">
        <v>26572</v>
      </c>
      <c r="V4925" s="33" t="s">
        <v>26574</v>
      </c>
      <c r="W4925" s="33" t="s">
        <v>94</v>
      </c>
      <c r="X4925" s="33">
        <v>657</v>
      </c>
      <c r="Z4925" s="33" t="s">
        <v>42968</v>
      </c>
      <c r="AA4925" s="33">
        <v>2742</v>
      </c>
    </row>
    <row r="4926" spans="1:27" ht="12" customHeight="1" x14ac:dyDescent="0.15">
      <c r="A4926" s="33" t="s">
        <v>1155</v>
      </c>
      <c r="B4926" s="33">
        <v>23</v>
      </c>
      <c r="C4926" s="33" t="s">
        <v>14</v>
      </c>
      <c r="D4926" s="33" t="s">
        <v>128</v>
      </c>
      <c r="E4926" s="33" t="str">
        <f>HYPERLINK("http://media.graytvinc.com/images/saige+hack+2.jpg","http://media.graytvinc.com/images/saige+hack+2.jpg")</f>
        <v>http://media.graytvinc.com/images/saige+hack+2.jpg</v>
      </c>
      <c r="F4926" s="67">
        <v>42201</v>
      </c>
      <c r="G4926" s="33" t="s">
        <v>1156</v>
      </c>
      <c r="H4926" s="33" t="s">
        <v>1157</v>
      </c>
      <c r="I4926" s="33" t="s">
        <v>1020</v>
      </c>
      <c r="J4926" s="33">
        <v>82007</v>
      </c>
      <c r="K4926" s="33" t="s">
        <v>1158</v>
      </c>
      <c r="L4926" s="33" t="s">
        <v>1159</v>
      </c>
      <c r="M4926" s="33" t="s">
        <v>21</v>
      </c>
      <c r="N4926" s="33" t="s">
        <v>1160</v>
      </c>
      <c r="O4926" s="33" t="s">
        <v>372</v>
      </c>
      <c r="P4926" s="33" t="s">
        <v>30089</v>
      </c>
      <c r="Q4926" s="40" t="str">
        <f>HYPERLINK("http://trib.com/news/local/crime-and-courts/authorities-identify-man-killed-in-law-enforcement-shooting/article_6d603afc-e1e5-5d5c-a156-708cc4078263.html","http://trib.com/news/local/crime-and-courts/authorities-identify-man-killed-in-law-enforcement-shooting/article_6d603afc-e1e5-5d5c-a156-708cc4078263.html")</f>
        <v>http://trib.com/news/local/crime-and-courts/authorities-identify-man-killed-in-law-enforcement-shooting/article_6d603afc-e1e5-5d5c-a156-708cc4078263.html</v>
      </c>
      <c r="R4926" s="33" t="s">
        <v>94</v>
      </c>
      <c r="S4926" s="33" t="s">
        <v>22</v>
      </c>
      <c r="T4926" s="33" t="s">
        <v>26781</v>
      </c>
      <c r="U4926" s="33" t="s">
        <v>26572</v>
      </c>
      <c r="V4926" s="33" t="s">
        <v>26573</v>
      </c>
      <c r="W4926" s="33" t="s">
        <v>94</v>
      </c>
      <c r="X4926" s="33">
        <v>656</v>
      </c>
      <c r="Z4926" s="33" t="s">
        <v>42968</v>
      </c>
      <c r="AA4926" s="33">
        <v>2736</v>
      </c>
    </row>
    <row r="4927" spans="1:27" ht="12" customHeight="1" x14ac:dyDescent="0.15">
      <c r="A4927" s="33" t="s">
        <v>1136</v>
      </c>
      <c r="B4927" s="33">
        <v>24</v>
      </c>
      <c r="C4927" s="33" t="s">
        <v>14</v>
      </c>
      <c r="D4927" s="33" t="s">
        <v>15</v>
      </c>
      <c r="F4927" s="67">
        <v>42201</v>
      </c>
      <c r="G4927" s="33" t="s">
        <v>1137</v>
      </c>
      <c r="H4927" s="33" t="s">
        <v>1138</v>
      </c>
      <c r="I4927" s="33" t="s">
        <v>298</v>
      </c>
      <c r="J4927" s="33">
        <v>37406</v>
      </c>
      <c r="K4927" s="33" t="s">
        <v>505</v>
      </c>
      <c r="L4927" s="33" t="s">
        <v>1139</v>
      </c>
      <c r="M4927" s="33" t="s">
        <v>21</v>
      </c>
      <c r="N4927" s="33" t="s">
        <v>1140</v>
      </c>
      <c r="O4927" s="33" t="s">
        <v>372</v>
      </c>
      <c r="P4927" s="33" t="s">
        <v>30089</v>
      </c>
      <c r="Q4927" s="40" t="str">
        <f>HYPERLINK("http://www.cnn.com/2015/07/17/us/tennessee-shooter-mohammad-youssuf-abdulazeez/","http://www.cnn.com/2015/07/17/us/tennessee-shooter-mohammad-youssuf-abdulazeez/")</f>
        <v>http://www.cnn.com/2015/07/17/us/tennessee-shooter-mohammad-youssuf-abdulazeez/</v>
      </c>
      <c r="R4927" s="33" t="s">
        <v>512</v>
      </c>
      <c r="S4927" s="33" t="s">
        <v>22</v>
      </c>
      <c r="T4927" s="33" t="s">
        <v>26781</v>
      </c>
      <c r="U4927" s="33" t="s">
        <v>26572</v>
      </c>
      <c r="V4927" s="33" t="s">
        <v>26573</v>
      </c>
      <c r="W4927" s="33" t="s">
        <v>94</v>
      </c>
      <c r="X4927" s="33">
        <v>649</v>
      </c>
      <c r="Z4927" s="33" t="s">
        <v>42966</v>
      </c>
      <c r="AA4927" s="33">
        <v>2735</v>
      </c>
    </row>
    <row r="4928" spans="1:27" ht="12" customHeight="1" x14ac:dyDescent="0.15">
      <c r="A4928" s="33" t="s">
        <v>1167</v>
      </c>
      <c r="B4928" s="33">
        <v>30</v>
      </c>
      <c r="C4928" s="33" t="s">
        <v>14</v>
      </c>
      <c r="D4928" s="33" t="s">
        <v>31</v>
      </c>
      <c r="F4928" s="67">
        <v>42201</v>
      </c>
      <c r="G4928" s="33" t="s">
        <v>1168</v>
      </c>
      <c r="H4928" s="33" t="s">
        <v>401</v>
      </c>
      <c r="I4928" s="33" t="s">
        <v>337</v>
      </c>
      <c r="J4928" s="33">
        <v>66205</v>
      </c>
      <c r="K4928" s="33" t="s">
        <v>554</v>
      </c>
      <c r="L4928" s="33" t="s">
        <v>42466</v>
      </c>
      <c r="M4928" s="33" t="s">
        <v>21</v>
      </c>
      <c r="N4928" s="33" t="s">
        <v>1169</v>
      </c>
      <c r="O4928" s="33" t="s">
        <v>372</v>
      </c>
      <c r="P4928" s="33" t="s">
        <v>30089</v>
      </c>
      <c r="Q4928" s="40" t="s">
        <v>18869</v>
      </c>
      <c r="R4928" s="33" t="s">
        <v>94</v>
      </c>
      <c r="S4928" s="33" t="s">
        <v>22</v>
      </c>
      <c r="T4928" s="33" t="s">
        <v>26781</v>
      </c>
      <c r="U4928" s="33" t="s">
        <v>26572</v>
      </c>
      <c r="V4928" s="33" t="s">
        <v>19228</v>
      </c>
      <c r="W4928" s="33" t="s">
        <v>94</v>
      </c>
      <c r="X4928" s="33">
        <v>648</v>
      </c>
      <c r="Z4928" s="33" t="s">
        <v>42968</v>
      </c>
      <c r="AA4928" s="33">
        <v>2734</v>
      </c>
    </row>
    <row r="4929" spans="1:27" ht="12" customHeight="1" x14ac:dyDescent="0.15">
      <c r="A4929" s="33" t="s">
        <v>1146</v>
      </c>
      <c r="B4929" s="33">
        <v>35</v>
      </c>
      <c r="C4929" s="33" t="s">
        <v>14</v>
      </c>
      <c r="D4929" s="33" t="s">
        <v>79</v>
      </c>
      <c r="F4929" s="67">
        <v>42201</v>
      </c>
      <c r="G4929" s="33" t="s">
        <v>1147</v>
      </c>
      <c r="H4929" s="33" t="s">
        <v>1148</v>
      </c>
      <c r="I4929" s="33" t="s">
        <v>56</v>
      </c>
      <c r="J4929" s="33">
        <v>33030</v>
      </c>
      <c r="K4929" s="33" t="s">
        <v>148</v>
      </c>
      <c r="L4929" s="33" t="s">
        <v>6368</v>
      </c>
      <c r="M4929" s="33" t="s">
        <v>21</v>
      </c>
      <c r="N4929" s="33" t="s">
        <v>1149</v>
      </c>
      <c r="O4929" s="33" t="s">
        <v>372</v>
      </c>
      <c r="P4929" s="33" t="s">
        <v>30089</v>
      </c>
      <c r="Q4929" s="40" t="str">
        <f>HYPERLINK("http://www.miamiherald.com/news/local/crime/article27524482.html","http://www.miamiherald.com/news/local/crime/article27524482.html")</f>
        <v>http://www.miamiherald.com/news/local/crime/article27524482.html</v>
      </c>
      <c r="R4929" s="33" t="s">
        <v>94</v>
      </c>
      <c r="S4929" s="33" t="s">
        <v>22</v>
      </c>
      <c r="T4929" s="33" t="s">
        <v>26781</v>
      </c>
      <c r="U4929" s="33" t="s">
        <v>26572</v>
      </c>
      <c r="V4929" s="33" t="s">
        <v>26573</v>
      </c>
      <c r="W4929" s="33" t="s">
        <v>94</v>
      </c>
      <c r="X4929" s="33">
        <v>647</v>
      </c>
      <c r="Z4929" s="33" t="s">
        <v>42968</v>
      </c>
      <c r="AA4929" s="33">
        <v>2733</v>
      </c>
    </row>
    <row r="4930" spans="1:27" ht="12" customHeight="1" x14ac:dyDescent="0.15">
      <c r="A4930" s="33" t="s">
        <v>1161</v>
      </c>
      <c r="B4930" s="33">
        <v>29</v>
      </c>
      <c r="C4930" s="33" t="s">
        <v>14</v>
      </c>
      <c r="D4930" s="33" t="s">
        <v>31</v>
      </c>
      <c r="F4930" s="67">
        <v>42201</v>
      </c>
      <c r="G4930" s="33" t="s">
        <v>1162</v>
      </c>
      <c r="H4930" s="33" t="s">
        <v>1163</v>
      </c>
      <c r="I4930" s="33" t="s">
        <v>88</v>
      </c>
      <c r="J4930" s="33">
        <v>36467</v>
      </c>
      <c r="K4930" s="33" t="s">
        <v>1164</v>
      </c>
      <c r="L4930" s="33" t="s">
        <v>1165</v>
      </c>
      <c r="M4930" s="33" t="s">
        <v>21</v>
      </c>
      <c r="N4930" s="33" t="s">
        <v>1166</v>
      </c>
      <c r="O4930" s="33" t="s">
        <v>950</v>
      </c>
      <c r="P4930" s="33" t="s">
        <v>30089</v>
      </c>
      <c r="Q4930" s="40" t="str">
        <f>HYPERLINK("http://www.myfoxal.com/story/29566625/man-in-opp-officer-involved-shooting-dies","http://www.myfoxal.com/story/29566625/man-in-opp-officer-involved-shooting-dies")</f>
        <v>http://www.myfoxal.com/story/29566625/man-in-opp-officer-involved-shooting-dies</v>
      </c>
      <c r="R4930" s="33" t="s">
        <v>94</v>
      </c>
      <c r="S4930" s="33" t="s">
        <v>22</v>
      </c>
      <c r="T4930" s="33" t="s">
        <v>26781</v>
      </c>
      <c r="U4930" s="33" t="s">
        <v>26572</v>
      </c>
      <c r="V4930" s="33" t="s">
        <v>26574</v>
      </c>
      <c r="W4930" s="33" t="s">
        <v>94</v>
      </c>
      <c r="X4930" s="33">
        <v>664</v>
      </c>
      <c r="Z4930" s="33" t="s">
        <v>42967</v>
      </c>
      <c r="AA4930" s="33">
        <v>2737</v>
      </c>
    </row>
    <row r="4931" spans="1:27" ht="12" customHeight="1" x14ac:dyDescent="0.15">
      <c r="A4931" s="33" t="s">
        <v>1150</v>
      </c>
      <c r="B4931" s="33">
        <v>29</v>
      </c>
      <c r="C4931" s="33" t="s">
        <v>14</v>
      </c>
      <c r="D4931" s="33" t="s">
        <v>42</v>
      </c>
      <c r="E4931" s="33" t="str">
        <f>HYPERLINK("https://localtvwiti.files.wordpress.com/2015/07/antonio-gonzales2.jpeg","https://localtvwiti.files.wordpress.com/2015/07/antonio-gonzales2.jpeg")</f>
        <v>https://localtvwiti.files.wordpress.com/2015/07/antonio-gonzales2.jpeg</v>
      </c>
      <c r="F4931" s="67">
        <v>42201</v>
      </c>
      <c r="G4931" s="33" t="s">
        <v>1151</v>
      </c>
      <c r="H4931" s="33" t="s">
        <v>1152</v>
      </c>
      <c r="I4931" s="33" t="s">
        <v>409</v>
      </c>
      <c r="J4931" s="33">
        <v>53226</v>
      </c>
      <c r="K4931" s="33" t="s">
        <v>831</v>
      </c>
      <c r="L4931" s="33" t="s">
        <v>1153</v>
      </c>
      <c r="M4931" s="33" t="s">
        <v>21</v>
      </c>
      <c r="N4931" s="33" t="s">
        <v>1154</v>
      </c>
      <c r="O4931" s="33" t="s">
        <v>950</v>
      </c>
      <c r="P4931" s="33" t="s">
        <v>30089</v>
      </c>
      <c r="Q4931" s="40" t="str">
        <f>HYPERLINK("http://www.nbc15.com/home/headlines/Reports-of-shooting-in-Monroe-318229761.html","http://www.nbc15.com/home/headlines/Reports-of-shooting-in-Monroe-318229761.html")</f>
        <v>http://www.nbc15.com/home/headlines/Reports-of-shooting-in-Monroe-318229761.html</v>
      </c>
      <c r="R4931" s="33" t="s">
        <v>512</v>
      </c>
      <c r="S4931" s="33" t="s">
        <v>22</v>
      </c>
      <c r="T4931" s="33" t="s">
        <v>28239</v>
      </c>
      <c r="U4931" s="33" t="s">
        <v>26570</v>
      </c>
      <c r="V4931" s="33" t="s">
        <v>26573</v>
      </c>
      <c r="W4931" s="33" t="s">
        <v>94</v>
      </c>
      <c r="X4931" s="33">
        <v>646</v>
      </c>
      <c r="Z4931" s="33" t="s">
        <v>42968</v>
      </c>
      <c r="AA4931" s="33">
        <v>2739</v>
      </c>
    </row>
    <row r="4932" spans="1:27" ht="12" customHeight="1" x14ac:dyDescent="0.15">
      <c r="A4932" s="33" t="s">
        <v>1141</v>
      </c>
      <c r="B4932" s="33">
        <v>25</v>
      </c>
      <c r="C4932" s="33" t="s">
        <v>14</v>
      </c>
      <c r="D4932" s="33" t="s">
        <v>79</v>
      </c>
      <c r="F4932" s="67">
        <v>42201</v>
      </c>
      <c r="G4932" s="33" t="s">
        <v>1142</v>
      </c>
      <c r="H4932" s="33" t="s">
        <v>1143</v>
      </c>
      <c r="I4932" s="33" t="s">
        <v>39</v>
      </c>
      <c r="J4932" s="33">
        <v>92553</v>
      </c>
      <c r="K4932" s="33" t="s">
        <v>728</v>
      </c>
      <c r="L4932" s="33" t="s">
        <v>1144</v>
      </c>
      <c r="M4932" s="33" t="s">
        <v>4966</v>
      </c>
      <c r="N4932" s="33" t="s">
        <v>17586</v>
      </c>
      <c r="O4932" s="33" t="s">
        <v>372</v>
      </c>
      <c r="P4932" s="33" t="s">
        <v>30089</v>
      </c>
      <c r="Q4932" s="40" t="s">
        <v>17587</v>
      </c>
      <c r="R4932" s="33" t="s">
        <v>512</v>
      </c>
      <c r="S4932" s="33" t="s">
        <v>29</v>
      </c>
      <c r="T4932" s="33" t="s">
        <v>26616</v>
      </c>
      <c r="U4932" s="33" t="s">
        <v>26570</v>
      </c>
      <c r="V4932" s="33" t="s">
        <v>26573</v>
      </c>
      <c r="W4932" s="33" t="s">
        <v>94</v>
      </c>
      <c r="X4932" s="33">
        <v>642</v>
      </c>
      <c r="Z4932" s="33" t="s">
        <v>42968</v>
      </c>
      <c r="AA4932" s="33">
        <v>2738</v>
      </c>
    </row>
    <row r="4933" spans="1:27" ht="12" customHeight="1" x14ac:dyDescent="0.15">
      <c r="A4933" s="33" t="s">
        <v>1173</v>
      </c>
      <c r="B4933" s="33">
        <v>43</v>
      </c>
      <c r="C4933" s="33" t="s">
        <v>14</v>
      </c>
      <c r="D4933" s="33" t="s">
        <v>31</v>
      </c>
      <c r="E4933" s="33" t="str">
        <f>HYPERLINK("http://media.mlive.com/grpress/news_impact/photo/eugene-kailingjpg-1325419215b33c26.jpg","http://media.mlive.com/grpress/news_impact/photo/eugene-kailingjpg-1325419215b33c26.jpg")</f>
        <v>http://media.mlive.com/grpress/news_impact/photo/eugene-kailingjpg-1325419215b33c26.jpg</v>
      </c>
      <c r="F4933" s="67">
        <v>42200</v>
      </c>
      <c r="G4933" s="33" t="s">
        <v>1174</v>
      </c>
      <c r="H4933" s="33" t="s">
        <v>392</v>
      </c>
      <c r="I4933" s="33" t="s">
        <v>51</v>
      </c>
      <c r="J4933" s="33">
        <v>49665</v>
      </c>
      <c r="K4933" s="33" t="s">
        <v>1175</v>
      </c>
      <c r="L4933" s="33" t="s">
        <v>3627</v>
      </c>
      <c r="M4933" s="33" t="s">
        <v>4966</v>
      </c>
      <c r="N4933" s="33" t="s">
        <v>892</v>
      </c>
      <c r="O4933" s="33" t="s">
        <v>372</v>
      </c>
      <c r="P4933" s="33" t="s">
        <v>30089</v>
      </c>
      <c r="Q4933" s="40" t="str">
        <f>HYPERLINK("http://www.mlive.com/news/grand-rapids/index.ssf/2015/07/no_reason_to_shoot_him_step-da.html","http://www.mlive.com/news/grand-rapids/index.ssf/2015/07/no_reason_to_shoot_him_step-da.html")</f>
        <v>http://www.mlive.com/news/grand-rapids/index.ssf/2015/07/no_reason_to_shoot_him_step-da.html</v>
      </c>
      <c r="R4933" s="33" t="s">
        <v>512</v>
      </c>
      <c r="S4933" s="33" t="s">
        <v>22</v>
      </c>
      <c r="T4933" s="33" t="s">
        <v>26584</v>
      </c>
      <c r="U4933" s="33" t="s">
        <v>26570</v>
      </c>
      <c r="V4933" s="33" t="s">
        <v>26573</v>
      </c>
      <c r="W4933" s="33" t="s">
        <v>94</v>
      </c>
      <c r="X4933" s="33">
        <v>643</v>
      </c>
      <c r="Z4933" s="33" t="s">
        <v>42967</v>
      </c>
      <c r="AA4933" s="33">
        <v>2732</v>
      </c>
    </row>
    <row r="4934" spans="1:27" ht="12" customHeight="1" x14ac:dyDescent="0.15">
      <c r="A4934" s="33" t="s">
        <v>1182</v>
      </c>
      <c r="B4934" s="33">
        <v>76</v>
      </c>
      <c r="C4934" s="33" t="s">
        <v>14</v>
      </c>
      <c r="D4934" s="33" t="s">
        <v>31</v>
      </c>
      <c r="F4934" s="67">
        <v>42199</v>
      </c>
      <c r="G4934" s="33" t="s">
        <v>1183</v>
      </c>
      <c r="H4934" s="33" t="s">
        <v>1184</v>
      </c>
      <c r="I4934" s="33" t="s">
        <v>63</v>
      </c>
      <c r="J4934" s="33">
        <v>44470</v>
      </c>
      <c r="K4934" s="33" t="s">
        <v>1185</v>
      </c>
      <c r="L4934" s="33" t="s">
        <v>1186</v>
      </c>
      <c r="M4934" s="33" t="s">
        <v>21</v>
      </c>
      <c r="N4934" s="33" t="s">
        <v>1187</v>
      </c>
      <c r="O4934" s="33" t="s">
        <v>372</v>
      </c>
      <c r="P4934" s="33" t="s">
        <v>30089</v>
      </c>
      <c r="Q4934" s="40" t="str">
        <f>HYPERLINK("http://wkbn.com/2015/07/14/man-dies-in-shootout-with-police-in-southington/","http://wkbn.com/2015/07/14/man-dies-in-shootout-with-police-in-southington/")</f>
        <v>http://wkbn.com/2015/07/14/man-dies-in-shootout-with-police-in-southington/</v>
      </c>
      <c r="R4934" s="33" t="s">
        <v>94</v>
      </c>
      <c r="S4934" s="33" t="s">
        <v>22</v>
      </c>
      <c r="T4934" s="33" t="s">
        <v>26781</v>
      </c>
      <c r="U4934" s="33" t="s">
        <v>26572</v>
      </c>
      <c r="V4934" s="33" t="s">
        <v>26573</v>
      </c>
      <c r="W4934" s="33" t="s">
        <v>94</v>
      </c>
      <c r="X4934" s="33">
        <v>641</v>
      </c>
      <c r="Z4934" s="33" t="s">
        <v>42967</v>
      </c>
      <c r="AA4934" s="33">
        <v>2731</v>
      </c>
    </row>
    <row r="4935" spans="1:27" ht="12" customHeight="1" x14ac:dyDescent="0.15">
      <c r="A4935" s="33" t="s">
        <v>1176</v>
      </c>
      <c r="B4935" s="33">
        <v>20</v>
      </c>
      <c r="C4935" s="33" t="s">
        <v>14</v>
      </c>
      <c r="D4935" s="33" t="s">
        <v>79</v>
      </c>
      <c r="F4935" s="67">
        <v>42199</v>
      </c>
      <c r="G4935" s="33" t="s">
        <v>1177</v>
      </c>
      <c r="H4935" s="33" t="s">
        <v>1178</v>
      </c>
      <c r="I4935" s="33" t="s">
        <v>56</v>
      </c>
      <c r="J4935" s="33">
        <v>34753</v>
      </c>
      <c r="K4935" s="33" t="s">
        <v>1179</v>
      </c>
      <c r="L4935" s="33" t="s">
        <v>1180</v>
      </c>
      <c r="M4935" s="33" t="s">
        <v>21</v>
      </c>
      <c r="N4935" s="33" t="s">
        <v>1181</v>
      </c>
      <c r="O4935" s="33" t="s">
        <v>372</v>
      </c>
      <c r="P4935" s="33" t="s">
        <v>30089</v>
      </c>
      <c r="Q4935" s="40" t="str">
        <f>HYPERLINK("http://www.clickorlando.com/news/1-dead-in-deputyinvolved-shooting-in-lake-county/34153664","http://www.clickorlando.com/news/1-dead-in-deputyinvolved-shooting-in-lake-county/34153664")</f>
        <v>http://www.clickorlando.com/news/1-dead-in-deputyinvolved-shooting-in-lake-county/34153664</v>
      </c>
      <c r="R4935" s="33" t="s">
        <v>94</v>
      </c>
      <c r="S4935" s="33" t="s">
        <v>22</v>
      </c>
      <c r="T4935" s="33" t="s">
        <v>26781</v>
      </c>
      <c r="U4935" s="33" t="s">
        <v>26572</v>
      </c>
      <c r="V4935" s="33" t="s">
        <v>26573</v>
      </c>
      <c r="W4935" s="33" t="s">
        <v>94</v>
      </c>
      <c r="X4935" s="33">
        <v>639</v>
      </c>
      <c r="Z4935" s="33" t="s">
        <v>42968</v>
      </c>
      <c r="AA4935" s="33">
        <v>2730</v>
      </c>
    </row>
    <row r="4936" spans="1:27" ht="12" customHeight="1" x14ac:dyDescent="0.15">
      <c r="A4936" s="33" t="s">
        <v>1170</v>
      </c>
      <c r="B4936" s="33">
        <v>41</v>
      </c>
      <c r="C4936" s="33" t="s">
        <v>14</v>
      </c>
      <c r="D4936" s="33" t="s">
        <v>31</v>
      </c>
      <c r="F4936" s="67">
        <v>42198</v>
      </c>
      <c r="G4936" s="33" t="s">
        <v>1171</v>
      </c>
      <c r="H4936" s="33" t="s">
        <v>92</v>
      </c>
      <c r="I4936" s="33" t="s">
        <v>39</v>
      </c>
      <c r="J4936" s="33">
        <v>90291</v>
      </c>
      <c r="K4936" s="33" t="s">
        <v>92</v>
      </c>
      <c r="L4936" s="33" t="s">
        <v>93</v>
      </c>
      <c r="M4936" s="33" t="s">
        <v>4966</v>
      </c>
      <c r="N4936" s="33" t="s">
        <v>1172</v>
      </c>
      <c r="O4936" s="33" t="s">
        <v>372</v>
      </c>
      <c r="P4936" s="33" t="s">
        <v>30089</v>
      </c>
      <c r="Q4936" s="40" t="str">
        <f>HYPERLINK("http://homicide.latimes.com/post/jason-charles-davis/","http://homicide.latimes.com/post/jason-charles-davis/")</f>
        <v>http://homicide.latimes.com/post/jason-charles-davis/</v>
      </c>
      <c r="R4936" s="33" t="s">
        <v>94</v>
      </c>
      <c r="S4936" s="33" t="s">
        <v>22</v>
      </c>
      <c r="T4936" s="33" t="s">
        <v>26612</v>
      </c>
      <c r="U4936" s="33" t="s">
        <v>26570</v>
      </c>
      <c r="V4936" s="33" t="s">
        <v>26573</v>
      </c>
      <c r="W4936" s="33" t="s">
        <v>94</v>
      </c>
      <c r="X4936" s="33">
        <v>645</v>
      </c>
      <c r="Z4936" s="33" t="s">
        <v>42966</v>
      </c>
      <c r="AA4936" s="33">
        <v>2726</v>
      </c>
    </row>
    <row r="4937" spans="1:27" ht="12" customHeight="1" x14ac:dyDescent="0.15">
      <c r="A4937" s="33" t="s">
        <v>1197</v>
      </c>
      <c r="B4937" s="33">
        <v>24</v>
      </c>
      <c r="C4937" s="33" t="s">
        <v>14</v>
      </c>
      <c r="D4937" s="33" t="s">
        <v>31</v>
      </c>
      <c r="F4937" s="67">
        <v>42198</v>
      </c>
      <c r="G4937" s="33" t="s">
        <v>1198</v>
      </c>
      <c r="H4937" s="33" t="s">
        <v>1199</v>
      </c>
      <c r="I4937" s="33" t="s">
        <v>39</v>
      </c>
      <c r="J4937" s="33">
        <v>96025</v>
      </c>
      <c r="K4937" s="33" t="s">
        <v>896</v>
      </c>
      <c r="L4937" s="33" t="s">
        <v>1200</v>
      </c>
      <c r="M4937" s="33" t="s">
        <v>21</v>
      </c>
      <c r="N4937" s="33" t="s">
        <v>1145</v>
      </c>
      <c r="O4937" s="33" t="s">
        <v>372</v>
      </c>
      <c r="P4937" s="33" t="s">
        <v>30089</v>
      </c>
      <c r="Q4937" s="40" t="str">
        <f>HYPERLINK("http://www.redding.com/homepage-showcase/matthew-graham-killed-in-dunsmuir-shootout-with-officers_38935482","http://www.redding.com/homepage-showcase/matthew-graham-killed-in-dunsmuir-shootout-with-officers_38935482")</f>
        <v>http://www.redding.com/homepage-showcase/matthew-graham-killed-in-dunsmuir-shootout-with-officers_38935482</v>
      </c>
      <c r="R4937" s="33" t="s">
        <v>94</v>
      </c>
      <c r="S4937" s="33" t="s">
        <v>22</v>
      </c>
      <c r="T4937" s="33" t="s">
        <v>26781</v>
      </c>
      <c r="U4937" s="33" t="s">
        <v>26572</v>
      </c>
      <c r="V4937" s="33" t="s">
        <v>26571</v>
      </c>
      <c r="W4937" s="33" t="s">
        <v>94</v>
      </c>
      <c r="X4937" s="33">
        <v>635</v>
      </c>
      <c r="Z4937" s="33" t="s">
        <v>42967</v>
      </c>
      <c r="AA4937" s="33">
        <v>2728</v>
      </c>
    </row>
    <row r="4938" spans="1:27" ht="12" customHeight="1" x14ac:dyDescent="0.15">
      <c r="A4938" s="33" t="s">
        <v>1215</v>
      </c>
      <c r="B4938" s="33">
        <v>20</v>
      </c>
      <c r="C4938" s="33" t="s">
        <v>14</v>
      </c>
      <c r="D4938" s="33" t="s">
        <v>79</v>
      </c>
      <c r="E4938" s="33" t="s">
        <v>18393</v>
      </c>
      <c r="F4938" s="67">
        <v>42198</v>
      </c>
      <c r="G4938" s="33" t="s">
        <v>1216</v>
      </c>
      <c r="H4938" s="33" t="s">
        <v>1217</v>
      </c>
      <c r="I4938" s="33" t="s">
        <v>160</v>
      </c>
      <c r="J4938" s="33">
        <v>30083</v>
      </c>
      <c r="K4938" s="33" t="s">
        <v>1218</v>
      </c>
      <c r="L4938" s="33" t="s">
        <v>806</v>
      </c>
      <c r="M4938" s="33" t="s">
        <v>21</v>
      </c>
      <c r="N4938" s="33" t="s">
        <v>1219</v>
      </c>
      <c r="O4938" s="33" t="s">
        <v>372</v>
      </c>
      <c r="P4938" s="33" t="s">
        <v>30089</v>
      </c>
      <c r="Q4938" s="40" t="s">
        <v>18868</v>
      </c>
      <c r="R4938" s="33" t="s">
        <v>94</v>
      </c>
      <c r="S4938" s="33" t="s">
        <v>22</v>
      </c>
      <c r="T4938" s="33" t="s">
        <v>26781</v>
      </c>
      <c r="U4938" s="33" t="s">
        <v>26572</v>
      </c>
      <c r="V4938" s="33" t="s">
        <v>26573</v>
      </c>
      <c r="W4938" s="33" t="s">
        <v>94</v>
      </c>
      <c r="X4938" s="33">
        <v>629</v>
      </c>
      <c r="Z4938" s="33" t="s">
        <v>42968</v>
      </c>
      <c r="AA4938" s="33">
        <v>2727</v>
      </c>
    </row>
    <row r="4939" spans="1:27" ht="12" customHeight="1" x14ac:dyDescent="0.15">
      <c r="A4939" s="33" t="s">
        <v>1189</v>
      </c>
      <c r="B4939" s="33">
        <v>23</v>
      </c>
      <c r="C4939" s="33" t="s">
        <v>14</v>
      </c>
      <c r="D4939" s="33" t="s">
        <v>42</v>
      </c>
      <c r="F4939" s="67">
        <v>42198</v>
      </c>
      <c r="G4939" s="33" t="s">
        <v>1190</v>
      </c>
      <c r="H4939" s="33" t="s">
        <v>1191</v>
      </c>
      <c r="I4939" s="33" t="s">
        <v>40</v>
      </c>
      <c r="J4939" s="33">
        <v>1902</v>
      </c>
      <c r="K4939" s="33" t="s">
        <v>486</v>
      </c>
      <c r="L4939" s="33" t="s">
        <v>1192</v>
      </c>
      <c r="M4939" s="33" t="s">
        <v>21</v>
      </c>
      <c r="N4939" s="33" t="s">
        <v>1425</v>
      </c>
      <c r="O4939" s="33" t="s">
        <v>372</v>
      </c>
      <c r="P4939" s="33" t="s">
        <v>30089</v>
      </c>
      <c r="Q4939" s="40" t="str">
        <f>HYPERLINK("https://www.bostonglobe.com/metro/2015/07/14/roxbury-man-identified-person-fatally-shot-lynn-police-officer-during-drug-investigation/HluhRMJJeFBqMqtUt3gNWP/story.html","https://www.bostonglobe.com/metro/2015/07/14/roxbury-man-identified-person-fatally-shot-lynn-police-officer-during-drug-investigation/HluhRMJJeFBqMqtUt3gNWP/story.html")</f>
        <v>https://www.bostonglobe.com/metro/2015/07/14/roxbury-man-identified-person-fatally-shot-lynn-police-officer-during-drug-investigation/HluhRMJJeFBqMqtUt3gNWP/story.html</v>
      </c>
      <c r="R4939" s="33" t="s">
        <v>94</v>
      </c>
      <c r="S4939" s="33" t="s">
        <v>351</v>
      </c>
      <c r="T4939" s="33" t="s">
        <v>26867</v>
      </c>
      <c r="U4939" s="33" t="s">
        <v>26572</v>
      </c>
      <c r="V4939" s="33" t="s">
        <v>26573</v>
      </c>
      <c r="W4939" s="33" t="s">
        <v>94</v>
      </c>
      <c r="X4939" s="33">
        <v>638</v>
      </c>
      <c r="Z4939" s="33" t="s">
        <v>42966</v>
      </c>
      <c r="AA4939" s="33">
        <v>2729</v>
      </c>
    </row>
    <row r="4940" spans="1:27" ht="12" customHeight="1" x14ac:dyDescent="0.15">
      <c r="A4940" s="33" t="s">
        <v>1220</v>
      </c>
      <c r="B4940" s="33">
        <v>24</v>
      </c>
      <c r="C4940" s="33" t="s">
        <v>14</v>
      </c>
      <c r="D4940" s="33" t="s">
        <v>31</v>
      </c>
      <c r="F4940" s="67">
        <v>42197</v>
      </c>
      <c r="G4940" s="33" t="s">
        <v>1221</v>
      </c>
      <c r="H4940" s="33" t="s">
        <v>1222</v>
      </c>
      <c r="I4940" s="33" t="s">
        <v>38</v>
      </c>
      <c r="J4940" s="33">
        <v>60305</v>
      </c>
      <c r="K4940" s="33" t="s">
        <v>82</v>
      </c>
      <c r="L4940" s="33" t="s">
        <v>1223</v>
      </c>
      <c r="M4940" s="33" t="s">
        <v>21</v>
      </c>
      <c r="N4940" s="33" t="s">
        <v>1224</v>
      </c>
      <c r="O4940" s="33" t="s">
        <v>372</v>
      </c>
      <c r="P4940" s="33" t="s">
        <v>30089</v>
      </c>
      <c r="Q4940" s="40" t="str">
        <f>HYPERLINK("http://www.oakpark.com/News/Articles/7-13-2015/Three-injured,-two-killed-in-River-Forest/","http://www.oakpark.com/News/Articles/7-13-2015/Three-injured,-two-killed-in-River-Forest/")</f>
        <v>http://www.oakpark.com/News/Articles/7-13-2015/Three-injured,-two-killed-in-River-Forest/</v>
      </c>
      <c r="R4940" s="33" t="s">
        <v>23</v>
      </c>
      <c r="S4940" s="33" t="s">
        <v>22</v>
      </c>
      <c r="T4940" s="33" t="s">
        <v>26781</v>
      </c>
      <c r="U4940" s="33" t="s">
        <v>26572</v>
      </c>
      <c r="V4940" s="33" t="s">
        <v>26573</v>
      </c>
      <c r="W4940" s="33" t="s">
        <v>94</v>
      </c>
      <c r="X4940" s="33">
        <v>633</v>
      </c>
      <c r="Z4940" s="33" t="s">
        <v>42968</v>
      </c>
      <c r="AA4940" s="33">
        <v>2722</v>
      </c>
    </row>
    <row r="4941" spans="1:27" ht="12" customHeight="1" x14ac:dyDescent="0.15">
      <c r="A4941" s="33" t="s">
        <v>1210</v>
      </c>
      <c r="B4941" s="33">
        <v>35</v>
      </c>
      <c r="C4941" s="33" t="s">
        <v>14</v>
      </c>
      <c r="D4941" s="33" t="s">
        <v>128</v>
      </c>
      <c r="F4941" s="67">
        <v>42197</v>
      </c>
      <c r="G4941" s="33" t="s">
        <v>1211</v>
      </c>
      <c r="H4941" s="33" t="s">
        <v>1212</v>
      </c>
      <c r="I4941" s="33" t="s">
        <v>192</v>
      </c>
      <c r="J4941" s="33">
        <v>80219</v>
      </c>
      <c r="K4941" s="33" t="s">
        <v>1212</v>
      </c>
      <c r="L4941" s="33" t="s">
        <v>1213</v>
      </c>
      <c r="M4941" s="33" t="s">
        <v>21</v>
      </c>
      <c r="N4941" s="33" t="s">
        <v>1214</v>
      </c>
      <c r="O4941" s="33" t="s">
        <v>372</v>
      </c>
      <c r="P4941" s="33" t="s">
        <v>30089</v>
      </c>
      <c r="Q4941" s="40" t="str">
        <f>HYPERLINK("http://www.rawstory.com/2015/07/denver-police-shoot-and-kill-a-mentally-ill-native-american-man-holding-a-knife-to-his-own-throat/","http://www.rawstory.com/2015/07/denver-police-shoot-and-kill-a-mentally-ill-native-american-man-holding-a-knife-to-his-own-throat/")</f>
        <v>http://www.rawstory.com/2015/07/denver-police-shoot-and-kill-a-mentally-ill-native-american-man-holding-a-knife-to-his-own-throat/</v>
      </c>
      <c r="R4941" s="33" t="s">
        <v>512</v>
      </c>
      <c r="S4941" s="33" t="s">
        <v>22</v>
      </c>
      <c r="T4941" s="33" t="s">
        <v>26774</v>
      </c>
      <c r="U4941" s="33" t="s">
        <v>26570</v>
      </c>
      <c r="V4941" s="33" t="s">
        <v>26574</v>
      </c>
      <c r="W4941" s="33" t="s">
        <v>94</v>
      </c>
      <c r="X4941" s="33">
        <v>628</v>
      </c>
      <c r="Z4941" s="33" t="s">
        <v>42966</v>
      </c>
      <c r="AA4941" s="33">
        <v>2724</v>
      </c>
    </row>
    <row r="4942" spans="1:27" ht="12" customHeight="1" x14ac:dyDescent="0.15">
      <c r="A4942" s="33" t="s">
        <v>1225</v>
      </c>
      <c r="B4942" s="33">
        <v>60</v>
      </c>
      <c r="C4942" s="33" t="s">
        <v>14</v>
      </c>
      <c r="D4942" s="33" t="s">
        <v>31</v>
      </c>
      <c r="E4942" s="33" t="str">
        <f>HYPERLINK("http://media.cmgdigital.com/shared/lt/lt_cache/thumbnail/600/img/photos/2015/07/13/35/c5/DavidLepine_1.jpg","http://media.cmgdigital.com/shared/lt/lt_cache/thumbnail/600/img/photos/2015/07/13/35/c5/DavidLepine_1.jpg")</f>
        <v>http://media.cmgdigital.com/shared/lt/lt_cache/thumbnail/600/img/photos/2015/07/13/35/c5/DavidLepine_1.jpg</v>
      </c>
      <c r="F4942" s="67">
        <v>42197</v>
      </c>
      <c r="G4942" s="33" t="s">
        <v>1226</v>
      </c>
      <c r="H4942" s="33" t="s">
        <v>1227</v>
      </c>
      <c r="I4942" s="33" t="s">
        <v>67</v>
      </c>
      <c r="J4942" s="33">
        <v>78736</v>
      </c>
      <c r="K4942" s="33" t="s">
        <v>1228</v>
      </c>
      <c r="L4942" s="33" t="s">
        <v>1229</v>
      </c>
      <c r="M4942" s="33" t="s">
        <v>21</v>
      </c>
      <c r="N4942" s="33" t="s">
        <v>1230</v>
      </c>
      <c r="O4942" s="33" t="s">
        <v>372</v>
      </c>
      <c r="P4942" s="33" t="s">
        <v>30089</v>
      </c>
      <c r="Q4942" s="40" t="str">
        <f>HYPERLINK("http://www.statesman.com/news/news/crime-law/man-killed-by-austin-police-officer-sunday-had-a-v/nmyKL/","http://www.statesman.com/news/news/crime-law/man-killed-by-austin-police-officer-sunday-had-a-v/nmyKL/")</f>
        <v>http://www.statesman.com/news/news/crime-law/man-killed-by-austin-police-officer-sunday-had-a-v/nmyKL/</v>
      </c>
      <c r="R4942" s="33" t="s">
        <v>94</v>
      </c>
      <c r="S4942" s="33" t="s">
        <v>22</v>
      </c>
      <c r="T4942" s="33" t="s">
        <v>26781</v>
      </c>
      <c r="U4942" s="33" t="s">
        <v>26572</v>
      </c>
      <c r="V4942" s="33" t="s">
        <v>26574</v>
      </c>
      <c r="W4942" s="33" t="s">
        <v>94</v>
      </c>
      <c r="X4942" s="33">
        <v>632</v>
      </c>
      <c r="Z4942" s="33" t="s">
        <v>42968</v>
      </c>
      <c r="AA4942" s="33">
        <v>2721</v>
      </c>
    </row>
    <row r="4943" spans="1:27" ht="12" customHeight="1" x14ac:dyDescent="0.15">
      <c r="A4943" s="33" t="s">
        <v>1205</v>
      </c>
      <c r="B4943" s="33">
        <v>36</v>
      </c>
      <c r="C4943" s="33" t="s">
        <v>14</v>
      </c>
      <c r="D4943" s="33" t="s">
        <v>79</v>
      </c>
      <c r="E4943" s="33" t="str">
        <f>HYPERLINK("http://www.trbimg.com/img-55a686d0/turbine/fl-plantation-cop-homeless-shooting-id-2015071-001/304/304x171","http://www.trbimg.com/img-55a686d0/turbine/fl-plantation-cop-homeless-shooting-id-2015071-001/304/304x171")</f>
        <v>http://www.trbimg.com/img-55a686d0/turbine/fl-plantation-cop-homeless-shooting-id-2015071-001/304/304x171</v>
      </c>
      <c r="F4943" s="67">
        <v>42197</v>
      </c>
      <c r="G4943" s="33" t="s">
        <v>1206</v>
      </c>
      <c r="H4943" s="33" t="s">
        <v>1207</v>
      </c>
      <c r="I4943" s="33" t="s">
        <v>56</v>
      </c>
      <c r="J4943" s="33">
        <v>33317</v>
      </c>
      <c r="K4943" s="33" t="s">
        <v>1052</v>
      </c>
      <c r="L4943" s="33" t="s">
        <v>1208</v>
      </c>
      <c r="M4943" s="33" t="s">
        <v>4966</v>
      </c>
      <c r="N4943" s="33" t="s">
        <v>1209</v>
      </c>
      <c r="O4943" s="33" t="s">
        <v>372</v>
      </c>
      <c r="P4943" s="33" t="s">
        <v>30089</v>
      </c>
      <c r="Q4943" s="40" t="str">
        <f>HYPERLINK("http://www.sun-sentinel.com/local/broward/fl-plantation-cop-homeless-shooting-id-20150715-story.html","http://www.sun-sentinel.com/local/broward/fl-plantation-cop-homeless-shooting-id-20150715-story.html")</f>
        <v>http://www.sun-sentinel.com/local/broward/fl-plantation-cop-homeless-shooting-id-20150715-story.html</v>
      </c>
      <c r="R4943" s="33" t="s">
        <v>94</v>
      </c>
      <c r="S4943" s="33" t="s">
        <v>12</v>
      </c>
      <c r="T4943" s="33" t="s">
        <v>29705</v>
      </c>
      <c r="U4943" s="33" t="s">
        <v>26572</v>
      </c>
      <c r="V4943" s="33" t="s">
        <v>26573</v>
      </c>
      <c r="W4943" s="33" t="s">
        <v>94</v>
      </c>
      <c r="X4943" s="33">
        <v>631</v>
      </c>
      <c r="Z4943" s="33" t="s">
        <v>42968</v>
      </c>
      <c r="AA4943" s="33">
        <v>2725</v>
      </c>
    </row>
    <row r="4944" spans="1:27" ht="12" customHeight="1" x14ac:dyDescent="0.15">
      <c r="A4944" s="33" t="s">
        <v>1231</v>
      </c>
      <c r="B4944" s="33">
        <v>27</v>
      </c>
      <c r="C4944" s="33" t="s">
        <v>14</v>
      </c>
      <c r="D4944" s="33" t="s">
        <v>31</v>
      </c>
      <c r="E4944" s="33" t="str">
        <f>HYPERLINK("http://wac.450f.edgecastcdn.net/80450F/k2radio.com/files/2015/07/chris-benton.jpg","http://wac.450f.edgecastcdn.net/80450F/k2radio.com/files/2015/07/chris-benton.jpg")</f>
        <v>http://wac.450f.edgecastcdn.net/80450F/k2radio.com/files/2015/07/chris-benton.jpg</v>
      </c>
      <c r="F4944" s="67">
        <v>42197</v>
      </c>
      <c r="G4944" s="33" t="s">
        <v>1232</v>
      </c>
      <c r="H4944" s="33" t="s">
        <v>1233</v>
      </c>
      <c r="I4944" s="33" t="s">
        <v>1020</v>
      </c>
      <c r="J4944" s="33">
        <v>82604</v>
      </c>
      <c r="K4944" s="33" t="s">
        <v>1234</v>
      </c>
      <c r="L4944" s="33" t="s">
        <v>1235</v>
      </c>
      <c r="M4944" s="33" t="s">
        <v>21</v>
      </c>
      <c r="N4944" s="33" t="s">
        <v>1236</v>
      </c>
      <c r="O4944" s="33" t="s">
        <v>372</v>
      </c>
      <c r="P4944" s="33" t="s">
        <v>30089</v>
      </c>
      <c r="Q4944" s="40" t="str">
        <f>HYPERLINK("http://www.wyomingnews.com/articles/2015/07/16/breaking_news/01breaking_7-16-15.txt#.Vdo9r_ZVikq","http://www.wyomingnews.com/articles/2015/07/16/breaking_news/01breaking_7-16-15.txt#.Vdo9r_ZVikq")</f>
        <v>http://www.wyomingnews.com/articles/2015/07/16/breaking_news/01breaking_7-16-15.txt#.Vdo9r_ZVikq</v>
      </c>
      <c r="R4944" s="33" t="s">
        <v>94</v>
      </c>
      <c r="S4944" s="33" t="s">
        <v>22</v>
      </c>
      <c r="T4944" s="33" t="s">
        <v>26781</v>
      </c>
      <c r="U4944" s="33" t="s">
        <v>26572</v>
      </c>
      <c r="V4944" s="33" t="s">
        <v>26573</v>
      </c>
      <c r="W4944" s="33" t="s">
        <v>94</v>
      </c>
      <c r="X4944" s="33">
        <v>636</v>
      </c>
      <c r="Z4944" s="33" t="s">
        <v>42968</v>
      </c>
      <c r="AA4944" s="33">
        <v>2723</v>
      </c>
    </row>
    <row r="4945" spans="1:27" ht="12" customHeight="1" x14ac:dyDescent="0.15">
      <c r="A4945" s="33" t="s">
        <v>1237</v>
      </c>
      <c r="B4945" s="33">
        <v>53</v>
      </c>
      <c r="C4945" s="33" t="s">
        <v>14</v>
      </c>
      <c r="D4945" s="33" t="s">
        <v>79</v>
      </c>
      <c r="F4945" s="67">
        <v>42196</v>
      </c>
      <c r="G4945" s="33" t="s">
        <v>1238</v>
      </c>
      <c r="H4945" s="33" t="s">
        <v>1217</v>
      </c>
      <c r="I4945" s="33" t="s">
        <v>160</v>
      </c>
      <c r="J4945" s="33">
        <v>30087</v>
      </c>
      <c r="K4945" s="33" t="s">
        <v>1239</v>
      </c>
      <c r="L4945" s="33" t="s">
        <v>1240</v>
      </c>
      <c r="M4945" s="33" t="s">
        <v>363</v>
      </c>
      <c r="N4945" s="33" t="s">
        <v>1241</v>
      </c>
      <c r="O4945" s="33" t="s">
        <v>372</v>
      </c>
      <c r="P4945" s="33" t="s">
        <v>30089</v>
      </c>
      <c r="Q4945" s="40" t="str">
        <f>HYPERLINK("http://www.11alive.com/story/news/local/lawrenceville/2015/07/14/family-questions-procedures-in-gwinnett-police-taser-death/30160171/","http://www.11alive.com/story/news/local/lawrenceville/2015/07/14/family-questions-procedures-in-gwinnett-police-taser-death/30160171/")</f>
        <v>http://www.11alive.com/story/news/local/lawrenceville/2015/07/14/family-questions-procedures-in-gwinnett-police-taser-death/30160171/</v>
      </c>
      <c r="R4945" s="33" t="s">
        <v>904</v>
      </c>
      <c r="S4945" s="33" t="s">
        <v>12</v>
      </c>
      <c r="T4945" s="54" t="s">
        <v>29705</v>
      </c>
      <c r="Z4945" s="33" t="s">
        <v>42968</v>
      </c>
      <c r="AA4945" s="33">
        <v>2720</v>
      </c>
    </row>
    <row r="4946" spans="1:27" ht="12" customHeight="1" x14ac:dyDescent="0.15">
      <c r="A4946" s="33" t="s">
        <v>1242</v>
      </c>
      <c r="B4946" s="33">
        <v>31</v>
      </c>
      <c r="C4946" s="33" t="s">
        <v>14</v>
      </c>
      <c r="D4946" s="33" t="s">
        <v>31</v>
      </c>
      <c r="E4946" s="33" t="str">
        <f>HYPERLINK("http://bloximages.newyork1.vip.townnews.com/appeal-democrat.com/content/tncms/assets/v3/editorial/a/50/a5039184-2b6b-11e5-b28b-c7b5c40fdd3d/55a726cc3856f.image.jpg?resize=631%2C760","http://bloximages.newyork1.vip.townnews.com/appeal-democrat.com/content/tncms/assets/v3/editorial/a/50/a5039184-2b6b-11e5-b28b-c7b5c40fdd3d/55a726cc3856f.image.jpg?resize=631%2C760")</f>
        <v>http://bloximages.newyork1.vip.townnews.com/appeal-democrat.com/content/tncms/assets/v3/editorial/a/50/a5039184-2b6b-11e5-b28b-c7b5c40fdd3d/55a726cc3856f.image.jpg?resize=631%2C760</v>
      </c>
      <c r="F4946" s="67">
        <v>42196</v>
      </c>
      <c r="G4946" s="33" t="s">
        <v>1243</v>
      </c>
      <c r="H4946" s="33" t="s">
        <v>1244</v>
      </c>
      <c r="I4946" s="33" t="s">
        <v>39</v>
      </c>
      <c r="J4946" s="33">
        <v>95961</v>
      </c>
      <c r="K4946" s="33" t="s">
        <v>1245</v>
      </c>
      <c r="L4946" s="33" t="s">
        <v>1246</v>
      </c>
      <c r="M4946" s="33" t="s">
        <v>21</v>
      </c>
      <c r="N4946" s="33" t="s">
        <v>1201</v>
      </c>
      <c r="O4946" s="33" t="s">
        <v>372</v>
      </c>
      <c r="P4946" s="33" t="s">
        <v>30089</v>
      </c>
      <c r="Q4946" s="40" t="s">
        <v>18867</v>
      </c>
      <c r="R4946" s="33" t="s">
        <v>23</v>
      </c>
      <c r="S4946" s="33" t="s">
        <v>22</v>
      </c>
      <c r="T4946" s="33" t="s">
        <v>26781</v>
      </c>
      <c r="U4946" s="33" t="s">
        <v>26572</v>
      </c>
      <c r="V4946" s="33" t="s">
        <v>26573</v>
      </c>
      <c r="W4946" s="33" t="s">
        <v>94</v>
      </c>
      <c r="X4946" s="33">
        <v>637</v>
      </c>
      <c r="Z4946" s="33" t="s">
        <v>42968</v>
      </c>
      <c r="AA4946" s="33">
        <v>2719</v>
      </c>
    </row>
    <row r="4947" spans="1:27" ht="12" customHeight="1" x14ac:dyDescent="0.15">
      <c r="A4947" s="33" t="s">
        <v>20846</v>
      </c>
      <c r="B4947" s="33">
        <v>25</v>
      </c>
      <c r="C4947" s="33" t="s">
        <v>14</v>
      </c>
      <c r="D4947" s="33" t="s">
        <v>79</v>
      </c>
      <c r="F4947" s="67">
        <v>42195</v>
      </c>
      <c r="G4947" s="33" t="s">
        <v>20856</v>
      </c>
      <c r="H4947" s="33" t="s">
        <v>81</v>
      </c>
      <c r="I4947" s="33" t="s">
        <v>38</v>
      </c>
      <c r="J4947" s="33">
        <v>60628</v>
      </c>
      <c r="K4947" s="33" t="s">
        <v>82</v>
      </c>
      <c r="L4947" s="33" t="s">
        <v>83</v>
      </c>
      <c r="M4947" s="33" t="s">
        <v>21</v>
      </c>
      <c r="N4947" s="33" t="s">
        <v>20857</v>
      </c>
      <c r="O4947" s="33" t="s">
        <v>372</v>
      </c>
      <c r="P4947" s="33" t="s">
        <v>30089</v>
      </c>
      <c r="Q4947" s="40" t="s">
        <v>20858</v>
      </c>
      <c r="R4947" s="33" t="s">
        <v>94</v>
      </c>
      <c r="S4947" s="33" t="s">
        <v>22</v>
      </c>
      <c r="T4947" s="33" t="s">
        <v>26781</v>
      </c>
      <c r="U4947" s="33" t="s">
        <v>26572</v>
      </c>
      <c r="V4947" s="33" t="s">
        <v>26573</v>
      </c>
      <c r="W4947" s="33" t="s">
        <v>94</v>
      </c>
      <c r="X4947" s="33">
        <v>1152</v>
      </c>
      <c r="Z4947" s="33" t="s">
        <v>42966</v>
      </c>
      <c r="AA4947" s="33">
        <v>2717</v>
      </c>
    </row>
    <row r="4948" spans="1:27" ht="12" customHeight="1" x14ac:dyDescent="0.15">
      <c r="A4948" s="33" t="s">
        <v>1251</v>
      </c>
      <c r="B4948" s="33">
        <v>54</v>
      </c>
      <c r="C4948" s="33" t="s">
        <v>14</v>
      </c>
      <c r="D4948" s="33" t="s">
        <v>31</v>
      </c>
      <c r="F4948" s="67">
        <v>42195</v>
      </c>
      <c r="G4948" s="33" t="s">
        <v>1252</v>
      </c>
      <c r="H4948" s="33" t="s">
        <v>607</v>
      </c>
      <c r="I4948" s="33" t="s">
        <v>250</v>
      </c>
      <c r="J4948" s="33">
        <v>89146</v>
      </c>
      <c r="K4948" s="33" t="s">
        <v>527</v>
      </c>
      <c r="L4948" s="33" t="s">
        <v>528</v>
      </c>
      <c r="M4948" s="33" t="s">
        <v>21</v>
      </c>
      <c r="N4948" s="33" t="s">
        <v>1253</v>
      </c>
      <c r="O4948" s="33" t="s">
        <v>372</v>
      </c>
      <c r="P4948" s="33" t="s">
        <v>30089</v>
      </c>
      <c r="Q4948" s="40" t="str">
        <f>HYPERLINK("http://lasvegassun.com/news/2015/jul/15/police-body-cam-video-shows-traffic-stop-turn-dead/","http://lasvegassun.com/news/2015/jul/15/police-body-cam-video-shows-traffic-stop-turn-dead/")</f>
        <v>http://lasvegassun.com/news/2015/jul/15/police-body-cam-video-shows-traffic-stop-turn-dead/</v>
      </c>
      <c r="R4948" s="33" t="s">
        <v>512</v>
      </c>
      <c r="S4948" s="33" t="s">
        <v>22</v>
      </c>
      <c r="T4948" s="33" t="s">
        <v>26781</v>
      </c>
      <c r="U4948" s="33" t="s">
        <v>26572</v>
      </c>
      <c r="V4948" s="33" t="s">
        <v>26573</v>
      </c>
      <c r="W4948" s="33" t="s">
        <v>512</v>
      </c>
      <c r="X4948" s="33">
        <v>626</v>
      </c>
      <c r="Z4948" s="33" t="s">
        <v>42966</v>
      </c>
      <c r="AA4948" s="33">
        <v>2716</v>
      </c>
    </row>
    <row r="4949" spans="1:27" ht="12" customHeight="1" x14ac:dyDescent="0.15">
      <c r="A4949" s="33" t="s">
        <v>1247</v>
      </c>
      <c r="B4949" s="33">
        <v>20</v>
      </c>
      <c r="C4949" s="33" t="s">
        <v>14</v>
      </c>
      <c r="D4949" s="33" t="s">
        <v>79</v>
      </c>
      <c r="F4949" s="67">
        <v>42195</v>
      </c>
      <c r="G4949" s="33" t="s">
        <v>1248</v>
      </c>
      <c r="H4949" s="33" t="s">
        <v>1164</v>
      </c>
      <c r="I4949" s="33" t="s">
        <v>160</v>
      </c>
      <c r="J4949" s="33">
        <v>30016</v>
      </c>
      <c r="K4949" s="33" t="s">
        <v>1249</v>
      </c>
      <c r="L4949" s="33" t="s">
        <v>1250</v>
      </c>
      <c r="M4949" s="33" t="s">
        <v>21</v>
      </c>
      <c r="N4949" s="33" t="s">
        <v>27763</v>
      </c>
      <c r="O4949" s="33" t="s">
        <v>372</v>
      </c>
      <c r="P4949" s="33" t="s">
        <v>30089</v>
      </c>
      <c r="Q4949" s="40" t="str">
        <f>HYPERLINK("http://www.ajc.com/news/news/crime-law/man-dies-after-being-shot-by-newton-deputies/nmxjG/","http://www.ajc.com/news/news/crime-law/man-dies-after-being-shot-by-newton-deputies/nmxjG/")</f>
        <v>http://www.ajc.com/news/news/crime-law/man-dies-after-being-shot-by-newton-deputies/nmxjG/</v>
      </c>
      <c r="R4949" s="33" t="s">
        <v>94</v>
      </c>
      <c r="S4949" s="33" t="s">
        <v>12</v>
      </c>
      <c r="T4949" s="33" t="s">
        <v>29425</v>
      </c>
      <c r="U4949" s="33" t="s">
        <v>26572</v>
      </c>
      <c r="V4949" s="33" t="s">
        <v>26573</v>
      </c>
      <c r="W4949" s="33" t="s">
        <v>94</v>
      </c>
      <c r="X4949" s="33">
        <v>630</v>
      </c>
      <c r="Z4949" s="33" t="s">
        <v>42968</v>
      </c>
      <c r="AA4949" s="33">
        <v>2718</v>
      </c>
    </row>
    <row r="4950" spans="1:27" ht="12" customHeight="1" x14ac:dyDescent="0.15">
      <c r="A4950" s="33" t="s">
        <v>1254</v>
      </c>
      <c r="B4950" s="33">
        <v>27</v>
      </c>
      <c r="C4950" s="33" t="s">
        <v>14</v>
      </c>
      <c r="D4950" s="33" t="s">
        <v>79</v>
      </c>
      <c r="F4950" s="67">
        <v>42194</v>
      </c>
      <c r="G4950" s="33" t="s">
        <v>1255</v>
      </c>
      <c r="H4950" s="33" t="s">
        <v>81</v>
      </c>
      <c r="I4950" s="33" t="s">
        <v>38</v>
      </c>
      <c r="J4950" s="33">
        <v>60619</v>
      </c>
      <c r="K4950" s="33" t="s">
        <v>82</v>
      </c>
      <c r="L4950" s="33" t="s">
        <v>83</v>
      </c>
      <c r="M4950" s="33" t="s">
        <v>21</v>
      </c>
      <c r="N4950" s="33" t="s">
        <v>1256</v>
      </c>
      <c r="O4950" s="33" t="s">
        <v>372</v>
      </c>
      <c r="P4950" s="33" t="s">
        <v>30089</v>
      </c>
      <c r="Q4950" s="40" t="str">
        <f>HYPERLINK("http://chicago.suntimes.com/crime/7/71/759984/chicago-police-involved-grand-crossing-shooting","http://chicago.suntimes.com/crime/7/71/759984/chicago-police-involved-grand-crossing-shooting")</f>
        <v>http://chicago.suntimes.com/crime/7/71/759984/chicago-police-involved-grand-crossing-shooting</v>
      </c>
      <c r="R4950" s="33" t="s">
        <v>94</v>
      </c>
      <c r="S4950" s="33" t="s">
        <v>22</v>
      </c>
      <c r="T4950" s="33" t="s">
        <v>26781</v>
      </c>
      <c r="U4950" s="33" t="s">
        <v>26572</v>
      </c>
      <c r="V4950" s="33" t="s">
        <v>26574</v>
      </c>
      <c r="W4950" s="33" t="s">
        <v>94</v>
      </c>
      <c r="X4950" s="33">
        <v>624</v>
      </c>
      <c r="Z4950" s="33" t="s">
        <v>42966</v>
      </c>
      <c r="AA4950" s="33">
        <v>2712</v>
      </c>
    </row>
    <row r="4951" spans="1:27" ht="12" customHeight="1" x14ac:dyDescent="0.15">
      <c r="A4951" s="33" t="s">
        <v>1264</v>
      </c>
      <c r="B4951" s="33">
        <v>68</v>
      </c>
      <c r="C4951" s="33" t="s">
        <v>14</v>
      </c>
      <c r="D4951" s="33" t="s">
        <v>31</v>
      </c>
      <c r="F4951" s="67">
        <v>42194</v>
      </c>
      <c r="G4951" s="33" t="s">
        <v>1265</v>
      </c>
      <c r="H4951" s="33" t="s">
        <v>584</v>
      </c>
      <c r="I4951" s="33" t="s">
        <v>112</v>
      </c>
      <c r="J4951" s="33">
        <v>85029</v>
      </c>
      <c r="K4951" s="33" t="s">
        <v>585</v>
      </c>
      <c r="L4951" s="33" t="s">
        <v>586</v>
      </c>
      <c r="M4951" s="33" t="s">
        <v>21</v>
      </c>
      <c r="N4951" s="33" t="s">
        <v>1266</v>
      </c>
      <c r="O4951" s="33" t="s">
        <v>372</v>
      </c>
      <c r="P4951" s="33" t="s">
        <v>30089</v>
      </c>
      <c r="Q4951" s="40" t="str">
        <f>HYPERLINK("http://www.azcentral.com/story/news/local/phoenix/2015/07/10/phoenix-police-shooting-suspect-cactus-abrk/29978125/","http://www.azcentral.com/story/news/local/phoenix/2015/07/10/phoenix-police-shooting-suspect-cactus-abrk/29978125/")</f>
        <v>http://www.azcentral.com/story/news/local/phoenix/2015/07/10/phoenix-police-shooting-suspect-cactus-abrk/29978125/</v>
      </c>
      <c r="R4951" s="33" t="s">
        <v>23</v>
      </c>
      <c r="S4951" s="33" t="s">
        <v>22</v>
      </c>
      <c r="T4951" s="33" t="s">
        <v>26781</v>
      </c>
      <c r="U4951" s="33" t="s">
        <v>26572</v>
      </c>
      <c r="V4951" s="33" t="s">
        <v>26574</v>
      </c>
      <c r="W4951" s="33" t="s">
        <v>94</v>
      </c>
      <c r="X4951" s="33">
        <v>623</v>
      </c>
      <c r="Z4951" s="33" t="s">
        <v>42968</v>
      </c>
      <c r="AA4951" s="33">
        <v>2711</v>
      </c>
    </row>
    <row r="4952" spans="1:27" ht="12" customHeight="1" x14ac:dyDescent="0.15">
      <c r="A4952" s="33" t="s">
        <v>1273</v>
      </c>
      <c r="B4952" s="33">
        <v>50</v>
      </c>
      <c r="C4952" s="33" t="s">
        <v>14</v>
      </c>
      <c r="D4952" s="33" t="s">
        <v>31</v>
      </c>
      <c r="E4952" s="33" t="str">
        <f>HYPERLINK("http://matchbin-assets.s3.amazonaws.com/public/sites/990/assets/26J5_1625924_profile_pic.jpg","http://matchbin-assets.s3.amazonaws.com/public/sites/990/assets/26J5_1625924_profile_pic.jpg")</f>
        <v>http://matchbin-assets.s3.amazonaws.com/public/sites/990/assets/26J5_1625924_profile_pic.jpg</v>
      </c>
      <c r="F4952" s="67">
        <v>42194</v>
      </c>
      <c r="G4952" s="33" t="s">
        <v>1274</v>
      </c>
      <c r="H4952" s="33" t="s">
        <v>1275</v>
      </c>
      <c r="I4952" s="33" t="s">
        <v>221</v>
      </c>
      <c r="J4952" s="33">
        <v>84761</v>
      </c>
      <c r="K4952" s="33" t="s">
        <v>1276</v>
      </c>
      <c r="L4952" s="33" t="s">
        <v>1277</v>
      </c>
      <c r="M4952" s="33" t="s">
        <v>21</v>
      </c>
      <c r="N4952" s="33" t="s">
        <v>1278</v>
      </c>
      <c r="O4952" s="33" t="s">
        <v>372</v>
      </c>
      <c r="P4952" s="33" t="s">
        <v>30089</v>
      </c>
      <c r="Q4952" s="40" t="str">
        <f>HYPERLINK("http://www.cachevalleydaily.com/news/local/article_95847b98-36af-11e5-a21d-5381b6067a1e.html#.VbobCM2hNfs.twitter","http://www.cachevalleydaily.com/news/local/article_95847b98-36af-11e5-a21d-5381b6067a1e.html#.VbobCM2hNfs.twitter")</f>
        <v>http://www.cachevalleydaily.com/news/local/article_95847b98-36af-11e5-a21d-5381b6067a1e.html#.VbobCM2hNfs.twitter</v>
      </c>
      <c r="R4952" s="33" t="s">
        <v>94</v>
      </c>
      <c r="S4952" s="33" t="s">
        <v>22</v>
      </c>
      <c r="T4952" s="33" t="s">
        <v>26781</v>
      </c>
      <c r="U4952" s="33" t="s">
        <v>26572</v>
      </c>
      <c r="V4952" s="33" t="s">
        <v>26573</v>
      </c>
      <c r="W4952" s="33" t="s">
        <v>94</v>
      </c>
      <c r="X4952" s="33">
        <v>622</v>
      </c>
      <c r="Z4952" s="33" t="s">
        <v>42967</v>
      </c>
      <c r="AA4952" s="33">
        <v>2710</v>
      </c>
    </row>
    <row r="4953" spans="1:27" ht="12" customHeight="1" x14ac:dyDescent="0.15">
      <c r="A4953" s="33" t="s">
        <v>1257</v>
      </c>
      <c r="B4953" s="33">
        <v>21</v>
      </c>
      <c r="C4953" s="33" t="s">
        <v>14</v>
      </c>
      <c r="D4953" s="33" t="s">
        <v>79</v>
      </c>
      <c r="F4953" s="67">
        <v>42194</v>
      </c>
      <c r="G4953" s="33" t="s">
        <v>1258</v>
      </c>
      <c r="H4953" s="33" t="s">
        <v>401</v>
      </c>
      <c r="I4953" s="33" t="s">
        <v>402</v>
      </c>
      <c r="J4953" s="33">
        <v>64132</v>
      </c>
      <c r="K4953" s="33" t="s">
        <v>404</v>
      </c>
      <c r="L4953" s="33" t="s">
        <v>405</v>
      </c>
      <c r="M4953" s="33" t="s">
        <v>21</v>
      </c>
      <c r="N4953" s="33" t="s">
        <v>1322</v>
      </c>
      <c r="O4953" s="33" t="s">
        <v>372</v>
      </c>
      <c r="P4953" s="33" t="s">
        <v>30089</v>
      </c>
      <c r="Q4953" s="40" t="s">
        <v>17590</v>
      </c>
      <c r="R4953" s="33" t="s">
        <v>23</v>
      </c>
      <c r="S4953" s="33" t="s">
        <v>22</v>
      </c>
      <c r="T4953" s="33" t="s">
        <v>28239</v>
      </c>
      <c r="U4953" s="33" t="s">
        <v>26570</v>
      </c>
      <c r="V4953" s="33" t="s">
        <v>26573</v>
      </c>
      <c r="W4953" s="33" t="s">
        <v>94</v>
      </c>
      <c r="X4953" s="33">
        <v>634</v>
      </c>
      <c r="Z4953" s="33" t="s">
        <v>42966</v>
      </c>
      <c r="AA4953" s="33">
        <v>2714</v>
      </c>
    </row>
    <row r="4954" spans="1:27" ht="12" customHeight="1" x14ac:dyDescent="0.15">
      <c r="A4954" s="33" t="s">
        <v>1267</v>
      </c>
      <c r="B4954" s="33">
        <v>17</v>
      </c>
      <c r="C4954" s="33" t="s">
        <v>14</v>
      </c>
      <c r="D4954" s="33" t="s">
        <v>31</v>
      </c>
      <c r="F4954" s="67">
        <v>42194</v>
      </c>
      <c r="G4954" s="33" t="s">
        <v>1268</v>
      </c>
      <c r="H4954" s="33" t="s">
        <v>1269</v>
      </c>
      <c r="I4954" s="33" t="s">
        <v>39</v>
      </c>
      <c r="J4954" s="33">
        <v>95006</v>
      </c>
      <c r="K4954" s="33" t="s">
        <v>1270</v>
      </c>
      <c r="L4954" s="33" t="s">
        <v>1271</v>
      </c>
      <c r="M4954" s="33" t="s">
        <v>21</v>
      </c>
      <c r="N4954" s="33" t="s">
        <v>1272</v>
      </c>
      <c r="O4954" s="33" t="s">
        <v>372</v>
      </c>
      <c r="P4954" s="33" t="s">
        <v>30089</v>
      </c>
      <c r="Q4954" s="40" t="str">
        <f>HYPERLINK("http://www.santacruzsentinel.com/20150714/memorial-fund-started-for-boulder-creek-teen-killed-by-deputies","http://www.santacruzsentinel.com/20150714/memorial-fund-started-for-boulder-creek-teen-killed-by-deputies")</f>
        <v>http://www.santacruzsentinel.com/20150714/memorial-fund-started-for-boulder-creek-teen-killed-by-deputies</v>
      </c>
      <c r="R4954" s="33" t="s">
        <v>512</v>
      </c>
      <c r="S4954" s="33" t="s">
        <v>22</v>
      </c>
      <c r="T4954" s="33" t="s">
        <v>26781</v>
      </c>
      <c r="U4954" s="33" t="s">
        <v>26572</v>
      </c>
      <c r="V4954" s="33" t="s">
        <v>26573</v>
      </c>
      <c r="W4954" s="33" t="s">
        <v>94</v>
      </c>
      <c r="X4954" s="33">
        <v>625</v>
      </c>
      <c r="Z4954" s="33" t="s">
        <v>42967</v>
      </c>
      <c r="AA4954" s="33">
        <v>2713</v>
      </c>
    </row>
    <row r="4955" spans="1:27" ht="12" customHeight="1" x14ac:dyDescent="0.15">
      <c r="A4955" s="33" t="s">
        <v>1261</v>
      </c>
      <c r="B4955" s="33">
        <v>38</v>
      </c>
      <c r="C4955" s="33" t="s">
        <v>14</v>
      </c>
      <c r="D4955" s="33" t="s">
        <v>31</v>
      </c>
      <c r="F4955" s="67">
        <v>42194</v>
      </c>
      <c r="G4955" s="33" t="s">
        <v>1262</v>
      </c>
      <c r="H4955" s="33" t="s">
        <v>92</v>
      </c>
      <c r="I4955" s="33" t="s">
        <v>39</v>
      </c>
      <c r="J4955" s="33">
        <v>92083</v>
      </c>
      <c r="K4955" s="33" t="s">
        <v>92</v>
      </c>
      <c r="L4955" s="33" t="s">
        <v>93</v>
      </c>
      <c r="M4955" s="33" t="s">
        <v>4966</v>
      </c>
      <c r="N4955" s="33" t="s">
        <v>1263</v>
      </c>
      <c r="O4955" s="33" t="s">
        <v>372</v>
      </c>
      <c r="P4955" s="33" t="s">
        <v>30089</v>
      </c>
      <c r="Q4955" s="40" t="str">
        <f>HYPERLINK("http://www.scpr.org/news/2015/07/10/53025/mid-wilshire-police-shooting-suspect-in-skateboard/","http://www.scpr.org/news/2015/07/10/53025/mid-wilshire-police-shooting-suspect-in-skateboard/")</f>
        <v>http://www.scpr.org/news/2015/07/10/53025/mid-wilshire-police-shooting-suspect-in-skateboard/</v>
      </c>
      <c r="R4955" s="33" t="s">
        <v>94</v>
      </c>
      <c r="S4955" s="33" t="s">
        <v>22</v>
      </c>
      <c r="T4955" s="33" t="s">
        <v>27803</v>
      </c>
      <c r="U4955" s="33" t="s">
        <v>26572</v>
      </c>
      <c r="V4955" s="33" t="s">
        <v>19228</v>
      </c>
      <c r="W4955" s="33" t="s">
        <v>94</v>
      </c>
      <c r="X4955" s="33">
        <v>627</v>
      </c>
      <c r="Z4955" s="33" t="s">
        <v>42968</v>
      </c>
      <c r="AA4955" s="33">
        <v>2715</v>
      </c>
    </row>
    <row r="4956" spans="1:27" ht="12" customHeight="1" x14ac:dyDescent="0.15">
      <c r="A4956" s="33" t="s">
        <v>1289</v>
      </c>
      <c r="B4956" s="33">
        <v>59</v>
      </c>
      <c r="C4956" s="33" t="s">
        <v>14</v>
      </c>
      <c r="D4956" s="33" t="s">
        <v>31</v>
      </c>
      <c r="E4956" s="33" t="str">
        <f>HYPERLINK("http://media.oregonlive.com/beaverton_news/photo/westrichjpg-51507199625e81e6.jpg","http://media.oregonlive.com/beaverton_news/photo/westrichjpg-51507199625e81e6.jpg")</f>
        <v>http://media.oregonlive.com/beaverton_news/photo/westrichjpg-51507199625e81e6.jpg</v>
      </c>
      <c r="F4956" s="67">
        <v>42193</v>
      </c>
      <c r="G4956" s="33" t="s">
        <v>1290</v>
      </c>
      <c r="H4956" s="33" t="s">
        <v>304</v>
      </c>
      <c r="I4956" s="33" t="s">
        <v>106</v>
      </c>
      <c r="J4956" s="33">
        <v>97008</v>
      </c>
      <c r="K4956" s="33" t="s">
        <v>107</v>
      </c>
      <c r="L4956" s="33" t="s">
        <v>1291</v>
      </c>
      <c r="M4956" s="33" t="s">
        <v>21</v>
      </c>
      <c r="N4956" s="33" t="s">
        <v>1292</v>
      </c>
      <c r="O4956" s="33" t="s">
        <v>372</v>
      </c>
      <c r="P4956" s="33" t="s">
        <v>30089</v>
      </c>
      <c r="Q4956" s="40" t="str">
        <f>HYPERLINK("http://www.kgw.com/story/news/local/washington-county/2015/07/08/beaverton-officer-shot-trailer-hidden-estate/29857719/","http://www.kgw.com/story/news/local/washington-county/2015/07/08/beaverton-officer-shot-trailer-hidden-estate/29857719/")</f>
        <v>http://www.kgw.com/story/news/local/washington-county/2015/07/08/beaverton-officer-shot-trailer-hidden-estate/29857719/</v>
      </c>
      <c r="R4956" s="33" t="s">
        <v>512</v>
      </c>
      <c r="S4956" s="33" t="s">
        <v>22</v>
      </c>
      <c r="T4956" s="33" t="s">
        <v>26781</v>
      </c>
      <c r="U4956" s="33" t="s">
        <v>26572</v>
      </c>
      <c r="V4956" s="33" t="s">
        <v>26573</v>
      </c>
      <c r="W4956" s="33" t="s">
        <v>94</v>
      </c>
      <c r="X4956" s="33">
        <v>620</v>
      </c>
      <c r="Z4956" s="33" t="s">
        <v>42966</v>
      </c>
      <c r="AA4956" s="33">
        <v>2707</v>
      </c>
    </row>
    <row r="4957" spans="1:27" ht="12" customHeight="1" x14ac:dyDescent="0.15">
      <c r="A4957" s="33" t="s">
        <v>1279</v>
      </c>
      <c r="B4957" s="33">
        <v>39</v>
      </c>
      <c r="C4957" s="33" t="s">
        <v>14</v>
      </c>
      <c r="D4957" s="33" t="s">
        <v>79</v>
      </c>
      <c r="E4957" s="33" t="str">
        <f>HYPERLINK("http://www.gannett-cdn.com/-mm-/444b6b00164f56950327b2368f293f2ce83db955/c=0-295-1304-1032&amp;r=x633&amp;c=1200x630/local/-/media/2015/07/10/JacksonMS/JacksonMS/635721442175293352-IMG-0825.JPG.jpg","http://www.gannett-cdn.com/-mm-/444b6b00164f56950327b2368f293f2ce83db955/c=0-295-1304-1032&amp;r=x633&amp;c=1200x630/local/-/media/2015/07/10/JacksonMS/JacksonMS/635721442175293352-IMG-0825.JPG.jpg")</f>
        <v>http://www.gannett-cdn.com/-mm-/444b6b00164f56950327b2368f293f2ce83db955/c=0-295-1304-1032&amp;r=x633&amp;c=1200x630/local/-/media/2015/07/10/JacksonMS/JacksonMS/635721442175293352-IMG-0825.JPG.jpg</v>
      </c>
      <c r="F4957" s="67">
        <v>42193</v>
      </c>
      <c r="G4957" s="33" t="s">
        <v>23</v>
      </c>
      <c r="H4957" s="33" t="s">
        <v>1280</v>
      </c>
      <c r="I4957" s="33" t="s">
        <v>621</v>
      </c>
      <c r="J4957" s="33">
        <v>39355</v>
      </c>
      <c r="K4957" s="33" t="s">
        <v>1281</v>
      </c>
      <c r="L4957" s="33" t="s">
        <v>1282</v>
      </c>
      <c r="M4957" s="33" t="s">
        <v>2134</v>
      </c>
      <c r="N4957" s="33" t="s">
        <v>1259</v>
      </c>
      <c r="O4957" s="33" t="s">
        <v>1260</v>
      </c>
      <c r="P4957" s="33" t="s">
        <v>30089</v>
      </c>
      <c r="Q4957" s="40" t="str">
        <f>HYPERLINK("http://www.wtok.com/home/headlines/New-Details-in-Stonewall-Death-Investigation-313047501.html","http://www.wtok.com/home/headlines/New-Details-in-Stonewall-Death-Investigation-313047501.html")</f>
        <v>http://www.wtok.com/home/headlines/New-Details-in-Stonewall-Death-Investigation-313047501.html</v>
      </c>
      <c r="R4957" s="33" t="s">
        <v>94</v>
      </c>
      <c r="S4957" s="33" t="s">
        <v>12</v>
      </c>
      <c r="T4957" s="54" t="s">
        <v>29705</v>
      </c>
      <c r="Z4957" s="33" t="s">
        <v>42967</v>
      </c>
      <c r="AA4957" s="33">
        <v>2708</v>
      </c>
    </row>
    <row r="4958" spans="1:27" ht="12" customHeight="1" x14ac:dyDescent="0.15">
      <c r="A4958" s="33" t="s">
        <v>1284</v>
      </c>
      <c r="B4958" s="33">
        <v>62</v>
      </c>
      <c r="C4958" s="33" t="s">
        <v>14</v>
      </c>
      <c r="D4958" s="33" t="s">
        <v>31</v>
      </c>
      <c r="F4958" s="67">
        <v>42193</v>
      </c>
      <c r="G4958" s="33" t="s">
        <v>1285</v>
      </c>
      <c r="H4958" s="33" t="s">
        <v>1286</v>
      </c>
      <c r="I4958" s="33" t="s">
        <v>338</v>
      </c>
      <c r="J4958" s="33">
        <v>28617</v>
      </c>
      <c r="K4958" s="33" t="s">
        <v>1287</v>
      </c>
      <c r="L4958" s="33" t="s">
        <v>1288</v>
      </c>
      <c r="M4958" s="33" t="s">
        <v>21</v>
      </c>
      <c r="N4958" s="33" t="s">
        <v>1109</v>
      </c>
      <c r="O4958" s="33" t="s">
        <v>372</v>
      </c>
      <c r="P4958" s="33" t="s">
        <v>30089</v>
      </c>
      <c r="Q4958" s="40" t="s">
        <v>18866</v>
      </c>
      <c r="R4958" s="33" t="s">
        <v>904</v>
      </c>
      <c r="S4958" s="33" t="s">
        <v>351</v>
      </c>
      <c r="T4958" s="33" t="s">
        <v>26867</v>
      </c>
      <c r="U4958" s="33" t="s">
        <v>26572</v>
      </c>
      <c r="V4958" s="33" t="s">
        <v>26571</v>
      </c>
      <c r="W4958" s="33" t="s">
        <v>512</v>
      </c>
      <c r="X4958" s="33">
        <v>621</v>
      </c>
      <c r="Z4958" s="33" t="s">
        <v>42967</v>
      </c>
      <c r="AA4958" s="33">
        <v>2709</v>
      </c>
    </row>
    <row r="4959" spans="1:27" ht="12" customHeight="1" x14ac:dyDescent="0.15">
      <c r="A4959" s="33" t="s">
        <v>1323</v>
      </c>
      <c r="B4959" s="33">
        <v>59</v>
      </c>
      <c r="C4959" s="33" t="s">
        <v>14</v>
      </c>
      <c r="D4959" s="33" t="s">
        <v>31</v>
      </c>
      <c r="E4959" s="33" t="str">
        <f>HYPERLINK("http://www.homefacts.com/images/offenders/texas/thumb/01958213.jpg","http://www.homefacts.com/images/offenders/texas/thumb/01958213.jpg")</f>
        <v>http://www.homefacts.com/images/offenders/texas/thumb/01958213.jpg</v>
      </c>
      <c r="F4959" s="67">
        <v>42192</v>
      </c>
      <c r="G4959" s="33" t="s">
        <v>1324</v>
      </c>
      <c r="H4959" s="33" t="s">
        <v>266</v>
      </c>
      <c r="I4959" s="33" t="s">
        <v>67</v>
      </c>
      <c r="J4959" s="33">
        <v>75208</v>
      </c>
      <c r="K4959" s="33" t="s">
        <v>266</v>
      </c>
      <c r="L4959" s="33" t="s">
        <v>267</v>
      </c>
      <c r="M4959" s="33" t="s">
        <v>21</v>
      </c>
      <c r="N4959" s="33" t="s">
        <v>1325</v>
      </c>
      <c r="O4959" s="33" t="s">
        <v>372</v>
      </c>
      <c r="P4959" s="33" t="s">
        <v>30089</v>
      </c>
      <c r="Q4959" s="40" t="str">
        <f>HYPERLINK("http://crimeblog.dallasnews.com/2015/07/authorities-man-shot-by-dallas-police-was-racist-killer-rapist-family-he-was-kind-loving.html/","http://crimeblog.dallasnews.com/2015/07/authorities-man-shot-by-dallas-police-was-racist-killer-rapist-family-he-was-kind-loving.html/")</f>
        <v>http://crimeblog.dallasnews.com/2015/07/authorities-man-shot-by-dallas-police-was-racist-killer-rapist-family-he-was-kind-loving.html/</v>
      </c>
      <c r="R4959" s="33" t="s">
        <v>94</v>
      </c>
      <c r="S4959" s="33" t="s">
        <v>22</v>
      </c>
      <c r="T4959" s="33" t="s">
        <v>26781</v>
      </c>
      <c r="U4959" s="33" t="s">
        <v>26572</v>
      </c>
      <c r="V4959" s="33" t="s">
        <v>26573</v>
      </c>
      <c r="W4959" s="33" t="s">
        <v>94</v>
      </c>
      <c r="X4959" s="33">
        <v>611</v>
      </c>
      <c r="Z4959" s="33" t="s">
        <v>42966</v>
      </c>
      <c r="AA4959" s="33">
        <v>2700</v>
      </c>
    </row>
    <row r="4960" spans="1:27" ht="12" customHeight="1" x14ac:dyDescent="0.15">
      <c r="A4960" s="33" t="s">
        <v>1298</v>
      </c>
      <c r="B4960" s="33">
        <v>47</v>
      </c>
      <c r="C4960" s="33" t="s">
        <v>14</v>
      </c>
      <c r="D4960" s="33" t="s">
        <v>42</v>
      </c>
      <c r="F4960" s="67">
        <v>42192</v>
      </c>
      <c r="G4960" s="33" t="s">
        <v>1299</v>
      </c>
      <c r="H4960" s="33" t="s">
        <v>631</v>
      </c>
      <c r="I4960" s="33" t="s">
        <v>39</v>
      </c>
      <c r="J4960" s="33">
        <v>93307</v>
      </c>
      <c r="K4960" s="33" t="s">
        <v>632</v>
      </c>
      <c r="L4960" s="33" t="s">
        <v>633</v>
      </c>
      <c r="M4960" s="33" t="s">
        <v>21</v>
      </c>
      <c r="N4960" s="33" t="s">
        <v>1300</v>
      </c>
      <c r="O4960" s="33" t="s">
        <v>372</v>
      </c>
      <c r="P4960" s="33" t="s">
        <v>30089</v>
      </c>
      <c r="Q4960" s="40" t="str">
        <f>HYPERLINK("http://www.bakersfield.com/news/2015/07/09/bakersfield-police-man-fatally-shot-tuesday-pointed-gun-at-officers.html","http://www.bakersfield.com/news/2015/07/09/bakersfield-police-man-fatally-shot-tuesday-pointed-gun-at-officers.html")</f>
        <v>http://www.bakersfield.com/news/2015/07/09/bakersfield-police-man-fatally-shot-tuesday-pointed-gun-at-officers.html</v>
      </c>
      <c r="R4960" s="33" t="s">
        <v>94</v>
      </c>
      <c r="S4960" s="33" t="s">
        <v>22</v>
      </c>
      <c r="T4960" s="33" t="s">
        <v>26781</v>
      </c>
      <c r="U4960" s="33" t="s">
        <v>26572</v>
      </c>
      <c r="V4960" s="33" t="s">
        <v>26573</v>
      </c>
      <c r="W4960" s="33" t="s">
        <v>94</v>
      </c>
      <c r="X4960" s="33">
        <v>614</v>
      </c>
      <c r="Z4960" s="33" t="s">
        <v>42968</v>
      </c>
      <c r="AA4960" s="33">
        <v>2701</v>
      </c>
    </row>
    <row r="4961" spans="1:27" ht="12" customHeight="1" x14ac:dyDescent="0.15">
      <c r="A4961" s="33" t="s">
        <v>1293</v>
      </c>
      <c r="B4961" s="33">
        <v>18</v>
      </c>
      <c r="C4961" s="33" t="s">
        <v>14</v>
      </c>
      <c r="D4961" s="33" t="s">
        <v>79</v>
      </c>
      <c r="F4961" s="67">
        <v>42192</v>
      </c>
      <c r="G4961" s="33" t="s">
        <v>1294</v>
      </c>
      <c r="H4961" s="33" t="s">
        <v>1295</v>
      </c>
      <c r="I4961" s="33" t="s">
        <v>67</v>
      </c>
      <c r="J4961" s="33">
        <v>77489</v>
      </c>
      <c r="K4961" s="33" t="s">
        <v>1296</v>
      </c>
      <c r="L4961" s="33" t="s">
        <v>675</v>
      </c>
      <c r="M4961" s="33" t="s">
        <v>21</v>
      </c>
      <c r="N4961" s="33" t="s">
        <v>1297</v>
      </c>
      <c r="O4961" s="33" t="s">
        <v>372</v>
      </c>
      <c r="P4961" s="33" t="s">
        <v>30089</v>
      </c>
      <c r="Q4961" s="40" t="str">
        <f>HYPERLINK("http://www.chron.com/news/houston-texas/houston/article/New-details-emerge-in-HPD-shooting-and-chase-6373997.php","http://www.chron.com/news/houston-texas/houston/article/New-details-emerge-in-HPD-shooting-and-chase-6373997.php")</f>
        <v>http://www.chron.com/news/houston-texas/houston/article/New-details-emerge-in-HPD-shooting-and-chase-6373997.php</v>
      </c>
      <c r="R4961" s="33" t="s">
        <v>94</v>
      </c>
      <c r="S4961" s="33" t="s">
        <v>22</v>
      </c>
      <c r="T4961" s="33" t="s">
        <v>26781</v>
      </c>
      <c r="U4961" s="33" t="s">
        <v>26572</v>
      </c>
      <c r="V4961" s="33" t="s">
        <v>26573</v>
      </c>
      <c r="W4961" s="33" t="s">
        <v>94</v>
      </c>
      <c r="X4961" s="33">
        <v>608</v>
      </c>
      <c r="Z4961" s="33" t="s">
        <v>42968</v>
      </c>
      <c r="AA4961" s="33">
        <v>2699</v>
      </c>
    </row>
    <row r="4962" spans="1:27" ht="12" customHeight="1" x14ac:dyDescent="0.15">
      <c r="A4962" s="33" t="s">
        <v>1335</v>
      </c>
      <c r="B4962" s="33">
        <v>33</v>
      </c>
      <c r="C4962" s="33" t="s">
        <v>14</v>
      </c>
      <c r="D4962" s="33" t="s">
        <v>31</v>
      </c>
      <c r="F4962" s="67">
        <v>42192</v>
      </c>
      <c r="G4962" s="33" t="s">
        <v>1336</v>
      </c>
      <c r="H4962" s="33" t="s">
        <v>1337</v>
      </c>
      <c r="I4962" s="33" t="s">
        <v>112</v>
      </c>
      <c r="J4962" s="33">
        <v>85204</v>
      </c>
      <c r="K4962" s="33" t="s">
        <v>585</v>
      </c>
      <c r="L4962" s="33" t="s">
        <v>1338</v>
      </c>
      <c r="M4962" s="33" t="s">
        <v>21</v>
      </c>
      <c r="N4962" s="33" t="s">
        <v>1339</v>
      </c>
      <c r="O4962" s="33" t="s">
        <v>372</v>
      </c>
      <c r="P4962" s="33" t="s">
        <v>30089</v>
      </c>
      <c r="Q4962" s="40" t="str">
        <f>HYPERLINK("http://www.fox10phoenix.com/story/29484924/2015/07/06/suspect-hospitalized-after-officer-involved-shooting-in-mesa","http://www.fox10phoenix.com/story/29484924/2015/07/06/suspect-hospitalized-after-officer-involved-shooting-in-mesa")</f>
        <v>http://www.fox10phoenix.com/story/29484924/2015/07/06/suspect-hospitalized-after-officer-involved-shooting-in-mesa</v>
      </c>
      <c r="R4962" s="33" t="s">
        <v>23</v>
      </c>
      <c r="S4962" s="33" t="s">
        <v>22</v>
      </c>
      <c r="T4962" s="33" t="s">
        <v>26601</v>
      </c>
      <c r="U4962" s="33" t="s">
        <v>26570</v>
      </c>
      <c r="V4962" s="33" t="s">
        <v>26573</v>
      </c>
      <c r="W4962" s="33" t="s">
        <v>94</v>
      </c>
      <c r="X4962" s="33">
        <v>609</v>
      </c>
      <c r="Z4962" s="33" t="s">
        <v>42968</v>
      </c>
      <c r="AA4962" s="33">
        <v>2706</v>
      </c>
    </row>
    <row r="4963" spans="1:27" ht="12" customHeight="1" x14ac:dyDescent="0.15">
      <c r="A4963" s="33" t="s">
        <v>1318</v>
      </c>
      <c r="B4963" s="33">
        <v>35</v>
      </c>
      <c r="C4963" s="33" t="s">
        <v>14</v>
      </c>
      <c r="D4963" s="33" t="s">
        <v>31</v>
      </c>
      <c r="E4963" s="33" t="str">
        <f>HYPERLINK("http://www.kansascity.com/news/local/crime/iwklhy/picture26752486/ALTERNATES/FREE_640/Booth","http://www.kansascity.com/news/local/crime/iwklhy/picture26752486/ALTERNATES/FREE_640/Booth")</f>
        <v>http://www.kansascity.com/news/local/crime/iwklhy/picture26752486/ALTERNATES/FREE_640/Booth</v>
      </c>
      <c r="F4963" s="67">
        <v>42192</v>
      </c>
      <c r="G4963" s="33" t="s">
        <v>1319</v>
      </c>
      <c r="H4963" s="33" t="s">
        <v>1320</v>
      </c>
      <c r="I4963" s="33" t="s">
        <v>402</v>
      </c>
      <c r="J4963" s="33">
        <v>64050</v>
      </c>
      <c r="K4963" s="33" t="s">
        <v>404</v>
      </c>
      <c r="L4963" s="33" t="s">
        <v>1321</v>
      </c>
      <c r="M4963" s="33" t="s">
        <v>21</v>
      </c>
      <c r="N4963" s="33" t="s">
        <v>1011</v>
      </c>
      <c r="O4963" s="33" t="s">
        <v>372</v>
      </c>
      <c r="P4963" s="33" t="s">
        <v>30089</v>
      </c>
      <c r="Q4963" s="40" t="str">
        <f>HYPERLINK("http://www.kctv5.com/story/29494552/armed-carjacking-suspect-dead-in-police-shooting","http://www.kctv5.com/story/29494552/armed-carjacking-suspect-dead-in-police-shooting")</f>
        <v>http://www.kctv5.com/story/29494552/armed-carjacking-suspect-dead-in-police-shooting</v>
      </c>
      <c r="R4963" s="33" t="s">
        <v>23</v>
      </c>
      <c r="S4963" s="33" t="s">
        <v>22</v>
      </c>
      <c r="T4963" s="33" t="s">
        <v>26781</v>
      </c>
      <c r="U4963" s="33" t="s">
        <v>26572</v>
      </c>
      <c r="V4963" s="33" t="s">
        <v>26571</v>
      </c>
      <c r="W4963" s="33" t="s">
        <v>94</v>
      </c>
      <c r="X4963" s="33">
        <v>617</v>
      </c>
      <c r="Z4963" s="33" t="s">
        <v>42968</v>
      </c>
      <c r="AA4963" s="33">
        <v>2703</v>
      </c>
    </row>
    <row r="4964" spans="1:27" ht="12" customHeight="1" x14ac:dyDescent="0.15">
      <c r="A4964" s="33" t="s">
        <v>1307</v>
      </c>
      <c r="B4964" s="33">
        <v>37</v>
      </c>
      <c r="C4964" s="33" t="s">
        <v>14</v>
      </c>
      <c r="D4964" s="33" t="s">
        <v>79</v>
      </c>
      <c r="F4964" s="67">
        <v>42192</v>
      </c>
      <c r="G4964" s="33" t="s">
        <v>1308</v>
      </c>
      <c r="H4964" s="33" t="s">
        <v>1309</v>
      </c>
      <c r="I4964" s="33" t="s">
        <v>75</v>
      </c>
      <c r="J4964" s="33">
        <v>8401</v>
      </c>
      <c r="K4964" s="33" t="s">
        <v>1310</v>
      </c>
      <c r="L4964" s="33" t="s">
        <v>1311</v>
      </c>
      <c r="M4964" s="33" t="s">
        <v>21</v>
      </c>
      <c r="N4964" s="33" t="s">
        <v>1312</v>
      </c>
      <c r="O4964" s="33" t="s">
        <v>372</v>
      </c>
      <c r="P4964" s="33" t="s">
        <v>30089</v>
      </c>
      <c r="Q4964" s="40" t="str">
        <f>HYPERLINK("http://www.pressofatlanticcity.com/eedition/news/grand-jury-may-decide-fate-of-cop/article_d75e1ab1-8f1e-5086-b543-3243f95fc088.html","http://www.pressofatlanticcity.com/eedition/news/grand-jury-may-decide-fate-of-cop/article_d75e1ab1-8f1e-5086-b543-3243f95fc088.html")</f>
        <v>http://www.pressofatlanticcity.com/eedition/news/grand-jury-may-decide-fate-of-cop/article_d75e1ab1-8f1e-5086-b543-3243f95fc088.html</v>
      </c>
      <c r="R4964" s="33" t="s">
        <v>512</v>
      </c>
      <c r="S4964" s="33" t="s">
        <v>22</v>
      </c>
      <c r="T4964" s="33" t="s">
        <v>26774</v>
      </c>
      <c r="U4964" s="33" t="s">
        <v>26572</v>
      </c>
      <c r="V4964" s="33" t="s">
        <v>26574</v>
      </c>
      <c r="W4964" s="33" t="s">
        <v>94</v>
      </c>
      <c r="X4964" s="33">
        <v>616</v>
      </c>
      <c r="Z4964" s="33" t="s">
        <v>42966</v>
      </c>
      <c r="AA4964" s="33">
        <v>2704</v>
      </c>
    </row>
    <row r="4965" spans="1:27" ht="12" customHeight="1" x14ac:dyDescent="0.15">
      <c r="A4965" s="33" t="s">
        <v>1301</v>
      </c>
      <c r="B4965" s="33">
        <v>39</v>
      </c>
      <c r="C4965" s="33" t="s">
        <v>14</v>
      </c>
      <c r="D4965" s="33" t="s">
        <v>42</v>
      </c>
      <c r="F4965" s="67">
        <v>42192</v>
      </c>
      <c r="G4965" s="33" t="s">
        <v>1302</v>
      </c>
      <c r="H4965" s="33" t="s">
        <v>1303</v>
      </c>
      <c r="I4965" s="33" t="s">
        <v>67</v>
      </c>
      <c r="J4965" s="33">
        <v>78542</v>
      </c>
      <c r="K4965" s="33" t="s">
        <v>1304</v>
      </c>
      <c r="L4965" s="33" t="s">
        <v>1305</v>
      </c>
      <c r="M4965" s="33" t="s">
        <v>21</v>
      </c>
      <c r="N4965" s="33" t="s">
        <v>1306</v>
      </c>
      <c r="O4965" s="33" t="s">
        <v>372</v>
      </c>
      <c r="P4965" s="33" t="s">
        <v>30089</v>
      </c>
      <c r="Q4965" s="40" t="str">
        <f>HYPERLINK("http://www.themonitor.com/news/local/authorities-armed-man-in-edinburg-standoff-killed-in-officer-involved/article_62b2b456-24f2-11e5-b79b-6b2f14f63dc2.html","http://www.themonitor.com/news/local/authorities-armed-man-in-edinburg-standoff-killed-in-officer-involved/article_62b2b456-24f2-11e5-b79b-6b2f14f63dc2.html")</f>
        <v>http://www.themonitor.com/news/local/authorities-armed-man-in-edinburg-standoff-killed-in-officer-involved/article_62b2b456-24f2-11e5-b79b-6b2f14f63dc2.html</v>
      </c>
      <c r="R4965" s="33" t="s">
        <v>512</v>
      </c>
      <c r="S4965" s="33" t="s">
        <v>22</v>
      </c>
      <c r="T4965" s="33" t="s">
        <v>26781</v>
      </c>
      <c r="U4965" s="33" t="s">
        <v>26572</v>
      </c>
      <c r="V4965" s="33" t="s">
        <v>26573</v>
      </c>
      <c r="W4965" s="33" t="s">
        <v>94</v>
      </c>
      <c r="X4965" s="33">
        <v>615</v>
      </c>
      <c r="Z4965" s="33" t="s">
        <v>42967</v>
      </c>
      <c r="AA4965" s="33">
        <v>2702</v>
      </c>
    </row>
    <row r="4966" spans="1:27" ht="12" customHeight="1" x14ac:dyDescent="0.15">
      <c r="A4966" s="33" t="s">
        <v>1313</v>
      </c>
      <c r="B4966" s="33">
        <v>28</v>
      </c>
      <c r="C4966" s="33" t="s">
        <v>14</v>
      </c>
      <c r="D4966" s="33" t="s">
        <v>31</v>
      </c>
      <c r="F4966" s="67">
        <v>42192</v>
      </c>
      <c r="G4966" s="33" t="s">
        <v>1314</v>
      </c>
      <c r="H4966" s="33" t="s">
        <v>1315</v>
      </c>
      <c r="I4966" s="33" t="s">
        <v>294</v>
      </c>
      <c r="J4966" s="33">
        <v>42701</v>
      </c>
      <c r="K4966" s="33" t="s">
        <v>1316</v>
      </c>
      <c r="L4966" s="33" t="s">
        <v>2968</v>
      </c>
      <c r="M4966" s="33" t="s">
        <v>21</v>
      </c>
      <c r="N4966" s="33" t="s">
        <v>1317</v>
      </c>
      <c r="O4966" s="33" t="s">
        <v>372</v>
      </c>
      <c r="P4966" s="33" t="s">
        <v>30089</v>
      </c>
      <c r="Q4966" s="40" t="str">
        <f>HYPERLINK("http://www.wlky.com/news/man-dies-after-being-shot-by-elizabethtown-police/34052212","http://www.wlky.com/news/man-dies-after-being-shot-by-elizabethtown-police/34052212")</f>
        <v>http://www.wlky.com/news/man-dies-after-being-shot-by-elizabethtown-police/34052212</v>
      </c>
      <c r="R4966" s="33" t="s">
        <v>94</v>
      </c>
      <c r="S4966" s="33" t="s">
        <v>22</v>
      </c>
      <c r="T4966" s="33" t="s">
        <v>26774</v>
      </c>
      <c r="U4966" s="33" t="s">
        <v>26570</v>
      </c>
      <c r="V4966" s="33" t="s">
        <v>26573</v>
      </c>
      <c r="W4966" s="33" t="s">
        <v>94</v>
      </c>
      <c r="X4966" s="33">
        <v>618</v>
      </c>
      <c r="Z4966" s="33" t="s">
        <v>42966</v>
      </c>
      <c r="AA4966" s="33">
        <v>2705</v>
      </c>
    </row>
    <row r="4967" spans="1:27" ht="12" customHeight="1" x14ac:dyDescent="0.15">
      <c r="A4967" s="33" t="s">
        <v>1326</v>
      </c>
      <c r="B4967" s="33">
        <v>29</v>
      </c>
      <c r="C4967" s="33" t="s">
        <v>14</v>
      </c>
      <c r="D4967" s="33" t="s">
        <v>79</v>
      </c>
      <c r="F4967" s="67">
        <v>42191</v>
      </c>
      <c r="G4967" s="33" t="s">
        <v>1327</v>
      </c>
      <c r="H4967" s="33" t="s">
        <v>92</v>
      </c>
      <c r="I4967" s="33" t="s">
        <v>39</v>
      </c>
      <c r="J4967" s="33">
        <v>91342</v>
      </c>
      <c r="K4967" s="33" t="s">
        <v>92</v>
      </c>
      <c r="L4967" s="33" t="s">
        <v>93</v>
      </c>
      <c r="M4967" s="33" t="s">
        <v>21</v>
      </c>
      <c r="N4967" s="33" t="s">
        <v>1328</v>
      </c>
      <c r="O4967" s="33" t="s">
        <v>372</v>
      </c>
      <c r="P4967" s="33" t="s">
        <v>30089</v>
      </c>
      <c r="Q4967" s="40" t="str">
        <f>HYPERLINK("http://homicide.latimes.com/post/jason-m-hendley/","http://homicide.latimes.com/post/jason-m-hendley/")</f>
        <v>http://homicide.latimes.com/post/jason-m-hendley/</v>
      </c>
      <c r="R4967" s="33" t="s">
        <v>94</v>
      </c>
      <c r="S4967" s="33" t="s">
        <v>22</v>
      </c>
      <c r="T4967" s="33" t="s">
        <v>26774</v>
      </c>
      <c r="U4967" s="33" t="s">
        <v>26572</v>
      </c>
      <c r="V4967" s="33" t="s">
        <v>26573</v>
      </c>
      <c r="W4967" s="33" t="s">
        <v>94</v>
      </c>
      <c r="X4967" s="33">
        <v>619</v>
      </c>
      <c r="Z4967" s="33" t="s">
        <v>42968</v>
      </c>
      <c r="AA4967" s="33">
        <v>2695</v>
      </c>
    </row>
    <row r="4968" spans="1:27" ht="12" customHeight="1" x14ac:dyDescent="0.15">
      <c r="A4968" s="33" t="s">
        <v>1340</v>
      </c>
      <c r="B4968" s="33">
        <v>31</v>
      </c>
      <c r="C4968" s="33" t="s">
        <v>14</v>
      </c>
      <c r="D4968" s="33" t="s">
        <v>31</v>
      </c>
      <c r="F4968" s="67">
        <v>42191</v>
      </c>
      <c r="G4968" s="33" t="s">
        <v>1341</v>
      </c>
      <c r="H4968" s="33" t="s">
        <v>1342</v>
      </c>
      <c r="I4968" s="33" t="s">
        <v>39</v>
      </c>
      <c r="J4968" s="33">
        <v>90713</v>
      </c>
      <c r="K4968" s="33" t="s">
        <v>92</v>
      </c>
      <c r="L4968" s="33" t="s">
        <v>386</v>
      </c>
      <c r="M4968" s="33" t="s">
        <v>4966</v>
      </c>
      <c r="N4968" s="33" t="s">
        <v>1343</v>
      </c>
      <c r="O4968" s="33" t="s">
        <v>372</v>
      </c>
      <c r="P4968" s="33" t="s">
        <v>30089</v>
      </c>
      <c r="Q4968" s="40" t="str">
        <f>HYPERLINK("http://homicide.latimes.com/post/john-leonard-berry/","http://homicide.latimes.com/post/john-leonard-berry/")</f>
        <v>http://homicide.latimes.com/post/john-leonard-berry/</v>
      </c>
      <c r="R4968" s="33" t="s">
        <v>512</v>
      </c>
      <c r="S4968" s="33" t="s">
        <v>351</v>
      </c>
      <c r="T4968" s="33" t="s">
        <v>26867</v>
      </c>
      <c r="U4968" s="33" t="s">
        <v>26572</v>
      </c>
      <c r="V4968" s="33" t="s">
        <v>19228</v>
      </c>
      <c r="W4968" s="33" t="s">
        <v>94</v>
      </c>
      <c r="X4968" s="33">
        <v>610</v>
      </c>
      <c r="Z4968" s="33" t="s">
        <v>42966</v>
      </c>
      <c r="AA4968" s="33">
        <v>2698</v>
      </c>
    </row>
    <row r="4969" spans="1:27" ht="12" customHeight="1" x14ac:dyDescent="0.15">
      <c r="A4969" s="33" t="s">
        <v>1350</v>
      </c>
      <c r="B4969" s="33">
        <v>20</v>
      </c>
      <c r="C4969" s="33" t="s">
        <v>14</v>
      </c>
      <c r="D4969" s="33" t="s">
        <v>31</v>
      </c>
      <c r="E4969" s="33" t="str">
        <f>HYPERLINK("https://localtvkfor.files.wordpress.com/2015/07/rogers-tyler.jpg","https://localtvkfor.files.wordpress.com/2015/07/rogers-tyler.jpg")</f>
        <v>https://localtvkfor.files.wordpress.com/2015/07/rogers-tyler.jpg</v>
      </c>
      <c r="F4969" s="67">
        <v>42191</v>
      </c>
      <c r="G4969" s="33" t="s">
        <v>1351</v>
      </c>
      <c r="H4969" s="33" t="s">
        <v>1027</v>
      </c>
      <c r="I4969" s="33" t="s">
        <v>367</v>
      </c>
      <c r="J4969" s="33">
        <v>73119</v>
      </c>
      <c r="K4969" s="33" t="s">
        <v>1028</v>
      </c>
      <c r="L4969" s="33" t="s">
        <v>1029</v>
      </c>
      <c r="M4969" s="33" t="s">
        <v>21</v>
      </c>
      <c r="N4969" s="33" t="s">
        <v>1352</v>
      </c>
      <c r="O4969" s="33" t="s">
        <v>372</v>
      </c>
      <c r="P4969" s="33" t="s">
        <v>30089</v>
      </c>
      <c r="Q4969" s="40" t="s">
        <v>18864</v>
      </c>
      <c r="R4969" s="33" t="s">
        <v>94</v>
      </c>
      <c r="S4969" s="33" t="s">
        <v>22</v>
      </c>
      <c r="T4969" s="33" t="s">
        <v>26781</v>
      </c>
      <c r="U4969" s="33" t="s">
        <v>26572</v>
      </c>
      <c r="V4969" s="33" t="s">
        <v>26573</v>
      </c>
      <c r="W4969" s="33" t="s">
        <v>94</v>
      </c>
      <c r="X4969" s="33">
        <v>590</v>
      </c>
      <c r="Z4969" s="33" t="s">
        <v>42966</v>
      </c>
      <c r="AA4969" s="33">
        <v>2693</v>
      </c>
    </row>
    <row r="4970" spans="1:27" ht="12" customHeight="1" x14ac:dyDescent="0.15">
      <c r="A4970" s="33" t="s">
        <v>1353</v>
      </c>
      <c r="B4970" s="33">
        <v>30</v>
      </c>
      <c r="C4970" s="33" t="s">
        <v>14</v>
      </c>
      <c r="D4970" s="33" t="s">
        <v>31</v>
      </c>
      <c r="E4970" s="33" t="str">
        <f>HYPERLINK("https://localtvkstu.files.wordpress.com/2015/07/gormley.jpg","https://localtvkstu.files.wordpress.com/2015/07/gormley.jpg")</f>
        <v>https://localtvkstu.files.wordpress.com/2015/07/gormley.jpg</v>
      </c>
      <c r="F4970" s="67">
        <v>42191</v>
      </c>
      <c r="G4970" s="33" t="s">
        <v>1354</v>
      </c>
      <c r="H4970" s="33" t="s">
        <v>1355</v>
      </c>
      <c r="I4970" s="33" t="s">
        <v>221</v>
      </c>
      <c r="J4970" s="33">
        <v>84401</v>
      </c>
      <c r="K4970" s="33" t="s">
        <v>1356</v>
      </c>
      <c r="L4970" s="33" t="s">
        <v>1357</v>
      </c>
      <c r="M4970" s="33" t="s">
        <v>363</v>
      </c>
      <c r="N4970" s="33" t="s">
        <v>1358</v>
      </c>
      <c r="O4970" s="33" t="s">
        <v>372</v>
      </c>
      <c r="P4970" s="33" t="s">
        <v>30089</v>
      </c>
      <c r="Q4970" s="40" t="s">
        <v>18865</v>
      </c>
      <c r="R4970" s="33" t="s">
        <v>904</v>
      </c>
      <c r="S4970" s="33" t="s">
        <v>12</v>
      </c>
      <c r="T4970" s="54" t="s">
        <v>29705</v>
      </c>
      <c r="Z4970" s="33" t="s">
        <v>42968</v>
      </c>
      <c r="AA4970" s="33">
        <v>2697</v>
      </c>
    </row>
    <row r="4971" spans="1:27" ht="12" customHeight="1" x14ac:dyDescent="0.15">
      <c r="A4971" s="33" t="s">
        <v>1329</v>
      </c>
      <c r="B4971" s="33">
        <v>42</v>
      </c>
      <c r="C4971" s="33" t="s">
        <v>14</v>
      </c>
      <c r="D4971" s="33" t="s">
        <v>42</v>
      </c>
      <c r="F4971" s="67">
        <v>42191</v>
      </c>
      <c r="G4971" s="33" t="s">
        <v>1330</v>
      </c>
      <c r="H4971" s="33" t="s">
        <v>1331</v>
      </c>
      <c r="I4971" s="33" t="s">
        <v>39</v>
      </c>
      <c r="J4971" s="33">
        <v>95301</v>
      </c>
      <c r="K4971" s="33" t="s">
        <v>1332</v>
      </c>
      <c r="L4971" s="33" t="s">
        <v>1333</v>
      </c>
      <c r="M4971" s="33" t="s">
        <v>4966</v>
      </c>
      <c r="N4971" s="33" t="s">
        <v>1334</v>
      </c>
      <c r="O4971" s="33" t="s">
        <v>372</v>
      </c>
      <c r="P4971" s="33" t="s">
        <v>30089</v>
      </c>
      <c r="Q4971" s="40" t="str">
        <f>HYPERLINK("http://www.mercedsunstar.com/news/local/crime/article26705443.html","http://www.mercedsunstar.com/news/local/crime/article26705443.html")</f>
        <v>http://www.mercedsunstar.com/news/local/crime/article26705443.html</v>
      </c>
      <c r="R4971" s="33" t="s">
        <v>94</v>
      </c>
      <c r="S4971" s="33" t="s">
        <v>22</v>
      </c>
      <c r="T4971" s="33" t="s">
        <v>26774</v>
      </c>
      <c r="U4971" s="33" t="s">
        <v>26572</v>
      </c>
      <c r="V4971" s="33" t="s">
        <v>26571</v>
      </c>
      <c r="W4971" s="33" t="s">
        <v>94</v>
      </c>
      <c r="X4971" s="33">
        <v>607</v>
      </c>
      <c r="Z4971" s="33" t="s">
        <v>42968</v>
      </c>
      <c r="AA4971" s="33">
        <v>2696</v>
      </c>
    </row>
    <row r="4972" spans="1:27" ht="12" customHeight="1" x14ac:dyDescent="0.15">
      <c r="A4972" s="33" t="s">
        <v>1344</v>
      </c>
      <c r="B4972" s="33">
        <v>42</v>
      </c>
      <c r="C4972" s="33" t="s">
        <v>14</v>
      </c>
      <c r="D4972" s="33" t="s">
        <v>31</v>
      </c>
      <c r="F4972" s="67">
        <v>42191</v>
      </c>
      <c r="G4972" s="33" t="s">
        <v>1345</v>
      </c>
      <c r="H4972" s="33" t="s">
        <v>1346</v>
      </c>
      <c r="I4972" s="33" t="s">
        <v>468</v>
      </c>
      <c r="J4972" s="33">
        <v>3785</v>
      </c>
      <c r="K4972" s="33" t="s">
        <v>1347</v>
      </c>
      <c r="L4972" s="33" t="s">
        <v>1348</v>
      </c>
      <c r="M4972" s="33" t="s">
        <v>21</v>
      </c>
      <c r="N4972" s="33" t="s">
        <v>987</v>
      </c>
      <c r="O4972" s="33" t="s">
        <v>372</v>
      </c>
      <c r="P4972" s="33" t="s">
        <v>30089</v>
      </c>
      <c r="Q4972" s="40" t="str">
        <f>HYPERLINK("http://www.vnews.com/news/newsletter/17857473-95/haverhill-officers-unnamed-nh-ag-wont-give-any-shooting-details","http://www.vnews.com/news/newsletter/17857473-95/haverhill-officers-unnamed-nh-ag-wont-give-any-shooting-details")</f>
        <v>http://www.vnews.com/news/newsletter/17857473-95/haverhill-officers-unnamed-nh-ag-wont-give-any-shooting-details</v>
      </c>
      <c r="R4972" s="33" t="s">
        <v>512</v>
      </c>
      <c r="S4972" s="33" t="s">
        <v>22</v>
      </c>
      <c r="T4972" s="33" t="s">
        <v>26774</v>
      </c>
      <c r="U4972" s="33" t="s">
        <v>26570</v>
      </c>
      <c r="V4972" s="33" t="s">
        <v>26573</v>
      </c>
      <c r="W4972" s="33" t="s">
        <v>512</v>
      </c>
      <c r="X4972" s="33">
        <v>606</v>
      </c>
      <c r="Z4972" s="33" t="s">
        <v>42967</v>
      </c>
      <c r="AA4972" s="33">
        <v>2694</v>
      </c>
    </row>
    <row r="4973" spans="1:27" ht="12" customHeight="1" x14ac:dyDescent="0.15">
      <c r="A4973" s="33" t="s">
        <v>1371</v>
      </c>
      <c r="B4973" s="33">
        <v>25</v>
      </c>
      <c r="C4973" s="33" t="s">
        <v>14</v>
      </c>
      <c r="D4973" s="33" t="s">
        <v>31</v>
      </c>
      <c r="F4973" s="67">
        <v>42190</v>
      </c>
      <c r="G4973" s="33" t="s">
        <v>1372</v>
      </c>
      <c r="H4973" s="33" t="s">
        <v>1227</v>
      </c>
      <c r="I4973" s="33" t="s">
        <v>67</v>
      </c>
      <c r="J4973" s="33">
        <v>78758</v>
      </c>
      <c r="K4973" s="33" t="s">
        <v>1228</v>
      </c>
      <c r="L4973" s="33" t="s">
        <v>1229</v>
      </c>
      <c r="M4973" s="33" t="s">
        <v>4966</v>
      </c>
      <c r="N4973" s="33" t="s">
        <v>1373</v>
      </c>
      <c r="O4973" s="33" t="s">
        <v>372</v>
      </c>
      <c r="P4973" s="33" t="s">
        <v>30089</v>
      </c>
      <c r="Q4973" s="40" t="str">
        <f>HYPERLINK("http://kxan.com/2015/07/06/police-say-man-killed-in-north-austin-aimed-a-bb-pistol-at-officers/","http://kxan.com/2015/07/06/police-say-man-killed-in-north-austin-aimed-a-bb-pistol-at-officers/")</f>
        <v>http://kxan.com/2015/07/06/police-say-man-killed-in-north-austin-aimed-a-bb-pistol-at-officers/</v>
      </c>
      <c r="R4973" s="33" t="s">
        <v>512</v>
      </c>
      <c r="S4973" s="33" t="s">
        <v>12</v>
      </c>
      <c r="T4973" s="33" t="s">
        <v>29425</v>
      </c>
      <c r="U4973" s="33" t="s">
        <v>26572</v>
      </c>
      <c r="V4973" s="33" t="s">
        <v>26573</v>
      </c>
      <c r="W4973" s="33" t="s">
        <v>94</v>
      </c>
      <c r="X4973" s="33">
        <v>594</v>
      </c>
      <c r="Z4973" s="33" t="s">
        <v>42966</v>
      </c>
      <c r="AA4973" s="33">
        <v>2690</v>
      </c>
    </row>
    <row r="4974" spans="1:27" ht="12" customHeight="1" x14ac:dyDescent="0.15">
      <c r="A4974" s="33" t="s">
        <v>1368</v>
      </c>
      <c r="B4974" s="33">
        <v>35</v>
      </c>
      <c r="C4974" s="33" t="s">
        <v>14</v>
      </c>
      <c r="D4974" s="33" t="s">
        <v>31</v>
      </c>
      <c r="E4974" s="33" t="str">
        <f>HYPERLINK("https://media.licdn.com/media/p/3/000/0d2/16d/29b38bd.jpg","https://media.licdn.com/media/p/3/000/0d2/16d/29b38bd.jpg")</f>
        <v>https://media.licdn.com/media/p/3/000/0d2/16d/29b38bd.jpg</v>
      </c>
      <c r="F4974" s="67">
        <v>42190</v>
      </c>
      <c r="G4974" s="33" t="s">
        <v>1369</v>
      </c>
      <c r="H4974" s="33" t="s">
        <v>1227</v>
      </c>
      <c r="I4974" s="33" t="s">
        <v>67</v>
      </c>
      <c r="J4974" s="33">
        <v>78701</v>
      </c>
      <c r="K4974" s="33" t="s">
        <v>1228</v>
      </c>
      <c r="L4974" s="33" t="s">
        <v>1229</v>
      </c>
      <c r="M4974" s="33" t="s">
        <v>21</v>
      </c>
      <c r="N4974" s="33" t="s">
        <v>1370</v>
      </c>
      <c r="O4974" s="33" t="s">
        <v>372</v>
      </c>
      <c r="P4974" s="33" t="s">
        <v>30089</v>
      </c>
      <c r="Q4974" s="40" t="str">
        <f>HYPERLINK("http://www.dallasnews.com/news/crime/headlines/20150706-austin-police-id-gunman-victim-at-sundays-hotel-shooting.ece","http://www.dallasnews.com/news/crime/headlines/20150706-austin-police-id-gunman-victim-at-sundays-hotel-shooting.ece")</f>
        <v>http://www.dallasnews.com/news/crime/headlines/20150706-austin-police-id-gunman-victim-at-sundays-hotel-shooting.ece</v>
      </c>
      <c r="R4974" s="33" t="s">
        <v>94</v>
      </c>
      <c r="S4974" s="33" t="s">
        <v>22</v>
      </c>
      <c r="T4974" s="33" t="s">
        <v>26781</v>
      </c>
      <c r="U4974" s="33" t="s">
        <v>26572</v>
      </c>
      <c r="V4974" s="33" t="s">
        <v>26574</v>
      </c>
      <c r="W4974" s="33" t="s">
        <v>94</v>
      </c>
      <c r="X4974" s="33">
        <v>593</v>
      </c>
      <c r="Z4974" s="33" t="s">
        <v>42966</v>
      </c>
      <c r="AA4974" s="33">
        <v>2689</v>
      </c>
    </row>
    <row r="4975" spans="1:27" ht="12" customHeight="1" x14ac:dyDescent="0.15">
      <c r="A4975" s="33" t="s">
        <v>1359</v>
      </c>
      <c r="B4975" s="33">
        <v>43</v>
      </c>
      <c r="C4975" s="33" t="s">
        <v>14</v>
      </c>
      <c r="D4975" s="33" t="s">
        <v>42</v>
      </c>
      <c r="F4975" s="67">
        <v>42190</v>
      </c>
      <c r="G4975" s="33" t="s">
        <v>1360</v>
      </c>
      <c r="H4975" s="33" t="s">
        <v>1361</v>
      </c>
      <c r="I4975" s="33" t="s">
        <v>39</v>
      </c>
      <c r="J4975" s="33">
        <v>90716</v>
      </c>
      <c r="K4975" s="33" t="s">
        <v>92</v>
      </c>
      <c r="L4975" s="33" t="s">
        <v>386</v>
      </c>
      <c r="M4975" s="33" t="s">
        <v>21</v>
      </c>
      <c r="N4975" s="33" t="s">
        <v>1362</v>
      </c>
      <c r="O4975" s="33" t="s">
        <v>372</v>
      </c>
      <c r="P4975" s="33" t="s">
        <v>30089</v>
      </c>
      <c r="Q4975" s="40" t="str">
        <f>HYPERLINK("http://www.loscerritosnews.net/2015/07/12/hundreds-protest-johnny-ray-andersons-shooting-death-in-hawaiian-gardens/","http://www.loscerritosnews.net/2015/07/12/hundreds-protest-johnny-ray-andersons-shooting-death-in-hawaiian-gardens/")</f>
        <v>http://www.loscerritosnews.net/2015/07/12/hundreds-protest-johnny-ray-andersons-shooting-death-in-hawaiian-gardens/</v>
      </c>
      <c r="R4975" s="33" t="s">
        <v>94</v>
      </c>
      <c r="S4975" s="33" t="s">
        <v>12</v>
      </c>
      <c r="T4975" s="33" t="s">
        <v>29705</v>
      </c>
      <c r="U4975" s="33" t="s">
        <v>26570</v>
      </c>
      <c r="V4975" s="33" t="s">
        <v>26573</v>
      </c>
      <c r="W4975" s="33" t="s">
        <v>94</v>
      </c>
      <c r="X4975" s="33">
        <v>605</v>
      </c>
      <c r="Z4975" s="33" t="s">
        <v>42968</v>
      </c>
      <c r="AA4975" s="33">
        <v>2692</v>
      </c>
    </row>
    <row r="4976" spans="1:27" ht="12" customHeight="1" x14ac:dyDescent="0.15">
      <c r="A4976" s="33" t="s">
        <v>1363</v>
      </c>
      <c r="B4976" s="33">
        <v>19</v>
      </c>
      <c r="C4976" s="33" t="s">
        <v>14</v>
      </c>
      <c r="D4976" s="33" t="s">
        <v>31</v>
      </c>
      <c r="E4976" s="33" t="str">
        <f>HYPERLINK("http://cdn.patch.com/users/1372433/2015/07/T800x600/201507559ff12e799d0.png","http://cdn.patch.com/users/1372433/2015/07/T800x600/201507559ff12e799d0.png")</f>
        <v>http://cdn.patch.com/users/1372433/2015/07/T800x600/201507559ff12e799d0.png</v>
      </c>
      <c r="F4976" s="67">
        <v>42190</v>
      </c>
      <c r="G4976" s="33" t="s">
        <v>1364</v>
      </c>
      <c r="H4976" s="33" t="s">
        <v>1365</v>
      </c>
      <c r="I4976" s="33" t="s">
        <v>39</v>
      </c>
      <c r="J4976" s="33">
        <v>94566</v>
      </c>
      <c r="K4976" s="33" t="s">
        <v>558</v>
      </c>
      <c r="L4976" s="33" t="s">
        <v>1366</v>
      </c>
      <c r="M4976" s="33" t="s">
        <v>21</v>
      </c>
      <c r="N4976" s="33" t="s">
        <v>1367</v>
      </c>
      <c r="O4976" s="33" t="s">
        <v>372</v>
      </c>
      <c r="P4976" s="33" t="s">
        <v>30089</v>
      </c>
      <c r="Q4976" s="40" t="str">
        <f>HYPERLINK("http://www.mercurynews.com/crime-courts/ci_28445274/pleasanton-investigation-continues-into-fatal-police-shooting-19","http://www.mercurynews.com/crime-courts/ci_28445274/pleasanton-investigation-continues-into-fatal-police-shooting-19")</f>
        <v>http://www.mercurynews.com/crime-courts/ci_28445274/pleasanton-investigation-continues-into-fatal-police-shooting-19</v>
      </c>
      <c r="R4976" s="33" t="s">
        <v>94</v>
      </c>
      <c r="S4976" s="33" t="s">
        <v>12</v>
      </c>
      <c r="T4976" s="33" t="s">
        <v>29705</v>
      </c>
      <c r="U4976" s="33" t="s">
        <v>26572</v>
      </c>
      <c r="V4976" s="33" t="s">
        <v>26574</v>
      </c>
      <c r="W4976" s="33" t="s">
        <v>94</v>
      </c>
      <c r="X4976" s="33">
        <v>592</v>
      </c>
      <c r="Z4976" s="33" t="s">
        <v>42968</v>
      </c>
      <c r="AA4976" s="33">
        <v>2691</v>
      </c>
    </row>
    <row r="4977" spans="1:27" ht="12" customHeight="1" x14ac:dyDescent="0.15">
      <c r="A4977" s="33" t="s">
        <v>1377</v>
      </c>
      <c r="B4977" s="33">
        <v>42</v>
      </c>
      <c r="C4977" s="33" t="s">
        <v>14</v>
      </c>
      <c r="D4977" s="33" t="s">
        <v>79</v>
      </c>
      <c r="E4977" s="33" t="str">
        <f>HYPERLINK("http://kwtv.images.worldnow.com/images/8241047_G.jpg","http://kwtv.images.worldnow.com/images/8241047_G.jpg")</f>
        <v>http://kwtv.images.worldnow.com/images/8241047_G.jpg</v>
      </c>
      <c r="F4977" s="67">
        <v>42189</v>
      </c>
      <c r="G4977" s="33" t="s">
        <v>1378</v>
      </c>
      <c r="H4977" s="33" t="s">
        <v>1027</v>
      </c>
      <c r="I4977" s="33" t="s">
        <v>367</v>
      </c>
      <c r="J4977" s="33">
        <v>73135</v>
      </c>
      <c r="K4977" s="33" t="s">
        <v>1028</v>
      </c>
      <c r="L4977" s="33" t="s">
        <v>1029</v>
      </c>
      <c r="M4977" s="33" t="s">
        <v>21</v>
      </c>
      <c r="N4977" s="33" t="s">
        <v>1379</v>
      </c>
      <c r="O4977" s="33" t="s">
        <v>372</v>
      </c>
      <c r="P4977" s="33" t="s">
        <v>30089</v>
      </c>
      <c r="Q4977" s="40" t="s">
        <v>18862</v>
      </c>
      <c r="R4977" s="33" t="s">
        <v>94</v>
      </c>
      <c r="S4977" s="33" t="s">
        <v>22</v>
      </c>
      <c r="T4977" s="33" t="s">
        <v>26781</v>
      </c>
      <c r="U4977" s="33" t="s">
        <v>26572</v>
      </c>
      <c r="V4977" s="33" t="s">
        <v>26574</v>
      </c>
      <c r="W4977" s="33" t="s">
        <v>94</v>
      </c>
      <c r="X4977" s="33">
        <v>591</v>
      </c>
      <c r="Z4977" s="33" t="s">
        <v>42968</v>
      </c>
      <c r="AA4977" s="33">
        <v>2684</v>
      </c>
    </row>
    <row r="4978" spans="1:27" ht="12" customHeight="1" x14ac:dyDescent="0.15">
      <c r="A4978" s="33" t="s">
        <v>1380</v>
      </c>
      <c r="B4978" s="33">
        <v>23</v>
      </c>
      <c r="C4978" s="33" t="s">
        <v>14</v>
      </c>
      <c r="D4978" s="33" t="s">
        <v>79</v>
      </c>
      <c r="E4978" s="33" t="str">
        <f>HYPERLINK("http://i.guim.co.uk/img/media/6b8d2e8197fcd13bf1efa55dde76f7af6401fdfb/0_188_600_360/master/600.jpg?w=620&amp;q=85&amp;auto=format&amp;sharp=10&amp;s=cd2d313d4e808218cd2fff1e044bc896","http://i.guim.co.uk/img/media/6b8d2e8197fcd13bf1efa55dde76f7af6401fdfb/0_188_600_360/master/600.jpg?w=620&amp;q=85&amp;auto=format&amp;sharp=10&amp;s=cd2d313d4e808218cd2fff1e044bc896")</f>
        <v>http://i.guim.co.uk/img/media/6b8d2e8197fcd13bf1efa55dde76f7af6401fdfb/0_188_600_360/master/600.jpg?w=620&amp;q=85&amp;auto=format&amp;sharp=10&amp;s=cd2d313d4e808218cd2fff1e044bc896</v>
      </c>
      <c r="F4978" s="67">
        <v>42189</v>
      </c>
      <c r="G4978" s="33" t="s">
        <v>1381</v>
      </c>
      <c r="H4978" s="33" t="s">
        <v>1382</v>
      </c>
      <c r="I4978" s="33" t="s">
        <v>225</v>
      </c>
      <c r="J4978" s="33">
        <v>23607</v>
      </c>
      <c r="K4978" s="33" t="s">
        <v>1383</v>
      </c>
      <c r="L4978" s="33" t="s">
        <v>1384</v>
      </c>
      <c r="M4978" s="33" t="s">
        <v>21</v>
      </c>
      <c r="N4978" s="33" t="s">
        <v>1385</v>
      </c>
      <c r="O4978" s="33" t="s">
        <v>372</v>
      </c>
      <c r="P4978" s="33" t="s">
        <v>30089</v>
      </c>
      <c r="Q4978" s="40" t="s">
        <v>18863</v>
      </c>
      <c r="R4978" s="33" t="s">
        <v>94</v>
      </c>
      <c r="S4978" s="33" t="s">
        <v>22</v>
      </c>
      <c r="T4978" s="33" t="s">
        <v>26781</v>
      </c>
      <c r="U4978" s="33" t="s">
        <v>26572</v>
      </c>
      <c r="V4978" s="33" t="s">
        <v>26574</v>
      </c>
      <c r="W4978" s="33" t="s">
        <v>94</v>
      </c>
      <c r="X4978" s="33">
        <v>596</v>
      </c>
      <c r="Z4978" s="33" t="s">
        <v>42966</v>
      </c>
      <c r="AA4978" s="33">
        <v>2686</v>
      </c>
    </row>
    <row r="4979" spans="1:27" ht="12" customHeight="1" x14ac:dyDescent="0.15">
      <c r="A4979" s="33" t="s">
        <v>1374</v>
      </c>
      <c r="B4979" s="33">
        <v>52</v>
      </c>
      <c r="C4979" s="33" t="s">
        <v>14</v>
      </c>
      <c r="D4979" s="33" t="s">
        <v>79</v>
      </c>
      <c r="F4979" s="67">
        <v>42189</v>
      </c>
      <c r="G4979" s="33" t="s">
        <v>1375</v>
      </c>
      <c r="H4979" s="33" t="s">
        <v>196</v>
      </c>
      <c r="I4979" s="33" t="s">
        <v>56</v>
      </c>
      <c r="J4979" s="33">
        <v>33135</v>
      </c>
      <c r="K4979" s="33" t="s">
        <v>148</v>
      </c>
      <c r="L4979" s="33" t="s">
        <v>427</v>
      </c>
      <c r="M4979" s="33" t="s">
        <v>363</v>
      </c>
      <c r="N4979" s="33" t="s">
        <v>1376</v>
      </c>
      <c r="O4979" s="33" t="s">
        <v>372</v>
      </c>
      <c r="P4979" s="33" t="s">
        <v>30089</v>
      </c>
      <c r="Q4979" s="40" t="str">
        <f>HYPERLINK("http://www.miamiherald.com/news/local/community/miami-dade/little-havana/article26604022.html","http://www.miamiherald.com/news/local/community/miami-dade/little-havana/article26604022.html")</f>
        <v>http://www.miamiherald.com/news/local/community/miami-dade/little-havana/article26604022.html</v>
      </c>
      <c r="R4979" s="33" t="s">
        <v>512</v>
      </c>
      <c r="S4979" s="33" t="s">
        <v>22</v>
      </c>
      <c r="T4979" s="1" t="s">
        <v>26774</v>
      </c>
      <c r="Z4979" s="33" t="s">
        <v>42966</v>
      </c>
      <c r="AA4979" s="33">
        <v>2688</v>
      </c>
    </row>
    <row r="4980" spans="1:27" ht="12" customHeight="1" x14ac:dyDescent="0.15">
      <c r="A4980" s="33" t="s">
        <v>19147</v>
      </c>
      <c r="B4980" s="33">
        <v>36</v>
      </c>
      <c r="C4980" s="33" t="s">
        <v>14</v>
      </c>
      <c r="D4980" s="33" t="s">
        <v>31</v>
      </c>
      <c r="F4980" s="67">
        <v>42189</v>
      </c>
      <c r="G4980" s="33" t="s">
        <v>1386</v>
      </c>
      <c r="H4980" s="33" t="s">
        <v>1194</v>
      </c>
      <c r="I4980" s="33" t="s">
        <v>250</v>
      </c>
      <c r="J4980" s="33">
        <v>89014</v>
      </c>
      <c r="K4980" s="33" t="s">
        <v>527</v>
      </c>
      <c r="L4980" s="33" t="s">
        <v>1387</v>
      </c>
      <c r="M4980" s="33" t="s">
        <v>21</v>
      </c>
      <c r="N4980" s="33" t="s">
        <v>1388</v>
      </c>
      <c r="O4980" s="33" t="s">
        <v>372</v>
      </c>
      <c r="P4980" s="33" t="s">
        <v>30089</v>
      </c>
      <c r="Q4980" s="40" t="str">
        <f>HYPERLINK("http://www.reviewjournal.com/news/las-vegas/gunman-killed-police-henderson-hotel-identified","http://www.reviewjournal.com/news/las-vegas/gunman-killed-police-henderson-hotel-identified")</f>
        <v>http://www.reviewjournal.com/news/las-vegas/gunman-killed-police-henderson-hotel-identified</v>
      </c>
      <c r="R4980" s="33" t="s">
        <v>94</v>
      </c>
      <c r="S4980" s="33" t="s">
        <v>22</v>
      </c>
      <c r="T4980" s="33" t="s">
        <v>26781</v>
      </c>
      <c r="U4980" s="33" t="s">
        <v>26572</v>
      </c>
      <c r="V4980" s="33" t="s">
        <v>26573</v>
      </c>
      <c r="W4980" s="33" t="s">
        <v>94</v>
      </c>
      <c r="X4980" s="33">
        <v>600</v>
      </c>
      <c r="Z4980" s="33" t="s">
        <v>42966</v>
      </c>
      <c r="AA4980" s="33">
        <v>2687</v>
      </c>
    </row>
    <row r="4981" spans="1:27" ht="12" customHeight="1" x14ac:dyDescent="0.15">
      <c r="A4981" s="33" t="s">
        <v>1389</v>
      </c>
      <c r="B4981" s="33">
        <v>37</v>
      </c>
      <c r="C4981" s="33" t="s">
        <v>14</v>
      </c>
      <c r="D4981" s="33" t="s">
        <v>31</v>
      </c>
      <c r="F4981" s="67">
        <v>42189</v>
      </c>
      <c r="G4981" s="33" t="s">
        <v>1390</v>
      </c>
      <c r="H4981" s="33" t="s">
        <v>1391</v>
      </c>
      <c r="I4981" s="33" t="s">
        <v>298</v>
      </c>
      <c r="J4981" s="33">
        <v>37813</v>
      </c>
      <c r="K4981" s="33" t="s">
        <v>1392</v>
      </c>
      <c r="L4981" s="33" t="s">
        <v>1393</v>
      </c>
      <c r="M4981" s="33" t="s">
        <v>21</v>
      </c>
      <c r="N4981" s="33" t="s">
        <v>1394</v>
      </c>
      <c r="O4981" s="33" t="s">
        <v>372</v>
      </c>
      <c r="P4981" s="33" t="s">
        <v>30089</v>
      </c>
      <c r="Q4981" s="40" t="str">
        <f>HYPERLINK("http://www.standardbanner.com/news/morristown-man-shot-by-police-was-also-wanted-here/article_e6215eb4-242a-11e5-b876-3f8c02fbda9f.html","http://www.standardbanner.com/news/morristown-man-shot-by-police-was-also-wanted-here/article_e6215eb4-242a-11e5-b876-3f8c02fbda9f.html")</f>
        <v>http://www.standardbanner.com/news/morristown-man-shot-by-police-was-also-wanted-here/article_e6215eb4-242a-11e5-b876-3f8c02fbda9f.html</v>
      </c>
      <c r="R4981" s="33" t="s">
        <v>94</v>
      </c>
      <c r="S4981" s="33" t="s">
        <v>22</v>
      </c>
      <c r="T4981" s="33" t="s">
        <v>26781</v>
      </c>
      <c r="U4981" s="33" t="s">
        <v>26572</v>
      </c>
      <c r="V4981" s="33" t="s">
        <v>26573</v>
      </c>
      <c r="W4981" s="33" t="s">
        <v>94</v>
      </c>
      <c r="X4981" s="33">
        <v>595</v>
      </c>
      <c r="Z4981" s="33" t="s">
        <v>42968</v>
      </c>
      <c r="AA4981" s="33">
        <v>2685</v>
      </c>
    </row>
    <row r="4982" spans="1:27" ht="12" customHeight="1" x14ac:dyDescent="0.15">
      <c r="A4982" s="33" t="s">
        <v>1399</v>
      </c>
      <c r="B4982" s="33">
        <v>27</v>
      </c>
      <c r="C4982" s="33" t="s">
        <v>14</v>
      </c>
      <c r="D4982" s="33" t="s">
        <v>42</v>
      </c>
      <c r="F4982" s="67">
        <v>42188</v>
      </c>
      <c r="G4982" s="33" t="s">
        <v>1400</v>
      </c>
      <c r="H4982" s="33" t="s">
        <v>1401</v>
      </c>
      <c r="I4982" s="33" t="s">
        <v>39</v>
      </c>
      <c r="J4982" s="33">
        <v>91748</v>
      </c>
      <c r="K4982" s="33" t="s">
        <v>92</v>
      </c>
      <c r="L4982" s="33" t="s">
        <v>1402</v>
      </c>
      <c r="M4982" s="33" t="s">
        <v>4966</v>
      </c>
      <c r="N4982" s="33" t="s">
        <v>1403</v>
      </c>
      <c r="O4982" s="33" t="s">
        <v>372</v>
      </c>
      <c r="P4982" s="33" t="s">
        <v>30089</v>
      </c>
      <c r="Q4982" s="40" t="str">
        <f>HYPERLINK("http://abc7.com/news/suspect-holding-knife-killed-in-west-covina-officer-involved-shooting/828284/","http://abc7.com/news/suspect-holding-knife-killed-in-west-covina-officer-involved-shooting/828284/")</f>
        <v>http://abc7.com/news/suspect-holding-knife-killed-in-west-covina-officer-involved-shooting/828284/</v>
      </c>
      <c r="R4982" s="33" t="s">
        <v>94</v>
      </c>
      <c r="S4982" s="33" t="s">
        <v>22</v>
      </c>
      <c r="T4982" s="33" t="s">
        <v>26774</v>
      </c>
      <c r="U4982" s="33" t="s">
        <v>26572</v>
      </c>
      <c r="V4982" s="33" t="s">
        <v>26573</v>
      </c>
      <c r="W4982" s="33" t="s">
        <v>94</v>
      </c>
      <c r="X4982" s="33">
        <v>597</v>
      </c>
      <c r="Z4982" s="33" t="s">
        <v>42968</v>
      </c>
      <c r="AA4982" s="33">
        <v>2683</v>
      </c>
    </row>
    <row r="4983" spans="1:27" ht="12" customHeight="1" x14ac:dyDescent="0.15">
      <c r="A4983" s="33" t="s">
        <v>1404</v>
      </c>
      <c r="B4983" s="33">
        <v>33</v>
      </c>
      <c r="C4983" s="33" t="s">
        <v>14</v>
      </c>
      <c r="D4983" s="33" t="s">
        <v>42</v>
      </c>
      <c r="F4983" s="67">
        <v>42188</v>
      </c>
      <c r="G4983" s="33" t="s">
        <v>1405</v>
      </c>
      <c r="H4983" s="33" t="s">
        <v>1406</v>
      </c>
      <c r="I4983" s="33" t="s">
        <v>75</v>
      </c>
      <c r="J4983" s="33">
        <v>8105</v>
      </c>
      <c r="K4983" s="33" t="s">
        <v>1406</v>
      </c>
      <c r="L4983" s="33" t="s">
        <v>1407</v>
      </c>
      <c r="M4983" s="33" t="s">
        <v>21</v>
      </c>
      <c r="N4983" s="33" t="s">
        <v>1349</v>
      </c>
      <c r="O4983" s="33" t="s">
        <v>372</v>
      </c>
      <c r="P4983" s="33" t="s">
        <v>30089</v>
      </c>
      <c r="Q4983" s="40" t="s">
        <v>18861</v>
      </c>
      <c r="R4983" s="33" t="s">
        <v>512</v>
      </c>
      <c r="S4983" s="33" t="s">
        <v>22</v>
      </c>
      <c r="T4983" s="33" t="s">
        <v>26781</v>
      </c>
      <c r="U4983" s="33" t="s">
        <v>26572</v>
      </c>
      <c r="V4983" s="33" t="s">
        <v>26573</v>
      </c>
      <c r="W4983" s="33" t="s">
        <v>94</v>
      </c>
      <c r="X4983" s="33">
        <v>599</v>
      </c>
      <c r="Z4983" s="33" t="s">
        <v>42966</v>
      </c>
      <c r="AA4983" s="33">
        <v>2681</v>
      </c>
    </row>
    <row r="4984" spans="1:27" ht="12" customHeight="1" x14ac:dyDescent="0.15">
      <c r="A4984" s="33" t="s">
        <v>1416</v>
      </c>
      <c r="B4984" s="33">
        <v>40</v>
      </c>
      <c r="C4984" s="33" t="s">
        <v>14</v>
      </c>
      <c r="D4984" s="33" t="s">
        <v>31</v>
      </c>
      <c r="E4984" s="33" t="str">
        <f>HYPERLINK("http://victimsofpolice.com/2015/images/Julian-Joseph.jpg","http://victimsofpolice.com/2015/images/Julian-Joseph.jpg")</f>
        <v>http://victimsofpolice.com/2015/images/Julian-Joseph.jpg</v>
      </c>
      <c r="F4984" s="67">
        <v>42188</v>
      </c>
      <c r="G4984" s="33" t="s">
        <v>1417</v>
      </c>
      <c r="H4984" s="33" t="s">
        <v>1418</v>
      </c>
      <c r="I4984" s="33" t="s">
        <v>56</v>
      </c>
      <c r="J4984" s="33">
        <v>33140</v>
      </c>
      <c r="K4984" s="33" t="s">
        <v>148</v>
      </c>
      <c r="L4984" s="33" t="s">
        <v>1419</v>
      </c>
      <c r="M4984" s="33" t="s">
        <v>21</v>
      </c>
      <c r="N4984" s="33" t="s">
        <v>1420</v>
      </c>
      <c r="O4984" s="33" t="s">
        <v>372</v>
      </c>
      <c r="P4984" s="33" t="s">
        <v>30089</v>
      </c>
      <c r="Q4984" s="40" t="s">
        <v>18856</v>
      </c>
      <c r="R4984" s="33" t="s">
        <v>94</v>
      </c>
      <c r="S4984" s="33" t="s">
        <v>22</v>
      </c>
      <c r="T4984" s="33" t="s">
        <v>26781</v>
      </c>
      <c r="U4984" s="33" t="s">
        <v>26572</v>
      </c>
      <c r="V4984" s="33" t="s">
        <v>26573</v>
      </c>
      <c r="W4984" s="33" t="s">
        <v>94</v>
      </c>
      <c r="X4984" s="33">
        <v>602</v>
      </c>
      <c r="Z4984" s="33" t="s">
        <v>42966</v>
      </c>
      <c r="AA4984" s="33">
        <v>2682</v>
      </c>
    </row>
    <row r="4985" spans="1:27" ht="12" customHeight="1" x14ac:dyDescent="0.15">
      <c r="A4985" s="33" t="s">
        <v>1395</v>
      </c>
      <c r="B4985" s="33">
        <v>46</v>
      </c>
      <c r="C4985" s="33" t="s">
        <v>14</v>
      </c>
      <c r="D4985" s="33" t="s">
        <v>42</v>
      </c>
      <c r="F4985" s="67">
        <v>42188</v>
      </c>
      <c r="G4985" s="33" t="s">
        <v>1396</v>
      </c>
      <c r="H4985" s="33" t="s">
        <v>1397</v>
      </c>
      <c r="I4985" s="33" t="s">
        <v>39</v>
      </c>
      <c r="J4985" s="33">
        <v>93535</v>
      </c>
      <c r="K4985" s="33" t="s">
        <v>92</v>
      </c>
      <c r="L4985" s="33" t="s">
        <v>386</v>
      </c>
      <c r="M4985" s="33" t="s">
        <v>21</v>
      </c>
      <c r="N4985" s="33" t="s">
        <v>1306</v>
      </c>
      <c r="O4985" s="33" t="s">
        <v>372</v>
      </c>
      <c r="P4985" s="33" t="s">
        <v>30089</v>
      </c>
      <c r="Q4985" s="40" t="s">
        <v>18860</v>
      </c>
      <c r="R4985" s="33" t="s">
        <v>23</v>
      </c>
      <c r="S4985" s="33" t="s">
        <v>22</v>
      </c>
      <c r="T4985" s="33" t="s">
        <v>26781</v>
      </c>
      <c r="U4985" s="33" t="s">
        <v>26572</v>
      </c>
      <c r="V4985" s="33" t="s">
        <v>26573</v>
      </c>
      <c r="W4985" s="33" t="s">
        <v>94</v>
      </c>
      <c r="X4985" s="33">
        <v>598</v>
      </c>
      <c r="Z4985" s="33" t="s">
        <v>42968</v>
      </c>
      <c r="AA4985" s="33">
        <v>2680</v>
      </c>
    </row>
    <row r="4986" spans="1:27" ht="12" customHeight="1" x14ac:dyDescent="0.15">
      <c r="A4986" s="33" t="s">
        <v>1408</v>
      </c>
      <c r="B4986" s="33">
        <v>60</v>
      </c>
      <c r="C4986" s="33" t="s">
        <v>14</v>
      </c>
      <c r="D4986" s="33" t="s">
        <v>15</v>
      </c>
      <c r="F4986" s="67">
        <v>42187</v>
      </c>
      <c r="G4986" s="33" t="s">
        <v>1409</v>
      </c>
      <c r="H4986" s="33" t="s">
        <v>143</v>
      </c>
      <c r="I4986" s="33" t="s">
        <v>39</v>
      </c>
      <c r="J4986" s="33">
        <v>92127</v>
      </c>
      <c r="K4986" s="33" t="s">
        <v>143</v>
      </c>
      <c r="L4986" s="33" t="s">
        <v>144</v>
      </c>
      <c r="M4986" s="33" t="s">
        <v>21</v>
      </c>
      <c r="N4986" s="33" t="s">
        <v>1398</v>
      </c>
      <c r="O4986" s="33" t="s">
        <v>372</v>
      </c>
      <c r="P4986" s="33" t="s">
        <v>30089</v>
      </c>
      <c r="Q4986" s="40" t="str">
        <f>HYPERLINK("http://www.nbcsandiego.com/news/local/Man-with-Knife-Shot-Killed-by-San-Diego-Police-Officer-Identified-311679131.html","http://www.nbcsandiego.com/news/local/Man-with-Knife-Shot-Killed-by-San-Diego-Police-Officer-Identified-311679131.html")</f>
        <v>http://www.nbcsandiego.com/news/local/Man-with-Knife-Shot-Killed-by-San-Diego-Police-Officer-Identified-311679131.html</v>
      </c>
      <c r="R4986" s="33" t="s">
        <v>94</v>
      </c>
      <c r="S4986" s="33" t="s">
        <v>22</v>
      </c>
      <c r="T4986" s="33" t="s">
        <v>26774</v>
      </c>
      <c r="U4986" s="33" t="s">
        <v>26570</v>
      </c>
      <c r="V4986" s="33" t="s">
        <v>26573</v>
      </c>
      <c r="W4986" s="33" t="s">
        <v>94</v>
      </c>
      <c r="X4986" s="33">
        <v>601</v>
      </c>
      <c r="Z4986" s="33" t="s">
        <v>42968</v>
      </c>
      <c r="AA4986" s="33">
        <v>2677</v>
      </c>
    </row>
    <row r="4987" spans="1:27" ht="12" customHeight="1" x14ac:dyDescent="0.15">
      <c r="A4987" s="33" t="s">
        <v>1410</v>
      </c>
      <c r="B4987" s="33">
        <v>23</v>
      </c>
      <c r="C4987" s="33" t="s">
        <v>14</v>
      </c>
      <c r="D4987" s="33" t="s">
        <v>79</v>
      </c>
      <c r="E4987" s="33" t="str">
        <f>HYPERLINK("http://jacksonville.com/sites/default/files/imagecache/premium_415_wide_scale/Suspect_1.jpg","http://jacksonville.com/sites/default/files/imagecache/premium_415_wide_scale/Suspect_1.jpg")</f>
        <v>http://jacksonville.com/sites/default/files/imagecache/premium_415_wide_scale/Suspect_1.jpg</v>
      </c>
      <c r="F4987" s="67">
        <v>42187</v>
      </c>
      <c r="G4987" s="33" t="s">
        <v>1411</v>
      </c>
      <c r="H4987" s="33" t="s">
        <v>603</v>
      </c>
      <c r="I4987" s="33" t="s">
        <v>56</v>
      </c>
      <c r="J4987" s="33">
        <v>32207</v>
      </c>
      <c r="K4987" s="33" t="s">
        <v>604</v>
      </c>
      <c r="L4987" s="33" t="s">
        <v>605</v>
      </c>
      <c r="M4987" s="33" t="s">
        <v>21</v>
      </c>
      <c r="N4987" s="33" t="s">
        <v>18912</v>
      </c>
      <c r="O4987" s="33" t="s">
        <v>23</v>
      </c>
      <c r="P4987" s="33" t="s">
        <v>30089</v>
      </c>
      <c r="Q4987" s="40" t="s">
        <v>18858</v>
      </c>
      <c r="R4987" s="33" t="s">
        <v>904</v>
      </c>
      <c r="S4987" s="33" t="s">
        <v>12</v>
      </c>
      <c r="T4987" s="33" t="s">
        <v>29705</v>
      </c>
      <c r="U4987" s="33" t="s">
        <v>26572</v>
      </c>
      <c r="V4987" s="33" t="s">
        <v>26574</v>
      </c>
      <c r="W4987" s="33" t="s">
        <v>94</v>
      </c>
      <c r="X4987" s="33">
        <v>603</v>
      </c>
      <c r="Z4987" s="33" t="s">
        <v>42966</v>
      </c>
      <c r="AA4987" s="33">
        <v>2679</v>
      </c>
    </row>
    <row r="4988" spans="1:27" ht="12" customHeight="1" x14ac:dyDescent="0.15">
      <c r="A4988" s="33" t="s">
        <v>1421</v>
      </c>
      <c r="B4988" s="33">
        <v>45</v>
      </c>
      <c r="C4988" s="33" t="s">
        <v>14</v>
      </c>
      <c r="D4988" s="33" t="s">
        <v>31</v>
      </c>
      <c r="E4988" s="33" t="str">
        <f>HYPERLINK("http://www.enterprisenews.com/galleryimage/WL/20150702/PHOTOGALLERY/702009988/PH/0/6/PH-702009988.jpg","http://www.enterprisenews.com/galleryimage/WL/20150702/PHOTOGALLERY/702009988/PH/0/6/PH-702009988.jpg")</f>
        <v>http://www.enterprisenews.com/galleryimage/WL/20150702/PHOTOGALLERY/702009988/PH/0/6/PH-702009988.jpg</v>
      </c>
      <c r="F4988" s="67">
        <v>42187</v>
      </c>
      <c r="G4988" s="33" t="s">
        <v>1422</v>
      </c>
      <c r="H4988" s="33" t="s">
        <v>1423</v>
      </c>
      <c r="I4988" s="33" t="s">
        <v>40</v>
      </c>
      <c r="J4988" s="33">
        <v>2302</v>
      </c>
      <c r="K4988" s="33" t="s">
        <v>1008</v>
      </c>
      <c r="L4988" s="33" t="s">
        <v>1424</v>
      </c>
      <c r="M4988" s="33" t="s">
        <v>21</v>
      </c>
      <c r="N4988" s="33" t="s">
        <v>903</v>
      </c>
      <c r="O4988" s="33" t="s">
        <v>372</v>
      </c>
      <c r="P4988" s="33" t="s">
        <v>30089</v>
      </c>
      <c r="Q4988" s="40" t="s">
        <v>18859</v>
      </c>
      <c r="R4988" s="33" t="s">
        <v>512</v>
      </c>
      <c r="S4988" s="33" t="s">
        <v>12</v>
      </c>
      <c r="T4988" s="33" t="s">
        <v>29425</v>
      </c>
      <c r="U4988" s="33" t="s">
        <v>26572</v>
      </c>
      <c r="V4988" s="33" t="s">
        <v>26573</v>
      </c>
      <c r="W4988" s="33" t="s">
        <v>94</v>
      </c>
      <c r="X4988" s="33">
        <v>588</v>
      </c>
      <c r="Z4988" s="33" t="s">
        <v>42968</v>
      </c>
      <c r="AA4988" s="33">
        <v>2678</v>
      </c>
    </row>
    <row r="4989" spans="1:27" ht="12" customHeight="1" x14ac:dyDescent="0.15">
      <c r="A4989" s="33" t="s">
        <v>1412</v>
      </c>
      <c r="B4989" s="33">
        <v>59</v>
      </c>
      <c r="C4989" s="33" t="s">
        <v>14</v>
      </c>
      <c r="D4989" s="33" t="s">
        <v>24</v>
      </c>
      <c r="F4989" s="67">
        <v>42187</v>
      </c>
      <c r="G4989" s="33" t="s">
        <v>1413</v>
      </c>
      <c r="H4989" s="33" t="s">
        <v>1414</v>
      </c>
      <c r="I4989" s="33" t="s">
        <v>139</v>
      </c>
      <c r="J4989" s="33">
        <v>25976</v>
      </c>
      <c r="K4989" s="33" t="s">
        <v>1415</v>
      </c>
      <c r="L4989" s="33" t="s">
        <v>15594</v>
      </c>
      <c r="M4989" s="33" t="s">
        <v>21</v>
      </c>
      <c r="N4989" s="33" t="s">
        <v>36759</v>
      </c>
      <c r="O4989" s="33" t="s">
        <v>950</v>
      </c>
      <c r="P4989" s="33" t="s">
        <v>30089</v>
      </c>
      <c r="Q4989" s="40" t="s">
        <v>18857</v>
      </c>
      <c r="R4989" s="33" t="s">
        <v>512</v>
      </c>
      <c r="S4989" s="33" t="s">
        <v>22</v>
      </c>
      <c r="T4989" s="33" t="s">
        <v>26587</v>
      </c>
      <c r="U4989" s="33" t="s">
        <v>26572</v>
      </c>
      <c r="V4989" s="33" t="s">
        <v>26573</v>
      </c>
      <c r="W4989" s="33" t="s">
        <v>94</v>
      </c>
      <c r="X4989" s="33">
        <v>604</v>
      </c>
      <c r="Z4989" s="33" t="s">
        <v>42967</v>
      </c>
      <c r="AA4989" s="33">
        <v>2676</v>
      </c>
    </row>
    <row r="4990" spans="1:27" ht="12" customHeight="1" x14ac:dyDescent="0.15">
      <c r="A4990" s="33" t="s">
        <v>1426</v>
      </c>
      <c r="B4990" s="33">
        <v>24</v>
      </c>
      <c r="C4990" s="33" t="s">
        <v>14</v>
      </c>
      <c r="D4990" s="33" t="s">
        <v>79</v>
      </c>
      <c r="E4990" s="33" t="str">
        <f>HYPERLINK("http://images.bimedia.net/images/150701_Kevin_Lamont_Judson_story_insert.jpg","http://images.bimedia.net/images/150701_Kevin_Lamont_Judson_story_insert.jpg")</f>
        <v>http://images.bimedia.net/images/150701_Kevin_Lamont_Judson_story_insert.jpg</v>
      </c>
      <c r="F4990" s="67">
        <v>42186</v>
      </c>
      <c r="G4990" s="33" t="s">
        <v>1427</v>
      </c>
      <c r="H4990" s="33" t="s">
        <v>1428</v>
      </c>
      <c r="I4990" s="33" t="s">
        <v>106</v>
      </c>
      <c r="J4990" s="33">
        <v>97128</v>
      </c>
      <c r="K4990" s="33" t="s">
        <v>1429</v>
      </c>
      <c r="L4990" s="33" t="s">
        <v>1430</v>
      </c>
      <c r="M4990" s="33" t="s">
        <v>21</v>
      </c>
      <c r="N4990" s="33" t="s">
        <v>1431</v>
      </c>
      <c r="O4990" s="33" t="s">
        <v>507</v>
      </c>
      <c r="P4990" s="33" t="s">
        <v>30089</v>
      </c>
      <c r="Q4990" s="40" t="str">
        <f>HYPERLINK("http://www.katu.com/news/local/DA-clears-deputy-in-deadly-McMinnville-shooting-316055961.html","http://www.katu.com/news/local/DA-clears-deputy-in-deadly-McMinnville-shooting-316055961.html")</f>
        <v>http://www.katu.com/news/local/DA-clears-deputy-in-deadly-McMinnville-shooting-316055961.html</v>
      </c>
      <c r="R4990" s="33" t="s">
        <v>94</v>
      </c>
      <c r="S4990" s="33" t="s">
        <v>351</v>
      </c>
      <c r="T4990" s="33" t="s">
        <v>26867</v>
      </c>
      <c r="U4990" s="33" t="s">
        <v>26572</v>
      </c>
      <c r="V4990" s="33" t="s">
        <v>26574</v>
      </c>
      <c r="W4990" s="33" t="s">
        <v>94</v>
      </c>
      <c r="X4990" s="33">
        <v>587</v>
      </c>
      <c r="Z4990" s="33" t="s">
        <v>42968</v>
      </c>
      <c r="AA4990" s="33">
        <v>2675</v>
      </c>
    </row>
    <row r="4991" spans="1:27" ht="12" customHeight="1" x14ac:dyDescent="0.15">
      <c r="A4991" s="33" t="s">
        <v>1432</v>
      </c>
      <c r="B4991" s="33">
        <v>32</v>
      </c>
      <c r="C4991" s="33" t="s">
        <v>14</v>
      </c>
      <c r="D4991" s="33" t="s">
        <v>31</v>
      </c>
      <c r="F4991" s="67">
        <v>42186</v>
      </c>
      <c r="G4991" s="33" t="s">
        <v>1433</v>
      </c>
      <c r="H4991" s="33" t="s">
        <v>1434</v>
      </c>
      <c r="I4991" s="33" t="s">
        <v>106</v>
      </c>
      <c r="J4991" s="33">
        <v>97497</v>
      </c>
      <c r="K4991" s="33" t="s">
        <v>1435</v>
      </c>
      <c r="L4991" s="33" t="s">
        <v>1436</v>
      </c>
      <c r="M4991" s="33" t="s">
        <v>21</v>
      </c>
      <c r="N4991" s="33" t="s">
        <v>1437</v>
      </c>
      <c r="O4991" s="33" t="s">
        <v>372</v>
      </c>
      <c r="P4991" s="33" t="s">
        <v>30089</v>
      </c>
      <c r="Q4991" s="40" t="str">
        <f>HYPERLINK("http://www.oregonlive.com/pacific-northwest-news/index.ssf/2015/07/oregon_state_police_shoot_and.html","http://www.oregonlive.com/pacific-northwest-news/index.ssf/2015/07/oregon_state_police_shoot_and.html")</f>
        <v>http://www.oregonlive.com/pacific-northwest-news/index.ssf/2015/07/oregon_state_police_shoot_and.html</v>
      </c>
      <c r="R4991" s="33" t="s">
        <v>94</v>
      </c>
      <c r="S4991" s="33" t="s">
        <v>22</v>
      </c>
      <c r="T4991" s="33" t="s">
        <v>26781</v>
      </c>
      <c r="U4991" s="33" t="s">
        <v>26572</v>
      </c>
      <c r="V4991" s="33" t="s">
        <v>26571</v>
      </c>
      <c r="W4991" s="33" t="s">
        <v>94</v>
      </c>
      <c r="X4991" s="33">
        <v>589</v>
      </c>
      <c r="Z4991" s="33" t="s">
        <v>42967</v>
      </c>
      <c r="AA4991" s="33">
        <v>2673</v>
      </c>
    </row>
    <row r="4992" spans="1:27" ht="12" customHeight="1" x14ac:dyDescent="0.15">
      <c r="A4992" s="33" t="s">
        <v>1438</v>
      </c>
      <c r="B4992" s="33">
        <v>57</v>
      </c>
      <c r="C4992" s="33" t="s">
        <v>14</v>
      </c>
      <c r="D4992" s="33" t="s">
        <v>31</v>
      </c>
      <c r="E4992" s="33" t="str">
        <f>HYPERLINK("http://www.killedbypolice.net/victims/150628.jpg","http://www.killedbypolice.net/victims/150628.jpg")</f>
        <v>http://www.killedbypolice.net/victims/150628.jpg</v>
      </c>
      <c r="F4992" s="67">
        <v>42186</v>
      </c>
      <c r="G4992" s="33" t="s">
        <v>1439</v>
      </c>
      <c r="H4992" s="33" t="s">
        <v>1440</v>
      </c>
      <c r="I4992" s="33" t="s">
        <v>139</v>
      </c>
      <c r="J4992" s="33">
        <v>26452</v>
      </c>
      <c r="K4992" s="33" t="s">
        <v>1441</v>
      </c>
      <c r="L4992" s="33" t="s">
        <v>1442</v>
      </c>
      <c r="M4992" s="33" t="s">
        <v>21</v>
      </c>
      <c r="N4992" s="33" t="s">
        <v>1443</v>
      </c>
      <c r="O4992" s="33" t="s">
        <v>507</v>
      </c>
      <c r="P4992" s="33" t="s">
        <v>30089</v>
      </c>
      <c r="Q4992" s="40" t="s">
        <v>18855</v>
      </c>
      <c r="R4992" s="33" t="s">
        <v>904</v>
      </c>
      <c r="S4992" s="33" t="s">
        <v>12</v>
      </c>
      <c r="T4992" s="54" t="s">
        <v>29705</v>
      </c>
      <c r="Z4992" s="33" t="s">
        <v>42967</v>
      </c>
      <c r="AA4992" s="33">
        <v>2674</v>
      </c>
    </row>
    <row r="4993" spans="1:27" ht="12" customHeight="1" x14ac:dyDescent="0.15">
      <c r="A4993" s="33" t="s">
        <v>1444</v>
      </c>
      <c r="B4993" s="33">
        <v>52</v>
      </c>
      <c r="C4993" s="33" t="s">
        <v>14</v>
      </c>
      <c r="D4993" s="33" t="s">
        <v>31</v>
      </c>
      <c r="E4993" s="33" t="str">
        <f>HYPERLINK("http://www.wyff4.com/image/view/-/33914720/highRes/1/-/maxh/630/maxw/1200/-/157k9k3/-/Clay-Alan-Lickteig-jpg.jpg","http://www.wyff4.com/image/view/-/33914720/highRes/1/-/maxh/630/maxw/1200/-/157k9k3/-/Clay-Alan-Lickteig-jpg.jpg")</f>
        <v>http://www.wyff4.com/image/view/-/33914720/highRes/1/-/maxh/630/maxw/1200/-/157k9k3/-/Clay-Alan-Lickteig-jpg.jpg</v>
      </c>
      <c r="F4993" s="67">
        <v>42185</v>
      </c>
      <c r="G4993" s="33" t="s">
        <v>1445</v>
      </c>
      <c r="H4993" s="33" t="s">
        <v>1203</v>
      </c>
      <c r="I4993" s="33" t="s">
        <v>338</v>
      </c>
      <c r="J4993" s="33" t="s">
        <v>1446</v>
      </c>
      <c r="K4993" s="33" t="s">
        <v>1447</v>
      </c>
      <c r="L4993" s="33" t="s">
        <v>1448</v>
      </c>
      <c r="M4993" s="33" t="s">
        <v>21</v>
      </c>
      <c r="N4993" s="33" t="s">
        <v>1449</v>
      </c>
      <c r="O4993" s="33" t="s">
        <v>372</v>
      </c>
      <c r="P4993" s="33" t="s">
        <v>30089</v>
      </c>
      <c r="Q4993" s="40" t="str">
        <f>HYPERLINK("http://www.wyff4.com/news/police-man-killed-after-shootout-with-officers/33901040","http://www.wyff4.com/news/police-man-killed-after-shootout-with-officers/33901040")</f>
        <v>http://www.wyff4.com/news/police-man-killed-after-shootout-with-officers/33901040</v>
      </c>
      <c r="R4993" s="33" t="s">
        <v>94</v>
      </c>
      <c r="S4993" s="33" t="s">
        <v>22</v>
      </c>
      <c r="T4993" s="33" t="s">
        <v>26781</v>
      </c>
      <c r="U4993" s="33" t="s">
        <v>26572</v>
      </c>
      <c r="V4993" s="33" t="s">
        <v>26573</v>
      </c>
      <c r="W4993" s="33" t="s">
        <v>94</v>
      </c>
      <c r="X4993" s="33">
        <v>586</v>
      </c>
      <c r="Z4993" s="33" t="s">
        <v>42967</v>
      </c>
      <c r="AA4993" s="33">
        <v>2672</v>
      </c>
    </row>
    <row r="4994" spans="1:27" ht="12" customHeight="1" x14ac:dyDescent="0.15">
      <c r="A4994" s="33" t="s">
        <v>1450</v>
      </c>
      <c r="B4994" s="33">
        <v>51</v>
      </c>
      <c r="C4994" s="33" t="s">
        <v>14</v>
      </c>
      <c r="D4994" s="33" t="s">
        <v>31</v>
      </c>
      <c r="F4994" s="67">
        <v>42184</v>
      </c>
      <c r="G4994" s="33" t="s">
        <v>1451</v>
      </c>
      <c r="H4994" s="33" t="s">
        <v>1452</v>
      </c>
      <c r="I4994" s="33" t="s">
        <v>395</v>
      </c>
      <c r="J4994" s="33" t="s">
        <v>1453</v>
      </c>
      <c r="K4994" s="33" t="s">
        <v>1454</v>
      </c>
      <c r="L4994" s="33" t="s">
        <v>1455</v>
      </c>
      <c r="M4994" s="33" t="s">
        <v>21</v>
      </c>
      <c r="N4994" s="33" t="s">
        <v>1456</v>
      </c>
      <c r="O4994" s="33" t="s">
        <v>372</v>
      </c>
      <c r="P4994" s="33" t="s">
        <v>30089</v>
      </c>
      <c r="Q4994" s="40" t="str">
        <f>HYPERLINK("http://www.timesunion.com/news/article/Sheriff-Edinburgh-resident-dead-in-officer-6357460.php#photo-8239735","http://www.timesunion.com/news/article/Sheriff-Edinburgh-resident-dead-in-officer-6357460.php#photo-8239735")</f>
        <v>http://www.timesunion.com/news/article/Sheriff-Edinburgh-resident-dead-in-officer-6357460.php#photo-8239735</v>
      </c>
      <c r="R4994" s="33" t="s">
        <v>512</v>
      </c>
      <c r="S4994" s="33" t="s">
        <v>22</v>
      </c>
      <c r="T4994" s="33" t="s">
        <v>26781</v>
      </c>
      <c r="U4994" s="33" t="s">
        <v>26572</v>
      </c>
      <c r="V4994" s="33" t="s">
        <v>26573</v>
      </c>
      <c r="W4994" s="33" t="s">
        <v>94</v>
      </c>
      <c r="X4994" s="33">
        <v>585</v>
      </c>
      <c r="Z4994" s="33" t="s">
        <v>42967</v>
      </c>
      <c r="AA4994" s="33">
        <v>2671</v>
      </c>
    </row>
    <row r="4995" spans="1:27" ht="12" customHeight="1" x14ac:dyDescent="0.15">
      <c r="A4995" s="33" t="s">
        <v>1457</v>
      </c>
      <c r="B4995" s="33">
        <v>29</v>
      </c>
      <c r="C4995" s="33" t="s">
        <v>14</v>
      </c>
      <c r="D4995" s="33" t="s">
        <v>31</v>
      </c>
      <c r="E4995" s="33" t="str">
        <f>HYPERLINK("http://www.portlandmercury.com/images/blogimages/2015/06/29/1435620050-screen_shot_2015-06-29_at_4.20.07_pm.png","http://www.portlandmercury.com/images/blogimages/2015/06/29/1435620050-screen_shot_2015-06-29_at_4.20.07_pm.png")</f>
        <v>http://www.portlandmercury.com/images/blogimages/2015/06/29/1435620050-screen_shot_2015-06-29_at_4.20.07_pm.png</v>
      </c>
      <c r="F4995" s="67">
        <v>42183</v>
      </c>
      <c r="G4995" s="33" t="s">
        <v>1458</v>
      </c>
      <c r="H4995" s="33" t="s">
        <v>1459</v>
      </c>
      <c r="I4995" s="33" t="s">
        <v>106</v>
      </c>
      <c r="J4995" s="33" t="s">
        <v>1460</v>
      </c>
      <c r="K4995" s="33" t="s">
        <v>1461</v>
      </c>
      <c r="L4995" s="33" t="s">
        <v>16039</v>
      </c>
      <c r="M4995" s="33" t="s">
        <v>21</v>
      </c>
      <c r="N4995" s="33" t="s">
        <v>1462</v>
      </c>
      <c r="O4995" s="33" t="s">
        <v>372</v>
      </c>
      <c r="P4995" s="33" t="s">
        <v>30089</v>
      </c>
      <c r="Q4995" s="40" t="str">
        <f>HYPERLINK("http://www.kgw.com/story/news/local/2015/06/29/police-shooting-winco-parking-lot-portland/29455487/","http://www.kgw.com/story/news/local/2015/06/29/police-shooting-winco-parking-lot-portland/29455487/")</f>
        <v>http://www.kgw.com/story/news/local/2015/06/29/police-shooting-winco-parking-lot-portland/29455487/</v>
      </c>
      <c r="R4995" s="33" t="s">
        <v>904</v>
      </c>
      <c r="S4995" s="33" t="s">
        <v>12</v>
      </c>
      <c r="T4995" s="33" t="s">
        <v>29425</v>
      </c>
      <c r="U4995" s="33" t="s">
        <v>26572</v>
      </c>
      <c r="V4995" s="33" t="s">
        <v>26573</v>
      </c>
      <c r="W4995" s="33" t="s">
        <v>94</v>
      </c>
      <c r="X4995" s="33">
        <v>577</v>
      </c>
      <c r="Z4995" s="33" t="s">
        <v>42968</v>
      </c>
      <c r="AA4995" s="33">
        <v>2670</v>
      </c>
    </row>
    <row r="4996" spans="1:27" ht="12" customHeight="1" x14ac:dyDescent="0.15">
      <c r="A4996" s="33" t="s">
        <v>1466</v>
      </c>
      <c r="B4996" s="33">
        <v>35</v>
      </c>
      <c r="C4996" s="33" t="s">
        <v>14</v>
      </c>
      <c r="D4996" s="33" t="s">
        <v>31</v>
      </c>
      <c r="F4996" s="67">
        <v>42182</v>
      </c>
      <c r="G4996" s="33" t="s">
        <v>1467</v>
      </c>
      <c r="H4996" s="33" t="s">
        <v>1468</v>
      </c>
      <c r="I4996" s="33" t="s">
        <v>367</v>
      </c>
      <c r="J4996" s="33" t="s">
        <v>1469</v>
      </c>
      <c r="K4996" s="33" t="s">
        <v>1470</v>
      </c>
      <c r="L4996" s="33" t="s">
        <v>1471</v>
      </c>
      <c r="M4996" s="33" t="s">
        <v>21</v>
      </c>
      <c r="N4996" s="33" t="s">
        <v>1472</v>
      </c>
      <c r="O4996" s="33" t="s">
        <v>372</v>
      </c>
      <c r="P4996" s="33" t="s">
        <v>30089</v>
      </c>
      <c r="Q4996" s="40" t="str">
        <f>HYPERLINK("http://www.news9.com/story/29443076/tahlequah-police-release-body-cam-video-in-fatal-officer-involved-shooting","http://www.news9.com/story/29443076/tahlequah-police-release-body-cam-video-in-fatal-officer-involved-shooting")</f>
        <v>http://www.news9.com/story/29443076/tahlequah-police-release-body-cam-video-in-fatal-officer-involved-shooting</v>
      </c>
      <c r="R4996" s="33" t="s">
        <v>94</v>
      </c>
      <c r="S4996" s="33" t="s">
        <v>22</v>
      </c>
      <c r="T4996" s="33" t="s">
        <v>26781</v>
      </c>
      <c r="U4996" s="33" t="s">
        <v>26572</v>
      </c>
      <c r="V4996" s="33" t="s">
        <v>26573</v>
      </c>
      <c r="W4996" s="33" t="s">
        <v>512</v>
      </c>
      <c r="X4996" s="33">
        <v>580</v>
      </c>
      <c r="Z4996" s="33" t="s">
        <v>42967</v>
      </c>
      <c r="AA4996" s="33">
        <v>2669</v>
      </c>
    </row>
    <row r="4997" spans="1:27" ht="12" customHeight="1" x14ac:dyDescent="0.15">
      <c r="A4997" s="33" t="s">
        <v>1473</v>
      </c>
      <c r="B4997" s="33">
        <v>28</v>
      </c>
      <c r="C4997" s="33" t="s">
        <v>14</v>
      </c>
      <c r="D4997" s="33" t="s">
        <v>42</v>
      </c>
      <c r="F4997" s="67">
        <v>42181</v>
      </c>
      <c r="G4997" s="33" t="s">
        <v>1474</v>
      </c>
      <c r="H4997" s="33" t="s">
        <v>532</v>
      </c>
      <c r="I4997" s="33" t="s">
        <v>67</v>
      </c>
      <c r="J4997" s="33" t="s">
        <v>1475</v>
      </c>
      <c r="K4997" s="33" t="s">
        <v>533</v>
      </c>
      <c r="L4997" s="33" t="s">
        <v>534</v>
      </c>
      <c r="M4997" s="33" t="s">
        <v>21</v>
      </c>
      <c r="N4997" s="33" t="s">
        <v>1476</v>
      </c>
      <c r="O4997" s="33" t="s">
        <v>372</v>
      </c>
      <c r="P4997" s="33" t="s">
        <v>30089</v>
      </c>
      <c r="Q4997" s="40" t="str">
        <f>HYPERLINK("http://www.mysanantonio.com/news/local/article/Suspect-killed-by-polcie-during-chase-identified-6355557.php","http://www.mysanantonio.com/news/local/article/Suspect-killed-by-polcie-during-chase-identified-6355557.php")</f>
        <v>http://www.mysanantonio.com/news/local/article/Suspect-killed-by-polcie-during-chase-identified-6355557.php</v>
      </c>
      <c r="R4997" s="33" t="s">
        <v>94</v>
      </c>
      <c r="S4997" s="33" t="s">
        <v>22</v>
      </c>
      <c r="T4997" s="33" t="s">
        <v>26781</v>
      </c>
      <c r="U4997" s="33" t="s">
        <v>26570</v>
      </c>
      <c r="V4997" s="33" t="s">
        <v>26574</v>
      </c>
      <c r="W4997" s="33" t="s">
        <v>94</v>
      </c>
      <c r="X4997" s="33">
        <v>583</v>
      </c>
      <c r="Z4997" s="33" t="s">
        <v>42968</v>
      </c>
      <c r="AA4997" s="33">
        <v>2668</v>
      </c>
    </row>
    <row r="4998" spans="1:27" ht="12" customHeight="1" x14ac:dyDescent="0.15">
      <c r="A4998" s="33" t="s">
        <v>1477</v>
      </c>
      <c r="B4998" s="33">
        <v>49</v>
      </c>
      <c r="C4998" s="33" t="s">
        <v>14</v>
      </c>
      <c r="D4998" s="33" t="s">
        <v>31</v>
      </c>
      <c r="E4998" s="33" t="str">
        <f>HYPERLINK("http://a.abcnews.com/images/US/HT_richard_matt_jt_150606_4x3_992.jpg","http://a.abcnews.com/images/US/HT_richard_matt_jt_150606_4x3_992.jpg")</f>
        <v>http://a.abcnews.com/images/US/HT_richard_matt_jt_150606_4x3_992.jpg</v>
      </c>
      <c r="F4998" s="67">
        <v>42181</v>
      </c>
      <c r="G4998" s="33" t="s">
        <v>1478</v>
      </c>
      <c r="H4998" s="33" t="s">
        <v>1479</v>
      </c>
      <c r="I4998" s="33" t="s">
        <v>395</v>
      </c>
      <c r="J4998" s="33" t="s">
        <v>1480</v>
      </c>
      <c r="K4998" s="33" t="s">
        <v>1203</v>
      </c>
      <c r="L4998" s="33" t="s">
        <v>1481</v>
      </c>
      <c r="M4998" s="33" t="s">
        <v>21</v>
      </c>
      <c r="N4998" s="33" t="s">
        <v>1482</v>
      </c>
      <c r="O4998" s="33" t="s">
        <v>372</v>
      </c>
      <c r="P4998" s="33" t="s">
        <v>30089</v>
      </c>
      <c r="Q4998" s="40" t="str">
        <f>HYPERLINK("http://www.nbcnews.com/storyline/new-york-prison-escape/autopsy-shows-prison-escapee-richard-matt-was-drunk-when-he-n404676","http://www.nbcnews.com/storyline/new-york-prison-escape/autopsy-shows-prison-escapee-richard-matt-was-drunk-when-he-n404676")</f>
        <v>http://www.nbcnews.com/storyline/new-york-prison-escape/autopsy-shows-prison-escapee-richard-matt-was-drunk-when-he-n404676</v>
      </c>
      <c r="R4998" s="33" t="s">
        <v>94</v>
      </c>
      <c r="S4998" s="33" t="s">
        <v>22</v>
      </c>
      <c r="T4998" s="33" t="s">
        <v>26781</v>
      </c>
      <c r="U4998" s="33" t="s">
        <v>26572</v>
      </c>
      <c r="V4998" s="33" t="s">
        <v>19228</v>
      </c>
      <c r="W4998" s="33" t="s">
        <v>94</v>
      </c>
      <c r="X4998" s="33">
        <v>579</v>
      </c>
      <c r="Z4998" s="33" t="s">
        <v>42967</v>
      </c>
      <c r="AA4998" s="33">
        <v>2667</v>
      </c>
    </row>
    <row r="4999" spans="1:27" ht="12" customHeight="1" x14ac:dyDescent="0.15">
      <c r="A4999" s="33" t="s">
        <v>1489</v>
      </c>
      <c r="B4999" s="33">
        <v>61</v>
      </c>
      <c r="C4999" s="33" t="s">
        <v>14</v>
      </c>
      <c r="D4999" s="33" t="s">
        <v>31</v>
      </c>
      <c r="F4999" s="67">
        <v>42180</v>
      </c>
      <c r="G4999" s="33" t="s">
        <v>1490</v>
      </c>
      <c r="H4999" s="33" t="s">
        <v>1491</v>
      </c>
      <c r="I4999" s="33" t="s">
        <v>39</v>
      </c>
      <c r="J4999" s="33" t="s">
        <v>1492</v>
      </c>
      <c r="K4999" s="33" t="s">
        <v>183</v>
      </c>
      <c r="L4999" s="33" t="s">
        <v>1493</v>
      </c>
      <c r="M4999" s="33" t="s">
        <v>21</v>
      </c>
      <c r="N4999" s="33" t="s">
        <v>1494</v>
      </c>
      <c r="O4999" s="33" t="s">
        <v>372</v>
      </c>
      <c r="P4999" s="33" t="s">
        <v>30089</v>
      </c>
      <c r="Q4999" s="40" t="str">
        <f>HYPERLINK("http://abc30.com/news/man-wanted-after-deadly-fresno-county-deputy-involved-shooting-identified/808781/","http://abc30.com/news/man-wanted-after-deadly-fresno-county-deputy-involved-shooting-identified/808781/")</f>
        <v>http://abc30.com/news/man-wanted-after-deadly-fresno-county-deputy-involved-shooting-identified/808781/</v>
      </c>
      <c r="R4999" s="33" t="s">
        <v>94</v>
      </c>
      <c r="S4999" s="33" t="s">
        <v>22</v>
      </c>
      <c r="T4999" s="33" t="s">
        <v>26781</v>
      </c>
      <c r="U4999" s="33" t="s">
        <v>26572</v>
      </c>
      <c r="V4999" s="33" t="s">
        <v>26573</v>
      </c>
      <c r="W4999" s="33" t="s">
        <v>94</v>
      </c>
      <c r="X4999" s="33">
        <v>568</v>
      </c>
      <c r="Z4999" s="33" t="s">
        <v>42967</v>
      </c>
      <c r="AA4999" s="33">
        <v>2665</v>
      </c>
    </row>
    <row r="5000" spans="1:27" ht="12" customHeight="1" x14ac:dyDescent="0.15">
      <c r="A5000" s="33" t="s">
        <v>1483</v>
      </c>
      <c r="B5000" s="33">
        <v>41</v>
      </c>
      <c r="C5000" s="33" t="s">
        <v>14</v>
      </c>
      <c r="D5000" s="33" t="s">
        <v>79</v>
      </c>
      <c r="E5000" s="33" t="s">
        <v>18853</v>
      </c>
      <c r="F5000" s="67">
        <v>42180</v>
      </c>
      <c r="G5000" s="33" t="s">
        <v>1484</v>
      </c>
      <c r="H5000" s="33" t="s">
        <v>1485</v>
      </c>
      <c r="I5000" s="33" t="s">
        <v>46</v>
      </c>
      <c r="J5000" s="33" t="s">
        <v>1486</v>
      </c>
      <c r="K5000" s="33" t="s">
        <v>1487</v>
      </c>
      <c r="L5000" s="33" t="s">
        <v>212</v>
      </c>
      <c r="M5000" s="33" t="s">
        <v>21</v>
      </c>
      <c r="N5000" s="33" t="s">
        <v>1488</v>
      </c>
      <c r="O5000" s="33" t="s">
        <v>372</v>
      </c>
      <c r="P5000" s="33" t="s">
        <v>30089</v>
      </c>
      <c r="Q5000" s="40" t="str">
        <f>HYPERLINK("http://www.baltimoresun.com/news/maryland/crime/blog/bs-md-baltimore-county-0628-20150627-story.html","http://www.baltimoresun.com/news/maryland/crime/blog/bs-md-baltimore-county-0628-20150627-story.html")</f>
        <v>http://www.baltimoresun.com/news/maryland/crime/blog/bs-md-baltimore-county-0628-20150627-story.html</v>
      </c>
      <c r="R5000" s="33" t="s">
        <v>512</v>
      </c>
      <c r="S5000" s="33" t="s">
        <v>12</v>
      </c>
      <c r="T5000" s="33" t="s">
        <v>29705</v>
      </c>
      <c r="U5000" s="33" t="s">
        <v>26570</v>
      </c>
      <c r="V5000" s="33" t="s">
        <v>26573</v>
      </c>
      <c r="W5000" s="33" t="s">
        <v>94</v>
      </c>
      <c r="X5000" s="33">
        <v>567</v>
      </c>
      <c r="Z5000" s="33" t="s">
        <v>42968</v>
      </c>
      <c r="AA5000" s="33">
        <v>2666</v>
      </c>
    </row>
    <row r="5001" spans="1:27" ht="12" customHeight="1" x14ac:dyDescent="0.15">
      <c r="A5001" s="33" t="s">
        <v>1495</v>
      </c>
      <c r="B5001" s="33">
        <v>26</v>
      </c>
      <c r="C5001" s="33" t="s">
        <v>14</v>
      </c>
      <c r="D5001" s="33" t="s">
        <v>79</v>
      </c>
      <c r="E5001" s="33" t="str">
        <f>HYPERLINK("http://www.gannett-cdn.com/-mm-/8334042135d7f679c06190b7cdf533ced74a407e/c=15-0-465-600&amp;r=537&amp;c=0-0-534-712/local/-/media/2015/06/24/WVEC/WVEC/635707581920059394-DamienAlexanderHarrell.jpg","http://www.gannett-cdn.com/-mm-/8334042135d7f679c06190b7cdf533ced74a407e/c=15-0-465-600&amp;r=537&amp;c=0-0-534-712/local/-/media/2015/06/24/WVEC/WVEC/635707581920059394-DamienAlexanderHarrell.jpg")</f>
        <v>http://www.gannett-cdn.com/-mm-/8334042135d7f679c06190b7cdf533ced74a407e/c=15-0-465-600&amp;r=537&amp;c=0-0-534-712/local/-/media/2015/06/24/WVEC/WVEC/635707581920059394-DamienAlexanderHarrell.jpg</v>
      </c>
      <c r="F5001" s="67">
        <v>42179</v>
      </c>
      <c r="G5001" s="33" t="s">
        <v>1496</v>
      </c>
      <c r="H5001" s="33" t="s">
        <v>1497</v>
      </c>
      <c r="I5001" s="33" t="s">
        <v>225</v>
      </c>
      <c r="J5001" s="33" t="s">
        <v>1498</v>
      </c>
      <c r="K5001" s="33" t="s">
        <v>1499</v>
      </c>
      <c r="L5001" s="33" t="s">
        <v>1500</v>
      </c>
      <c r="M5001" s="33" t="s">
        <v>21</v>
      </c>
      <c r="N5001" s="33" t="s">
        <v>1501</v>
      </c>
      <c r="O5001" s="33" t="s">
        <v>372</v>
      </c>
      <c r="P5001" s="33" t="s">
        <v>30089</v>
      </c>
      <c r="Q5001" s="40" t="str">
        <f>HYPERLINK("http://www.13newsnow.com/story/news/local/peninsulanow/2015/06/24/incident-closes-part-of-ft-eustis-blvd-in-york-co/29204021/","http://www.13newsnow.com/story/news/local/peninsulanow/2015/06/24/incident-closes-part-of-ft-eustis-blvd-in-york-co/29204021/")</f>
        <v>http://www.13newsnow.com/story/news/local/peninsulanow/2015/06/24/incident-closes-part-of-ft-eustis-blvd-in-york-co/29204021/</v>
      </c>
      <c r="R5001" s="33" t="s">
        <v>23</v>
      </c>
      <c r="S5001" s="33" t="s">
        <v>22</v>
      </c>
      <c r="T5001" s="33" t="s">
        <v>26781</v>
      </c>
      <c r="U5001" s="33" t="s">
        <v>26572</v>
      </c>
      <c r="V5001" s="33" t="s">
        <v>26573</v>
      </c>
      <c r="W5001" s="33" t="s">
        <v>512</v>
      </c>
      <c r="X5001" s="33">
        <v>569</v>
      </c>
      <c r="Z5001" s="33" t="s">
        <v>42968</v>
      </c>
      <c r="AA5001" s="33">
        <v>2664</v>
      </c>
    </row>
    <row r="5002" spans="1:27" ht="12" customHeight="1" x14ac:dyDescent="0.15">
      <c r="A5002" s="33" t="s">
        <v>1520</v>
      </c>
      <c r="B5002" s="33">
        <v>32</v>
      </c>
      <c r="C5002" s="33" t="s">
        <v>14</v>
      </c>
      <c r="D5002" s="33" t="s">
        <v>31</v>
      </c>
      <c r="E5002" s="33" t="str">
        <f>HYPERLINK("http://bloximages.newyork1.vip.townnews.com/omaha.com/content/tncms/assets/v3/editorial/d/d0/dd0b9724-19c9-11e5-93b4-936ae8b833ff/558991a743529.image.jpg","http://bloximages.newyork1.vip.townnews.com/omaha.com/content/tncms/assets/v3/editorial/d/d0/dd0b9724-19c9-11e5-93b4-936ae8b833ff/558991a743529.image.jpg")</f>
        <v>http://bloximages.newyork1.vip.townnews.com/omaha.com/content/tncms/assets/v3/editorial/d/d0/dd0b9724-19c9-11e5-93b4-936ae8b833ff/558991a743529.image.jpg</v>
      </c>
      <c r="F5002" s="67">
        <v>42178</v>
      </c>
      <c r="G5002" s="33" t="s">
        <v>1521</v>
      </c>
      <c r="H5002" s="33" t="s">
        <v>1522</v>
      </c>
      <c r="I5002" s="33" t="s">
        <v>432</v>
      </c>
      <c r="J5002" s="33" t="s">
        <v>1523</v>
      </c>
      <c r="K5002" s="33" t="s">
        <v>882</v>
      </c>
      <c r="L5002" s="33" t="s">
        <v>1524</v>
      </c>
      <c r="M5002" s="33" t="s">
        <v>21</v>
      </c>
      <c r="N5002" s="33" t="s">
        <v>1525</v>
      </c>
      <c r="O5002" s="33" t="s">
        <v>507</v>
      </c>
      <c r="P5002" s="33" t="s">
        <v>30089</v>
      </c>
      <c r="Q5002" s="40" t="str">
        <f>HYPERLINK("http://journalstar.com/news/local/911/man-shot-by-deputy-has-died-sheriff-s-office-says/article_6edae1e6-0eba-5846-8dc1-79a7a3a032da.html","http://journalstar.com/news/local/911/man-shot-by-deputy-has-died-sheriff-s-office-says/article_6edae1e6-0eba-5846-8dc1-79a7a3a032da.html")</f>
        <v>http://journalstar.com/news/local/911/man-shot-by-deputy-has-died-sheriff-s-office-says/article_6edae1e6-0eba-5846-8dc1-79a7a3a032da.html</v>
      </c>
      <c r="R5002" s="33" t="s">
        <v>94</v>
      </c>
      <c r="S5002" s="33" t="s">
        <v>22</v>
      </c>
      <c r="T5002" s="33" t="s">
        <v>26781</v>
      </c>
      <c r="U5002" s="33" t="s">
        <v>26572</v>
      </c>
      <c r="V5002" s="33" t="s">
        <v>26573</v>
      </c>
      <c r="W5002" s="33" t="s">
        <v>94</v>
      </c>
      <c r="X5002" s="33">
        <v>726</v>
      </c>
      <c r="Z5002" s="33" t="s">
        <v>42968</v>
      </c>
      <c r="AA5002" s="33">
        <v>2660</v>
      </c>
    </row>
    <row r="5003" spans="1:27" ht="12" customHeight="1" x14ac:dyDescent="0.15">
      <c r="A5003" s="33" t="s">
        <v>1502</v>
      </c>
      <c r="B5003" s="33">
        <v>22</v>
      </c>
      <c r="C5003" s="33" t="s">
        <v>14</v>
      </c>
      <c r="D5003" s="33" t="s">
        <v>31</v>
      </c>
      <c r="F5003" s="67">
        <v>42178</v>
      </c>
      <c r="G5003" s="33" t="s">
        <v>1503</v>
      </c>
      <c r="H5003" s="33" t="s">
        <v>1504</v>
      </c>
      <c r="I5003" s="33" t="s">
        <v>337</v>
      </c>
      <c r="J5003" s="33" t="s">
        <v>1505</v>
      </c>
      <c r="K5003" s="33" t="s">
        <v>1506</v>
      </c>
      <c r="L5003" s="33" t="s">
        <v>1507</v>
      </c>
      <c r="M5003" s="33" t="s">
        <v>21</v>
      </c>
      <c r="N5003" s="33" t="s">
        <v>1508</v>
      </c>
      <c r="O5003" s="33" t="s">
        <v>372</v>
      </c>
      <c r="P5003" s="33" t="s">
        <v>30089</v>
      </c>
      <c r="Q5003" s="40" t="str">
        <f>HYPERLINK("http://www.kansas.com/news/local/article25221067.html","http://www.kansas.com/news/local/article25221067.html")</f>
        <v>http://www.kansas.com/news/local/article25221067.html</v>
      </c>
      <c r="R5003" s="33" t="s">
        <v>23</v>
      </c>
      <c r="S5003" s="33" t="s">
        <v>22</v>
      </c>
      <c r="T5003" s="33" t="s">
        <v>26774</v>
      </c>
      <c r="U5003" s="33" t="s">
        <v>26572</v>
      </c>
      <c r="V5003" s="33" t="s">
        <v>26573</v>
      </c>
      <c r="W5003" s="33" t="s">
        <v>94</v>
      </c>
      <c r="X5003" s="33">
        <v>574</v>
      </c>
      <c r="Z5003" s="33" t="s">
        <v>42968</v>
      </c>
      <c r="AA5003" s="33">
        <v>2661</v>
      </c>
    </row>
    <row r="5004" spans="1:27" ht="12" customHeight="1" x14ac:dyDescent="0.15">
      <c r="A5004" s="33" t="s">
        <v>1513</v>
      </c>
      <c r="B5004" s="33">
        <v>49</v>
      </c>
      <c r="C5004" s="33" t="s">
        <v>14</v>
      </c>
      <c r="D5004" s="33" t="s">
        <v>31</v>
      </c>
      <c r="E5004" s="33" t="str">
        <f>HYPERLINK("http://bloximages.chicago2.vip.townnews.com/weatherforddemocrat.com/content/tncms/assets/v3/editorial/c/9c/c9c251be-1a8f-11e5-9a9f-0358863fe83b/558addd0ba8d6.image.jpg?resize=300%2C300","http://bloximages.chicago2.vip.townnews.com/weatherforddemocrat.com/content/tncms/assets/v3/editorial/c/9c/c9c251be-1a8f-11e5-9a9f-0358863fe83b/558addd0ba8d6.image.jpg?resize=300%2C300")</f>
        <v>http://bloximages.chicago2.vip.townnews.com/weatherforddemocrat.com/content/tncms/assets/v3/editorial/c/9c/c9c251be-1a8f-11e5-9a9f-0358863fe83b/558addd0ba8d6.image.jpg?resize=300%2C300</v>
      </c>
      <c r="F5004" s="67">
        <v>42178</v>
      </c>
      <c r="G5004" s="33" t="s">
        <v>1514</v>
      </c>
      <c r="H5004" s="33" t="s">
        <v>1515</v>
      </c>
      <c r="I5004" s="33" t="s">
        <v>67</v>
      </c>
      <c r="J5004" s="33" t="s">
        <v>1516</v>
      </c>
      <c r="K5004" s="33" t="s">
        <v>1517</v>
      </c>
      <c r="L5004" s="33" t="s">
        <v>1518</v>
      </c>
      <c r="M5004" s="33" t="s">
        <v>21</v>
      </c>
      <c r="N5004" s="33" t="s">
        <v>1519</v>
      </c>
      <c r="O5004" s="33" t="s">
        <v>372</v>
      </c>
      <c r="P5004" s="33" t="s">
        <v>30089</v>
      </c>
      <c r="Q5004" s="40" t="str">
        <f>HYPERLINK("http://www.star-telegram.com/news/local/community/fort-worth/article25340344.html","http://www.star-telegram.com/news/local/community/fort-worth/article25340344.html")</f>
        <v>http://www.star-telegram.com/news/local/community/fort-worth/article25340344.html</v>
      </c>
      <c r="R5004" s="33" t="s">
        <v>512</v>
      </c>
      <c r="S5004" s="33" t="s">
        <v>22</v>
      </c>
      <c r="T5004" s="33" t="s">
        <v>26774</v>
      </c>
      <c r="U5004" s="33" t="s">
        <v>26570</v>
      </c>
      <c r="V5004" s="33" t="s">
        <v>26574</v>
      </c>
      <c r="W5004" s="33" t="s">
        <v>94</v>
      </c>
      <c r="X5004" s="33">
        <v>575</v>
      </c>
      <c r="Z5004" s="33" t="s">
        <v>42968</v>
      </c>
      <c r="AA5004" s="33">
        <v>2662</v>
      </c>
    </row>
    <row r="5005" spans="1:27" ht="12" customHeight="1" x14ac:dyDescent="0.15">
      <c r="A5005" s="33" t="s">
        <v>1509</v>
      </c>
      <c r="B5005" s="33">
        <v>34</v>
      </c>
      <c r="C5005" s="33" t="s">
        <v>14</v>
      </c>
      <c r="D5005" s="33" t="s">
        <v>31</v>
      </c>
      <c r="F5005" s="67">
        <v>42178</v>
      </c>
      <c r="G5005" s="33" t="s">
        <v>1510</v>
      </c>
      <c r="H5005" s="33" t="s">
        <v>197</v>
      </c>
      <c r="I5005" s="33" t="s">
        <v>198</v>
      </c>
      <c r="J5005" s="33" t="s">
        <v>1511</v>
      </c>
      <c r="K5005" s="33" t="s">
        <v>392</v>
      </c>
      <c r="L5005" s="33" t="s">
        <v>199</v>
      </c>
      <c r="M5005" s="33" t="s">
        <v>21</v>
      </c>
      <c r="N5005" s="33" t="s">
        <v>1512</v>
      </c>
      <c r="O5005" s="33" t="s">
        <v>372</v>
      </c>
      <c r="P5005" s="33" t="s">
        <v>30089</v>
      </c>
      <c r="Q5005" s="40" t="str">
        <f>HYPERLINK("http://www.wthr.com/story/29391400/impd-officer-involved-in-shooting-after-short-pursuit","http://www.wthr.com/story/29391400/impd-officer-involved-in-shooting-after-short-pursuit")</f>
        <v>http://www.wthr.com/story/29391400/impd-officer-involved-in-shooting-after-short-pursuit</v>
      </c>
      <c r="R5005" s="33" t="s">
        <v>23</v>
      </c>
      <c r="S5005" s="33" t="s">
        <v>12</v>
      </c>
      <c r="T5005" s="33" t="s">
        <v>29705</v>
      </c>
      <c r="U5005" s="33" t="s">
        <v>26570</v>
      </c>
      <c r="V5005" s="33" t="s">
        <v>26571</v>
      </c>
      <c r="W5005" s="33" t="s">
        <v>94</v>
      </c>
      <c r="X5005" s="33">
        <v>572</v>
      </c>
      <c r="Z5005" s="33" t="s">
        <v>42966</v>
      </c>
      <c r="AA5005" s="33">
        <v>2663</v>
      </c>
    </row>
    <row r="5006" spans="1:27" ht="12" customHeight="1" x14ac:dyDescent="0.15">
      <c r="A5006" s="33" t="s">
        <v>1540</v>
      </c>
      <c r="B5006" s="33">
        <v>29</v>
      </c>
      <c r="C5006" s="33" t="s">
        <v>14</v>
      </c>
      <c r="D5006" s="33" t="s">
        <v>31</v>
      </c>
      <c r="E5006" s="33" t="str">
        <f>HYPERLINK("http://chronicle.augusta.com/sites/default/files/imagecache/superphoto/14501857.jpg","http://chronicle.augusta.com/sites/default/files/imagecache/superphoto/14501857.jpg")</f>
        <v>http://chronicle.augusta.com/sites/default/files/imagecache/superphoto/14501857.jpg</v>
      </c>
      <c r="F5006" s="67">
        <v>42177</v>
      </c>
      <c r="G5006" s="33" t="s">
        <v>1541</v>
      </c>
      <c r="H5006" s="33" t="s">
        <v>1542</v>
      </c>
      <c r="I5006" s="33" t="s">
        <v>160</v>
      </c>
      <c r="J5006" s="33" t="s">
        <v>1543</v>
      </c>
      <c r="K5006" s="33" t="s">
        <v>818</v>
      </c>
      <c r="L5006" s="33" t="s">
        <v>1544</v>
      </c>
      <c r="M5006" s="33" t="s">
        <v>21</v>
      </c>
      <c r="N5006" s="33" t="s">
        <v>1545</v>
      </c>
      <c r="O5006" s="33" t="s">
        <v>372</v>
      </c>
      <c r="P5006" s="33" t="s">
        <v>30089</v>
      </c>
      <c r="Q5006" s="40" t="str">
        <f>HYPERLINK("http://chronicle.augusta.com/news/crime-courts/2015-06-23/deputy-shoots-man-who-had-rifle-standoff-victim-died-monday-georgia","http://chronicle.augusta.com/news/crime-courts/2015-06-23/deputy-shoots-man-who-had-rifle-standoff-victim-died-monday-georgia")</f>
        <v>http://chronicle.augusta.com/news/crime-courts/2015-06-23/deputy-shoots-man-who-had-rifle-standoff-victim-died-monday-georgia</v>
      </c>
      <c r="R5006" s="33" t="s">
        <v>512</v>
      </c>
      <c r="S5006" s="33" t="s">
        <v>22</v>
      </c>
      <c r="T5006" s="33" t="s">
        <v>26781</v>
      </c>
      <c r="U5006" s="33" t="s">
        <v>26572</v>
      </c>
      <c r="V5006" s="33" t="s">
        <v>26573</v>
      </c>
      <c r="W5006" s="33" t="s">
        <v>94</v>
      </c>
      <c r="X5006" s="33">
        <v>573</v>
      </c>
      <c r="Z5006" s="33" t="s">
        <v>42968</v>
      </c>
      <c r="AA5006" s="33">
        <v>2658</v>
      </c>
    </row>
    <row r="5007" spans="1:27" ht="12" customHeight="1" x14ac:dyDescent="0.15">
      <c r="A5007" s="33" t="s">
        <v>1526</v>
      </c>
      <c r="B5007" s="33">
        <v>20</v>
      </c>
      <c r="C5007" s="33" t="s">
        <v>14</v>
      </c>
      <c r="D5007" s="33" t="s">
        <v>79</v>
      </c>
      <c r="E5007" s="33" t="str">
        <f>HYPERLINK("http://www.post-gazette.com/image/2015/06/23/420x_q90_cMC_z_ca0,37,614,753/HarrisTyrone.jpg","http://www.post-gazette.com/image/2015/06/23/420x_q90_cMC_z_ca0,37,614,753/HarrisTyrone.jpg")</f>
        <v>http://www.post-gazette.com/image/2015/06/23/420x_q90_cMC_z_ca0,37,614,753/HarrisTyrone.jpg</v>
      </c>
      <c r="F5007" s="67">
        <v>42177</v>
      </c>
      <c r="G5007" s="33" t="s">
        <v>1527</v>
      </c>
      <c r="H5007" s="33" t="s">
        <v>1528</v>
      </c>
      <c r="I5007" s="33" t="s">
        <v>376</v>
      </c>
      <c r="J5007" s="33" t="s">
        <v>1529</v>
      </c>
      <c r="K5007" s="33" t="s">
        <v>1530</v>
      </c>
      <c r="L5007" s="33" t="s">
        <v>32183</v>
      </c>
      <c r="M5007" s="33" t="s">
        <v>21</v>
      </c>
      <c r="N5007" s="33" t="s">
        <v>1532</v>
      </c>
      <c r="O5007" s="33" t="s">
        <v>372</v>
      </c>
      <c r="P5007" s="33" t="s">
        <v>30089</v>
      </c>
      <c r="Q5007" s="40" t="str">
        <f>HYPERLINK("http://www.post-gazette.com/local/city/2015/06/22/Shooting-incident-blocks-traffic-on-Route-51-near-Bausman-pittsburgh/stories/201506220143","http://www.post-gazette.com/local/city/2015/06/22/Shooting-incident-blocks-traffic-on-Route-51-near-Bausman-pittsburgh/stories/201506220143")</f>
        <v>http://www.post-gazette.com/local/city/2015/06/22/Shooting-incident-blocks-traffic-on-Route-51-near-Bausman-pittsburgh/stories/201506220143</v>
      </c>
      <c r="R5007" s="33" t="s">
        <v>23</v>
      </c>
      <c r="S5007" s="33" t="s">
        <v>22</v>
      </c>
      <c r="T5007" s="33" t="s">
        <v>26781</v>
      </c>
      <c r="U5007" s="33" t="s">
        <v>26572</v>
      </c>
      <c r="V5007" s="33" t="s">
        <v>26571</v>
      </c>
      <c r="W5007" s="33" t="s">
        <v>94</v>
      </c>
      <c r="X5007" s="33">
        <v>576</v>
      </c>
      <c r="Z5007" s="33" t="s">
        <v>42966</v>
      </c>
      <c r="AA5007" s="33">
        <v>2659</v>
      </c>
    </row>
    <row r="5008" spans="1:27" ht="12" customHeight="1" x14ac:dyDescent="0.15">
      <c r="A5008" s="33" t="s">
        <v>1533</v>
      </c>
      <c r="B5008" s="33">
        <v>35</v>
      </c>
      <c r="C5008" s="33" t="s">
        <v>14</v>
      </c>
      <c r="D5008" s="33" t="s">
        <v>42</v>
      </c>
      <c r="F5008" s="67">
        <v>42177</v>
      </c>
      <c r="G5008" s="33" t="s">
        <v>1534</v>
      </c>
      <c r="H5008" s="33" t="s">
        <v>1535</v>
      </c>
      <c r="I5008" s="33" t="s">
        <v>39</v>
      </c>
      <c r="J5008" s="33" t="s">
        <v>1536</v>
      </c>
      <c r="K5008" s="33" t="s">
        <v>1537</v>
      </c>
      <c r="L5008" s="33" t="s">
        <v>1538</v>
      </c>
      <c r="M5008" s="33" t="s">
        <v>21</v>
      </c>
      <c r="N5008" s="33" t="s">
        <v>1539</v>
      </c>
      <c r="O5008" s="33" t="s">
        <v>372</v>
      </c>
      <c r="P5008" s="33" t="s">
        <v>30089</v>
      </c>
      <c r="Q5008" s="40" t="str">
        <f>HYPERLINK("http://www.sacbee.com/news/local/crime/article25297567.html","http://www.sacbee.com/news/local/crime/article25297567.html")</f>
        <v>http://www.sacbee.com/news/local/crime/article25297567.html</v>
      </c>
      <c r="R5008" s="33" t="s">
        <v>23</v>
      </c>
      <c r="S5008" s="33" t="s">
        <v>22</v>
      </c>
      <c r="T5008" s="33" t="s">
        <v>26781</v>
      </c>
      <c r="U5008" s="33" t="s">
        <v>26572</v>
      </c>
      <c r="V5008" s="33" t="s">
        <v>26573</v>
      </c>
      <c r="W5008" s="33" t="s">
        <v>94</v>
      </c>
      <c r="X5008" s="33">
        <v>570</v>
      </c>
      <c r="Z5008" s="33" t="s">
        <v>42968</v>
      </c>
      <c r="AA5008" s="33">
        <v>2657</v>
      </c>
    </row>
    <row r="5009" spans="1:27" ht="12" customHeight="1" x14ac:dyDescent="0.15">
      <c r="A5009" s="33" t="s">
        <v>1546</v>
      </c>
      <c r="B5009" s="33">
        <v>60</v>
      </c>
      <c r="C5009" s="33" t="s">
        <v>14</v>
      </c>
      <c r="D5009" s="33" t="s">
        <v>31</v>
      </c>
      <c r="E5009" s="33" t="str">
        <f>HYPERLINK("http://bloximages.newyork1.vip.townnews.com/journalnow.com/content/tncms/assets/v3/editorial/4/1f/41fb4001-cb7b-5850-8587-b8e9677b73a9/558828f92bfd8.image.jpg","http://bloximages.newyork1.vip.townnews.com/journalnow.com/content/tncms/assets/v3/editorial/4/1f/41fb4001-cb7b-5850-8587-b8e9677b73a9/558828f92bfd8.image.jpg")</f>
        <v>http://bloximages.newyork1.vip.townnews.com/journalnow.com/content/tncms/assets/v3/editorial/4/1f/41fb4001-cb7b-5850-8587-b8e9677b73a9/558828f92bfd8.image.jpg</v>
      </c>
      <c r="F5009" s="67">
        <v>42177</v>
      </c>
      <c r="G5009" s="33" t="s">
        <v>1547</v>
      </c>
      <c r="H5009" s="33" t="s">
        <v>1548</v>
      </c>
      <c r="I5009" s="33" t="s">
        <v>338</v>
      </c>
      <c r="J5009" s="33" t="s">
        <v>1549</v>
      </c>
      <c r="K5009" s="33" t="s">
        <v>1550</v>
      </c>
      <c r="L5009" s="33" t="s">
        <v>1551</v>
      </c>
      <c r="M5009" s="33" t="s">
        <v>21</v>
      </c>
      <c r="N5009" s="33" t="s">
        <v>1552</v>
      </c>
      <c r="O5009" s="33" t="s">
        <v>372</v>
      </c>
      <c r="P5009" s="33" t="s">
        <v>30089</v>
      </c>
      <c r="Q5009" s="40" t="str">
        <f>HYPERLINK("http://www.wxii12.com/news/sheriffs-deputy-shot-in-wilkes-county/33705684","http://www.wxii12.com/news/sheriffs-deputy-shot-in-wilkes-county/33705684")</f>
        <v>http://www.wxii12.com/news/sheriffs-deputy-shot-in-wilkes-county/33705684</v>
      </c>
      <c r="R5009" s="33" t="s">
        <v>94</v>
      </c>
      <c r="S5009" s="33" t="s">
        <v>22</v>
      </c>
      <c r="T5009" s="33" t="s">
        <v>26781</v>
      </c>
      <c r="U5009" s="33" t="s">
        <v>26572</v>
      </c>
      <c r="V5009" s="33" t="s">
        <v>26574</v>
      </c>
      <c r="W5009" s="33" t="s">
        <v>94</v>
      </c>
      <c r="X5009" s="33">
        <v>566</v>
      </c>
      <c r="Z5009" s="33" t="s">
        <v>42967</v>
      </c>
      <c r="AA5009" s="33">
        <v>2656</v>
      </c>
    </row>
    <row r="5010" spans="1:27" ht="12" customHeight="1" x14ac:dyDescent="0.15">
      <c r="A5010" s="33" t="s">
        <v>1556</v>
      </c>
      <c r="B5010" s="33">
        <v>24</v>
      </c>
      <c r="C5010" s="33" t="s">
        <v>14</v>
      </c>
      <c r="D5010" s="33" t="s">
        <v>42</v>
      </c>
      <c r="E5010" s="33" t="str">
        <f>HYPERLINK("http://homicide.latimes.com.s3.amazonaws.com/media/homicide/72c81404-df51-4024-b054-47809e5bc39a.jpeg","http://homicide.latimes.com.s3.amazonaws.com/media/homicide/72c81404-df51-4024-b054-47809e5bc39a.jpeg")</f>
        <v>http://homicide.latimes.com.s3.amazonaws.com/media/homicide/72c81404-df51-4024-b054-47809e5bc39a.jpeg</v>
      </c>
      <c r="F5010" s="67">
        <v>42176</v>
      </c>
      <c r="G5010" s="33" t="s">
        <v>1557</v>
      </c>
      <c r="H5010" s="33" t="s">
        <v>1558</v>
      </c>
      <c r="I5010" s="33" t="s">
        <v>39</v>
      </c>
      <c r="J5010" s="33" t="s">
        <v>1559</v>
      </c>
      <c r="K5010" s="33" t="s">
        <v>92</v>
      </c>
      <c r="L5010" s="33" t="s">
        <v>1560</v>
      </c>
      <c r="M5010" s="33" t="s">
        <v>21</v>
      </c>
      <c r="N5010" s="33" t="s">
        <v>1561</v>
      </c>
      <c r="O5010" s="33" t="s">
        <v>372</v>
      </c>
      <c r="P5010" s="33" t="s">
        <v>30089</v>
      </c>
      <c r="Q5010" s="40" t="str">
        <f>HYPERLINK("http://homicide.latimes.com/post/adrian-simental/","http://homicide.latimes.com/post/adrian-simental/")</f>
        <v>http://homicide.latimes.com/post/adrian-simental/</v>
      </c>
      <c r="R5010" s="33" t="s">
        <v>512</v>
      </c>
      <c r="S5010" s="33" t="s">
        <v>12</v>
      </c>
      <c r="T5010" s="33" t="s">
        <v>29705</v>
      </c>
      <c r="U5010" s="33" t="s">
        <v>26570</v>
      </c>
      <c r="V5010" s="33" t="s">
        <v>26573</v>
      </c>
      <c r="W5010" s="33" t="s">
        <v>94</v>
      </c>
      <c r="X5010" s="33">
        <v>555</v>
      </c>
      <c r="Z5010" s="33" t="s">
        <v>42968</v>
      </c>
      <c r="AA5010" s="33">
        <v>2655</v>
      </c>
    </row>
    <row r="5011" spans="1:27" ht="12" customHeight="1" x14ac:dyDescent="0.15">
      <c r="A5011" s="33" t="s">
        <v>1562</v>
      </c>
      <c r="B5011" s="33">
        <v>49</v>
      </c>
      <c r="C5011" s="33" t="s">
        <v>14</v>
      </c>
      <c r="D5011" s="33" t="s">
        <v>31</v>
      </c>
      <c r="E5011" s="33" t="str">
        <f>HYPERLINK("http://d3trabu2dfbdfb.cloudfront.net/4/6/4658528_300x300.jpeg","http://d3trabu2dfbdfb.cloudfront.net/4/6/4658528_300x300.jpeg")</f>
        <v>http://d3trabu2dfbdfb.cloudfront.net/4/6/4658528_300x300.jpeg</v>
      </c>
      <c r="F5011" s="67">
        <v>42176</v>
      </c>
      <c r="G5011" s="33" t="s">
        <v>1563</v>
      </c>
      <c r="H5011" s="33" t="s">
        <v>674</v>
      </c>
      <c r="I5011" s="33" t="s">
        <v>67</v>
      </c>
      <c r="J5011" s="33" t="s">
        <v>1564</v>
      </c>
      <c r="K5011" s="33" t="s">
        <v>515</v>
      </c>
      <c r="L5011" s="33" t="s">
        <v>516</v>
      </c>
      <c r="M5011" s="33" t="s">
        <v>21</v>
      </c>
      <c r="N5011" s="33" t="s">
        <v>1565</v>
      </c>
      <c r="O5011" s="33" t="s">
        <v>372</v>
      </c>
      <c r="P5011" s="33" t="s">
        <v>30089</v>
      </c>
      <c r="Q5011" s="40" t="str">
        <f>HYPERLINK("http://www.chron.com/news/houston-texas/article/Deputy-fatally-shoots-man-after-he-charges-6340675.php","http://www.chron.com/news/houston-texas/article/Deputy-fatally-shoots-man-after-he-charges-6340675.php")</f>
        <v>http://www.chron.com/news/houston-texas/article/Deputy-fatally-shoots-man-after-he-charges-6340675.php</v>
      </c>
      <c r="R5011" s="33" t="s">
        <v>512</v>
      </c>
      <c r="S5011" s="33" t="s">
        <v>29</v>
      </c>
      <c r="T5011" s="33" t="s">
        <v>26617</v>
      </c>
      <c r="U5011" s="33" t="s">
        <v>26570</v>
      </c>
      <c r="V5011" s="33" t="s">
        <v>26573</v>
      </c>
      <c r="W5011" s="33" t="s">
        <v>94</v>
      </c>
      <c r="X5011" s="33">
        <v>556</v>
      </c>
      <c r="Z5011" s="33" t="s">
        <v>42968</v>
      </c>
      <c r="AA5011" s="33">
        <v>2654</v>
      </c>
    </row>
    <row r="5012" spans="1:27" ht="12" customHeight="1" x14ac:dyDescent="0.15">
      <c r="A5012" s="33" t="s">
        <v>1570</v>
      </c>
      <c r="B5012" s="33">
        <v>32</v>
      </c>
      <c r="C5012" s="33" t="s">
        <v>14</v>
      </c>
      <c r="D5012" s="33" t="s">
        <v>79</v>
      </c>
      <c r="F5012" s="67">
        <v>42175</v>
      </c>
      <c r="G5012" s="33" t="s">
        <v>1571</v>
      </c>
      <c r="H5012" s="33" t="s">
        <v>172</v>
      </c>
      <c r="I5012" s="33" t="s">
        <v>19</v>
      </c>
      <c r="J5012" s="33" t="s">
        <v>1572</v>
      </c>
      <c r="K5012" s="33" t="s">
        <v>3435</v>
      </c>
      <c r="L5012" s="33" t="s">
        <v>1573</v>
      </c>
      <c r="M5012" s="33" t="s">
        <v>363</v>
      </c>
      <c r="N5012" s="33" t="s">
        <v>1574</v>
      </c>
      <c r="O5012" s="33" t="s">
        <v>372</v>
      </c>
      <c r="P5012" s="33" t="s">
        <v>30089</v>
      </c>
      <c r="Q5012" s="40" t="str">
        <f>HYPERLINK("http://theadvocate.com/news/12712188-123/father-at-a-loss-for","http://theadvocate.com/news/12712188-123/father-at-a-loss-for")</f>
        <v>http://theadvocate.com/news/12712188-123/father-at-a-loss-for</v>
      </c>
      <c r="R5012" s="33" t="s">
        <v>904</v>
      </c>
      <c r="S5012" s="33" t="s">
        <v>12</v>
      </c>
      <c r="T5012" s="54" t="s">
        <v>29705</v>
      </c>
      <c r="Z5012" s="33" t="s">
        <v>42968</v>
      </c>
      <c r="AA5012" s="33">
        <v>2653</v>
      </c>
    </row>
    <row r="5013" spans="1:27" ht="12" customHeight="1" x14ac:dyDescent="0.15">
      <c r="A5013" s="33" t="s">
        <v>1566</v>
      </c>
      <c r="B5013" s="33">
        <v>23</v>
      </c>
      <c r="C5013" s="33" t="s">
        <v>14</v>
      </c>
      <c r="D5013" s="33" t="s">
        <v>79</v>
      </c>
      <c r="F5013" s="67">
        <v>42175</v>
      </c>
      <c r="G5013" s="33" t="s">
        <v>1567</v>
      </c>
      <c r="H5013" s="33" t="s">
        <v>81</v>
      </c>
      <c r="I5013" s="33" t="s">
        <v>38</v>
      </c>
      <c r="J5013" s="33" t="s">
        <v>1568</v>
      </c>
      <c r="K5013" s="33" t="s">
        <v>82</v>
      </c>
      <c r="L5013" s="33" t="s">
        <v>83</v>
      </c>
      <c r="M5013" s="33" t="s">
        <v>21</v>
      </c>
      <c r="N5013" s="33" t="s">
        <v>1569</v>
      </c>
      <c r="O5013" s="33" t="s">
        <v>372</v>
      </c>
      <c r="P5013" s="33" t="s">
        <v>30089</v>
      </c>
      <c r="Q5013" s="40" t="str">
        <f>HYPERLINK("http://www.chicagotribune.com/news/local/breaking/ct-alfontish-cockerham-shot-by-police-20150626-story.html","http://www.chicagotribune.com/news/local/breaking/ct-alfontish-cockerham-shot-by-police-20150626-story.html")</f>
        <v>http://www.chicagotribune.com/news/local/breaking/ct-alfontish-cockerham-shot-by-police-20150626-story.html</v>
      </c>
      <c r="R5013" s="33" t="s">
        <v>94</v>
      </c>
      <c r="S5013" s="33" t="s">
        <v>22</v>
      </c>
      <c r="T5013" s="33" t="s">
        <v>26781</v>
      </c>
      <c r="U5013" s="33" t="s">
        <v>26572</v>
      </c>
      <c r="V5013" s="33" t="s">
        <v>26574</v>
      </c>
      <c r="W5013" s="33" t="s">
        <v>94</v>
      </c>
      <c r="X5013" s="33">
        <v>582</v>
      </c>
      <c r="Z5013" s="33" t="s">
        <v>42966</v>
      </c>
      <c r="AA5013" s="33">
        <v>2651</v>
      </c>
    </row>
    <row r="5014" spans="1:27" ht="12" customHeight="1" x14ac:dyDescent="0.15">
      <c r="A5014" s="33" t="s">
        <v>1575</v>
      </c>
      <c r="B5014" s="33">
        <v>21</v>
      </c>
      <c r="C5014" s="33" t="s">
        <v>14</v>
      </c>
      <c r="D5014" s="33" t="s">
        <v>79</v>
      </c>
      <c r="E5014" s="33" t="str">
        <f>HYPERLINK("http://ak-cache.legacy.net/legacy/images/cobrands/birmingham/Photos/photo_20150625_AL0069125_0_danteljelks2015_20150625.jpg?v=0x00000000308a6237","http://ak-cache.legacy.net/legacy/images/cobrands/birmingham/Photos/photo_20150625_AL0069125_0_danteljelks2015_20150625.jpg?v=0x00000000308a6237")</f>
        <v>http://ak-cache.legacy.net/legacy/images/cobrands/birmingham/Photos/photo_20150625_AL0069125_0_danteljelks2015_20150625.jpg?v=0x00000000308a6237</v>
      </c>
      <c r="F5014" s="67">
        <v>42175</v>
      </c>
      <c r="G5014" s="33" t="s">
        <v>1576</v>
      </c>
      <c r="H5014" s="33" t="s">
        <v>1577</v>
      </c>
      <c r="I5014" s="33" t="s">
        <v>88</v>
      </c>
      <c r="J5014" s="33" t="s">
        <v>1578</v>
      </c>
      <c r="K5014" s="33" t="s">
        <v>657</v>
      </c>
      <c r="L5014" s="33" t="s">
        <v>1579</v>
      </c>
      <c r="M5014" s="33" t="s">
        <v>363</v>
      </c>
      <c r="N5014" s="33" t="s">
        <v>36760</v>
      </c>
      <c r="O5014" s="33" t="s">
        <v>372</v>
      </c>
      <c r="P5014" s="33" t="s">
        <v>30089</v>
      </c>
      <c r="Q5014" s="40" t="str">
        <f>HYPERLINK("http://www.tuscaloosanews.com/article/20150622/news/150629934?p=1&amp;tc=pg","http://www.tuscaloosanews.com/article/20150622/news/150629934?p=1&amp;tc=pg")</f>
        <v>http://www.tuscaloosanews.com/article/20150622/news/150629934?p=1&amp;tc=pg</v>
      </c>
      <c r="R5014" s="33" t="s">
        <v>94</v>
      </c>
      <c r="S5014" s="33" t="s">
        <v>22</v>
      </c>
      <c r="T5014" s="54" t="s">
        <v>34228</v>
      </c>
      <c r="Z5014" s="33" t="s">
        <v>42967</v>
      </c>
      <c r="AA5014" s="33">
        <v>2652</v>
      </c>
    </row>
    <row r="5015" spans="1:27" ht="12" customHeight="1" x14ac:dyDescent="0.15">
      <c r="A5015" s="33" t="s">
        <v>1580</v>
      </c>
      <c r="B5015" s="33">
        <v>21</v>
      </c>
      <c r="C5015" s="33" t="s">
        <v>14</v>
      </c>
      <c r="D5015" s="33" t="s">
        <v>79</v>
      </c>
      <c r="E5015" s="33" t="str">
        <f>HYPERLINK("http://www.gannett-cdn.com/-mm-/15e60ce64e0a486e11e80fc1732b57a8401a0831/c=1-0-179-238&amp;r=537&amp;c=0-0-534-712/local/-/media/2015/06/19/Cincinnati/B9317795377Z.1_20150619211539_000_GCBB4NLT3.1-0.jpg","http://www.gannett-cdn.com/-mm-/15e60ce64e0a486e11e80fc1732b57a8401a0831/c=1-0-179-238&amp;r=537&amp;c=0-0-534-712/local/-/media/2015/06/19/Cincinnati/B9317795377Z.1_20150619211539_000_GCBB4NLT3.1-0.jpg")</f>
        <v>http://www.gannett-cdn.com/-mm-/15e60ce64e0a486e11e80fc1732b57a8401a0831/c=1-0-179-238&amp;r=537&amp;c=0-0-534-712/local/-/media/2015/06/19/Cincinnati/B9317795377Z.1_20150619211539_000_GCBB4NLT3.1-0.jpg</v>
      </c>
      <c r="F5015" s="67">
        <v>42174</v>
      </c>
      <c r="G5015" s="33" t="s">
        <v>1581</v>
      </c>
      <c r="H5015" s="33" t="s">
        <v>504</v>
      </c>
      <c r="I5015" s="33" t="s">
        <v>63</v>
      </c>
      <c r="J5015" s="33" t="s">
        <v>1582</v>
      </c>
      <c r="K5015" s="33" t="s">
        <v>505</v>
      </c>
      <c r="L5015" s="33" t="s">
        <v>506</v>
      </c>
      <c r="M5015" s="33" t="s">
        <v>21</v>
      </c>
      <c r="N5015" s="33" t="s">
        <v>1583</v>
      </c>
      <c r="O5015" s="33" t="s">
        <v>372</v>
      </c>
      <c r="P5015" s="33" t="s">
        <v>30089</v>
      </c>
      <c r="Q5015" s="40" t="str">
        <f>HYPERLINK("http://www.cincinnati.com/story/news/2015/06/19/trepierre-hummons-past/29018599/","http://www.cincinnati.com/story/news/2015/06/19/trepierre-hummons-past/29018599/")</f>
        <v>http://www.cincinnati.com/story/news/2015/06/19/trepierre-hummons-past/29018599/</v>
      </c>
      <c r="R5015" s="33" t="s">
        <v>512</v>
      </c>
      <c r="S5015" s="33" t="s">
        <v>22</v>
      </c>
      <c r="T5015" s="33" t="s">
        <v>26781</v>
      </c>
      <c r="U5015" s="33" t="s">
        <v>26572</v>
      </c>
      <c r="V5015" s="33" t="s">
        <v>26573</v>
      </c>
      <c r="W5015" s="33" t="s">
        <v>94</v>
      </c>
      <c r="X5015" s="33">
        <v>560</v>
      </c>
      <c r="Z5015" s="33" t="s">
        <v>42966</v>
      </c>
      <c r="AA5015" s="33">
        <v>2648</v>
      </c>
    </row>
    <row r="5016" spans="1:27" ht="12" customHeight="1" x14ac:dyDescent="0.15">
      <c r="A5016" s="33" t="s">
        <v>1590</v>
      </c>
      <c r="B5016" s="33">
        <v>50</v>
      </c>
      <c r="C5016" s="33" t="s">
        <v>14</v>
      </c>
      <c r="D5016" s="33" t="s">
        <v>42</v>
      </c>
      <c r="F5016" s="67">
        <v>42174</v>
      </c>
      <c r="G5016" s="33" t="s">
        <v>1591</v>
      </c>
      <c r="H5016" s="33" t="s">
        <v>1592</v>
      </c>
      <c r="I5016" s="33" t="s">
        <v>192</v>
      </c>
      <c r="J5016" s="33" t="s">
        <v>1593</v>
      </c>
      <c r="K5016" s="33" t="s">
        <v>1594</v>
      </c>
      <c r="L5016" s="33" t="s">
        <v>1595</v>
      </c>
      <c r="M5016" s="33" t="s">
        <v>21</v>
      </c>
      <c r="N5016" s="33" t="s">
        <v>1596</v>
      </c>
      <c r="O5016" s="33" t="s">
        <v>372</v>
      </c>
      <c r="P5016" s="33" t="s">
        <v>30089</v>
      </c>
      <c r="Q5016" s="40" t="str">
        <f>HYPERLINK("http://www.greeleytribune.com/news/16932384-113/weld-district-attorney-releases-names-of-man-woman","http://www.greeleytribune.com/news/16932384-113/weld-district-attorney-releases-names-of-man-woman")</f>
        <v>http://www.greeleytribune.com/news/16932384-113/weld-district-attorney-releases-names-of-man-woman</v>
      </c>
      <c r="R5016" s="33" t="s">
        <v>94</v>
      </c>
      <c r="S5016" s="33" t="s">
        <v>22</v>
      </c>
      <c r="T5016" s="33" t="s">
        <v>26781</v>
      </c>
      <c r="U5016" s="33" t="s">
        <v>26572</v>
      </c>
      <c r="V5016" s="33" t="s">
        <v>26573</v>
      </c>
      <c r="W5016" s="33" t="s">
        <v>94</v>
      </c>
      <c r="X5016" s="33">
        <v>565</v>
      </c>
      <c r="Z5016" s="33" t="s">
        <v>42968</v>
      </c>
      <c r="AA5016" s="33">
        <v>2649</v>
      </c>
    </row>
    <row r="5017" spans="1:27" ht="12" customHeight="1" x14ac:dyDescent="0.15">
      <c r="A5017" s="33" t="s">
        <v>1584</v>
      </c>
      <c r="B5017" s="33">
        <v>44</v>
      </c>
      <c r="C5017" s="33" t="s">
        <v>14</v>
      </c>
      <c r="D5017" s="33" t="s">
        <v>42</v>
      </c>
      <c r="F5017" s="67">
        <v>42174</v>
      </c>
      <c r="G5017" s="33" t="s">
        <v>1585</v>
      </c>
      <c r="H5017" s="33" t="s">
        <v>1586</v>
      </c>
      <c r="I5017" s="33" t="s">
        <v>40</v>
      </c>
      <c r="J5017" s="33" t="s">
        <v>1587</v>
      </c>
      <c r="K5017" s="33" t="s">
        <v>1588</v>
      </c>
      <c r="L5017" s="33" t="s">
        <v>14843</v>
      </c>
      <c r="M5017" s="33" t="s">
        <v>21</v>
      </c>
      <c r="N5017" s="33" t="s">
        <v>1589</v>
      </c>
      <c r="O5017" s="33" t="s">
        <v>372</v>
      </c>
      <c r="P5017" s="33" t="s">
        <v>30089</v>
      </c>
      <c r="Q5017" s="40" t="str">
        <f>HYPERLINK("http://www.necn.com/news/new-england/Sister-Speaks-Out-About-Police-Involved-Shooting-308721631.html","http://www.necn.com/news/new-england/Sister-Speaks-Out-About-Police-Involved-Shooting-308721631.html")</f>
        <v>http://www.necn.com/news/new-england/Sister-Speaks-Out-About-Police-Involved-Shooting-308721631.html</v>
      </c>
      <c r="R5017" s="33" t="s">
        <v>512</v>
      </c>
      <c r="S5017" s="33" t="s">
        <v>22</v>
      </c>
      <c r="T5017" s="33" t="s">
        <v>26774</v>
      </c>
      <c r="U5017" s="33" t="s">
        <v>26570</v>
      </c>
      <c r="V5017" s="33" t="s">
        <v>26574</v>
      </c>
      <c r="W5017" s="33" t="s">
        <v>94</v>
      </c>
      <c r="X5017" s="33">
        <v>558</v>
      </c>
      <c r="Z5017" s="33" t="s">
        <v>42966</v>
      </c>
      <c r="AA5017" s="33">
        <v>2650</v>
      </c>
    </row>
    <row r="5018" spans="1:27" ht="12" customHeight="1" x14ac:dyDescent="0.15">
      <c r="A5018" s="33" t="s">
        <v>1597</v>
      </c>
      <c r="B5018" s="33">
        <v>58</v>
      </c>
      <c r="C5018" s="33" t="s">
        <v>14</v>
      </c>
      <c r="D5018" s="33" t="s">
        <v>31</v>
      </c>
      <c r="F5018" s="67">
        <v>42173</v>
      </c>
      <c r="G5018" s="33" t="s">
        <v>1598</v>
      </c>
      <c r="H5018" s="33" t="s">
        <v>1599</v>
      </c>
      <c r="I5018" s="33" t="s">
        <v>395</v>
      </c>
      <c r="J5018" s="33" t="s">
        <v>1600</v>
      </c>
      <c r="K5018" s="33" t="s">
        <v>1601</v>
      </c>
      <c r="L5018" s="33" t="s">
        <v>539</v>
      </c>
      <c r="M5018" s="33" t="s">
        <v>21</v>
      </c>
      <c r="N5018" s="33" t="s">
        <v>1602</v>
      </c>
      <c r="O5018" s="33" t="s">
        <v>372</v>
      </c>
      <c r="P5018" s="33" t="s">
        <v>30089</v>
      </c>
      <c r="Q5018" s="40" t="str">
        <f>HYPERLINK("http://www.nydailynews.com/new-york/suspect-shot-killed-cops-stabbing-officer-police-article-1.2262745","http://www.nydailynews.com/new-york/suspect-shot-killed-cops-stabbing-officer-police-article-1.2262745")</f>
        <v>http://www.nydailynews.com/new-york/suspect-shot-killed-cops-stabbing-officer-police-article-1.2262745</v>
      </c>
      <c r="R5018" s="33" t="s">
        <v>23</v>
      </c>
      <c r="S5018" s="33" t="s">
        <v>22</v>
      </c>
      <c r="T5018" s="33" t="s">
        <v>26774</v>
      </c>
      <c r="U5018" s="33" t="s">
        <v>26572</v>
      </c>
      <c r="V5018" s="33" t="s">
        <v>26574</v>
      </c>
      <c r="W5018" s="33" t="s">
        <v>94</v>
      </c>
      <c r="X5018" s="33">
        <v>564</v>
      </c>
      <c r="Z5018" s="33" t="s">
        <v>42966</v>
      </c>
      <c r="AA5018" s="33">
        <v>2647</v>
      </c>
    </row>
    <row r="5019" spans="1:27" ht="12" customHeight="1" x14ac:dyDescent="0.15">
      <c r="A5019" s="33" t="s">
        <v>1616</v>
      </c>
      <c r="B5019" s="33">
        <v>48</v>
      </c>
      <c r="C5019" s="33" t="s">
        <v>14</v>
      </c>
      <c r="D5019" s="33" t="s">
        <v>31</v>
      </c>
      <c r="F5019" s="67">
        <v>42172</v>
      </c>
      <c r="G5019" s="33" t="s">
        <v>1617</v>
      </c>
      <c r="H5019" s="33" t="s">
        <v>420</v>
      </c>
      <c r="I5019" s="33" t="s">
        <v>178</v>
      </c>
      <c r="J5019" s="33" t="s">
        <v>1618</v>
      </c>
      <c r="K5019" s="33" t="s">
        <v>731</v>
      </c>
      <c r="L5019" s="33" t="s">
        <v>421</v>
      </c>
      <c r="M5019" s="33" t="s">
        <v>21</v>
      </c>
      <c r="N5019" s="33" t="s">
        <v>1619</v>
      </c>
      <c r="O5019" s="33" t="s">
        <v>372</v>
      </c>
      <c r="P5019" s="33" t="s">
        <v>30089</v>
      </c>
      <c r="Q5019" s="40" t="str">
        <f>HYPERLINK("http://www.kob.com/article/stories/s3831288.shtml#.Vem0QNNVhBc","http://www.kob.com/article/stories/s3831288.shtml#.Vem0QNNVhBc")</f>
        <v>http://www.kob.com/article/stories/s3831288.shtml#.Vem0QNNVhBc</v>
      </c>
      <c r="R5019" s="33" t="s">
        <v>512</v>
      </c>
      <c r="S5019" s="33" t="s">
        <v>22</v>
      </c>
      <c r="T5019" s="33" t="s">
        <v>26781</v>
      </c>
      <c r="U5019" s="33" t="s">
        <v>26572</v>
      </c>
      <c r="V5019" s="33" t="s">
        <v>26573</v>
      </c>
      <c r="W5019" s="33" t="s">
        <v>94</v>
      </c>
      <c r="X5019" s="33">
        <v>561</v>
      </c>
      <c r="Z5019" s="33" t="s">
        <v>42968</v>
      </c>
      <c r="AA5019" s="33">
        <v>2646</v>
      </c>
    </row>
    <row r="5020" spans="1:27" ht="12" customHeight="1" x14ac:dyDescent="0.15">
      <c r="A5020" s="33" t="s">
        <v>1609</v>
      </c>
      <c r="B5020" s="33">
        <v>40</v>
      </c>
      <c r="C5020" s="33" t="s">
        <v>103</v>
      </c>
      <c r="D5020" s="33" t="s">
        <v>31</v>
      </c>
      <c r="F5020" s="67">
        <v>42172</v>
      </c>
      <c r="G5020" s="33" t="s">
        <v>1610</v>
      </c>
      <c r="H5020" s="33" t="s">
        <v>1611</v>
      </c>
      <c r="I5020" s="33" t="s">
        <v>88</v>
      </c>
      <c r="J5020" s="33" t="s">
        <v>1612</v>
      </c>
      <c r="K5020" s="33" t="s">
        <v>1613</v>
      </c>
      <c r="L5020" s="33" t="s">
        <v>1614</v>
      </c>
      <c r="M5020" s="33" t="s">
        <v>21</v>
      </c>
      <c r="N5020" s="33" t="s">
        <v>1615</v>
      </c>
      <c r="O5020" s="33" t="s">
        <v>372</v>
      </c>
      <c r="P5020" s="33" t="s">
        <v>30089</v>
      </c>
      <c r="Q5020" s="40" t="str">
        <f>HYPERLINK("http://www.montgomeryadvertiser.com/story/news/local/progress/2015/06/18/sbi-investigate-officer-involved-shooting/28954689/","http://www.montgomeryadvertiser.com/story/news/local/progress/2015/06/18/sbi-investigate-officer-involved-shooting/28954689/")</f>
        <v>http://www.montgomeryadvertiser.com/story/news/local/progress/2015/06/18/sbi-investigate-officer-involved-shooting/28954689/</v>
      </c>
      <c r="R5020" s="33" t="s">
        <v>94</v>
      </c>
      <c r="S5020" s="33" t="s">
        <v>22</v>
      </c>
      <c r="T5020" s="33" t="s">
        <v>26781</v>
      </c>
      <c r="U5020" s="33" t="s">
        <v>26572</v>
      </c>
      <c r="V5020" s="33" t="s">
        <v>26571</v>
      </c>
      <c r="W5020" s="33" t="s">
        <v>94</v>
      </c>
      <c r="X5020" s="33">
        <v>557</v>
      </c>
      <c r="Z5020" s="33" t="s">
        <v>42967</v>
      </c>
      <c r="AA5020" s="33">
        <v>2645</v>
      </c>
    </row>
    <row r="5021" spans="1:27" ht="12" customHeight="1" x14ac:dyDescent="0.15">
      <c r="A5021" s="33" t="s">
        <v>1630</v>
      </c>
      <c r="B5021" s="33">
        <v>28</v>
      </c>
      <c r="C5021" s="33" t="s">
        <v>14</v>
      </c>
      <c r="D5021" s="33" t="s">
        <v>42</v>
      </c>
      <c r="F5021" s="67">
        <v>42171</v>
      </c>
      <c r="G5021" s="33" t="s">
        <v>1631</v>
      </c>
      <c r="H5021" s="33" t="s">
        <v>1632</v>
      </c>
      <c r="I5021" s="33" t="s">
        <v>39</v>
      </c>
      <c r="J5021" s="33" t="s">
        <v>1633</v>
      </c>
      <c r="K5021" s="33" t="s">
        <v>1088</v>
      </c>
      <c r="L5021" s="33" t="s">
        <v>1634</v>
      </c>
      <c r="M5021" s="33" t="s">
        <v>21</v>
      </c>
      <c r="N5021" s="33" t="s">
        <v>1635</v>
      </c>
      <c r="O5021" s="33" t="s">
        <v>372</v>
      </c>
      <c r="P5021" s="33" t="s">
        <v>30089</v>
      </c>
      <c r="Q5021" s="40" t="str">
        <f>HYPERLINK("http://abc30.com/news/visalia-police-shoot-and-kill-man-shortly-after-arriving-at-vacant-business-complex/789315/","http://abc30.com/news/visalia-police-shoot-and-kill-man-shortly-after-arriving-at-vacant-business-complex/789315/")</f>
        <v>http://abc30.com/news/visalia-police-shoot-and-kill-man-shortly-after-arriving-at-vacant-business-complex/789315/</v>
      </c>
      <c r="R5021" s="33" t="s">
        <v>94</v>
      </c>
      <c r="S5021" s="33" t="s">
        <v>22</v>
      </c>
      <c r="T5021" s="33" t="s">
        <v>26781</v>
      </c>
      <c r="U5021" s="33" t="s">
        <v>26572</v>
      </c>
      <c r="V5021" s="33" t="s">
        <v>26573</v>
      </c>
      <c r="W5021" s="33" t="s">
        <v>94</v>
      </c>
      <c r="X5021" s="33">
        <v>559</v>
      </c>
      <c r="Z5021" s="33" t="s">
        <v>42968</v>
      </c>
      <c r="AA5021" s="33">
        <v>2642</v>
      </c>
    </row>
    <row r="5022" spans="1:27" ht="12" customHeight="1" x14ac:dyDescent="0.15">
      <c r="A5022" s="33" t="s">
        <v>1623</v>
      </c>
      <c r="B5022" s="33">
        <v>51</v>
      </c>
      <c r="C5022" s="33" t="s">
        <v>103</v>
      </c>
      <c r="D5022" s="33" t="s">
        <v>31</v>
      </c>
      <c r="F5022" s="67">
        <v>42171</v>
      </c>
      <c r="G5022" s="33" t="s">
        <v>1624</v>
      </c>
      <c r="H5022" s="33" t="s">
        <v>1625</v>
      </c>
      <c r="I5022" s="33" t="s">
        <v>75</v>
      </c>
      <c r="J5022" s="33" t="s">
        <v>1626</v>
      </c>
      <c r="K5022" s="33" t="s">
        <v>1627</v>
      </c>
      <c r="L5022" s="33" t="s">
        <v>1628</v>
      </c>
      <c r="M5022" s="33" t="s">
        <v>21</v>
      </c>
      <c r="N5022" s="33" t="s">
        <v>1629</v>
      </c>
      <c r="O5022" s="33" t="s">
        <v>26763</v>
      </c>
      <c r="P5022" s="33" t="s">
        <v>26764</v>
      </c>
      <c r="Q5022" s="40" t="str">
        <f>HYPERLINK("http://newyork.cbslocal.com/2015/06/17/neptune-police-officer-shooting/","http://newyork.cbslocal.com/2015/06/17/neptune-police-officer-shooting/")</f>
        <v>http://newyork.cbslocal.com/2015/06/17/neptune-police-officer-shooting/</v>
      </c>
      <c r="R5022" s="33" t="s">
        <v>94</v>
      </c>
      <c r="S5022" s="33" t="s">
        <v>12</v>
      </c>
      <c r="T5022" s="54" t="s">
        <v>29705</v>
      </c>
      <c r="Y5022" s="33" t="s">
        <v>42476</v>
      </c>
      <c r="Z5022" s="33" t="s">
        <v>42968</v>
      </c>
      <c r="AA5022" s="33">
        <v>2644</v>
      </c>
    </row>
    <row r="5023" spans="1:27" ht="12" customHeight="1" x14ac:dyDescent="0.15">
      <c r="A5023" s="33" t="s">
        <v>1603</v>
      </c>
      <c r="B5023" s="33">
        <v>31</v>
      </c>
      <c r="C5023" s="33" t="s">
        <v>14</v>
      </c>
      <c r="D5023" s="33" t="s">
        <v>128</v>
      </c>
      <c r="F5023" s="67">
        <v>42171</v>
      </c>
      <c r="G5023" s="33" t="s">
        <v>23</v>
      </c>
      <c r="H5023" s="33" t="s">
        <v>1604</v>
      </c>
      <c r="I5023" s="33" t="s">
        <v>1605</v>
      </c>
      <c r="K5023" s="33" t="s">
        <v>1606</v>
      </c>
      <c r="L5023" s="33" t="s">
        <v>1607</v>
      </c>
      <c r="M5023" s="33" t="s">
        <v>21</v>
      </c>
      <c r="N5023" s="33" t="s">
        <v>1608</v>
      </c>
      <c r="O5023" s="33" t="s">
        <v>372</v>
      </c>
      <c r="P5023" s="33" t="s">
        <v>30089</v>
      </c>
      <c r="Q5023" s="40" t="str">
        <f>HYPERLINK("http://www.grandforksherald.com/news/region/3770087-family-alleged-police-shooting-victim-speaks-out","http://www.grandforksherald.com/news/region/3770087-family-alleged-police-shooting-victim-speaks-out")</f>
        <v>http://www.grandforksherald.com/news/region/3770087-family-alleged-police-shooting-victim-speaks-out</v>
      </c>
      <c r="R5023" s="33" t="s">
        <v>94</v>
      </c>
      <c r="S5023" s="33" t="s">
        <v>22</v>
      </c>
      <c r="T5023" s="33" t="s">
        <v>26781</v>
      </c>
      <c r="U5023" s="33" t="s">
        <v>26572</v>
      </c>
      <c r="V5023" s="33" t="s">
        <v>26573</v>
      </c>
      <c r="W5023" s="33" t="s">
        <v>94</v>
      </c>
      <c r="X5023" s="33">
        <v>563</v>
      </c>
      <c r="Z5023" s="33" t="e">
        <v>#N/A</v>
      </c>
      <c r="AA5023" s="33">
        <v>2643</v>
      </c>
    </row>
    <row r="5024" spans="1:27" ht="12" customHeight="1" x14ac:dyDescent="0.15">
      <c r="A5024" s="33" t="s">
        <v>1636</v>
      </c>
      <c r="B5024" s="33">
        <v>22</v>
      </c>
      <c r="C5024" s="33" t="s">
        <v>14</v>
      </c>
      <c r="D5024" s="33" t="s">
        <v>79</v>
      </c>
      <c r="E5024" s="33" t="str">
        <f>HYPERLINK("http://www.kcra.com/image/view/-/33606430/medRes/1/-/maxh/460/maxw/620/-/xldfqjz/-/Kris-Jackson-061615-jpg.jpg","http://www.kcra.com/image/view/-/33606430/medRes/1/-/maxh/460/maxw/620/-/xldfqjz/-/Kris-Jackson-061615-jpg.jpg")</f>
        <v>http://www.kcra.com/image/view/-/33606430/medRes/1/-/maxh/460/maxw/620/-/xldfqjz/-/Kris-Jackson-061615-jpg.jpg</v>
      </c>
      <c r="F5024" s="67">
        <v>42170</v>
      </c>
      <c r="G5024" s="33" t="s">
        <v>1637</v>
      </c>
      <c r="H5024" s="33" t="s">
        <v>1638</v>
      </c>
      <c r="I5024" s="33" t="s">
        <v>39</v>
      </c>
      <c r="J5024" s="33" t="s">
        <v>1639</v>
      </c>
      <c r="K5024" s="33" t="s">
        <v>1640</v>
      </c>
      <c r="L5024" s="33" t="s">
        <v>1641</v>
      </c>
      <c r="M5024" s="33" t="s">
        <v>21</v>
      </c>
      <c r="N5024" s="33" t="s">
        <v>1642</v>
      </c>
      <c r="O5024" s="33" t="s">
        <v>372</v>
      </c>
      <c r="P5024" s="33" t="s">
        <v>30089</v>
      </c>
      <c r="Q5024" s="40" t="s">
        <v>18910</v>
      </c>
      <c r="R5024" s="33" t="s">
        <v>94</v>
      </c>
      <c r="S5024" s="33" t="s">
        <v>12</v>
      </c>
      <c r="T5024" s="33" t="s">
        <v>29705</v>
      </c>
      <c r="U5024" s="33" t="s">
        <v>26570</v>
      </c>
      <c r="V5024" s="33" t="s">
        <v>26574</v>
      </c>
      <c r="W5024" s="33" t="s">
        <v>94</v>
      </c>
      <c r="X5024" s="33">
        <v>550</v>
      </c>
      <c r="Z5024" s="33" t="s">
        <v>42968</v>
      </c>
      <c r="AA5024" s="33">
        <v>2640</v>
      </c>
    </row>
    <row r="5025" spans="1:27" ht="12" customHeight="1" x14ac:dyDescent="0.15">
      <c r="A5025" s="33" t="s">
        <v>21080</v>
      </c>
      <c r="B5025" s="33">
        <v>47</v>
      </c>
      <c r="C5025" s="33" t="s">
        <v>14</v>
      </c>
      <c r="D5025" s="33" t="s">
        <v>79</v>
      </c>
      <c r="E5025" s="33" t="s">
        <v>21081</v>
      </c>
      <c r="F5025" s="67">
        <v>42170</v>
      </c>
      <c r="G5025" s="33" t="s">
        <v>21082</v>
      </c>
      <c r="H5025" s="33" t="s">
        <v>1956</v>
      </c>
      <c r="I5025" s="33" t="s">
        <v>75</v>
      </c>
      <c r="J5025" s="33">
        <v>8618</v>
      </c>
      <c r="K5025" s="33" t="s">
        <v>2675</v>
      </c>
      <c r="L5025" s="33" t="s">
        <v>1958</v>
      </c>
      <c r="M5025" s="33" t="s">
        <v>21083</v>
      </c>
      <c r="N5025" s="33" t="s">
        <v>21084</v>
      </c>
      <c r="O5025" s="33" t="s">
        <v>372</v>
      </c>
      <c r="P5025" s="33" t="s">
        <v>30089</v>
      </c>
      <c r="Q5025" s="40" t="s">
        <v>21085</v>
      </c>
      <c r="R5025" s="33" t="s">
        <v>94</v>
      </c>
      <c r="S5025" s="33" t="s">
        <v>12</v>
      </c>
      <c r="T5025" s="54" t="s">
        <v>29705</v>
      </c>
      <c r="Z5025" s="33" t="s">
        <v>42966</v>
      </c>
      <c r="AA5025" s="33">
        <v>2641</v>
      </c>
    </row>
    <row r="5026" spans="1:27" ht="12" customHeight="1" x14ac:dyDescent="0.15">
      <c r="A5026" s="33" t="s">
        <v>1643</v>
      </c>
      <c r="B5026" s="33">
        <v>28</v>
      </c>
      <c r="C5026" s="33" t="s">
        <v>14</v>
      </c>
      <c r="D5026" s="33" t="s">
        <v>42</v>
      </c>
      <c r="E5026" s="33" t="str">
        <f>HYPERLINK("https://tribfox40.files.wordpress.com/2015/06/kenneth-garcia.jpg","https://tribfox40.files.wordpress.com/2015/06/kenneth-garcia.jpg")</f>
        <v>https://tribfox40.files.wordpress.com/2015/06/kenneth-garcia.jpg</v>
      </c>
      <c r="F5026" s="67">
        <v>42169</v>
      </c>
      <c r="G5026" s="33" t="s">
        <v>1644</v>
      </c>
      <c r="H5026" s="33" t="s">
        <v>1645</v>
      </c>
      <c r="I5026" s="33" t="s">
        <v>39</v>
      </c>
      <c r="J5026" s="33" t="s">
        <v>1646</v>
      </c>
      <c r="K5026" s="33" t="s">
        <v>1647</v>
      </c>
      <c r="L5026" s="33" t="s">
        <v>1648</v>
      </c>
      <c r="M5026" s="33" t="s">
        <v>21</v>
      </c>
      <c r="N5026" s="33" t="s">
        <v>1649</v>
      </c>
      <c r="O5026" s="33" t="s">
        <v>372</v>
      </c>
      <c r="P5026" s="33" t="s">
        <v>30089</v>
      </c>
      <c r="Q5026" s="40" t="str">
        <f>HYPERLINK("http://www.kcra.com/news/local-news/news-stockton/stockton-police-investigate-officerinvolved-shooting-1-suspect-dead/33578792","http://www.kcra.com/news/local-news/news-stockton/stockton-police-investigate-officerinvolved-shooting-1-suspect-dead/33578792")</f>
        <v>http://www.kcra.com/news/local-news/news-stockton/stockton-police-investigate-officerinvolved-shooting-1-suspect-dead/33578792</v>
      </c>
      <c r="R5026" s="33" t="s">
        <v>94</v>
      </c>
      <c r="S5026" s="33" t="s">
        <v>351</v>
      </c>
      <c r="T5026" s="33" t="s">
        <v>26867</v>
      </c>
      <c r="U5026" s="33" t="s">
        <v>26572</v>
      </c>
      <c r="V5026" s="33" t="s">
        <v>26571</v>
      </c>
      <c r="W5026" s="33" t="s">
        <v>94</v>
      </c>
      <c r="X5026" s="33">
        <v>547</v>
      </c>
      <c r="Z5026" s="33" t="s">
        <v>42968</v>
      </c>
      <c r="AA5026" s="33">
        <v>2639</v>
      </c>
    </row>
    <row r="5027" spans="1:27" ht="12" customHeight="1" x14ac:dyDescent="0.15">
      <c r="A5027" s="33" t="s">
        <v>1650</v>
      </c>
      <c r="B5027" s="33">
        <v>15</v>
      </c>
      <c r="C5027" s="33" t="s">
        <v>14</v>
      </c>
      <c r="D5027" s="33" t="s">
        <v>31</v>
      </c>
      <c r="E5027" s="33" t="str">
        <f>HYPERLINK("http://media.cmgdigital.com/shared/img/photos/2015/06/15/08/8a/Zane_Terryn.jpg","http://media.cmgdigital.com/shared/img/photos/2015/06/15/08/8a/Zane_Terryn.jpg")</f>
        <v>http://media.cmgdigital.com/shared/img/photos/2015/06/15/08/8a/Zane_Terryn.jpg</v>
      </c>
      <c r="F5027" s="67">
        <v>42169</v>
      </c>
      <c r="G5027" s="33" t="s">
        <v>1651</v>
      </c>
      <c r="H5027" s="33" t="s">
        <v>1652</v>
      </c>
      <c r="I5027" s="33" t="s">
        <v>56</v>
      </c>
      <c r="J5027" s="33" t="s">
        <v>1653</v>
      </c>
      <c r="K5027" s="33" t="s">
        <v>1654</v>
      </c>
      <c r="L5027" s="33" t="s">
        <v>965</v>
      </c>
      <c r="M5027" s="33" t="s">
        <v>21</v>
      </c>
      <c r="N5027" s="33" t="s">
        <v>1655</v>
      </c>
      <c r="O5027" s="33" t="s">
        <v>372</v>
      </c>
      <c r="P5027" s="33" t="s">
        <v>30089</v>
      </c>
      <c r="Q5027" s="40" t="str">
        <f>HYPERLINK("http://www.wftv.com/news/news/local/trooper-teens-idd-brevard-county-shooting/nmdGr/","http://www.wftv.com/news/news/local/trooper-teens-idd-brevard-county-shooting/nmdGr/")</f>
        <v>http://www.wftv.com/news/news/local/trooper-teens-idd-brevard-county-shooting/nmdGr/</v>
      </c>
      <c r="R5027" s="33" t="s">
        <v>512</v>
      </c>
      <c r="S5027" s="33" t="s">
        <v>22</v>
      </c>
      <c r="T5027" s="33" t="s">
        <v>26781</v>
      </c>
      <c r="U5027" s="33" t="s">
        <v>26572</v>
      </c>
      <c r="V5027" s="33" t="s">
        <v>26573</v>
      </c>
      <c r="W5027" s="33" t="s">
        <v>94</v>
      </c>
      <c r="X5027" s="33">
        <v>551</v>
      </c>
      <c r="Z5027" s="33" t="s">
        <v>42968</v>
      </c>
      <c r="AA5027" s="33">
        <v>2638</v>
      </c>
    </row>
    <row r="5028" spans="1:27" ht="12" customHeight="1" x14ac:dyDescent="0.15">
      <c r="A5028" s="33" t="s">
        <v>1676</v>
      </c>
      <c r="B5028" s="33">
        <v>46</v>
      </c>
      <c r="C5028" s="33" t="s">
        <v>14</v>
      </c>
      <c r="D5028" s="33" t="s">
        <v>31</v>
      </c>
      <c r="E5028" s="33" t="str">
        <f>HYPERLINK("http://assets.mediaspanonline.com/prod/11889528/7206529_h400.jpg","http://assets.mediaspanonline.com/prod/11889528/7206529_h400.jpg")</f>
        <v>http://assets.mediaspanonline.com/prod/11889528/7206529_h400.jpg</v>
      </c>
      <c r="F5028" s="67">
        <v>42168</v>
      </c>
      <c r="G5028" s="33" t="s">
        <v>1677</v>
      </c>
      <c r="H5028" s="33" t="s">
        <v>1678</v>
      </c>
      <c r="I5028" s="33" t="s">
        <v>198</v>
      </c>
      <c r="J5028" s="33" t="s">
        <v>1679</v>
      </c>
      <c r="K5028" s="33" t="s">
        <v>1680</v>
      </c>
      <c r="L5028" s="33" t="s">
        <v>1681</v>
      </c>
      <c r="M5028" s="33" t="s">
        <v>21</v>
      </c>
      <c r="N5028" s="33" t="s">
        <v>36761</v>
      </c>
      <c r="O5028" s="33" t="s">
        <v>950</v>
      </c>
      <c r="P5028" s="33" t="s">
        <v>30089</v>
      </c>
      <c r="Q5028" s="40" t="str">
        <f>HYPERLINK("http://wane.com/2015/06/15/coroner-releases-identity-of-man-shot-by-officer/","http://wane.com/2015/06/15/coroner-releases-identity-of-man-shot-by-officer/")</f>
        <v>http://wane.com/2015/06/15/coroner-releases-identity-of-man-shot-by-officer/</v>
      </c>
      <c r="R5028" s="33" t="s">
        <v>94</v>
      </c>
      <c r="S5028" s="33" t="s">
        <v>22</v>
      </c>
      <c r="T5028" s="33" t="s">
        <v>26781</v>
      </c>
      <c r="U5028" s="33" t="s">
        <v>26572</v>
      </c>
      <c r="V5028" s="33" t="s">
        <v>26573</v>
      </c>
      <c r="W5028" s="33" t="s">
        <v>94</v>
      </c>
      <c r="X5028" s="33">
        <v>546</v>
      </c>
      <c r="Z5028" s="33" t="s">
        <v>42968</v>
      </c>
      <c r="AA5028" s="33">
        <v>2635</v>
      </c>
    </row>
    <row r="5029" spans="1:27" ht="12" customHeight="1" x14ac:dyDescent="0.15">
      <c r="A5029" s="33" t="s">
        <v>1671</v>
      </c>
      <c r="B5029" s="33">
        <v>35</v>
      </c>
      <c r="C5029" s="33" t="s">
        <v>14</v>
      </c>
      <c r="D5029" s="33" t="s">
        <v>31</v>
      </c>
      <c r="E5029" s="33" t="str">
        <f>HYPERLINK("http://www.dallasnews.com/incoming/20150613-james-lance-boulware-1-.jpg.ece/BINARY/James-Lance-Boulware+%281%29.jpg","http://www.dallasnews.com/incoming/20150613-james-lance-boulware-1-.jpg.ece/BINARY/James-Lance-Boulware+%281%29.jpg")</f>
        <v>http://www.dallasnews.com/incoming/20150613-james-lance-boulware-1-.jpg.ece/BINARY/James-Lance-Boulware+%281%29.jpg</v>
      </c>
      <c r="F5029" s="67">
        <v>42168</v>
      </c>
      <c r="G5029" s="33" t="s">
        <v>1672</v>
      </c>
      <c r="H5029" s="33" t="s">
        <v>1673</v>
      </c>
      <c r="I5029" s="33" t="s">
        <v>67</v>
      </c>
      <c r="J5029" s="33" t="s">
        <v>1674</v>
      </c>
      <c r="K5029" s="33" t="s">
        <v>266</v>
      </c>
      <c r="L5029" s="33" t="s">
        <v>267</v>
      </c>
      <c r="M5029" s="33" t="s">
        <v>21</v>
      </c>
      <c r="N5029" s="33" t="s">
        <v>1675</v>
      </c>
      <c r="O5029" s="33" t="s">
        <v>950</v>
      </c>
      <c r="P5029" s="33" t="s">
        <v>30089</v>
      </c>
      <c r="Q5029" s="40" t="str">
        <f>HYPERLINK("http://www.dallasnews.com/news/local-news/20150613-report-of-shots-fired-near-dallas-police-headquarters-prompts-chase.ece","http://www.dallasnews.com/news/local-news/20150613-report-of-shots-fired-near-dallas-police-headquarters-prompts-chase.ece")</f>
        <v>http://www.dallasnews.com/news/local-news/20150613-report-of-shots-fired-near-dallas-police-headquarters-prompts-chase.ece</v>
      </c>
      <c r="R5029" s="33" t="s">
        <v>512</v>
      </c>
      <c r="S5029" s="33" t="s">
        <v>22</v>
      </c>
      <c r="T5029" s="33" t="s">
        <v>29421</v>
      </c>
      <c r="U5029" s="33" t="s">
        <v>26572</v>
      </c>
      <c r="V5029" s="33" t="s">
        <v>26573</v>
      </c>
      <c r="W5029" s="33" t="s">
        <v>94</v>
      </c>
      <c r="X5029" s="33">
        <v>549</v>
      </c>
      <c r="Z5029" s="33" t="s">
        <v>42967</v>
      </c>
      <c r="AA5029" s="33">
        <v>2636</v>
      </c>
    </row>
    <row r="5030" spans="1:27" ht="12" customHeight="1" x14ac:dyDescent="0.15">
      <c r="A5030" s="33" t="s">
        <v>1656</v>
      </c>
      <c r="B5030" s="33">
        <v>35</v>
      </c>
      <c r="C5030" s="33" t="s">
        <v>14</v>
      </c>
      <c r="D5030" s="33" t="s">
        <v>79</v>
      </c>
      <c r="E5030" s="33" t="str">
        <f>HYPERLINK("http://www.gannett-cdn.com/-mm-/4a6db3c9477f4109c4cdeac9a88f4baf6e2f228c/c=0-5-305-412&amp;r=537&amp;c=0-0-534-712/local/-/media/2015/06/15/Louisville/B9317735012Z.1_20150615164435_000_GG6B398IT.1-0.jpg","http://www.gannett-cdn.com/-mm-/4a6db3c9477f4109c4cdeac9a88f4baf6e2f228c/c=0-5-305-412&amp;r=537&amp;c=0-0-534-712/local/-/media/2015/06/15/Louisville/B9317735012Z.1_20150615164435_000_GG6B398IT.1-0.jpg")</f>
        <v>http://www.gannett-cdn.com/-mm-/4a6db3c9477f4109c4cdeac9a88f4baf6e2f228c/c=0-5-305-412&amp;r=537&amp;c=0-0-534-712/local/-/media/2015/06/15/Louisville/B9317735012Z.1_20150615164435_000_GG6B398IT.1-0.jpg</v>
      </c>
      <c r="F5030" s="67">
        <v>42168</v>
      </c>
      <c r="G5030" s="33" t="s">
        <v>1657</v>
      </c>
      <c r="H5030" s="33" t="s">
        <v>834</v>
      </c>
      <c r="I5030" s="33" t="s">
        <v>294</v>
      </c>
      <c r="J5030" s="33" t="s">
        <v>1658</v>
      </c>
      <c r="K5030" s="33" t="s">
        <v>1659</v>
      </c>
      <c r="L5030" s="33" t="s">
        <v>835</v>
      </c>
      <c r="M5030" s="33" t="s">
        <v>21</v>
      </c>
      <c r="N5030" s="33" t="s">
        <v>1660</v>
      </c>
      <c r="O5030" s="33" t="s">
        <v>950</v>
      </c>
      <c r="P5030" s="33" t="s">
        <v>30089</v>
      </c>
      <c r="Q5030" s="40" t="str">
        <f>HYPERLINK("http://www.washingtonpost.com/news/morning-mix/wp/2015/06/14/new-video-shows-kentucky-police-officer-killing-flagpole-wielding-man/","http://www.washingtonpost.com/news/morning-mix/wp/2015/06/14/new-video-shows-kentucky-police-officer-killing-flagpole-wielding-man/")</f>
        <v>http://www.washingtonpost.com/news/morning-mix/wp/2015/06/14/new-video-shows-kentucky-police-officer-killing-flagpole-wielding-man/</v>
      </c>
      <c r="R5030" s="33" t="s">
        <v>904</v>
      </c>
      <c r="S5030" s="33" t="s">
        <v>29</v>
      </c>
      <c r="T5030" s="33" t="s">
        <v>26618</v>
      </c>
      <c r="U5030" s="33" t="s">
        <v>26570</v>
      </c>
      <c r="V5030" s="33" t="s">
        <v>26573</v>
      </c>
      <c r="W5030" s="33" t="s">
        <v>94</v>
      </c>
      <c r="X5030" s="33">
        <v>548</v>
      </c>
      <c r="Z5030" s="33" t="s">
        <v>42966</v>
      </c>
      <c r="AA5030" s="33">
        <v>2634</v>
      </c>
    </row>
    <row r="5031" spans="1:27" ht="12" customHeight="1" x14ac:dyDescent="0.15">
      <c r="A5031" s="33" t="s">
        <v>1661</v>
      </c>
      <c r="B5031" s="33">
        <v>24</v>
      </c>
      <c r="C5031" s="33" t="s">
        <v>103</v>
      </c>
      <c r="D5031" s="33" t="s">
        <v>31</v>
      </c>
      <c r="E5031" s="33" t="str">
        <f>HYPERLINK("https://5f0ad1906cfcc43aa1e6-196c176a9165c4fb91294bcccfeafde1.ssl.cf1.rackcdn.com/b383b173-9988-4244-8538-f5128397eb44_profile.jpg","https://5f0ad1906cfcc43aa1e6-196c176a9165c4fb91294bcccfeafde1.ssl.cf1.rackcdn.com/b383b173-9988-4244-8538-f5128397eb44_profile.jpg")</f>
        <v>https://5f0ad1906cfcc43aa1e6-196c176a9165c4fb91294bcccfeafde1.ssl.cf1.rackcdn.com/b383b173-9988-4244-8538-f5128397eb44_profile.jpg</v>
      </c>
      <c r="F5031" s="67">
        <v>42168</v>
      </c>
      <c r="G5031" s="33" t="s">
        <v>1662</v>
      </c>
      <c r="H5031" s="33" t="s">
        <v>1663</v>
      </c>
      <c r="I5031" s="33" t="s">
        <v>26</v>
      </c>
      <c r="J5031" s="33" t="s">
        <v>1664</v>
      </c>
      <c r="K5031" s="33" t="s">
        <v>1665</v>
      </c>
      <c r="L5031" s="33" t="s">
        <v>1666</v>
      </c>
      <c r="M5031" s="33" t="s">
        <v>21</v>
      </c>
      <c r="N5031" s="33" t="s">
        <v>1667</v>
      </c>
      <c r="O5031" s="33" t="s">
        <v>1668</v>
      </c>
      <c r="P5031" s="33" t="s">
        <v>30089</v>
      </c>
      <c r="Q5031" s="40" t="str">
        <f>HYPERLINK("http://www.wrdw.com/home/headlines/Shooting-on-Coulter-Drive-in-North-Augusta-307293011.html","http://www.wrdw.com/home/headlines/Shooting-on-Coulter-Drive-in-North-Augusta-307293011.html")</f>
        <v>http://www.wrdw.com/home/headlines/Shooting-on-Coulter-Drive-in-North-Augusta-307293011.html</v>
      </c>
      <c r="R5031" s="33" t="s">
        <v>94</v>
      </c>
      <c r="S5031" s="33" t="s">
        <v>29</v>
      </c>
      <c r="T5031" s="33" t="s">
        <v>41840</v>
      </c>
      <c r="Z5031" s="33" t="s">
        <v>42968</v>
      </c>
      <c r="AA5031" s="33">
        <v>2637</v>
      </c>
    </row>
    <row r="5032" spans="1:27" ht="12" customHeight="1" x14ac:dyDescent="0.15">
      <c r="A5032" s="33" t="s">
        <v>1682</v>
      </c>
      <c r="B5032" s="33">
        <v>17</v>
      </c>
      <c r="C5032" s="33" t="s">
        <v>103</v>
      </c>
      <c r="D5032" s="33" t="s">
        <v>31</v>
      </c>
      <c r="E5032" s="33" t="str">
        <f>HYPERLINK("http://bloximages.chicago2.vip.townnews.com/kokomotribune.com/content/tncms/assets/v3/editorial/7/fc/7fcd4704-6af4-59a9-8f7e-42671ea7d7cd/557df996651c8.image.jpg?resize=300%2C400","http://bloximages.chicago2.vip.townnews.com/kokomotribune.com/content/tncms/assets/v3/editorial/7/fc/7fcd4704-6af4-59a9-8f7e-42671ea7d7cd/557df996651c8.image.jpg?resize=300%2C400")</f>
        <v>http://bloximages.chicago2.vip.townnews.com/kokomotribune.com/content/tncms/assets/v3/editorial/7/fc/7fcd4704-6af4-59a9-8f7e-42671ea7d7cd/557df996651c8.image.jpg?resize=300%2C400</v>
      </c>
      <c r="F5032" s="67">
        <v>42167</v>
      </c>
      <c r="G5032" s="33" t="s">
        <v>1683</v>
      </c>
      <c r="H5032" s="33" t="s">
        <v>1684</v>
      </c>
      <c r="I5032" s="33" t="s">
        <v>198</v>
      </c>
      <c r="J5032" s="33" t="s">
        <v>1685</v>
      </c>
      <c r="K5032" s="33" t="s">
        <v>47</v>
      </c>
      <c r="L5032" s="33" t="s">
        <v>1686</v>
      </c>
      <c r="M5032" s="33" t="s">
        <v>21</v>
      </c>
      <c r="N5032" s="33" t="s">
        <v>1687</v>
      </c>
      <c r="O5032" s="33" t="s">
        <v>507</v>
      </c>
      <c r="P5032" s="33" t="s">
        <v>30089</v>
      </c>
      <c r="Q5032" s="40" t="str">
        <f>HYPERLINK("http://www.kokomotribune.com/news/update-name-of-officer-involved-in-shooting-released/article_fac3c076-121b-11e5-91a2-63f77d795bb0.html","http://www.kokomotribune.com/news/update-name-of-officer-involved-in-shooting-released/article_fac3c076-121b-11e5-91a2-63f77d795bb0.html")</f>
        <v>http://www.kokomotribune.com/news/update-name-of-officer-involved-in-shooting-released/article_fac3c076-121b-11e5-91a2-63f77d795bb0.html</v>
      </c>
      <c r="R5032" s="33" t="s">
        <v>512</v>
      </c>
      <c r="S5032" s="33" t="s">
        <v>12</v>
      </c>
      <c r="T5032" s="33" t="s">
        <v>29425</v>
      </c>
      <c r="U5032" s="33" t="s">
        <v>26572</v>
      </c>
      <c r="V5032" s="33" t="s">
        <v>26573</v>
      </c>
      <c r="W5032" s="33" t="s">
        <v>94</v>
      </c>
      <c r="X5032" s="33">
        <v>553</v>
      </c>
      <c r="Z5032" s="33" t="s">
        <v>42968</v>
      </c>
      <c r="AA5032" s="33">
        <v>2633</v>
      </c>
    </row>
    <row r="5033" spans="1:27" ht="12" customHeight="1" x14ac:dyDescent="0.15">
      <c r="A5033" s="33" t="s">
        <v>1693</v>
      </c>
      <c r="B5033" s="33">
        <v>46</v>
      </c>
      <c r="C5033" s="33" t="s">
        <v>14</v>
      </c>
      <c r="D5033" s="33" t="s">
        <v>79</v>
      </c>
      <c r="E5033" s="33" t="str">
        <f>HYPERLINK("http://i.dailymail.co.uk/i/pix/2015/06/12/08/298F3F8200000578-3120464-image-m-3_1434095771297.jpg","http://i.dailymail.co.uk/i/pix/2015/06/12/08/298F3F8200000578-3120464-image-m-3_1434095771297.jpg")</f>
        <v>http://i.dailymail.co.uk/i/pix/2015/06/12/08/298F3F8200000578-3120464-image-m-3_1434095771297.jpg</v>
      </c>
      <c r="F5033" s="67">
        <v>42166</v>
      </c>
      <c r="G5033" s="33" t="s">
        <v>1694</v>
      </c>
      <c r="H5033" s="33" t="s">
        <v>196</v>
      </c>
      <c r="I5033" s="33" t="s">
        <v>56</v>
      </c>
      <c r="J5033" s="33" t="s">
        <v>1695</v>
      </c>
      <c r="K5033" s="33" t="s">
        <v>148</v>
      </c>
      <c r="L5033" s="33" t="s">
        <v>427</v>
      </c>
      <c r="M5033" s="33" t="s">
        <v>21</v>
      </c>
      <c r="N5033" s="33" t="s">
        <v>1696</v>
      </c>
      <c r="O5033" s="33" t="s">
        <v>950</v>
      </c>
      <c r="P5033" s="33" t="s">
        <v>30089</v>
      </c>
      <c r="Q5033" s="40" t="str">
        <f>HYPERLINK("http://miami.cbslocal.com/2015/06/11/witnesses-police-officer-shoots-homeless-man-five-times-in-miami/","http://miami.cbslocal.com/2015/06/11/witnesses-police-officer-shoots-homeless-man-five-times-in-miami/")</f>
        <v>http://miami.cbslocal.com/2015/06/11/witnesses-police-officer-shoots-homeless-man-five-times-in-miami/</v>
      </c>
      <c r="R5033" s="33" t="s">
        <v>23</v>
      </c>
      <c r="S5033" s="33" t="s">
        <v>29</v>
      </c>
      <c r="T5033" s="33" t="s">
        <v>26575</v>
      </c>
      <c r="U5033" s="33" t="s">
        <v>26570</v>
      </c>
      <c r="V5033" s="33" t="s">
        <v>26573</v>
      </c>
      <c r="W5033" s="33" t="s">
        <v>94</v>
      </c>
      <c r="X5033" s="33">
        <v>543</v>
      </c>
      <c r="Z5033" s="33" t="s">
        <v>42966</v>
      </c>
      <c r="AA5033" s="33">
        <v>2632</v>
      </c>
    </row>
    <row r="5034" spans="1:27" ht="12" customHeight="1" x14ac:dyDescent="0.15">
      <c r="A5034" s="33" t="s">
        <v>1697</v>
      </c>
      <c r="B5034" s="33">
        <v>28</v>
      </c>
      <c r="C5034" s="33" t="s">
        <v>14</v>
      </c>
      <c r="D5034" s="33" t="s">
        <v>42</v>
      </c>
      <c r="E5034" s="33" t="str">
        <f>HYPERLINK("http://victimsofpolice.com/2015/images/Mark-Flores-Jr.jpg","http://victimsofpolice.com/2015/images/Mark-Flores-Jr.jpg")</f>
        <v>http://victimsofpolice.com/2015/images/Mark-Flores-Jr.jpg</v>
      </c>
      <c r="F5034" s="67">
        <v>42166</v>
      </c>
      <c r="G5034" s="33" t="s">
        <v>1698</v>
      </c>
      <c r="H5034" s="33" t="s">
        <v>532</v>
      </c>
      <c r="I5034" s="33" t="s">
        <v>67</v>
      </c>
      <c r="J5034" s="33" t="s">
        <v>1699</v>
      </c>
      <c r="K5034" s="33" t="s">
        <v>533</v>
      </c>
      <c r="L5034" s="33" t="s">
        <v>542</v>
      </c>
      <c r="M5034" s="33" t="s">
        <v>21</v>
      </c>
      <c r="N5034" s="33" t="s">
        <v>1700</v>
      </c>
      <c r="O5034" s="33" t="s">
        <v>372</v>
      </c>
      <c r="P5034" s="33" t="s">
        <v>30089</v>
      </c>
      <c r="Q5034" s="40" t="str">
        <f>HYPERLINK("http://www.ksat.com/news/father-says-mental-issues-triggered-gun-fight-with-son","http://www.ksat.com/news/father-says-mental-issues-triggered-gun-fight-with-son")</f>
        <v>http://www.ksat.com/news/father-says-mental-issues-triggered-gun-fight-with-son</v>
      </c>
      <c r="R5034" s="33" t="s">
        <v>512</v>
      </c>
      <c r="S5034" s="33" t="s">
        <v>22</v>
      </c>
      <c r="T5034" s="33" t="s">
        <v>26781</v>
      </c>
      <c r="U5034" s="33" t="s">
        <v>26572</v>
      </c>
      <c r="V5034" s="33" t="s">
        <v>26573</v>
      </c>
      <c r="W5034" s="33" t="s">
        <v>94</v>
      </c>
      <c r="X5034" s="33">
        <v>544</v>
      </c>
      <c r="Z5034" s="33" t="s">
        <v>42968</v>
      </c>
      <c r="AA5034" s="33">
        <v>2630</v>
      </c>
    </row>
    <row r="5035" spans="1:27" ht="12" customHeight="1" x14ac:dyDescent="0.15">
      <c r="A5035" s="33" t="s">
        <v>1688</v>
      </c>
      <c r="B5035" s="33">
        <v>40</v>
      </c>
      <c r="C5035" s="33" t="s">
        <v>14</v>
      </c>
      <c r="D5035" s="33" t="s">
        <v>79</v>
      </c>
      <c r="E5035" s="33" t="str">
        <f>HYPERLINK("http://www.trbimg.com/img-557a9e9e/turbine/fl-pompano-beach-fatal-shoot-bso-20150611-003/550/550x309","http://www.trbimg.com/img-557a9e9e/turbine/fl-pompano-beach-fatal-shoot-bso-20150611-003/550/550x309")</f>
        <v>http://www.trbimg.com/img-557a9e9e/turbine/fl-pompano-beach-fatal-shoot-bso-20150611-003/550/550x309</v>
      </c>
      <c r="F5035" s="67">
        <v>42166</v>
      </c>
      <c r="G5035" s="33" t="s">
        <v>1689</v>
      </c>
      <c r="H5035" s="33" t="s">
        <v>1690</v>
      </c>
      <c r="I5035" s="33" t="s">
        <v>56</v>
      </c>
      <c r="J5035" s="33" t="s">
        <v>1691</v>
      </c>
      <c r="K5035" s="33" t="s">
        <v>1052</v>
      </c>
      <c r="L5035" s="33" t="s">
        <v>4045</v>
      </c>
      <c r="M5035" s="33" t="s">
        <v>21</v>
      </c>
      <c r="N5035" s="33" t="s">
        <v>1692</v>
      </c>
      <c r="O5035" s="33" t="s">
        <v>950</v>
      </c>
      <c r="P5035" s="33" t="s">
        <v>30089</v>
      </c>
      <c r="Q5035" s="40" t="str">
        <f>HYPERLINK("http://www.local10.com/news/bso-investigates-deputyinvolved-shooting-in-pompano-beach/33522974","http://www.local10.com/news/bso-investigates-deputyinvolved-shooting-in-pompano-beach/33522974")</f>
        <v>http://www.local10.com/news/bso-investigates-deputyinvolved-shooting-in-pompano-beach/33522974</v>
      </c>
      <c r="R5035" s="33" t="s">
        <v>94</v>
      </c>
      <c r="S5035" s="33" t="s">
        <v>22</v>
      </c>
      <c r="T5035" s="33" t="s">
        <v>26781</v>
      </c>
      <c r="U5035" s="33" t="s">
        <v>26572</v>
      </c>
      <c r="V5035" s="33" t="s">
        <v>26573</v>
      </c>
      <c r="W5035" s="33" t="s">
        <v>94</v>
      </c>
      <c r="X5035" s="33">
        <v>541</v>
      </c>
      <c r="Z5035" s="33" t="s">
        <v>42968</v>
      </c>
      <c r="AA5035" s="33">
        <v>2628</v>
      </c>
    </row>
    <row r="5036" spans="1:27" ht="12" customHeight="1" x14ac:dyDescent="0.15">
      <c r="A5036" s="33" t="s">
        <v>1701</v>
      </c>
      <c r="B5036" s="33">
        <v>22</v>
      </c>
      <c r="C5036" s="33" t="s">
        <v>14</v>
      </c>
      <c r="D5036" s="33" t="s">
        <v>42</v>
      </c>
      <c r="E5036" s="33" t="str">
        <f>HYPERLINK("http://www.northjersey.com/polopoly_fs/1.1355145.1434164980!/fileImage/httpImage/image.jpg_gen/derivatives/landscape_300/hackensackshooting.jpg","http://www.northjersey.com/polopoly_fs/1.1355145.1434164980!/fileImage/httpImage/image.jpg_gen/derivatives/landscape_300/hackensackshooting.jpg")</f>
        <v>http://www.northjersey.com/polopoly_fs/1.1355145.1434164980!/fileImage/httpImage/image.jpg_gen/derivatives/landscape_300/hackensackshooting.jpg</v>
      </c>
      <c r="F5036" s="67">
        <v>42166</v>
      </c>
      <c r="G5036" s="33" t="s">
        <v>1702</v>
      </c>
      <c r="H5036" s="33" t="s">
        <v>1703</v>
      </c>
      <c r="I5036" s="33" t="s">
        <v>75</v>
      </c>
      <c r="J5036" s="33" t="s">
        <v>1704</v>
      </c>
      <c r="K5036" s="33" t="s">
        <v>1705</v>
      </c>
      <c r="L5036" s="33" t="s">
        <v>1706</v>
      </c>
      <c r="M5036" s="33" t="s">
        <v>21</v>
      </c>
      <c r="N5036" s="33" t="s">
        <v>1707</v>
      </c>
      <c r="O5036" s="33" t="s">
        <v>950</v>
      </c>
      <c r="P5036" s="33" t="s">
        <v>30089</v>
      </c>
      <c r="Q5036" s="40" t="str">
        <f>HYPERLINK("http://www.northjersey.com/news/hackensack-man-killed-in-police-involved-shooting-had-knife-officials-say-1.1354435","http://www.northjersey.com/news/hackensack-man-killed-in-police-involved-shooting-had-knife-officials-say-1.1354435")</f>
        <v>http://www.northjersey.com/news/hackensack-man-killed-in-police-involved-shooting-had-knife-officials-say-1.1354435</v>
      </c>
      <c r="R5036" s="33" t="s">
        <v>512</v>
      </c>
      <c r="S5036" s="33" t="s">
        <v>22</v>
      </c>
      <c r="T5036" s="33" t="s">
        <v>26774</v>
      </c>
      <c r="U5036" s="33" t="s">
        <v>26570</v>
      </c>
      <c r="V5036" s="33" t="s">
        <v>26573</v>
      </c>
      <c r="W5036" s="33" t="s">
        <v>94</v>
      </c>
      <c r="X5036" s="33">
        <v>545</v>
      </c>
      <c r="Z5036" s="33" t="s">
        <v>42966</v>
      </c>
      <c r="AA5036" s="33">
        <v>2631</v>
      </c>
    </row>
    <row r="5037" spans="1:27" ht="12" customHeight="1" x14ac:dyDescent="0.15">
      <c r="A5037" s="33" t="s">
        <v>1708</v>
      </c>
      <c r="B5037" s="33">
        <v>86</v>
      </c>
      <c r="C5037" s="33" t="s">
        <v>14</v>
      </c>
      <c r="D5037" s="33" t="s">
        <v>31</v>
      </c>
      <c r="F5037" s="67">
        <v>42166</v>
      </c>
      <c r="G5037" s="33" t="s">
        <v>1709</v>
      </c>
      <c r="H5037" s="33" t="s">
        <v>45</v>
      </c>
      <c r="I5037" s="33" t="s">
        <v>298</v>
      </c>
      <c r="J5037" s="33" t="s">
        <v>1710</v>
      </c>
      <c r="K5037" s="33" t="s">
        <v>1711</v>
      </c>
      <c r="L5037" s="33" t="s">
        <v>1712</v>
      </c>
      <c r="M5037" s="33" t="s">
        <v>21</v>
      </c>
      <c r="N5037" s="33" t="s">
        <v>1713</v>
      </c>
      <c r="O5037" s="33" t="s">
        <v>372</v>
      </c>
      <c r="P5037" s="33" t="s">
        <v>30089</v>
      </c>
      <c r="Q5037" s="40" t="str">
        <f>HYPERLINK("http://www.wsmv.com/story/29298752/officer-involved-fatal-shooting-reported-in-columbia","http://www.wsmv.com/story/29298752/officer-involved-fatal-shooting-reported-in-columbia")</f>
        <v>http://www.wsmv.com/story/29298752/officer-involved-fatal-shooting-reported-in-columbia</v>
      </c>
      <c r="R5037" s="33" t="s">
        <v>512</v>
      </c>
      <c r="S5037" s="33" t="s">
        <v>22</v>
      </c>
      <c r="T5037" s="33" t="s">
        <v>26781</v>
      </c>
      <c r="U5037" s="33" t="s">
        <v>26572</v>
      </c>
      <c r="V5037" s="33" t="s">
        <v>26573</v>
      </c>
      <c r="W5037" s="33" t="s">
        <v>94</v>
      </c>
      <c r="X5037" s="33">
        <v>542</v>
      </c>
      <c r="Z5037" s="33" t="s">
        <v>42968</v>
      </c>
      <c r="AA5037" s="33">
        <v>2629</v>
      </c>
    </row>
    <row r="5038" spans="1:27" ht="12" customHeight="1" x14ac:dyDescent="0.15">
      <c r="A5038" s="33" t="s">
        <v>1714</v>
      </c>
      <c r="B5038" s="33">
        <v>19</v>
      </c>
      <c r="C5038" s="33" t="s">
        <v>14</v>
      </c>
      <c r="D5038" s="33" t="s">
        <v>79</v>
      </c>
      <c r="E5038" s="33" t="str">
        <f>HYPERLINK("http://assets.dnainfo.com/generated/photo/2015/06/hampton-isaiah-13a2575-11-1433968556.jpg/extralarge.jpg","http://assets.dnainfo.com/generated/photo/2015/06/hampton-isaiah-13a2575-11-1433968556.jpg/extralarge.jpg")</f>
        <v>http://assets.dnainfo.com/generated/photo/2015/06/hampton-isaiah-13a2575-11-1433968556.jpg/extralarge.jpg</v>
      </c>
      <c r="F5038" s="67">
        <v>42165</v>
      </c>
      <c r="G5038" s="33" t="s">
        <v>1715</v>
      </c>
      <c r="H5038" s="33" t="s">
        <v>1716</v>
      </c>
      <c r="I5038" s="33" t="s">
        <v>395</v>
      </c>
      <c r="J5038" s="33" t="s">
        <v>1717</v>
      </c>
      <c r="K5038" s="33" t="s">
        <v>700</v>
      </c>
      <c r="L5038" s="33" t="s">
        <v>539</v>
      </c>
      <c r="M5038" s="33" t="s">
        <v>21</v>
      </c>
      <c r="N5038" s="33" t="s">
        <v>1718</v>
      </c>
      <c r="O5038" s="33" t="s">
        <v>372</v>
      </c>
      <c r="P5038" s="33" t="s">
        <v>30089</v>
      </c>
      <c r="Q5038" s="40" t="str">
        <f>HYPERLINK("http://www.nydailynews.com/new-york/bronx/bronx-man-shot-police-responding-domestic-dispute-article-1.2253127","http://www.nydailynews.com/new-york/bronx/bronx-man-shot-police-responding-domestic-dispute-article-1.2253127")</f>
        <v>http://www.nydailynews.com/new-york/bronx/bronx-man-shot-police-responding-domestic-dispute-article-1.2253127</v>
      </c>
      <c r="R5038" s="33" t="s">
        <v>94</v>
      </c>
      <c r="S5038" s="33" t="s">
        <v>22</v>
      </c>
      <c r="T5038" s="33" t="s">
        <v>26781</v>
      </c>
      <c r="U5038" s="33" t="s">
        <v>26572</v>
      </c>
      <c r="V5038" s="33" t="s">
        <v>26573</v>
      </c>
      <c r="W5038" s="33" t="s">
        <v>94</v>
      </c>
      <c r="X5038" s="33">
        <v>540</v>
      </c>
      <c r="Z5038" s="33" t="s">
        <v>42966</v>
      </c>
      <c r="AA5038" s="33">
        <v>2627</v>
      </c>
    </row>
    <row r="5039" spans="1:27" ht="12" customHeight="1" x14ac:dyDescent="0.15">
      <c r="A5039" s="33" t="str">
        <f>HYPERLINK("http://www.killedbypolice.net/victims/150504.jpg","QuanDavier Hicks")</f>
        <v>QuanDavier Hicks</v>
      </c>
      <c r="B5039" s="33">
        <v>22</v>
      </c>
      <c r="C5039" s="33" t="s">
        <v>14</v>
      </c>
      <c r="D5039" s="33" t="s">
        <v>79</v>
      </c>
      <c r="E5039" s="33" t="str">
        <f>HYPERLINK("http://media2.wcpo.com/photo/2015/06/10/16x9/Cincinnati_fatal_officer_involved_shooti_3047750000_19584286_ver1.0_640_480.jpg","http://media2.wcpo.com/photo/2015/06/10/16x9/Cincinnati_fatal_officer_involved_shooti_3047750000_19584286_ver1.0_640_480.jpg")</f>
        <v>http://media2.wcpo.com/photo/2015/06/10/16x9/Cincinnati_fatal_officer_involved_shooti_3047750000_19584286_ver1.0_640_480.jpg</v>
      </c>
      <c r="F5039" s="67">
        <v>42164</v>
      </c>
      <c r="G5039" s="33" t="s">
        <v>1719</v>
      </c>
      <c r="H5039" s="33" t="s">
        <v>504</v>
      </c>
      <c r="I5039" s="33" t="s">
        <v>63</v>
      </c>
      <c r="J5039" s="33" t="s">
        <v>1720</v>
      </c>
      <c r="K5039" s="33" t="s">
        <v>505</v>
      </c>
      <c r="L5039" s="33" t="s">
        <v>506</v>
      </c>
      <c r="M5039" s="33" t="s">
        <v>21</v>
      </c>
      <c r="N5039" s="33" t="s">
        <v>1721</v>
      </c>
      <c r="O5039" s="33" t="s">
        <v>950</v>
      </c>
      <c r="P5039" s="33" t="s">
        <v>30089</v>
      </c>
      <c r="Q5039" s="40" t="str">
        <f>HYPERLINK("http://www.cincinnati.com/story/news/crime/2015/06/09/officer-involved-shooting-northside/28778129/","http://www.cincinnati.com/story/news/crime/2015/06/09/officer-involved-shooting-northside/28778129/")</f>
        <v>http://www.cincinnati.com/story/news/crime/2015/06/09/officer-involved-shooting-northside/28778129/</v>
      </c>
      <c r="R5039" s="33" t="s">
        <v>23</v>
      </c>
      <c r="S5039" s="33" t="s">
        <v>22</v>
      </c>
      <c r="T5039" s="33" t="s">
        <v>26781</v>
      </c>
      <c r="U5039" s="33" t="s">
        <v>26572</v>
      </c>
      <c r="V5039" s="33" t="s">
        <v>26573</v>
      </c>
      <c r="W5039" s="33" t="s">
        <v>94</v>
      </c>
      <c r="X5039" s="33">
        <v>538</v>
      </c>
      <c r="Z5039" s="33" t="s">
        <v>42966</v>
      </c>
      <c r="AA5039" s="33">
        <v>2624</v>
      </c>
    </row>
    <row r="5040" spans="1:27" ht="12" customHeight="1" x14ac:dyDescent="0.15">
      <c r="A5040" s="33" t="s">
        <v>1722</v>
      </c>
      <c r="B5040" s="33">
        <v>25</v>
      </c>
      <c r="C5040" s="33" t="s">
        <v>14</v>
      </c>
      <c r="D5040" s="33" t="s">
        <v>79</v>
      </c>
      <c r="F5040" s="67">
        <v>42164</v>
      </c>
      <c r="G5040" s="33" t="s">
        <v>1723</v>
      </c>
      <c r="H5040" s="33" t="s">
        <v>266</v>
      </c>
      <c r="I5040" s="33" t="s">
        <v>67</v>
      </c>
      <c r="J5040" s="33" t="s">
        <v>1724</v>
      </c>
      <c r="K5040" s="33" t="s">
        <v>266</v>
      </c>
      <c r="L5040" s="33" t="s">
        <v>267</v>
      </c>
      <c r="M5040" s="33" t="s">
        <v>363</v>
      </c>
      <c r="N5040" s="33" t="s">
        <v>1725</v>
      </c>
      <c r="O5040" s="33" t="s">
        <v>1726</v>
      </c>
      <c r="P5040" s="33" t="s">
        <v>30089</v>
      </c>
      <c r="Q5040" s="40" t="str">
        <f>HYPERLINK("http://www.dallasnews.com/news/metro/20150609-man-who-died-after-police-used-stun-gun-identified.ece","http://www.dallasnews.com/news/metro/20150609-man-who-died-after-police-used-stun-gun-identified.ece")</f>
        <v>http://www.dallasnews.com/news/metro/20150609-man-who-died-after-police-used-stun-gun-identified.ece</v>
      </c>
      <c r="R5040" s="33" t="s">
        <v>94</v>
      </c>
      <c r="S5040" s="33" t="s">
        <v>12</v>
      </c>
      <c r="T5040" s="54" t="s">
        <v>29705</v>
      </c>
      <c r="Z5040" s="33" t="s">
        <v>42968</v>
      </c>
      <c r="AA5040" s="33">
        <v>2626</v>
      </c>
    </row>
    <row r="5041" spans="1:27" ht="12" customHeight="1" x14ac:dyDescent="0.15">
      <c r="A5041" s="33" t="str">
        <f>HYPERLINK("http://www.killedbypolice.net/victims/150505.jpg","Ryan Keith Bolinger")</f>
        <v>Ryan Keith Bolinger</v>
      </c>
      <c r="B5041" s="33">
        <v>28</v>
      </c>
      <c r="C5041" s="33" t="s">
        <v>14</v>
      </c>
      <c r="D5041" s="33" t="s">
        <v>31</v>
      </c>
      <c r="F5041" s="67">
        <v>42164</v>
      </c>
      <c r="G5041" s="33" t="s">
        <v>1733</v>
      </c>
      <c r="H5041" s="33" t="s">
        <v>1734</v>
      </c>
      <c r="I5041" s="33" t="s">
        <v>342</v>
      </c>
      <c r="J5041" s="33" t="s">
        <v>1735</v>
      </c>
      <c r="K5041" s="33" t="s">
        <v>1736</v>
      </c>
      <c r="L5041" s="33" t="s">
        <v>1737</v>
      </c>
      <c r="M5041" s="33" t="s">
        <v>21</v>
      </c>
      <c r="N5041" s="33" t="s">
        <v>1738</v>
      </c>
      <c r="O5041" s="33" t="s">
        <v>372</v>
      </c>
      <c r="P5041" s="33" t="s">
        <v>30089</v>
      </c>
      <c r="Q5041" s="40" t="str">
        <f>HYPERLINK("http://www.desmoinesregister.com/story/news/crime-and-courts/2015/06/10/fatal-shooting-officer-involved-merle-hay-urbandale/28779873/","http://www.desmoinesregister.com/story/news/crime-and-courts/2015/06/10/fatal-shooting-officer-involved-merle-hay-urbandale/28779873/")</f>
        <v>http://www.desmoinesregister.com/story/news/crime-and-courts/2015/06/10/fatal-shooting-officer-involved-merle-hay-urbandale/28779873/</v>
      </c>
      <c r="R5041" s="33" t="s">
        <v>94</v>
      </c>
      <c r="S5041" s="33" t="s">
        <v>12</v>
      </c>
      <c r="T5041" s="33" t="s">
        <v>29705</v>
      </c>
      <c r="U5041" s="33" t="s">
        <v>26570</v>
      </c>
      <c r="V5041" s="33" t="s">
        <v>26571</v>
      </c>
      <c r="W5041" s="33" t="s">
        <v>94</v>
      </c>
      <c r="X5041" s="33">
        <v>539</v>
      </c>
      <c r="Z5041" s="33" t="s">
        <v>42968</v>
      </c>
      <c r="AA5041" s="33">
        <v>2625</v>
      </c>
    </row>
    <row r="5042" spans="1:27" ht="12" customHeight="1" x14ac:dyDescent="0.15">
      <c r="A5042" s="33" t="s">
        <v>1727</v>
      </c>
      <c r="B5042" s="33">
        <v>45</v>
      </c>
      <c r="C5042" s="33" t="s">
        <v>14</v>
      </c>
      <c r="D5042" s="33" t="s">
        <v>31</v>
      </c>
      <c r="E5042" s="33" t="s">
        <v>18399</v>
      </c>
      <c r="F5042" s="67">
        <v>42164</v>
      </c>
      <c r="G5042" s="33" t="s">
        <v>1728</v>
      </c>
      <c r="H5042" s="33" t="s">
        <v>1729</v>
      </c>
      <c r="I5042" s="33" t="s">
        <v>67</v>
      </c>
      <c r="J5042" s="33" t="s">
        <v>1730</v>
      </c>
      <c r="K5042" s="33" t="s">
        <v>515</v>
      </c>
      <c r="L5042" s="33" t="s">
        <v>1731</v>
      </c>
      <c r="M5042" s="33" t="s">
        <v>21</v>
      </c>
      <c r="N5042" s="33" t="s">
        <v>1732</v>
      </c>
      <c r="O5042" s="33" t="s">
        <v>950</v>
      </c>
      <c r="P5042" s="33" t="s">
        <v>30089</v>
      </c>
      <c r="Q5042" s="40" t="str">
        <f>HYPERLINK("http://www.yourhoustonnews.com/courier/news/one-dead-after-officer-involved-shooting/article_1cfb859f-d481-5895-abe3-9f10b2b50423.html","http://www.yourhoustonnews.com/courier/news/one-dead-after-officer-involved-shooting/article_1cfb859f-d481-5895-abe3-9f10b2b50423.html")</f>
        <v>http://www.yourhoustonnews.com/courier/news/one-dead-after-officer-involved-shooting/article_1cfb859f-d481-5895-abe3-9f10b2b50423.html</v>
      </c>
      <c r="R5042" s="33" t="s">
        <v>94</v>
      </c>
      <c r="S5042" s="33" t="s">
        <v>22</v>
      </c>
      <c r="T5042" s="33" t="s">
        <v>26781</v>
      </c>
      <c r="U5042" s="33" t="s">
        <v>26572</v>
      </c>
      <c r="V5042" s="33" t="s">
        <v>26571</v>
      </c>
      <c r="W5042" s="33" t="s">
        <v>94</v>
      </c>
      <c r="X5042" s="33">
        <v>535</v>
      </c>
      <c r="Z5042" s="33" t="s">
        <v>42968</v>
      </c>
      <c r="AA5042" s="33">
        <v>2623</v>
      </c>
    </row>
    <row r="5043" spans="1:27" ht="12" customHeight="1" x14ac:dyDescent="0.15">
      <c r="A5043" s="33" t="str">
        <f>HYPERLINK("http://www.killedbypolice.net/victims/150501.jpg","Jeremy John Linhart")</f>
        <v>Jeremy John Linhart</v>
      </c>
      <c r="B5043" s="33">
        <v>30</v>
      </c>
      <c r="C5043" s="33" t="s">
        <v>14</v>
      </c>
      <c r="D5043" s="33" t="s">
        <v>31</v>
      </c>
      <c r="F5043" s="67">
        <v>42164</v>
      </c>
      <c r="G5043" s="33" t="s">
        <v>1739</v>
      </c>
      <c r="H5043" s="33" t="s">
        <v>1740</v>
      </c>
      <c r="I5043" s="33" t="s">
        <v>63</v>
      </c>
      <c r="J5043" s="33" t="s">
        <v>1741</v>
      </c>
      <c r="K5043" s="33" t="s">
        <v>1742</v>
      </c>
      <c r="L5043" s="33" t="s">
        <v>1743</v>
      </c>
      <c r="M5043" s="33" t="s">
        <v>21</v>
      </c>
      <c r="N5043" s="33" t="s">
        <v>1744</v>
      </c>
      <c r="O5043" s="33" t="s">
        <v>372</v>
      </c>
      <c r="P5043" s="33" t="s">
        <v>30089</v>
      </c>
      <c r="Q5043" s="40" t="str">
        <f>HYPERLINK("https://www.toledoblade.com/Police-Fire/2015/06/09/Findlay-officer-involved-in-shooting.html","https://www.toledoblade.com/Police-Fire/2015/06/09/Findlay-officer-involved-in-shooting.html")</f>
        <v>https://www.toledoblade.com/Police-Fire/2015/06/09/Findlay-officer-involved-in-shooting.html</v>
      </c>
      <c r="R5043" s="33" t="s">
        <v>94</v>
      </c>
      <c r="S5043" s="33" t="s">
        <v>22</v>
      </c>
      <c r="T5043" s="33" t="s">
        <v>26781</v>
      </c>
      <c r="U5043" s="33" t="s">
        <v>26572</v>
      </c>
      <c r="V5043" s="33" t="s">
        <v>26573</v>
      </c>
      <c r="W5043" s="33" t="s">
        <v>94</v>
      </c>
      <c r="X5043" s="33">
        <v>525</v>
      </c>
      <c r="Z5043" s="33" t="s">
        <v>42968</v>
      </c>
      <c r="AA5043" s="33">
        <v>2622</v>
      </c>
    </row>
    <row r="5044" spans="1:27" ht="12" customHeight="1" x14ac:dyDescent="0.15">
      <c r="A5044" s="33" t="s">
        <v>1761</v>
      </c>
      <c r="B5044" s="33">
        <v>69</v>
      </c>
      <c r="C5044" s="33" t="s">
        <v>14</v>
      </c>
      <c r="D5044" s="33" t="s">
        <v>31</v>
      </c>
      <c r="F5044" s="67">
        <v>42163</v>
      </c>
      <c r="G5044" s="33" t="s">
        <v>1762</v>
      </c>
      <c r="H5044" s="33" t="s">
        <v>1763</v>
      </c>
      <c r="I5044" s="33" t="s">
        <v>112</v>
      </c>
      <c r="J5044" s="33" t="s">
        <v>1764</v>
      </c>
      <c r="K5044" s="33" t="s">
        <v>585</v>
      </c>
      <c r="L5044" s="33" t="s">
        <v>1765</v>
      </c>
      <c r="M5044" s="33" t="s">
        <v>21</v>
      </c>
      <c r="N5044" s="33" t="s">
        <v>1766</v>
      </c>
      <c r="O5044" s="33" t="s">
        <v>950</v>
      </c>
      <c r="P5044" s="33" t="s">
        <v>30089</v>
      </c>
      <c r="Q5044" s="40" t="str">
        <f>HYPERLINK("http://www.azfamily.com/story/29270558/deputy-involved-shooting-in-sun-city","http://www.azfamily.com/story/29270558/deputy-involved-shooting-in-sun-city")</f>
        <v>http://www.azfamily.com/story/29270558/deputy-involved-shooting-in-sun-city</v>
      </c>
      <c r="R5044" s="33" t="s">
        <v>512</v>
      </c>
      <c r="S5044" s="33" t="s">
        <v>22</v>
      </c>
      <c r="T5044" s="33" t="s">
        <v>26781</v>
      </c>
      <c r="U5044" s="33" t="s">
        <v>26572</v>
      </c>
      <c r="V5044" s="33" t="s">
        <v>26573</v>
      </c>
      <c r="W5044" s="33" t="s">
        <v>94</v>
      </c>
      <c r="X5044" s="33">
        <v>526</v>
      </c>
      <c r="Z5044" s="33" t="s">
        <v>42968</v>
      </c>
      <c r="AA5044" s="33">
        <v>2619</v>
      </c>
    </row>
    <row r="5045" spans="1:27" ht="12" customHeight="1" x14ac:dyDescent="0.15">
      <c r="A5045" s="33" t="s">
        <v>1755</v>
      </c>
      <c r="B5045" s="33">
        <v>54</v>
      </c>
      <c r="C5045" s="33" t="s">
        <v>14</v>
      </c>
      <c r="D5045" s="33" t="s">
        <v>31</v>
      </c>
      <c r="F5045" s="67">
        <v>42163</v>
      </c>
      <c r="G5045" s="33" t="s">
        <v>1756</v>
      </c>
      <c r="H5045" s="33" t="s">
        <v>1757</v>
      </c>
      <c r="I5045" s="33" t="s">
        <v>198</v>
      </c>
      <c r="J5045" s="33" t="s">
        <v>1758</v>
      </c>
      <c r="K5045" s="33" t="s">
        <v>392</v>
      </c>
      <c r="L5045" s="33" t="s">
        <v>1759</v>
      </c>
      <c r="M5045" s="33" t="s">
        <v>21</v>
      </c>
      <c r="N5045" s="33" t="s">
        <v>1760</v>
      </c>
      <c r="O5045" s="33" t="s">
        <v>372</v>
      </c>
      <c r="P5045" s="33" t="s">
        <v>30089</v>
      </c>
      <c r="Q5045" s="40" t="str">
        <f>HYPERLINK("http://www.indystar.com/story/news/crime/2015/06/08/police-shooting-suspect-dead-beech-grove/28700455/","http://www.indystar.com/story/news/crime/2015/06/08/police-shooting-suspect-dead-beech-grove/28700455/")</f>
        <v>http://www.indystar.com/story/news/crime/2015/06/08/police-shooting-suspect-dead-beech-grove/28700455/</v>
      </c>
      <c r="R5045" s="33" t="s">
        <v>512</v>
      </c>
      <c r="S5045" s="33" t="s">
        <v>22</v>
      </c>
      <c r="T5045" s="33" t="s">
        <v>26781</v>
      </c>
      <c r="U5045" s="33" t="s">
        <v>26572</v>
      </c>
      <c r="V5045" s="33" t="s">
        <v>26573</v>
      </c>
      <c r="W5045" s="33" t="s">
        <v>94</v>
      </c>
      <c r="X5045" s="33">
        <v>523</v>
      </c>
      <c r="Z5045" s="33" t="s">
        <v>42968</v>
      </c>
      <c r="AA5045" s="33">
        <v>2618</v>
      </c>
    </row>
    <row r="5046" spans="1:27" ht="12" customHeight="1" x14ac:dyDescent="0.15">
      <c r="A5046" s="33" t="str">
        <f>HYPERLINK("http://www.killedbypolice.net/victims/150499.jpg","Mario Ocasio")</f>
        <v>Mario Ocasio</v>
      </c>
      <c r="B5046" s="33">
        <v>51</v>
      </c>
      <c r="C5046" s="33" t="s">
        <v>14</v>
      </c>
      <c r="D5046" s="33" t="s">
        <v>42</v>
      </c>
      <c r="F5046" s="67">
        <v>42163</v>
      </c>
      <c r="G5046" s="33" t="s">
        <v>1767</v>
      </c>
      <c r="H5046" s="33" t="s">
        <v>700</v>
      </c>
      <c r="I5046" s="33" t="s">
        <v>395</v>
      </c>
      <c r="J5046" s="33" t="s">
        <v>1768</v>
      </c>
      <c r="K5046" s="33" t="s">
        <v>1716</v>
      </c>
      <c r="L5046" s="33" t="s">
        <v>539</v>
      </c>
      <c r="M5046" s="33" t="s">
        <v>363</v>
      </c>
      <c r="N5046" s="33" t="s">
        <v>1769</v>
      </c>
      <c r="O5046" s="33" t="s">
        <v>372</v>
      </c>
      <c r="P5046" s="33" t="s">
        <v>30089</v>
      </c>
      <c r="Q5046" s="40" t="str">
        <f>HYPERLINK("http://www.nydailynews.com/new-york/bronx/bronx-man-shocked-taser-cops-dies-sources-article-1.2250703","http://www.nydailynews.com/new-york/bronx/bronx-man-shocked-taser-cops-dies-sources-article-1.2250703")</f>
        <v>http://www.nydailynews.com/new-york/bronx/bronx-man-shocked-taser-cops-dies-sources-article-1.2250703</v>
      </c>
      <c r="R5046" s="33" t="s">
        <v>904</v>
      </c>
      <c r="S5046" s="1" t="s">
        <v>29</v>
      </c>
      <c r="T5046" s="33" t="s">
        <v>29867</v>
      </c>
      <c r="Z5046" s="33" t="s">
        <v>42966</v>
      </c>
      <c r="AA5046" s="33">
        <v>2621</v>
      </c>
    </row>
    <row r="5047" spans="1:27" ht="12" customHeight="1" x14ac:dyDescent="0.15">
      <c r="A5047" s="33" t="str">
        <f>HYPERLINK("http://www.killedbypolice.net/victims/150498.jpg","Rene Garcia")</f>
        <v>Rene Garcia</v>
      </c>
      <c r="B5047" s="33">
        <v>30</v>
      </c>
      <c r="C5047" s="33" t="s">
        <v>14</v>
      </c>
      <c r="D5047" s="33" t="s">
        <v>42</v>
      </c>
      <c r="F5047" s="67">
        <v>42163</v>
      </c>
      <c r="G5047" s="33" t="s">
        <v>1750</v>
      </c>
      <c r="H5047" s="33" t="s">
        <v>1751</v>
      </c>
      <c r="I5047" s="33" t="s">
        <v>39</v>
      </c>
      <c r="J5047" s="33" t="s">
        <v>1752</v>
      </c>
      <c r="K5047" s="33" t="s">
        <v>998</v>
      </c>
      <c r="L5047" s="33" t="s">
        <v>1753</v>
      </c>
      <c r="M5047" s="33" t="s">
        <v>21</v>
      </c>
      <c r="N5047" s="33" t="s">
        <v>1754</v>
      </c>
      <c r="O5047" s="33" t="s">
        <v>372</v>
      </c>
      <c r="P5047" s="33" t="s">
        <v>30089</v>
      </c>
      <c r="Q5047" s="40" t="str">
        <f>HYPERLINK("http://www.ocregister.com/articles/shooting-665164-personnel-dispatchers.html","http://www.ocregister.com/articles/shooting-665164-personnel-dispatchers.html")</f>
        <v>http://www.ocregister.com/articles/shooting-665164-personnel-dispatchers.html</v>
      </c>
      <c r="R5047" s="33" t="s">
        <v>512</v>
      </c>
      <c r="S5047" s="33" t="s">
        <v>22</v>
      </c>
      <c r="T5047" s="33" t="s">
        <v>26774</v>
      </c>
      <c r="U5047" s="33" t="s">
        <v>26570</v>
      </c>
      <c r="V5047" s="33" t="s">
        <v>26573</v>
      </c>
      <c r="W5047" s="33" t="s">
        <v>512</v>
      </c>
      <c r="X5047" s="33">
        <v>524</v>
      </c>
      <c r="Z5047" s="33" t="s">
        <v>42966</v>
      </c>
      <c r="AA5047" s="33">
        <v>2620</v>
      </c>
    </row>
    <row r="5048" spans="1:27" ht="12" customHeight="1" x14ac:dyDescent="0.15">
      <c r="A5048" s="33" t="s">
        <v>1777</v>
      </c>
      <c r="B5048" s="33">
        <v>58</v>
      </c>
      <c r="C5048" s="33" t="s">
        <v>14</v>
      </c>
      <c r="D5048" s="33" t="s">
        <v>31</v>
      </c>
      <c r="F5048" s="67">
        <v>42162</v>
      </c>
      <c r="G5048" s="33" t="s">
        <v>1778</v>
      </c>
      <c r="H5048" s="33" t="s">
        <v>1779</v>
      </c>
      <c r="I5048" s="33" t="s">
        <v>282</v>
      </c>
      <c r="J5048" s="33">
        <v>98674</v>
      </c>
      <c r="K5048" s="33" t="s">
        <v>1780</v>
      </c>
      <c r="L5048" s="33" t="s">
        <v>1781</v>
      </c>
      <c r="M5048" s="33" t="s">
        <v>21</v>
      </c>
      <c r="N5048" s="33" t="s">
        <v>1782</v>
      </c>
      <c r="O5048" s="33" t="s">
        <v>372</v>
      </c>
      <c r="P5048" s="33" t="s">
        <v>30089</v>
      </c>
      <c r="Q5048" s="40" t="str">
        <f>HYPERLINK("http://www.komonews.com/news/local/Police-officer-in-Woodland-shoots-kills-58-year-old-man-306422811.html","http://www.komonews.com/news/local/Police-officer-in-Woodland-shoots-kills-58-year-old-man-306422811.html")</f>
        <v>http://www.komonews.com/news/local/Police-officer-in-Woodland-shoots-kills-58-year-old-man-306422811.html</v>
      </c>
      <c r="R5048" s="33" t="s">
        <v>512</v>
      </c>
      <c r="S5048" s="33" t="s">
        <v>22</v>
      </c>
      <c r="T5048" s="33" t="s">
        <v>26781</v>
      </c>
      <c r="U5048" s="33" t="s">
        <v>26572</v>
      </c>
      <c r="V5048" s="33" t="s">
        <v>26573</v>
      </c>
      <c r="W5048" s="33" t="s">
        <v>94</v>
      </c>
      <c r="X5048" s="33">
        <v>517</v>
      </c>
      <c r="Z5048" s="33" t="s">
        <v>42967</v>
      </c>
      <c r="AA5048" s="33">
        <v>2617</v>
      </c>
    </row>
    <row r="5049" spans="1:27" ht="12" customHeight="1" x14ac:dyDescent="0.15">
      <c r="A5049" s="33" t="str">
        <f>HYPERLINK("http://www.killedbypolice.net/victims/150496.jpg","Matthew Wayne McDaniel")</f>
        <v>Matthew Wayne McDaniel</v>
      </c>
      <c r="B5049" s="33">
        <v>36</v>
      </c>
      <c r="C5049" s="33" t="s">
        <v>14</v>
      </c>
      <c r="D5049" s="33" t="s">
        <v>15</v>
      </c>
      <c r="F5049" s="67">
        <v>42162</v>
      </c>
      <c r="G5049" s="33" t="s">
        <v>1745</v>
      </c>
      <c r="H5049" s="33" t="s">
        <v>1746</v>
      </c>
      <c r="I5049" s="33" t="s">
        <v>56</v>
      </c>
      <c r="J5049" s="33" t="s">
        <v>1747</v>
      </c>
      <c r="K5049" s="33" t="s">
        <v>1654</v>
      </c>
      <c r="L5049" s="33" t="s">
        <v>1748</v>
      </c>
      <c r="M5049" s="33" t="s">
        <v>21</v>
      </c>
      <c r="N5049" s="33" t="s">
        <v>1749</v>
      </c>
      <c r="O5049" s="33" t="s">
        <v>950</v>
      </c>
      <c r="P5049" s="33" t="s">
        <v>30089</v>
      </c>
      <c r="Q5049" s="40" t="str">
        <f>HYPERLINK("http://www.wftv.com/news/news/local/police-person-interest-killed-melbourne-officer-in/nmX7b/","http://www.wftv.com/news/news/local/police-person-interest-killed-melbourne-officer-in/nmX7b/")</f>
        <v>http://www.wftv.com/news/news/local/police-person-interest-killed-melbourne-officer-in/nmX7b/</v>
      </c>
      <c r="R5049" s="33" t="s">
        <v>23</v>
      </c>
      <c r="S5049" s="33" t="s">
        <v>22</v>
      </c>
      <c r="T5049" s="33" t="s">
        <v>26781</v>
      </c>
      <c r="U5049" s="33" t="s">
        <v>26572</v>
      </c>
      <c r="V5049" s="33" t="s">
        <v>26573</v>
      </c>
      <c r="W5049" s="33" t="s">
        <v>94</v>
      </c>
      <c r="X5049" s="33">
        <v>514</v>
      </c>
      <c r="Z5049" s="33" t="s">
        <v>42966</v>
      </c>
      <c r="AA5049" s="33">
        <v>2616</v>
      </c>
    </row>
    <row r="5050" spans="1:27" ht="12" customHeight="1" x14ac:dyDescent="0.15">
      <c r="A5050" s="33" t="str">
        <f>HYPERLINK("http://www.killedbypolice.net/victims/150489.jpg","Damien James Ramirez")</f>
        <v>Damien James Ramirez</v>
      </c>
      <c r="B5050" s="33">
        <v>27</v>
      </c>
      <c r="C5050" s="33" t="s">
        <v>14</v>
      </c>
      <c r="D5050" s="33" t="s">
        <v>42</v>
      </c>
      <c r="F5050" s="67">
        <v>42161</v>
      </c>
      <c r="G5050" s="33" t="s">
        <v>1787</v>
      </c>
      <c r="H5050" s="33" t="s">
        <v>1788</v>
      </c>
      <c r="I5050" s="33" t="s">
        <v>192</v>
      </c>
      <c r="J5050" s="33" t="s">
        <v>1789</v>
      </c>
      <c r="K5050" s="33" t="s">
        <v>1790</v>
      </c>
      <c r="L5050" s="33" t="s">
        <v>1791</v>
      </c>
      <c r="M5050" s="33" t="s">
        <v>21</v>
      </c>
      <c r="N5050" s="33" t="s">
        <v>1792</v>
      </c>
      <c r="O5050" s="33" t="s">
        <v>950</v>
      </c>
      <c r="P5050" s="33" t="s">
        <v>30089</v>
      </c>
      <c r="Q5050" s="40" t="str">
        <f>HYPERLINK("http://www.denverpost.com/news/ci_28264788/man-was-fatally-shot-following-high-speed-chase","http://www.denverpost.com/news/ci_28264788/man-was-fatally-shot-following-high-speed-chase")</f>
        <v>http://www.denverpost.com/news/ci_28264788/man-was-fatally-shot-following-high-speed-chase</v>
      </c>
      <c r="R5050" s="33" t="s">
        <v>94</v>
      </c>
      <c r="S5050" s="33" t="s">
        <v>22</v>
      </c>
      <c r="T5050" s="33" t="s">
        <v>26781</v>
      </c>
      <c r="U5050" s="33" t="s">
        <v>26572</v>
      </c>
      <c r="V5050" s="33" t="s">
        <v>26571</v>
      </c>
      <c r="W5050" s="33" t="s">
        <v>94</v>
      </c>
      <c r="X5050" s="33">
        <v>522</v>
      </c>
      <c r="Z5050" s="33" t="s">
        <v>42967</v>
      </c>
      <c r="AA5050" s="33">
        <v>2614</v>
      </c>
    </row>
    <row r="5051" spans="1:27" ht="12" customHeight="1" x14ac:dyDescent="0.15">
      <c r="A5051" s="33" t="str">
        <f>HYPERLINK("http://www.killedbypolice.net/victims/150491.jpg","Alejandro Campos Fernandez")</f>
        <v>Alejandro Campos Fernandez</v>
      </c>
      <c r="B5051" s="33">
        <v>45</v>
      </c>
      <c r="C5051" s="33" t="s">
        <v>14</v>
      </c>
      <c r="D5051" s="33" t="s">
        <v>42</v>
      </c>
      <c r="F5051" s="67">
        <v>42161</v>
      </c>
      <c r="G5051" s="33" t="s">
        <v>1793</v>
      </c>
      <c r="H5051" s="33" t="s">
        <v>1794</v>
      </c>
      <c r="I5051" s="33" t="s">
        <v>39</v>
      </c>
      <c r="J5051" s="33" t="s">
        <v>1795</v>
      </c>
      <c r="K5051" s="33" t="s">
        <v>1270</v>
      </c>
      <c r="L5051" s="33" t="s">
        <v>1796</v>
      </c>
      <c r="M5051" s="33" t="s">
        <v>21</v>
      </c>
      <c r="N5051" s="33" t="s">
        <v>1797</v>
      </c>
      <c r="O5051" s="33" t="s">
        <v>950</v>
      </c>
      <c r="P5051" s="33" t="s">
        <v>30089</v>
      </c>
      <c r="Q5051" s="40" t="str">
        <f>HYPERLINK("http://www.kionrightnow.com/news/local-news/officer-involvedshooting-in-watsonville-saturday-night-police-said/33444158","http://www.kionrightnow.com/news/local-news/officer-involvedshooting-in-watsonville-saturday-night-police-said/33444158")</f>
        <v>http://www.kionrightnow.com/news/local-news/officer-involvedshooting-in-watsonville-saturday-night-police-said/33444158</v>
      </c>
      <c r="R5051" s="33" t="s">
        <v>94</v>
      </c>
      <c r="S5051" s="33" t="s">
        <v>22</v>
      </c>
      <c r="T5051" s="33" t="s">
        <v>26781</v>
      </c>
      <c r="U5051" s="33" t="s">
        <v>26572</v>
      </c>
      <c r="V5051" s="33" t="s">
        <v>26574</v>
      </c>
      <c r="W5051" s="33" t="s">
        <v>94</v>
      </c>
      <c r="X5051" s="33">
        <v>518</v>
      </c>
      <c r="Z5051" s="33" t="s">
        <v>42968</v>
      </c>
      <c r="AA5051" s="33">
        <v>2613</v>
      </c>
    </row>
    <row r="5052" spans="1:27" ht="12" customHeight="1" x14ac:dyDescent="0.15">
      <c r="A5052" s="33" t="str">
        <f>HYPERLINK("http://www.killedbypolice.net/victims/150490.jpg","Demouria Hogg")</f>
        <v>Demouria Hogg</v>
      </c>
      <c r="B5052" s="33">
        <v>30</v>
      </c>
      <c r="C5052" s="33" t="s">
        <v>14</v>
      </c>
      <c r="D5052" s="33" t="s">
        <v>79</v>
      </c>
      <c r="F5052" s="67">
        <v>42161</v>
      </c>
      <c r="G5052" s="33" t="s">
        <v>1783</v>
      </c>
      <c r="H5052" s="33" t="s">
        <v>557</v>
      </c>
      <c r="I5052" s="33" t="s">
        <v>39</v>
      </c>
      <c r="J5052" s="33" t="s">
        <v>1784</v>
      </c>
      <c r="K5052" s="33" t="s">
        <v>558</v>
      </c>
      <c r="L5052" s="33" t="s">
        <v>559</v>
      </c>
      <c r="M5052" s="33" t="s">
        <v>4966</v>
      </c>
      <c r="N5052" s="33" t="s">
        <v>1785</v>
      </c>
      <c r="O5052" s="33" t="s">
        <v>950</v>
      </c>
      <c r="P5052" s="33" t="s">
        <v>30089</v>
      </c>
      <c r="Q5052" s="40" t="str">
        <f>HYPERLINK("http://www.sfgate.com/crime/article/Oakland-police-shoot-suspect-near-Lake-Merritt-6311221.php","http://www.sfgate.com/crime/article/Oakland-police-shoot-suspect-near-Lake-Merritt-6311221.php")</f>
        <v>http://www.sfgate.com/crime/article/Oakland-police-shoot-suspect-near-Lake-Merritt-6311221.php</v>
      </c>
      <c r="R5052" s="33" t="s">
        <v>94</v>
      </c>
      <c r="S5052" s="33" t="s">
        <v>22</v>
      </c>
      <c r="T5052" s="33" t="s">
        <v>26781</v>
      </c>
      <c r="U5052" s="33" t="s">
        <v>26572</v>
      </c>
      <c r="V5052" s="33" t="s">
        <v>26573</v>
      </c>
      <c r="W5052" s="33" t="s">
        <v>512</v>
      </c>
      <c r="X5052" s="33">
        <v>515</v>
      </c>
      <c r="Z5052" s="33" t="s">
        <v>42966</v>
      </c>
      <c r="AA5052" s="33">
        <v>2615</v>
      </c>
    </row>
    <row r="5053" spans="1:27" ht="12" customHeight="1" x14ac:dyDescent="0.15">
      <c r="A5053" s="33" t="s">
        <v>1805</v>
      </c>
      <c r="B5053" s="33">
        <v>42</v>
      </c>
      <c r="C5053" s="33" t="s">
        <v>14</v>
      </c>
      <c r="D5053" s="33" t="s">
        <v>31</v>
      </c>
      <c r="F5053" s="67">
        <v>42161</v>
      </c>
      <c r="G5053" s="33" t="s">
        <v>1806</v>
      </c>
      <c r="H5053" s="33" t="s">
        <v>1807</v>
      </c>
      <c r="I5053" s="33" t="s">
        <v>67</v>
      </c>
      <c r="J5053" s="33" t="s">
        <v>1808</v>
      </c>
      <c r="K5053" s="33" t="s">
        <v>1807</v>
      </c>
      <c r="L5053" s="33" t="s">
        <v>1809</v>
      </c>
      <c r="M5053" s="33" t="s">
        <v>21</v>
      </c>
      <c r="N5053" s="33" t="s">
        <v>1810</v>
      </c>
      <c r="O5053" s="33" t="s">
        <v>507</v>
      </c>
      <c r="P5053" s="33" t="s">
        <v>30089</v>
      </c>
      <c r="Q5053" s="40" t="str">
        <f>HYPERLINK("http://www.wboy.com/story/29256189/monongalia-county-deputies-shoot-suspect-after-vehicle-pursuit","http://www.wboy.com/story/29256189/monongalia-county-deputies-shoot-suspect-after-vehicle-pursuit")</f>
        <v>http://www.wboy.com/story/29256189/monongalia-county-deputies-shoot-suspect-after-vehicle-pursuit</v>
      </c>
      <c r="R5053" s="33" t="s">
        <v>512</v>
      </c>
      <c r="S5053" s="33" t="s">
        <v>22</v>
      </c>
      <c r="T5053" s="33" t="s">
        <v>26612</v>
      </c>
      <c r="U5053" s="33" t="s">
        <v>26570</v>
      </c>
      <c r="V5053" s="33" t="s">
        <v>26573</v>
      </c>
      <c r="W5053" s="33" t="s">
        <v>94</v>
      </c>
      <c r="X5053" s="33">
        <v>519</v>
      </c>
      <c r="Z5053" s="33" t="s">
        <v>42968</v>
      </c>
      <c r="AA5053" s="33">
        <v>2611</v>
      </c>
    </row>
    <row r="5054" spans="1:27" ht="12" customHeight="1" x14ac:dyDescent="0.15">
      <c r="A5054" s="33" t="s">
        <v>1770</v>
      </c>
      <c r="B5054" s="33">
        <v>53</v>
      </c>
      <c r="C5054" s="33" t="s">
        <v>14</v>
      </c>
      <c r="D5054" s="33" t="s">
        <v>31</v>
      </c>
      <c r="E5054" s="33" t="s">
        <v>18402</v>
      </c>
      <c r="F5054" s="67">
        <v>42161</v>
      </c>
      <c r="G5054" s="33" t="s">
        <v>1771</v>
      </c>
      <c r="H5054" s="33" t="s">
        <v>1772</v>
      </c>
      <c r="I5054" s="33" t="s">
        <v>56</v>
      </c>
      <c r="J5054" s="33" t="s">
        <v>1773</v>
      </c>
      <c r="K5054" s="33" t="s">
        <v>1774</v>
      </c>
      <c r="L5054" s="33" t="s">
        <v>1775</v>
      </c>
      <c r="M5054" s="33" t="s">
        <v>21</v>
      </c>
      <c r="N5054" s="33" t="s">
        <v>1776</v>
      </c>
      <c r="O5054" s="33" t="s">
        <v>372</v>
      </c>
      <c r="P5054" s="33" t="s">
        <v>30089</v>
      </c>
      <c r="Q5054" s="40" t="str">
        <f>HYPERLINK("http://www.wfla.com/story/29258795/suspect-dead-after-deputy-involved-shooting-in-sarasota","http://www.wfla.com/story/29258795/suspect-dead-after-deputy-involved-shooting-in-sarasota")</f>
        <v>http://www.wfla.com/story/29258795/suspect-dead-after-deputy-involved-shooting-in-sarasota</v>
      </c>
      <c r="R5054" s="33" t="s">
        <v>904</v>
      </c>
      <c r="S5054" s="33" t="s">
        <v>22</v>
      </c>
      <c r="T5054" s="33" t="s">
        <v>26781</v>
      </c>
      <c r="U5054" s="33" t="s">
        <v>26572</v>
      </c>
      <c r="V5054" s="33" t="s">
        <v>26573</v>
      </c>
      <c r="W5054" s="33" t="s">
        <v>94</v>
      </c>
      <c r="X5054" s="33">
        <v>516</v>
      </c>
      <c r="Z5054" s="33" t="s">
        <v>42968</v>
      </c>
      <c r="AA5054" s="33">
        <v>2612</v>
      </c>
    </row>
    <row r="5055" spans="1:27" ht="12" customHeight="1" x14ac:dyDescent="0.15">
      <c r="A5055" s="33" t="s">
        <v>1815</v>
      </c>
      <c r="B5055" s="33">
        <v>50</v>
      </c>
      <c r="C5055" s="33" t="s">
        <v>14</v>
      </c>
      <c r="D5055" s="33" t="s">
        <v>42</v>
      </c>
      <c r="F5055" s="67">
        <v>42160</v>
      </c>
      <c r="G5055" s="33" t="s">
        <v>1816</v>
      </c>
      <c r="H5055" s="33" t="s">
        <v>1817</v>
      </c>
      <c r="I5055" s="33" t="s">
        <v>39</v>
      </c>
      <c r="J5055" s="33" t="s">
        <v>1818</v>
      </c>
      <c r="K5055" s="33" t="s">
        <v>1819</v>
      </c>
      <c r="L5055" s="33" t="s">
        <v>1820</v>
      </c>
      <c r="M5055" s="33" t="s">
        <v>21</v>
      </c>
      <c r="N5055" s="33" t="s">
        <v>1821</v>
      </c>
      <c r="O5055" s="33" t="s">
        <v>372</v>
      </c>
      <c r="P5055" s="33" t="s">
        <v>30089</v>
      </c>
      <c r="Q5055" s="40" t="str">
        <f>HYPERLINK("http://www.keyt.com/news/officer-involved-shooting-in-santa-maria-following-domestic-abuse-call/33434948","http://www.keyt.com/news/officer-involved-shooting-in-santa-maria-following-domestic-abuse-call/33434948")</f>
        <v>http://www.keyt.com/news/officer-involved-shooting-in-santa-maria-following-domestic-abuse-call/33434948</v>
      </c>
      <c r="R5055" s="33" t="s">
        <v>94</v>
      </c>
      <c r="S5055" s="33" t="s">
        <v>22</v>
      </c>
      <c r="T5055" s="33" t="s">
        <v>26781</v>
      </c>
      <c r="U5055" s="33" t="s">
        <v>26572</v>
      </c>
      <c r="V5055" s="33" t="s">
        <v>26573</v>
      </c>
      <c r="W5055" s="33" t="s">
        <v>94</v>
      </c>
      <c r="X5055" s="33">
        <v>520</v>
      </c>
      <c r="Z5055" s="33" t="s">
        <v>42968</v>
      </c>
      <c r="AA5055" s="33">
        <v>2609</v>
      </c>
    </row>
    <row r="5056" spans="1:27" ht="12" customHeight="1" x14ac:dyDescent="0.15">
      <c r="A5056" s="33" t="s">
        <v>1798</v>
      </c>
      <c r="B5056" s="33">
        <v>45</v>
      </c>
      <c r="C5056" s="33" t="s">
        <v>103</v>
      </c>
      <c r="D5056" s="33" t="s">
        <v>31</v>
      </c>
      <c r="F5056" s="67">
        <v>42160</v>
      </c>
      <c r="G5056" s="33" t="s">
        <v>1799</v>
      </c>
      <c r="H5056" s="33" t="s">
        <v>1800</v>
      </c>
      <c r="I5056" s="33" t="s">
        <v>139</v>
      </c>
      <c r="J5056" s="33" t="s">
        <v>1801</v>
      </c>
      <c r="K5056" s="33" t="s">
        <v>1802</v>
      </c>
      <c r="L5056" s="33" t="s">
        <v>1803</v>
      </c>
      <c r="M5056" s="33" t="s">
        <v>21</v>
      </c>
      <c r="N5056" s="33" t="s">
        <v>1804</v>
      </c>
      <c r="O5056" s="33" t="s">
        <v>950</v>
      </c>
      <c r="P5056" s="33" t="s">
        <v>30089</v>
      </c>
      <c r="Q5056" s="40" t="str">
        <f>HYPERLINK("http://www.mrt.com/news/crime/article_eccc8aa0-0ccd-11e5-92a5-e30a35ff1af1.html","http://www.mrt.com/news/crime/article_eccc8aa0-0ccd-11e5-92a5-e30a35ff1af1.html")</f>
        <v>http://www.mrt.com/news/crime/article_eccc8aa0-0ccd-11e5-92a5-e30a35ff1af1.html</v>
      </c>
      <c r="R5056" s="33" t="s">
        <v>94</v>
      </c>
      <c r="S5056" s="33" t="s">
        <v>351</v>
      </c>
      <c r="T5056" s="33" t="s">
        <v>26867</v>
      </c>
      <c r="U5056" s="33" t="s">
        <v>26570</v>
      </c>
      <c r="V5056" s="33" t="s">
        <v>26571</v>
      </c>
      <c r="W5056" s="33" t="s">
        <v>94</v>
      </c>
      <c r="X5056" s="33">
        <v>521</v>
      </c>
      <c r="Z5056" s="33" t="s">
        <v>42967</v>
      </c>
      <c r="AA5056" s="33">
        <v>2610</v>
      </c>
    </row>
    <row r="5057" spans="1:27" ht="12" customHeight="1" x14ac:dyDescent="0.15">
      <c r="A5057" s="33" t="s">
        <v>1811</v>
      </c>
      <c r="B5057" s="33">
        <v>33</v>
      </c>
      <c r="C5057" s="33" t="s">
        <v>14</v>
      </c>
      <c r="D5057" s="33" t="s">
        <v>79</v>
      </c>
      <c r="E5057" s="33" t="s">
        <v>18852</v>
      </c>
      <c r="F5057" s="67">
        <v>42160</v>
      </c>
      <c r="G5057" s="33" t="s">
        <v>1812</v>
      </c>
      <c r="H5057" s="33" t="s">
        <v>1033</v>
      </c>
      <c r="I5057" s="33" t="s">
        <v>376</v>
      </c>
      <c r="J5057" s="33" t="s">
        <v>1813</v>
      </c>
      <c r="K5057" s="33" t="s">
        <v>1033</v>
      </c>
      <c r="L5057" s="33" t="s">
        <v>1034</v>
      </c>
      <c r="M5057" s="33" t="s">
        <v>21</v>
      </c>
      <c r="N5057" s="33" t="s">
        <v>1814</v>
      </c>
      <c r="O5057" s="33" t="s">
        <v>950</v>
      </c>
      <c r="P5057" s="33" t="s">
        <v>30089</v>
      </c>
      <c r="Q5057" s="40" t="str">
        <f>HYPERLINK("http://www.nbcphiladelphia.com/news/breaking/Rising-Sun-Pizza-Robbery-Shooting-306241121.html","http://www.nbcphiladelphia.com/news/breaking/Rising-Sun-Pizza-Robbery-Shooting-306241121.html")</f>
        <v>http://www.nbcphiladelphia.com/news/breaking/Rising-Sun-Pizza-Robbery-Shooting-306241121.html</v>
      </c>
      <c r="R5057" s="33" t="s">
        <v>94</v>
      </c>
      <c r="S5057" s="33" t="s">
        <v>22</v>
      </c>
      <c r="T5057" s="1" t="s">
        <v>26781</v>
      </c>
      <c r="Y5057" s="33" t="s">
        <v>42476</v>
      </c>
      <c r="Z5057" s="33" t="s">
        <v>42966</v>
      </c>
      <c r="AA5057" s="33">
        <v>2608</v>
      </c>
    </row>
    <row r="5058" spans="1:27" ht="12" customHeight="1" x14ac:dyDescent="0.15">
      <c r="A5058" s="33" t="s">
        <v>1836</v>
      </c>
      <c r="B5058" s="33">
        <v>18</v>
      </c>
      <c r="C5058" s="33" t="s">
        <v>14</v>
      </c>
      <c r="D5058" s="33" t="s">
        <v>42</v>
      </c>
      <c r="F5058" s="67">
        <v>42158</v>
      </c>
      <c r="G5058" s="33" t="s">
        <v>1837</v>
      </c>
      <c r="H5058" s="33" t="s">
        <v>1838</v>
      </c>
      <c r="I5058" s="33" t="s">
        <v>67</v>
      </c>
      <c r="J5058" s="33" t="s">
        <v>1839</v>
      </c>
      <c r="K5058" s="33" t="s">
        <v>1840</v>
      </c>
      <c r="L5058" s="33" t="s">
        <v>36918</v>
      </c>
      <c r="M5058" s="33" t="s">
        <v>21</v>
      </c>
      <c r="N5058" s="33" t="s">
        <v>1841</v>
      </c>
      <c r="O5058" s="33" t="s">
        <v>950</v>
      </c>
      <c r="P5058" s="33" t="s">
        <v>30089</v>
      </c>
      <c r="Q5058" s="40" t="str">
        <f>HYPERLINK("http://crimeblog.dallasnews.com/2015/06/two-men-dead-i-35e-shut-down-in-ellis-county-after-three-hour-chase.html/","http://crimeblog.dallasnews.com/2015/06/two-men-dead-i-35e-shut-down-in-ellis-county-after-three-hour-chase.html/")</f>
        <v>http://crimeblog.dallasnews.com/2015/06/two-men-dead-i-35e-shut-down-in-ellis-county-after-three-hour-chase.html/</v>
      </c>
      <c r="R5058" s="33" t="s">
        <v>512</v>
      </c>
      <c r="S5058" s="33" t="s">
        <v>22</v>
      </c>
      <c r="T5058" s="33" t="s">
        <v>26781</v>
      </c>
      <c r="U5058" s="33" t="s">
        <v>26572</v>
      </c>
      <c r="V5058" s="33" t="s">
        <v>26571</v>
      </c>
      <c r="W5058" s="33" t="s">
        <v>94</v>
      </c>
      <c r="X5058" s="33">
        <v>509</v>
      </c>
      <c r="Z5058" s="33" t="s">
        <v>42967</v>
      </c>
      <c r="AA5058" s="33">
        <v>2603</v>
      </c>
    </row>
    <row r="5059" spans="1:27" ht="12" customHeight="1" x14ac:dyDescent="0.15">
      <c r="A5059" s="33" t="s">
        <v>1842</v>
      </c>
      <c r="B5059" s="33">
        <v>33</v>
      </c>
      <c r="C5059" s="33" t="s">
        <v>14</v>
      </c>
      <c r="D5059" s="33" t="s">
        <v>42</v>
      </c>
      <c r="F5059" s="67">
        <v>42158</v>
      </c>
      <c r="G5059" s="33" t="s">
        <v>1843</v>
      </c>
      <c r="H5059" s="33" t="s">
        <v>674</v>
      </c>
      <c r="I5059" s="33" t="s">
        <v>67</v>
      </c>
      <c r="J5059" s="33" t="s">
        <v>1844</v>
      </c>
      <c r="K5059" s="33" t="s">
        <v>515</v>
      </c>
      <c r="L5059" s="33" t="s">
        <v>675</v>
      </c>
      <c r="M5059" s="33" t="s">
        <v>21</v>
      </c>
      <c r="N5059" s="33" t="s">
        <v>1845</v>
      </c>
      <c r="O5059" s="33" t="s">
        <v>950</v>
      </c>
      <c r="P5059" s="33" t="s">
        <v>30089</v>
      </c>
      <c r="Q5059" s="40" t="str">
        <f>HYPERLINK("http://www.khou.com/story/news/crime/2015/06/03/chase-ends--shooting-southeast-houston/28402107/","http://www.khou.com/story/news/crime/2015/06/03/chase-ends--shooting-southeast-houston/28402107/")</f>
        <v>http://www.khou.com/story/news/crime/2015/06/03/chase-ends--shooting-southeast-houston/28402107/</v>
      </c>
      <c r="R5059" s="33" t="s">
        <v>23</v>
      </c>
      <c r="S5059" s="33" t="s">
        <v>22</v>
      </c>
      <c r="T5059" s="33" t="s">
        <v>26774</v>
      </c>
      <c r="U5059" s="33" t="s">
        <v>26570</v>
      </c>
      <c r="V5059" s="33" t="s">
        <v>26571</v>
      </c>
      <c r="W5059" s="33" t="s">
        <v>94</v>
      </c>
      <c r="X5059" s="33">
        <v>510</v>
      </c>
      <c r="Z5059" s="33" t="s">
        <v>42968</v>
      </c>
      <c r="AA5059" s="33">
        <v>2606</v>
      </c>
    </row>
    <row r="5060" spans="1:27" ht="12" customHeight="1" x14ac:dyDescent="0.15">
      <c r="A5060" s="33" t="str">
        <f>HYPERLINK("http://www.killedbypolice.net/victims/150485.jpg","Rudy Baca")</f>
        <v>Rudy Baca</v>
      </c>
      <c r="B5060" s="33">
        <v>36</v>
      </c>
      <c r="C5060" s="33" t="s">
        <v>14</v>
      </c>
      <c r="D5060" s="33" t="s">
        <v>42</v>
      </c>
      <c r="F5060" s="67">
        <v>42158</v>
      </c>
      <c r="G5060" s="33" t="s">
        <v>1830</v>
      </c>
      <c r="H5060" s="33" t="s">
        <v>1831</v>
      </c>
      <c r="I5060" s="33" t="s">
        <v>178</v>
      </c>
      <c r="J5060" s="33" t="s">
        <v>1832</v>
      </c>
      <c r="K5060" s="33" t="s">
        <v>1833</v>
      </c>
      <c r="L5060" s="33" t="s">
        <v>1834</v>
      </c>
      <c r="M5060" s="33" t="s">
        <v>4966</v>
      </c>
      <c r="N5060" s="33" t="s">
        <v>1835</v>
      </c>
      <c r="O5060" s="33" t="s">
        <v>372</v>
      </c>
      <c r="P5060" s="33" t="s">
        <v>30089</v>
      </c>
      <c r="Q5060" s="40" t="str">
        <f>HYPERLINK("http://www.koat.com/news/valencia-county-deputy-involved-in-shooting/33383626","http://www.koat.com/news/valencia-county-deputy-involved-in-shooting/33383626")</f>
        <v>http://www.koat.com/news/valencia-county-deputy-involved-in-shooting/33383626</v>
      </c>
      <c r="R5060" s="33" t="s">
        <v>94</v>
      </c>
      <c r="S5060" s="33" t="s">
        <v>12</v>
      </c>
      <c r="T5060" s="33" t="s">
        <v>29705</v>
      </c>
      <c r="U5060" s="33" t="s">
        <v>26572</v>
      </c>
      <c r="V5060" s="33" t="s">
        <v>26573</v>
      </c>
      <c r="W5060" s="33" t="s">
        <v>94</v>
      </c>
      <c r="X5060" s="33">
        <v>513</v>
      </c>
      <c r="Z5060" s="33" t="s">
        <v>42967</v>
      </c>
      <c r="AA5060" s="33">
        <v>2607</v>
      </c>
    </row>
    <row r="5061" spans="1:27" ht="12" customHeight="1" x14ac:dyDescent="0.15">
      <c r="A5061" s="33" t="s">
        <v>1846</v>
      </c>
      <c r="B5061" s="33">
        <v>56</v>
      </c>
      <c r="C5061" s="33" t="s">
        <v>14</v>
      </c>
      <c r="D5061" s="33" t="s">
        <v>31</v>
      </c>
      <c r="E5061" s="33" t="s">
        <v>18401</v>
      </c>
      <c r="F5061" s="67">
        <v>42158</v>
      </c>
      <c r="G5061" s="33" t="s">
        <v>1847</v>
      </c>
      <c r="H5061" s="33" t="s">
        <v>1848</v>
      </c>
      <c r="I5061" s="33" t="s">
        <v>75</v>
      </c>
      <c r="J5061" s="33" t="s">
        <v>1849</v>
      </c>
      <c r="K5061" s="33" t="s">
        <v>1850</v>
      </c>
      <c r="L5061" s="33" t="s">
        <v>1851</v>
      </c>
      <c r="M5061" s="33" t="s">
        <v>21</v>
      </c>
      <c r="N5061" s="33" t="s">
        <v>1852</v>
      </c>
      <c r="O5061" s="33" t="s">
        <v>372</v>
      </c>
      <c r="P5061" s="33" t="s">
        <v>30089</v>
      </c>
      <c r="Q5061" s="40" t="str">
        <f>HYPERLINK("http://www.nj.com/sussex-county/index.ssf/2015/06/man_killed_in_sussex_county_police_shooting_authorities_say.html","http://www.nj.com/sussex-county/index.ssf/2015/06/man_killed_in_sussex_county_police_shooting_authorities_say.html")</f>
        <v>http://www.nj.com/sussex-county/index.ssf/2015/06/man_killed_in_sussex_county_police_shooting_authorities_say.html</v>
      </c>
      <c r="R5061" s="33" t="s">
        <v>512</v>
      </c>
      <c r="S5061" s="33" t="s">
        <v>22</v>
      </c>
      <c r="T5061" s="33" t="s">
        <v>26781</v>
      </c>
      <c r="U5061" s="33" t="s">
        <v>26572</v>
      </c>
      <c r="V5061" s="33" t="s">
        <v>26573</v>
      </c>
      <c r="W5061" s="33" t="s">
        <v>94</v>
      </c>
      <c r="X5061" s="33">
        <v>511</v>
      </c>
      <c r="Z5061" s="33" t="s">
        <v>42967</v>
      </c>
      <c r="AA5061" s="33">
        <v>2604</v>
      </c>
    </row>
    <row r="5062" spans="1:27" ht="12" customHeight="1" x14ac:dyDescent="0.15">
      <c r="A5062" s="33" t="s">
        <v>1824</v>
      </c>
      <c r="B5062" s="33">
        <v>46</v>
      </c>
      <c r="C5062" s="33" t="s">
        <v>14</v>
      </c>
      <c r="D5062" s="33" t="s">
        <v>42</v>
      </c>
      <c r="F5062" s="67">
        <v>42158</v>
      </c>
      <c r="G5062" s="33" t="s">
        <v>1825</v>
      </c>
      <c r="H5062" s="33" t="s">
        <v>1826</v>
      </c>
      <c r="I5062" s="33" t="s">
        <v>39</v>
      </c>
      <c r="J5062" s="33" t="s">
        <v>1827</v>
      </c>
      <c r="K5062" s="33" t="s">
        <v>632</v>
      </c>
      <c r="L5062" s="33" t="s">
        <v>1828</v>
      </c>
      <c r="M5062" s="33" t="s">
        <v>21</v>
      </c>
      <c r="N5062" s="33" t="s">
        <v>1829</v>
      </c>
      <c r="O5062" s="33" t="s">
        <v>372</v>
      </c>
      <c r="P5062" s="33" t="s">
        <v>30089</v>
      </c>
      <c r="Q5062" s="40" t="str">
        <f>HYPERLINK("http://www.turnto23.com/news/local-news/delano-pd-shoot-kill-man-after-he-fires-at-police","http://www.turnto23.com/news/local-news/delano-pd-shoot-kill-man-after-he-fires-at-police")</f>
        <v>http://www.turnto23.com/news/local-news/delano-pd-shoot-kill-man-after-he-fires-at-police</v>
      </c>
      <c r="R5062" s="33" t="s">
        <v>94</v>
      </c>
      <c r="S5062" s="33" t="s">
        <v>22</v>
      </c>
      <c r="T5062" s="33" t="s">
        <v>26781</v>
      </c>
      <c r="U5062" s="33" t="s">
        <v>26572</v>
      </c>
      <c r="V5062" s="33" t="s">
        <v>26571</v>
      </c>
      <c r="W5062" s="33" t="s">
        <v>94</v>
      </c>
      <c r="X5062" s="33">
        <v>512</v>
      </c>
      <c r="Z5062" s="33" t="s">
        <v>42968</v>
      </c>
      <c r="AA5062" s="33">
        <v>2605</v>
      </c>
    </row>
    <row r="5063" spans="1:27" ht="12" customHeight="1" x14ac:dyDescent="0.15">
      <c r="A5063" s="33" t="str">
        <f>HYPERLINK("http://www.killedbypolice.net/victims/150479.jpg","Kamal Dajani")</f>
        <v>Kamal Dajani</v>
      </c>
      <c r="B5063" s="33">
        <v>26</v>
      </c>
      <c r="C5063" s="33" t="s">
        <v>14</v>
      </c>
      <c r="D5063" s="33" t="s">
        <v>15</v>
      </c>
      <c r="F5063" s="67">
        <v>42157</v>
      </c>
      <c r="G5063" s="33" t="s">
        <v>1853</v>
      </c>
      <c r="H5063" s="33" t="s">
        <v>1854</v>
      </c>
      <c r="I5063" s="33" t="s">
        <v>67</v>
      </c>
      <c r="J5063" s="33" t="s">
        <v>1855</v>
      </c>
      <c r="K5063" s="33" t="s">
        <v>68</v>
      </c>
      <c r="L5063" s="33" t="s">
        <v>1856</v>
      </c>
      <c r="M5063" s="33" t="s">
        <v>21</v>
      </c>
      <c r="N5063" s="33" t="s">
        <v>1857</v>
      </c>
      <c r="O5063" s="33" t="s">
        <v>372</v>
      </c>
      <c r="P5063" s="33" t="s">
        <v>30089</v>
      </c>
      <c r="Q5063" s="40" t="str">
        <f>HYPERLINK("http://crimeblog.dallasnews.com/2015/06/tarrant-county-sheriffs-deputy-fatally-shoots-azle-man-who-stabbed-three-relatives.html/","http://crimeblog.dallasnews.com/2015/06/tarrant-county-sheriffs-deputy-fatally-shoots-azle-man-who-stabbed-three-relatives.html/")</f>
        <v>http://crimeblog.dallasnews.com/2015/06/tarrant-county-sheriffs-deputy-fatally-shoots-azle-man-who-stabbed-three-relatives.html/</v>
      </c>
      <c r="R5063" s="33" t="s">
        <v>512</v>
      </c>
      <c r="S5063" s="33" t="s">
        <v>22</v>
      </c>
      <c r="T5063" s="33" t="s">
        <v>26774</v>
      </c>
      <c r="U5063" s="33" t="s">
        <v>26572</v>
      </c>
      <c r="V5063" s="33" t="s">
        <v>26573</v>
      </c>
      <c r="W5063" s="33" t="s">
        <v>94</v>
      </c>
      <c r="X5063" s="33">
        <v>508</v>
      </c>
      <c r="Z5063" s="33" t="s">
        <v>42968</v>
      </c>
      <c r="AA5063" s="33">
        <v>2602</v>
      </c>
    </row>
    <row r="5064" spans="1:27" ht="12" customHeight="1" x14ac:dyDescent="0.15">
      <c r="A5064" s="33" t="str">
        <f>HYPERLINK("http://www.killedbypolice.net/victims/150478.jpg","Usaamah Rahim")</f>
        <v>Usaamah Rahim</v>
      </c>
      <c r="B5064" s="33">
        <v>26</v>
      </c>
      <c r="C5064" s="33" t="s">
        <v>14</v>
      </c>
      <c r="D5064" s="33" t="s">
        <v>79</v>
      </c>
      <c r="F5064" s="67">
        <v>42157</v>
      </c>
      <c r="G5064" s="33" t="s">
        <v>1858</v>
      </c>
      <c r="H5064" s="33" t="s">
        <v>1859</v>
      </c>
      <c r="I5064" s="33" t="s">
        <v>40</v>
      </c>
      <c r="J5064" s="33" t="s">
        <v>1860</v>
      </c>
      <c r="K5064" s="33" t="s">
        <v>1588</v>
      </c>
      <c r="L5064" s="33" t="s">
        <v>2980</v>
      </c>
      <c r="M5064" s="33" t="s">
        <v>21</v>
      </c>
      <c r="N5064" s="33" t="s">
        <v>1861</v>
      </c>
      <c r="O5064" s="33" t="s">
        <v>507</v>
      </c>
      <c r="P5064" s="33" t="s">
        <v>30089</v>
      </c>
      <c r="Q5064" s="40" t="str">
        <f>HYPERLINK("http://www.whdh.com/story/29215946/one-dead-after-officer-involved-shooting-in-roslindale","http://www.whdh.com/story/29215946/one-dead-after-officer-involved-shooting-in-roslindale")</f>
        <v>http://www.whdh.com/story/29215946/one-dead-after-officer-involved-shooting-in-roslindale</v>
      </c>
      <c r="R5064" s="33" t="s">
        <v>23</v>
      </c>
      <c r="S5064" s="33" t="s">
        <v>22</v>
      </c>
      <c r="T5064" s="33" t="s">
        <v>26774</v>
      </c>
      <c r="U5064" s="33" t="s">
        <v>26570</v>
      </c>
      <c r="V5064" s="33" t="s">
        <v>26573</v>
      </c>
      <c r="W5064" s="33" t="s">
        <v>94</v>
      </c>
      <c r="X5064" s="33">
        <v>507</v>
      </c>
      <c r="Z5064" s="33" t="s">
        <v>42966</v>
      </c>
      <c r="AA5064" s="33">
        <v>2601</v>
      </c>
    </row>
    <row r="5065" spans="1:27" ht="12" customHeight="1" x14ac:dyDescent="0.15">
      <c r="A5065" s="33" t="str">
        <f>HYPERLINK("http://www.killedbypolice.net/victims/150476.jpg","Joseph M. Ladd")</f>
        <v>Joseph M. Ladd</v>
      </c>
      <c r="B5065" s="33">
        <v>23</v>
      </c>
      <c r="C5065" s="33" t="s">
        <v>14</v>
      </c>
      <c r="D5065" s="33" t="s">
        <v>31</v>
      </c>
      <c r="F5065" s="67">
        <v>42156</v>
      </c>
      <c r="G5065" s="33" t="s">
        <v>1862</v>
      </c>
      <c r="H5065" s="33" t="s">
        <v>1863</v>
      </c>
      <c r="I5065" s="33" t="s">
        <v>395</v>
      </c>
      <c r="J5065" s="33" t="s">
        <v>1864</v>
      </c>
      <c r="K5065" s="33" t="s">
        <v>1037</v>
      </c>
      <c r="L5065" s="33" t="s">
        <v>1865</v>
      </c>
      <c r="M5065" s="33" t="s">
        <v>21</v>
      </c>
      <c r="N5065" s="33" t="s">
        <v>1866</v>
      </c>
      <c r="O5065" s="33" t="s">
        <v>372</v>
      </c>
      <c r="P5065" s="33" t="s">
        <v>30089</v>
      </c>
      <c r="Q5065" s="40" t="str">
        <f>HYPERLINK("http://www.democratandchronicle.com/story/news/2015/06/01/police-investigate-near-sears-mall-greece-ridge/28314217/","http://www.democratandchronicle.com/story/news/2015/06/01/police-investigate-near-sears-mall-greece-ridge/28314217/")</f>
        <v>http://www.democratandchronicle.com/story/news/2015/06/01/police-investigate-near-sears-mall-greece-ridge/28314217/</v>
      </c>
      <c r="R5065" s="33" t="s">
        <v>512</v>
      </c>
      <c r="S5065" s="33" t="s">
        <v>22</v>
      </c>
      <c r="T5065" s="33" t="s">
        <v>26781</v>
      </c>
      <c r="U5065" s="33" t="s">
        <v>26572</v>
      </c>
      <c r="V5065" s="33" t="s">
        <v>19228</v>
      </c>
      <c r="W5065" s="33" t="s">
        <v>94</v>
      </c>
      <c r="X5065" s="33">
        <v>505</v>
      </c>
      <c r="Z5065" s="33" t="s">
        <v>42968</v>
      </c>
      <c r="AA5065" s="33">
        <v>2600</v>
      </c>
    </row>
    <row r="5066" spans="1:27" ht="12" customHeight="1" x14ac:dyDescent="0.15">
      <c r="A5066" s="33" t="s">
        <v>1872</v>
      </c>
      <c r="B5066" s="33">
        <v>50</v>
      </c>
      <c r="C5066" s="33" t="s">
        <v>14</v>
      </c>
      <c r="D5066" s="33" t="s">
        <v>79</v>
      </c>
      <c r="E5066" s="33" t="s">
        <v>1873</v>
      </c>
      <c r="F5066" s="67">
        <v>42155</v>
      </c>
      <c r="G5066" s="33" t="s">
        <v>1874</v>
      </c>
      <c r="H5066" s="33" t="s">
        <v>1863</v>
      </c>
      <c r="I5066" s="33" t="s">
        <v>395</v>
      </c>
      <c r="J5066" s="33" t="s">
        <v>1875</v>
      </c>
      <c r="K5066" s="33" t="s">
        <v>1037</v>
      </c>
      <c r="L5066" s="33" t="s">
        <v>1876</v>
      </c>
      <c r="M5066" s="33" t="s">
        <v>363</v>
      </c>
      <c r="N5066" s="33" t="s">
        <v>1877</v>
      </c>
      <c r="O5066" s="33" t="s">
        <v>950</v>
      </c>
      <c r="P5066" s="33" t="s">
        <v>30089</v>
      </c>
      <c r="Q5066" s="40" t="str">
        <f>HYPERLINK("http://www.democratandchronicle.com/story/news/2015/05/31/police-holding-press-briefing-tremont-st-incident/28263079/","http://www.democratandchronicle.com/story/news/2015/05/31/police-holding-press-briefing-tremont-st-incident/28263079/")</f>
        <v>http://www.democratandchronicle.com/story/news/2015/05/31/police-holding-press-briefing-tremont-st-incident/28263079/</v>
      </c>
      <c r="R5066" s="33" t="s">
        <v>23</v>
      </c>
      <c r="S5066" s="33" t="s">
        <v>12</v>
      </c>
      <c r="T5066" s="54" t="s">
        <v>29705</v>
      </c>
      <c r="Z5066" s="33" t="s">
        <v>42966</v>
      </c>
      <c r="AA5066" s="33">
        <v>2599</v>
      </c>
    </row>
    <row r="5067" spans="1:27" ht="12" customHeight="1" x14ac:dyDescent="0.15">
      <c r="A5067" s="33" t="s">
        <v>1878</v>
      </c>
      <c r="B5067" s="33">
        <v>40</v>
      </c>
      <c r="C5067" s="33" t="s">
        <v>14</v>
      </c>
      <c r="D5067" s="33" t="s">
        <v>31</v>
      </c>
      <c r="F5067" s="67">
        <v>42155</v>
      </c>
      <c r="G5067" s="33" t="s">
        <v>1879</v>
      </c>
      <c r="H5067" s="33" t="s">
        <v>1880</v>
      </c>
      <c r="I5067" s="33" t="s">
        <v>106</v>
      </c>
      <c r="J5067" s="33" t="s">
        <v>1881</v>
      </c>
      <c r="K5067" s="33" t="s">
        <v>404</v>
      </c>
      <c r="L5067" s="33" t="s">
        <v>1882</v>
      </c>
      <c r="M5067" s="33" t="s">
        <v>21</v>
      </c>
      <c r="N5067" s="33" t="s">
        <v>1883</v>
      </c>
      <c r="O5067" s="33" t="s">
        <v>372</v>
      </c>
      <c r="P5067" s="33" t="s">
        <v>30089</v>
      </c>
      <c r="Q5067" s="40" t="s">
        <v>1884</v>
      </c>
      <c r="R5067" s="33" t="s">
        <v>512</v>
      </c>
      <c r="S5067" s="33" t="s">
        <v>22</v>
      </c>
      <c r="T5067" s="33" t="s">
        <v>26781</v>
      </c>
      <c r="U5067" s="33" t="s">
        <v>26572</v>
      </c>
      <c r="V5067" s="33" t="s">
        <v>26573</v>
      </c>
      <c r="W5067" s="33" t="s">
        <v>94</v>
      </c>
      <c r="X5067" s="33">
        <v>503</v>
      </c>
      <c r="Z5067" s="33" t="s">
        <v>42966</v>
      </c>
      <c r="AA5067" s="33">
        <v>2597</v>
      </c>
    </row>
    <row r="5068" spans="1:27" ht="12" customHeight="1" x14ac:dyDescent="0.15">
      <c r="A5068" s="33" t="str">
        <f>HYPERLINK("http://www.killedbypolice.net/victims/150475.jpg","James D. Bushey")</f>
        <v>James D. Bushey</v>
      </c>
      <c r="B5068" s="33">
        <v>47</v>
      </c>
      <c r="C5068" s="33" t="s">
        <v>14</v>
      </c>
      <c r="D5068" s="33" t="s">
        <v>31</v>
      </c>
      <c r="F5068" s="67">
        <v>42155</v>
      </c>
      <c r="G5068" s="33" t="s">
        <v>1867</v>
      </c>
      <c r="H5068" s="33" t="s">
        <v>1868</v>
      </c>
      <c r="I5068" s="33" t="s">
        <v>67</v>
      </c>
      <c r="J5068" s="33" t="s">
        <v>1869</v>
      </c>
      <c r="K5068" s="33" t="s">
        <v>233</v>
      </c>
      <c r="L5068" s="33" t="s">
        <v>1870</v>
      </c>
      <c r="M5068" s="33" t="s">
        <v>21</v>
      </c>
      <c r="N5068" s="33" t="s">
        <v>1871</v>
      </c>
      <c r="O5068" s="33" t="s">
        <v>372</v>
      </c>
      <c r="P5068" s="33" t="s">
        <v>30089</v>
      </c>
      <c r="Q5068" s="40" t="str">
        <f>HYPERLINK("http://www.kplctv.com/story/29203366/palestine-police-id-victim-in-officer-involved-shooting","http://www.kplctv.com/story/29203366/palestine-police-id-victim-in-officer-involved-shooting")</f>
        <v>http://www.kplctv.com/story/29203366/palestine-police-id-victim-in-officer-involved-shooting</v>
      </c>
      <c r="R5068" s="33" t="s">
        <v>94</v>
      </c>
      <c r="S5068" s="33" t="s">
        <v>12</v>
      </c>
      <c r="T5068" s="33" t="s">
        <v>29425</v>
      </c>
      <c r="U5068" s="33" t="s">
        <v>26572</v>
      </c>
      <c r="V5068" s="33" t="s">
        <v>26573</v>
      </c>
      <c r="W5068" s="33" t="s">
        <v>512</v>
      </c>
      <c r="X5068" s="33">
        <v>504</v>
      </c>
      <c r="Z5068" s="33" t="s">
        <v>42968</v>
      </c>
      <c r="AA5068" s="33">
        <v>2598</v>
      </c>
    </row>
    <row r="5069" spans="1:27" ht="12" customHeight="1" x14ac:dyDescent="0.15">
      <c r="A5069" s="33" t="s">
        <v>1891</v>
      </c>
      <c r="B5069" s="33">
        <v>19</v>
      </c>
      <c r="C5069" s="33" t="s">
        <v>14</v>
      </c>
      <c r="D5069" s="33" t="s">
        <v>31</v>
      </c>
      <c r="E5069" s="33" t="s">
        <v>1892</v>
      </c>
      <c r="F5069" s="67">
        <v>42154</v>
      </c>
      <c r="G5069" s="33" t="s">
        <v>1893</v>
      </c>
      <c r="H5069" s="33" t="s">
        <v>1894</v>
      </c>
      <c r="I5069" s="33" t="s">
        <v>112</v>
      </c>
      <c r="J5069" s="33" t="s">
        <v>1895</v>
      </c>
      <c r="K5069" s="33" t="s">
        <v>166</v>
      </c>
      <c r="L5069" s="33" t="s">
        <v>167</v>
      </c>
      <c r="M5069" s="33" t="s">
        <v>21</v>
      </c>
      <c r="N5069" s="33" t="s">
        <v>1896</v>
      </c>
      <c r="O5069" s="33" t="s">
        <v>372</v>
      </c>
      <c r="P5069" s="33" t="s">
        <v>30089</v>
      </c>
      <c r="Q5069" s="40" t="s">
        <v>1897</v>
      </c>
      <c r="R5069" s="33" t="s">
        <v>94</v>
      </c>
      <c r="S5069" s="33" t="s">
        <v>12</v>
      </c>
      <c r="T5069" s="33" t="s">
        <v>29705</v>
      </c>
      <c r="U5069" s="33" t="s">
        <v>26572</v>
      </c>
      <c r="V5069" s="33" t="s">
        <v>26574</v>
      </c>
      <c r="W5069" s="33" t="s">
        <v>94</v>
      </c>
      <c r="X5069" s="33">
        <v>500</v>
      </c>
      <c r="Z5069" s="33" t="s">
        <v>42968</v>
      </c>
      <c r="AA5069" s="33">
        <v>2596</v>
      </c>
    </row>
    <row r="5070" spans="1:27" ht="12" customHeight="1" x14ac:dyDescent="0.15">
      <c r="A5070" s="33" t="s">
        <v>1885</v>
      </c>
      <c r="B5070" s="33">
        <v>39</v>
      </c>
      <c r="C5070" s="33" t="s">
        <v>14</v>
      </c>
      <c r="D5070" s="33" t="s">
        <v>42</v>
      </c>
      <c r="E5070" s="33" t="s">
        <v>1886</v>
      </c>
      <c r="F5070" s="67">
        <v>42154</v>
      </c>
      <c r="G5070" s="33" t="s">
        <v>1887</v>
      </c>
      <c r="H5070" s="33" t="s">
        <v>1888</v>
      </c>
      <c r="I5070" s="33" t="s">
        <v>298</v>
      </c>
      <c r="J5070" s="33" t="s">
        <v>1889</v>
      </c>
      <c r="K5070" s="33" t="s">
        <v>823</v>
      </c>
      <c r="L5070" s="33" t="s">
        <v>824</v>
      </c>
      <c r="M5070" s="33" t="s">
        <v>21</v>
      </c>
      <c r="N5070" s="33" t="s">
        <v>1890</v>
      </c>
      <c r="O5070" s="33" t="s">
        <v>950</v>
      </c>
      <c r="P5070" s="33" t="s">
        <v>30089</v>
      </c>
      <c r="Q5070" s="40" t="str">
        <f>HYPERLINK("http://www.scrippsmedia.com/newschannel5/news/Investigation-Ongoing-At-Scene-Of-Alleged-Shooting-305572891.html","http://www.scrippsmedia.com/newschannel5/news/Investigation-Ongoing-At-Scene-Of-Alleged-Shooting-305572891.html")</f>
        <v>http://www.scrippsmedia.com/newschannel5/news/Investigation-Ongoing-At-Scene-Of-Alleged-Shooting-305572891.html</v>
      </c>
      <c r="R5070" s="33" t="s">
        <v>94</v>
      </c>
      <c r="S5070" s="33" t="s">
        <v>12</v>
      </c>
      <c r="T5070" s="33" t="s">
        <v>29425</v>
      </c>
      <c r="U5070" s="33" t="s">
        <v>26572</v>
      </c>
      <c r="V5070" s="33" t="s">
        <v>26573</v>
      </c>
      <c r="W5070" s="33" t="s">
        <v>94</v>
      </c>
      <c r="X5070" s="33">
        <v>501</v>
      </c>
      <c r="Z5070" s="33" t="s">
        <v>42968</v>
      </c>
      <c r="AA5070" s="33">
        <v>2595</v>
      </c>
    </row>
    <row r="5071" spans="1:27" ht="12" customHeight="1" x14ac:dyDescent="0.15">
      <c r="A5071" s="33" t="s">
        <v>1906</v>
      </c>
      <c r="B5071" s="33">
        <v>55</v>
      </c>
      <c r="C5071" s="33" t="s">
        <v>14</v>
      </c>
      <c r="D5071" s="33" t="s">
        <v>31</v>
      </c>
      <c r="F5071" s="67">
        <v>42153</v>
      </c>
      <c r="G5071" s="33" t="s">
        <v>1907</v>
      </c>
      <c r="H5071" s="33" t="s">
        <v>1908</v>
      </c>
      <c r="I5071" s="33" t="s">
        <v>106</v>
      </c>
      <c r="J5071" s="33" t="s">
        <v>1909</v>
      </c>
      <c r="K5071" s="33" t="s">
        <v>1435</v>
      </c>
      <c r="L5071" s="33" t="s">
        <v>1910</v>
      </c>
      <c r="M5071" s="33" t="s">
        <v>21</v>
      </c>
      <c r="N5071" s="33" t="s">
        <v>1911</v>
      </c>
      <c r="O5071" s="33" t="s">
        <v>372</v>
      </c>
      <c r="P5071" s="33" t="s">
        <v>30089</v>
      </c>
      <c r="Q5071" s="40" t="str">
        <f>HYPERLINK("http://koin.com/2015/05/30/osp-troopers-shoot-kill-man-in-wilderville/","http://koin.com/2015/05/30/osp-troopers-shoot-kill-man-in-wilderville/")</f>
        <v>http://koin.com/2015/05/30/osp-troopers-shoot-kill-man-in-wilderville/</v>
      </c>
      <c r="R5071" s="33" t="s">
        <v>23</v>
      </c>
      <c r="S5071" s="33" t="s">
        <v>22</v>
      </c>
      <c r="T5071" s="33" t="s">
        <v>26781</v>
      </c>
      <c r="U5071" s="33" t="s">
        <v>26572</v>
      </c>
      <c r="V5071" s="33" t="s">
        <v>26573</v>
      </c>
      <c r="W5071" s="33" t="s">
        <v>94</v>
      </c>
      <c r="X5071" s="33">
        <v>499</v>
      </c>
      <c r="Z5071" s="33" t="s">
        <v>42967</v>
      </c>
      <c r="AA5071" s="33">
        <v>2591</v>
      </c>
    </row>
    <row r="5072" spans="1:27" ht="12" customHeight="1" x14ac:dyDescent="0.15">
      <c r="A5072" s="33" t="s">
        <v>1912</v>
      </c>
      <c r="B5072" s="33">
        <v>36</v>
      </c>
      <c r="C5072" s="33" t="s">
        <v>14</v>
      </c>
      <c r="D5072" s="33" t="s">
        <v>79</v>
      </c>
      <c r="E5072" s="33" t="s">
        <v>1913</v>
      </c>
      <c r="F5072" s="67">
        <v>42153</v>
      </c>
      <c r="G5072" s="33" t="s">
        <v>1914</v>
      </c>
      <c r="H5072" s="33" t="s">
        <v>1915</v>
      </c>
      <c r="I5072" s="33" t="s">
        <v>75</v>
      </c>
      <c r="J5072" s="33" t="s">
        <v>1916</v>
      </c>
      <c r="K5072" s="33" t="s">
        <v>1705</v>
      </c>
      <c r="L5072" s="33" t="s">
        <v>1917</v>
      </c>
      <c r="M5072" s="33" t="s">
        <v>21</v>
      </c>
      <c r="N5072" s="33" t="s">
        <v>1918</v>
      </c>
      <c r="O5072" s="33" t="s">
        <v>1919</v>
      </c>
      <c r="P5072" s="33" t="s">
        <v>30089</v>
      </c>
      <c r="Q5072" s="40" t="str">
        <f>HYPERLINK("http://newyork.cbslocal.com/2015/05/29/lyndhurst-library-police-shooting/","http://newyork.cbslocal.com/2015/05/29/lyndhurst-library-police-shooting/")</f>
        <v>http://newyork.cbslocal.com/2015/05/29/lyndhurst-library-police-shooting/</v>
      </c>
      <c r="R5072" s="33" t="s">
        <v>94</v>
      </c>
      <c r="S5072" s="33" t="s">
        <v>22</v>
      </c>
      <c r="T5072" s="33" t="s">
        <v>26774</v>
      </c>
      <c r="U5072" s="33" t="s">
        <v>26570</v>
      </c>
      <c r="V5072" s="33" t="s">
        <v>26573</v>
      </c>
      <c r="W5072" s="33" t="s">
        <v>94</v>
      </c>
      <c r="X5072" s="33">
        <v>497</v>
      </c>
      <c r="Z5072" s="33" t="s">
        <v>42968</v>
      </c>
      <c r="AA5072" s="33">
        <v>2593</v>
      </c>
    </row>
    <row r="5073" spans="1:27" ht="12" customHeight="1" x14ac:dyDescent="0.15">
      <c r="A5073" s="33" t="s">
        <v>1898</v>
      </c>
      <c r="B5073" s="33">
        <v>35</v>
      </c>
      <c r="C5073" s="33" t="s">
        <v>14</v>
      </c>
      <c r="D5073" s="33" t="s">
        <v>31</v>
      </c>
      <c r="E5073" s="33" t="s">
        <v>1899</v>
      </c>
      <c r="F5073" s="67">
        <v>42153</v>
      </c>
      <c r="G5073" s="33" t="s">
        <v>1900</v>
      </c>
      <c r="H5073" s="33" t="s">
        <v>1901</v>
      </c>
      <c r="I5073" s="33" t="s">
        <v>367</v>
      </c>
      <c r="J5073" s="33" t="s">
        <v>1902</v>
      </c>
      <c r="K5073" s="33" t="s">
        <v>1903</v>
      </c>
      <c r="L5073" s="33" t="s">
        <v>1904</v>
      </c>
      <c r="M5073" s="33" t="s">
        <v>21</v>
      </c>
      <c r="N5073" s="33" t="s">
        <v>26728</v>
      </c>
      <c r="O5073" s="33" t="s">
        <v>372</v>
      </c>
      <c r="P5073" s="33" t="s">
        <v>30089</v>
      </c>
      <c r="Q5073" s="40" t="s">
        <v>1905</v>
      </c>
      <c r="R5073" s="33" t="s">
        <v>94</v>
      </c>
      <c r="S5073" s="33" t="s">
        <v>29</v>
      </c>
      <c r="T5073" s="33" t="s">
        <v>26781</v>
      </c>
      <c r="U5073" s="33" t="s">
        <v>26572</v>
      </c>
      <c r="V5073" s="33" t="s">
        <v>26573</v>
      </c>
      <c r="W5073" s="33" t="s">
        <v>94</v>
      </c>
      <c r="X5073" s="33">
        <v>498</v>
      </c>
      <c r="Z5073" s="33" t="s">
        <v>42967</v>
      </c>
      <c r="AA5073" s="33">
        <v>2592</v>
      </c>
    </row>
    <row r="5074" spans="1:27" ht="12" customHeight="1" x14ac:dyDescent="0.15">
      <c r="A5074" s="33" t="str">
        <f>HYPERLINK("http://www.killedbypolice.net/victims/150477.jpg","Billy J. Collins")</f>
        <v>Billy J. Collins</v>
      </c>
      <c r="B5074" s="33">
        <v>56</v>
      </c>
      <c r="C5074" s="33" t="s">
        <v>14</v>
      </c>
      <c r="D5074" s="33" t="s">
        <v>31</v>
      </c>
      <c r="E5074" s="33" t="s">
        <v>1920</v>
      </c>
      <c r="F5074" s="67">
        <v>42153</v>
      </c>
      <c r="G5074" s="33" t="s">
        <v>1921</v>
      </c>
      <c r="H5074" s="33" t="s">
        <v>1922</v>
      </c>
      <c r="I5074" s="33" t="s">
        <v>294</v>
      </c>
      <c r="J5074" s="33" t="s">
        <v>1923</v>
      </c>
      <c r="K5074" s="33" t="s">
        <v>1924</v>
      </c>
      <c r="L5074" s="33" t="s">
        <v>1925</v>
      </c>
      <c r="M5074" s="33" t="s">
        <v>363</v>
      </c>
      <c r="N5074" s="33" t="s">
        <v>1926</v>
      </c>
      <c r="O5074" s="33" t="s">
        <v>372</v>
      </c>
      <c r="P5074" s="33" t="s">
        <v>30089</v>
      </c>
      <c r="Q5074" s="40" t="str">
        <f>HYPERLINK("http://www.thelevisalazer.com/news/local-news/11484-louisa-man-dies-after-being-tasered-by-police-during-arrest.html","http://www.thelevisalazer.com/news/local-news/11484-louisa-man-dies-after-being-tasered-by-police-during-arrest.html")</f>
        <v>http://www.thelevisalazer.com/news/local-news/11484-louisa-man-dies-after-being-tasered-by-police-during-arrest.html</v>
      </c>
      <c r="R5074" s="33" t="s">
        <v>23</v>
      </c>
      <c r="S5074" s="33" t="s">
        <v>12</v>
      </c>
      <c r="T5074" s="1" t="s">
        <v>29705</v>
      </c>
      <c r="Z5074" s="33" t="s">
        <v>42967</v>
      </c>
      <c r="AA5074" s="33">
        <v>2594</v>
      </c>
    </row>
    <row r="5075" spans="1:27" ht="12" customHeight="1" x14ac:dyDescent="0.15">
      <c r="A5075" s="33" t="s">
        <v>1932</v>
      </c>
      <c r="B5075" s="33">
        <v>40</v>
      </c>
      <c r="C5075" s="33" t="s">
        <v>14</v>
      </c>
      <c r="D5075" s="33" t="s">
        <v>79</v>
      </c>
      <c r="E5075" s="33" t="s">
        <v>1933</v>
      </c>
      <c r="F5075" s="67">
        <v>42152</v>
      </c>
      <c r="G5075" s="33" t="s">
        <v>1934</v>
      </c>
      <c r="H5075" s="33" t="s">
        <v>1935</v>
      </c>
      <c r="I5075" s="33" t="s">
        <v>160</v>
      </c>
      <c r="J5075" s="33" t="s">
        <v>1936</v>
      </c>
      <c r="K5075" s="33" t="s">
        <v>1937</v>
      </c>
      <c r="L5075" s="33" t="s">
        <v>1938</v>
      </c>
      <c r="M5075" s="33" t="s">
        <v>21</v>
      </c>
      <c r="N5075" s="33" t="s">
        <v>1939</v>
      </c>
      <c r="O5075" s="33" t="s">
        <v>1940</v>
      </c>
      <c r="P5075" s="33" t="s">
        <v>30089</v>
      </c>
      <c r="Q5075" s="40" t="str">
        <f>HYPERLINK("http://www.11alive.com/story/news/local/carrollton/2015/05/28/carrolton-officer-involved-shooting/28130059/","http://www.11alive.com/story/news/local/carrollton/2015/05/28/carrolton-officer-involved-shooting/28130059/")</f>
        <v>http://www.11alive.com/story/news/local/carrollton/2015/05/28/carrolton-officer-involved-shooting/28130059/</v>
      </c>
      <c r="R5075" s="33" t="s">
        <v>94</v>
      </c>
      <c r="S5075" s="33" t="s">
        <v>22</v>
      </c>
      <c r="T5075" s="33" t="s">
        <v>26781</v>
      </c>
      <c r="U5075" s="33" t="s">
        <v>26572</v>
      </c>
      <c r="V5075" s="33" t="s">
        <v>26573</v>
      </c>
      <c r="W5075" s="33" t="s">
        <v>94</v>
      </c>
      <c r="X5075" s="33">
        <v>493</v>
      </c>
      <c r="Z5075" s="33" t="s">
        <v>42968</v>
      </c>
      <c r="AA5075" s="33">
        <v>2589</v>
      </c>
    </row>
    <row r="5076" spans="1:27" ht="12" customHeight="1" x14ac:dyDescent="0.15">
      <c r="A5076" s="33" t="s">
        <v>1953</v>
      </c>
      <c r="B5076" s="33">
        <v>18</v>
      </c>
      <c r="C5076" s="33" t="s">
        <v>14</v>
      </c>
      <c r="D5076" s="33" t="s">
        <v>31</v>
      </c>
      <c r="E5076" s="33" t="s">
        <v>1954</v>
      </c>
      <c r="F5076" s="67">
        <v>42152</v>
      </c>
      <c r="G5076" s="33" t="s">
        <v>1955</v>
      </c>
      <c r="H5076" s="33" t="s">
        <v>1956</v>
      </c>
      <c r="I5076" s="33" t="s">
        <v>51</v>
      </c>
      <c r="J5076" s="33" t="s">
        <v>1957</v>
      </c>
      <c r="K5076" s="33" t="s">
        <v>1057</v>
      </c>
      <c r="L5076" s="33" t="s">
        <v>1958</v>
      </c>
      <c r="M5076" s="33" t="s">
        <v>4966</v>
      </c>
      <c r="N5076" s="33" t="s">
        <v>1959</v>
      </c>
      <c r="O5076" s="33" t="s">
        <v>372</v>
      </c>
      <c r="P5076" s="33" t="s">
        <v>30089</v>
      </c>
      <c r="Q5076" s="40" t="str">
        <f>HYPERLINK("http://www.clickondetroit.com/news/man-attacks-officer-shot-by-police-trenton/33276844","http://www.clickondetroit.com/news/man-attacks-officer-shot-by-police-trenton/33276844")</f>
        <v>http://www.clickondetroit.com/news/man-attacks-officer-shot-by-police-trenton/33276844</v>
      </c>
      <c r="R5076" s="33" t="s">
        <v>904</v>
      </c>
      <c r="S5076" s="33" t="s">
        <v>22</v>
      </c>
      <c r="T5076" s="33" t="s">
        <v>26619</v>
      </c>
      <c r="U5076" s="33" t="s">
        <v>26572</v>
      </c>
      <c r="V5076" s="33" t="s">
        <v>26573</v>
      </c>
      <c r="W5076" s="33" t="s">
        <v>94</v>
      </c>
      <c r="X5076" s="33">
        <v>494</v>
      </c>
      <c r="Z5076" s="33" t="s">
        <v>42968</v>
      </c>
      <c r="AA5076" s="33">
        <v>2590</v>
      </c>
    </row>
    <row r="5077" spans="1:27" ht="12" customHeight="1" x14ac:dyDescent="0.15">
      <c r="A5077" s="33" t="s">
        <v>1941</v>
      </c>
      <c r="B5077" s="33">
        <v>32</v>
      </c>
      <c r="C5077" s="33" t="s">
        <v>14</v>
      </c>
      <c r="D5077" s="33" t="s">
        <v>79</v>
      </c>
      <c r="E5077" s="33" t="s">
        <v>20847</v>
      </c>
      <c r="F5077" s="67">
        <v>42152</v>
      </c>
      <c r="G5077" s="33" t="s">
        <v>1942</v>
      </c>
      <c r="H5077" s="33" t="s">
        <v>1943</v>
      </c>
      <c r="I5077" s="33" t="s">
        <v>192</v>
      </c>
      <c r="J5077" s="33">
        <v>80233</v>
      </c>
      <c r="K5077" s="33" t="s">
        <v>1790</v>
      </c>
      <c r="L5077" s="33" t="s">
        <v>1944</v>
      </c>
      <c r="M5077" s="33" t="s">
        <v>21</v>
      </c>
      <c r="N5077" s="33" t="s">
        <v>1945</v>
      </c>
      <c r="O5077" s="33" t="s">
        <v>23</v>
      </c>
      <c r="P5077" s="33" t="s">
        <v>30089</v>
      </c>
      <c r="Q5077" s="40" t="str">
        <f>HYPERLINK("http://www.thedenverchannel.com/news/local-news/injured-northglenn-police-officer-taken-to-hospital","http://www.thedenverchannel.com/news/local-news/injured-northglenn-police-officer-taken-to-hospital")</f>
        <v>http://www.thedenverchannel.com/news/local-news/injured-northglenn-police-officer-taken-to-hospital</v>
      </c>
      <c r="R5077" s="33" t="s">
        <v>94</v>
      </c>
      <c r="S5077" s="33" t="s">
        <v>22</v>
      </c>
      <c r="T5077" s="33" t="s">
        <v>26781</v>
      </c>
      <c r="U5077" s="33" t="s">
        <v>26572</v>
      </c>
      <c r="V5077" s="33" t="s">
        <v>26573</v>
      </c>
      <c r="W5077" s="33" t="s">
        <v>94</v>
      </c>
      <c r="X5077" s="33">
        <v>490</v>
      </c>
      <c r="Z5077" s="33" t="s">
        <v>42968</v>
      </c>
      <c r="AA5077" s="33">
        <v>2588</v>
      </c>
    </row>
    <row r="5078" spans="1:27" ht="12" customHeight="1" x14ac:dyDescent="0.15">
      <c r="A5078" s="33" t="s">
        <v>1960</v>
      </c>
      <c r="B5078" s="33">
        <v>60</v>
      </c>
      <c r="C5078" s="33" t="s">
        <v>14</v>
      </c>
      <c r="D5078" s="33" t="s">
        <v>31</v>
      </c>
      <c r="E5078" s="33" t="s">
        <v>1961</v>
      </c>
      <c r="F5078" s="67">
        <v>42152</v>
      </c>
      <c r="G5078" s="33" t="s">
        <v>1962</v>
      </c>
      <c r="H5078" s="33" t="s">
        <v>1397</v>
      </c>
      <c r="I5078" s="33" t="s">
        <v>26</v>
      </c>
      <c r="J5078" s="33" t="s">
        <v>1963</v>
      </c>
      <c r="K5078" s="33" t="s">
        <v>1397</v>
      </c>
      <c r="L5078" s="33" t="s">
        <v>1964</v>
      </c>
      <c r="M5078" s="33" t="s">
        <v>21</v>
      </c>
      <c r="N5078" s="33" t="s">
        <v>1965</v>
      </c>
      <c r="O5078" s="33" t="s">
        <v>372</v>
      </c>
      <c r="P5078" s="33" t="s">
        <v>30089</v>
      </c>
      <c r="Q5078" s="40" t="str">
        <f>HYPERLINK("http://www.wsoctv.com/news/news/local/sled-responding-possible-officer-involved-shooting/nmQSJ/","http://www.wsoctv.com/news/news/local/sled-responding-possible-officer-involved-shooting/nmQSJ/")</f>
        <v>http://www.wsoctv.com/news/news/local/sled-responding-possible-officer-involved-shooting/nmQSJ/</v>
      </c>
      <c r="R5078" s="33" t="s">
        <v>23</v>
      </c>
      <c r="S5078" s="33" t="s">
        <v>22</v>
      </c>
      <c r="T5078" s="33" t="s">
        <v>26781</v>
      </c>
      <c r="U5078" s="33" t="s">
        <v>26572</v>
      </c>
      <c r="V5078" s="33" t="s">
        <v>26573</v>
      </c>
      <c r="W5078" s="33" t="s">
        <v>94</v>
      </c>
      <c r="X5078" s="33">
        <v>488</v>
      </c>
      <c r="Z5078" s="33" t="s">
        <v>42967</v>
      </c>
      <c r="AA5078" s="33">
        <v>2587</v>
      </c>
    </row>
    <row r="5079" spans="1:27" ht="12" customHeight="1" x14ac:dyDescent="0.15">
      <c r="A5079" s="33" t="s">
        <v>1977</v>
      </c>
      <c r="B5079" s="33">
        <v>39</v>
      </c>
      <c r="C5079" s="33" t="s">
        <v>14</v>
      </c>
      <c r="D5079" s="33" t="s">
        <v>31</v>
      </c>
      <c r="F5079" s="67">
        <v>42151</v>
      </c>
      <c r="G5079" s="33" t="s">
        <v>1978</v>
      </c>
      <c r="H5079" s="33" t="s">
        <v>1979</v>
      </c>
      <c r="I5079" s="33" t="s">
        <v>75</v>
      </c>
      <c r="J5079" s="33" t="s">
        <v>1980</v>
      </c>
      <c r="K5079" s="33" t="s">
        <v>1627</v>
      </c>
      <c r="L5079" s="33" t="s">
        <v>1981</v>
      </c>
      <c r="M5079" s="33" t="s">
        <v>21</v>
      </c>
      <c r="N5079" s="33" t="s">
        <v>1982</v>
      </c>
      <c r="O5079" s="33" t="s">
        <v>372</v>
      </c>
      <c r="P5079" s="33" t="s">
        <v>30089</v>
      </c>
      <c r="Q5079" s="40" t="str">
        <f>HYPERLINK("http://7online.com/news/man-holding-17-month-old-son-hostage-killed-in-middletown-police-shooting/744277/","http://7online.com/news/man-holding-17-month-old-son-hostage-killed-in-middletown-police-shooting/744277/")</f>
        <v>http://7online.com/news/man-holding-17-month-old-son-hostage-killed-in-middletown-police-shooting/744277/</v>
      </c>
      <c r="R5079" s="33" t="s">
        <v>23</v>
      </c>
      <c r="S5079" s="33" t="s">
        <v>22</v>
      </c>
      <c r="T5079" s="33" t="s">
        <v>26774</v>
      </c>
      <c r="U5079" s="33" t="s">
        <v>26572</v>
      </c>
      <c r="V5079" s="33" t="s">
        <v>26573</v>
      </c>
      <c r="W5079" s="33" t="s">
        <v>94</v>
      </c>
      <c r="X5079" s="33">
        <v>480</v>
      </c>
      <c r="Z5079" s="33" t="s">
        <v>42968</v>
      </c>
      <c r="AA5079" s="33">
        <v>2581</v>
      </c>
    </row>
    <row r="5080" spans="1:27" ht="12" customHeight="1" x14ac:dyDescent="0.15">
      <c r="A5080" s="33" t="s">
        <v>1983</v>
      </c>
      <c r="B5080" s="33">
        <v>24</v>
      </c>
      <c r="C5080" s="33" t="s">
        <v>14</v>
      </c>
      <c r="D5080" s="33" t="s">
        <v>31</v>
      </c>
      <c r="E5080" s="33" t="s">
        <v>1984</v>
      </c>
      <c r="F5080" s="67">
        <v>42151</v>
      </c>
      <c r="G5080" s="33" t="s">
        <v>1985</v>
      </c>
      <c r="H5080" s="33" t="s">
        <v>1986</v>
      </c>
      <c r="I5080" s="33" t="s">
        <v>367</v>
      </c>
      <c r="J5080" s="33" t="s">
        <v>1987</v>
      </c>
      <c r="K5080" s="33" t="s">
        <v>1028</v>
      </c>
      <c r="L5080" s="33" t="s">
        <v>1988</v>
      </c>
      <c r="M5080" s="33" t="s">
        <v>21</v>
      </c>
      <c r="N5080" s="33" t="s">
        <v>1989</v>
      </c>
      <c r="O5080" s="33" t="s">
        <v>372</v>
      </c>
      <c r="P5080" s="33" t="s">
        <v>30089</v>
      </c>
      <c r="Q5080" s="40" t="str">
        <f>HYPERLINK("http://kfor.com/2015/05/27/breaking-news-officer-involved-shooting-in-edmond/","http://kfor.com/2015/05/27/breaking-news-officer-involved-shooting-in-edmond/")</f>
        <v>http://kfor.com/2015/05/27/breaking-news-officer-involved-shooting-in-edmond/</v>
      </c>
      <c r="R5080" s="33" t="s">
        <v>512</v>
      </c>
      <c r="S5080" s="33" t="s">
        <v>12</v>
      </c>
      <c r="T5080" s="33" t="s">
        <v>29425</v>
      </c>
      <c r="U5080" s="33" t="s">
        <v>26572</v>
      </c>
      <c r="V5080" s="33" t="s">
        <v>26573</v>
      </c>
      <c r="W5080" s="33" t="s">
        <v>94</v>
      </c>
      <c r="X5080" s="33">
        <v>481</v>
      </c>
      <c r="Z5080" s="33" t="s">
        <v>42968</v>
      </c>
      <c r="AA5080" s="33">
        <v>2584</v>
      </c>
    </row>
    <row r="5081" spans="1:27" ht="12" customHeight="1" x14ac:dyDescent="0.15">
      <c r="A5081" s="33" t="s">
        <v>1972</v>
      </c>
      <c r="B5081" s="33">
        <v>34</v>
      </c>
      <c r="C5081" s="33" t="s">
        <v>14</v>
      </c>
      <c r="D5081" s="33" t="s">
        <v>31</v>
      </c>
      <c r="E5081" s="33" t="s">
        <v>1973</v>
      </c>
      <c r="F5081" s="67">
        <v>42151</v>
      </c>
      <c r="G5081" s="33" t="s">
        <v>1974</v>
      </c>
      <c r="H5081" s="33" t="s">
        <v>401</v>
      </c>
      <c r="I5081" s="33" t="s">
        <v>337</v>
      </c>
      <c r="J5081" s="33" t="s">
        <v>1975</v>
      </c>
      <c r="K5081" s="33" t="s">
        <v>554</v>
      </c>
      <c r="L5081" s="33" t="s">
        <v>42466</v>
      </c>
      <c r="M5081" s="33" t="s">
        <v>363</v>
      </c>
      <c r="N5081" s="33" t="s">
        <v>1976</v>
      </c>
      <c r="O5081" s="33" t="s">
        <v>950</v>
      </c>
      <c r="P5081" s="33" t="s">
        <v>30089</v>
      </c>
      <c r="Q5081" s="40" t="str">
        <f>HYPERLINK("http://www.kmbc.com/news/person-taken-to-hospital-after-kck-officer-uses-force-at-family-dollar/33249942","http://www.kmbc.com/news/person-taken-to-hospital-after-kck-officer-uses-force-at-family-dollar/33249942")</f>
        <v>http://www.kmbc.com/news/person-taken-to-hospital-after-kck-officer-uses-force-at-family-dollar/33249942</v>
      </c>
      <c r="R5081" s="33" t="s">
        <v>904</v>
      </c>
      <c r="S5081" s="33" t="s">
        <v>12</v>
      </c>
      <c r="T5081" s="54" t="s">
        <v>29705</v>
      </c>
      <c r="Z5081" s="33" t="s">
        <v>42966</v>
      </c>
      <c r="AA5081" s="33">
        <v>2586</v>
      </c>
    </row>
    <row r="5082" spans="1:27" ht="12" customHeight="1" x14ac:dyDescent="0.15">
      <c r="A5082" s="33" t="s">
        <v>1946</v>
      </c>
      <c r="B5082" s="33">
        <v>57</v>
      </c>
      <c r="C5082" s="33" t="s">
        <v>14</v>
      </c>
      <c r="D5082" s="33" t="s">
        <v>31</v>
      </c>
      <c r="F5082" s="67">
        <v>42151</v>
      </c>
      <c r="G5082" s="33" t="s">
        <v>1947</v>
      </c>
      <c r="H5082" s="33" t="s">
        <v>1948</v>
      </c>
      <c r="I5082" s="33" t="s">
        <v>160</v>
      </c>
      <c r="J5082" s="33" t="s">
        <v>1949</v>
      </c>
      <c r="K5082" s="33" t="s">
        <v>1950</v>
      </c>
      <c r="L5082" s="33" t="s">
        <v>1951</v>
      </c>
      <c r="M5082" s="33" t="s">
        <v>21</v>
      </c>
      <c r="N5082" s="33" t="s">
        <v>1952</v>
      </c>
      <c r="O5082" s="33" t="s">
        <v>372</v>
      </c>
      <c r="P5082" s="33" t="s">
        <v>30089</v>
      </c>
      <c r="Q5082" s="40" t="str">
        <f>HYPERLINK("http://www.macon.com/2015/05/28/3768612/putnam-deputy-shoots-and-kills.html","http://www.macon.com/2015/05/28/3768612/putnam-deputy-shoots-and-kills.html")</f>
        <v>http://www.macon.com/2015/05/28/3768612/putnam-deputy-shoots-and-kills.html</v>
      </c>
      <c r="R5082" s="33" t="s">
        <v>512</v>
      </c>
      <c r="S5082" s="33" t="s">
        <v>22</v>
      </c>
      <c r="T5082" s="33" t="s">
        <v>26774</v>
      </c>
      <c r="U5082" s="33" t="s">
        <v>26572</v>
      </c>
      <c r="V5082" s="33" t="s">
        <v>26573</v>
      </c>
      <c r="W5082" s="33" t="s">
        <v>94</v>
      </c>
      <c r="X5082" s="33">
        <v>482</v>
      </c>
      <c r="Z5082" s="33" t="s">
        <v>42967</v>
      </c>
      <c r="AA5082" s="33">
        <v>2582</v>
      </c>
    </row>
    <row r="5083" spans="1:27" ht="12" customHeight="1" x14ac:dyDescent="0.15">
      <c r="A5083" s="33" t="s">
        <v>1966</v>
      </c>
      <c r="B5083" s="33">
        <v>33</v>
      </c>
      <c r="C5083" s="33" t="s">
        <v>14</v>
      </c>
      <c r="D5083" s="33" t="s">
        <v>31</v>
      </c>
      <c r="F5083" s="67">
        <v>42151</v>
      </c>
      <c r="G5083" s="33" t="s">
        <v>1967</v>
      </c>
      <c r="H5083" s="33" t="s">
        <v>1968</v>
      </c>
      <c r="I5083" s="33" t="s">
        <v>39</v>
      </c>
      <c r="J5083" s="33" t="s">
        <v>1969</v>
      </c>
      <c r="K5083" s="33" t="s">
        <v>143</v>
      </c>
      <c r="L5083" s="33" t="s">
        <v>1970</v>
      </c>
      <c r="M5083" s="33" t="s">
        <v>4966</v>
      </c>
      <c r="N5083" s="33" t="s">
        <v>1971</v>
      </c>
      <c r="O5083" s="33" t="s">
        <v>950</v>
      </c>
      <c r="P5083" s="33" t="s">
        <v>30089</v>
      </c>
      <c r="Q5083" s="40" t="str">
        <f>HYPERLINK("http://www.nbcsandiego.com/news/local/Reported-Shots-Fired-Alpine-305259931.html","http://www.nbcsandiego.com/news/local/Reported-Shots-Fired-Alpine-305259931.html")</f>
        <v>http://www.nbcsandiego.com/news/local/Reported-Shots-Fired-Alpine-305259931.html</v>
      </c>
      <c r="R5083" s="33" t="s">
        <v>512</v>
      </c>
      <c r="S5083" s="33" t="s">
        <v>29</v>
      </c>
      <c r="T5083" s="33" t="s">
        <v>26586</v>
      </c>
      <c r="U5083" s="33" t="s">
        <v>26570</v>
      </c>
      <c r="V5083" s="33" t="s">
        <v>26573</v>
      </c>
      <c r="W5083" s="33" t="s">
        <v>94</v>
      </c>
      <c r="X5083" s="33">
        <v>492</v>
      </c>
      <c r="Z5083" s="33" t="s">
        <v>42967</v>
      </c>
      <c r="AA5083" s="33">
        <v>2583</v>
      </c>
    </row>
    <row r="5084" spans="1:27" ht="12" customHeight="1" x14ac:dyDescent="0.15">
      <c r="A5084" s="33" t="s">
        <v>1927</v>
      </c>
      <c r="B5084" s="33">
        <v>20</v>
      </c>
      <c r="C5084" s="33" t="s">
        <v>14</v>
      </c>
      <c r="D5084" s="33" t="s">
        <v>15</v>
      </c>
      <c r="E5084" s="33" t="s">
        <v>1928</v>
      </c>
      <c r="F5084" s="67">
        <v>42151</v>
      </c>
      <c r="G5084" s="33" t="s">
        <v>1929</v>
      </c>
      <c r="H5084" s="33" t="s">
        <v>451</v>
      </c>
      <c r="I5084" s="33" t="s">
        <v>39</v>
      </c>
      <c r="J5084" s="33" t="s">
        <v>1930</v>
      </c>
      <c r="K5084" s="33" t="s">
        <v>92</v>
      </c>
      <c r="L5084" s="33" t="s">
        <v>452</v>
      </c>
      <c r="M5084" s="33" t="s">
        <v>4966</v>
      </c>
      <c r="N5084" s="33" t="s">
        <v>1931</v>
      </c>
      <c r="O5084" s="33" t="s">
        <v>372</v>
      </c>
      <c r="P5084" s="33" t="s">
        <v>30089</v>
      </c>
      <c r="Q5084" s="40" t="str">
        <f>HYPERLINK("http://www.presstelegram.com/general-news/20150528/man-dies-after-long-beach-officer-involved-shooting","http://www.presstelegram.com/general-news/20150528/man-dies-after-long-beach-officer-involved-shooting")</f>
        <v>http://www.presstelegram.com/general-news/20150528/man-dies-after-long-beach-officer-involved-shooting</v>
      </c>
      <c r="R5084" s="33" t="s">
        <v>904</v>
      </c>
      <c r="S5084" s="33" t="s">
        <v>12</v>
      </c>
      <c r="T5084" s="33" t="s">
        <v>29705</v>
      </c>
      <c r="U5084" s="33" t="s">
        <v>26570</v>
      </c>
      <c r="V5084" s="33" t="s">
        <v>26573</v>
      </c>
      <c r="W5084" s="33" t="s">
        <v>94</v>
      </c>
      <c r="X5084" s="33">
        <v>491</v>
      </c>
      <c r="Z5084" s="33" t="s">
        <v>42966</v>
      </c>
      <c r="AA5084" s="33">
        <v>2585</v>
      </c>
    </row>
    <row r="5085" spans="1:27" ht="12" customHeight="1" x14ac:dyDescent="0.15">
      <c r="A5085" s="33" t="s">
        <v>1990</v>
      </c>
      <c r="B5085" s="33">
        <v>51</v>
      </c>
      <c r="C5085" s="33" t="s">
        <v>14</v>
      </c>
      <c r="D5085" s="33" t="s">
        <v>79</v>
      </c>
      <c r="E5085" s="33" t="s">
        <v>1991</v>
      </c>
      <c r="F5085" s="67">
        <v>42150</v>
      </c>
      <c r="G5085" s="33" t="s">
        <v>1992</v>
      </c>
      <c r="H5085" s="33" t="s">
        <v>700</v>
      </c>
      <c r="I5085" s="33" t="s">
        <v>395</v>
      </c>
      <c r="J5085" s="33" t="s">
        <v>1993</v>
      </c>
      <c r="K5085" s="33" t="s">
        <v>700</v>
      </c>
      <c r="L5085" s="33" t="s">
        <v>539</v>
      </c>
      <c r="M5085" s="33" t="s">
        <v>21</v>
      </c>
      <c r="N5085" s="33" t="s">
        <v>1994</v>
      </c>
      <c r="O5085" s="33" t="s">
        <v>950</v>
      </c>
      <c r="P5085" s="33" t="s">
        <v>30089</v>
      </c>
      <c r="Q5085" s="40" t="str">
        <f>HYPERLINK("http://pix11.com/2015/05/26/police-shoot-man-in-brooklyn-school-parking-lot/","http://pix11.com/2015/05/26/police-shoot-man-in-brooklyn-school-parking-lot/")</f>
        <v>http://pix11.com/2015/05/26/police-shoot-man-in-brooklyn-school-parking-lot/</v>
      </c>
      <c r="R5085" s="33" t="s">
        <v>94</v>
      </c>
      <c r="S5085" s="33" t="s">
        <v>22</v>
      </c>
      <c r="T5085" s="33" t="s">
        <v>26781</v>
      </c>
      <c r="U5085" s="33" t="s">
        <v>26572</v>
      </c>
      <c r="V5085" s="33" t="s">
        <v>26573</v>
      </c>
      <c r="W5085" s="33" t="s">
        <v>94</v>
      </c>
      <c r="X5085" s="33">
        <v>477</v>
      </c>
      <c r="Z5085" s="33" t="s">
        <v>42966</v>
      </c>
      <c r="AA5085" s="33">
        <v>2578</v>
      </c>
    </row>
    <row r="5086" spans="1:27" ht="12" customHeight="1" x14ac:dyDescent="0.15">
      <c r="A5086" s="33" t="s">
        <v>2002</v>
      </c>
      <c r="B5086" s="33">
        <v>62</v>
      </c>
      <c r="C5086" s="33" t="s">
        <v>14</v>
      </c>
      <c r="D5086" s="33" t="s">
        <v>31</v>
      </c>
      <c r="F5086" s="67">
        <v>42150</v>
      </c>
      <c r="G5086" s="33" t="s">
        <v>2003</v>
      </c>
      <c r="H5086" s="33" t="s">
        <v>2004</v>
      </c>
      <c r="I5086" s="33" t="s">
        <v>282</v>
      </c>
      <c r="J5086" s="33" t="s">
        <v>2005</v>
      </c>
      <c r="K5086" s="33" t="s">
        <v>2004</v>
      </c>
      <c r="L5086" s="33" t="s">
        <v>2006</v>
      </c>
      <c r="M5086" s="33" t="s">
        <v>21</v>
      </c>
      <c r="N5086" s="33" t="s">
        <v>2007</v>
      </c>
      <c r="O5086" s="33" t="s">
        <v>2008</v>
      </c>
      <c r="P5086" s="33" t="s">
        <v>30089</v>
      </c>
      <c r="Q5086" s="40" t="str">
        <f>HYPERLINK("http://www.kirotv.com/news/news/breaking-news-deputy-shoots-kills-man-near-monroe/nmNnq/","http://www.kirotv.com/news/news/breaking-news-deputy-shoots-kills-man-near-monroe/nmNnq/")</f>
        <v>http://www.kirotv.com/news/news/breaking-news-deputy-shoots-kills-man-near-monroe/nmNnq/</v>
      </c>
      <c r="R5086" s="33" t="s">
        <v>512</v>
      </c>
      <c r="S5086" s="33" t="s">
        <v>22</v>
      </c>
      <c r="T5086" s="33" t="s">
        <v>26781</v>
      </c>
      <c r="U5086" s="33" t="s">
        <v>26572</v>
      </c>
      <c r="V5086" s="33" t="s">
        <v>26573</v>
      </c>
      <c r="W5086" s="33" t="s">
        <v>94</v>
      </c>
      <c r="X5086" s="33">
        <v>530</v>
      </c>
      <c r="Z5086" s="33" t="s">
        <v>42968</v>
      </c>
      <c r="AA5086" s="33">
        <v>2579</v>
      </c>
    </row>
    <row r="5087" spans="1:27" ht="12" customHeight="1" x14ac:dyDescent="0.15">
      <c r="A5087" s="33" t="s">
        <v>1995</v>
      </c>
      <c r="B5087" s="33">
        <v>24</v>
      </c>
      <c r="C5087" s="33" t="s">
        <v>14</v>
      </c>
      <c r="D5087" s="33" t="s">
        <v>31</v>
      </c>
      <c r="E5087" s="33" t="s">
        <v>1996</v>
      </c>
      <c r="F5087" s="67">
        <v>42150</v>
      </c>
      <c r="G5087" s="33" t="s">
        <v>1997</v>
      </c>
      <c r="H5087" s="33" t="s">
        <v>1998</v>
      </c>
      <c r="I5087" s="33" t="s">
        <v>19</v>
      </c>
      <c r="J5087" s="33" t="s">
        <v>1999</v>
      </c>
      <c r="K5087" s="33" t="s">
        <v>2000</v>
      </c>
      <c r="L5087" s="33" t="s">
        <v>377</v>
      </c>
      <c r="M5087" s="33" t="s">
        <v>21</v>
      </c>
      <c r="N5087" s="33" t="s">
        <v>2001</v>
      </c>
      <c r="O5087" s="33" t="s">
        <v>950</v>
      </c>
      <c r="P5087" s="33" t="s">
        <v>30089</v>
      </c>
      <c r="Q5087" s="40" t="str">
        <f>HYPERLINK("http://www.nbcdfw.com/news/local/9-Year-Old-Child-Reported-Missing-in-Benbrook-304947651.html","http://www.nbcdfw.com/news/local/9-Year-Old-Child-Reported-Missing-in-Benbrook-304947651.html")</f>
        <v>http://www.nbcdfw.com/news/local/9-Year-Old-Child-Reported-Missing-in-Benbrook-304947651.html</v>
      </c>
      <c r="R5087" s="33" t="s">
        <v>94</v>
      </c>
      <c r="S5087" s="33" t="s">
        <v>29</v>
      </c>
      <c r="T5087" s="33" t="s">
        <v>26575</v>
      </c>
      <c r="U5087" s="33" t="s">
        <v>26572</v>
      </c>
      <c r="V5087" s="33" t="s">
        <v>26573</v>
      </c>
      <c r="W5087" s="33" t="s">
        <v>94</v>
      </c>
      <c r="X5087" s="33">
        <v>479</v>
      </c>
      <c r="Z5087" s="33" t="s">
        <v>42968</v>
      </c>
      <c r="AA5087" s="33">
        <v>2580</v>
      </c>
    </row>
    <row r="5088" spans="1:27" ht="12" customHeight="1" x14ac:dyDescent="0.15">
      <c r="A5088" s="33" t="s">
        <v>2017</v>
      </c>
      <c r="B5088" s="33">
        <v>31</v>
      </c>
      <c r="C5088" s="33" t="s">
        <v>103</v>
      </c>
      <c r="D5088" s="33" t="s">
        <v>31</v>
      </c>
      <c r="F5088" s="67">
        <v>42149</v>
      </c>
      <c r="G5088" s="33" t="s">
        <v>2018</v>
      </c>
      <c r="H5088" s="33" t="s">
        <v>1227</v>
      </c>
      <c r="I5088" s="33" t="s">
        <v>67</v>
      </c>
      <c r="J5088" s="33" t="s">
        <v>2019</v>
      </c>
      <c r="K5088" s="33" t="s">
        <v>1228</v>
      </c>
      <c r="L5088" s="33" t="s">
        <v>1229</v>
      </c>
      <c r="M5088" s="33" t="s">
        <v>21</v>
      </c>
      <c r="N5088" s="33" t="s">
        <v>2020</v>
      </c>
      <c r="O5088" s="33" t="s">
        <v>950</v>
      </c>
      <c r="P5088" s="33" t="s">
        <v>30089</v>
      </c>
      <c r="Q5088" s="40" t="str">
        <f>HYPERLINK("http://kxan.com/2015/05/25/woman-shot-dead-after-five-hour-standoff-with-apd-swat-officers/","http://kxan.com/2015/05/25/woman-shot-dead-after-five-hour-standoff-with-apd-swat-officers/")</f>
        <v>http://kxan.com/2015/05/25/woman-shot-dead-after-five-hour-standoff-with-apd-swat-officers/</v>
      </c>
      <c r="R5088" s="33" t="s">
        <v>512</v>
      </c>
      <c r="S5088" s="33" t="s">
        <v>22</v>
      </c>
      <c r="T5088" s="33" t="s">
        <v>26781</v>
      </c>
      <c r="U5088" s="33" t="s">
        <v>26572</v>
      </c>
      <c r="V5088" s="33" t="s">
        <v>26573</v>
      </c>
      <c r="W5088" s="33" t="s">
        <v>94</v>
      </c>
      <c r="X5088" s="33">
        <v>475</v>
      </c>
      <c r="Z5088" s="33" t="s">
        <v>42968</v>
      </c>
      <c r="AA5088" s="33">
        <v>2576</v>
      </c>
    </row>
    <row r="5089" spans="1:27" ht="12" customHeight="1" x14ac:dyDescent="0.15">
      <c r="A5089" s="33" t="s">
        <v>2009</v>
      </c>
      <c r="B5089" s="33">
        <v>36</v>
      </c>
      <c r="C5089" s="33" t="s">
        <v>14</v>
      </c>
      <c r="D5089" s="33" t="s">
        <v>79</v>
      </c>
      <c r="E5089" s="33" t="s">
        <v>2010</v>
      </c>
      <c r="F5089" s="67">
        <v>42149</v>
      </c>
      <c r="G5089" s="33" t="s">
        <v>2011</v>
      </c>
      <c r="H5089" s="33" t="s">
        <v>2012</v>
      </c>
      <c r="I5089" s="33" t="s">
        <v>88</v>
      </c>
      <c r="J5089" s="33" t="s">
        <v>2013</v>
      </c>
      <c r="K5089" s="33" t="s">
        <v>2014</v>
      </c>
      <c r="L5089" s="33" t="s">
        <v>2015</v>
      </c>
      <c r="M5089" s="33" t="s">
        <v>21</v>
      </c>
      <c r="N5089" s="33" t="s">
        <v>2016</v>
      </c>
      <c r="O5089" s="33" t="s">
        <v>950</v>
      </c>
      <c r="P5089" s="33" t="s">
        <v>30089</v>
      </c>
      <c r="Q5089" s="40" t="str">
        <f>HYPERLINK("http://www.waaytv.com/appnews/huntsville-police-investigate-fatal-officer-involved-shooting/article_ed55e3aa-035d-11e5-86b1-a7abaa619c23.html","http://www.waaytv.com/appnews/huntsville-police-investigate-fatal-officer-involved-shooting/article_ed55e3aa-035d-11e5-86b1-a7abaa619c23.html")</f>
        <v>http://www.waaytv.com/appnews/huntsville-police-investigate-fatal-officer-involved-shooting/article_ed55e3aa-035d-11e5-86b1-a7abaa619c23.html</v>
      </c>
      <c r="R5089" s="33" t="s">
        <v>512</v>
      </c>
      <c r="S5089" s="33" t="s">
        <v>22</v>
      </c>
      <c r="T5089" s="33" t="s">
        <v>26774</v>
      </c>
      <c r="U5089" s="33" t="s">
        <v>26572</v>
      </c>
      <c r="V5089" s="33" t="s">
        <v>26573</v>
      </c>
      <c r="W5089" s="33" t="s">
        <v>94</v>
      </c>
      <c r="X5089" s="33">
        <v>476</v>
      </c>
      <c r="Z5089" s="33" t="s">
        <v>42968</v>
      </c>
      <c r="AA5089" s="33">
        <v>2577</v>
      </c>
    </row>
    <row r="5090" spans="1:27" ht="12" customHeight="1" x14ac:dyDescent="0.15">
      <c r="A5090" s="33" t="s">
        <v>2027</v>
      </c>
      <c r="B5090" s="33">
        <v>25</v>
      </c>
      <c r="C5090" s="33" t="s">
        <v>14</v>
      </c>
      <c r="D5090" s="33" t="s">
        <v>79</v>
      </c>
      <c r="F5090" s="67">
        <v>42147</v>
      </c>
      <c r="G5090" s="33" t="s">
        <v>2028</v>
      </c>
      <c r="H5090" s="33" t="s">
        <v>415</v>
      </c>
      <c r="I5090" s="33" t="s">
        <v>51</v>
      </c>
      <c r="J5090" s="33" t="s">
        <v>2029</v>
      </c>
      <c r="K5090" s="33" t="s">
        <v>1057</v>
      </c>
      <c r="L5090" s="33" t="s">
        <v>2030</v>
      </c>
      <c r="M5090" s="33" t="s">
        <v>21</v>
      </c>
      <c r="N5090" s="33" t="s">
        <v>2031</v>
      </c>
      <c r="O5090" s="33" t="s">
        <v>950</v>
      </c>
      <c r="P5090" s="33" t="s">
        <v>30089</v>
      </c>
      <c r="Q5090" s="40" t="str">
        <f>HYPERLINK("http://www.freep.com/story/news/local/michigan/detroit/2015/05/23/barricaded-standoff-detroit/27839681/","http://www.freep.com/story/news/local/michigan/detroit/2015/05/23/barricaded-standoff-detroit/27839681/")</f>
        <v>http://www.freep.com/story/news/local/michigan/detroit/2015/05/23/barricaded-standoff-detroit/27839681/</v>
      </c>
      <c r="R5090" s="33" t="s">
        <v>512</v>
      </c>
      <c r="S5090" s="33" t="s">
        <v>22</v>
      </c>
      <c r="T5090" s="33" t="s">
        <v>26781</v>
      </c>
      <c r="U5090" s="33" t="s">
        <v>26572</v>
      </c>
      <c r="V5090" s="33" t="s">
        <v>26573</v>
      </c>
      <c r="W5090" s="33" t="s">
        <v>94</v>
      </c>
      <c r="X5090" s="33">
        <v>529</v>
      </c>
      <c r="Z5090" s="33" t="s">
        <v>42966</v>
      </c>
      <c r="AA5090" s="33">
        <v>2575</v>
      </c>
    </row>
    <row r="5091" spans="1:27" ht="12" customHeight="1" x14ac:dyDescent="0.15">
      <c r="A5091" s="33" t="s">
        <v>2021</v>
      </c>
      <c r="B5091" s="33">
        <v>40</v>
      </c>
      <c r="C5091" s="33" t="s">
        <v>14</v>
      </c>
      <c r="D5091" s="33" t="s">
        <v>31</v>
      </c>
      <c r="F5091" s="67">
        <v>42147</v>
      </c>
      <c r="G5091" s="33" t="s">
        <v>2022</v>
      </c>
      <c r="H5091" s="33" t="s">
        <v>2023</v>
      </c>
      <c r="I5091" s="33" t="s">
        <v>112</v>
      </c>
      <c r="J5091" s="33" t="s">
        <v>2024</v>
      </c>
      <c r="K5091" s="33" t="s">
        <v>2025</v>
      </c>
      <c r="L5091" s="33" t="s">
        <v>36919</v>
      </c>
      <c r="M5091" s="33" t="s">
        <v>21</v>
      </c>
      <c r="N5091" s="33" t="s">
        <v>2026</v>
      </c>
      <c r="O5091" s="33" t="s">
        <v>372</v>
      </c>
      <c r="P5091" s="33" t="s">
        <v>30089</v>
      </c>
      <c r="Q5091" s="40" t="str">
        <f>HYPERLINK("http://www.kpho.com/story/29143797/suspect-dead-following-police-shooting-in-eagar-ariz","http://www.kpho.com/story/29143797/suspect-dead-following-police-shooting-in-eagar-ariz")</f>
        <v>http://www.kpho.com/story/29143797/suspect-dead-following-police-shooting-in-eagar-ariz</v>
      </c>
      <c r="R5091" s="33" t="s">
        <v>23</v>
      </c>
      <c r="S5091" s="33" t="s">
        <v>22</v>
      </c>
      <c r="T5091" s="33" t="s">
        <v>26781</v>
      </c>
      <c r="U5091" s="33" t="s">
        <v>26572</v>
      </c>
      <c r="V5091" s="33" t="s">
        <v>26571</v>
      </c>
      <c r="W5091" s="33" t="s">
        <v>94</v>
      </c>
      <c r="X5091" s="33">
        <v>474</v>
      </c>
      <c r="Z5091" s="33" t="s">
        <v>42967</v>
      </c>
      <c r="AA5091" s="33">
        <v>2574</v>
      </c>
    </row>
    <row r="5092" spans="1:27" ht="12" customHeight="1" x14ac:dyDescent="0.15">
      <c r="A5092" s="33" t="s">
        <v>2032</v>
      </c>
      <c r="B5092" s="33">
        <v>47</v>
      </c>
      <c r="C5092" s="33" t="s">
        <v>14</v>
      </c>
      <c r="D5092" s="33" t="s">
        <v>31</v>
      </c>
      <c r="E5092" s="33" t="s">
        <v>2033</v>
      </c>
      <c r="F5092" s="67">
        <v>42147</v>
      </c>
      <c r="G5092" s="33" t="s">
        <v>2034</v>
      </c>
      <c r="H5092" s="33" t="s">
        <v>2035</v>
      </c>
      <c r="I5092" s="33" t="s">
        <v>402</v>
      </c>
      <c r="J5092" s="33" t="s">
        <v>2036</v>
      </c>
      <c r="K5092" s="33" t="s">
        <v>2037</v>
      </c>
      <c r="L5092" s="33" t="s">
        <v>2038</v>
      </c>
      <c r="M5092" s="33" t="s">
        <v>21</v>
      </c>
      <c r="N5092" s="33" t="s">
        <v>2039</v>
      </c>
      <c r="O5092" s="33" t="s">
        <v>950</v>
      </c>
      <c r="P5092" s="33" t="s">
        <v>30089</v>
      </c>
      <c r="Q5092" s="40" t="str">
        <f>HYPERLINK("http://www.kshb.com/news/crime/james-horn-man-who-locked-woman-in-box-wanted-in-connection-to-double-murder","http://www.kshb.com/news/crime/james-horn-man-who-locked-woman-in-box-wanted-in-connection-to-double-murder")</f>
        <v>http://www.kshb.com/news/crime/james-horn-man-who-locked-woman-in-box-wanted-in-connection-to-double-murder</v>
      </c>
      <c r="R5092" s="33" t="s">
        <v>94</v>
      </c>
      <c r="S5092" s="33" t="s">
        <v>22</v>
      </c>
      <c r="T5092" s="33" t="s">
        <v>26781</v>
      </c>
      <c r="U5092" s="33" t="s">
        <v>26572</v>
      </c>
      <c r="V5092" s="33" t="s">
        <v>26573</v>
      </c>
      <c r="W5092" s="33" t="s">
        <v>94</v>
      </c>
      <c r="X5092" s="33">
        <v>473</v>
      </c>
      <c r="Z5092" s="33" t="s">
        <v>42967</v>
      </c>
      <c r="AA5092" s="33">
        <v>2573</v>
      </c>
    </row>
    <row r="5093" spans="1:27" ht="12" customHeight="1" x14ac:dyDescent="0.15">
      <c r="A5093" s="33" t="s">
        <v>2040</v>
      </c>
      <c r="B5093" s="33">
        <v>40</v>
      </c>
      <c r="C5093" s="33" t="s">
        <v>14</v>
      </c>
      <c r="D5093" s="33" t="s">
        <v>31</v>
      </c>
      <c r="E5093" s="33" t="s">
        <v>2041</v>
      </c>
      <c r="F5093" s="67">
        <v>42146</v>
      </c>
      <c r="G5093" s="33" t="s">
        <v>2042</v>
      </c>
      <c r="H5093" s="33" t="s">
        <v>2043</v>
      </c>
      <c r="I5093" s="33" t="s">
        <v>376</v>
      </c>
      <c r="J5093" s="33" t="s">
        <v>2044</v>
      </c>
      <c r="K5093" s="33" t="s">
        <v>2043</v>
      </c>
      <c r="L5093" s="33" t="s">
        <v>8484</v>
      </c>
      <c r="M5093" s="33" t="s">
        <v>21</v>
      </c>
      <c r="N5093" s="33" t="s">
        <v>2045</v>
      </c>
      <c r="O5093" s="33" t="s">
        <v>372</v>
      </c>
      <c r="P5093" s="33" t="s">
        <v>30089</v>
      </c>
      <c r="Q5093" s="40" t="str">
        <f>HYPERLINK("http://www.wpxi.com/news/news/local/troopers-shoot-person-inside-grocery-store/nmMF2/","http://www.wpxi.com/news/news/local/troopers-shoot-person-inside-grocery-store/nmMF2/")</f>
        <v>http://www.wpxi.com/news/news/local/troopers-shoot-person-inside-grocery-store/nmMF2/</v>
      </c>
      <c r="R5093" s="33" t="s">
        <v>94</v>
      </c>
      <c r="S5093" s="33" t="s">
        <v>12</v>
      </c>
      <c r="T5093" s="33" t="s">
        <v>29425</v>
      </c>
      <c r="U5093" s="33" t="s">
        <v>26572</v>
      </c>
      <c r="V5093" s="33" t="s">
        <v>26573</v>
      </c>
      <c r="W5093" s="33" t="s">
        <v>94</v>
      </c>
      <c r="X5093" s="33">
        <v>472</v>
      </c>
      <c r="Z5093" s="33" t="s">
        <v>42967</v>
      </c>
      <c r="AA5093" s="33">
        <v>2572</v>
      </c>
    </row>
    <row r="5094" spans="1:27" ht="12" customHeight="1" x14ac:dyDescent="0.15">
      <c r="A5094" s="33" t="s">
        <v>2061</v>
      </c>
      <c r="B5094" s="33">
        <v>32</v>
      </c>
      <c r="C5094" s="33" t="s">
        <v>14</v>
      </c>
      <c r="D5094" s="33" t="s">
        <v>79</v>
      </c>
      <c r="E5094" s="33" t="s">
        <v>2062</v>
      </c>
      <c r="F5094" s="67">
        <v>42145</v>
      </c>
      <c r="G5094" s="33" t="s">
        <v>2063</v>
      </c>
      <c r="H5094" s="33" t="s">
        <v>2064</v>
      </c>
      <c r="I5094" s="33" t="s">
        <v>26</v>
      </c>
      <c r="J5094" s="33" t="s">
        <v>2065</v>
      </c>
      <c r="K5094" s="33" t="s">
        <v>2064</v>
      </c>
      <c r="L5094" s="33" t="s">
        <v>2066</v>
      </c>
      <c r="M5094" s="33" t="s">
        <v>21</v>
      </c>
      <c r="N5094" s="33" t="s">
        <v>2067</v>
      </c>
      <c r="O5094" s="33" t="s">
        <v>950</v>
      </c>
      <c r="P5094" s="33" t="s">
        <v>30089</v>
      </c>
      <c r="Q5094" s="40" t="str">
        <f>HYPERLINK("http://www.abcnews4.com/story/29122044/police-close-off-downtown-charleston-streets-believe-lt-rogers-shooting-suspect-inside","http://www.abcnews4.com/story/29122044/police-close-off-downtown-charleston-streets-believe-lt-rogers-shooting-suspect-inside")</f>
        <v>http://www.abcnews4.com/story/29122044/police-close-off-downtown-charleston-streets-believe-lt-rogers-shooting-suspect-inside</v>
      </c>
      <c r="R5094" s="33" t="s">
        <v>94</v>
      </c>
      <c r="S5094" s="33" t="s">
        <v>22</v>
      </c>
      <c r="T5094" s="33" t="s">
        <v>26781</v>
      </c>
      <c r="U5094" s="33" t="s">
        <v>26572</v>
      </c>
      <c r="V5094" s="33" t="s">
        <v>26573</v>
      </c>
      <c r="W5094" s="33" t="s">
        <v>94</v>
      </c>
      <c r="X5094" s="33">
        <v>487</v>
      </c>
      <c r="Z5094" s="33" t="s">
        <v>42966</v>
      </c>
      <c r="AA5094" s="33">
        <v>2568</v>
      </c>
    </row>
    <row r="5095" spans="1:27" ht="12" customHeight="1" x14ac:dyDescent="0.15">
      <c r="A5095" s="33" t="s">
        <v>2072</v>
      </c>
      <c r="B5095" s="33">
        <v>22</v>
      </c>
      <c r="C5095" s="33" t="s">
        <v>14</v>
      </c>
      <c r="D5095" s="33" t="s">
        <v>42</v>
      </c>
      <c r="F5095" s="67">
        <v>42145</v>
      </c>
      <c r="G5095" s="33" t="s">
        <v>2073</v>
      </c>
      <c r="H5095" s="33" t="s">
        <v>801</v>
      </c>
      <c r="I5095" s="33" t="s">
        <v>67</v>
      </c>
      <c r="J5095" s="33" t="s">
        <v>2074</v>
      </c>
      <c r="K5095" s="33" t="s">
        <v>801</v>
      </c>
      <c r="L5095" s="33" t="s">
        <v>802</v>
      </c>
      <c r="M5095" s="33" t="s">
        <v>21</v>
      </c>
      <c r="N5095" s="33" t="s">
        <v>2075</v>
      </c>
      <c r="O5095" s="33" t="s">
        <v>507</v>
      </c>
      <c r="P5095" s="33" t="s">
        <v>30089</v>
      </c>
      <c r="Q5095" s="40" t="str">
        <f>HYPERLINK("http://www.elpasotimes.com/latestnews/ci_28159979/officer-involved-shooting-northeast-el-paso","http://www.elpasotimes.com/latestnews/ci_28159979/officer-involved-shooting-northeast-el-paso")</f>
        <v>http://www.elpasotimes.com/latestnews/ci_28159979/officer-involved-shooting-northeast-el-paso</v>
      </c>
      <c r="R5095" s="33" t="s">
        <v>512</v>
      </c>
      <c r="S5095" s="33" t="s">
        <v>22</v>
      </c>
      <c r="T5095" s="33" t="s">
        <v>26781</v>
      </c>
      <c r="U5095" s="33" t="s">
        <v>26575</v>
      </c>
      <c r="V5095" s="33" t="s">
        <v>26573</v>
      </c>
      <c r="W5095" s="33" t="s">
        <v>94</v>
      </c>
      <c r="X5095" s="33">
        <v>469</v>
      </c>
      <c r="Z5095" s="33" t="s">
        <v>42968</v>
      </c>
      <c r="AA5095" s="33">
        <v>2567</v>
      </c>
    </row>
    <row r="5096" spans="1:27" ht="12" customHeight="1" x14ac:dyDescent="0.15">
      <c r="A5096" s="33" t="s">
        <v>2068</v>
      </c>
      <c r="B5096" s="33">
        <v>24</v>
      </c>
      <c r="C5096" s="33" t="s">
        <v>14</v>
      </c>
      <c r="D5096" s="33" t="s">
        <v>42</v>
      </c>
      <c r="E5096" s="33" t="s">
        <v>2069</v>
      </c>
      <c r="F5096" s="67">
        <v>42145</v>
      </c>
      <c r="G5096" s="33" t="s">
        <v>2070</v>
      </c>
      <c r="H5096" s="33" t="s">
        <v>1703</v>
      </c>
      <c r="I5096" s="33" t="s">
        <v>75</v>
      </c>
      <c r="J5096" s="33" t="s">
        <v>1704</v>
      </c>
      <c r="K5096" s="33" t="s">
        <v>1705</v>
      </c>
      <c r="L5096" s="33" t="s">
        <v>1706</v>
      </c>
      <c r="M5096" s="33" t="s">
        <v>21</v>
      </c>
      <c r="N5096" s="33" t="s">
        <v>2071</v>
      </c>
      <c r="O5096" s="33" t="s">
        <v>950</v>
      </c>
      <c r="P5096" s="33" t="s">
        <v>30089</v>
      </c>
      <c r="Q5096" s="40" t="str">
        <f>HYPERLINK("http://www.nj.com/bergen/index.ssf/2015/05/police-involved_shooting_under_investigation_in_ha.html","http://www.nj.com/bergen/index.ssf/2015/05/police-involved_shooting_under_investigation_in_ha.html")</f>
        <v>http://www.nj.com/bergen/index.ssf/2015/05/police-involved_shooting_under_investigation_in_ha.html</v>
      </c>
      <c r="R5096" s="33" t="s">
        <v>512</v>
      </c>
      <c r="S5096" s="33" t="s">
        <v>22</v>
      </c>
      <c r="T5096" s="33" t="s">
        <v>26774</v>
      </c>
      <c r="U5096" s="33" t="s">
        <v>26570</v>
      </c>
      <c r="V5096" s="33" t="s">
        <v>26573</v>
      </c>
      <c r="W5096" s="33" t="s">
        <v>94</v>
      </c>
      <c r="X5096" s="33">
        <v>485</v>
      </c>
      <c r="Z5096" s="33" t="s">
        <v>42966</v>
      </c>
      <c r="AA5096" s="33">
        <v>2571</v>
      </c>
    </row>
    <row r="5097" spans="1:27" ht="12" customHeight="1" x14ac:dyDescent="0.15">
      <c r="A5097" s="33" t="s">
        <v>2083</v>
      </c>
      <c r="B5097" s="33">
        <v>43</v>
      </c>
      <c r="C5097" s="33" t="s">
        <v>14</v>
      </c>
      <c r="D5097" s="33" t="s">
        <v>31</v>
      </c>
      <c r="E5097" s="33" t="s">
        <v>2084</v>
      </c>
      <c r="F5097" s="67">
        <v>42145</v>
      </c>
      <c r="G5097" s="33" t="s">
        <v>2085</v>
      </c>
      <c r="H5097" s="33" t="s">
        <v>2064</v>
      </c>
      <c r="I5097" s="33" t="s">
        <v>26</v>
      </c>
      <c r="J5097" s="33" t="s">
        <v>2086</v>
      </c>
      <c r="K5097" s="33" t="s">
        <v>2064</v>
      </c>
      <c r="L5097" s="33" t="s">
        <v>2087</v>
      </c>
      <c r="M5097" s="33" t="s">
        <v>21</v>
      </c>
      <c r="N5097" s="33" t="s">
        <v>2088</v>
      </c>
      <c r="O5097" s="33" t="s">
        <v>950</v>
      </c>
      <c r="P5097" s="33" t="s">
        <v>30089</v>
      </c>
      <c r="Q5097" s="40" t="str">
        <f>HYPERLINK("http://www.postandcourier.com/article/20150521/PC16/150529889/man-shot-last-night-after-cutting-deputy-dies","http://www.postandcourier.com/article/20150521/PC16/150529889/man-shot-last-night-after-cutting-deputy-dies")</f>
        <v>http://www.postandcourier.com/article/20150521/PC16/150529889/man-shot-last-night-after-cutting-deputy-dies</v>
      </c>
      <c r="R5097" s="33" t="s">
        <v>94</v>
      </c>
      <c r="S5097" s="33" t="s">
        <v>22</v>
      </c>
      <c r="T5097" s="33" t="s">
        <v>26774</v>
      </c>
      <c r="U5097" s="33" t="s">
        <v>26572</v>
      </c>
      <c r="V5097" s="33" t="s">
        <v>26573</v>
      </c>
      <c r="W5097" s="33" t="s">
        <v>94</v>
      </c>
      <c r="X5097" s="33">
        <v>484</v>
      </c>
      <c r="Z5097" s="33" t="s">
        <v>42968</v>
      </c>
      <c r="AA5097" s="33">
        <v>2570</v>
      </c>
    </row>
    <row r="5098" spans="1:27" ht="12" customHeight="1" x14ac:dyDescent="0.15">
      <c r="A5098" s="33" t="s">
        <v>2048</v>
      </c>
      <c r="B5098" s="33">
        <v>29</v>
      </c>
      <c r="C5098" s="33" t="s">
        <v>14</v>
      </c>
      <c r="D5098" s="33" t="s">
        <v>79</v>
      </c>
      <c r="E5098" s="33" t="s">
        <v>2049</v>
      </c>
      <c r="F5098" s="67">
        <v>42145</v>
      </c>
      <c r="G5098" s="33" t="s">
        <v>2050</v>
      </c>
      <c r="H5098" s="33" t="s">
        <v>2046</v>
      </c>
      <c r="I5098" s="33" t="s">
        <v>56</v>
      </c>
      <c r="J5098" s="33" t="s">
        <v>2051</v>
      </c>
      <c r="K5098" s="33" t="s">
        <v>1052</v>
      </c>
      <c r="L5098" s="33" t="s">
        <v>2052</v>
      </c>
      <c r="M5098" s="33" t="s">
        <v>21</v>
      </c>
      <c r="N5098" s="33" t="s">
        <v>2053</v>
      </c>
      <c r="O5098" s="33" t="s">
        <v>950</v>
      </c>
      <c r="P5098" s="33" t="s">
        <v>30089</v>
      </c>
      <c r="Q5098" s="40" t="str">
        <f>HYPERLINK("http://www.wsvn.com/story/29128211/man-dead-after-barricading-himself-inside-fort-lauderdale-home","http://www.wsvn.com/story/29128211/man-dead-after-barricading-himself-inside-fort-lauderdale-home")</f>
        <v>http://www.wsvn.com/story/29128211/man-dead-after-barricading-himself-inside-fort-lauderdale-home</v>
      </c>
      <c r="R5098" s="33" t="s">
        <v>904</v>
      </c>
      <c r="S5098" s="33" t="s">
        <v>22</v>
      </c>
      <c r="T5098" s="33" t="s">
        <v>26774</v>
      </c>
      <c r="U5098" s="33" t="s">
        <v>26572</v>
      </c>
      <c r="V5098" s="33" t="s">
        <v>26573</v>
      </c>
      <c r="W5098" s="33" t="s">
        <v>94</v>
      </c>
      <c r="X5098" s="33">
        <v>483</v>
      </c>
      <c r="Z5098" s="33" t="s">
        <v>42968</v>
      </c>
      <c r="AA5098" s="33">
        <v>2569</v>
      </c>
    </row>
    <row r="5099" spans="1:27" ht="12" customHeight="1" x14ac:dyDescent="0.15">
      <c r="A5099" s="33" t="s">
        <v>2089</v>
      </c>
      <c r="B5099" s="33">
        <v>39</v>
      </c>
      <c r="C5099" s="33" t="s">
        <v>103</v>
      </c>
      <c r="D5099" s="33" t="s">
        <v>31</v>
      </c>
      <c r="E5099" s="33" t="s">
        <v>2090</v>
      </c>
      <c r="F5099" s="67">
        <v>42144</v>
      </c>
      <c r="G5099" s="33" t="s">
        <v>2091</v>
      </c>
      <c r="H5099" s="33" t="s">
        <v>2092</v>
      </c>
      <c r="I5099" s="33" t="s">
        <v>1020</v>
      </c>
      <c r="J5099" s="33" t="s">
        <v>2093</v>
      </c>
      <c r="K5099" s="33" t="s">
        <v>2094</v>
      </c>
      <c r="L5099" s="33" t="s">
        <v>2095</v>
      </c>
      <c r="M5099" s="33" t="s">
        <v>4966</v>
      </c>
      <c r="N5099" s="33" t="s">
        <v>2096</v>
      </c>
      <c r="O5099" s="33" t="s">
        <v>372</v>
      </c>
      <c r="P5099" s="33" t="s">
        <v>30089</v>
      </c>
      <c r="Q5099" s="40" t="str">
        <f>HYPERLINK("http://www.gillettenewsrecord.com/news/local/article_8ce9749e-ffea-11e4-b7e5-5f207815da4f.html","http://www.gillettenewsrecord.com/news/local/article_8ce9749e-ffea-11e4-b7e5-5f207815da4f.html")</f>
        <v>http://www.gillettenewsrecord.com/news/local/article_8ce9749e-ffea-11e4-b7e5-5f207815da4f.html</v>
      </c>
      <c r="R5099" s="33" t="s">
        <v>94</v>
      </c>
      <c r="S5099" s="33" t="s">
        <v>22</v>
      </c>
      <c r="T5099" s="33" t="s">
        <v>26774</v>
      </c>
      <c r="U5099" s="33" t="s">
        <v>26570</v>
      </c>
      <c r="V5099" s="33" t="s">
        <v>26571</v>
      </c>
      <c r="W5099" s="33" t="s">
        <v>94</v>
      </c>
      <c r="X5099" s="33">
        <v>486</v>
      </c>
      <c r="Z5099" s="33" t="s">
        <v>42968</v>
      </c>
      <c r="AA5099" s="33">
        <v>2566</v>
      </c>
    </row>
    <row r="5100" spans="1:27" ht="12" customHeight="1" x14ac:dyDescent="0.15">
      <c r="A5100" s="33" t="s">
        <v>2110</v>
      </c>
      <c r="B5100" s="33">
        <v>52</v>
      </c>
      <c r="C5100" s="33" t="s">
        <v>14</v>
      </c>
      <c r="D5100" s="33" t="s">
        <v>31</v>
      </c>
      <c r="E5100" s="33" t="s">
        <v>2111</v>
      </c>
      <c r="F5100" s="67">
        <v>42144</v>
      </c>
      <c r="G5100" s="33" t="s">
        <v>2112</v>
      </c>
      <c r="H5100" s="33" t="s">
        <v>1038</v>
      </c>
      <c r="I5100" s="33" t="s">
        <v>63</v>
      </c>
      <c r="J5100" s="33" t="s">
        <v>2113</v>
      </c>
      <c r="K5100" s="33" t="s">
        <v>2114</v>
      </c>
      <c r="L5100" s="33" t="s">
        <v>2115</v>
      </c>
      <c r="M5100" s="33" t="s">
        <v>4966</v>
      </c>
      <c r="N5100" s="33" t="s">
        <v>2116</v>
      </c>
      <c r="O5100" s="33" t="s">
        <v>950</v>
      </c>
      <c r="P5100" s="33" t="s">
        <v>30089</v>
      </c>
      <c r="Q5100" s="40" t="str">
        <f>HYPERLINK("http://www.newsnet5.com/news/local-news/oh-summit/summit-county-sheriffs-deputy-fatally-shoots-man-with-knife-in-green","http://www.newsnet5.com/news/local-news/oh-summit/summit-county-sheriffs-deputy-fatally-shoots-man-with-knife-in-green")</f>
        <v>http://www.newsnet5.com/news/local-news/oh-summit/summit-county-sheriffs-deputy-fatally-shoots-man-with-knife-in-green</v>
      </c>
      <c r="R5100" s="33" t="s">
        <v>94</v>
      </c>
      <c r="S5100" s="33" t="s">
        <v>22</v>
      </c>
      <c r="T5100" s="33" t="s">
        <v>26774</v>
      </c>
      <c r="U5100" s="33" t="s">
        <v>26570</v>
      </c>
      <c r="V5100" s="33" t="s">
        <v>26573</v>
      </c>
      <c r="W5100" s="33" t="s">
        <v>94</v>
      </c>
      <c r="X5100" s="33">
        <v>467</v>
      </c>
      <c r="Z5100" s="33" t="s">
        <v>42968</v>
      </c>
      <c r="AA5100" s="33">
        <v>2565</v>
      </c>
    </row>
    <row r="5101" spans="1:27" ht="12" customHeight="1" x14ac:dyDescent="0.15">
      <c r="A5101" s="33" t="s">
        <v>2054</v>
      </c>
      <c r="B5101" s="33">
        <v>38</v>
      </c>
      <c r="C5101" s="33" t="s">
        <v>14</v>
      </c>
      <c r="D5101" s="33" t="s">
        <v>79</v>
      </c>
      <c r="E5101" s="33" t="s">
        <v>2055</v>
      </c>
      <c r="F5101" s="67">
        <v>42144</v>
      </c>
      <c r="G5101" s="33" t="s">
        <v>2056</v>
      </c>
      <c r="H5101" s="33" t="s">
        <v>2057</v>
      </c>
      <c r="I5101" s="33" t="s">
        <v>294</v>
      </c>
      <c r="J5101" s="33" t="s">
        <v>2058</v>
      </c>
      <c r="K5101" s="33" t="s">
        <v>2059</v>
      </c>
      <c r="L5101" s="33" t="s">
        <v>36920</v>
      </c>
      <c r="M5101" s="33" t="s">
        <v>21</v>
      </c>
      <c r="N5101" s="33" t="s">
        <v>2060</v>
      </c>
      <c r="O5101" s="33" t="s">
        <v>950</v>
      </c>
      <c r="P5101" s="33" t="s">
        <v>30089</v>
      </c>
      <c r="Q5101" s="40" t="str">
        <f>HYPERLINK("http://www.wave3.com/story/29120867/shooting-investigation-in-owensboro","http://www.wave3.com/story/29120867/shooting-investigation-in-owensboro")</f>
        <v>http://www.wave3.com/story/29120867/shooting-investigation-in-owensboro</v>
      </c>
      <c r="R5101" s="33" t="s">
        <v>94</v>
      </c>
      <c r="S5101" s="33" t="s">
        <v>22</v>
      </c>
      <c r="T5101" s="33" t="s">
        <v>26781</v>
      </c>
      <c r="U5101" s="33" t="s">
        <v>26572</v>
      </c>
      <c r="V5101" s="33" t="s">
        <v>26573</v>
      </c>
      <c r="W5101" s="33" t="s">
        <v>94</v>
      </c>
      <c r="X5101" s="33">
        <v>468</v>
      </c>
      <c r="Z5101" s="33" t="s">
        <v>42968</v>
      </c>
      <c r="AA5101" s="33">
        <v>2563</v>
      </c>
    </row>
    <row r="5102" spans="1:27" ht="12" customHeight="1" x14ac:dyDescent="0.15">
      <c r="A5102" s="33" t="s">
        <v>2117</v>
      </c>
      <c r="B5102" s="33">
        <v>29</v>
      </c>
      <c r="C5102" s="33" t="s">
        <v>14</v>
      </c>
      <c r="D5102" s="33" t="s">
        <v>79</v>
      </c>
      <c r="E5102" s="33" t="s">
        <v>2118</v>
      </c>
      <c r="F5102" s="67">
        <v>42144</v>
      </c>
      <c r="G5102" s="33" t="s">
        <v>2119</v>
      </c>
      <c r="H5102" s="33" t="s">
        <v>1397</v>
      </c>
      <c r="I5102" s="33" t="s">
        <v>376</v>
      </c>
      <c r="J5102" s="33" t="s">
        <v>2120</v>
      </c>
      <c r="K5102" s="33" t="s">
        <v>1397</v>
      </c>
      <c r="L5102" s="33" t="s">
        <v>2121</v>
      </c>
      <c r="M5102" s="33" t="s">
        <v>21</v>
      </c>
      <c r="N5102" s="33" t="s">
        <v>2122</v>
      </c>
      <c r="O5102" s="33" t="s">
        <v>950</v>
      </c>
      <c r="P5102" s="33" t="s">
        <v>30089</v>
      </c>
      <c r="Q5102" s="40" t="str">
        <f>HYPERLINK("http://www.wgal.com/news/breaking-news-officer-shot-in-lancaster/33104470","http://www.wgal.com/news/breaking-news-officer-shot-in-lancaster/33104470")</f>
        <v>http://www.wgal.com/news/breaking-news-officer-shot-in-lancaster/33104470</v>
      </c>
      <c r="R5102" s="33" t="s">
        <v>94</v>
      </c>
      <c r="S5102" s="33" t="s">
        <v>22</v>
      </c>
      <c r="T5102" s="33" t="s">
        <v>26781</v>
      </c>
      <c r="U5102" s="33" t="s">
        <v>26572</v>
      </c>
      <c r="V5102" s="33" t="s">
        <v>26573</v>
      </c>
      <c r="W5102" s="33" t="s">
        <v>94</v>
      </c>
      <c r="X5102" s="33">
        <v>466</v>
      </c>
      <c r="Z5102" s="33" t="s">
        <v>42968</v>
      </c>
      <c r="AA5102" s="33">
        <v>2562</v>
      </c>
    </row>
    <row r="5103" spans="1:27" ht="12" customHeight="1" x14ac:dyDescent="0.15">
      <c r="A5103" s="33" t="s">
        <v>2097</v>
      </c>
      <c r="B5103" s="33">
        <v>26</v>
      </c>
      <c r="C5103" s="33" t="s">
        <v>14</v>
      </c>
      <c r="D5103" s="33" t="s">
        <v>79</v>
      </c>
      <c r="E5103" s="33" t="s">
        <v>2098</v>
      </c>
      <c r="F5103" s="67">
        <v>42144</v>
      </c>
      <c r="G5103" s="33" t="s">
        <v>2099</v>
      </c>
      <c r="H5103" s="33" t="s">
        <v>1522</v>
      </c>
      <c r="I5103" s="33" t="s">
        <v>432</v>
      </c>
      <c r="J5103" s="33" t="s">
        <v>2100</v>
      </c>
      <c r="K5103" s="33" t="s">
        <v>882</v>
      </c>
      <c r="L5103" s="33" t="s">
        <v>2101</v>
      </c>
      <c r="M5103" s="33" t="s">
        <v>21</v>
      </c>
      <c r="N5103" s="33" t="s">
        <v>2102</v>
      </c>
      <c r="O5103" s="33" t="s">
        <v>507</v>
      </c>
      <c r="P5103" s="33" t="s">
        <v>30089</v>
      </c>
      <c r="Q5103" s="40" t="str">
        <f>HYPERLINK("http://www.wowt.com/home/headlines/Police-Officer-Shot-304450711.html?ref=711","http://www.wowt.com/home/headlines/Police-Officer-Shot-304450711.html?ref=711")</f>
        <v>http://www.wowt.com/home/headlines/Police-Officer-Shot-304450711.html?ref=711</v>
      </c>
      <c r="R5103" s="33" t="s">
        <v>94</v>
      </c>
      <c r="S5103" s="33" t="s">
        <v>22</v>
      </c>
      <c r="T5103" s="33" t="s">
        <v>26781</v>
      </c>
      <c r="U5103" s="33" t="s">
        <v>26572</v>
      </c>
      <c r="V5103" s="33" t="s">
        <v>26573</v>
      </c>
      <c r="W5103" s="33" t="s">
        <v>94</v>
      </c>
      <c r="X5103" s="33">
        <v>489</v>
      </c>
      <c r="Z5103" s="33" t="s">
        <v>42968</v>
      </c>
      <c r="AA5103" s="33">
        <v>2564</v>
      </c>
    </row>
    <row r="5104" spans="1:27" ht="12" customHeight="1" x14ac:dyDescent="0.15">
      <c r="A5104" s="33" t="s">
        <v>2123</v>
      </c>
      <c r="B5104" s="33">
        <v>54</v>
      </c>
      <c r="C5104" s="33" t="s">
        <v>14</v>
      </c>
      <c r="D5104" s="33" t="s">
        <v>42</v>
      </c>
      <c r="F5104" s="67">
        <v>42143</v>
      </c>
      <c r="G5104" s="33" t="s">
        <v>2124</v>
      </c>
      <c r="H5104" s="33" t="s">
        <v>787</v>
      </c>
      <c r="I5104" s="33" t="s">
        <v>225</v>
      </c>
      <c r="J5104" s="33" t="s">
        <v>2125</v>
      </c>
      <c r="K5104" s="33" t="s">
        <v>787</v>
      </c>
      <c r="L5104" s="33" t="s">
        <v>27479</v>
      </c>
      <c r="M5104" s="33" t="s">
        <v>21</v>
      </c>
      <c r="N5104" s="33" t="s">
        <v>2126</v>
      </c>
      <c r="O5104" s="33" t="s">
        <v>372</v>
      </c>
      <c r="P5104" s="33" t="s">
        <v>30089</v>
      </c>
      <c r="Q5104" s="40" t="str">
        <f>HYPERLINK("http://www.arlnow.com/2015/05/19/breaking-officer-involved-shooting-in-buckingham/","http://www.arlnow.com/2015/05/19/breaking-officer-involved-shooting-in-buckingham/")</f>
        <v>http://www.arlnow.com/2015/05/19/breaking-officer-involved-shooting-in-buckingham/</v>
      </c>
      <c r="R5104" s="33" t="s">
        <v>512</v>
      </c>
      <c r="S5104" s="33" t="s">
        <v>12</v>
      </c>
      <c r="T5104" s="33" t="s">
        <v>29705</v>
      </c>
      <c r="U5104" s="33" t="s">
        <v>26572</v>
      </c>
      <c r="V5104" s="33" t="s">
        <v>26573</v>
      </c>
      <c r="W5104" s="33" t="s">
        <v>94</v>
      </c>
      <c r="X5104" s="33">
        <v>457</v>
      </c>
      <c r="Z5104" s="33" t="s">
        <v>42966</v>
      </c>
      <c r="AA5104" s="33">
        <v>2561</v>
      </c>
    </row>
    <row r="5105" spans="1:27" ht="12" customHeight="1" x14ac:dyDescent="0.15">
      <c r="A5105" s="33" t="s">
        <v>2127</v>
      </c>
      <c r="B5105" s="33">
        <v>17</v>
      </c>
      <c r="C5105" s="33" t="s">
        <v>14</v>
      </c>
      <c r="D5105" s="33" t="s">
        <v>31</v>
      </c>
      <c r="F5105" s="67">
        <v>42143</v>
      </c>
      <c r="G5105" s="33" t="s">
        <v>2128</v>
      </c>
      <c r="H5105" s="33" t="s">
        <v>2129</v>
      </c>
      <c r="I5105" s="33" t="s">
        <v>192</v>
      </c>
      <c r="J5105" s="33" t="s">
        <v>2130</v>
      </c>
      <c r="K5105" s="33" t="s">
        <v>1337</v>
      </c>
      <c r="L5105" s="33" t="s">
        <v>2131</v>
      </c>
      <c r="M5105" s="33" t="s">
        <v>21</v>
      </c>
      <c r="N5105" s="33" t="s">
        <v>2132</v>
      </c>
      <c r="O5105" s="33" t="s">
        <v>372</v>
      </c>
      <c r="P5105" s="33" t="s">
        <v>30089</v>
      </c>
      <c r="Q5105" s="40" t="str">
        <f>HYPERLINK("http://www.kjct8.com/news/headlines/Officer-involved-shooting-near-downtown-Grand-Junction-304404101.html","http://www.kjct8.com/news/headlines/Officer-involved-shooting-near-downtown-Grand-Junction-304404101.html")</f>
        <v>http://www.kjct8.com/news/headlines/Officer-involved-shooting-near-downtown-Grand-Junction-304404101.html</v>
      </c>
      <c r="R5105" s="33" t="s">
        <v>2133</v>
      </c>
      <c r="S5105" s="33" t="s">
        <v>22</v>
      </c>
      <c r="T5105" s="33" t="s">
        <v>26781</v>
      </c>
      <c r="U5105" s="33" t="s">
        <v>26572</v>
      </c>
      <c r="V5105" s="33" t="s">
        <v>19228</v>
      </c>
      <c r="W5105" s="33" t="s">
        <v>94</v>
      </c>
      <c r="X5105" s="33">
        <v>465</v>
      </c>
      <c r="Z5105" s="33" t="s">
        <v>42966</v>
      </c>
      <c r="AA5105" s="33">
        <v>2560</v>
      </c>
    </row>
    <row r="5106" spans="1:27" ht="12" customHeight="1" x14ac:dyDescent="0.15">
      <c r="A5106" s="33" t="s">
        <v>2103</v>
      </c>
      <c r="B5106" s="33">
        <v>35</v>
      </c>
      <c r="C5106" s="33" t="s">
        <v>14</v>
      </c>
      <c r="D5106" s="33" t="s">
        <v>31</v>
      </c>
      <c r="E5106" s="33" t="s">
        <v>2104</v>
      </c>
      <c r="F5106" s="67">
        <v>42143</v>
      </c>
      <c r="G5106" s="33" t="s">
        <v>2105</v>
      </c>
      <c r="H5106" s="33" t="s">
        <v>2106</v>
      </c>
      <c r="I5106" s="33" t="s">
        <v>918</v>
      </c>
      <c r="J5106" s="33" t="s">
        <v>2107</v>
      </c>
      <c r="K5106" s="33" t="s">
        <v>2108</v>
      </c>
      <c r="L5106" s="33" t="s">
        <v>36921</v>
      </c>
      <c r="M5106" s="33" t="s">
        <v>21</v>
      </c>
      <c r="N5106" s="33" t="s">
        <v>2109</v>
      </c>
      <c r="O5106" s="33" t="s">
        <v>950</v>
      </c>
      <c r="P5106" s="33" t="s">
        <v>30089</v>
      </c>
      <c r="Q5106" s="40" t="str">
        <f>HYPERLINK("http://www.thv11.com/story/news/crime/2015/05/19/police-respond-to-cabot-shooting/27627629/","http://www.thv11.com/story/news/crime/2015/05/19/police-respond-to-cabot-shooting/27627629/")</f>
        <v>http://www.thv11.com/story/news/crime/2015/05/19/police-respond-to-cabot-shooting/27627629/</v>
      </c>
      <c r="R5106" s="33" t="s">
        <v>94</v>
      </c>
      <c r="S5106" s="33" t="s">
        <v>22</v>
      </c>
      <c r="T5106" s="33" t="s">
        <v>26781</v>
      </c>
      <c r="U5106" s="33" t="s">
        <v>26572</v>
      </c>
      <c r="V5106" s="33" t="s">
        <v>26573</v>
      </c>
      <c r="W5106" s="33" t="s">
        <v>94</v>
      </c>
      <c r="X5106" s="33">
        <v>464</v>
      </c>
      <c r="Z5106" s="33" t="s">
        <v>42968</v>
      </c>
      <c r="AA5106" s="33">
        <v>2559</v>
      </c>
    </row>
    <row r="5107" spans="1:27" ht="12" customHeight="1" x14ac:dyDescent="0.15">
      <c r="A5107" s="33" t="s">
        <v>2147</v>
      </c>
      <c r="B5107" s="33">
        <v>18</v>
      </c>
      <c r="C5107" s="33" t="s">
        <v>14</v>
      </c>
      <c r="D5107" s="33" t="s">
        <v>31</v>
      </c>
      <c r="E5107" s="33" t="s">
        <v>2148</v>
      </c>
      <c r="F5107" s="67">
        <v>42141</v>
      </c>
      <c r="G5107" s="33" t="s">
        <v>2149</v>
      </c>
      <c r="H5107" s="33" t="s">
        <v>2150</v>
      </c>
      <c r="I5107" s="33" t="s">
        <v>56</v>
      </c>
      <c r="J5107" s="33" t="s">
        <v>2151</v>
      </c>
      <c r="K5107" s="33" t="s">
        <v>2152</v>
      </c>
      <c r="L5107" s="33" t="s">
        <v>12747</v>
      </c>
      <c r="M5107" s="33" t="s">
        <v>21</v>
      </c>
      <c r="N5107" s="33" t="s">
        <v>2153</v>
      </c>
      <c r="O5107" s="33" t="s">
        <v>950</v>
      </c>
      <c r="P5107" s="33" t="s">
        <v>30089</v>
      </c>
      <c r="Q5107" s="40" t="str">
        <f>HYPERLINK("http://www.baynews9.com/content/news/baynews9/news/article.html/content/news/articles/bn9/2015/5/17/st_pete_officer_shot.html","http://www.baynews9.com/content/news/baynews9/news/article.html/content/news/articles/bn9/2015/5/17/st_pete_officer_shot.html")</f>
        <v>http://www.baynews9.com/content/news/baynews9/news/article.html/content/news/articles/bn9/2015/5/17/st_pete_officer_shot.html</v>
      </c>
      <c r="R5107" s="33" t="s">
        <v>512</v>
      </c>
      <c r="S5107" s="33" t="s">
        <v>22</v>
      </c>
      <c r="T5107" s="33" t="s">
        <v>26781</v>
      </c>
      <c r="U5107" s="33" t="s">
        <v>26572</v>
      </c>
      <c r="V5107" s="33" t="s">
        <v>26573</v>
      </c>
      <c r="W5107" s="33" t="s">
        <v>94</v>
      </c>
      <c r="X5107" s="33">
        <v>459</v>
      </c>
      <c r="Z5107" s="33" t="s">
        <v>42968</v>
      </c>
      <c r="AA5107" s="33">
        <v>2557</v>
      </c>
    </row>
    <row r="5108" spans="1:27" ht="12" customHeight="1" x14ac:dyDescent="0.15">
      <c r="A5108" s="33" t="s">
        <v>2154</v>
      </c>
      <c r="B5108" s="33">
        <v>27</v>
      </c>
      <c r="C5108" s="33" t="s">
        <v>14</v>
      </c>
      <c r="D5108" s="33" t="s">
        <v>31</v>
      </c>
      <c r="E5108" s="33" t="s">
        <v>2155</v>
      </c>
      <c r="F5108" s="67">
        <v>42141</v>
      </c>
      <c r="G5108" s="33" t="s">
        <v>2156</v>
      </c>
      <c r="H5108" s="33" t="s">
        <v>2157</v>
      </c>
      <c r="I5108" s="33" t="s">
        <v>178</v>
      </c>
      <c r="J5108" s="33" t="s">
        <v>2158</v>
      </c>
      <c r="K5108" s="33" t="s">
        <v>2159</v>
      </c>
      <c r="L5108" s="33" t="s">
        <v>2160</v>
      </c>
      <c r="M5108" s="33" t="s">
        <v>21</v>
      </c>
      <c r="N5108" s="33" t="s">
        <v>2161</v>
      </c>
      <c r="O5108" s="33" t="s">
        <v>372</v>
      </c>
      <c r="P5108" s="33" t="s">
        <v>30089</v>
      </c>
      <c r="Q5108" s="40" t="str">
        <f>HYPERLINK("http://www.kob.com/article/stories/s3798987.shtml#.VVkL0zY4nTY","http://www.kob.com/article/stories/s3798987.shtml#.VVkL0zY4nTY")</f>
        <v>http://www.kob.com/article/stories/s3798987.shtml#.VVkL0zY4nTY</v>
      </c>
      <c r="R5108" s="33" t="s">
        <v>94</v>
      </c>
      <c r="S5108" s="33" t="s">
        <v>22</v>
      </c>
      <c r="T5108" s="33" t="s">
        <v>28239</v>
      </c>
      <c r="U5108" s="33" t="s">
        <v>26570</v>
      </c>
      <c r="V5108" s="33" t="s">
        <v>26573</v>
      </c>
      <c r="W5108" s="33" t="s">
        <v>94</v>
      </c>
      <c r="X5108" s="33">
        <v>461</v>
      </c>
      <c r="Z5108" s="33" t="s">
        <v>42968</v>
      </c>
      <c r="AA5108" s="33">
        <v>2558</v>
      </c>
    </row>
    <row r="5109" spans="1:27" ht="12" customHeight="1" x14ac:dyDescent="0.15">
      <c r="A5109" s="33" t="s">
        <v>2142</v>
      </c>
      <c r="B5109" s="33">
        <v>34</v>
      </c>
      <c r="C5109" s="33" t="s">
        <v>14</v>
      </c>
      <c r="D5109" s="33" t="s">
        <v>31</v>
      </c>
      <c r="E5109" s="33" t="s">
        <v>2143</v>
      </c>
      <c r="F5109" s="67">
        <v>42141</v>
      </c>
      <c r="G5109" s="33" t="s">
        <v>2144</v>
      </c>
      <c r="H5109" s="33" t="s">
        <v>143</v>
      </c>
      <c r="I5109" s="33" t="s">
        <v>39</v>
      </c>
      <c r="J5109" s="33" t="s">
        <v>2145</v>
      </c>
      <c r="K5109" s="33" t="s">
        <v>143</v>
      </c>
      <c r="L5109" s="33" t="s">
        <v>144</v>
      </c>
      <c r="M5109" s="33" t="s">
        <v>21</v>
      </c>
      <c r="N5109" s="33" t="s">
        <v>2146</v>
      </c>
      <c r="O5109" s="33" t="s">
        <v>372</v>
      </c>
      <c r="P5109" s="33" t="s">
        <v>30089</v>
      </c>
      <c r="Q5109" s="40" t="str">
        <f>HYPERLINK("http://www.utsandiego.com/news/2015/may/17/sdpd-ois-officer-shot-kearny-mesa-hospital/","http://www.utsandiego.com/news/2015/may/17/sdpd-ois-officer-shot-kearny-mesa-hospital/")</f>
        <v>http://www.utsandiego.com/news/2015/may/17/sdpd-ois-officer-shot-kearny-mesa-hospital/</v>
      </c>
      <c r="R5109" s="33" t="s">
        <v>512</v>
      </c>
      <c r="S5109" s="33" t="s">
        <v>22</v>
      </c>
      <c r="T5109" s="33" t="s">
        <v>26781</v>
      </c>
      <c r="U5109" s="33" t="s">
        <v>26572</v>
      </c>
      <c r="V5109" s="33" t="s">
        <v>26574</v>
      </c>
      <c r="W5109" s="33" t="s">
        <v>512</v>
      </c>
      <c r="X5109" s="33">
        <v>458</v>
      </c>
      <c r="Z5109" s="33" t="s">
        <v>42968</v>
      </c>
      <c r="AA5109" s="33">
        <v>2556</v>
      </c>
    </row>
    <row r="5110" spans="1:27" ht="12" customHeight="1" x14ac:dyDescent="0.15">
      <c r="A5110" s="33" t="s">
        <v>2135</v>
      </c>
      <c r="B5110" s="33">
        <v>45</v>
      </c>
      <c r="C5110" s="33" t="s">
        <v>14</v>
      </c>
      <c r="D5110" s="33" t="s">
        <v>79</v>
      </c>
      <c r="E5110" s="33" t="s">
        <v>2136</v>
      </c>
      <c r="F5110" s="67">
        <v>42140</v>
      </c>
      <c r="G5110" s="33" t="s">
        <v>2137</v>
      </c>
      <c r="H5110" s="33" t="s">
        <v>2138</v>
      </c>
      <c r="I5110" s="33" t="s">
        <v>38</v>
      </c>
      <c r="J5110" s="33" t="s">
        <v>2139</v>
      </c>
      <c r="K5110" s="33" t="s">
        <v>82</v>
      </c>
      <c r="L5110" s="33" t="s">
        <v>2140</v>
      </c>
      <c r="M5110" s="33" t="s">
        <v>21</v>
      </c>
      <c r="N5110" s="33" t="s">
        <v>2141</v>
      </c>
      <c r="O5110" s="33" t="s">
        <v>950</v>
      </c>
      <c r="P5110" s="33" t="s">
        <v>30089</v>
      </c>
      <c r="Q5110" s="40" t="str">
        <f>HYPERLINK("http://www.chicagotribune.com/news/local/breaking/ct-officials-robbery-suspect-shot-dead-after-opening-fire-on-cops-20150517-story.html","http://www.chicagotribune.com/news/local/breaking/ct-officials-robbery-suspect-shot-dead-after-opening-fire-on-cops-20150517-story.html")</f>
        <v>http://www.chicagotribune.com/news/local/breaking/ct-officials-robbery-suspect-shot-dead-after-opening-fire-on-cops-20150517-story.html</v>
      </c>
      <c r="R5110" s="33" t="s">
        <v>94</v>
      </c>
      <c r="S5110" s="33" t="s">
        <v>22</v>
      </c>
      <c r="T5110" s="33" t="s">
        <v>26781</v>
      </c>
      <c r="U5110" s="33" t="s">
        <v>26572</v>
      </c>
      <c r="V5110" s="33" t="s">
        <v>26574</v>
      </c>
      <c r="W5110" s="33" t="s">
        <v>94</v>
      </c>
      <c r="X5110" s="33">
        <v>463</v>
      </c>
      <c r="Z5110" s="33" t="s">
        <v>42968</v>
      </c>
      <c r="AA5110" s="33">
        <v>2555</v>
      </c>
    </row>
    <row r="5111" spans="1:27" ht="12" customHeight="1" x14ac:dyDescent="0.15">
      <c r="A5111" s="33" t="s">
        <v>2162</v>
      </c>
      <c r="B5111" s="33">
        <v>42</v>
      </c>
      <c r="C5111" s="33" t="s">
        <v>14</v>
      </c>
      <c r="D5111" s="33" t="s">
        <v>31</v>
      </c>
      <c r="E5111" s="33" t="s">
        <v>2163</v>
      </c>
      <c r="F5111" s="67">
        <v>42139</v>
      </c>
      <c r="G5111" s="33" t="s">
        <v>2164</v>
      </c>
      <c r="H5111" s="33" t="s">
        <v>1537</v>
      </c>
      <c r="I5111" s="33" t="s">
        <v>39</v>
      </c>
      <c r="J5111" s="33" t="s">
        <v>2165</v>
      </c>
      <c r="K5111" s="33" t="s">
        <v>1537</v>
      </c>
      <c r="L5111" s="33" t="s">
        <v>2166</v>
      </c>
      <c r="M5111" s="33" t="s">
        <v>21</v>
      </c>
      <c r="N5111" s="33" t="s">
        <v>2167</v>
      </c>
      <c r="O5111" s="33" t="s">
        <v>950</v>
      </c>
      <c r="P5111" s="33" t="s">
        <v>30089</v>
      </c>
      <c r="Q5111" s="40" t="str">
        <f>HYPERLINK("http://www.kcra.com/news/local-news/news-sacramento/sacramento-police-investigating-officerinvolved-shooting/33053756","http://www.kcra.com/news/local-news/news-sacramento/sacramento-police-investigating-officerinvolved-shooting/33053756")</f>
        <v>http://www.kcra.com/news/local-news/news-sacramento/sacramento-police-investigating-officerinvolved-shooting/33053756</v>
      </c>
      <c r="R5111" s="33" t="s">
        <v>512</v>
      </c>
      <c r="S5111" s="33" t="s">
        <v>12</v>
      </c>
      <c r="T5111" s="33" t="s">
        <v>29425</v>
      </c>
      <c r="U5111" s="33" t="s">
        <v>26572</v>
      </c>
      <c r="V5111" s="33" t="s">
        <v>26573</v>
      </c>
      <c r="W5111" s="33" t="s">
        <v>94</v>
      </c>
      <c r="X5111" s="33">
        <v>462</v>
      </c>
      <c r="Z5111" s="33" t="s">
        <v>42966</v>
      </c>
      <c r="AA5111" s="33">
        <v>2554</v>
      </c>
    </row>
    <row r="5112" spans="1:27" ht="12" customHeight="1" x14ac:dyDescent="0.15">
      <c r="A5112" s="33" t="s">
        <v>2168</v>
      </c>
      <c r="B5112" s="33">
        <v>41</v>
      </c>
      <c r="C5112" s="33" t="s">
        <v>14</v>
      </c>
      <c r="D5112" s="33" t="s">
        <v>31</v>
      </c>
      <c r="E5112" s="33" t="s">
        <v>2169</v>
      </c>
      <c r="F5112" s="67">
        <v>42139</v>
      </c>
      <c r="G5112" s="33" t="s">
        <v>2170</v>
      </c>
      <c r="H5112" s="33" t="s">
        <v>2171</v>
      </c>
      <c r="I5112" s="33" t="s">
        <v>38</v>
      </c>
      <c r="J5112" s="33" t="s">
        <v>2172</v>
      </c>
      <c r="K5112" s="33" t="s">
        <v>2173</v>
      </c>
      <c r="L5112" s="33" t="s">
        <v>2174</v>
      </c>
      <c r="M5112" s="33" t="s">
        <v>21</v>
      </c>
      <c r="N5112" s="33" t="s">
        <v>2175</v>
      </c>
      <c r="O5112" s="33" t="s">
        <v>372</v>
      </c>
      <c r="P5112" s="33" t="s">
        <v>30089</v>
      </c>
      <c r="Q5112" s="40" t="str">
        <f>HYPERLINK("http://www.wrex.com/story/29079166/2015/05/15/officer-involved-shooting-in-rockford","http://www.wrex.com/story/29079166/2015/05/15/officer-involved-shooting-in-rockford")</f>
        <v>http://www.wrex.com/story/29079166/2015/05/15/officer-involved-shooting-in-rockford</v>
      </c>
      <c r="R5112" s="33" t="s">
        <v>512</v>
      </c>
      <c r="S5112" s="33" t="s">
        <v>22</v>
      </c>
      <c r="T5112" s="33" t="s">
        <v>26781</v>
      </c>
      <c r="U5112" s="33" t="s">
        <v>26572</v>
      </c>
      <c r="V5112" s="33" t="s">
        <v>26573</v>
      </c>
      <c r="W5112" s="33" t="s">
        <v>94</v>
      </c>
      <c r="X5112" s="33">
        <v>460</v>
      </c>
      <c r="Z5112" s="33" t="s">
        <v>42966</v>
      </c>
      <c r="AA5112" s="33">
        <v>2553</v>
      </c>
    </row>
    <row r="5113" spans="1:27" ht="12" customHeight="1" x14ac:dyDescent="0.15">
      <c r="A5113" s="33" t="s">
        <v>2076</v>
      </c>
      <c r="B5113" s="33">
        <v>53</v>
      </c>
      <c r="C5113" s="33" t="s">
        <v>14</v>
      </c>
      <c r="D5113" s="33" t="s">
        <v>31</v>
      </c>
      <c r="E5113" s="33" t="s">
        <v>2077</v>
      </c>
      <c r="F5113" s="67">
        <v>42138</v>
      </c>
      <c r="G5113" s="33" t="s">
        <v>2078</v>
      </c>
      <c r="H5113" s="33" t="s">
        <v>2079</v>
      </c>
      <c r="I5113" s="33" t="s">
        <v>56</v>
      </c>
      <c r="J5113" s="33" t="s">
        <v>2080</v>
      </c>
      <c r="K5113" s="33" t="s">
        <v>2081</v>
      </c>
      <c r="L5113" s="33" t="s">
        <v>5035</v>
      </c>
      <c r="M5113" s="33" t="s">
        <v>21</v>
      </c>
      <c r="N5113" s="33" t="s">
        <v>2082</v>
      </c>
      <c r="O5113" s="33" t="s">
        <v>950</v>
      </c>
      <c r="P5113" s="33" t="s">
        <v>30089</v>
      </c>
      <c r="Q5113" s="40" t="str">
        <f>HYPERLINK("http://jacksonville.com/news/crime/2015-05-21/story/suspect-shot-deputies-st-augustine-beach-has-died","http://jacksonville.com/news/crime/2015-05-21/story/suspect-shot-deputies-st-augustine-beach-has-died")</f>
        <v>http://jacksonville.com/news/crime/2015-05-21/story/suspect-shot-deputies-st-augustine-beach-has-died</v>
      </c>
      <c r="R5113" s="33" t="s">
        <v>512</v>
      </c>
      <c r="S5113" s="33" t="s">
        <v>22</v>
      </c>
      <c r="T5113" s="33" t="s">
        <v>26781</v>
      </c>
      <c r="U5113" s="33" t="s">
        <v>26572</v>
      </c>
      <c r="V5113" s="33" t="s">
        <v>26573</v>
      </c>
      <c r="W5113" s="33" t="s">
        <v>94</v>
      </c>
      <c r="X5113" s="33">
        <v>470</v>
      </c>
      <c r="Z5113" s="33" t="s">
        <v>42968</v>
      </c>
      <c r="AA5113" s="33">
        <v>2552</v>
      </c>
    </row>
    <row r="5114" spans="1:27" ht="12" customHeight="1" x14ac:dyDescent="0.15">
      <c r="A5114" s="33" t="s">
        <v>2176</v>
      </c>
      <c r="B5114" s="33">
        <v>37</v>
      </c>
      <c r="C5114" s="33" t="s">
        <v>14</v>
      </c>
      <c r="D5114" s="33" t="s">
        <v>31</v>
      </c>
      <c r="F5114" s="67">
        <v>42138</v>
      </c>
      <c r="G5114" s="33" t="s">
        <v>2177</v>
      </c>
      <c r="H5114" s="33" t="s">
        <v>2178</v>
      </c>
      <c r="I5114" s="33" t="s">
        <v>51</v>
      </c>
      <c r="J5114" s="33" t="s">
        <v>2179</v>
      </c>
      <c r="K5114" s="33" t="s">
        <v>2180</v>
      </c>
      <c r="L5114" s="33" t="s">
        <v>36922</v>
      </c>
      <c r="M5114" s="33" t="s">
        <v>21</v>
      </c>
      <c r="N5114" s="33" t="s">
        <v>2181</v>
      </c>
      <c r="O5114" s="33" t="s">
        <v>950</v>
      </c>
      <c r="P5114" s="33" t="s">
        <v>30089</v>
      </c>
      <c r="Q5114" s="40" t="str">
        <f>HYPERLINK("http://www.mlive.com/news/kalamazoo/index.ssf/2015/05/police_kill_1_man_injure_anoth.html","http://www.mlive.com/news/kalamazoo/index.ssf/2015/05/police_kill_1_man_injure_anoth.html")</f>
        <v>http://www.mlive.com/news/kalamazoo/index.ssf/2015/05/police_kill_1_man_injure_anoth.html</v>
      </c>
      <c r="R5114" s="33" t="s">
        <v>512</v>
      </c>
      <c r="S5114" s="33" t="s">
        <v>22</v>
      </c>
      <c r="T5114" s="33" t="s">
        <v>26781</v>
      </c>
      <c r="U5114" s="33" t="s">
        <v>26572</v>
      </c>
      <c r="V5114" s="33" t="s">
        <v>26571</v>
      </c>
      <c r="W5114" s="33" t="s">
        <v>94</v>
      </c>
      <c r="X5114" s="33">
        <v>456</v>
      </c>
      <c r="Z5114" s="33" t="s">
        <v>42968</v>
      </c>
      <c r="AA5114" s="33">
        <v>2551</v>
      </c>
    </row>
    <row r="5115" spans="1:27" ht="12" customHeight="1" x14ac:dyDescent="0.15">
      <c r="A5115" s="33" t="s">
        <v>2183</v>
      </c>
      <c r="B5115" s="33">
        <v>28</v>
      </c>
      <c r="C5115" s="33" t="s">
        <v>14</v>
      </c>
      <c r="D5115" s="33" t="s">
        <v>79</v>
      </c>
      <c r="E5115" s="33" t="s">
        <v>18398</v>
      </c>
      <c r="F5115" s="67">
        <v>42136</v>
      </c>
      <c r="G5115" s="33" t="s">
        <v>2184</v>
      </c>
      <c r="H5115" s="33" t="s">
        <v>603</v>
      </c>
      <c r="I5115" s="33" t="s">
        <v>56</v>
      </c>
      <c r="J5115" s="33" t="s">
        <v>2185</v>
      </c>
      <c r="K5115" s="33" t="s">
        <v>604</v>
      </c>
      <c r="L5115" s="33" t="s">
        <v>605</v>
      </c>
      <c r="M5115" s="33" t="s">
        <v>21</v>
      </c>
      <c r="N5115" s="33" t="s">
        <v>27808</v>
      </c>
      <c r="O5115" s="33" t="s">
        <v>950</v>
      </c>
      <c r="P5115" s="33" t="s">
        <v>30089</v>
      </c>
      <c r="Q5115" s="40" t="s">
        <v>27809</v>
      </c>
      <c r="R5115" s="33" t="s">
        <v>94</v>
      </c>
      <c r="S5115" s="33" t="s">
        <v>12</v>
      </c>
      <c r="T5115" s="33" t="s">
        <v>29705</v>
      </c>
      <c r="U5115" s="33" t="s">
        <v>26570</v>
      </c>
      <c r="V5115" s="33" t="s">
        <v>26574</v>
      </c>
      <c r="W5115" s="33" t="s">
        <v>94</v>
      </c>
      <c r="X5115" s="33">
        <v>441</v>
      </c>
      <c r="Z5115" s="33" t="s">
        <v>42968</v>
      </c>
      <c r="AA5115" s="33">
        <v>2548</v>
      </c>
    </row>
    <row r="5116" spans="1:27" ht="12" customHeight="1" x14ac:dyDescent="0.15">
      <c r="A5116" s="33" t="s">
        <v>2187</v>
      </c>
      <c r="B5116" s="33">
        <v>40</v>
      </c>
      <c r="C5116" s="33" t="s">
        <v>14</v>
      </c>
      <c r="D5116" s="33" t="s">
        <v>79</v>
      </c>
      <c r="F5116" s="67">
        <v>42136</v>
      </c>
      <c r="G5116" s="33" t="s">
        <v>2188</v>
      </c>
      <c r="H5116" s="33" t="s">
        <v>2189</v>
      </c>
      <c r="I5116" s="33" t="s">
        <v>46</v>
      </c>
      <c r="J5116" s="33" t="s">
        <v>2190</v>
      </c>
      <c r="K5116" s="33" t="s">
        <v>995</v>
      </c>
      <c r="L5116" s="33" t="s">
        <v>2191</v>
      </c>
      <c r="M5116" s="33" t="s">
        <v>363</v>
      </c>
      <c r="N5116" s="33" t="s">
        <v>2192</v>
      </c>
      <c r="O5116" s="33" t="s">
        <v>950</v>
      </c>
      <c r="P5116" s="33" t="s">
        <v>30089</v>
      </c>
      <c r="Q5116" s="40" t="str">
        <f>HYPERLINK("http://wtop.com/montgomery-county/2015/05/death-of-man-after-police-tasing-investigated-in-montgomery-county/","http://wtop.com/montgomery-county/2015/05/death-of-man-after-police-tasing-investigated-in-montgomery-county/")</f>
        <v>http://wtop.com/montgomery-county/2015/05/death-of-man-after-police-tasing-investigated-in-montgomery-county/</v>
      </c>
      <c r="R5116" s="33" t="s">
        <v>904</v>
      </c>
      <c r="S5116" s="33" t="s">
        <v>12</v>
      </c>
      <c r="T5116" s="54" t="s">
        <v>29705</v>
      </c>
      <c r="Z5116" s="33" t="s">
        <v>42968</v>
      </c>
      <c r="AA5116" s="33">
        <v>2549</v>
      </c>
    </row>
    <row r="5117" spans="1:27" ht="12" customHeight="1" x14ac:dyDescent="0.15">
      <c r="A5117" s="33" t="s">
        <v>2199</v>
      </c>
      <c r="B5117" s="33">
        <v>40</v>
      </c>
      <c r="C5117" s="33" t="s">
        <v>14</v>
      </c>
      <c r="D5117" s="33" t="s">
        <v>31</v>
      </c>
      <c r="E5117" s="33" t="s">
        <v>2200</v>
      </c>
      <c r="F5117" s="67">
        <v>42136</v>
      </c>
      <c r="G5117" s="33" t="s">
        <v>2201</v>
      </c>
      <c r="H5117" s="33" t="s">
        <v>2202</v>
      </c>
      <c r="I5117" s="33" t="s">
        <v>39</v>
      </c>
      <c r="J5117" s="33" t="s">
        <v>2203</v>
      </c>
      <c r="K5117" s="33" t="s">
        <v>998</v>
      </c>
      <c r="L5117" s="33" t="s">
        <v>2204</v>
      </c>
      <c r="M5117" s="33" t="s">
        <v>21</v>
      </c>
      <c r="N5117" s="33" t="s">
        <v>36762</v>
      </c>
      <c r="O5117" s="33" t="s">
        <v>372</v>
      </c>
      <c r="P5117" s="33" t="s">
        <v>30089</v>
      </c>
      <c r="Q5117" s="40" t="str">
        <f>HYPERLINK("http://www.ocregister.com/articles/santa-661469-involved-margarita.html","http://www.ocregister.com/articles/santa-661469-involved-margarita.html")</f>
        <v>http://www.ocregister.com/articles/santa-661469-involved-margarita.html</v>
      </c>
      <c r="R5117" s="33" t="s">
        <v>512</v>
      </c>
      <c r="S5117" s="33" t="s">
        <v>29</v>
      </c>
      <c r="T5117" s="33" t="s">
        <v>26575</v>
      </c>
      <c r="U5117" s="33" t="s">
        <v>26570</v>
      </c>
      <c r="V5117" s="33" t="s">
        <v>26573</v>
      </c>
      <c r="W5117" s="33" t="s">
        <v>94</v>
      </c>
      <c r="X5117" s="33">
        <v>450</v>
      </c>
      <c r="Z5117" s="33" t="s">
        <v>42968</v>
      </c>
      <c r="AA5117" s="33">
        <v>2550</v>
      </c>
    </row>
    <row r="5118" spans="1:27" ht="12" customHeight="1" x14ac:dyDescent="0.15">
      <c r="A5118" s="33" t="s">
        <v>2193</v>
      </c>
      <c r="B5118" s="33">
        <v>46</v>
      </c>
      <c r="C5118" s="33" t="s">
        <v>14</v>
      </c>
      <c r="D5118" s="33" t="s">
        <v>885</v>
      </c>
      <c r="E5118" s="33" t="s">
        <v>2194</v>
      </c>
      <c r="F5118" s="67">
        <v>42136</v>
      </c>
      <c r="G5118" s="33" t="s">
        <v>2195</v>
      </c>
      <c r="H5118" s="33" t="s">
        <v>2196</v>
      </c>
      <c r="I5118" s="33" t="s">
        <v>814</v>
      </c>
      <c r="J5118" s="33" t="s">
        <v>2197</v>
      </c>
      <c r="K5118" s="33" t="s">
        <v>2196</v>
      </c>
      <c r="L5118" s="33" t="s">
        <v>5161</v>
      </c>
      <c r="M5118" s="33" t="s">
        <v>4966</v>
      </c>
      <c r="N5118" s="33" t="s">
        <v>2198</v>
      </c>
      <c r="O5118" s="33" t="s">
        <v>372</v>
      </c>
      <c r="P5118" s="33" t="s">
        <v>30089</v>
      </c>
      <c r="Q5118" s="40" t="str">
        <f>HYPERLINK("http://www.staradvertiser.com/news/breaking/20150512_Man_fatally_shot_at_Chinatown_Gateway_Plaza.html?id=303517261","http://www.staradvertiser.com/news/breaking/20150512_Man_fatally_shot_at_Chinatown_Gateway_Plaza.html?id=303517261")</f>
        <v>http://www.staradvertiser.com/news/breaking/20150512_Man_fatally_shot_at_Chinatown_Gateway_Plaza.html?id=303517261</v>
      </c>
      <c r="R5118" s="33" t="s">
        <v>94</v>
      </c>
      <c r="S5118" s="33" t="s">
        <v>22</v>
      </c>
      <c r="T5118" s="33" t="s">
        <v>26781</v>
      </c>
      <c r="U5118" s="33" t="s">
        <v>26572</v>
      </c>
      <c r="V5118" s="33" t="s">
        <v>26573</v>
      </c>
      <c r="W5118" s="33" t="s">
        <v>94</v>
      </c>
      <c r="X5118" s="33">
        <v>449</v>
      </c>
      <c r="Z5118" s="33" t="s">
        <v>42968</v>
      </c>
      <c r="AA5118" s="33">
        <v>2547</v>
      </c>
    </row>
    <row r="5119" spans="1:27" ht="12" customHeight="1" x14ac:dyDescent="0.15">
      <c r="A5119" s="33" t="s">
        <v>2226</v>
      </c>
      <c r="B5119" s="33">
        <v>28</v>
      </c>
      <c r="C5119" s="33" t="s">
        <v>14</v>
      </c>
      <c r="D5119" s="33" t="s">
        <v>31</v>
      </c>
      <c r="E5119" s="33" t="s">
        <v>2227</v>
      </c>
      <c r="F5119" s="67">
        <v>42135</v>
      </c>
      <c r="G5119" s="33" t="s">
        <v>2228</v>
      </c>
      <c r="H5119" s="33" t="s">
        <v>2079</v>
      </c>
      <c r="I5119" s="33" t="s">
        <v>56</v>
      </c>
      <c r="J5119" s="33" t="s">
        <v>2229</v>
      </c>
      <c r="K5119" s="33" t="s">
        <v>2230</v>
      </c>
      <c r="L5119" s="33" t="s">
        <v>5035</v>
      </c>
      <c r="M5119" s="33" t="s">
        <v>21</v>
      </c>
      <c r="N5119" s="33" t="s">
        <v>2231</v>
      </c>
      <c r="O5119" s="33" t="s">
        <v>372</v>
      </c>
      <c r="P5119" s="33" t="s">
        <v>30089</v>
      </c>
      <c r="Q5119" s="40" t="str">
        <f>HYPERLINK("http://www.news4jax.com/news/st-johns-county-investiges-deputy-involved-shooting/32947972","http://www.news4jax.com/news/st-johns-county-investiges-deputy-involved-shooting/32947972")</f>
        <v>http://www.news4jax.com/news/st-johns-county-investiges-deputy-involved-shooting/32947972</v>
      </c>
      <c r="R5119" s="33" t="s">
        <v>512</v>
      </c>
      <c r="S5119" s="33" t="s">
        <v>22</v>
      </c>
      <c r="T5119" s="33" t="s">
        <v>26593</v>
      </c>
      <c r="U5119" s="33" t="s">
        <v>26570</v>
      </c>
      <c r="V5119" s="33" t="s">
        <v>26573</v>
      </c>
      <c r="W5119" s="33" t="s">
        <v>94</v>
      </c>
      <c r="X5119" s="33">
        <v>444</v>
      </c>
      <c r="Z5119" s="33" t="s">
        <v>42967</v>
      </c>
      <c r="AA5119" s="33">
        <v>2544</v>
      </c>
    </row>
    <row r="5120" spans="1:27" ht="12" customHeight="1" x14ac:dyDescent="0.15">
      <c r="A5120" s="33" t="s">
        <v>2213</v>
      </c>
      <c r="B5120" s="33">
        <v>30</v>
      </c>
      <c r="C5120" s="33" t="s">
        <v>14</v>
      </c>
      <c r="D5120" s="33" t="s">
        <v>79</v>
      </c>
      <c r="E5120" s="33" t="s">
        <v>2214</v>
      </c>
      <c r="F5120" s="67">
        <v>42135</v>
      </c>
      <c r="G5120" s="33" t="s">
        <v>2215</v>
      </c>
      <c r="H5120" s="33" t="s">
        <v>870</v>
      </c>
      <c r="I5120" s="33" t="s">
        <v>67</v>
      </c>
      <c r="J5120" s="33" t="s">
        <v>2216</v>
      </c>
      <c r="K5120" s="33" t="s">
        <v>68</v>
      </c>
      <c r="L5120" s="33" t="s">
        <v>871</v>
      </c>
      <c r="M5120" s="33" t="s">
        <v>21</v>
      </c>
      <c r="N5120" s="33" t="s">
        <v>2217</v>
      </c>
      <c r="O5120" s="33" t="s">
        <v>372</v>
      </c>
      <c r="P5120" s="33" t="s">
        <v>30089</v>
      </c>
      <c r="Q5120" s="40" t="str">
        <f>HYPERLINK("http://www.wfaa.com/story/news/crime/2015/05/11/fort-worth-police-report-officer-involved-shooting/27141917/","http://www.wfaa.com/story/news/crime/2015/05/11/fort-worth-police-report-officer-involved-shooting/27141917/")</f>
        <v>http://www.wfaa.com/story/news/crime/2015/05/11/fort-worth-police-report-officer-involved-shooting/27141917/</v>
      </c>
      <c r="R5120" s="33" t="s">
        <v>94</v>
      </c>
      <c r="S5120" s="33" t="s">
        <v>351</v>
      </c>
      <c r="T5120" s="33" t="s">
        <v>26867</v>
      </c>
      <c r="U5120" s="33" t="s">
        <v>26572</v>
      </c>
      <c r="V5120" s="33" t="s">
        <v>26571</v>
      </c>
      <c r="W5120" s="33" t="s">
        <v>94</v>
      </c>
      <c r="X5120" s="33">
        <v>437</v>
      </c>
      <c r="Z5120" s="33" t="s">
        <v>42968</v>
      </c>
      <c r="AA5120" s="33">
        <v>2546</v>
      </c>
    </row>
    <row r="5121" spans="1:27" ht="12" customHeight="1" x14ac:dyDescent="0.15">
      <c r="A5121" s="33" t="s">
        <v>2232</v>
      </c>
      <c r="B5121" s="33">
        <v>55</v>
      </c>
      <c r="C5121" s="33" t="s">
        <v>14</v>
      </c>
      <c r="D5121" s="33" t="s">
        <v>31</v>
      </c>
      <c r="E5121" s="33" t="s">
        <v>2233</v>
      </c>
      <c r="F5121" s="67">
        <v>42135</v>
      </c>
      <c r="G5121" s="33" t="s">
        <v>2234</v>
      </c>
      <c r="H5121" s="33" t="s">
        <v>2235</v>
      </c>
      <c r="I5121" s="33" t="s">
        <v>338</v>
      </c>
      <c r="J5121" s="33" t="s">
        <v>2236</v>
      </c>
      <c r="K5121" s="33" t="s">
        <v>2237</v>
      </c>
      <c r="L5121" s="33" t="s">
        <v>2238</v>
      </c>
      <c r="M5121" s="33" t="s">
        <v>363</v>
      </c>
      <c r="N5121" s="33" t="s">
        <v>2239</v>
      </c>
      <c r="O5121" s="33" t="s">
        <v>372</v>
      </c>
      <c r="P5121" s="33" t="s">
        <v>30089</v>
      </c>
      <c r="Q5121" s="40" t="str">
        <f>HYPERLINK("http://www.wral.com/man-dies-while-in-police-custody-in-enfield/14637653/","http://www.wral.com/man-dies-while-in-police-custody-in-enfield/14637653/")</f>
        <v>http://www.wral.com/man-dies-while-in-police-custody-in-enfield/14637653/</v>
      </c>
      <c r="R5121" s="33" t="s">
        <v>94</v>
      </c>
      <c r="S5121" s="33" t="s">
        <v>12</v>
      </c>
      <c r="T5121" s="54" t="s">
        <v>29705</v>
      </c>
      <c r="Z5121" s="33" t="s">
        <v>42967</v>
      </c>
      <c r="AA5121" s="33">
        <v>2545</v>
      </c>
    </row>
    <row r="5122" spans="1:27" ht="12" customHeight="1" x14ac:dyDescent="0.15">
      <c r="A5122" s="33" t="s">
        <v>2240</v>
      </c>
      <c r="B5122" s="33">
        <v>47</v>
      </c>
      <c r="C5122" s="33" t="s">
        <v>14</v>
      </c>
      <c r="D5122" s="33" t="s">
        <v>31</v>
      </c>
      <c r="F5122" s="67">
        <v>42134</v>
      </c>
      <c r="G5122" s="33" t="s">
        <v>2241</v>
      </c>
      <c r="H5122" s="33" t="s">
        <v>826</v>
      </c>
      <c r="I5122" s="33" t="s">
        <v>282</v>
      </c>
      <c r="J5122" s="33" t="s">
        <v>2242</v>
      </c>
      <c r="K5122" s="33" t="s">
        <v>827</v>
      </c>
      <c r="L5122" s="33" t="s">
        <v>828</v>
      </c>
      <c r="M5122" s="33" t="s">
        <v>21</v>
      </c>
      <c r="N5122" s="33" t="s">
        <v>2243</v>
      </c>
      <c r="O5122" s="33" t="s">
        <v>372</v>
      </c>
      <c r="P5122" s="33" t="s">
        <v>30089</v>
      </c>
      <c r="Q5122" s="40" t="str">
        <f>HYPERLINK("http://www.kirotv.com/news/news/tacoma-police-shoot-and-kill-armed-man-outside-his/nmDNM/","http://www.kirotv.com/news/news/tacoma-police-shoot-and-kill-armed-man-outside-his/nmDNM/")</f>
        <v>http://www.kirotv.com/news/news/tacoma-police-shoot-and-kill-armed-man-outside-his/nmDNM/</v>
      </c>
      <c r="R5122" s="33" t="s">
        <v>2244</v>
      </c>
      <c r="S5122" s="33" t="s">
        <v>22</v>
      </c>
      <c r="T5122" s="33" t="s">
        <v>26781</v>
      </c>
      <c r="U5122" s="33" t="s">
        <v>26572</v>
      </c>
      <c r="V5122" s="33" t="s">
        <v>26573</v>
      </c>
      <c r="W5122" s="33" t="s">
        <v>94</v>
      </c>
      <c r="X5122" s="33">
        <v>453</v>
      </c>
      <c r="Z5122" s="33" t="s">
        <v>42968</v>
      </c>
      <c r="AA5122" s="33">
        <v>2542</v>
      </c>
    </row>
    <row r="5123" spans="1:27" ht="12" customHeight="1" x14ac:dyDescent="0.15">
      <c r="A5123" s="33" t="s">
        <v>2205</v>
      </c>
      <c r="B5123" s="33">
        <v>34</v>
      </c>
      <c r="C5123" s="33" t="s">
        <v>14</v>
      </c>
      <c r="D5123" s="33" t="s">
        <v>79</v>
      </c>
      <c r="E5123" s="33" t="s">
        <v>2206</v>
      </c>
      <c r="F5123" s="67">
        <v>42134</v>
      </c>
      <c r="G5123" s="33" t="s">
        <v>2207</v>
      </c>
      <c r="H5123" s="33" t="s">
        <v>2208</v>
      </c>
      <c r="I5123" s="33" t="s">
        <v>46</v>
      </c>
      <c r="J5123" s="33" t="s">
        <v>2209</v>
      </c>
      <c r="K5123" s="33" t="s">
        <v>2210</v>
      </c>
      <c r="L5123" s="33" t="s">
        <v>2211</v>
      </c>
      <c r="M5123" s="33" t="s">
        <v>21</v>
      </c>
      <c r="N5123" s="33" t="s">
        <v>2212</v>
      </c>
      <c r="O5123" s="33" t="s">
        <v>372</v>
      </c>
      <c r="P5123" s="33" t="s">
        <v>30089</v>
      </c>
      <c r="Q5123" s="40" t="str">
        <f>HYPERLINK("http://www.nbcwashington.com/news/local/Prince-Georges-County-Sheriffs-Deputy-Involved-in-Fatal-Shooting-303283731.html","http://www.nbcwashington.com/news/local/Prince-Georges-County-Sheriffs-Deputy-Involved-in-Fatal-Shooting-303283731.html")</f>
        <v>http://www.nbcwashington.com/news/local/Prince-Georges-County-Sheriffs-Deputy-Involved-in-Fatal-Shooting-303283731.html</v>
      </c>
      <c r="R5123" s="33" t="s">
        <v>94</v>
      </c>
      <c r="S5123" s="33" t="s">
        <v>351</v>
      </c>
      <c r="T5123" s="33" t="s">
        <v>26867</v>
      </c>
      <c r="U5123" s="33" t="s">
        <v>26570</v>
      </c>
      <c r="V5123" s="33" t="s">
        <v>26571</v>
      </c>
      <c r="W5123" s="33" t="s">
        <v>94</v>
      </c>
      <c r="X5123" s="33">
        <v>455</v>
      </c>
      <c r="Z5123" s="33" t="s">
        <v>42968</v>
      </c>
      <c r="AA5123" s="33">
        <v>2543</v>
      </c>
    </row>
    <row r="5124" spans="1:27" ht="12" customHeight="1" x14ac:dyDescent="0.15">
      <c r="A5124" s="33" t="s">
        <v>2245</v>
      </c>
      <c r="B5124" s="33">
        <v>31</v>
      </c>
      <c r="C5124" s="33" t="s">
        <v>14</v>
      </c>
      <c r="D5124" s="33" t="s">
        <v>79</v>
      </c>
      <c r="E5124" s="33" t="s">
        <v>2246</v>
      </c>
      <c r="F5124" s="67">
        <v>42132</v>
      </c>
      <c r="G5124" s="33" t="s">
        <v>2247</v>
      </c>
      <c r="H5124" s="33" t="s">
        <v>2248</v>
      </c>
      <c r="I5124" s="33" t="s">
        <v>122</v>
      </c>
      <c r="J5124" s="33" t="s">
        <v>2249</v>
      </c>
      <c r="K5124" s="33" t="s">
        <v>2250</v>
      </c>
      <c r="L5124" s="33" t="s">
        <v>2251</v>
      </c>
      <c r="M5124" s="33" t="s">
        <v>21</v>
      </c>
      <c r="N5124" s="33" t="s">
        <v>2252</v>
      </c>
      <c r="O5124" s="33" t="s">
        <v>2253</v>
      </c>
      <c r="P5124" s="33" t="s">
        <v>30089</v>
      </c>
      <c r="Q5124" s="40" t="str">
        <f>HYPERLINK("http://www.kare11.com/story/news/2015/05/09/694-shut-down-man-dies-in-officer-involved-shooting/27034515/","http://www.kare11.com/story/news/2015/05/09/694-shut-down-man-dies-in-officer-involved-shooting/27034515/")</f>
        <v>http://www.kare11.com/story/news/2015/05/09/694-shut-down-man-dies-in-officer-involved-shooting/27034515/</v>
      </c>
      <c r="R5124" s="33" t="s">
        <v>904</v>
      </c>
      <c r="S5124" s="33" t="s">
        <v>351</v>
      </c>
      <c r="T5124" s="33" t="s">
        <v>26867</v>
      </c>
      <c r="U5124" s="33" t="s">
        <v>26572</v>
      </c>
      <c r="V5124" s="33" t="s">
        <v>26571</v>
      </c>
      <c r="W5124" s="33" t="s">
        <v>94</v>
      </c>
      <c r="X5124" s="33">
        <v>454</v>
      </c>
      <c r="Z5124" s="33" t="s">
        <v>42968</v>
      </c>
      <c r="AA5124" s="33">
        <v>2541</v>
      </c>
    </row>
    <row r="5125" spans="1:27" ht="12" customHeight="1" x14ac:dyDescent="0.15">
      <c r="A5125" s="33" t="s">
        <v>2218</v>
      </c>
      <c r="B5125" s="33">
        <v>35</v>
      </c>
      <c r="C5125" s="33" t="s">
        <v>14</v>
      </c>
      <c r="D5125" s="33" t="s">
        <v>31</v>
      </c>
      <c r="E5125" s="33" t="s">
        <v>2219</v>
      </c>
      <c r="F5125" s="67">
        <v>42132</v>
      </c>
      <c r="G5125" s="33" t="s">
        <v>2220</v>
      </c>
      <c r="H5125" s="33" t="s">
        <v>2221</v>
      </c>
      <c r="I5125" s="33" t="s">
        <v>112</v>
      </c>
      <c r="J5125" s="33" t="s">
        <v>2222</v>
      </c>
      <c r="K5125" s="33" t="s">
        <v>2223</v>
      </c>
      <c r="L5125" s="33" t="s">
        <v>2224</v>
      </c>
      <c r="M5125" s="33" t="s">
        <v>21</v>
      </c>
      <c r="N5125" s="33" t="s">
        <v>2225</v>
      </c>
      <c r="O5125" s="33" t="s">
        <v>372</v>
      </c>
      <c r="P5125" s="33" t="s">
        <v>30089</v>
      </c>
      <c r="Q5125" s="40" t="str">
        <f>HYPERLINK("http://www.kpho.com/story/29033947/man-dead-after-officer-involved-shooting-in-kearny","http://www.kpho.com/story/29033947/man-dead-after-officer-involved-shooting-in-kearny")</f>
        <v>http://www.kpho.com/story/29033947/man-dead-after-officer-involved-shooting-in-kearny</v>
      </c>
      <c r="R5125" s="33" t="s">
        <v>23</v>
      </c>
      <c r="S5125" s="33" t="s">
        <v>22</v>
      </c>
      <c r="T5125" s="33" t="s">
        <v>28239</v>
      </c>
      <c r="U5125" s="33" t="s">
        <v>26572</v>
      </c>
      <c r="V5125" s="33" t="s">
        <v>26573</v>
      </c>
      <c r="W5125" s="33" t="s">
        <v>94</v>
      </c>
      <c r="X5125" s="33">
        <v>439</v>
      </c>
      <c r="Z5125" s="33" t="s">
        <v>42967</v>
      </c>
      <c r="AA5125" s="33">
        <v>2540</v>
      </c>
    </row>
    <row r="5126" spans="1:27" ht="12" customHeight="1" x14ac:dyDescent="0.15">
      <c r="A5126" s="33" t="s">
        <v>2260</v>
      </c>
      <c r="B5126" s="33">
        <v>58</v>
      </c>
      <c r="C5126" s="33" t="s">
        <v>14</v>
      </c>
      <c r="D5126" s="33" t="s">
        <v>31</v>
      </c>
      <c r="E5126" s="33" t="s">
        <v>2261</v>
      </c>
      <c r="F5126" s="67">
        <v>42132</v>
      </c>
      <c r="G5126" s="33" t="s">
        <v>2262</v>
      </c>
      <c r="H5126" s="33" t="s">
        <v>2263</v>
      </c>
      <c r="I5126" s="33" t="s">
        <v>395</v>
      </c>
      <c r="J5126" s="33" t="s">
        <v>2264</v>
      </c>
      <c r="K5126" s="33" t="s">
        <v>2265</v>
      </c>
      <c r="L5126" s="33" t="s">
        <v>2266</v>
      </c>
      <c r="M5126" s="33" t="s">
        <v>21</v>
      </c>
      <c r="N5126" s="33" t="s">
        <v>2267</v>
      </c>
      <c r="O5126" s="33" t="s">
        <v>2268</v>
      </c>
      <c r="P5126" s="33" t="s">
        <v>30089</v>
      </c>
      <c r="Q5126" s="40" t="str">
        <f>HYPERLINK("http://www.localsyr.com/story/d/story/authorities-investigating-fatal-officer-involved-s/67882/io8DUgiTsEG_yMWZyCVbHw","http://www.localsyr.com/story/d/story/authorities-investigating-fatal-officer-involved-s/67882/io8DUgiTsEG_yMWZyCVbHw")</f>
        <v>http://www.localsyr.com/story/d/story/authorities-investigating-fatal-officer-involved-s/67882/io8DUgiTsEG_yMWZyCVbHw</v>
      </c>
      <c r="R5126" s="33" t="s">
        <v>512</v>
      </c>
      <c r="S5126" s="33" t="s">
        <v>22</v>
      </c>
      <c r="T5126" s="33" t="s">
        <v>26781</v>
      </c>
      <c r="U5126" s="33" t="s">
        <v>26572</v>
      </c>
      <c r="V5126" s="33" t="s">
        <v>26573</v>
      </c>
      <c r="W5126" s="33" t="s">
        <v>94</v>
      </c>
      <c r="X5126" s="33">
        <v>443</v>
      </c>
      <c r="Z5126" s="33" t="s">
        <v>42967</v>
      </c>
      <c r="AA5126" s="33">
        <v>2538</v>
      </c>
    </row>
    <row r="5127" spans="1:27" ht="12" customHeight="1" x14ac:dyDescent="0.15">
      <c r="A5127" s="33" t="s">
        <v>2254</v>
      </c>
      <c r="B5127" s="33">
        <v>48</v>
      </c>
      <c r="C5127" s="33" t="s">
        <v>14</v>
      </c>
      <c r="D5127" s="33" t="s">
        <v>79</v>
      </c>
      <c r="E5127" s="33" t="s">
        <v>2255</v>
      </c>
      <c r="F5127" s="67">
        <v>42132</v>
      </c>
      <c r="G5127" s="33" t="s">
        <v>2256</v>
      </c>
      <c r="H5127" s="33" t="s">
        <v>2138</v>
      </c>
      <c r="I5127" s="33" t="s">
        <v>19</v>
      </c>
      <c r="J5127" s="33" t="s">
        <v>2257</v>
      </c>
      <c r="K5127" s="33" t="s">
        <v>1659</v>
      </c>
      <c r="L5127" s="33" t="s">
        <v>2258</v>
      </c>
      <c r="M5127" s="33" t="s">
        <v>21</v>
      </c>
      <c r="N5127" s="33" t="s">
        <v>2259</v>
      </c>
      <c r="O5127" s="33" t="s">
        <v>950</v>
      </c>
      <c r="P5127" s="33" t="s">
        <v>30089</v>
      </c>
      <c r="Q5127" s="40" t="str">
        <f>HYPERLINK("http://www.nola.com/crime/index.ssf/2015/05/officer-involved_shooting_repo.html","http://www.nola.com/crime/index.ssf/2015/05/officer-involved_shooting_repo.html")</f>
        <v>http://www.nola.com/crime/index.ssf/2015/05/officer-involved_shooting_repo.html</v>
      </c>
      <c r="R5127" s="33" t="s">
        <v>94</v>
      </c>
      <c r="S5127" s="33" t="s">
        <v>22</v>
      </c>
      <c r="T5127" s="33" t="s">
        <v>26781</v>
      </c>
      <c r="U5127" s="33" t="s">
        <v>26572</v>
      </c>
      <c r="V5127" s="33" t="s">
        <v>26573</v>
      </c>
      <c r="W5127" s="33" t="s">
        <v>94</v>
      </c>
      <c r="X5127" s="33">
        <v>451</v>
      </c>
      <c r="Z5127" s="33" t="s">
        <v>42968</v>
      </c>
      <c r="AA5127" s="33">
        <v>2539</v>
      </c>
    </row>
    <row r="5128" spans="1:27" ht="12" customHeight="1" x14ac:dyDescent="0.15">
      <c r="A5128" s="33" t="s">
        <v>2269</v>
      </c>
      <c r="B5128" s="33">
        <v>21</v>
      </c>
      <c r="C5128" s="33" t="s">
        <v>14</v>
      </c>
      <c r="D5128" s="33" t="s">
        <v>79</v>
      </c>
      <c r="E5128" s="33" t="s">
        <v>2270</v>
      </c>
      <c r="F5128" s="67">
        <v>42131</v>
      </c>
      <c r="G5128" s="33" t="s">
        <v>2271</v>
      </c>
      <c r="H5128" s="33" t="s">
        <v>2272</v>
      </c>
      <c r="I5128" s="33" t="s">
        <v>39</v>
      </c>
      <c r="J5128" s="33" t="s">
        <v>2273</v>
      </c>
      <c r="K5128" s="33" t="s">
        <v>92</v>
      </c>
      <c r="L5128" s="33" t="s">
        <v>386</v>
      </c>
      <c r="M5128" s="33" t="s">
        <v>21</v>
      </c>
      <c r="N5128" s="33" t="s">
        <v>2274</v>
      </c>
      <c r="O5128" s="33" t="s">
        <v>950</v>
      </c>
      <c r="P5128" s="33" t="s">
        <v>30089</v>
      </c>
      <c r="Q5128" s="40" t="str">
        <f>HYPERLINK("http://ktla.com/2015/05/07/apparent-deputy-involved-shooting-prompts-emergency-response-in-cerritos/","http://ktla.com/2015/05/07/apparent-deputy-involved-shooting-prompts-emergency-response-in-cerritos/")</f>
        <v>http://ktla.com/2015/05/07/apparent-deputy-involved-shooting-prompts-emergency-response-in-cerritos/</v>
      </c>
      <c r="R5128" s="33" t="s">
        <v>94</v>
      </c>
      <c r="S5128" s="33" t="s">
        <v>351</v>
      </c>
      <c r="T5128" s="33" t="s">
        <v>26867</v>
      </c>
      <c r="U5128" s="33" t="s">
        <v>26572</v>
      </c>
      <c r="V5128" s="33" t="s">
        <v>26571</v>
      </c>
      <c r="W5128" s="33" t="s">
        <v>94</v>
      </c>
      <c r="X5128" s="33">
        <v>436</v>
      </c>
      <c r="Z5128" s="33" t="s">
        <v>42966</v>
      </c>
      <c r="AA5128" s="33">
        <v>2537</v>
      </c>
    </row>
    <row r="5129" spans="1:27" ht="12" customHeight="1" x14ac:dyDescent="0.15">
      <c r="A5129" s="33" t="s">
        <v>2286</v>
      </c>
      <c r="B5129" s="33">
        <v>38</v>
      </c>
      <c r="C5129" s="33" t="s">
        <v>14</v>
      </c>
      <c r="D5129" s="33" t="s">
        <v>31</v>
      </c>
      <c r="E5129" s="33" t="s">
        <v>2287</v>
      </c>
      <c r="F5129" s="67">
        <v>42131</v>
      </c>
      <c r="G5129" s="33" t="s">
        <v>2288</v>
      </c>
      <c r="H5129" s="33" t="s">
        <v>2289</v>
      </c>
      <c r="I5129" s="33" t="s">
        <v>395</v>
      </c>
      <c r="J5129" s="33" t="s">
        <v>2290</v>
      </c>
      <c r="K5129" s="33" t="s">
        <v>2291</v>
      </c>
      <c r="L5129" s="33" t="s">
        <v>2292</v>
      </c>
      <c r="M5129" s="33" t="s">
        <v>21</v>
      </c>
      <c r="N5129" s="33" t="s">
        <v>2293</v>
      </c>
      <c r="O5129" s="33" t="s">
        <v>372</v>
      </c>
      <c r="P5129" s="33" t="s">
        <v>30089</v>
      </c>
      <c r="Q5129" s="40" t="str">
        <f>HYPERLINK("http://www.recordonline.com/article/20150507/NEWS/150509481","http://www.recordonline.com/article/20150507/NEWS/150509481")</f>
        <v>http://www.recordonline.com/article/20150507/NEWS/150509481</v>
      </c>
      <c r="R5129" s="33" t="s">
        <v>94</v>
      </c>
      <c r="S5129" s="33" t="s">
        <v>22</v>
      </c>
      <c r="T5129" s="33" t="s">
        <v>26774</v>
      </c>
      <c r="U5129" s="33" t="s">
        <v>26570</v>
      </c>
      <c r="V5129" s="33" t="s">
        <v>26571</v>
      </c>
      <c r="W5129" s="33" t="s">
        <v>94</v>
      </c>
      <c r="X5129" s="33">
        <v>435</v>
      </c>
      <c r="Z5129" s="33" t="s">
        <v>42968</v>
      </c>
      <c r="AA5129" s="33">
        <v>2536</v>
      </c>
    </row>
    <row r="5130" spans="1:27" ht="12" customHeight="1" x14ac:dyDescent="0.15">
      <c r="A5130" s="33" t="s">
        <v>2276</v>
      </c>
      <c r="B5130" s="33">
        <v>72</v>
      </c>
      <c r="C5130" s="33" t="s">
        <v>14</v>
      </c>
      <c r="D5130" s="33" t="s">
        <v>31</v>
      </c>
      <c r="F5130" s="67">
        <v>42131</v>
      </c>
      <c r="G5130" s="33" t="s">
        <v>2277</v>
      </c>
      <c r="H5130" s="33" t="s">
        <v>2278</v>
      </c>
      <c r="I5130" s="33" t="s">
        <v>160</v>
      </c>
      <c r="J5130" s="33" t="s">
        <v>2279</v>
      </c>
      <c r="K5130" s="33" t="s">
        <v>1239</v>
      </c>
      <c r="L5130" s="33" t="s">
        <v>2280</v>
      </c>
      <c r="M5130" s="33" t="s">
        <v>21</v>
      </c>
      <c r="N5130" s="33" t="s">
        <v>2281</v>
      </c>
      <c r="O5130" s="33" t="s">
        <v>1940</v>
      </c>
      <c r="P5130" s="33" t="s">
        <v>30089</v>
      </c>
      <c r="Q5130" s="40" t="str">
        <f>HYPERLINK("http://www.wsbtv.com/news/news/local/gwinnett-county-police-investigate-officer-involve/nmBY5/","http://www.wsbtv.com/news/news/local/gwinnett-county-police-investigate-officer-involve/nmBY5/")</f>
        <v>http://www.wsbtv.com/news/news/local/gwinnett-county-police-investigate-officer-involve/nmBY5/</v>
      </c>
      <c r="R5130" s="33" t="s">
        <v>512</v>
      </c>
      <c r="S5130" s="33" t="s">
        <v>22</v>
      </c>
      <c r="T5130" s="33" t="s">
        <v>26774</v>
      </c>
      <c r="U5130" s="33" t="s">
        <v>26570</v>
      </c>
      <c r="V5130" s="33" t="s">
        <v>26573</v>
      </c>
      <c r="W5130" s="33" t="s">
        <v>94</v>
      </c>
      <c r="X5130" s="33">
        <v>433</v>
      </c>
      <c r="Z5130" s="33" t="s">
        <v>42968</v>
      </c>
      <c r="AA5130" s="33">
        <v>2535</v>
      </c>
    </row>
    <row r="5131" spans="1:27" ht="12" customHeight="1" x14ac:dyDescent="0.15">
      <c r="A5131" s="33" t="s">
        <v>2282</v>
      </c>
      <c r="B5131" s="33">
        <v>18</v>
      </c>
      <c r="C5131" s="33" t="s">
        <v>14</v>
      </c>
      <c r="D5131" s="33" t="s">
        <v>31</v>
      </c>
      <c r="E5131" s="33" t="s">
        <v>2283</v>
      </c>
      <c r="F5131" s="67">
        <v>42130</v>
      </c>
      <c r="G5131" s="33" t="s">
        <v>2284</v>
      </c>
      <c r="H5131" s="33" t="s">
        <v>641</v>
      </c>
      <c r="I5131" s="33" t="s">
        <v>338</v>
      </c>
      <c r="J5131" s="33">
        <v>27587</v>
      </c>
      <c r="K5131" s="33" t="s">
        <v>642</v>
      </c>
      <c r="L5131" s="33" t="s">
        <v>643</v>
      </c>
      <c r="M5131" s="33" t="s">
        <v>21</v>
      </c>
      <c r="N5131" s="33" t="s">
        <v>2285</v>
      </c>
      <c r="O5131" s="33" t="s">
        <v>372</v>
      </c>
      <c r="P5131" s="33" t="s">
        <v>30089</v>
      </c>
      <c r="Q5131" s="40" t="str">
        <f>HYPERLINK("http://www.wsoctv.com/news/news/local/police-investigate-officer-involved-shooting-wake-/nmBQL/","http://www.wsoctv.com/news/news/local/police-investigate-officer-involved-shooting-wake-/nmBQL/")</f>
        <v>http://www.wsoctv.com/news/news/local/police-investigate-officer-involved-shooting-wake-/nmBQL/</v>
      </c>
      <c r="R5131" s="33" t="s">
        <v>23</v>
      </c>
      <c r="S5131" s="33" t="s">
        <v>22</v>
      </c>
      <c r="T5131" s="33" t="s">
        <v>26781</v>
      </c>
      <c r="U5131" s="33" t="s">
        <v>26572</v>
      </c>
      <c r="V5131" s="33" t="s">
        <v>26571</v>
      </c>
      <c r="W5131" s="33" t="s">
        <v>94</v>
      </c>
      <c r="X5131" s="33">
        <v>432</v>
      </c>
      <c r="Z5131" s="33" t="s">
        <v>42968</v>
      </c>
      <c r="AA5131" s="33">
        <v>2534</v>
      </c>
    </row>
    <row r="5132" spans="1:27" ht="12" customHeight="1" x14ac:dyDescent="0.15">
      <c r="A5132" s="33" t="s">
        <v>2294</v>
      </c>
      <c r="B5132" s="33">
        <v>29</v>
      </c>
      <c r="C5132" s="33" t="s">
        <v>14</v>
      </c>
      <c r="D5132" s="33" t="s">
        <v>79</v>
      </c>
      <c r="E5132" s="33" t="s">
        <v>2295</v>
      </c>
      <c r="F5132" s="67">
        <v>42129</v>
      </c>
      <c r="G5132" s="33" t="s">
        <v>2296</v>
      </c>
      <c r="H5132" s="33" t="s">
        <v>92</v>
      </c>
      <c r="I5132" s="33" t="s">
        <v>39</v>
      </c>
      <c r="J5132" s="33" t="s">
        <v>2297</v>
      </c>
      <c r="K5132" s="33" t="s">
        <v>92</v>
      </c>
      <c r="L5132" s="33" t="s">
        <v>93</v>
      </c>
      <c r="M5132" s="33" t="s">
        <v>21</v>
      </c>
      <c r="N5132" s="33" t="s">
        <v>2298</v>
      </c>
      <c r="O5132" s="33" t="s">
        <v>372</v>
      </c>
      <c r="P5132" s="33" t="s">
        <v>30089</v>
      </c>
      <c r="Q5132" s="40" t="str">
        <f>HYPERLINK("http://abc7.com/news/man-shot-to-death-by-lapd-in-venice-after-disturbing-the-peace-call/699856/","http://abc7.com/news/man-shot-to-death-by-lapd-in-venice-after-disturbing-the-peace-call/699856/")</f>
        <v>http://abc7.com/news/man-shot-to-death-by-lapd-in-venice-after-disturbing-the-peace-call/699856/</v>
      </c>
      <c r="R5132" s="33" t="s">
        <v>94</v>
      </c>
      <c r="S5132" s="33" t="s">
        <v>12</v>
      </c>
      <c r="T5132" s="33" t="s">
        <v>29705</v>
      </c>
      <c r="U5132" s="33" t="s">
        <v>26572</v>
      </c>
      <c r="V5132" s="33" t="s">
        <v>26573</v>
      </c>
      <c r="W5132" s="33" t="s">
        <v>512</v>
      </c>
      <c r="X5132" s="33">
        <v>429</v>
      </c>
      <c r="Z5132" s="33" t="s">
        <v>42966</v>
      </c>
      <c r="AA5132" s="33">
        <v>2533</v>
      </c>
    </row>
    <row r="5133" spans="1:27" ht="12" customHeight="1" x14ac:dyDescent="0.15">
      <c r="A5133" s="33" t="s">
        <v>2302</v>
      </c>
      <c r="B5133" s="33">
        <v>32</v>
      </c>
      <c r="C5133" s="33" t="s">
        <v>14</v>
      </c>
      <c r="D5133" s="33" t="s">
        <v>15</v>
      </c>
      <c r="E5133" s="33" t="s">
        <v>2303</v>
      </c>
      <c r="F5133" s="67">
        <v>42129</v>
      </c>
      <c r="G5133" s="33" t="s">
        <v>2304</v>
      </c>
      <c r="H5133" s="33" t="s">
        <v>2305</v>
      </c>
      <c r="I5133" s="33" t="s">
        <v>39</v>
      </c>
      <c r="J5133" s="33">
        <v>91733</v>
      </c>
      <c r="K5133" s="33" t="s">
        <v>92</v>
      </c>
      <c r="L5133" s="33" t="s">
        <v>386</v>
      </c>
      <c r="M5133" s="33" t="s">
        <v>21</v>
      </c>
      <c r="N5133" s="33" t="s">
        <v>2306</v>
      </c>
      <c r="O5133" s="33" t="s">
        <v>950</v>
      </c>
      <c r="P5133" s="33" t="s">
        <v>30089</v>
      </c>
      <c r="Q5133" s="40" t="str">
        <f>HYPERLINK("http://www.sgvtribune.com/general-news/20150505/2-dead-1-injured-in-south-el-monte-stabbing-deputy-involved-shooting","http://www.sgvtribune.com/general-news/20150505/2-dead-1-injured-in-south-el-monte-stabbing-deputy-involved-shooting")</f>
        <v>http://www.sgvtribune.com/general-news/20150505/2-dead-1-injured-in-south-el-monte-stabbing-deputy-involved-shooting</v>
      </c>
      <c r="R5133" s="33" t="s">
        <v>23</v>
      </c>
      <c r="S5133" s="33" t="s">
        <v>22</v>
      </c>
      <c r="T5133" s="33" t="s">
        <v>26774</v>
      </c>
      <c r="U5133" s="33" t="s">
        <v>26572</v>
      </c>
      <c r="V5133" s="33" t="s">
        <v>26573</v>
      </c>
      <c r="W5133" s="33" t="s">
        <v>94</v>
      </c>
      <c r="X5133" s="33">
        <v>430</v>
      </c>
      <c r="Z5133" s="33" t="s">
        <v>42968</v>
      </c>
      <c r="AA5133" s="33">
        <v>2532</v>
      </c>
    </row>
    <row r="5134" spans="1:27" ht="12" customHeight="1" x14ac:dyDescent="0.15">
      <c r="A5134" s="33" t="s">
        <v>2309</v>
      </c>
      <c r="B5134" s="33">
        <v>46</v>
      </c>
      <c r="C5134" s="33" t="s">
        <v>14</v>
      </c>
      <c r="D5134" s="33" t="s">
        <v>31</v>
      </c>
      <c r="E5134" s="33" t="s">
        <v>2310</v>
      </c>
      <c r="F5134" s="67">
        <v>42129</v>
      </c>
      <c r="G5134" s="33" t="s">
        <v>2311</v>
      </c>
      <c r="H5134" s="33" t="s">
        <v>2312</v>
      </c>
      <c r="I5134" s="33" t="s">
        <v>225</v>
      </c>
      <c r="J5134" s="33">
        <v>24301</v>
      </c>
      <c r="K5134" s="33" t="s">
        <v>2312</v>
      </c>
      <c r="L5134" s="33" t="s">
        <v>2313</v>
      </c>
      <c r="M5134" s="33" t="s">
        <v>21</v>
      </c>
      <c r="N5134" s="33" t="s">
        <v>2314</v>
      </c>
      <c r="O5134" s="33" t="s">
        <v>372</v>
      </c>
      <c r="P5134" s="33" t="s">
        <v>30089</v>
      </c>
      <c r="Q5134" s="40" t="str">
        <f>HYPERLINK("http://www.wsls.com/story/28977735/vsp-investigating-officer-involved-shooting-in-pulaski","http://www.wsls.com/story/28977735/vsp-investigating-officer-involved-shooting-in-pulaski")</f>
        <v>http://www.wsls.com/story/28977735/vsp-investigating-officer-involved-shooting-in-pulaski</v>
      </c>
      <c r="R5134" s="33" t="s">
        <v>512</v>
      </c>
      <c r="S5134" s="33" t="s">
        <v>22</v>
      </c>
      <c r="T5134" s="33" t="s">
        <v>26781</v>
      </c>
      <c r="U5134" s="33" t="s">
        <v>26572</v>
      </c>
      <c r="V5134" s="33" t="s">
        <v>26573</v>
      </c>
      <c r="W5134" s="33" t="s">
        <v>94</v>
      </c>
      <c r="X5134" s="33">
        <v>434</v>
      </c>
      <c r="Z5134" s="33" t="s">
        <v>42967</v>
      </c>
      <c r="AA5134" s="33">
        <v>2531</v>
      </c>
    </row>
    <row r="5135" spans="1:27" ht="12" customHeight="1" x14ac:dyDescent="0.15">
      <c r="A5135" s="33" t="s">
        <v>2321</v>
      </c>
      <c r="B5135" s="33">
        <v>36</v>
      </c>
      <c r="C5135" s="33" t="s">
        <v>14</v>
      </c>
      <c r="D5135" s="33" t="s">
        <v>31</v>
      </c>
      <c r="E5135" s="33" t="s">
        <v>2322</v>
      </c>
      <c r="F5135" s="67">
        <v>42128</v>
      </c>
      <c r="G5135" s="33" t="s">
        <v>2323</v>
      </c>
      <c r="H5135" s="33" t="s">
        <v>2324</v>
      </c>
      <c r="I5135" s="33" t="s">
        <v>282</v>
      </c>
      <c r="J5135" s="33">
        <v>99336</v>
      </c>
      <c r="K5135" s="33" t="s">
        <v>2325</v>
      </c>
      <c r="L5135" s="33" t="s">
        <v>2326</v>
      </c>
      <c r="M5135" s="33" t="s">
        <v>21</v>
      </c>
      <c r="N5135" s="33" t="s">
        <v>36763</v>
      </c>
      <c r="O5135" s="33" t="s">
        <v>372</v>
      </c>
      <c r="P5135" s="33" t="s">
        <v>30089</v>
      </c>
      <c r="Q5135" s="40" t="str">
        <f>HYPERLINK("http://www.keprtv.com/SWAT-on-scene-of-standoff-in-Kennewick-302418671.html","http://www.keprtv.com/SWAT-on-scene-of-standoff-in-Kennewick-302418671.html")</f>
        <v>http://www.keprtv.com/SWAT-on-scene-of-standoff-in-Kennewick-302418671.html</v>
      </c>
      <c r="R5135" s="33" t="s">
        <v>512</v>
      </c>
      <c r="S5135" s="33" t="s">
        <v>12</v>
      </c>
      <c r="T5135" s="33" t="s">
        <v>29425</v>
      </c>
      <c r="U5135" s="33" t="s">
        <v>26572</v>
      </c>
      <c r="V5135" s="33" t="s">
        <v>26573</v>
      </c>
      <c r="W5135" s="33" t="s">
        <v>94</v>
      </c>
      <c r="X5135" s="33">
        <v>431</v>
      </c>
      <c r="Z5135" s="33" t="s">
        <v>42968</v>
      </c>
      <c r="AA5135" s="33">
        <v>2530</v>
      </c>
    </row>
    <row r="5136" spans="1:27" ht="12" customHeight="1" x14ac:dyDescent="0.15">
      <c r="A5136" s="33" t="s">
        <v>2327</v>
      </c>
      <c r="B5136" s="33">
        <v>34</v>
      </c>
      <c r="C5136" s="33" t="s">
        <v>14</v>
      </c>
      <c r="D5136" s="33" t="s">
        <v>15</v>
      </c>
      <c r="E5136" s="33" t="s">
        <v>2328</v>
      </c>
      <c r="F5136" s="67">
        <v>42127</v>
      </c>
      <c r="G5136" s="33" t="s">
        <v>2329</v>
      </c>
      <c r="H5136" s="33" t="s">
        <v>2330</v>
      </c>
      <c r="I5136" s="33" t="s">
        <v>67</v>
      </c>
      <c r="J5136" s="33">
        <v>75040</v>
      </c>
      <c r="K5136" s="33" t="s">
        <v>266</v>
      </c>
      <c r="L5136" s="33" t="s">
        <v>2331</v>
      </c>
      <c r="M5136" s="33" t="s">
        <v>21</v>
      </c>
      <c r="N5136" s="33" t="s">
        <v>2332</v>
      </c>
      <c r="O5136" s="33" t="s">
        <v>950</v>
      </c>
      <c r="P5136" s="33" t="s">
        <v>30089</v>
      </c>
      <c r="Q5136" s="40" t="str">
        <f>HYPERLINK("http://facebook.com/KilledByPolice/posts/1034785363216267","facebook.com/KilledByPolice/posts/1034785363216267")</f>
        <v>facebook.com/KilledByPolice/posts/1034785363216267</v>
      </c>
      <c r="R5136" s="33" t="s">
        <v>94</v>
      </c>
      <c r="S5136" s="33" t="s">
        <v>22</v>
      </c>
      <c r="T5136" s="33" t="s">
        <v>26781</v>
      </c>
      <c r="U5136" s="33" t="s">
        <v>26572</v>
      </c>
      <c r="V5136" s="33" t="s">
        <v>26573</v>
      </c>
      <c r="W5136" s="33" t="s">
        <v>94</v>
      </c>
      <c r="X5136" s="33">
        <v>428</v>
      </c>
      <c r="Z5136" s="33" t="s">
        <v>42968</v>
      </c>
      <c r="AA5136" s="33">
        <v>2526</v>
      </c>
    </row>
    <row r="5137" spans="1:27" ht="12" customHeight="1" x14ac:dyDescent="0.15">
      <c r="A5137" s="33" t="s">
        <v>2335</v>
      </c>
      <c r="B5137" s="33">
        <v>44</v>
      </c>
      <c r="C5137" s="33" t="s">
        <v>14</v>
      </c>
      <c r="D5137" s="33" t="s">
        <v>42</v>
      </c>
      <c r="E5137" s="33" t="s">
        <v>2336</v>
      </c>
      <c r="F5137" s="67">
        <v>42127</v>
      </c>
      <c r="G5137" s="33" t="s">
        <v>2337</v>
      </c>
      <c r="H5137" s="33" t="s">
        <v>866</v>
      </c>
      <c r="I5137" s="33" t="s">
        <v>178</v>
      </c>
      <c r="J5137" s="33">
        <v>87105</v>
      </c>
      <c r="K5137" s="33" t="s">
        <v>433</v>
      </c>
      <c r="L5137" s="33" t="s">
        <v>7415</v>
      </c>
      <c r="M5137" s="33" t="s">
        <v>21</v>
      </c>
      <c r="N5137" s="33" t="s">
        <v>2338</v>
      </c>
      <c r="O5137" s="33" t="s">
        <v>950</v>
      </c>
      <c r="P5137" s="33" t="s">
        <v>30089</v>
      </c>
      <c r="Q5137" s="40" t="str">
        <f>HYPERLINK("http://krqe.com/2015/05/03/suspect-from-deputy-involved-shooting-dies/","http://krqe.com/2015/05/03/suspect-from-deputy-involved-shooting-dies/")</f>
        <v>http://krqe.com/2015/05/03/suspect-from-deputy-involved-shooting-dies/</v>
      </c>
      <c r="R5137" s="33" t="s">
        <v>94</v>
      </c>
      <c r="S5137" s="33" t="s">
        <v>22</v>
      </c>
      <c r="T5137" s="33" t="s">
        <v>26781</v>
      </c>
      <c r="U5137" s="33" t="s">
        <v>26572</v>
      </c>
      <c r="V5137" s="33" t="s">
        <v>26573</v>
      </c>
      <c r="W5137" s="33" t="s">
        <v>94</v>
      </c>
      <c r="X5137" s="33">
        <v>445</v>
      </c>
      <c r="Z5137" s="33" t="s">
        <v>42968</v>
      </c>
      <c r="AA5137" s="33">
        <v>2527</v>
      </c>
    </row>
    <row r="5138" spans="1:27" ht="12" customHeight="1" x14ac:dyDescent="0.15">
      <c r="A5138" s="33" t="s">
        <v>2339</v>
      </c>
      <c r="B5138" s="33">
        <v>36</v>
      </c>
      <c r="C5138" s="33" t="s">
        <v>14</v>
      </c>
      <c r="D5138" s="33" t="s">
        <v>31</v>
      </c>
      <c r="E5138" s="33" t="s">
        <v>2340</v>
      </c>
      <c r="F5138" s="67">
        <v>42127</v>
      </c>
      <c r="G5138" s="33" t="s">
        <v>2341</v>
      </c>
      <c r="H5138" s="33" t="s">
        <v>2342</v>
      </c>
      <c r="I5138" s="33" t="s">
        <v>221</v>
      </c>
      <c r="J5138" s="33">
        <v>84066</v>
      </c>
      <c r="K5138" s="33" t="s">
        <v>2343</v>
      </c>
      <c r="L5138" s="33" t="s">
        <v>2344</v>
      </c>
      <c r="M5138" s="33" t="s">
        <v>21</v>
      </c>
      <c r="N5138" s="33" t="s">
        <v>2345</v>
      </c>
      <c r="O5138" s="33" t="s">
        <v>950</v>
      </c>
      <c r="P5138" s="33" t="s">
        <v>30089</v>
      </c>
      <c r="Q5138" s="40" t="str">
        <f>HYPERLINK("http://www.deseretnews.com/article/865627866/Roosevelt-police-shoot-kill-man-wielding-handgun-near-hospital.html?pg=all","http://www.deseretnews.com/article/865627866/Roosevelt-police-shoot-kill-man-wielding-handgun-near-hospital.html?pg=all")</f>
        <v>http://www.deseretnews.com/article/865627866/Roosevelt-police-shoot-kill-man-wielding-handgun-near-hospital.html?pg=all</v>
      </c>
      <c r="R5138" s="33" t="s">
        <v>512</v>
      </c>
      <c r="S5138" s="33" t="s">
        <v>22</v>
      </c>
      <c r="T5138" s="33" t="s">
        <v>26781</v>
      </c>
      <c r="U5138" s="33" t="s">
        <v>26572</v>
      </c>
      <c r="V5138" s="33" t="s">
        <v>26573</v>
      </c>
      <c r="W5138" s="33" t="s">
        <v>512</v>
      </c>
      <c r="X5138" s="33">
        <v>426</v>
      </c>
      <c r="Z5138" s="33" t="s">
        <v>42967</v>
      </c>
      <c r="AA5138" s="33">
        <v>2524</v>
      </c>
    </row>
    <row r="5139" spans="1:27" ht="12" customHeight="1" x14ac:dyDescent="0.15">
      <c r="A5139" s="33" t="s">
        <v>18542</v>
      </c>
      <c r="B5139" s="33">
        <v>44</v>
      </c>
      <c r="C5139" s="33" t="s">
        <v>14</v>
      </c>
      <c r="D5139" s="33" t="s">
        <v>79</v>
      </c>
      <c r="F5139" s="67">
        <v>42127</v>
      </c>
      <c r="G5139" s="33" t="s">
        <v>18543</v>
      </c>
      <c r="H5139" s="33" t="s">
        <v>27</v>
      </c>
      <c r="I5139" s="33" t="s">
        <v>621</v>
      </c>
      <c r="J5139" s="33">
        <v>38703</v>
      </c>
      <c r="K5139" s="33" t="s">
        <v>107</v>
      </c>
      <c r="L5139" s="33" t="s">
        <v>771</v>
      </c>
      <c r="M5139" s="33" t="s">
        <v>21</v>
      </c>
      <c r="N5139" s="33" t="s">
        <v>18544</v>
      </c>
      <c r="O5139" s="33" t="s">
        <v>25753</v>
      </c>
      <c r="P5139" s="33" t="s">
        <v>1084</v>
      </c>
      <c r="Q5139" s="40" t="s">
        <v>18545</v>
      </c>
      <c r="R5139" s="33" t="s">
        <v>94</v>
      </c>
      <c r="S5139" s="33" t="s">
        <v>12</v>
      </c>
      <c r="T5139" s="54" t="s">
        <v>29705</v>
      </c>
      <c r="Y5139" s="33" t="s">
        <v>42476</v>
      </c>
      <c r="Z5139" s="33" t="s">
        <v>42968</v>
      </c>
      <c r="AA5139" s="33">
        <v>2529</v>
      </c>
    </row>
    <row r="5140" spans="1:27" ht="12" customHeight="1" x14ac:dyDescent="0.15">
      <c r="A5140" s="33" t="s">
        <v>2333</v>
      </c>
      <c r="B5140" s="33">
        <v>30</v>
      </c>
      <c r="C5140" s="33" t="s">
        <v>14</v>
      </c>
      <c r="D5140" s="33" t="s">
        <v>79</v>
      </c>
      <c r="E5140" s="33" t="s">
        <v>2334</v>
      </c>
      <c r="F5140" s="67">
        <v>42127</v>
      </c>
      <c r="G5140" s="33" t="s">
        <v>2329</v>
      </c>
      <c r="H5140" s="33" t="s">
        <v>2330</v>
      </c>
      <c r="I5140" s="33" t="s">
        <v>67</v>
      </c>
      <c r="J5140" s="33">
        <v>75040</v>
      </c>
      <c r="K5140" s="33" t="s">
        <v>266</v>
      </c>
      <c r="L5140" s="33" t="s">
        <v>2331</v>
      </c>
      <c r="M5140" s="33" t="s">
        <v>21</v>
      </c>
      <c r="N5140" s="33" t="s">
        <v>2332</v>
      </c>
      <c r="O5140" s="33" t="s">
        <v>950</v>
      </c>
      <c r="P5140" s="33" t="s">
        <v>30089</v>
      </c>
      <c r="Q5140" s="40" t="str">
        <f>HYPERLINK("http://www.wfaa.com/story/news/local/2015/05/03/garland-curtis-culwell-center-swat/26848435/","http://www.wfaa.com/story/news/local/2015/05/03/garland-curtis-culwell-center-swat/26848435/")</f>
        <v>http://www.wfaa.com/story/news/local/2015/05/03/garland-curtis-culwell-center-swat/26848435/</v>
      </c>
      <c r="R5140" s="33" t="s">
        <v>94</v>
      </c>
      <c r="S5140" s="33" t="s">
        <v>22</v>
      </c>
      <c r="T5140" s="33" t="s">
        <v>26781</v>
      </c>
      <c r="U5140" s="33" t="s">
        <v>26572</v>
      </c>
      <c r="V5140" s="33" t="s">
        <v>26573</v>
      </c>
      <c r="W5140" s="33" t="s">
        <v>94</v>
      </c>
      <c r="X5140" s="33">
        <v>427</v>
      </c>
      <c r="Z5140" s="33" t="s">
        <v>42968</v>
      </c>
      <c r="AA5140" s="33">
        <v>2525</v>
      </c>
    </row>
    <row r="5141" spans="1:27" ht="12" customHeight="1" x14ac:dyDescent="0.15">
      <c r="A5141" s="33" t="s">
        <v>2315</v>
      </c>
      <c r="B5141" s="33">
        <v>53</v>
      </c>
      <c r="C5141" s="33" t="s">
        <v>14</v>
      </c>
      <c r="D5141" s="33" t="s">
        <v>31</v>
      </c>
      <c r="E5141" s="33" t="s">
        <v>2316</v>
      </c>
      <c r="F5141" s="67">
        <v>42127</v>
      </c>
      <c r="G5141" s="33" t="s">
        <v>2317</v>
      </c>
      <c r="H5141" s="33" t="s">
        <v>2318</v>
      </c>
      <c r="I5141" s="33" t="s">
        <v>294</v>
      </c>
      <c r="J5141" s="33">
        <v>41727</v>
      </c>
      <c r="K5141" s="33" t="s">
        <v>2319</v>
      </c>
      <c r="L5141" s="33" t="s">
        <v>3101</v>
      </c>
      <c r="M5141" s="33" t="s">
        <v>21</v>
      </c>
      <c r="N5141" s="33" t="s">
        <v>2320</v>
      </c>
      <c r="O5141" s="33" t="s">
        <v>950</v>
      </c>
      <c r="P5141" s="33" t="s">
        <v>30089</v>
      </c>
      <c r="Q5141" s="40" t="str">
        <f>HYPERLINK("http://www.wkyt.com/wymt/home/headlines/Police-investigating-officer-involved-shooting-in-Perry-County-302391481.html","http://www.wkyt.com/wymt/home/headlines/Police-investigating-officer-involved-shooting-in-Perry-County-302391481.html")</f>
        <v>http://www.wkyt.com/wymt/home/headlines/Police-investigating-officer-involved-shooting-in-Perry-County-302391481.html</v>
      </c>
      <c r="R5141" s="33" t="s">
        <v>23</v>
      </c>
      <c r="S5141" s="33" t="s">
        <v>22</v>
      </c>
      <c r="T5141" s="33" t="s">
        <v>26781</v>
      </c>
      <c r="U5141" s="33" t="s">
        <v>26572</v>
      </c>
      <c r="V5141" s="33" t="s">
        <v>26573</v>
      </c>
      <c r="W5141" s="33" t="s">
        <v>94</v>
      </c>
      <c r="X5141" s="33">
        <v>447</v>
      </c>
      <c r="Z5141" s="33" t="s">
        <v>42967</v>
      </c>
      <c r="AA5141" s="33">
        <v>2528</v>
      </c>
    </row>
    <row r="5142" spans="1:27" ht="12" customHeight="1" x14ac:dyDescent="0.15">
      <c r="A5142" s="33" t="s">
        <v>2346</v>
      </c>
      <c r="B5142" s="33">
        <v>52</v>
      </c>
      <c r="C5142" s="33" t="s">
        <v>14</v>
      </c>
      <c r="D5142" s="33" t="s">
        <v>31</v>
      </c>
      <c r="F5142" s="67">
        <v>42126</v>
      </c>
      <c r="G5142" s="33" t="s">
        <v>2347</v>
      </c>
      <c r="H5142" s="33" t="s">
        <v>2348</v>
      </c>
      <c r="I5142" s="33" t="s">
        <v>206</v>
      </c>
      <c r="J5142" s="33" t="s">
        <v>2349</v>
      </c>
      <c r="K5142" s="33" t="s">
        <v>2350</v>
      </c>
      <c r="L5142" s="33" t="s">
        <v>2351</v>
      </c>
      <c r="M5142" s="33" t="s">
        <v>21</v>
      </c>
      <c r="N5142" s="33" t="s">
        <v>2352</v>
      </c>
      <c r="O5142" s="33" t="s">
        <v>372</v>
      </c>
      <c r="P5142" s="33" t="s">
        <v>30089</v>
      </c>
      <c r="Q5142" s="40" t="str">
        <f>HYPERLINK("http://www.wboc.com/story/28959278/police-investigating-officer-involved-shooting","http://www.wboc.com/story/28959278/police-investigating-officer-involved-shooting")</f>
        <v>http://www.wboc.com/story/28959278/police-investigating-officer-involved-shooting</v>
      </c>
      <c r="R5142" s="33" t="s">
        <v>23</v>
      </c>
      <c r="S5142" s="33" t="s">
        <v>22</v>
      </c>
      <c r="T5142" s="33" t="s">
        <v>26781</v>
      </c>
      <c r="U5142" s="33" t="s">
        <v>26572</v>
      </c>
      <c r="V5142" s="33" t="s">
        <v>26573</v>
      </c>
      <c r="W5142" s="33" t="s">
        <v>512</v>
      </c>
      <c r="X5142" s="33">
        <v>425</v>
      </c>
      <c r="Z5142" s="33" t="s">
        <v>42967</v>
      </c>
      <c r="AA5142" s="33">
        <v>2523</v>
      </c>
    </row>
    <row r="5143" spans="1:27" ht="12" customHeight="1" x14ac:dyDescent="0.15">
      <c r="A5143" s="33" t="s">
        <v>2361</v>
      </c>
      <c r="B5143" s="33">
        <v>42</v>
      </c>
      <c r="C5143" s="33" t="s">
        <v>14</v>
      </c>
      <c r="D5143" s="33" t="s">
        <v>15</v>
      </c>
      <c r="E5143" s="33" t="s">
        <v>2362</v>
      </c>
      <c r="F5143" s="67">
        <v>42124</v>
      </c>
      <c r="G5143" s="33" t="s">
        <v>2363</v>
      </c>
      <c r="H5143" s="33" t="s">
        <v>143</v>
      </c>
      <c r="I5143" s="33" t="s">
        <v>39</v>
      </c>
      <c r="J5143" s="33">
        <v>92110</v>
      </c>
      <c r="K5143" s="33" t="s">
        <v>143</v>
      </c>
      <c r="L5143" s="33" t="s">
        <v>144</v>
      </c>
      <c r="M5143" s="33" t="s">
        <v>21</v>
      </c>
      <c r="N5143" s="33" t="s">
        <v>2364</v>
      </c>
      <c r="O5143" s="33" t="s">
        <v>2365</v>
      </c>
      <c r="P5143" s="33" t="s">
        <v>30089</v>
      </c>
      <c r="Q5143" s="40" t="str">
        <f>HYPERLINK("http://www.cbs8.com/story/28940667/homicide-detectives-on-scene-after-officer-involved-shooting-in-midway","http://www.cbs8.com/story/28940667/homicide-detectives-on-scene-after-officer-involved-shooting-in-midway")</f>
        <v>http://www.cbs8.com/story/28940667/homicide-detectives-on-scene-after-officer-involved-shooting-in-midway</v>
      </c>
      <c r="R5143" s="33" t="s">
        <v>512</v>
      </c>
      <c r="S5143" s="33" t="s">
        <v>12</v>
      </c>
      <c r="T5143" s="33" t="s">
        <v>29705</v>
      </c>
      <c r="U5143" s="33" t="s">
        <v>26570</v>
      </c>
      <c r="V5143" s="33" t="s">
        <v>26573</v>
      </c>
      <c r="W5143" s="33" t="s">
        <v>512</v>
      </c>
      <c r="X5143" s="33">
        <v>418</v>
      </c>
      <c r="Z5143" s="33" t="s">
        <v>42968</v>
      </c>
      <c r="AA5143" s="33">
        <v>2522</v>
      </c>
    </row>
    <row r="5144" spans="1:27" ht="12" customHeight="1" x14ac:dyDescent="0.15">
      <c r="A5144" s="33" t="s">
        <v>2375</v>
      </c>
      <c r="B5144" s="33">
        <v>22</v>
      </c>
      <c r="C5144" s="33" t="s">
        <v>14</v>
      </c>
      <c r="D5144" s="33" t="s">
        <v>42</v>
      </c>
      <c r="E5144" s="33" t="s">
        <v>2376</v>
      </c>
      <c r="F5144" s="67">
        <v>42124</v>
      </c>
      <c r="G5144" s="33" t="s">
        <v>2377</v>
      </c>
      <c r="H5144" s="33" t="s">
        <v>801</v>
      </c>
      <c r="I5144" s="33" t="s">
        <v>67</v>
      </c>
      <c r="J5144" s="33">
        <v>79907</v>
      </c>
      <c r="K5144" s="33" t="s">
        <v>801</v>
      </c>
      <c r="L5144" s="33" t="s">
        <v>802</v>
      </c>
      <c r="M5144" s="33" t="s">
        <v>4966</v>
      </c>
      <c r="N5144" s="33" t="s">
        <v>2378</v>
      </c>
      <c r="O5144" s="33" t="s">
        <v>372</v>
      </c>
      <c r="P5144" s="33" t="s">
        <v>30089</v>
      </c>
      <c r="Q5144" s="40" t="str">
        <f>HYPERLINK("http://www.elpasotimes.com/news/ci_28023272/el-paso-police-officer-shot-and-killed-burglary","http://www.elpasotimes.com/news/ci_28023272/el-paso-police-officer-shot-and-killed-burglary")</f>
        <v>http://www.elpasotimes.com/news/ci_28023272/el-paso-police-officer-shot-and-killed-burglary</v>
      </c>
      <c r="R5144" s="33" t="s">
        <v>94</v>
      </c>
      <c r="S5144" s="33" t="s">
        <v>29</v>
      </c>
      <c r="T5144" s="33" t="s">
        <v>26620</v>
      </c>
      <c r="U5144" s="33" t="s">
        <v>26570</v>
      </c>
      <c r="V5144" s="33" t="s">
        <v>26573</v>
      </c>
      <c r="W5144" s="33" t="s">
        <v>94</v>
      </c>
      <c r="X5144" s="33">
        <v>424</v>
      </c>
      <c r="Z5144" s="33" t="s">
        <v>42968</v>
      </c>
      <c r="AA5144" s="33">
        <v>2521</v>
      </c>
    </row>
    <row r="5145" spans="1:27" ht="12" customHeight="1" x14ac:dyDescent="0.15">
      <c r="A5145" s="33" t="s">
        <v>2379</v>
      </c>
      <c r="B5145" s="33">
        <v>26</v>
      </c>
      <c r="C5145" s="33" t="s">
        <v>14</v>
      </c>
      <c r="D5145" s="33" t="s">
        <v>128</v>
      </c>
      <c r="F5145" s="67">
        <v>42123</v>
      </c>
      <c r="G5145" s="33" t="s">
        <v>2380</v>
      </c>
      <c r="H5145" s="33" t="s">
        <v>2381</v>
      </c>
      <c r="I5145" s="33" t="s">
        <v>367</v>
      </c>
      <c r="J5145" s="33">
        <v>73018</v>
      </c>
      <c r="K5145" s="33" t="s">
        <v>2382</v>
      </c>
      <c r="L5145" s="33" t="s">
        <v>36924</v>
      </c>
      <c r="M5145" s="33" t="s">
        <v>21</v>
      </c>
      <c r="N5145" s="33" t="s">
        <v>2383</v>
      </c>
      <c r="O5145" s="33" t="s">
        <v>950</v>
      </c>
      <c r="P5145" s="33" t="s">
        <v>30089</v>
      </c>
      <c r="Q5145" s="40" t="str">
        <f>HYPERLINK("http://kfor.com/2015/04/29/oklahoma-police-officer-involved-in-fatal-shooting/","http://kfor.com/2015/04/29/oklahoma-police-officer-involved-in-fatal-shooting/")</f>
        <v>http://kfor.com/2015/04/29/oklahoma-police-officer-involved-in-fatal-shooting/</v>
      </c>
      <c r="R5145" s="33" t="s">
        <v>94</v>
      </c>
      <c r="S5145" s="33" t="s">
        <v>22</v>
      </c>
      <c r="T5145" s="33" t="s">
        <v>26774</v>
      </c>
      <c r="U5145" s="33" t="s">
        <v>26570</v>
      </c>
      <c r="V5145" s="33" t="s">
        <v>26574</v>
      </c>
      <c r="W5145" s="33" t="s">
        <v>94</v>
      </c>
      <c r="X5145" s="33">
        <v>415</v>
      </c>
      <c r="Z5145" s="33" t="s">
        <v>42967</v>
      </c>
      <c r="AA5145" s="33">
        <v>2520</v>
      </c>
    </row>
    <row r="5146" spans="1:27" ht="12" customHeight="1" x14ac:dyDescent="0.15">
      <c r="A5146" s="33" t="s">
        <v>2366</v>
      </c>
      <c r="B5146" s="33">
        <v>53</v>
      </c>
      <c r="C5146" s="33" t="s">
        <v>14</v>
      </c>
      <c r="D5146" s="33" t="s">
        <v>79</v>
      </c>
      <c r="E5146" s="33" t="str">
        <f>HYPERLINK("http://wtvr.com/2015/04/30/greensville-county-sheriff-shooting/","http://wtvr.com/2015/04/30/greensville-county-sheriff-shooting/")</f>
        <v>http://wtvr.com/2015/04/30/greensville-county-sheriff-shooting/</v>
      </c>
      <c r="F5146" s="67">
        <v>42123</v>
      </c>
      <c r="G5146" s="33" t="s">
        <v>2367</v>
      </c>
      <c r="H5146" s="33" t="s">
        <v>2368</v>
      </c>
      <c r="I5146" s="33" t="s">
        <v>225</v>
      </c>
      <c r="J5146" s="33">
        <v>23847</v>
      </c>
      <c r="K5146" s="33" t="s">
        <v>2369</v>
      </c>
      <c r="L5146" s="33" t="s">
        <v>36923</v>
      </c>
      <c r="M5146" s="33" t="s">
        <v>21</v>
      </c>
      <c r="N5146" s="33" t="s">
        <v>2370</v>
      </c>
      <c r="O5146" s="33" t="s">
        <v>950</v>
      </c>
      <c r="P5146" s="33" t="s">
        <v>30089</v>
      </c>
      <c r="Q5146" s="40" t="str">
        <f>HYPERLINK("http://www.13newsnow.com/story/news/local/virginia/2015/04/30/greensville-co-man-killed-in-officer-involved-shooting/26633591/","http://www.13newsnow.com/story/news/local/virginia/2015/04/30/greensville-co-man-killed-in-officer-involved-shooting/26633591/")</f>
        <v>http://www.13newsnow.com/story/news/local/virginia/2015/04/30/greensville-co-man-killed-in-officer-involved-shooting/26633591/</v>
      </c>
      <c r="R5146" s="33" t="s">
        <v>512</v>
      </c>
      <c r="S5146" s="33" t="s">
        <v>22</v>
      </c>
      <c r="T5146" s="33" t="s">
        <v>26781</v>
      </c>
      <c r="U5146" s="33" t="s">
        <v>26572</v>
      </c>
      <c r="V5146" s="33" t="s">
        <v>26573</v>
      </c>
      <c r="W5146" s="33" t="s">
        <v>94</v>
      </c>
      <c r="X5146" s="33">
        <v>422</v>
      </c>
      <c r="Z5146" s="33" t="s">
        <v>42967</v>
      </c>
      <c r="AA5146" s="33">
        <v>2518</v>
      </c>
    </row>
    <row r="5147" spans="1:27" ht="12" customHeight="1" x14ac:dyDescent="0.15">
      <c r="A5147" s="33" t="s">
        <v>2353</v>
      </c>
      <c r="B5147" s="33">
        <v>25</v>
      </c>
      <c r="C5147" s="33" t="s">
        <v>103</v>
      </c>
      <c r="D5147" s="33" t="s">
        <v>79</v>
      </c>
      <c r="E5147" s="33" t="str">
        <f>HYPERLINK("http://mugshots.com/search.html?q=alexia%20christian&amp;c=119250","http://mugshots.com/search.html?q=alexia%20christian&amp;c=119250")</f>
        <v>http://mugshots.com/search.html?q=alexia%20christian&amp;c=119250</v>
      </c>
      <c r="F5147" s="67">
        <v>42123</v>
      </c>
      <c r="G5147" s="33" t="s">
        <v>2354</v>
      </c>
      <c r="H5147" s="33" t="s">
        <v>1786</v>
      </c>
      <c r="I5147" s="33" t="s">
        <v>160</v>
      </c>
      <c r="J5147" s="33" t="s">
        <v>2355</v>
      </c>
      <c r="K5147" s="33" t="s">
        <v>1454</v>
      </c>
      <c r="L5147" s="33" t="s">
        <v>2356</v>
      </c>
      <c r="M5147" s="33" t="s">
        <v>21</v>
      </c>
      <c r="N5147" s="33" t="s">
        <v>2357</v>
      </c>
      <c r="O5147" s="33" t="s">
        <v>372</v>
      </c>
      <c r="P5147" s="33" t="s">
        <v>30089</v>
      </c>
      <c r="Q5147" s="40" t="str">
        <f>HYPERLINK("http://www.ajc.com/news/news/shots-fired-in-downtown-atlanta/nk6jp/","http://www.ajc.com/news/news/shots-fired-in-downtown-atlanta/nk6jp/")</f>
        <v>http://www.ajc.com/news/news/shots-fired-in-downtown-atlanta/nk6jp/</v>
      </c>
      <c r="R5147" s="33" t="s">
        <v>23</v>
      </c>
      <c r="S5147" s="33" t="s">
        <v>22</v>
      </c>
      <c r="T5147" s="33" t="s">
        <v>26781</v>
      </c>
      <c r="U5147" s="33" t="s">
        <v>26572</v>
      </c>
      <c r="V5147" s="33" t="s">
        <v>26573</v>
      </c>
      <c r="W5147" s="33" t="s">
        <v>94</v>
      </c>
      <c r="X5147" s="33">
        <v>421</v>
      </c>
      <c r="Z5147" s="33" t="s">
        <v>42966</v>
      </c>
      <c r="AA5147" s="33">
        <v>2517</v>
      </c>
    </row>
    <row r="5148" spans="1:27" ht="12" customHeight="1" x14ac:dyDescent="0.15">
      <c r="A5148" s="33" t="s">
        <v>2371</v>
      </c>
      <c r="B5148" s="33">
        <v>33</v>
      </c>
      <c r="C5148" s="33" t="s">
        <v>14</v>
      </c>
      <c r="D5148" s="33" t="s">
        <v>128</v>
      </c>
      <c r="E5148" s="33" t="s">
        <v>2372</v>
      </c>
      <c r="F5148" s="67">
        <v>42123</v>
      </c>
      <c r="G5148" s="33" t="s">
        <v>2373</v>
      </c>
      <c r="H5148" s="33" t="s">
        <v>1337</v>
      </c>
      <c r="I5148" s="33" t="s">
        <v>112</v>
      </c>
      <c r="J5148" s="33">
        <v>85204</v>
      </c>
      <c r="K5148" s="33" t="s">
        <v>585</v>
      </c>
      <c r="L5148" s="33" t="s">
        <v>1338</v>
      </c>
      <c r="M5148" s="33" t="s">
        <v>21</v>
      </c>
      <c r="N5148" s="33" t="s">
        <v>2374</v>
      </c>
      <c r="O5148" s="33" t="s">
        <v>950</v>
      </c>
      <c r="P5148" s="33" t="s">
        <v>30089</v>
      </c>
      <c r="Q5148" s="40" t="str">
        <f>HYPERLINK("http://www.azcentral.com/story/news/local/mesa/2015/04/29/mesa-police-officer-involved-fatal-shooting-abrk/26610825/","http://www.azcentral.com/story/news/local/mesa/2015/04/29/mesa-police-officer-involved-fatal-shooting-abrk/26610825/")</f>
        <v>http://www.azcentral.com/story/news/local/mesa/2015/04/29/mesa-police-officer-involved-fatal-shooting-abrk/26610825/</v>
      </c>
      <c r="R5148" s="33" t="s">
        <v>512</v>
      </c>
      <c r="S5148" s="33" t="s">
        <v>22</v>
      </c>
      <c r="T5148" s="33" t="s">
        <v>26781</v>
      </c>
      <c r="U5148" s="33" t="s">
        <v>26572</v>
      </c>
      <c r="V5148" s="33" t="s">
        <v>26573</v>
      </c>
      <c r="W5148" s="33" t="s">
        <v>94</v>
      </c>
      <c r="X5148" s="33">
        <v>416</v>
      </c>
      <c r="Z5148" s="33" t="s">
        <v>42968</v>
      </c>
      <c r="AA5148" s="33">
        <v>2515</v>
      </c>
    </row>
    <row r="5149" spans="1:27" ht="12" customHeight="1" x14ac:dyDescent="0.15">
      <c r="A5149" s="33" t="s">
        <v>2384</v>
      </c>
      <c r="B5149" s="33">
        <v>27</v>
      </c>
      <c r="C5149" s="33" t="s">
        <v>14</v>
      </c>
      <c r="D5149" s="33" t="s">
        <v>42</v>
      </c>
      <c r="F5149" s="67">
        <v>42123</v>
      </c>
      <c r="G5149" s="33" t="s">
        <v>2385</v>
      </c>
      <c r="H5149" s="33" t="s">
        <v>2386</v>
      </c>
      <c r="I5149" s="33" t="s">
        <v>39</v>
      </c>
      <c r="J5149" s="33" t="s">
        <v>2387</v>
      </c>
      <c r="K5149" s="33" t="s">
        <v>1537</v>
      </c>
      <c r="L5149" s="33" t="s">
        <v>2388</v>
      </c>
      <c r="M5149" s="33" t="s">
        <v>21</v>
      </c>
      <c r="N5149" s="33" t="s">
        <v>2389</v>
      </c>
      <c r="O5149" s="33" t="s">
        <v>950</v>
      </c>
      <c r="P5149" s="33" t="s">
        <v>30089</v>
      </c>
      <c r="Q5149" s="40" t="str">
        <f>HYPERLINK("http://www.sacbee.com/news/local/crime/article19860156.html","http://www.sacbee.com/news/local/crime/article19860156.html")</f>
        <v>http://www.sacbee.com/news/local/crime/article19860156.html</v>
      </c>
      <c r="R5149" s="33" t="s">
        <v>94</v>
      </c>
      <c r="S5149" s="33" t="s">
        <v>22</v>
      </c>
      <c r="T5149" s="33" t="s">
        <v>26781</v>
      </c>
      <c r="U5149" s="33" t="s">
        <v>26572</v>
      </c>
      <c r="V5149" s="33" t="s">
        <v>26573</v>
      </c>
      <c r="W5149" s="33" t="s">
        <v>94</v>
      </c>
      <c r="X5149" s="33">
        <v>419</v>
      </c>
      <c r="Z5149" s="33" t="s">
        <v>42968</v>
      </c>
      <c r="AA5149" s="33">
        <v>2516</v>
      </c>
    </row>
    <row r="5150" spans="1:27" ht="12" customHeight="1" x14ac:dyDescent="0.15">
      <c r="A5150" s="33" t="s">
        <v>2358</v>
      </c>
      <c r="B5150" s="33">
        <v>53</v>
      </c>
      <c r="C5150" s="33" t="s">
        <v>14</v>
      </c>
      <c r="D5150" s="33" t="s">
        <v>31</v>
      </c>
      <c r="E5150" s="33" t="str">
        <f>HYPERLINK("http://www.wsmv.com/story/28940658/police-investigating-shooting-in-south-nashville","http://www.wsmv.com/story/28940658/police-investigating-shooting-in-south-nashville")</f>
        <v>http://www.wsmv.com/story/28940658/police-investigating-shooting-in-south-nashville</v>
      </c>
      <c r="F5150" s="67">
        <v>42123</v>
      </c>
      <c r="G5150" s="33" t="s">
        <v>2359</v>
      </c>
      <c r="H5150" s="33" t="s">
        <v>1888</v>
      </c>
      <c r="I5150" s="33" t="s">
        <v>298</v>
      </c>
      <c r="J5150" s="33">
        <v>37220</v>
      </c>
      <c r="K5150" s="33" t="s">
        <v>823</v>
      </c>
      <c r="L5150" s="33" t="s">
        <v>824</v>
      </c>
      <c r="M5150" s="33" t="s">
        <v>21</v>
      </c>
      <c r="N5150" s="33" t="s">
        <v>2360</v>
      </c>
      <c r="O5150" s="33" t="s">
        <v>950</v>
      </c>
      <c r="P5150" s="33" t="s">
        <v>30089</v>
      </c>
      <c r="Q5150" s="40" t="str">
        <f>HYPERLINK("http://www.wsmv.com/story/28940658/police-investigating-shooting-in-south-nashville","http://www.wsmv.com/story/28940658/police-investigating-shooting-in-south-nashville")</f>
        <v>http://www.wsmv.com/story/28940658/police-investigating-shooting-in-south-nashville</v>
      </c>
      <c r="R5150" s="33" t="s">
        <v>512</v>
      </c>
      <c r="S5150" s="33" t="s">
        <v>22</v>
      </c>
      <c r="T5150" s="33" t="s">
        <v>26781</v>
      </c>
      <c r="U5150" s="33" t="s">
        <v>26572</v>
      </c>
      <c r="V5150" s="33" t="s">
        <v>26573</v>
      </c>
      <c r="W5150" s="33" t="s">
        <v>94</v>
      </c>
      <c r="X5150" s="33">
        <v>423</v>
      </c>
      <c r="Z5150" s="33" t="s">
        <v>42968</v>
      </c>
      <c r="AA5150" s="33">
        <v>2519</v>
      </c>
    </row>
    <row r="5151" spans="1:27" ht="12" customHeight="1" x14ac:dyDescent="0.15">
      <c r="A5151" s="33" t="s">
        <v>2395</v>
      </c>
      <c r="B5151" s="33">
        <v>27</v>
      </c>
      <c r="C5151" s="33" t="s">
        <v>14</v>
      </c>
      <c r="D5151" s="33" t="s">
        <v>31</v>
      </c>
      <c r="E5151" s="33" t="str">
        <f>HYPERLINK("http://www.kfvs12.com/story/28915534/1-dead-after-standoff-in-marion","http://www.kfvs12.com/story/28915534/1-dead-after-standoff-in-marion")</f>
        <v>http://www.kfvs12.com/story/28915534/1-dead-after-standoff-in-marion</v>
      </c>
      <c r="F5151" s="67">
        <v>42122</v>
      </c>
      <c r="G5151" s="33" t="s">
        <v>2396</v>
      </c>
      <c r="H5151" s="33" t="s">
        <v>392</v>
      </c>
      <c r="I5151" s="33" t="s">
        <v>38</v>
      </c>
      <c r="J5151" s="33">
        <v>62959</v>
      </c>
      <c r="K5151" s="33" t="s">
        <v>2397</v>
      </c>
      <c r="L5151" s="33" t="s">
        <v>36926</v>
      </c>
      <c r="M5151" s="33" t="s">
        <v>21</v>
      </c>
      <c r="N5151" s="33" t="s">
        <v>2398</v>
      </c>
      <c r="O5151" s="33" t="s">
        <v>950</v>
      </c>
      <c r="P5151" s="33" t="s">
        <v>30089</v>
      </c>
      <c r="Q5151" s="40" t="str">
        <f>HYPERLINK("http://www.kfvs12.com/story/28915534/1-dead-after-standoff-in-marion","http://www.kfvs12.com/story/28915534/1-dead-after-standoff-in-marion")</f>
        <v>http://www.kfvs12.com/story/28915534/1-dead-after-standoff-in-marion</v>
      </c>
      <c r="R5151" s="33" t="s">
        <v>512</v>
      </c>
      <c r="S5151" s="33" t="s">
        <v>22</v>
      </c>
      <c r="T5151" s="33" t="s">
        <v>26781</v>
      </c>
      <c r="U5151" s="33" t="s">
        <v>26572</v>
      </c>
      <c r="V5151" s="33" t="s">
        <v>26573</v>
      </c>
      <c r="W5151" s="33" t="s">
        <v>94</v>
      </c>
      <c r="X5151" s="33">
        <v>420</v>
      </c>
      <c r="Z5151" s="33" t="s">
        <v>42967</v>
      </c>
      <c r="AA5151" s="33">
        <v>2514</v>
      </c>
    </row>
    <row r="5152" spans="1:27" ht="12" customHeight="1" x14ac:dyDescent="0.15">
      <c r="A5152" s="33" t="s">
        <v>2399</v>
      </c>
      <c r="B5152" s="33">
        <v>58</v>
      </c>
      <c r="C5152" s="33" t="s">
        <v>14</v>
      </c>
      <c r="D5152" s="33" t="s">
        <v>31</v>
      </c>
      <c r="E5152" s="33" t="str">
        <f>HYPERLINK("http://www.mansfieldnewsjournal.com/story/news/local/2015/04/27/mansfield-police-scene-standoff/26457727/","http://www.mansfieldnewsjournal.com/story/news/local/2015/04/27/mansfield-police-scene-standoff/26457727/")</f>
        <v>http://www.mansfieldnewsjournal.com/story/news/local/2015/04/27/mansfield-police-scene-standoff/26457727/</v>
      </c>
      <c r="F5152" s="67">
        <v>42122</v>
      </c>
      <c r="G5152" s="33" t="s">
        <v>2400</v>
      </c>
      <c r="H5152" s="33" t="s">
        <v>2401</v>
      </c>
      <c r="I5152" s="33" t="s">
        <v>63</v>
      </c>
      <c r="J5152" s="33">
        <v>44907</v>
      </c>
      <c r="K5152" s="33" t="s">
        <v>2402</v>
      </c>
      <c r="L5152" s="33" t="s">
        <v>2403</v>
      </c>
      <c r="M5152" s="33" t="s">
        <v>21</v>
      </c>
      <c r="N5152" s="33" t="s">
        <v>2404</v>
      </c>
      <c r="O5152" s="33" t="s">
        <v>950</v>
      </c>
      <c r="P5152" s="33" t="s">
        <v>30089</v>
      </c>
      <c r="Q5152" s="40" t="str">
        <f>HYPERLINK("http://www.mansfieldnewsjournal.com/story/news/local/2015/04/27/mansfield-police-scene-standoff/26457727/","http://www.mansfieldnewsjournal.com/story/news/local/2015/04/27/mansfield-police-scene-standoff/26457727/")</f>
        <v>http://www.mansfieldnewsjournal.com/story/news/local/2015/04/27/mansfield-police-scene-standoff/26457727/</v>
      </c>
      <c r="R5152" s="33" t="s">
        <v>94</v>
      </c>
      <c r="S5152" s="33" t="s">
        <v>22</v>
      </c>
      <c r="T5152" s="33" t="s">
        <v>26781</v>
      </c>
      <c r="U5152" s="33" t="s">
        <v>26572</v>
      </c>
      <c r="V5152" s="33" t="s">
        <v>26573</v>
      </c>
      <c r="W5152" s="33" t="s">
        <v>94</v>
      </c>
      <c r="X5152" s="33">
        <v>413</v>
      </c>
      <c r="Z5152" s="33" t="s">
        <v>42968</v>
      </c>
      <c r="AA5152" s="33">
        <v>2512</v>
      </c>
    </row>
    <row r="5153" spans="1:27" ht="12" customHeight="1" x14ac:dyDescent="0.15">
      <c r="A5153" s="33" t="s">
        <v>2390</v>
      </c>
      <c r="B5153" s="33">
        <v>21</v>
      </c>
      <c r="C5153" s="33" t="s">
        <v>14</v>
      </c>
      <c r="D5153" s="33" t="s">
        <v>79</v>
      </c>
      <c r="E5153" s="33" t="s">
        <v>2391</v>
      </c>
      <c r="F5153" s="67">
        <v>42122</v>
      </c>
      <c r="G5153" s="33" t="s">
        <v>2392</v>
      </c>
      <c r="H5153" s="33" t="s">
        <v>979</v>
      </c>
      <c r="I5153" s="33" t="s">
        <v>19</v>
      </c>
      <c r="J5153" s="33">
        <v>70126</v>
      </c>
      <c r="K5153" s="33" t="s">
        <v>2393</v>
      </c>
      <c r="L5153" s="33" t="s">
        <v>980</v>
      </c>
      <c r="M5153" s="33" t="s">
        <v>21</v>
      </c>
      <c r="N5153" s="33" t="s">
        <v>2394</v>
      </c>
      <c r="O5153" s="33" t="s">
        <v>950</v>
      </c>
      <c r="P5153" s="33" t="s">
        <v>30089</v>
      </c>
      <c r="Q5153" s="40" t="str">
        <f>HYPERLINK("http://www.wwltv.com/story/news/crime/2015/04/28/nopd-on-scene-of-officer-needing-assistance/26555847/","http://www.wwltv.com/story/news/crime/2015/04/28/nopd-on-scene-of-officer-needing-assistance/26555847/")</f>
        <v>http://www.wwltv.com/story/news/crime/2015/04/28/nopd-on-scene-of-officer-needing-assistance/26555847/</v>
      </c>
      <c r="R5153" s="33" t="s">
        <v>94</v>
      </c>
      <c r="S5153" s="33" t="s">
        <v>22</v>
      </c>
      <c r="T5153" s="33" t="s">
        <v>26781</v>
      </c>
      <c r="U5153" s="33" t="s">
        <v>26572</v>
      </c>
      <c r="V5153" s="33" t="s">
        <v>26573</v>
      </c>
      <c r="W5153" s="33" t="s">
        <v>512</v>
      </c>
      <c r="X5153" s="33">
        <v>417</v>
      </c>
      <c r="Z5153" s="33" t="s">
        <v>42968</v>
      </c>
      <c r="AA5153" s="33">
        <v>2513</v>
      </c>
    </row>
    <row r="5154" spans="1:27" ht="12" customHeight="1" x14ac:dyDescent="0.15">
      <c r="A5154" s="33" t="s">
        <v>2405</v>
      </c>
      <c r="B5154" s="33">
        <v>20</v>
      </c>
      <c r="C5154" s="33" t="s">
        <v>14</v>
      </c>
      <c r="D5154" s="33" t="s">
        <v>79</v>
      </c>
      <c r="F5154" s="67">
        <v>42121</v>
      </c>
      <c r="G5154" s="33" t="s">
        <v>2406</v>
      </c>
      <c r="H5154" s="33" t="s">
        <v>415</v>
      </c>
      <c r="I5154" s="33" t="s">
        <v>51</v>
      </c>
      <c r="J5154" s="33">
        <v>48228</v>
      </c>
      <c r="K5154" s="33" t="s">
        <v>1057</v>
      </c>
      <c r="L5154" s="33" t="s">
        <v>17585</v>
      </c>
      <c r="M5154" s="33" t="s">
        <v>21</v>
      </c>
      <c r="N5154" s="33" t="s">
        <v>2407</v>
      </c>
      <c r="O5154" s="33" t="s">
        <v>950</v>
      </c>
      <c r="P5154" s="33" t="s">
        <v>30089</v>
      </c>
      <c r="Q5154" s="40" t="str">
        <f>HYPERLINK("http://america.aljazeera.com/articles/2015/4/29/terrance-kellom-shot-dead-in-detroit-by-ice-agent.html","http://america.aljazeera.com/articles/2015/4/29/terrance-kellom-shot-dead-in-detroit-by-ice-agent.html")</f>
        <v>http://america.aljazeera.com/articles/2015/4/29/terrance-kellom-shot-dead-in-detroit-by-ice-agent.html</v>
      </c>
      <c r="R5154" s="33" t="s">
        <v>94</v>
      </c>
      <c r="S5154" s="33" t="s">
        <v>22</v>
      </c>
      <c r="T5154" s="33" t="s">
        <v>26624</v>
      </c>
      <c r="U5154" s="33" t="s">
        <v>26570</v>
      </c>
      <c r="V5154" s="33" t="s">
        <v>26573</v>
      </c>
      <c r="W5154" s="33" t="s">
        <v>94</v>
      </c>
      <c r="X5154" s="33">
        <v>405</v>
      </c>
      <c r="Z5154" s="33" t="s">
        <v>42966</v>
      </c>
      <c r="AA5154" s="33">
        <v>2511</v>
      </c>
    </row>
    <row r="5155" spans="1:27" ht="12" customHeight="1" x14ac:dyDescent="0.15">
      <c r="A5155" s="33" t="s">
        <v>2408</v>
      </c>
      <c r="B5155" s="33">
        <v>45</v>
      </c>
      <c r="C5155" s="33" t="s">
        <v>14</v>
      </c>
      <c r="D5155" s="33" t="s">
        <v>31</v>
      </c>
      <c r="E5155" s="33" t="s">
        <v>2409</v>
      </c>
      <c r="F5155" s="67">
        <v>42120</v>
      </c>
      <c r="G5155" s="33" t="s">
        <v>2410</v>
      </c>
      <c r="H5155" s="33" t="s">
        <v>2411</v>
      </c>
      <c r="I5155" s="33" t="s">
        <v>39</v>
      </c>
      <c r="J5155" s="33">
        <v>92708</v>
      </c>
      <c r="K5155" s="33" t="s">
        <v>998</v>
      </c>
      <c r="L5155" s="33" t="s">
        <v>2412</v>
      </c>
      <c r="M5155" s="33" t="s">
        <v>21</v>
      </c>
      <c r="N5155" s="33" t="s">
        <v>2413</v>
      </c>
      <c r="O5155" s="33" t="s">
        <v>950</v>
      </c>
      <c r="P5155" s="33" t="s">
        <v>30089</v>
      </c>
      <c r="Q5155" s="40" t="str">
        <f>HYPERLINK("http://abc7.com/news/burglary-suspect-killed-in-officer-involved-shooting-in-fountain-valley/682399/","http://abc7.com/news/burglary-suspect-killed-in-officer-involved-shooting-in-fountain-valley/682399/")</f>
        <v>http://abc7.com/news/burglary-suspect-killed-in-officer-involved-shooting-in-fountain-valley/682399/</v>
      </c>
      <c r="R5155" s="33" t="s">
        <v>94</v>
      </c>
      <c r="S5155" s="33" t="s">
        <v>22</v>
      </c>
      <c r="T5155" s="33" t="s">
        <v>26781</v>
      </c>
      <c r="U5155" s="33" t="s">
        <v>26572</v>
      </c>
      <c r="V5155" s="33" t="s">
        <v>26573</v>
      </c>
      <c r="W5155" s="33" t="s">
        <v>94</v>
      </c>
      <c r="X5155" s="33">
        <v>407</v>
      </c>
      <c r="Z5155" s="33" t="s">
        <v>42966</v>
      </c>
      <c r="AA5155" s="33">
        <v>2509</v>
      </c>
    </row>
    <row r="5156" spans="1:27" ht="12" customHeight="1" x14ac:dyDescent="0.15">
      <c r="A5156" s="33" t="s">
        <v>2421</v>
      </c>
      <c r="B5156" s="33">
        <v>29</v>
      </c>
      <c r="C5156" s="33" t="s">
        <v>14</v>
      </c>
      <c r="D5156" s="33" t="s">
        <v>31</v>
      </c>
      <c r="E5156" s="33" t="str">
        <f>HYPERLINK("http://www.guns.com/2015/04/30/game-warden-shoots-kills-man-who-tried-to-drown-him-after-checking-fishing-license/","http://www.guns.com/2015/04/30/game-warden-shoots-kills-man-who-tried-to-drown-him-after-checking-fishing-license/")</f>
        <v>http://www.guns.com/2015/04/30/game-warden-shoots-kills-man-who-tried-to-drown-him-after-checking-fishing-license/</v>
      </c>
      <c r="F5156" s="67">
        <v>42120</v>
      </c>
      <c r="H5156" s="33" t="s">
        <v>2422</v>
      </c>
      <c r="I5156" s="33" t="s">
        <v>367</v>
      </c>
      <c r="J5156" s="33">
        <v>74931</v>
      </c>
      <c r="K5156" s="33" t="s">
        <v>2423</v>
      </c>
      <c r="L5156" s="33" t="s">
        <v>2424</v>
      </c>
      <c r="M5156" s="33" t="s">
        <v>21</v>
      </c>
      <c r="N5156" s="33" t="s">
        <v>2425</v>
      </c>
      <c r="O5156" s="33" t="s">
        <v>2426</v>
      </c>
      <c r="P5156" s="33" t="s">
        <v>30089</v>
      </c>
      <c r="Q5156" s="40" t="s">
        <v>2427</v>
      </c>
      <c r="R5156" s="33" t="s">
        <v>23</v>
      </c>
      <c r="S5156" s="33" t="s">
        <v>12</v>
      </c>
      <c r="T5156" s="33" t="s">
        <v>29705</v>
      </c>
      <c r="U5156" s="33" t="s">
        <v>26572</v>
      </c>
      <c r="V5156" s="33" t="s">
        <v>26573</v>
      </c>
      <c r="W5156" s="33" t="s">
        <v>94</v>
      </c>
      <c r="X5156" s="33">
        <v>404</v>
      </c>
      <c r="Z5156" s="33" t="s">
        <v>42967</v>
      </c>
      <c r="AA5156" s="33">
        <v>2510</v>
      </c>
    </row>
    <row r="5157" spans="1:27" ht="12" customHeight="1" x14ac:dyDescent="0.15">
      <c r="A5157" s="33" t="s">
        <v>2414</v>
      </c>
      <c r="B5157" s="33">
        <v>76</v>
      </c>
      <c r="C5157" s="33" t="s">
        <v>14</v>
      </c>
      <c r="D5157" s="33" t="s">
        <v>31</v>
      </c>
      <c r="F5157" s="67">
        <v>42120</v>
      </c>
      <c r="G5157" s="33" t="s">
        <v>2415</v>
      </c>
      <c r="H5157" s="33" t="s">
        <v>2416</v>
      </c>
      <c r="I5157" s="33" t="s">
        <v>39</v>
      </c>
      <c r="J5157" s="33" t="s">
        <v>2417</v>
      </c>
      <c r="K5157" s="33" t="s">
        <v>1601</v>
      </c>
      <c r="L5157" s="33" t="s">
        <v>2418</v>
      </c>
      <c r="M5157" s="33" t="s">
        <v>21</v>
      </c>
      <c r="N5157" s="33" t="s">
        <v>2419</v>
      </c>
      <c r="O5157" s="33" t="s">
        <v>372</v>
      </c>
      <c r="P5157" s="33" t="s">
        <v>30089</v>
      </c>
      <c r="Q5157" s="40" t="s">
        <v>2420</v>
      </c>
      <c r="R5157" s="33" t="s">
        <v>23</v>
      </c>
      <c r="S5157" s="33" t="s">
        <v>22</v>
      </c>
      <c r="T5157" s="33" t="s">
        <v>26781</v>
      </c>
      <c r="U5157" s="33" t="s">
        <v>26572</v>
      </c>
      <c r="V5157" s="33" t="s">
        <v>26573</v>
      </c>
      <c r="W5157" s="33" t="s">
        <v>94</v>
      </c>
      <c r="X5157" s="33">
        <v>406</v>
      </c>
      <c r="Z5157" s="33" t="s">
        <v>42968</v>
      </c>
      <c r="AA5157" s="33">
        <v>2508</v>
      </c>
    </row>
    <row r="5158" spans="1:27" ht="12" customHeight="1" x14ac:dyDescent="0.15">
      <c r="A5158" s="33" t="s">
        <v>2433</v>
      </c>
      <c r="B5158" s="33">
        <v>24</v>
      </c>
      <c r="C5158" s="33" t="s">
        <v>14</v>
      </c>
      <c r="D5158" s="33" t="s">
        <v>79</v>
      </c>
      <c r="E5158" s="33" t="str">
        <f>HYPERLINK("http://www.democracynow.org/2015/4/27/headlines/new_york_police_kill_mentally_ill_african_american_man","http://www.democracynow.org/2015/4/27/headlines/new_york_police_kill_mentally_ill_african_american_man")</f>
        <v>http://www.democracynow.org/2015/4/27/headlines/new_york_police_kill_mentally_ill_african_american_man</v>
      </c>
      <c r="F5158" s="67">
        <v>42119</v>
      </c>
      <c r="G5158" s="33" t="s">
        <v>2434</v>
      </c>
      <c r="H5158" s="33" t="s">
        <v>700</v>
      </c>
      <c r="I5158" s="33" t="s">
        <v>395</v>
      </c>
      <c r="J5158" s="33" t="s">
        <v>2435</v>
      </c>
      <c r="K5158" s="33" t="s">
        <v>700</v>
      </c>
      <c r="L5158" s="33" t="s">
        <v>539</v>
      </c>
      <c r="M5158" s="33" t="s">
        <v>21</v>
      </c>
      <c r="N5158" s="33" t="s">
        <v>2436</v>
      </c>
      <c r="O5158" s="33" t="s">
        <v>950</v>
      </c>
      <c r="P5158" s="33" t="s">
        <v>30089</v>
      </c>
      <c r="Q5158" s="40" t="str">
        <f>HYPERLINK("http://www.nydailynews.com/new-york/cops-shoot-man-east-village-altercation-police-article-1.2198797","http://www.nydailynews.com/new-york/cops-shoot-man-east-village-altercation-police-article-1.2198797")</f>
        <v>http://www.nydailynews.com/new-york/cops-shoot-man-east-village-altercation-police-article-1.2198797</v>
      </c>
      <c r="R5158" s="33" t="s">
        <v>512</v>
      </c>
      <c r="S5158" s="33" t="s">
        <v>12</v>
      </c>
      <c r="T5158" s="33" t="s">
        <v>29705</v>
      </c>
      <c r="U5158" s="33" t="s">
        <v>26572</v>
      </c>
      <c r="V5158" s="33" t="s">
        <v>26574</v>
      </c>
      <c r="W5158" s="33" t="s">
        <v>94</v>
      </c>
      <c r="X5158" s="33">
        <v>411</v>
      </c>
      <c r="Z5158" s="33" t="s">
        <v>42966</v>
      </c>
      <c r="AA5158" s="33">
        <v>2507</v>
      </c>
    </row>
    <row r="5159" spans="1:27" ht="12" customHeight="1" x14ac:dyDescent="0.15">
      <c r="A5159" s="33" t="s">
        <v>2437</v>
      </c>
      <c r="B5159" s="33">
        <v>58</v>
      </c>
      <c r="C5159" s="33" t="s">
        <v>14</v>
      </c>
      <c r="D5159" s="33" t="s">
        <v>31</v>
      </c>
      <c r="E5159" s="33" t="s">
        <v>2438</v>
      </c>
      <c r="F5159" s="67">
        <v>42119</v>
      </c>
      <c r="G5159" s="33" t="s">
        <v>2439</v>
      </c>
      <c r="H5159" s="33" t="s">
        <v>2440</v>
      </c>
      <c r="I5159" s="33" t="s">
        <v>56</v>
      </c>
      <c r="J5159" s="33">
        <v>34711</v>
      </c>
      <c r="K5159" s="33" t="s">
        <v>1179</v>
      </c>
      <c r="L5159" s="33" t="s">
        <v>1180</v>
      </c>
      <c r="M5159" s="33" t="s">
        <v>21</v>
      </c>
      <c r="N5159" s="33" t="s">
        <v>36764</v>
      </c>
      <c r="O5159" s="33" t="s">
        <v>950</v>
      </c>
      <c r="P5159" s="33" t="s">
        <v>30089</v>
      </c>
      <c r="Q5159" s="40" t="str">
        <f>HYPERLINK("http://www.wftv.com/news/news/local/1-fatally-shot-lake-county-deputy-involved-shootin/nk3ng/","http://www.wftv.com/news/news/local/1-fatally-shot-lake-county-deputy-involved-shootin/nk3ng/")</f>
        <v>http://www.wftv.com/news/news/local/1-fatally-shot-lake-county-deputy-involved-shootin/nk3ng/</v>
      </c>
      <c r="R5159" s="33" t="s">
        <v>512</v>
      </c>
      <c r="S5159" s="33" t="s">
        <v>22</v>
      </c>
      <c r="T5159" s="33" t="s">
        <v>26774</v>
      </c>
      <c r="U5159" s="33" t="s">
        <v>26570</v>
      </c>
      <c r="V5159" s="33" t="s">
        <v>26573</v>
      </c>
      <c r="W5159" s="33" t="s">
        <v>94</v>
      </c>
      <c r="X5159" s="33">
        <v>414</v>
      </c>
      <c r="Z5159" s="33" t="s">
        <v>42968</v>
      </c>
      <c r="AA5159" s="33">
        <v>2505</v>
      </c>
    </row>
    <row r="5160" spans="1:27" ht="12" customHeight="1" x14ac:dyDescent="0.15">
      <c r="A5160" s="33" t="s">
        <v>2428</v>
      </c>
      <c r="B5160" s="33">
        <v>25</v>
      </c>
      <c r="C5160" s="33" t="s">
        <v>14</v>
      </c>
      <c r="D5160" s="33" t="s">
        <v>31</v>
      </c>
      <c r="E5160" s="33" t="str">
        <f>HYPERLINK("https://www.victoriaadvocate.com/news/2015/apr/27/parents-of-veteran-fatally-shot-by-police-seek-ans/","https://www.victoriaadvocate.com/news/2015/apr/27/parents-of-veteran-fatally-shot-by-police-seek-ans/")</f>
        <v>https://www.victoriaadvocate.com/news/2015/apr/27/parents-of-veteran-fatally-shot-by-police-seek-ans/</v>
      </c>
      <c r="F5160" s="67">
        <v>42119</v>
      </c>
      <c r="G5160" s="33" t="s">
        <v>2429</v>
      </c>
      <c r="H5160" s="33" t="s">
        <v>2430</v>
      </c>
      <c r="I5160" s="33" t="s">
        <v>67</v>
      </c>
      <c r="J5160" s="33">
        <v>77904</v>
      </c>
      <c r="K5160" s="33" t="s">
        <v>2430</v>
      </c>
      <c r="L5160" s="33" t="s">
        <v>2431</v>
      </c>
      <c r="M5160" s="33" t="s">
        <v>21</v>
      </c>
      <c r="N5160" s="33" t="s">
        <v>2432</v>
      </c>
      <c r="O5160" s="33" t="s">
        <v>950</v>
      </c>
      <c r="P5160" s="33" t="s">
        <v>30089</v>
      </c>
      <c r="Q5160" s="40" t="str">
        <f>HYPERLINK("https://www.victoriaadvocate.com/news/2015/apr/27/parents-of-veteran-fatally-shot-by-police-seek-ans/","https://www.victoriaadvocate.com/news/2015/apr/27/parents-of-veteran-fatally-shot-by-police-seek-ans/")</f>
        <v>https://www.victoriaadvocate.com/news/2015/apr/27/parents-of-veteran-fatally-shot-by-police-seek-ans/</v>
      </c>
      <c r="R5160" s="33" t="s">
        <v>512</v>
      </c>
      <c r="S5160" s="33" t="s">
        <v>22</v>
      </c>
      <c r="T5160" s="33" t="s">
        <v>26593</v>
      </c>
      <c r="U5160" s="33" t="s">
        <v>26570</v>
      </c>
      <c r="V5160" s="33" t="s">
        <v>26573</v>
      </c>
      <c r="W5160" s="33" t="s">
        <v>512</v>
      </c>
      <c r="X5160" s="33">
        <v>408</v>
      </c>
      <c r="Z5160" s="33" t="s">
        <v>42968</v>
      </c>
      <c r="AA5160" s="33">
        <v>2506</v>
      </c>
    </row>
    <row r="5161" spans="1:27" ht="12" customHeight="1" x14ac:dyDescent="0.15">
      <c r="A5161" s="33" t="s">
        <v>2466</v>
      </c>
      <c r="B5161" s="33">
        <v>46</v>
      </c>
      <c r="C5161" s="33" t="s">
        <v>103</v>
      </c>
      <c r="D5161" s="33" t="s">
        <v>31</v>
      </c>
      <c r="F5161" s="67">
        <v>42118</v>
      </c>
      <c r="G5161" s="33" t="s">
        <v>2467</v>
      </c>
      <c r="H5161" s="33" t="s">
        <v>2468</v>
      </c>
      <c r="I5161" s="33" t="s">
        <v>39</v>
      </c>
      <c r="J5161" s="33">
        <v>95472</v>
      </c>
      <c r="K5161" s="33" t="s">
        <v>2469</v>
      </c>
      <c r="L5161" s="33" t="s">
        <v>12301</v>
      </c>
      <c r="M5161" s="33" t="s">
        <v>21</v>
      </c>
      <c r="N5161" s="33" t="s">
        <v>2470</v>
      </c>
      <c r="O5161" s="33" t="s">
        <v>950</v>
      </c>
      <c r="P5161" s="33" t="s">
        <v>30089</v>
      </c>
      <c r="Q5161" s="40" t="str">
        <f>HYPERLINK("http://sanfrancisco.cbslocal.com/2015/04/24/woman-shot-deputies-sonoma-county-chase-dies/","http://sanfrancisco.cbslocal.com/2015/04/24/woman-shot-deputies-sonoma-county-chase-dies/")</f>
        <v>http://sanfrancisco.cbslocal.com/2015/04/24/woman-shot-deputies-sonoma-county-chase-dies/</v>
      </c>
      <c r="R5161" s="33" t="s">
        <v>94</v>
      </c>
      <c r="S5161" s="33" t="s">
        <v>351</v>
      </c>
      <c r="T5161" s="33" t="s">
        <v>26867</v>
      </c>
      <c r="U5161" s="33" t="s">
        <v>26572</v>
      </c>
      <c r="V5161" s="33" t="s">
        <v>26571</v>
      </c>
      <c r="W5161" s="33" t="s">
        <v>94</v>
      </c>
      <c r="X5161" s="33">
        <v>401</v>
      </c>
      <c r="Z5161" s="33" t="s">
        <v>42968</v>
      </c>
      <c r="AA5161" s="33">
        <v>2504</v>
      </c>
    </row>
    <row r="5162" spans="1:27" ht="12" customHeight="1" x14ac:dyDescent="0.15">
      <c r="A5162" s="33" t="s">
        <v>2441</v>
      </c>
      <c r="B5162" s="33">
        <v>20</v>
      </c>
      <c r="C5162" s="33" t="s">
        <v>14</v>
      </c>
      <c r="D5162" s="33" t="s">
        <v>79</v>
      </c>
      <c r="E5162" s="33" t="s">
        <v>2442</v>
      </c>
      <c r="F5162" s="67">
        <v>42118</v>
      </c>
      <c r="G5162" s="33" t="s">
        <v>2443</v>
      </c>
      <c r="H5162" s="33" t="s">
        <v>2444</v>
      </c>
      <c r="I5162" s="33" t="s">
        <v>192</v>
      </c>
      <c r="J5162" s="33">
        <v>81082</v>
      </c>
      <c r="K5162" s="33" t="s">
        <v>2445</v>
      </c>
      <c r="L5162" s="33" t="s">
        <v>2446</v>
      </c>
      <c r="M5162" s="33" t="s">
        <v>21</v>
      </c>
      <c r="N5162" s="33" t="s">
        <v>2447</v>
      </c>
      <c r="O5162" s="33" t="s">
        <v>950</v>
      </c>
      <c r="P5162" s="33" t="s">
        <v>30089</v>
      </c>
      <c r="Q5162" s="40" t="str">
        <f>HYPERLINK("http://www.kktv.com/home/headlines/Deadly-Officer-Involved-Shooting-in-Trinidad-301252451.html","http://www.kktv.com/home/headlines/Deadly-Officer-Involved-Shooting-in-Trinidad-301252451.html")</f>
        <v>http://www.kktv.com/home/headlines/Deadly-Officer-Involved-Shooting-in-Trinidad-301252451.html</v>
      </c>
      <c r="R5162" s="33" t="s">
        <v>94</v>
      </c>
      <c r="S5162" s="33" t="s">
        <v>22</v>
      </c>
      <c r="T5162" s="33" t="s">
        <v>26781</v>
      </c>
      <c r="U5162" s="33" t="s">
        <v>26572</v>
      </c>
      <c r="V5162" s="33" t="s">
        <v>26574</v>
      </c>
      <c r="W5162" s="33" t="s">
        <v>512</v>
      </c>
      <c r="X5162" s="33">
        <v>412</v>
      </c>
      <c r="Z5162" s="33" t="s">
        <v>42967</v>
      </c>
      <c r="AA5162" s="33">
        <v>2503</v>
      </c>
    </row>
    <row r="5163" spans="1:27" ht="12" customHeight="1" x14ac:dyDescent="0.15">
      <c r="A5163" s="33" t="s">
        <v>2449</v>
      </c>
      <c r="B5163" s="33">
        <v>63</v>
      </c>
      <c r="C5163" s="33" t="s">
        <v>14</v>
      </c>
      <c r="D5163" s="33" t="s">
        <v>31</v>
      </c>
      <c r="F5163" s="67">
        <v>42118</v>
      </c>
      <c r="G5163" s="33" t="s">
        <v>2450</v>
      </c>
      <c r="H5163" s="33" t="s">
        <v>196</v>
      </c>
      <c r="I5163" s="33" t="s">
        <v>367</v>
      </c>
      <c r="J5163" s="33">
        <v>74354</v>
      </c>
      <c r="K5163" s="33" t="s">
        <v>2451</v>
      </c>
      <c r="L5163" s="33" t="s">
        <v>1904</v>
      </c>
      <c r="M5163" s="33" t="s">
        <v>21</v>
      </c>
      <c r="N5163" s="33" t="s">
        <v>2452</v>
      </c>
      <c r="O5163" s="33" t="s">
        <v>2426</v>
      </c>
      <c r="P5163" s="33" t="s">
        <v>30089</v>
      </c>
      <c r="Q5163" s="40" t="str">
        <f>HYPERLINK("http://www.miamiok.com/news/article_7116fd15-d23e-59c9-aa7e-043ec0f3871f.html","http://www.miamiok.com/news/article_7116fd15-d23e-59c9-aa7e-043ec0f3871f.html")</f>
        <v>http://www.miamiok.com/news/article_7116fd15-d23e-59c9-aa7e-043ec0f3871f.html</v>
      </c>
      <c r="R5163" s="33" t="s">
        <v>23</v>
      </c>
      <c r="S5163" s="33" t="s">
        <v>22</v>
      </c>
      <c r="T5163" s="33" t="s">
        <v>26781</v>
      </c>
      <c r="U5163" s="33" t="s">
        <v>26572</v>
      </c>
      <c r="V5163" s="33" t="s">
        <v>26571</v>
      </c>
      <c r="W5163" s="33" t="s">
        <v>94</v>
      </c>
      <c r="X5163" s="33">
        <v>403</v>
      </c>
      <c r="Z5163" s="33" t="s">
        <v>42967</v>
      </c>
      <c r="AA5163" s="33">
        <v>2502</v>
      </c>
    </row>
    <row r="5164" spans="1:27" ht="12" customHeight="1" x14ac:dyDescent="0.15">
      <c r="A5164" s="33" t="s">
        <v>2453</v>
      </c>
      <c r="B5164" s="33">
        <v>49</v>
      </c>
      <c r="C5164" s="33" t="s">
        <v>14</v>
      </c>
      <c r="D5164" s="33" t="s">
        <v>31</v>
      </c>
      <c r="E5164" s="33" t="str">
        <f>HYPERLINK("http://www.statesmanjournal.com/story/news/2015/04/25/man-shot-killed-salem-police-identified/26377897/","http://www.statesmanjournal.com/story/news/2015/04/25/man-shot-killed-salem-police-identified/26377897/")</f>
        <v>http://www.statesmanjournal.com/story/news/2015/04/25/man-shot-killed-salem-police-identified/26377897/</v>
      </c>
      <c r="F5164" s="67">
        <v>42118</v>
      </c>
      <c r="G5164" s="33" t="s">
        <v>2454</v>
      </c>
      <c r="H5164" s="33" t="s">
        <v>2455</v>
      </c>
      <c r="I5164" s="33" t="s">
        <v>106</v>
      </c>
      <c r="J5164" s="33">
        <v>97302</v>
      </c>
      <c r="K5164" s="33" t="s">
        <v>392</v>
      </c>
      <c r="L5164" s="33" t="s">
        <v>2456</v>
      </c>
      <c r="M5164" s="33" t="s">
        <v>21</v>
      </c>
      <c r="N5164" s="33" t="s">
        <v>2457</v>
      </c>
      <c r="O5164" s="33" t="s">
        <v>950</v>
      </c>
      <c r="P5164" s="33" t="s">
        <v>30089</v>
      </c>
      <c r="Q5164" s="40" t="str">
        <f>HYPERLINK("http://www.oregonlive.com/pacific-northwest-news/index.ssf/2015/04/salem_police_wound_armed_man_e.html","http://www.oregonlive.com/pacific-northwest-news/index.ssf/2015/04/salem_police_wound_armed_man_e.html")</f>
        <v>http://www.oregonlive.com/pacific-northwest-news/index.ssf/2015/04/salem_police_wound_armed_man_e.html</v>
      </c>
      <c r="R5164" s="33" t="s">
        <v>94</v>
      </c>
      <c r="S5164" s="33" t="s">
        <v>22</v>
      </c>
      <c r="T5164" s="33" t="s">
        <v>26781</v>
      </c>
      <c r="U5164" s="33" t="s">
        <v>26572</v>
      </c>
      <c r="V5164" s="33" t="s">
        <v>26573</v>
      </c>
      <c r="W5164" s="33" t="s">
        <v>94</v>
      </c>
      <c r="X5164" s="33">
        <v>402</v>
      </c>
      <c r="Z5164" s="33" t="s">
        <v>42968</v>
      </c>
      <c r="AA5164" s="33">
        <v>2501</v>
      </c>
    </row>
    <row r="5165" spans="1:27" ht="12" customHeight="1" x14ac:dyDescent="0.15">
      <c r="A5165" s="33" t="s">
        <v>2462</v>
      </c>
      <c r="B5165" s="33">
        <v>26</v>
      </c>
      <c r="C5165" s="33" t="s">
        <v>14</v>
      </c>
      <c r="D5165" s="33" t="s">
        <v>42</v>
      </c>
      <c r="F5165" s="67">
        <v>42117</v>
      </c>
      <c r="G5165" s="33" t="s">
        <v>2463</v>
      </c>
      <c r="H5165" s="33" t="s">
        <v>2464</v>
      </c>
      <c r="I5165" s="33" t="s">
        <v>39</v>
      </c>
      <c r="J5165" s="33">
        <v>91342</v>
      </c>
      <c r="K5165" s="33" t="s">
        <v>92</v>
      </c>
      <c r="L5165" s="33" t="s">
        <v>93</v>
      </c>
      <c r="M5165" s="33" t="s">
        <v>21</v>
      </c>
      <c r="N5165" s="33" t="s">
        <v>2465</v>
      </c>
      <c r="O5165" s="33" t="s">
        <v>950</v>
      </c>
      <c r="P5165" s="33" t="s">
        <v>30089</v>
      </c>
      <c r="Q5165" s="40" t="str">
        <f>HYPERLINK("http://www.latimes.com/local/lanow/la-me-ln-lapd-shoots-sylmar-gunman-20150423-story.html","http://www.latimes.com/local/lanow/la-me-ln-lapd-shoots-sylmar-gunman-20150423-story.html")</f>
        <v>http://www.latimes.com/local/lanow/la-me-ln-lapd-shoots-sylmar-gunman-20150423-story.html</v>
      </c>
      <c r="R5165" s="33" t="s">
        <v>512</v>
      </c>
      <c r="S5165" s="33" t="s">
        <v>22</v>
      </c>
      <c r="T5165" s="33" t="s">
        <v>26781</v>
      </c>
      <c r="U5165" s="33" t="s">
        <v>26572</v>
      </c>
      <c r="V5165" s="33" t="s">
        <v>26573</v>
      </c>
      <c r="W5165" s="33" t="s">
        <v>94</v>
      </c>
      <c r="X5165" s="33">
        <v>392</v>
      </c>
      <c r="Z5165" s="33" t="s">
        <v>42968</v>
      </c>
      <c r="AA5165" s="33">
        <v>2498</v>
      </c>
    </row>
    <row r="5166" spans="1:27" ht="12" customHeight="1" x14ac:dyDescent="0.15">
      <c r="A5166" s="33" t="s">
        <v>2478</v>
      </c>
      <c r="B5166" s="33">
        <v>51</v>
      </c>
      <c r="C5166" s="33" t="s">
        <v>14</v>
      </c>
      <c r="D5166" s="33" t="s">
        <v>31</v>
      </c>
      <c r="E5166" s="33" t="str">
        <f>HYPERLINK("http://www.newson6.com/story/28881786/choctaw-county-law-enforcement-officers-shot-serving-warrant","http://www.newson6.com/story/28881786/choctaw-county-law-enforcement-officers-shot-serving-warrant")</f>
        <v>http://www.newson6.com/story/28881786/choctaw-county-law-enforcement-officers-shot-serving-warrant</v>
      </c>
      <c r="F5166" s="67">
        <v>42117</v>
      </c>
      <c r="G5166" s="33" t="s">
        <v>2479</v>
      </c>
      <c r="H5166" s="33" t="s">
        <v>2480</v>
      </c>
      <c r="I5166" s="33" t="s">
        <v>367</v>
      </c>
      <c r="J5166" s="33" t="s">
        <v>2481</v>
      </c>
      <c r="K5166" s="33" t="s">
        <v>1070</v>
      </c>
      <c r="L5166" s="33" t="s">
        <v>36925</v>
      </c>
      <c r="M5166" s="33" t="s">
        <v>21</v>
      </c>
      <c r="N5166" s="33" t="s">
        <v>2482</v>
      </c>
      <c r="O5166" s="33" t="s">
        <v>950</v>
      </c>
      <c r="P5166" s="33" t="s">
        <v>30089</v>
      </c>
      <c r="Q5166" s="40" t="str">
        <f>HYPERLINK("http://www.newson6.com/story/28881786/choctaw-county-law-enforcement-officers-shot-serving-warrant","http://www.newson6.com/story/28881786/choctaw-county-law-enforcement-officers-shot-serving-warrant")</f>
        <v>http://www.newson6.com/story/28881786/choctaw-county-law-enforcement-officers-shot-serving-warrant</v>
      </c>
      <c r="R5166" s="33" t="s">
        <v>94</v>
      </c>
      <c r="S5166" s="33" t="s">
        <v>22</v>
      </c>
      <c r="T5166" s="33" t="s">
        <v>26781</v>
      </c>
      <c r="U5166" s="33" t="s">
        <v>26572</v>
      </c>
      <c r="V5166" s="33" t="s">
        <v>26573</v>
      </c>
      <c r="W5166" s="33" t="s">
        <v>94</v>
      </c>
      <c r="X5166" s="33">
        <v>400</v>
      </c>
      <c r="Z5166" s="33" t="e">
        <v>#N/A</v>
      </c>
      <c r="AA5166" s="33">
        <v>2499</v>
      </c>
    </row>
    <row r="5167" spans="1:27" ht="12" customHeight="1" x14ac:dyDescent="0.15">
      <c r="A5167" s="33" t="s">
        <v>2458</v>
      </c>
      <c r="B5167" s="33">
        <v>19</v>
      </c>
      <c r="C5167" s="33" t="s">
        <v>14</v>
      </c>
      <c r="D5167" s="33" t="s">
        <v>42</v>
      </c>
      <c r="E5167" s="33" t="s">
        <v>2459</v>
      </c>
      <c r="F5167" s="67">
        <v>42117</v>
      </c>
      <c r="G5167" s="33" t="s">
        <v>2460</v>
      </c>
      <c r="H5167" s="33" t="s">
        <v>451</v>
      </c>
      <c r="I5167" s="33" t="s">
        <v>39</v>
      </c>
      <c r="J5167" s="33">
        <v>90813</v>
      </c>
      <c r="K5167" s="33" t="s">
        <v>92</v>
      </c>
      <c r="L5167" s="33" t="s">
        <v>452</v>
      </c>
      <c r="M5167" s="33" t="s">
        <v>21</v>
      </c>
      <c r="N5167" s="33" t="s">
        <v>2461</v>
      </c>
      <c r="O5167" s="33" t="s">
        <v>950</v>
      </c>
      <c r="P5167" s="33" t="s">
        <v>30089</v>
      </c>
      <c r="Q5167" s="40" t="str">
        <f>HYPERLINK("http://www.presstelegram.com/general-news/20150424/police-no-weapon-found-at-scene-of-officer-involved-shooting-in-long-beach-thursday","http://www.presstelegram.com/general-news/20150424/police-no-weapon-found-at-scene-of-officer-involved-shooting-in-long-beach-thursday")</f>
        <v>http://www.presstelegram.com/general-news/20150424/police-no-weapon-found-at-scene-of-officer-involved-shooting-in-long-beach-thursday</v>
      </c>
      <c r="R5167" s="33" t="s">
        <v>94</v>
      </c>
      <c r="S5167" s="33" t="s">
        <v>12</v>
      </c>
      <c r="T5167" s="33" t="s">
        <v>29705</v>
      </c>
      <c r="U5167" s="33" t="s">
        <v>26570</v>
      </c>
      <c r="V5167" s="33" t="s">
        <v>26573</v>
      </c>
      <c r="W5167" s="33" t="s">
        <v>94</v>
      </c>
      <c r="X5167" s="33">
        <v>409</v>
      </c>
      <c r="Z5167" s="33" t="s">
        <v>42966</v>
      </c>
      <c r="AA5167" s="33">
        <v>2500</v>
      </c>
    </row>
    <row r="5168" spans="1:27" ht="12" customHeight="1" x14ac:dyDescent="0.15">
      <c r="A5168" s="33" t="s">
        <v>2488</v>
      </c>
      <c r="B5168" s="33">
        <v>18</v>
      </c>
      <c r="C5168" s="33" t="s">
        <v>14</v>
      </c>
      <c r="D5168" s="33" t="s">
        <v>79</v>
      </c>
      <c r="E5168" s="33" t="s">
        <v>2489</v>
      </c>
      <c r="F5168" s="67">
        <v>42116</v>
      </c>
      <c r="G5168" s="33" t="s">
        <v>2490</v>
      </c>
      <c r="H5168" s="33" t="s">
        <v>2491</v>
      </c>
      <c r="I5168" s="33" t="s">
        <v>225</v>
      </c>
      <c r="J5168" s="33" t="s">
        <v>2492</v>
      </c>
      <c r="K5168" s="33" t="s">
        <v>2493</v>
      </c>
      <c r="L5168" s="33" t="s">
        <v>2494</v>
      </c>
      <c r="M5168" s="33" t="s">
        <v>21</v>
      </c>
      <c r="N5168" s="33" t="s">
        <v>2495</v>
      </c>
      <c r="O5168" s="33" t="s">
        <v>27778</v>
      </c>
      <c r="P5168" s="33" t="s">
        <v>27777</v>
      </c>
      <c r="Q5168" s="40" t="s">
        <v>2496</v>
      </c>
      <c r="R5168" s="33" t="s">
        <v>94</v>
      </c>
      <c r="S5168" s="33" t="s">
        <v>12</v>
      </c>
      <c r="T5168" s="33" t="s">
        <v>29705</v>
      </c>
      <c r="U5168" s="33" t="s">
        <v>26575</v>
      </c>
      <c r="V5168" s="33" t="s">
        <v>26573</v>
      </c>
      <c r="W5168" s="33" t="s">
        <v>94</v>
      </c>
      <c r="X5168" s="33">
        <v>391</v>
      </c>
      <c r="Z5168" s="33" t="s">
        <v>42968</v>
      </c>
      <c r="AA5168" s="33">
        <v>2497</v>
      </c>
    </row>
    <row r="5169" spans="1:27" ht="12" customHeight="1" x14ac:dyDescent="0.15">
      <c r="A5169" s="33" t="s">
        <v>2483</v>
      </c>
      <c r="B5169" s="33">
        <v>39</v>
      </c>
      <c r="C5169" s="33" t="s">
        <v>14</v>
      </c>
      <c r="D5169" s="33" t="s">
        <v>15</v>
      </c>
      <c r="F5169" s="67">
        <v>42116</v>
      </c>
      <c r="G5169" s="33" t="s">
        <v>2484</v>
      </c>
      <c r="H5169" s="33" t="s">
        <v>936</v>
      </c>
      <c r="I5169" s="33" t="s">
        <v>192</v>
      </c>
      <c r="J5169" s="33">
        <v>80303</v>
      </c>
      <c r="K5169" s="33" t="s">
        <v>936</v>
      </c>
      <c r="L5169" s="33" t="s">
        <v>2485</v>
      </c>
      <c r="M5169" s="33" t="s">
        <v>21</v>
      </c>
      <c r="N5169" s="33" t="s">
        <v>2486</v>
      </c>
      <c r="O5169" s="33" t="s">
        <v>507</v>
      </c>
      <c r="P5169" s="33" t="s">
        <v>30089</v>
      </c>
      <c r="Q5169" s="40" t="s">
        <v>2487</v>
      </c>
      <c r="R5169" s="33" t="s">
        <v>94</v>
      </c>
      <c r="S5169" s="33" t="s">
        <v>22</v>
      </c>
      <c r="T5169" s="33" t="s">
        <v>26781</v>
      </c>
      <c r="U5169" s="33" t="s">
        <v>26572</v>
      </c>
      <c r="V5169" s="33" t="s">
        <v>26573</v>
      </c>
      <c r="W5169" s="33" t="s">
        <v>94</v>
      </c>
      <c r="X5169" s="33">
        <v>397</v>
      </c>
      <c r="Z5169" s="33" t="s">
        <v>42968</v>
      </c>
      <c r="AA5169" s="33">
        <v>2495</v>
      </c>
    </row>
    <row r="5170" spans="1:27" ht="12" customHeight="1" x14ac:dyDescent="0.15">
      <c r="A5170" s="33" t="s">
        <v>2498</v>
      </c>
      <c r="B5170" s="33">
        <v>51</v>
      </c>
      <c r="C5170" s="33" t="s">
        <v>14</v>
      </c>
      <c r="D5170" s="33" t="s">
        <v>42</v>
      </c>
      <c r="E5170" s="33" t="s">
        <v>2499</v>
      </c>
      <c r="F5170" s="67">
        <v>42116</v>
      </c>
      <c r="G5170" s="33" t="s">
        <v>2500</v>
      </c>
      <c r="H5170" s="33" t="s">
        <v>2501</v>
      </c>
      <c r="I5170" s="33" t="s">
        <v>112</v>
      </c>
      <c r="J5170" s="33" t="s">
        <v>2502</v>
      </c>
      <c r="K5170" s="33" t="s">
        <v>113</v>
      </c>
      <c r="L5170" s="33" t="s">
        <v>2503</v>
      </c>
      <c r="M5170" s="33" t="s">
        <v>21</v>
      </c>
      <c r="N5170" s="33" t="s">
        <v>2504</v>
      </c>
      <c r="O5170" s="33" t="s">
        <v>950</v>
      </c>
      <c r="P5170" s="33" t="s">
        <v>30089</v>
      </c>
      <c r="Q5170" s="40" t="s">
        <v>2505</v>
      </c>
      <c r="R5170" s="33" t="s">
        <v>512</v>
      </c>
      <c r="S5170" s="33" t="s">
        <v>22</v>
      </c>
      <c r="T5170" s="33" t="s">
        <v>26774</v>
      </c>
      <c r="U5170" s="33" t="s">
        <v>26570</v>
      </c>
      <c r="V5170" s="33" t="s">
        <v>26573</v>
      </c>
      <c r="W5170" s="33" t="s">
        <v>94</v>
      </c>
      <c r="X5170" s="33">
        <v>394</v>
      </c>
      <c r="Z5170" s="33" t="s">
        <v>42967</v>
      </c>
      <c r="AA5170" s="33">
        <v>2496</v>
      </c>
    </row>
    <row r="5171" spans="1:27" ht="12" customHeight="1" x14ac:dyDescent="0.15">
      <c r="A5171" s="33" t="s">
        <v>2471</v>
      </c>
      <c r="B5171" s="33">
        <v>30</v>
      </c>
      <c r="C5171" s="33" t="s">
        <v>14</v>
      </c>
      <c r="D5171" s="33" t="s">
        <v>31</v>
      </c>
      <c r="E5171" s="33" t="str">
        <f>HYPERLINK("http://www.nytimes.com/2015/04/24/nyregion/man-killed-by-police-in-queens-had-a-history-of-instability.html?_r=0","http://www.nytimes.com/2015/04/24/nyregion/man-killed-by-police-in-queens-had-a-history-of-instability.html?_r=0")</f>
        <v>http://www.nytimes.com/2015/04/24/nyregion/man-killed-by-police-in-queens-had-a-history-of-instability.html?_r=0</v>
      </c>
      <c r="F5171" s="67">
        <v>42116</v>
      </c>
      <c r="G5171" s="33" t="s">
        <v>2472</v>
      </c>
      <c r="H5171" s="33" t="s">
        <v>700</v>
      </c>
      <c r="I5171" s="33" t="s">
        <v>395</v>
      </c>
      <c r="J5171" s="33" t="s">
        <v>2473</v>
      </c>
      <c r="K5171" s="33" t="s">
        <v>2474</v>
      </c>
      <c r="L5171" s="33" t="s">
        <v>539</v>
      </c>
      <c r="M5171" s="33" t="s">
        <v>21</v>
      </c>
      <c r="N5171" s="33" t="s">
        <v>2475</v>
      </c>
      <c r="O5171" s="33" t="s">
        <v>950</v>
      </c>
      <c r="P5171" s="33" t="s">
        <v>30089</v>
      </c>
      <c r="Q5171" s="40" t="str">
        <f>HYPERLINK("http://www.nytimes.com/2015/04/24/nyregion/man-killed-by-police-in-queens-had-a-history-of-instability.html?_r=0","http://www.nytimes.com/2015/04/24/nyregion/man-killed-by-police-in-queens-had-a-history-of-instability.html?_r=0")</f>
        <v>http://www.nytimes.com/2015/04/24/nyregion/man-killed-by-police-in-queens-had-a-history-of-instability.html?_r=0</v>
      </c>
      <c r="R5171" s="33" t="s">
        <v>512</v>
      </c>
      <c r="S5171" s="33" t="s">
        <v>22</v>
      </c>
      <c r="T5171" s="33" t="s">
        <v>26781</v>
      </c>
      <c r="U5171" s="33" t="s">
        <v>26572</v>
      </c>
      <c r="V5171" s="33" t="s">
        <v>26574</v>
      </c>
      <c r="W5171" s="33" t="s">
        <v>94</v>
      </c>
      <c r="X5171" s="33">
        <v>395</v>
      </c>
      <c r="Z5171" s="33" t="s">
        <v>42966</v>
      </c>
      <c r="AA5171" s="33">
        <v>2493</v>
      </c>
    </row>
    <row r="5172" spans="1:27" ht="12" customHeight="1" x14ac:dyDescent="0.15">
      <c r="A5172" s="33" t="s">
        <v>2506</v>
      </c>
      <c r="B5172" s="33">
        <v>31</v>
      </c>
      <c r="C5172" s="33" t="s">
        <v>14</v>
      </c>
      <c r="D5172" s="33" t="s">
        <v>79</v>
      </c>
      <c r="E5172" s="33" t="s">
        <v>2507</v>
      </c>
      <c r="F5172" s="67">
        <v>42116</v>
      </c>
      <c r="G5172" s="33" t="s">
        <v>2508</v>
      </c>
      <c r="H5172" s="33" t="s">
        <v>870</v>
      </c>
      <c r="I5172" s="33" t="s">
        <v>67</v>
      </c>
      <c r="J5172" s="33">
        <v>76111</v>
      </c>
      <c r="K5172" s="33" t="s">
        <v>68</v>
      </c>
      <c r="L5172" s="33" t="s">
        <v>871</v>
      </c>
      <c r="M5172" s="33" t="s">
        <v>21</v>
      </c>
      <c r="N5172" s="33" t="s">
        <v>2509</v>
      </c>
      <c r="O5172" s="33" t="s">
        <v>950</v>
      </c>
      <c r="P5172" s="33" t="s">
        <v>30089</v>
      </c>
      <c r="Q5172" s="40" t="s">
        <v>2510</v>
      </c>
      <c r="R5172" s="33" t="s">
        <v>94</v>
      </c>
      <c r="S5172" s="33" t="s">
        <v>22</v>
      </c>
      <c r="T5172" s="33" t="s">
        <v>26781</v>
      </c>
      <c r="U5172" s="33" t="s">
        <v>26572</v>
      </c>
      <c r="V5172" s="33" t="s">
        <v>26574</v>
      </c>
      <c r="W5172" s="33" t="s">
        <v>94</v>
      </c>
      <c r="X5172" s="33">
        <v>396</v>
      </c>
      <c r="Z5172" s="33" t="s">
        <v>42968</v>
      </c>
      <c r="AA5172" s="33">
        <v>2494</v>
      </c>
    </row>
    <row r="5173" spans="1:27" ht="12" customHeight="1" x14ac:dyDescent="0.15">
      <c r="A5173" s="33" t="s">
        <v>2526</v>
      </c>
      <c r="B5173" s="33">
        <v>37</v>
      </c>
      <c r="C5173" s="33" t="s">
        <v>14</v>
      </c>
      <c r="D5173" s="33" t="s">
        <v>128</v>
      </c>
      <c r="E5173" s="33" t="s">
        <v>2527</v>
      </c>
      <c r="F5173" s="67">
        <v>42115</v>
      </c>
      <c r="G5173" s="33" t="s">
        <v>2528</v>
      </c>
      <c r="H5173" s="33" t="s">
        <v>1342</v>
      </c>
      <c r="I5173" s="33" t="s">
        <v>282</v>
      </c>
      <c r="J5173" s="33" t="s">
        <v>2529</v>
      </c>
      <c r="K5173" s="33" t="s">
        <v>827</v>
      </c>
      <c r="L5173" s="33" t="s">
        <v>2530</v>
      </c>
      <c r="M5173" s="33" t="s">
        <v>21</v>
      </c>
      <c r="N5173" s="33" t="s">
        <v>2531</v>
      </c>
      <c r="O5173" s="33" t="s">
        <v>372</v>
      </c>
      <c r="P5173" s="33" t="s">
        <v>30089</v>
      </c>
      <c r="Q5173" s="40" t="s">
        <v>2532</v>
      </c>
      <c r="R5173" s="33" t="s">
        <v>512</v>
      </c>
      <c r="S5173" s="33" t="s">
        <v>12</v>
      </c>
      <c r="T5173" s="33" t="s">
        <v>29705</v>
      </c>
      <c r="U5173" s="33" t="s">
        <v>26570</v>
      </c>
      <c r="V5173" s="33" t="s">
        <v>26574</v>
      </c>
      <c r="W5173" s="33" t="s">
        <v>94</v>
      </c>
      <c r="X5173" s="33">
        <v>393</v>
      </c>
      <c r="Z5173" s="33" t="s">
        <v>42968</v>
      </c>
      <c r="AA5173" s="33">
        <v>2490</v>
      </c>
    </row>
    <row r="5174" spans="1:27" ht="12" customHeight="1" x14ac:dyDescent="0.15">
      <c r="A5174" s="33" t="s">
        <v>2522</v>
      </c>
      <c r="B5174" s="33">
        <v>35</v>
      </c>
      <c r="C5174" s="33" t="s">
        <v>14</v>
      </c>
      <c r="D5174" s="33" t="s">
        <v>42</v>
      </c>
      <c r="F5174" s="67">
        <v>42115</v>
      </c>
      <c r="G5174" s="33" t="s">
        <v>2523</v>
      </c>
      <c r="H5174" s="33" t="s">
        <v>92</v>
      </c>
      <c r="I5174" s="33" t="s">
        <v>39</v>
      </c>
      <c r="J5174" s="33" t="s">
        <v>2524</v>
      </c>
      <c r="K5174" s="33" t="s">
        <v>92</v>
      </c>
      <c r="L5174" s="33" t="s">
        <v>93</v>
      </c>
      <c r="M5174" s="33" t="s">
        <v>21</v>
      </c>
      <c r="N5174" s="33" t="s">
        <v>2525</v>
      </c>
      <c r="O5174" s="33" t="s">
        <v>950</v>
      </c>
      <c r="P5174" s="33" t="s">
        <v>30089</v>
      </c>
      <c r="Q5174" s="40" t="str">
        <f>HYPERLINK("http://www.latimes.com/local/lanow/la-me-ln-lapd-lincoln-heights-shooting-20150422-story.html","http://www.latimes.com/local/lanow/la-me-ln-lapd-lincoln-heights-shooting-20150422-story.html")</f>
        <v>http://www.latimes.com/local/lanow/la-me-ln-lapd-lincoln-heights-shooting-20150422-story.html</v>
      </c>
      <c r="R5174" s="33" t="s">
        <v>512</v>
      </c>
      <c r="S5174" s="33" t="s">
        <v>22</v>
      </c>
      <c r="T5174" s="33" t="s">
        <v>26774</v>
      </c>
      <c r="U5174" s="33" t="s">
        <v>26570</v>
      </c>
      <c r="V5174" s="33" t="s">
        <v>26573</v>
      </c>
      <c r="W5174" s="33" t="s">
        <v>94</v>
      </c>
      <c r="X5174" s="33">
        <v>495</v>
      </c>
      <c r="Z5174" s="33" t="s">
        <v>42966</v>
      </c>
      <c r="AA5174" s="33">
        <v>2489</v>
      </c>
    </row>
    <row r="5175" spans="1:27" ht="12" customHeight="1" x14ac:dyDescent="0.15">
      <c r="A5175" s="33" t="s">
        <v>2517</v>
      </c>
      <c r="B5175" s="33">
        <v>35</v>
      </c>
      <c r="C5175" s="33" t="s">
        <v>14</v>
      </c>
      <c r="D5175" s="33" t="s">
        <v>79</v>
      </c>
      <c r="E5175" s="33" t="s">
        <v>2518</v>
      </c>
      <c r="F5175" s="67">
        <v>42115</v>
      </c>
      <c r="G5175" s="33" t="s">
        <v>2519</v>
      </c>
      <c r="H5175" s="33" t="s">
        <v>622</v>
      </c>
      <c r="I5175" s="33" t="s">
        <v>75</v>
      </c>
      <c r="J5175" s="33" t="s">
        <v>2520</v>
      </c>
      <c r="K5175" s="33" t="s">
        <v>622</v>
      </c>
      <c r="L5175" s="33" t="s">
        <v>2301</v>
      </c>
      <c r="M5175" s="33" t="s">
        <v>21</v>
      </c>
      <c r="N5175" s="33" t="s">
        <v>2521</v>
      </c>
      <c r="O5175" s="33" t="s">
        <v>950</v>
      </c>
      <c r="P5175" s="33" t="s">
        <v>30089</v>
      </c>
      <c r="Q5175" s="40" t="str">
        <f>HYPERLINK("http://www.nj.com/middlesex/index.ssf/2015/04/man_killed_by_state_trooper_released_from_state_pr.html","http://www.nj.com/middlesex/index.ssf/2015/04/man_killed_by_state_trooper_released_from_state_pr.html")</f>
        <v>http://www.nj.com/middlesex/index.ssf/2015/04/man_killed_by_state_trooper_released_from_state_pr.html</v>
      </c>
      <c r="R5175" s="33" t="s">
        <v>94</v>
      </c>
      <c r="S5175" s="33" t="s">
        <v>351</v>
      </c>
      <c r="T5175" s="33" t="s">
        <v>26867</v>
      </c>
      <c r="U5175" s="33" t="s">
        <v>26572</v>
      </c>
      <c r="V5175" s="33" t="s">
        <v>26573</v>
      </c>
      <c r="W5175" s="33" t="s">
        <v>94</v>
      </c>
      <c r="X5175" s="33">
        <v>537</v>
      </c>
      <c r="Z5175" s="33" t="s">
        <v>42966</v>
      </c>
      <c r="AA5175" s="33">
        <v>2492</v>
      </c>
    </row>
    <row r="5176" spans="1:27" ht="12" customHeight="1" x14ac:dyDescent="0.15">
      <c r="A5176" s="33" t="s">
        <v>2511</v>
      </c>
      <c r="B5176" s="33">
        <v>59</v>
      </c>
      <c r="C5176" s="33" t="s">
        <v>14</v>
      </c>
      <c r="D5176" s="33" t="s">
        <v>31</v>
      </c>
      <c r="F5176" s="67">
        <v>42115</v>
      </c>
      <c r="G5176" s="33" t="s">
        <v>2512</v>
      </c>
      <c r="H5176" s="33" t="s">
        <v>45</v>
      </c>
      <c r="I5176" s="33" t="s">
        <v>26</v>
      </c>
      <c r="J5176" s="33" t="s">
        <v>2513</v>
      </c>
      <c r="K5176" s="33" t="s">
        <v>947</v>
      </c>
      <c r="L5176" s="33" t="s">
        <v>2514</v>
      </c>
      <c r="M5176" s="33" t="s">
        <v>21</v>
      </c>
      <c r="N5176" s="33" t="s">
        <v>2515</v>
      </c>
      <c r="O5176" s="33" t="s">
        <v>372</v>
      </c>
      <c r="P5176" s="33" t="s">
        <v>30089</v>
      </c>
      <c r="Q5176" s="40" t="s">
        <v>2516</v>
      </c>
      <c r="R5176" s="33" t="s">
        <v>512</v>
      </c>
      <c r="S5176" s="33" t="s">
        <v>22</v>
      </c>
      <c r="T5176" s="33" t="s">
        <v>26774</v>
      </c>
      <c r="U5176" s="33" t="s">
        <v>26570</v>
      </c>
      <c r="V5176" s="33" t="s">
        <v>26573</v>
      </c>
      <c r="W5176" s="33" t="s">
        <v>94</v>
      </c>
      <c r="X5176" s="33">
        <v>398</v>
      </c>
      <c r="Z5176" s="33" t="s">
        <v>42968</v>
      </c>
      <c r="AA5176" s="33">
        <v>2488</v>
      </c>
    </row>
    <row r="5177" spans="1:27" ht="12" customHeight="1" x14ac:dyDescent="0.15">
      <c r="A5177" s="33" t="s">
        <v>2533</v>
      </c>
      <c r="B5177" s="33">
        <v>40</v>
      </c>
      <c r="C5177" s="33" t="s">
        <v>14</v>
      </c>
      <c r="D5177" s="33" t="s">
        <v>31</v>
      </c>
      <c r="E5177" s="33" t="s">
        <v>2534</v>
      </c>
      <c r="F5177" s="67">
        <v>42115</v>
      </c>
      <c r="G5177" s="33" t="s">
        <v>2535</v>
      </c>
      <c r="H5177" s="33" t="s">
        <v>2536</v>
      </c>
      <c r="I5177" s="33" t="s">
        <v>621</v>
      </c>
      <c r="J5177" s="33" t="s">
        <v>2537</v>
      </c>
      <c r="K5177" s="33" t="s">
        <v>2538</v>
      </c>
      <c r="L5177" s="33" t="s">
        <v>2539</v>
      </c>
      <c r="M5177" s="33" t="s">
        <v>363</v>
      </c>
      <c r="N5177" s="33" t="s">
        <v>2540</v>
      </c>
      <c r="O5177" s="33" t="s">
        <v>950</v>
      </c>
      <c r="P5177" s="33" t="s">
        <v>30089</v>
      </c>
      <c r="Q5177" s="40" t="str">
        <f>HYPERLINK("http://www.wtok.com/news/headlines/Lauderdale-County-Man-Dies-after-Arrest-300851931.html","http://www.wtok.com/news/headlines/Lauderdale-County-Man-Dies-after-Arrest-300851931.html")</f>
        <v>http://www.wtok.com/news/headlines/Lauderdale-County-Man-Dies-after-Arrest-300851931.html</v>
      </c>
      <c r="R5177" s="33" t="s">
        <v>904</v>
      </c>
      <c r="S5177" s="33" t="s">
        <v>12</v>
      </c>
      <c r="T5177" s="54" t="s">
        <v>29705</v>
      </c>
      <c r="Z5177" s="33" t="s">
        <v>42968</v>
      </c>
      <c r="AA5177" s="33">
        <v>2491</v>
      </c>
    </row>
    <row r="5178" spans="1:27" ht="12" customHeight="1" x14ac:dyDescent="0.15">
      <c r="A5178" s="33" t="s">
        <v>2541</v>
      </c>
      <c r="B5178" s="33">
        <v>25</v>
      </c>
      <c r="C5178" s="33" t="s">
        <v>14</v>
      </c>
      <c r="D5178" s="33" t="s">
        <v>42</v>
      </c>
      <c r="E5178" s="33" t="s">
        <v>2542</v>
      </c>
      <c r="F5178" s="67">
        <v>42114</v>
      </c>
      <c r="H5178" s="33" t="s">
        <v>2543</v>
      </c>
      <c r="I5178" s="33" t="s">
        <v>67</v>
      </c>
      <c r="J5178" s="33">
        <v>78574</v>
      </c>
      <c r="K5178" s="33" t="s">
        <v>1304</v>
      </c>
      <c r="L5178" s="33" t="s">
        <v>1305</v>
      </c>
      <c r="M5178" s="33" t="s">
        <v>21</v>
      </c>
      <c r="N5178" s="33" t="s">
        <v>36765</v>
      </c>
      <c r="O5178" s="33" t="s">
        <v>950</v>
      </c>
      <c r="P5178" s="33" t="s">
        <v>30089</v>
      </c>
      <c r="Q5178" s="40" t="s">
        <v>2544</v>
      </c>
      <c r="R5178" s="33" t="s">
        <v>94</v>
      </c>
      <c r="S5178" s="33" t="s">
        <v>22</v>
      </c>
      <c r="T5178" s="33" t="s">
        <v>26781</v>
      </c>
      <c r="U5178" s="33" t="s">
        <v>26570</v>
      </c>
      <c r="V5178" s="33" t="s">
        <v>26573</v>
      </c>
      <c r="W5178" s="33" t="s">
        <v>94</v>
      </c>
      <c r="X5178" s="33">
        <v>399</v>
      </c>
      <c r="Z5178" s="33" t="s">
        <v>42968</v>
      </c>
      <c r="AA5178" s="33">
        <v>2487</v>
      </c>
    </row>
    <row r="5179" spans="1:27" ht="12" customHeight="1" x14ac:dyDescent="0.15">
      <c r="A5179" s="33" t="s">
        <v>2564</v>
      </c>
      <c r="B5179" s="33">
        <v>40</v>
      </c>
      <c r="C5179" s="33" t="s">
        <v>14</v>
      </c>
      <c r="D5179" s="33" t="s">
        <v>31</v>
      </c>
      <c r="F5179" s="67">
        <v>42113</v>
      </c>
      <c r="G5179" s="33" t="s">
        <v>2565</v>
      </c>
      <c r="H5179" s="33" t="s">
        <v>2566</v>
      </c>
      <c r="I5179" s="33" t="s">
        <v>294</v>
      </c>
      <c r="J5179" s="33" t="s">
        <v>2567</v>
      </c>
      <c r="K5179" s="33" t="s">
        <v>2568</v>
      </c>
      <c r="L5179" s="33" t="s">
        <v>2569</v>
      </c>
      <c r="M5179" s="33" t="s">
        <v>21</v>
      </c>
      <c r="N5179" s="33" t="s">
        <v>2570</v>
      </c>
      <c r="O5179" s="33" t="s">
        <v>950</v>
      </c>
      <c r="P5179" s="33" t="s">
        <v>30089</v>
      </c>
      <c r="Q5179" s="40" t="str">
        <f>HYPERLINK("http://www.kentucky.com/2015/04/19/3809168/wilmore-man-killed-by-police-had.html","http://www.kentucky.com/2015/04/19/3809168/wilmore-man-killed-by-police-had.html")</f>
        <v>http://www.kentucky.com/2015/04/19/3809168/wilmore-man-killed-by-police-had.html</v>
      </c>
      <c r="R5179" s="33" t="s">
        <v>512</v>
      </c>
      <c r="S5179" s="33" t="s">
        <v>22</v>
      </c>
      <c r="T5179" s="33" t="s">
        <v>26781</v>
      </c>
      <c r="U5179" s="33" t="s">
        <v>26572</v>
      </c>
      <c r="V5179" s="33" t="s">
        <v>26573</v>
      </c>
      <c r="W5179" s="33" t="s">
        <v>94</v>
      </c>
      <c r="X5179" s="33">
        <v>378</v>
      </c>
      <c r="Z5179" s="33" t="s">
        <v>42967</v>
      </c>
      <c r="AA5179" s="33">
        <v>2483</v>
      </c>
    </row>
    <row r="5180" spans="1:27" ht="12" customHeight="1" x14ac:dyDescent="0.15">
      <c r="A5180" s="33" t="s">
        <v>2558</v>
      </c>
      <c r="B5180" s="33">
        <v>33</v>
      </c>
      <c r="C5180" s="33" t="s">
        <v>14</v>
      </c>
      <c r="D5180" s="33" t="s">
        <v>79</v>
      </c>
      <c r="E5180" s="33" t="s">
        <v>2559</v>
      </c>
      <c r="F5180" s="67">
        <v>42113</v>
      </c>
      <c r="G5180" s="33" t="s">
        <v>2560</v>
      </c>
      <c r="H5180" s="33" t="s">
        <v>532</v>
      </c>
      <c r="I5180" s="33" t="s">
        <v>67</v>
      </c>
      <c r="J5180" s="33" t="s">
        <v>2561</v>
      </c>
      <c r="K5180" s="33" t="s">
        <v>533</v>
      </c>
      <c r="L5180" s="33" t="s">
        <v>534</v>
      </c>
      <c r="M5180" s="33" t="s">
        <v>363</v>
      </c>
      <c r="N5180" s="33" t="s">
        <v>2562</v>
      </c>
      <c r="O5180" s="33" t="s">
        <v>372</v>
      </c>
      <c r="P5180" s="33" t="s">
        <v>30089</v>
      </c>
      <c r="Q5180" s="40" t="s">
        <v>2557</v>
      </c>
      <c r="R5180" s="33" t="s">
        <v>904</v>
      </c>
      <c r="S5180" s="33" t="s">
        <v>12</v>
      </c>
      <c r="T5180" s="54" t="s">
        <v>29705</v>
      </c>
      <c r="Z5180" s="33" t="s">
        <v>42968</v>
      </c>
      <c r="AA5180" s="33">
        <v>2486</v>
      </c>
    </row>
    <row r="5181" spans="1:27" ht="12" customHeight="1" x14ac:dyDescent="0.15">
      <c r="A5181" s="33" t="s">
        <v>2545</v>
      </c>
      <c r="B5181" s="33">
        <v>44</v>
      </c>
      <c r="C5181" s="33" t="s">
        <v>14</v>
      </c>
      <c r="D5181" s="33" t="s">
        <v>31</v>
      </c>
      <c r="E5181" s="33" t="s">
        <v>2546</v>
      </c>
      <c r="F5181" s="67">
        <v>42113</v>
      </c>
      <c r="G5181" s="33" t="s">
        <v>2547</v>
      </c>
      <c r="H5181" s="33" t="s">
        <v>2548</v>
      </c>
      <c r="I5181" s="33" t="s">
        <v>432</v>
      </c>
      <c r="J5181" s="33" t="s">
        <v>2549</v>
      </c>
      <c r="K5181" s="33" t="s">
        <v>1157</v>
      </c>
      <c r="L5181" s="33" t="s">
        <v>2550</v>
      </c>
      <c r="M5181" s="33" t="s">
        <v>21</v>
      </c>
      <c r="N5181" s="33" t="s">
        <v>2551</v>
      </c>
      <c r="O5181" s="33" t="s">
        <v>950</v>
      </c>
      <c r="P5181" s="33" t="s">
        <v>30089</v>
      </c>
      <c r="Q5181" s="40" t="str">
        <f>HYPERLINK("http://www.suntelegraph.com/story/2015/04/21/community/leasa-hlavinka-husband-was-a-doting-father/6849.html","http://www.suntelegraph.com/story/2015/04/21/community/leasa-hlavinka-husband-was-a-doting-father/6849.html")</f>
        <v>http://www.suntelegraph.com/story/2015/04/21/community/leasa-hlavinka-husband-was-a-doting-father/6849.html</v>
      </c>
      <c r="R5181" s="33" t="s">
        <v>94</v>
      </c>
      <c r="S5181" s="33" t="s">
        <v>22</v>
      </c>
      <c r="T5181" s="33" t="s">
        <v>26774</v>
      </c>
      <c r="U5181" s="33" t="s">
        <v>26572</v>
      </c>
      <c r="V5181" s="33" t="s">
        <v>26573</v>
      </c>
      <c r="W5181" s="33" t="s">
        <v>94</v>
      </c>
      <c r="X5181" s="33">
        <v>383</v>
      </c>
      <c r="Z5181" s="33" t="s">
        <v>42967</v>
      </c>
      <c r="AA5181" s="33">
        <v>2485</v>
      </c>
    </row>
    <row r="5182" spans="1:27" ht="12" customHeight="1" x14ac:dyDescent="0.15">
      <c r="A5182" s="33" t="s">
        <v>2552</v>
      </c>
      <c r="B5182" s="33">
        <v>25</v>
      </c>
      <c r="C5182" s="33" t="s">
        <v>14</v>
      </c>
      <c r="D5182" s="33" t="s">
        <v>79</v>
      </c>
      <c r="E5182" s="33" t="s">
        <v>2553</v>
      </c>
      <c r="F5182" s="67">
        <v>42113</v>
      </c>
      <c r="G5182" s="33" t="s">
        <v>2554</v>
      </c>
      <c r="H5182" s="33" t="s">
        <v>1487</v>
      </c>
      <c r="I5182" s="33" t="s">
        <v>46</v>
      </c>
      <c r="J5182" s="33" t="s">
        <v>2555</v>
      </c>
      <c r="K5182" s="33" t="s">
        <v>4324</v>
      </c>
      <c r="L5182" s="33" t="s">
        <v>2556</v>
      </c>
      <c r="M5182" s="33" t="s">
        <v>2134</v>
      </c>
      <c r="N5182" s="33" t="s">
        <v>18541</v>
      </c>
      <c r="O5182" s="33" t="s">
        <v>26740</v>
      </c>
      <c r="P5182" s="33" t="s">
        <v>26746</v>
      </c>
      <c r="Q5182" s="40" t="s">
        <v>18913</v>
      </c>
      <c r="R5182" s="33" t="s">
        <v>94</v>
      </c>
      <c r="S5182" s="33" t="s">
        <v>22</v>
      </c>
      <c r="T5182" s="54" t="s">
        <v>26774</v>
      </c>
      <c r="Z5182" s="33" t="s">
        <v>42966</v>
      </c>
      <c r="AA5182" s="33">
        <v>2484</v>
      </c>
    </row>
    <row r="5183" spans="1:27" ht="12" customHeight="1" x14ac:dyDescent="0.15">
      <c r="A5183" s="33" t="s">
        <v>2587</v>
      </c>
      <c r="B5183" s="33">
        <v>43</v>
      </c>
      <c r="C5183" s="33" t="s">
        <v>14</v>
      </c>
      <c r="D5183" s="33" t="s">
        <v>42</v>
      </c>
      <c r="E5183" s="33" t="s">
        <v>2588</v>
      </c>
      <c r="F5183" s="67">
        <v>42112</v>
      </c>
      <c r="G5183" s="33" t="s">
        <v>2589</v>
      </c>
      <c r="H5183" s="33" t="s">
        <v>584</v>
      </c>
      <c r="I5183" s="33" t="s">
        <v>112</v>
      </c>
      <c r="J5183" s="33" t="s">
        <v>2590</v>
      </c>
      <c r="K5183" s="33" t="s">
        <v>585</v>
      </c>
      <c r="L5183" s="33" t="s">
        <v>586</v>
      </c>
      <c r="M5183" s="33" t="s">
        <v>21</v>
      </c>
      <c r="N5183" s="33" t="s">
        <v>2591</v>
      </c>
      <c r="O5183" s="33" t="s">
        <v>950</v>
      </c>
      <c r="P5183" s="33" t="s">
        <v>30089</v>
      </c>
      <c r="Q5183" s="40" t="str">
        <f>HYPERLINK("http://www.azfamily.com/story/28852387/phoenix-pds-mental-health-squad-looks-to-reduce-violent-encounters","http://www.azfamily.com/story/28852387/phoenix-pds-mental-health-squad-looks-to-reduce-violent-encounters")</f>
        <v>http://www.azfamily.com/story/28852387/phoenix-pds-mental-health-squad-looks-to-reduce-violent-encounters</v>
      </c>
      <c r="R5183" s="33" t="s">
        <v>512</v>
      </c>
      <c r="S5183" s="33" t="s">
        <v>22</v>
      </c>
      <c r="T5183" s="33" t="s">
        <v>26781</v>
      </c>
      <c r="U5183" s="33" t="s">
        <v>26572</v>
      </c>
      <c r="V5183" s="33" t="s">
        <v>26573</v>
      </c>
      <c r="W5183" s="33" t="s">
        <v>94</v>
      </c>
      <c r="X5183" s="33">
        <v>376</v>
      </c>
      <c r="Z5183" s="33" t="s">
        <v>42966</v>
      </c>
      <c r="AA5183" s="33">
        <v>2481</v>
      </c>
    </row>
    <row r="5184" spans="1:27" ht="12" customHeight="1" x14ac:dyDescent="0.15">
      <c r="A5184" s="33" t="s">
        <v>2592</v>
      </c>
      <c r="B5184" s="33">
        <v>45</v>
      </c>
      <c r="C5184" s="33" t="s">
        <v>14</v>
      </c>
      <c r="D5184" s="33" t="s">
        <v>31</v>
      </c>
      <c r="E5184" s="33" t="s">
        <v>2593</v>
      </c>
      <c r="F5184" s="67">
        <v>42112</v>
      </c>
      <c r="G5184" s="33" t="s">
        <v>2594</v>
      </c>
      <c r="H5184" s="33" t="s">
        <v>2595</v>
      </c>
      <c r="I5184" s="33" t="s">
        <v>56</v>
      </c>
      <c r="J5184" s="33" t="s">
        <v>2596</v>
      </c>
      <c r="K5184" s="33" t="s">
        <v>2597</v>
      </c>
      <c r="L5184" s="33" t="s">
        <v>2598</v>
      </c>
      <c r="M5184" s="33" t="s">
        <v>21</v>
      </c>
      <c r="N5184" s="33" t="s">
        <v>2599</v>
      </c>
      <c r="O5184" s="33" t="s">
        <v>950</v>
      </c>
      <c r="P5184" s="33" t="s">
        <v>30089</v>
      </c>
      <c r="Q5184" s="40" t="s">
        <v>2600</v>
      </c>
      <c r="R5184" s="33" t="s">
        <v>94</v>
      </c>
      <c r="S5184" s="33" t="s">
        <v>22</v>
      </c>
      <c r="T5184" s="33" t="s">
        <v>26781</v>
      </c>
      <c r="U5184" s="33" t="s">
        <v>26572</v>
      </c>
      <c r="V5184" s="33" t="s">
        <v>26573</v>
      </c>
      <c r="W5184" s="33" t="s">
        <v>94</v>
      </c>
      <c r="X5184" s="33">
        <v>379</v>
      </c>
      <c r="Z5184" s="33" t="s">
        <v>42966</v>
      </c>
      <c r="AA5184" s="33">
        <v>2482</v>
      </c>
    </row>
    <row r="5185" spans="1:27" ht="12" customHeight="1" x14ac:dyDescent="0.15">
      <c r="A5185" s="33" t="s">
        <v>2580</v>
      </c>
      <c r="B5185" s="33">
        <v>23</v>
      </c>
      <c r="C5185" s="33" t="s">
        <v>14</v>
      </c>
      <c r="D5185" s="33" t="s">
        <v>79</v>
      </c>
      <c r="E5185" s="33" t="s">
        <v>2581</v>
      </c>
      <c r="F5185" s="67">
        <v>42111</v>
      </c>
      <c r="G5185" s="33" t="s">
        <v>2582</v>
      </c>
      <c r="H5185" s="33" t="s">
        <v>2583</v>
      </c>
      <c r="I5185" s="33" t="s">
        <v>402</v>
      </c>
      <c r="J5185" s="33" t="s">
        <v>2584</v>
      </c>
      <c r="K5185" s="33" t="s">
        <v>661</v>
      </c>
      <c r="L5185" s="33" t="s">
        <v>6535</v>
      </c>
      <c r="M5185" s="33" t="s">
        <v>21</v>
      </c>
      <c r="N5185" s="33" t="s">
        <v>2585</v>
      </c>
      <c r="O5185" s="33" t="s">
        <v>950</v>
      </c>
      <c r="P5185" s="33" t="s">
        <v>30089</v>
      </c>
      <c r="Q5185" s="40" t="s">
        <v>2586</v>
      </c>
      <c r="R5185" s="33" t="s">
        <v>512</v>
      </c>
      <c r="S5185" s="33" t="s">
        <v>22</v>
      </c>
      <c r="T5185" s="33" t="s">
        <v>26774</v>
      </c>
      <c r="U5185" s="33" t="s">
        <v>26570</v>
      </c>
      <c r="V5185" s="33" t="s">
        <v>26573</v>
      </c>
      <c r="W5185" s="33" t="s">
        <v>512</v>
      </c>
      <c r="X5185" s="33">
        <v>382</v>
      </c>
      <c r="Z5185" s="33" t="s">
        <v>42968</v>
      </c>
      <c r="AA5185" s="33">
        <v>2479</v>
      </c>
    </row>
    <row r="5186" spans="1:27" ht="12" customHeight="1" x14ac:dyDescent="0.15">
      <c r="A5186" s="33" t="s">
        <v>2605</v>
      </c>
      <c r="B5186" s="33">
        <v>31</v>
      </c>
      <c r="C5186" s="33" t="s">
        <v>14</v>
      </c>
      <c r="D5186" s="33" t="s">
        <v>79</v>
      </c>
      <c r="F5186" s="67">
        <v>42111</v>
      </c>
      <c r="G5186" s="33" t="s">
        <v>2606</v>
      </c>
      <c r="H5186" s="33" t="s">
        <v>2607</v>
      </c>
      <c r="I5186" s="33" t="s">
        <v>46</v>
      </c>
      <c r="J5186" s="33" t="s">
        <v>2608</v>
      </c>
      <c r="K5186" s="33" t="s">
        <v>107</v>
      </c>
      <c r="L5186" s="33" t="s">
        <v>2609</v>
      </c>
      <c r="M5186" s="33" t="s">
        <v>363</v>
      </c>
      <c r="N5186" s="33" t="s">
        <v>2610</v>
      </c>
      <c r="O5186" s="33" t="s">
        <v>372</v>
      </c>
      <c r="P5186" s="33" t="s">
        <v>30089</v>
      </c>
      <c r="Q5186" s="40" t="s">
        <v>2563</v>
      </c>
      <c r="R5186" s="33" t="s">
        <v>904</v>
      </c>
      <c r="S5186" s="33" t="s">
        <v>12</v>
      </c>
      <c r="T5186" s="54" t="s">
        <v>29705</v>
      </c>
      <c r="Z5186" s="33" t="s">
        <v>42968</v>
      </c>
      <c r="AA5186" s="33">
        <v>2480</v>
      </c>
    </row>
    <row r="5187" spans="1:27" ht="12" customHeight="1" x14ac:dyDescent="0.15">
      <c r="A5187" s="33" t="s">
        <v>2601</v>
      </c>
      <c r="B5187" s="33">
        <v>18</v>
      </c>
      <c r="C5187" s="33" t="s">
        <v>14</v>
      </c>
      <c r="D5187" s="33" t="s">
        <v>79</v>
      </c>
      <c r="E5187" s="33" t="s">
        <v>2602</v>
      </c>
      <c r="F5187" s="67">
        <v>42111</v>
      </c>
      <c r="G5187" s="33" t="s">
        <v>2603</v>
      </c>
      <c r="H5187" s="33" t="s">
        <v>81</v>
      </c>
      <c r="I5187" s="33" t="s">
        <v>38</v>
      </c>
      <c r="J5187" s="33" t="s">
        <v>1568</v>
      </c>
      <c r="K5187" s="33" t="s">
        <v>82</v>
      </c>
      <c r="L5187" s="33" t="s">
        <v>83</v>
      </c>
      <c r="M5187" s="33" t="s">
        <v>21</v>
      </c>
      <c r="N5187" s="33" t="s">
        <v>2604</v>
      </c>
      <c r="O5187" s="33" t="s">
        <v>950</v>
      </c>
      <c r="P5187" s="33" t="s">
        <v>30089</v>
      </c>
      <c r="Q5187" s="40" t="str">
        <f>HYPERLINK("http://www.chicagotribune.com/news/local/breaking/chi-man-fatally-shot-by-police-in-south-shore-20150417-story.html","http://www.chicagotribune.com/news/local/breaking/chi-man-fatally-shot-by-police-in-south-shore-20150417-story.html")</f>
        <v>http://www.chicagotribune.com/news/local/breaking/chi-man-fatally-shot-by-police-in-south-shore-20150417-story.html</v>
      </c>
      <c r="R5187" s="33" t="s">
        <v>94</v>
      </c>
      <c r="S5187" s="33" t="s">
        <v>22</v>
      </c>
      <c r="T5187" s="33" t="s">
        <v>26781</v>
      </c>
      <c r="U5187" s="33" t="s">
        <v>26572</v>
      </c>
      <c r="V5187" s="33" t="s">
        <v>26574</v>
      </c>
      <c r="W5187" s="33" t="s">
        <v>94</v>
      </c>
      <c r="X5187" s="33">
        <v>380</v>
      </c>
      <c r="Z5187" s="33" t="s">
        <v>42966</v>
      </c>
      <c r="AA5187" s="33">
        <v>2477</v>
      </c>
    </row>
    <row r="5188" spans="1:27" ht="12" customHeight="1" x14ac:dyDescent="0.15">
      <c r="A5188" s="33" t="s">
        <v>2611</v>
      </c>
      <c r="B5188" s="33">
        <v>29</v>
      </c>
      <c r="C5188" s="33" t="s">
        <v>14</v>
      </c>
      <c r="D5188" s="33" t="s">
        <v>42</v>
      </c>
      <c r="E5188" s="33" t="s">
        <v>2612</v>
      </c>
      <c r="F5188" s="67">
        <v>42111</v>
      </c>
      <c r="G5188" s="33" t="s">
        <v>2613</v>
      </c>
      <c r="H5188" s="33" t="s">
        <v>727</v>
      </c>
      <c r="I5188" s="33" t="s">
        <v>39</v>
      </c>
      <c r="J5188" s="33" t="s">
        <v>2614</v>
      </c>
      <c r="K5188" s="33" t="s">
        <v>728</v>
      </c>
      <c r="L5188" s="33" t="s">
        <v>36927</v>
      </c>
      <c r="M5188" s="33" t="s">
        <v>21</v>
      </c>
      <c r="N5188" s="33" t="s">
        <v>2615</v>
      </c>
      <c r="O5188" s="33" t="s">
        <v>950</v>
      </c>
      <c r="P5188" s="33" t="s">
        <v>30089</v>
      </c>
      <c r="Q5188" s="40" t="str">
        <f>HYPERLINK("http://www.pe.com/articles/car-765208-officers-sheriff.html","http://www.pe.com/articles/car-765208-officers-sheriff.html")</f>
        <v>http://www.pe.com/articles/car-765208-officers-sheriff.html</v>
      </c>
      <c r="R5188" s="33" t="s">
        <v>94</v>
      </c>
      <c r="S5188" s="33" t="s">
        <v>22</v>
      </c>
      <c r="T5188" s="33" t="s">
        <v>26781</v>
      </c>
      <c r="U5188" s="33" t="s">
        <v>26572</v>
      </c>
      <c r="V5188" s="33" t="s">
        <v>26573</v>
      </c>
      <c r="W5188" s="33" t="s">
        <v>94</v>
      </c>
      <c r="X5188" s="33">
        <v>381</v>
      </c>
      <c r="Z5188" s="33" t="s">
        <v>42968</v>
      </c>
      <c r="AA5188" s="33">
        <v>2478</v>
      </c>
    </row>
    <row r="5189" spans="1:27" ht="12" customHeight="1" x14ac:dyDescent="0.15">
      <c r="A5189" s="33" t="s">
        <v>2617</v>
      </c>
      <c r="B5189" s="33">
        <v>47</v>
      </c>
      <c r="C5189" s="33" t="s">
        <v>14</v>
      </c>
      <c r="D5189" s="33" t="s">
        <v>42</v>
      </c>
      <c r="F5189" s="67">
        <v>42110</v>
      </c>
      <c r="G5189" s="33" t="s">
        <v>2618</v>
      </c>
      <c r="H5189" s="33" t="s">
        <v>2619</v>
      </c>
      <c r="I5189" s="33" t="s">
        <v>39</v>
      </c>
      <c r="J5189" s="33" t="s">
        <v>2620</v>
      </c>
      <c r="K5189" s="33" t="s">
        <v>632</v>
      </c>
      <c r="L5189" s="33" t="s">
        <v>2621</v>
      </c>
      <c r="M5189" s="33" t="s">
        <v>21</v>
      </c>
      <c r="N5189" s="33" t="s">
        <v>2622</v>
      </c>
      <c r="O5189" s="33" t="s">
        <v>950</v>
      </c>
      <c r="P5189" s="33" t="s">
        <v>30089</v>
      </c>
      <c r="Q5189" s="40" t="str">
        <f>HYPERLINK("http://www.bakersfieldnow.com/news/local/Questions-raised-after-officer-involved-shooting-in-Shafter-300410121.html","http://www.bakersfieldnow.com/news/local/Questions-raised-after-officer-involved-shooting-in-Shafter-300410121.html")</f>
        <v>http://www.bakersfieldnow.com/news/local/Questions-raised-after-officer-involved-shooting-in-Shafter-300410121.html</v>
      </c>
      <c r="R5189" s="33" t="s">
        <v>94</v>
      </c>
      <c r="S5189" s="33" t="s">
        <v>22</v>
      </c>
      <c r="T5189" s="33" t="s">
        <v>26774</v>
      </c>
      <c r="U5189" s="33" t="s">
        <v>26570</v>
      </c>
      <c r="V5189" s="33" t="s">
        <v>26573</v>
      </c>
      <c r="W5189" s="33" t="s">
        <v>94</v>
      </c>
      <c r="X5189" s="33">
        <v>373</v>
      </c>
      <c r="Z5189" s="33" t="s">
        <v>42967</v>
      </c>
      <c r="AA5189" s="33">
        <v>2475</v>
      </c>
    </row>
    <row r="5190" spans="1:27" ht="12" customHeight="1" x14ac:dyDescent="0.15">
      <c r="A5190" s="33" t="s">
        <v>2623</v>
      </c>
      <c r="B5190" s="33">
        <v>39</v>
      </c>
      <c r="C5190" s="33" t="s">
        <v>14</v>
      </c>
      <c r="D5190" s="33" t="s">
        <v>31</v>
      </c>
      <c r="E5190" s="33" t="s">
        <v>2624</v>
      </c>
      <c r="F5190" s="67">
        <v>42110</v>
      </c>
      <c r="G5190" s="33" t="s">
        <v>2625</v>
      </c>
      <c r="H5190" s="33" t="s">
        <v>2626</v>
      </c>
      <c r="I5190" s="33" t="s">
        <v>51</v>
      </c>
      <c r="J5190" s="33" t="s">
        <v>2627</v>
      </c>
      <c r="K5190" s="33" t="s">
        <v>1057</v>
      </c>
      <c r="L5190" s="33" t="s">
        <v>2628</v>
      </c>
      <c r="M5190" s="33" t="s">
        <v>363</v>
      </c>
      <c r="N5190" s="33" t="s">
        <v>2629</v>
      </c>
      <c r="O5190" s="33" t="s">
        <v>507</v>
      </c>
      <c r="P5190" s="33" t="s">
        <v>30089</v>
      </c>
      <c r="Q5190" s="40" t="str">
        <f>HYPERLINK("http://www.detroitnews.com/story/news/local/wayne-county/2015/04/17/assault-suspect-died-hit-taser-identified/25947299/","http://www.detroitnews.com/story/news/local/wayne-county/2015/04/17/assault-suspect-died-hit-taser-identified/25947299/")</f>
        <v>http://www.detroitnews.com/story/news/local/wayne-county/2015/04/17/assault-suspect-died-hit-taser-identified/25947299/</v>
      </c>
      <c r="R5190" s="33" t="s">
        <v>94</v>
      </c>
      <c r="S5190" s="33" t="s">
        <v>12</v>
      </c>
      <c r="T5190" s="54" t="s">
        <v>29705</v>
      </c>
      <c r="Z5190" s="33" t="s">
        <v>42968</v>
      </c>
      <c r="AA5190" s="33">
        <v>2476</v>
      </c>
    </row>
    <row r="5191" spans="1:27" ht="12" customHeight="1" x14ac:dyDescent="0.15">
      <c r="A5191" s="33" t="s">
        <v>2664</v>
      </c>
      <c r="B5191" s="33">
        <v>72</v>
      </c>
      <c r="C5191" s="33" t="s">
        <v>14</v>
      </c>
      <c r="D5191" s="33" t="s">
        <v>31</v>
      </c>
      <c r="E5191" s="33" t="s">
        <v>2665</v>
      </c>
      <c r="F5191" s="67">
        <v>42109</v>
      </c>
      <c r="G5191" s="33" t="s">
        <v>2666</v>
      </c>
      <c r="H5191" s="33" t="s">
        <v>696</v>
      </c>
      <c r="I5191" s="33" t="s">
        <v>192</v>
      </c>
      <c r="J5191" s="33" t="s">
        <v>2667</v>
      </c>
      <c r="K5191" s="33" t="s">
        <v>1066</v>
      </c>
      <c r="L5191" s="33" t="s">
        <v>2668</v>
      </c>
      <c r="M5191" s="33" t="s">
        <v>21</v>
      </c>
      <c r="N5191" s="33" t="s">
        <v>2669</v>
      </c>
      <c r="O5191" s="33" t="s">
        <v>950</v>
      </c>
      <c r="P5191" s="33" t="s">
        <v>30089</v>
      </c>
      <c r="Q5191" s="40" t="str">
        <f>HYPERLINK("http://denver.cbslocal.com/2015/04/16/marriage-down-the-tubes-i-hope-they-kill-me-says-killed-standoff-suspect-on-facebook/","http://denver.cbslocal.com/2015/04/16/marriage-down-the-tubes-i-hope-they-kill-me-says-killed-standoff-suspect-on-facebook/")</f>
        <v>http://denver.cbslocal.com/2015/04/16/marriage-down-the-tubes-i-hope-they-kill-me-says-killed-standoff-suspect-on-facebook/</v>
      </c>
      <c r="R5191" s="33" t="s">
        <v>512</v>
      </c>
      <c r="S5191" s="33" t="s">
        <v>22</v>
      </c>
      <c r="T5191" s="33" t="s">
        <v>26781</v>
      </c>
      <c r="U5191" s="33" t="s">
        <v>26572</v>
      </c>
      <c r="V5191" s="33" t="s">
        <v>26573</v>
      </c>
      <c r="W5191" s="33" t="s">
        <v>94</v>
      </c>
      <c r="X5191" s="33">
        <v>369</v>
      </c>
      <c r="Z5191" s="33" t="s">
        <v>42967</v>
      </c>
      <c r="AA5191" s="33">
        <v>2470</v>
      </c>
    </row>
    <row r="5192" spans="1:27" ht="12" customHeight="1" x14ac:dyDescent="0.15">
      <c r="A5192" s="33" t="s">
        <v>2630</v>
      </c>
      <c r="B5192" s="33">
        <v>51</v>
      </c>
      <c r="C5192" s="33" t="s">
        <v>14</v>
      </c>
      <c r="D5192" s="33" t="s">
        <v>31</v>
      </c>
      <c r="E5192" s="33" t="s">
        <v>2631</v>
      </c>
      <c r="F5192" s="67">
        <v>42109</v>
      </c>
      <c r="G5192" s="33" t="s">
        <v>2632</v>
      </c>
      <c r="H5192" s="33" t="s">
        <v>45</v>
      </c>
      <c r="I5192" s="33" t="s">
        <v>402</v>
      </c>
      <c r="J5192" s="33" t="s">
        <v>2633</v>
      </c>
      <c r="K5192" s="33" t="s">
        <v>2634</v>
      </c>
      <c r="L5192" s="33" t="s">
        <v>36928</v>
      </c>
      <c r="M5192" s="33" t="s">
        <v>21</v>
      </c>
      <c r="N5192" s="33" t="s">
        <v>2635</v>
      </c>
      <c r="O5192" s="33" t="s">
        <v>372</v>
      </c>
      <c r="P5192" s="33" t="s">
        <v>30089</v>
      </c>
      <c r="Q5192" s="40" t="str">
        <f>HYPERLINK("http://www.abc17news.com/news/suspect-shot-and-killed-by-police/32394506","http://www.abc17news.com/news/suspect-shot-and-killed-by-police/32394506")</f>
        <v>http://www.abc17news.com/news/suspect-shot-and-killed-by-police/32394506</v>
      </c>
      <c r="R5192" s="33" t="s">
        <v>94</v>
      </c>
      <c r="S5192" s="33" t="s">
        <v>12</v>
      </c>
      <c r="T5192" s="33" t="s">
        <v>29425</v>
      </c>
      <c r="U5192" s="33" t="s">
        <v>26572</v>
      </c>
      <c r="V5192" s="33" t="s">
        <v>26571</v>
      </c>
      <c r="W5192" s="33" t="s">
        <v>512</v>
      </c>
      <c r="X5192" s="33">
        <v>368</v>
      </c>
      <c r="Z5192" s="33" t="s">
        <v>42966</v>
      </c>
      <c r="AA5192" s="33">
        <v>2472</v>
      </c>
    </row>
    <row r="5193" spans="1:27" ht="12" customHeight="1" x14ac:dyDescent="0.15">
      <c r="A5193" s="33" t="s">
        <v>18915</v>
      </c>
      <c r="B5193" s="33">
        <v>41</v>
      </c>
      <c r="C5193" s="33" t="s">
        <v>14</v>
      </c>
      <c r="D5193" s="33" t="s">
        <v>79</v>
      </c>
      <c r="E5193" s="33" t="s">
        <v>2647</v>
      </c>
      <c r="F5193" s="67">
        <v>42109</v>
      </c>
      <c r="G5193" s="33" t="s">
        <v>2648</v>
      </c>
      <c r="H5193" s="33" t="s">
        <v>674</v>
      </c>
      <c r="I5193" s="33" t="s">
        <v>67</v>
      </c>
      <c r="J5193" s="33" t="s">
        <v>2649</v>
      </c>
      <c r="K5193" s="33" t="s">
        <v>515</v>
      </c>
      <c r="L5193" s="33" t="s">
        <v>516</v>
      </c>
      <c r="M5193" s="33" t="s">
        <v>21</v>
      </c>
      <c r="N5193" s="33" t="s">
        <v>2650</v>
      </c>
      <c r="O5193" s="33" t="s">
        <v>950</v>
      </c>
      <c r="P5193" s="33" t="s">
        <v>30089</v>
      </c>
      <c r="Q5193" s="40" t="s">
        <v>18914</v>
      </c>
      <c r="R5193" s="33" t="s">
        <v>94</v>
      </c>
      <c r="S5193" s="33" t="s">
        <v>12</v>
      </c>
      <c r="T5193" s="33" t="s">
        <v>29705</v>
      </c>
      <c r="U5193" s="33" t="s">
        <v>26570</v>
      </c>
      <c r="V5193" s="33" t="s">
        <v>26571</v>
      </c>
      <c r="W5193" s="33" t="s">
        <v>94</v>
      </c>
      <c r="X5193" s="33">
        <v>367</v>
      </c>
      <c r="Z5193" s="33" t="s">
        <v>42968</v>
      </c>
      <c r="AA5193" s="33">
        <v>2474</v>
      </c>
    </row>
    <row r="5194" spans="1:27" ht="12" customHeight="1" x14ac:dyDescent="0.15">
      <c r="A5194" s="33" t="s">
        <v>2651</v>
      </c>
      <c r="B5194" s="33">
        <v>52</v>
      </c>
      <c r="C5194" s="33" t="s">
        <v>14</v>
      </c>
      <c r="D5194" s="33" t="s">
        <v>42</v>
      </c>
      <c r="E5194" s="33" t="s">
        <v>2652</v>
      </c>
      <c r="F5194" s="67">
        <v>42109</v>
      </c>
      <c r="G5194" s="33" t="s">
        <v>2653</v>
      </c>
      <c r="H5194" s="33" t="s">
        <v>2654</v>
      </c>
      <c r="I5194" s="33" t="s">
        <v>39</v>
      </c>
      <c r="J5194" s="33" t="s">
        <v>2655</v>
      </c>
      <c r="K5194" s="33" t="s">
        <v>288</v>
      </c>
      <c r="L5194" s="33" t="s">
        <v>289</v>
      </c>
      <c r="M5194" s="33" t="s">
        <v>21</v>
      </c>
      <c r="N5194" s="33" t="s">
        <v>36766</v>
      </c>
      <c r="O5194" s="33" t="s">
        <v>950</v>
      </c>
      <c r="P5194" s="33" t="s">
        <v>30089</v>
      </c>
      <c r="Q5194" s="40" t="str">
        <f>HYPERLINK("http://www.dailybulletin.com/government-and-politics/20150416/man-fatally-shot-by-deputies-near-montclair-had-bb-gun","http://www.dailybulletin.com/government-and-politics/20150416/man-fatally-shot-by-deputies-near-montclair-had-bb-gun")</f>
        <v>http://www.dailybulletin.com/government-and-politics/20150416/man-fatally-shot-by-deputies-near-montclair-had-bb-gun</v>
      </c>
      <c r="R5194" s="33" t="s">
        <v>512</v>
      </c>
      <c r="S5194" s="33" t="s">
        <v>12</v>
      </c>
      <c r="T5194" s="33" t="s">
        <v>29425</v>
      </c>
      <c r="U5194" s="33" t="s">
        <v>26572</v>
      </c>
      <c r="V5194" s="33" t="s">
        <v>26573</v>
      </c>
      <c r="W5194" s="33" t="s">
        <v>94</v>
      </c>
      <c r="X5194" s="33">
        <v>374</v>
      </c>
      <c r="Z5194" s="33" t="e">
        <v>#N/A</v>
      </c>
      <c r="AA5194" s="33">
        <v>2473</v>
      </c>
    </row>
    <row r="5195" spans="1:27" ht="12" customHeight="1" x14ac:dyDescent="0.15">
      <c r="A5195" s="33" t="s">
        <v>2636</v>
      </c>
      <c r="B5195" s="33">
        <v>22</v>
      </c>
      <c r="C5195" s="33" t="s">
        <v>14</v>
      </c>
      <c r="D5195" s="33" t="s">
        <v>79</v>
      </c>
      <c r="E5195" s="33" t="s">
        <v>2637</v>
      </c>
      <c r="F5195" s="67">
        <v>42109</v>
      </c>
      <c r="G5195" s="33" t="s">
        <v>2638</v>
      </c>
      <c r="H5195" s="33" t="s">
        <v>196</v>
      </c>
      <c r="I5195" s="33" t="s">
        <v>56</v>
      </c>
      <c r="J5195" s="33" t="s">
        <v>2639</v>
      </c>
      <c r="K5195" s="33" t="s">
        <v>148</v>
      </c>
      <c r="L5195" s="33" t="s">
        <v>149</v>
      </c>
      <c r="M5195" s="33" t="s">
        <v>21</v>
      </c>
      <c r="N5195" s="33" t="s">
        <v>2640</v>
      </c>
      <c r="O5195" s="33" t="s">
        <v>950</v>
      </c>
      <c r="P5195" s="33" t="s">
        <v>30089</v>
      </c>
      <c r="Q5195" s="40" t="str">
        <f>HYPERLINK("http://www.nbcmiami.com/news/local/FDLE-Investigating-Fatal-Police-Involved-Shooting-in-Miami-Dade-300173991.html","http://www.nbcmiami.com/news/local/FDLE-Investigating-Fatal-Police-Involved-Shooting-in-Miami-Dade-300173991.html")</f>
        <v>http://www.nbcmiami.com/news/local/FDLE-Investigating-Fatal-Police-Involved-Shooting-in-Miami-Dade-300173991.html</v>
      </c>
      <c r="R5195" s="33" t="s">
        <v>94</v>
      </c>
      <c r="S5195" s="33" t="s">
        <v>22</v>
      </c>
      <c r="T5195" s="33" t="s">
        <v>26781</v>
      </c>
      <c r="U5195" s="33" t="s">
        <v>26575</v>
      </c>
      <c r="V5195" s="33" t="s">
        <v>26574</v>
      </c>
      <c r="W5195" s="33" t="s">
        <v>94</v>
      </c>
      <c r="X5195" s="33">
        <v>365</v>
      </c>
      <c r="Z5195" s="33" t="s">
        <v>42966</v>
      </c>
      <c r="AA5195" s="33">
        <v>2469</v>
      </c>
    </row>
    <row r="5196" spans="1:27" ht="12" customHeight="1" x14ac:dyDescent="0.15">
      <c r="A5196" s="33" t="s">
        <v>2641</v>
      </c>
      <c r="B5196" s="33">
        <v>41</v>
      </c>
      <c r="C5196" s="33" t="s">
        <v>14</v>
      </c>
      <c r="D5196" s="33" t="s">
        <v>79</v>
      </c>
      <c r="E5196" s="33" t="str">
        <f>HYPERLINK("http://www.brownrobinson.com/obituary/4199/Donte_Noble","http://www.brownrobinson.com/obituary/4199/Donte_Noble")</f>
        <v>http://www.brownrobinson.com/obituary/4199/Donte_Noble</v>
      </c>
      <c r="F5196" s="67">
        <v>42109</v>
      </c>
      <c r="G5196" s="33" t="s">
        <v>2642</v>
      </c>
      <c r="H5196" s="33" t="s">
        <v>2643</v>
      </c>
      <c r="I5196" s="33" t="s">
        <v>26</v>
      </c>
      <c r="J5196" s="33" t="s">
        <v>2644</v>
      </c>
      <c r="K5196" s="33" t="s">
        <v>2643</v>
      </c>
      <c r="L5196" s="33" t="s">
        <v>2645</v>
      </c>
      <c r="M5196" s="33" t="s">
        <v>21</v>
      </c>
      <c r="N5196" s="33" t="s">
        <v>2646</v>
      </c>
      <c r="O5196" s="33" t="s">
        <v>950</v>
      </c>
      <c r="P5196" s="33" t="s">
        <v>30089</v>
      </c>
      <c r="Q5196" s="40" t="str">
        <f>HYPERLINK("http://www.wyff4.com/news/police-find-man-stabbing-wife-shoot-kill-him/32384112","http://www.wyff4.com/news/police-find-man-stabbing-wife-shoot-kill-him/32384112")</f>
        <v>http://www.wyff4.com/news/police-find-man-stabbing-wife-shoot-kill-him/32384112</v>
      </c>
      <c r="R5196" s="33" t="s">
        <v>94</v>
      </c>
      <c r="S5196" s="33" t="s">
        <v>22</v>
      </c>
      <c r="T5196" s="33" t="s">
        <v>26774</v>
      </c>
      <c r="U5196" s="33" t="s">
        <v>26572</v>
      </c>
      <c r="V5196" s="33" t="s">
        <v>26573</v>
      </c>
      <c r="W5196" s="33" t="s">
        <v>94</v>
      </c>
      <c r="X5196" s="33">
        <v>366</v>
      </c>
      <c r="Z5196" s="33" t="s">
        <v>42968</v>
      </c>
      <c r="AA5196" s="33">
        <v>2471</v>
      </c>
    </row>
    <row r="5197" spans="1:27" ht="12" customHeight="1" x14ac:dyDescent="0.15">
      <c r="A5197" s="33" t="s">
        <v>2656</v>
      </c>
      <c r="B5197" s="33">
        <v>31</v>
      </c>
      <c r="C5197" s="33" t="s">
        <v>14</v>
      </c>
      <c r="D5197" s="33" t="s">
        <v>31</v>
      </c>
      <c r="E5197" s="33" t="s">
        <v>2657</v>
      </c>
      <c r="F5197" s="67">
        <v>42108</v>
      </c>
      <c r="G5197" s="33" t="s">
        <v>2658</v>
      </c>
      <c r="H5197" s="33" t="s">
        <v>2659</v>
      </c>
      <c r="I5197" s="33" t="s">
        <v>918</v>
      </c>
      <c r="J5197" s="33">
        <v>72401</v>
      </c>
      <c r="K5197" s="33" t="s">
        <v>2660</v>
      </c>
      <c r="L5197" s="33" t="s">
        <v>2661</v>
      </c>
      <c r="M5197" s="33" t="s">
        <v>21</v>
      </c>
      <c r="N5197" s="33" t="s">
        <v>2662</v>
      </c>
      <c r="O5197" s="33" t="s">
        <v>950</v>
      </c>
      <c r="P5197" s="33" t="s">
        <v>30089</v>
      </c>
      <c r="Q5197" s="40" t="str">
        <f>HYPERLINK("http://wreg.com/2015/04/15/man-wielding-machete-is-shot-and-killed-by-jonesboro-patrolman/","http://wreg.com/2015/04/15/man-wielding-machete-is-shot-and-killed-by-jonesboro-patrolman/")</f>
        <v>http://wreg.com/2015/04/15/man-wielding-machete-is-shot-and-killed-by-jonesboro-patrolman/</v>
      </c>
      <c r="R5197" s="33" t="s">
        <v>512</v>
      </c>
      <c r="S5197" s="33" t="s">
        <v>22</v>
      </c>
      <c r="T5197" s="33" t="s">
        <v>26593</v>
      </c>
      <c r="U5197" s="33" t="s">
        <v>26572</v>
      </c>
      <c r="V5197" s="33" t="s">
        <v>26573</v>
      </c>
      <c r="W5197" s="33" t="s">
        <v>94</v>
      </c>
      <c r="X5197" s="33">
        <v>364</v>
      </c>
      <c r="Z5197" s="33" t="s">
        <v>42966</v>
      </c>
      <c r="AA5197" s="33">
        <v>2467</v>
      </c>
    </row>
    <row r="5198" spans="1:27" ht="12" customHeight="1" x14ac:dyDescent="0.15">
      <c r="A5198" s="33" t="s">
        <v>2680</v>
      </c>
      <c r="B5198" s="33">
        <v>26</v>
      </c>
      <c r="C5198" s="33" t="s">
        <v>14</v>
      </c>
      <c r="D5198" s="33" t="s">
        <v>79</v>
      </c>
      <c r="E5198" s="33" t="s">
        <v>2681</v>
      </c>
      <c r="F5198" s="67">
        <v>42108</v>
      </c>
      <c r="G5198" s="33" t="s">
        <v>2682</v>
      </c>
      <c r="H5198" s="33" t="s">
        <v>266</v>
      </c>
      <c r="I5198" s="33" t="s">
        <v>67</v>
      </c>
      <c r="J5198" s="33">
        <v>75232</v>
      </c>
      <c r="K5198" s="33" t="s">
        <v>266</v>
      </c>
      <c r="L5198" s="33" t="s">
        <v>2683</v>
      </c>
      <c r="M5198" s="33" t="s">
        <v>21</v>
      </c>
      <c r="N5198" s="33" t="s">
        <v>2684</v>
      </c>
      <c r="O5198" s="33" t="s">
        <v>950</v>
      </c>
      <c r="P5198" s="33" t="s">
        <v>30089</v>
      </c>
      <c r="Q5198" s="40" t="str">
        <f>HYPERLINK("http://www.oregonlive.com/portland/index.ssf/2015/04/se_portland_double_murder_susp.html","http://www.oregonlive.com/portland/index.ssf/2015/04/se_portland_double_murder_susp.html")</f>
        <v>http://www.oregonlive.com/portland/index.ssf/2015/04/se_portland_double_murder_susp.html</v>
      </c>
      <c r="R5198" s="33" t="s">
        <v>94</v>
      </c>
      <c r="S5198" s="33" t="s">
        <v>29</v>
      </c>
      <c r="T5198" s="33" t="s">
        <v>26575</v>
      </c>
      <c r="U5198" s="33" t="s">
        <v>26575</v>
      </c>
      <c r="V5198" s="33" t="s">
        <v>26574</v>
      </c>
      <c r="W5198" s="33" t="s">
        <v>94</v>
      </c>
      <c r="X5198" s="33">
        <v>363</v>
      </c>
      <c r="Z5198" s="33" t="s">
        <v>42968</v>
      </c>
      <c r="AA5198" s="33">
        <v>2468</v>
      </c>
    </row>
    <row r="5199" spans="1:27" ht="12" customHeight="1" x14ac:dyDescent="0.15">
      <c r="A5199" s="33" t="s">
        <v>2688</v>
      </c>
      <c r="B5199" s="33">
        <v>24</v>
      </c>
      <c r="C5199" s="33" t="s">
        <v>14</v>
      </c>
      <c r="D5199" s="33" t="s">
        <v>42</v>
      </c>
      <c r="F5199" s="67">
        <v>42107</v>
      </c>
      <c r="G5199" s="33" t="s">
        <v>2689</v>
      </c>
      <c r="H5199" s="33" t="s">
        <v>674</v>
      </c>
      <c r="I5199" s="33" t="s">
        <v>67</v>
      </c>
      <c r="J5199" s="33" t="s">
        <v>2690</v>
      </c>
      <c r="K5199" s="33" t="s">
        <v>515</v>
      </c>
      <c r="L5199" s="33" t="s">
        <v>675</v>
      </c>
      <c r="M5199" s="33" t="s">
        <v>21</v>
      </c>
      <c r="N5199" s="33" t="s">
        <v>2691</v>
      </c>
      <c r="O5199" s="33" t="s">
        <v>17822</v>
      </c>
      <c r="P5199" s="33" t="s">
        <v>30089</v>
      </c>
      <c r="Q5199" s="40" t="s">
        <v>2692</v>
      </c>
      <c r="R5199" s="33" t="s">
        <v>94</v>
      </c>
      <c r="S5199" s="33" t="s">
        <v>29</v>
      </c>
      <c r="T5199" s="1" t="s">
        <v>41840</v>
      </c>
      <c r="Z5199" s="33" t="s">
        <v>42966</v>
      </c>
      <c r="AA5199" s="33">
        <v>2466</v>
      </c>
    </row>
    <row r="5200" spans="1:27" ht="12" customHeight="1" x14ac:dyDescent="0.15">
      <c r="A5200" s="33" t="s">
        <v>2685</v>
      </c>
      <c r="B5200" s="33">
        <v>27</v>
      </c>
      <c r="C5200" s="33" t="s">
        <v>14</v>
      </c>
      <c r="D5200" s="33" t="s">
        <v>42</v>
      </c>
      <c r="E5200" s="33" t="str">
        <f>HYPERLINK("http://fox2now.com/2015/04/14/man-identified-in-alton-officer-involved-shooting/","http://fox2now.com/2015/04/14/man-identified-in-alton-officer-involved-shooting/")</f>
        <v>http://fox2now.com/2015/04/14/man-identified-in-alton-officer-involved-shooting/</v>
      </c>
      <c r="F5200" s="67">
        <v>42107</v>
      </c>
      <c r="G5200" s="33" t="s">
        <v>2686</v>
      </c>
      <c r="H5200" s="33" t="s">
        <v>26425</v>
      </c>
      <c r="I5200" s="33" t="s">
        <v>402</v>
      </c>
      <c r="J5200" s="33">
        <v>63121</v>
      </c>
      <c r="K5200" s="33" t="s">
        <v>661</v>
      </c>
      <c r="L5200" s="33" t="s">
        <v>30045</v>
      </c>
      <c r="M5200" s="33" t="s">
        <v>21</v>
      </c>
      <c r="N5200" s="33" t="s">
        <v>2687</v>
      </c>
      <c r="O5200" s="33" t="s">
        <v>950</v>
      </c>
      <c r="P5200" s="33" t="s">
        <v>30089</v>
      </c>
      <c r="Q5200" s="40" t="str">
        <f>HYPERLINK("http://fox2now.com/2015/04/14/man-identified-in-alton-officer-involved-shooting/","http://fox2now.com/2015/04/14/man-identified-in-alton-officer-involved-shooting/")</f>
        <v>http://fox2now.com/2015/04/14/man-identified-in-alton-officer-involved-shooting/</v>
      </c>
      <c r="R5200" s="33" t="s">
        <v>94</v>
      </c>
      <c r="S5200" s="33" t="s">
        <v>22</v>
      </c>
      <c r="T5200" s="33" t="s">
        <v>26781</v>
      </c>
      <c r="U5200" s="33" t="s">
        <v>26572</v>
      </c>
      <c r="V5200" s="33" t="s">
        <v>26573</v>
      </c>
      <c r="W5200" s="33" t="s">
        <v>94</v>
      </c>
      <c r="X5200" s="33">
        <v>356</v>
      </c>
      <c r="Z5200" s="33" t="s">
        <v>42968</v>
      </c>
      <c r="AA5200" s="33">
        <v>2465</v>
      </c>
    </row>
    <row r="5201" spans="1:27" ht="12" customHeight="1" x14ac:dyDescent="0.15">
      <c r="A5201" s="33" t="s">
        <v>2693</v>
      </c>
      <c r="B5201" s="33">
        <v>32</v>
      </c>
      <c r="C5201" s="33" t="s">
        <v>14</v>
      </c>
      <c r="D5201" s="33" t="s">
        <v>31</v>
      </c>
      <c r="E5201" s="33" t="s">
        <v>2694</v>
      </c>
      <c r="F5201" s="67">
        <v>42106</v>
      </c>
      <c r="G5201" s="33" t="s">
        <v>2695</v>
      </c>
      <c r="H5201" s="33" t="s">
        <v>2696</v>
      </c>
      <c r="I5201" s="33" t="s">
        <v>338</v>
      </c>
      <c r="J5201" s="33" t="s">
        <v>2697</v>
      </c>
      <c r="K5201" s="33" t="s">
        <v>2698</v>
      </c>
      <c r="L5201" s="33" t="s">
        <v>2699</v>
      </c>
      <c r="M5201" s="33" t="s">
        <v>21</v>
      </c>
      <c r="N5201" s="33" t="s">
        <v>2700</v>
      </c>
      <c r="O5201" s="33" t="s">
        <v>372</v>
      </c>
      <c r="P5201" s="33" t="s">
        <v>30089</v>
      </c>
      <c r="Q5201" s="40" t="str">
        <f>HYPERLINK("http://abc11.com/news/sampson-county-sheriffs-deputy-shoots-and-kills-robbery-suspect/654777/","http://abc11.com/news/sampson-county-sheriffs-deputy-shoots-and-kills-robbery-suspect/654777/")</f>
        <v>http://abc11.com/news/sampson-county-sheriffs-deputy-shoots-and-kills-robbery-suspect/654777/</v>
      </c>
      <c r="R5201" s="33" t="s">
        <v>512</v>
      </c>
      <c r="S5201" s="33" t="s">
        <v>22</v>
      </c>
      <c r="T5201" s="33" t="s">
        <v>26781</v>
      </c>
      <c r="U5201" s="33" t="s">
        <v>26572</v>
      </c>
      <c r="V5201" s="33" t="s">
        <v>26571</v>
      </c>
      <c r="W5201" s="33" t="s">
        <v>94</v>
      </c>
      <c r="X5201" s="33">
        <v>362</v>
      </c>
      <c r="Z5201" s="33" t="s">
        <v>42967</v>
      </c>
      <c r="AA5201" s="33">
        <v>2463</v>
      </c>
    </row>
    <row r="5202" spans="1:27" ht="12" customHeight="1" x14ac:dyDescent="0.15">
      <c r="A5202" s="33" t="s">
        <v>2701</v>
      </c>
      <c r="B5202" s="33">
        <v>36</v>
      </c>
      <c r="C5202" s="33" t="s">
        <v>14</v>
      </c>
      <c r="D5202" s="33" t="s">
        <v>79</v>
      </c>
      <c r="E5202" s="33" t="s">
        <v>2702</v>
      </c>
      <c r="F5202" s="67">
        <v>42106</v>
      </c>
      <c r="G5202" s="33" t="s">
        <v>2703</v>
      </c>
      <c r="H5202" s="33" t="s">
        <v>197</v>
      </c>
      <c r="I5202" s="33" t="s">
        <v>198</v>
      </c>
      <c r="J5202" s="33">
        <v>46218</v>
      </c>
      <c r="K5202" s="33" t="s">
        <v>392</v>
      </c>
      <c r="L5202" s="33" t="s">
        <v>199</v>
      </c>
      <c r="M5202" s="33" t="s">
        <v>21</v>
      </c>
      <c r="N5202" s="33" t="s">
        <v>2704</v>
      </c>
      <c r="O5202" s="33" t="s">
        <v>950</v>
      </c>
      <c r="P5202" s="33" t="s">
        <v>30089</v>
      </c>
      <c r="Q5202" s="40" t="str">
        <f>HYPERLINK("http://www.indystar.com/story/news/crime/2015/04/12/officer-involved-shooting-reported-indys-eastside/25678213/","http://www.indystar.com/story/news/crime/2015/04/12/officer-involved-shooting-reported-indys-eastside/25678213/")</f>
        <v>http://www.indystar.com/story/news/crime/2015/04/12/officer-involved-shooting-reported-indys-eastside/25678213/</v>
      </c>
      <c r="R5202" s="33" t="s">
        <v>94</v>
      </c>
      <c r="S5202" s="33" t="s">
        <v>22</v>
      </c>
      <c r="T5202" s="33" t="s">
        <v>26781</v>
      </c>
      <c r="U5202" s="33" t="s">
        <v>26572</v>
      </c>
      <c r="V5202" s="33" t="s">
        <v>26574</v>
      </c>
      <c r="W5202" s="33" t="s">
        <v>512</v>
      </c>
      <c r="X5202" s="33">
        <v>355</v>
      </c>
      <c r="Z5202" s="33" t="s">
        <v>42966</v>
      </c>
      <c r="AA5202" s="33">
        <v>2462</v>
      </c>
    </row>
    <row r="5203" spans="1:27" ht="12" customHeight="1" x14ac:dyDescent="0.15">
      <c r="A5203" s="33" t="s">
        <v>2705</v>
      </c>
      <c r="B5203" s="33">
        <v>83</v>
      </c>
      <c r="C5203" s="33" t="s">
        <v>14</v>
      </c>
      <c r="D5203" s="33" t="s">
        <v>31</v>
      </c>
      <c r="E5203" s="33" t="s">
        <v>2706</v>
      </c>
      <c r="F5203" s="67">
        <v>42106</v>
      </c>
      <c r="G5203" s="33" t="s">
        <v>2707</v>
      </c>
      <c r="H5203" s="33" t="s">
        <v>2708</v>
      </c>
      <c r="I5203" s="33" t="s">
        <v>367</v>
      </c>
      <c r="J5203" s="33" t="s">
        <v>2709</v>
      </c>
      <c r="K5203" s="33" t="s">
        <v>1028</v>
      </c>
      <c r="L5203" s="33" t="s">
        <v>1029</v>
      </c>
      <c r="M5203" s="33" t="s">
        <v>21</v>
      </c>
      <c r="N5203" s="33" t="s">
        <v>2710</v>
      </c>
      <c r="O5203" s="33" t="s">
        <v>372</v>
      </c>
      <c r="P5203" s="33" t="s">
        <v>30089</v>
      </c>
      <c r="Q5203" s="40" t="str">
        <f>HYPERLINK("http://www.koco.com/news/police-investigating-reported-shooting-in-newalla/32332484","http://www.koco.com/news/police-investigating-reported-shooting-in-newalla/32332484")</f>
        <v>http://www.koco.com/news/police-investigating-reported-shooting-in-newalla/32332484</v>
      </c>
      <c r="R5203" s="33" t="s">
        <v>512</v>
      </c>
      <c r="S5203" s="33" t="s">
        <v>22</v>
      </c>
      <c r="T5203" s="33" t="s">
        <v>26593</v>
      </c>
      <c r="U5203" s="33" t="s">
        <v>26570</v>
      </c>
      <c r="V5203" s="33" t="s">
        <v>26573</v>
      </c>
      <c r="W5203" s="33" t="s">
        <v>94</v>
      </c>
      <c r="X5203" s="33">
        <v>357</v>
      </c>
      <c r="Z5203" s="33" t="s">
        <v>42968</v>
      </c>
      <c r="AA5203" s="33">
        <v>2464</v>
      </c>
    </row>
    <row r="5204" spans="1:27" ht="12" customHeight="1" x14ac:dyDescent="0.15">
      <c r="A5204" s="33" t="s">
        <v>2711</v>
      </c>
      <c r="B5204" s="33">
        <v>66</v>
      </c>
      <c r="C5204" s="33" t="s">
        <v>14</v>
      </c>
      <c r="D5204" s="33" t="s">
        <v>31</v>
      </c>
      <c r="E5204" s="33" t="s">
        <v>2712</v>
      </c>
      <c r="F5204" s="67">
        <v>42105</v>
      </c>
      <c r="G5204" s="33" t="s">
        <v>2713</v>
      </c>
      <c r="H5204" s="33" t="s">
        <v>2714</v>
      </c>
      <c r="I5204" s="33" t="s">
        <v>367</v>
      </c>
      <c r="J5204" s="33">
        <v>74063</v>
      </c>
      <c r="K5204" s="33" t="s">
        <v>2307</v>
      </c>
      <c r="L5204" s="33" t="s">
        <v>2715</v>
      </c>
      <c r="M5204" s="33" t="s">
        <v>21</v>
      </c>
      <c r="N5204" s="33" t="s">
        <v>2716</v>
      </c>
      <c r="O5204" s="33" t="s">
        <v>507</v>
      </c>
      <c r="P5204" s="33" t="s">
        <v>30089</v>
      </c>
      <c r="Q5204" s="40" t="str">
        <f>HYPERLINK("http://www.dailymail.co.uk/news/article-3051433/Bodycam-footage-shows-Sand-Springs-Officer-Brian-Barnett-killing-Donald-Allen.html","http://www.dailymail.co.uk/news/article-3051433/Bodycam-footage-shows-Sand-Springs-Officer-Brian-Barnett-killing-Donald-Allen.html")</f>
        <v>http://www.dailymail.co.uk/news/article-3051433/Bodycam-footage-shows-Sand-Springs-Officer-Brian-Barnett-killing-Donald-Allen.html</v>
      </c>
      <c r="R5204" s="33" t="s">
        <v>512</v>
      </c>
      <c r="S5204" s="33" t="s">
        <v>22</v>
      </c>
      <c r="T5204" s="33" t="s">
        <v>26781</v>
      </c>
      <c r="U5204" s="33" t="s">
        <v>26572</v>
      </c>
      <c r="V5204" s="33" t="s">
        <v>26573</v>
      </c>
      <c r="W5204" s="33" t="s">
        <v>512</v>
      </c>
      <c r="X5204" s="33">
        <v>358</v>
      </c>
      <c r="Z5204" s="33" t="s">
        <v>42968</v>
      </c>
      <c r="AA5204" s="33">
        <v>2461</v>
      </c>
    </row>
    <row r="5205" spans="1:27" ht="12" customHeight="1" x14ac:dyDescent="0.15">
      <c r="A5205" s="33" t="s">
        <v>2571</v>
      </c>
      <c r="B5205" s="33">
        <v>38</v>
      </c>
      <c r="C5205" s="33" t="s">
        <v>14</v>
      </c>
      <c r="D5205" s="33" t="s">
        <v>31</v>
      </c>
      <c r="E5205" s="33" t="s">
        <v>2572</v>
      </c>
      <c r="F5205" s="67">
        <v>42104</v>
      </c>
      <c r="G5205" s="33" t="s">
        <v>2573</v>
      </c>
      <c r="H5205" s="33" t="s">
        <v>2574</v>
      </c>
      <c r="I5205" s="33" t="s">
        <v>337</v>
      </c>
      <c r="J5205" s="33" t="s">
        <v>2575</v>
      </c>
      <c r="K5205" s="33" t="s">
        <v>2576</v>
      </c>
      <c r="L5205" s="33" t="s">
        <v>2577</v>
      </c>
      <c r="M5205" s="33" t="s">
        <v>21</v>
      </c>
      <c r="N5205" s="33" t="s">
        <v>2578</v>
      </c>
      <c r="O5205" s="33" t="s">
        <v>950</v>
      </c>
      <c r="P5205" s="33" t="s">
        <v>30089</v>
      </c>
      <c r="Q5205" s="40" t="s">
        <v>2579</v>
      </c>
      <c r="R5205" s="33" t="s">
        <v>94</v>
      </c>
      <c r="S5205" s="33" t="s">
        <v>22</v>
      </c>
      <c r="T5205" s="33" t="s">
        <v>26781</v>
      </c>
      <c r="U5205" s="33" t="s">
        <v>26572</v>
      </c>
      <c r="V5205" s="33" t="s">
        <v>26571</v>
      </c>
      <c r="W5205" s="33" t="s">
        <v>94</v>
      </c>
      <c r="X5205" s="33">
        <v>377</v>
      </c>
      <c r="Z5205" s="33" t="s">
        <v>42966</v>
      </c>
      <c r="AA5205" s="33">
        <v>2459</v>
      </c>
    </row>
    <row r="5206" spans="1:27" ht="12" customHeight="1" x14ac:dyDescent="0.15">
      <c r="A5206" s="33" t="s">
        <v>2717</v>
      </c>
      <c r="B5206" s="33">
        <v>21</v>
      </c>
      <c r="C5206" s="33" t="s">
        <v>14</v>
      </c>
      <c r="D5206" s="33" t="s">
        <v>42</v>
      </c>
      <c r="E5206" s="33" t="s">
        <v>2718</v>
      </c>
      <c r="F5206" s="67">
        <v>42104</v>
      </c>
      <c r="G5206" s="33" t="s">
        <v>2719</v>
      </c>
      <c r="H5206" s="33" t="s">
        <v>2720</v>
      </c>
      <c r="I5206" s="33" t="s">
        <v>39</v>
      </c>
      <c r="J5206" s="33" t="s">
        <v>2721</v>
      </c>
      <c r="K5206" s="33" t="s">
        <v>2722</v>
      </c>
      <c r="L5206" s="33" t="s">
        <v>2723</v>
      </c>
      <c r="M5206" s="33" t="s">
        <v>21</v>
      </c>
      <c r="N5206" s="33" t="s">
        <v>2724</v>
      </c>
      <c r="O5206" s="33" t="s">
        <v>950</v>
      </c>
      <c r="P5206" s="33" t="s">
        <v>30089</v>
      </c>
      <c r="Q5206" s="40" t="str">
        <f>HYPERLINK("http://www.appeal-democrat.com/corning_observer/deputy-shoots-kills-corning-man-stabbing-father/article_800aa990-e23b-11e4-9469-435eb6fa3396.html","http://www.appeal-democrat.com/corning_observer/deputy-shoots-kills-corning-man-stabbing-father/article_800aa990-e23b-11e4-9469-435eb6fa3396.html")</f>
        <v>http://www.appeal-democrat.com/corning_observer/deputy-shoots-kills-corning-man-stabbing-father/article_800aa990-e23b-11e4-9469-435eb6fa3396.html</v>
      </c>
      <c r="R5206" s="33" t="s">
        <v>94</v>
      </c>
      <c r="S5206" s="33" t="s">
        <v>22</v>
      </c>
      <c r="T5206" s="33" t="s">
        <v>26774</v>
      </c>
      <c r="U5206" s="33" t="s">
        <v>26572</v>
      </c>
      <c r="V5206" s="33" t="s">
        <v>26573</v>
      </c>
      <c r="W5206" s="33" t="s">
        <v>94</v>
      </c>
      <c r="X5206" s="33">
        <v>335</v>
      </c>
      <c r="Z5206" s="33" t="s">
        <v>42967</v>
      </c>
      <c r="AA5206" s="33">
        <v>2460</v>
      </c>
    </row>
    <row r="5207" spans="1:27" ht="12" customHeight="1" x14ac:dyDescent="0.15">
      <c r="A5207" s="33" t="s">
        <v>2745</v>
      </c>
      <c r="B5207" s="33">
        <v>54</v>
      </c>
      <c r="C5207" s="33" t="s">
        <v>14</v>
      </c>
      <c r="D5207" s="33" t="s">
        <v>31</v>
      </c>
      <c r="E5207" s="33" t="s">
        <v>2746</v>
      </c>
      <c r="F5207" s="67">
        <v>42103</v>
      </c>
      <c r="G5207" s="33" t="s">
        <v>2747</v>
      </c>
      <c r="H5207" s="33" t="s">
        <v>2748</v>
      </c>
      <c r="I5207" s="33" t="s">
        <v>367</v>
      </c>
      <c r="J5207" s="33" t="s">
        <v>2749</v>
      </c>
      <c r="K5207" s="33" t="s">
        <v>1903</v>
      </c>
      <c r="L5207" s="33" t="s">
        <v>36929</v>
      </c>
      <c r="M5207" s="33" t="s">
        <v>4966</v>
      </c>
      <c r="N5207" s="33" t="s">
        <v>2750</v>
      </c>
      <c r="O5207" s="33" t="s">
        <v>950</v>
      </c>
      <c r="P5207" s="33" t="s">
        <v>30089</v>
      </c>
      <c r="Q5207" s="40" t="str">
        <f>HYPERLINK("http://newsok.com/oklahoma-agents-investigate-fatal-deputy-involved-shooting-in-creek-county/article/5408706","http://newsok.com/oklahoma-agents-investigate-fatal-deputy-involved-shooting-in-creek-county/article/5408706")</f>
        <v>http://newsok.com/oklahoma-agents-investigate-fatal-deputy-involved-shooting-in-creek-county/article/5408706</v>
      </c>
      <c r="R5207" s="33" t="s">
        <v>94</v>
      </c>
      <c r="S5207" s="33" t="s">
        <v>351</v>
      </c>
      <c r="T5207" s="33" t="s">
        <v>26867</v>
      </c>
      <c r="U5207" s="33" t="s">
        <v>26572</v>
      </c>
      <c r="V5207" s="33" t="s">
        <v>19228</v>
      </c>
      <c r="W5207" s="33" t="s">
        <v>94</v>
      </c>
      <c r="X5207" s="33">
        <v>534</v>
      </c>
      <c r="Z5207" s="33" t="s">
        <v>42967</v>
      </c>
      <c r="AA5207" s="33">
        <v>2458</v>
      </c>
    </row>
    <row r="5208" spans="1:27" ht="12" customHeight="1" x14ac:dyDescent="0.15">
      <c r="A5208" s="33" t="s">
        <v>2730</v>
      </c>
      <c r="B5208" s="33">
        <v>29</v>
      </c>
      <c r="C5208" s="33" t="s">
        <v>14</v>
      </c>
      <c r="D5208" s="33" t="s">
        <v>79</v>
      </c>
      <c r="E5208" s="33" t="s">
        <v>2731</v>
      </c>
      <c r="F5208" s="67">
        <v>42103</v>
      </c>
      <c r="G5208" s="33" t="s">
        <v>2732</v>
      </c>
      <c r="H5208" s="33" t="s">
        <v>2733</v>
      </c>
      <c r="I5208" s="33" t="s">
        <v>198</v>
      </c>
      <c r="J5208" s="33" t="s">
        <v>2734</v>
      </c>
      <c r="K5208" s="33" t="s">
        <v>31</v>
      </c>
      <c r="L5208" s="33" t="s">
        <v>2735</v>
      </c>
      <c r="M5208" s="33" t="s">
        <v>21</v>
      </c>
      <c r="N5208" s="33" t="s">
        <v>2736</v>
      </c>
      <c r="O5208" s="33" t="s">
        <v>950</v>
      </c>
      <c r="P5208" s="33" t="s">
        <v>30089</v>
      </c>
      <c r="Q5208" s="40" t="str">
        <f>HYPERLINK("http://www.jconline.com/story/news/2015/05/01/officers-justified-use-lethal-force/26708803/","http://www.jconline.com/story/news/2015/05/01/officers-justified-use-lethal-force/26708803/")</f>
        <v>http://www.jconline.com/story/news/2015/05/01/officers-justified-use-lethal-force/26708803/</v>
      </c>
      <c r="R5208" s="33" t="s">
        <v>94</v>
      </c>
      <c r="S5208" s="33" t="s">
        <v>22</v>
      </c>
      <c r="T5208" s="33" t="s">
        <v>26781</v>
      </c>
      <c r="U5208" s="33" t="s">
        <v>26572</v>
      </c>
      <c r="V5208" s="33" t="s">
        <v>26571</v>
      </c>
      <c r="W5208" s="33" t="s">
        <v>94</v>
      </c>
      <c r="X5208" s="33">
        <v>333</v>
      </c>
      <c r="Z5208" s="33" t="s">
        <v>42967</v>
      </c>
      <c r="AA5208" s="33">
        <v>2454</v>
      </c>
    </row>
    <row r="5209" spans="1:27" ht="12" customHeight="1" x14ac:dyDescent="0.15">
      <c r="A5209" s="33" t="s">
        <v>2737</v>
      </c>
      <c r="B5209" s="33">
        <v>22</v>
      </c>
      <c r="C5209" s="33" t="s">
        <v>14</v>
      </c>
      <c r="D5209" s="33" t="s">
        <v>31</v>
      </c>
      <c r="E5209" s="33" t="s">
        <v>2738</v>
      </c>
      <c r="F5209" s="67">
        <v>42103</v>
      </c>
      <c r="G5209" s="33" t="s">
        <v>2739</v>
      </c>
      <c r="H5209" s="33" t="s">
        <v>2740</v>
      </c>
      <c r="I5209" s="33" t="s">
        <v>56</v>
      </c>
      <c r="J5209" s="33" t="s">
        <v>2741</v>
      </c>
      <c r="K5209" s="33" t="s">
        <v>2742</v>
      </c>
      <c r="L5209" s="33" t="s">
        <v>2743</v>
      </c>
      <c r="M5209" s="33" t="s">
        <v>21</v>
      </c>
      <c r="N5209" s="33" t="s">
        <v>2744</v>
      </c>
      <c r="P5209" s="33" t="s">
        <v>30089</v>
      </c>
      <c r="Q5209" s="40" t="str">
        <f>HYPERLINK("http://www.northescambia.com/2015/04/santa-rosa-deputy-attacked-by-man-with-sword-suspect-shot-and-killed","http://www.northescambia.com/2015/04/santa-rosa-deputy-attacked-by-man-with-sword-suspect-shot-and-killed")</f>
        <v>http://www.northescambia.com/2015/04/santa-rosa-deputy-attacked-by-man-with-sword-suspect-shot-and-killed</v>
      </c>
      <c r="R5209" s="33" t="s">
        <v>23</v>
      </c>
      <c r="S5209" s="33" t="s">
        <v>22</v>
      </c>
      <c r="T5209" s="33" t="s">
        <v>28239</v>
      </c>
      <c r="U5209" s="33" t="s">
        <v>26572</v>
      </c>
      <c r="V5209" s="33" t="s">
        <v>26573</v>
      </c>
      <c r="W5209" s="33" t="s">
        <v>94</v>
      </c>
      <c r="X5209" s="33">
        <v>332</v>
      </c>
      <c r="Z5209" s="33" t="s">
        <v>42968</v>
      </c>
      <c r="AA5209" s="33">
        <v>2457</v>
      </c>
    </row>
    <row r="5210" spans="1:27" ht="12" customHeight="1" x14ac:dyDescent="0.15">
      <c r="A5210" s="33" t="s">
        <v>2725</v>
      </c>
      <c r="B5210" s="33">
        <v>31</v>
      </c>
      <c r="C5210" s="33" t="s">
        <v>14</v>
      </c>
      <c r="D5210" s="33" t="s">
        <v>31</v>
      </c>
      <c r="F5210" s="67">
        <v>42103</v>
      </c>
      <c r="G5210" s="33" t="s">
        <v>2726</v>
      </c>
      <c r="H5210" s="33" t="s">
        <v>2727</v>
      </c>
      <c r="I5210" s="33" t="s">
        <v>376</v>
      </c>
      <c r="J5210" s="33" t="s">
        <v>2728</v>
      </c>
      <c r="K5210" s="33" t="s">
        <v>1790</v>
      </c>
      <c r="L5210" s="33" t="s">
        <v>8484</v>
      </c>
      <c r="M5210" s="33" t="s">
        <v>21</v>
      </c>
      <c r="N5210" s="33" t="s">
        <v>2729</v>
      </c>
      <c r="O5210" s="33" t="s">
        <v>950</v>
      </c>
      <c r="P5210" s="33" t="s">
        <v>30089</v>
      </c>
      <c r="Q5210" s="40" t="str">
        <f>HYPERLINK("http://www.pennlive.com/midstate/index.ssf/2015/04/adams_county_prison_gunman_die.html","http://www.pennlive.com/midstate/index.ssf/2015/04/adams_county_prison_gunman_die.html")</f>
        <v>http://www.pennlive.com/midstate/index.ssf/2015/04/adams_county_prison_gunman_die.html</v>
      </c>
      <c r="R5210" s="33" t="s">
        <v>512</v>
      </c>
      <c r="S5210" s="33" t="s">
        <v>22</v>
      </c>
      <c r="T5210" s="33" t="s">
        <v>26781</v>
      </c>
      <c r="U5210" s="33" t="s">
        <v>26572</v>
      </c>
      <c r="V5210" s="33" t="s">
        <v>26573</v>
      </c>
      <c r="W5210" s="33" t="s">
        <v>94</v>
      </c>
      <c r="X5210" s="33">
        <v>340</v>
      </c>
      <c r="Z5210" s="33" t="s">
        <v>42967</v>
      </c>
      <c r="AA5210" s="33">
        <v>2455</v>
      </c>
    </row>
    <row r="5211" spans="1:27" ht="12" customHeight="1" x14ac:dyDescent="0.15">
      <c r="A5211" s="33" t="s">
        <v>2751</v>
      </c>
      <c r="B5211" s="33">
        <v>28</v>
      </c>
      <c r="C5211" s="33" t="s">
        <v>14</v>
      </c>
      <c r="D5211" s="33" t="s">
        <v>31</v>
      </c>
      <c r="E5211" s="33" t="s">
        <v>2752</v>
      </c>
      <c r="F5211" s="67">
        <v>42103</v>
      </c>
      <c r="G5211" s="33" t="s">
        <v>2753</v>
      </c>
      <c r="H5211" s="33" t="s">
        <v>2754</v>
      </c>
      <c r="I5211" s="33" t="s">
        <v>26</v>
      </c>
      <c r="J5211" s="33" t="s">
        <v>2755</v>
      </c>
      <c r="K5211" s="33" t="s">
        <v>2643</v>
      </c>
      <c r="L5211" s="33" t="s">
        <v>2756</v>
      </c>
      <c r="M5211" s="33" t="s">
        <v>21</v>
      </c>
      <c r="N5211" s="33" t="s">
        <v>2757</v>
      </c>
      <c r="O5211" s="33" t="s">
        <v>950</v>
      </c>
      <c r="P5211" s="33" t="s">
        <v>30089</v>
      </c>
      <c r="Q5211" s="40" t="str">
        <f>HYPERLINK("http://www.wyff4.com/news/family-of-man-killed-by-deputies-hires-attorney/32601896","http://www.wyff4.com/news/family-of-man-killed-by-deputies-hires-attorney/32601896")</f>
        <v>http://www.wyff4.com/news/family-of-man-killed-by-deputies-hires-attorney/32601896</v>
      </c>
      <c r="R5211" s="33" t="s">
        <v>94</v>
      </c>
      <c r="S5211" s="33" t="s">
        <v>22</v>
      </c>
      <c r="T5211" s="33" t="s">
        <v>26781</v>
      </c>
      <c r="U5211" s="33" t="s">
        <v>26572</v>
      </c>
      <c r="V5211" s="33" t="s">
        <v>26573</v>
      </c>
      <c r="W5211" s="33" t="s">
        <v>94</v>
      </c>
      <c r="X5211" s="33">
        <v>343</v>
      </c>
      <c r="Z5211" s="33" t="s">
        <v>42968</v>
      </c>
      <c r="AA5211" s="33">
        <v>2456</v>
      </c>
    </row>
    <row r="5212" spans="1:27" ht="12" customHeight="1" x14ac:dyDescent="0.15">
      <c r="A5212" s="33" t="s">
        <v>2774</v>
      </c>
      <c r="B5212" s="33">
        <v>28</v>
      </c>
      <c r="C5212" s="33" t="s">
        <v>14</v>
      </c>
      <c r="D5212" s="33" t="s">
        <v>15</v>
      </c>
      <c r="E5212" s="33" t="s">
        <v>2775</v>
      </c>
      <c r="F5212" s="67">
        <v>42102</v>
      </c>
      <c r="G5212" s="33" t="s">
        <v>2776</v>
      </c>
      <c r="H5212" s="33" t="s">
        <v>716</v>
      </c>
      <c r="I5212" s="33" t="s">
        <v>39</v>
      </c>
      <c r="J5212" s="33" t="s">
        <v>2777</v>
      </c>
      <c r="K5212" s="33" t="s">
        <v>561</v>
      </c>
      <c r="L5212" s="33" t="s">
        <v>717</v>
      </c>
      <c r="M5212" s="33" t="s">
        <v>21</v>
      </c>
      <c r="N5212" s="33" t="s">
        <v>2778</v>
      </c>
      <c r="O5212" s="33" t="s">
        <v>950</v>
      </c>
      <c r="P5212" s="33" t="s">
        <v>30089</v>
      </c>
      <c r="Q5212" s="40" t="str">
        <f>HYPERLINK("http://sanfrancisco.cbslocal.com/2015/04/14/armed-robbery-suspect-killed-by-sunnyvale-police-was-army-veteran/","http://sanfrancisco.cbslocal.com/2015/04/14/armed-robbery-suspect-killed-by-sunnyvale-police-was-army-veteran/")</f>
        <v>http://sanfrancisco.cbslocal.com/2015/04/14/armed-robbery-suspect-killed-by-sunnyvale-police-was-army-veteran/</v>
      </c>
      <c r="R5212" s="33" t="s">
        <v>512</v>
      </c>
      <c r="S5212" s="33" t="s">
        <v>22</v>
      </c>
      <c r="T5212" s="33" t="s">
        <v>26774</v>
      </c>
      <c r="U5212" s="33" t="s">
        <v>26570</v>
      </c>
      <c r="V5212" s="33" t="s">
        <v>26573</v>
      </c>
      <c r="W5212" s="33" t="s">
        <v>94</v>
      </c>
      <c r="X5212" s="33">
        <v>359</v>
      </c>
      <c r="Z5212" s="33" t="s">
        <v>42968</v>
      </c>
      <c r="AA5212" s="33">
        <v>2451</v>
      </c>
    </row>
    <row r="5213" spans="1:27" ht="12" customHeight="1" x14ac:dyDescent="0.15">
      <c r="A5213" s="33" t="s">
        <v>2769</v>
      </c>
      <c r="B5213" s="33">
        <v>57</v>
      </c>
      <c r="C5213" s="33" t="s">
        <v>14</v>
      </c>
      <c r="D5213" s="33" t="s">
        <v>24</v>
      </c>
      <c r="F5213" s="67">
        <v>42102</v>
      </c>
      <c r="G5213" s="33" t="s">
        <v>2770</v>
      </c>
      <c r="H5213" s="33" t="s">
        <v>2771</v>
      </c>
      <c r="I5213" s="33" t="s">
        <v>39</v>
      </c>
      <c r="J5213" s="33" t="s">
        <v>2772</v>
      </c>
      <c r="K5213" s="33" t="s">
        <v>632</v>
      </c>
      <c r="L5213" s="33" t="s">
        <v>693</v>
      </c>
      <c r="M5213" s="33" t="s">
        <v>363</v>
      </c>
      <c r="N5213" s="33" t="s">
        <v>2773</v>
      </c>
      <c r="O5213" s="33" t="s">
        <v>372</v>
      </c>
      <c r="P5213" s="33" t="s">
        <v>30089</v>
      </c>
      <c r="Q5213" s="40" t="str">
        <f>HYPERLINK("http://www.kerngoldenempire.com/news/top-stories/new-information-on-kcso-in-custody-death","http://www.kerngoldenempire.com/news/top-stories/new-information-on-kcso-in-custody-death")</f>
        <v>http://www.kerngoldenempire.com/news/top-stories/new-information-on-kcso-in-custody-death</v>
      </c>
      <c r="R5213" s="33" t="s">
        <v>23</v>
      </c>
      <c r="S5213" s="33" t="s">
        <v>12</v>
      </c>
      <c r="T5213" s="54" t="s">
        <v>29705</v>
      </c>
      <c r="Z5213" s="33" t="s">
        <v>42967</v>
      </c>
      <c r="AA5213" s="33">
        <v>2452</v>
      </c>
    </row>
    <row r="5214" spans="1:27" ht="12" customHeight="1" x14ac:dyDescent="0.15">
      <c r="A5214" s="33" t="s">
        <v>2779</v>
      </c>
      <c r="B5214" s="33">
        <v>60</v>
      </c>
      <c r="C5214" s="33" t="s">
        <v>14</v>
      </c>
      <c r="D5214" s="33" t="s">
        <v>31</v>
      </c>
      <c r="E5214" s="33" t="str">
        <f>HYPERLINK("http://www.ksat.com/content/pns/ksat/news/2015/04/10/man-shot--killed-by-police-id-d.html","http://www.ksat.com/content/pns/ksat/news/2015/04/10/man-shot--killed-by-police-id-d.html")</f>
        <v>http://www.ksat.com/content/pns/ksat/news/2015/04/10/man-shot--killed-by-police-id-d.html</v>
      </c>
      <c r="F5214" s="67">
        <v>42102</v>
      </c>
      <c r="G5214" s="33" t="s">
        <v>2780</v>
      </c>
      <c r="H5214" s="33" t="s">
        <v>532</v>
      </c>
      <c r="I5214" s="33" t="s">
        <v>67</v>
      </c>
      <c r="J5214" s="33" t="s">
        <v>2781</v>
      </c>
      <c r="K5214" s="33" t="s">
        <v>533</v>
      </c>
      <c r="L5214" s="33" t="s">
        <v>534</v>
      </c>
      <c r="M5214" s="33" t="s">
        <v>21</v>
      </c>
      <c r="N5214" s="33" t="s">
        <v>2782</v>
      </c>
      <c r="O5214" s="33" t="s">
        <v>950</v>
      </c>
      <c r="P5214" s="33" t="s">
        <v>30089</v>
      </c>
      <c r="Q5214" s="40" t="str">
        <f>HYPERLINK("http://www.ksat.com/content/pns/ksat/news/2015/04/10/man-shot--killed-by-police-id-d.html","http://www.ksat.com/content/pns/ksat/news/2015/04/10/man-shot--killed-by-police-id-d.html")</f>
        <v>http://www.ksat.com/content/pns/ksat/news/2015/04/10/man-shot--killed-by-police-id-d.html</v>
      </c>
      <c r="R5214" s="33" t="s">
        <v>94</v>
      </c>
      <c r="S5214" s="33" t="s">
        <v>22</v>
      </c>
      <c r="T5214" s="33" t="s">
        <v>26781</v>
      </c>
      <c r="U5214" s="33" t="s">
        <v>26572</v>
      </c>
      <c r="V5214" s="33" t="s">
        <v>26571</v>
      </c>
      <c r="W5214" s="33" t="s">
        <v>94</v>
      </c>
      <c r="X5214" s="33">
        <v>329</v>
      </c>
      <c r="Z5214" s="33" t="s">
        <v>42968</v>
      </c>
      <c r="AA5214" s="33">
        <v>2449</v>
      </c>
    </row>
    <row r="5215" spans="1:27" ht="12" customHeight="1" x14ac:dyDescent="0.15">
      <c r="A5215" s="33" t="s">
        <v>2765</v>
      </c>
      <c r="B5215" s="33">
        <v>39</v>
      </c>
      <c r="C5215" s="33" t="s">
        <v>14</v>
      </c>
      <c r="D5215" s="33" t="s">
        <v>42</v>
      </c>
      <c r="F5215" s="67">
        <v>42102</v>
      </c>
      <c r="G5215" s="33" t="s">
        <v>2766</v>
      </c>
      <c r="H5215" s="33" t="s">
        <v>92</v>
      </c>
      <c r="I5215" s="33" t="s">
        <v>39</v>
      </c>
      <c r="J5215" s="33" t="s">
        <v>2767</v>
      </c>
      <c r="K5215" s="33" t="s">
        <v>92</v>
      </c>
      <c r="L5215" s="33" t="s">
        <v>93</v>
      </c>
      <c r="M5215" s="33" t="s">
        <v>21</v>
      </c>
      <c r="N5215" s="33" t="s">
        <v>2768</v>
      </c>
      <c r="O5215" s="33" t="s">
        <v>950</v>
      </c>
      <c r="P5215" s="33" t="s">
        <v>30089</v>
      </c>
      <c r="Q5215" s="40" t="str">
        <f>HYPERLINK("http://www.latimes.com/local/lanow/la-me-ln-boyle-heights-ois-man-identified-20150410-story.html","http://www.latimes.com/local/lanow/la-me-ln-boyle-heights-ois-man-identified-20150410-story.html")</f>
        <v>http://www.latimes.com/local/lanow/la-me-ln-boyle-heights-ois-man-identified-20150410-story.html</v>
      </c>
      <c r="R5215" s="33" t="s">
        <v>94</v>
      </c>
      <c r="S5215" s="33" t="s">
        <v>22</v>
      </c>
      <c r="T5215" s="33" t="s">
        <v>26781</v>
      </c>
      <c r="U5215" s="33" t="s">
        <v>26572</v>
      </c>
      <c r="V5215" s="33" t="s">
        <v>26574</v>
      </c>
      <c r="W5215" s="33" t="s">
        <v>94</v>
      </c>
      <c r="X5215" s="33">
        <v>331</v>
      </c>
      <c r="Z5215" s="33" t="s">
        <v>42966</v>
      </c>
      <c r="AA5215" s="33">
        <v>2450</v>
      </c>
    </row>
    <row r="5216" spans="1:27" ht="12" customHeight="1" x14ac:dyDescent="0.15">
      <c r="A5216" s="33" t="s">
        <v>2758</v>
      </c>
      <c r="B5216" s="33">
        <v>42</v>
      </c>
      <c r="C5216" s="33" t="s">
        <v>14</v>
      </c>
      <c r="D5216" s="33" t="s">
        <v>79</v>
      </c>
      <c r="E5216" s="33" t="s">
        <v>2759</v>
      </c>
      <c r="F5216" s="67">
        <v>42102</v>
      </c>
      <c r="G5216" s="33" t="s">
        <v>2760</v>
      </c>
      <c r="H5216" s="33" t="s">
        <v>2761</v>
      </c>
      <c r="I5216" s="33" t="s">
        <v>160</v>
      </c>
      <c r="J5216" s="33" t="s">
        <v>2762</v>
      </c>
      <c r="K5216" s="33" t="s">
        <v>2763</v>
      </c>
      <c r="L5216" s="33" t="s">
        <v>2764</v>
      </c>
      <c r="M5216" s="33" t="s">
        <v>21</v>
      </c>
      <c r="N5216" s="33" t="s">
        <v>19211</v>
      </c>
      <c r="O5216" s="33" t="s">
        <v>950</v>
      </c>
      <c r="P5216" s="33" t="s">
        <v>30089</v>
      </c>
      <c r="Q5216" s="40" t="str">
        <f>HYPERLINK("http://www.wctv.tv/home/headlines/Police-Respond-to-Apparent-Shooting-in-Valdosta-299123481.html","http://www.wctv.tv/home/headlines/Police-Respond-to-Apparent-Shooting-in-Valdosta-299123481.html")</f>
        <v>http://www.wctv.tv/home/headlines/Police-Respond-to-Apparent-Shooting-in-Valdosta-299123481.html</v>
      </c>
      <c r="R5216" s="33" t="s">
        <v>94</v>
      </c>
      <c r="S5216" s="33" t="s">
        <v>351</v>
      </c>
      <c r="T5216" s="33" t="s">
        <v>26867</v>
      </c>
      <c r="U5216" s="33" t="s">
        <v>26572</v>
      </c>
      <c r="V5216" s="33" t="s">
        <v>26571</v>
      </c>
      <c r="W5216" s="33" t="s">
        <v>94</v>
      </c>
      <c r="X5216" s="33">
        <v>330</v>
      </c>
      <c r="Z5216" s="33" t="s">
        <v>42966</v>
      </c>
      <c r="AA5216" s="33">
        <v>2453</v>
      </c>
    </row>
    <row r="5217" spans="1:27" ht="12" customHeight="1" x14ac:dyDescent="0.15">
      <c r="A5217" s="33" t="s">
        <v>2790</v>
      </c>
      <c r="B5217" s="33">
        <v>32</v>
      </c>
      <c r="C5217" s="33" t="s">
        <v>14</v>
      </c>
      <c r="D5217" s="33" t="s">
        <v>31</v>
      </c>
      <c r="E5217" s="33" t="s">
        <v>2791</v>
      </c>
      <c r="F5217" s="67">
        <v>42101</v>
      </c>
      <c r="G5217" s="33" t="s">
        <v>2792</v>
      </c>
      <c r="H5217" s="33" t="s">
        <v>2576</v>
      </c>
      <c r="I5217" s="33" t="s">
        <v>367</v>
      </c>
      <c r="J5217" s="33" t="s">
        <v>2793</v>
      </c>
      <c r="K5217" s="33" t="s">
        <v>2794</v>
      </c>
      <c r="L5217" s="33" t="s">
        <v>2795</v>
      </c>
      <c r="M5217" s="33" t="s">
        <v>21</v>
      </c>
      <c r="N5217" s="33" t="s">
        <v>2796</v>
      </c>
      <c r="O5217" s="33" t="s">
        <v>950</v>
      </c>
      <c r="P5217" s="33" t="s">
        <v>30089</v>
      </c>
      <c r="Q5217" s="40" t="str">
        <f>HYPERLINK("http://kfor.com/2015/04/08/officer-involved-shooting-in-shawnee-leaves-one-dead/","http://kfor.com/2015/04/08/officer-involved-shooting-in-shawnee-leaves-one-dead/")</f>
        <v>http://kfor.com/2015/04/08/officer-involved-shooting-in-shawnee-leaves-one-dead/</v>
      </c>
      <c r="R5217" s="33" t="s">
        <v>23</v>
      </c>
      <c r="S5217" s="33" t="s">
        <v>22</v>
      </c>
      <c r="T5217" s="33" t="s">
        <v>26781</v>
      </c>
      <c r="U5217" s="33" t="s">
        <v>26572</v>
      </c>
      <c r="V5217" s="33" t="s">
        <v>26571</v>
      </c>
      <c r="W5217" s="33" t="s">
        <v>94</v>
      </c>
      <c r="X5217" s="33">
        <v>319</v>
      </c>
      <c r="Z5217" s="33" t="s">
        <v>42968</v>
      </c>
      <c r="AA5217" s="33">
        <v>2448</v>
      </c>
    </row>
    <row r="5218" spans="1:27" ht="12" customHeight="1" x14ac:dyDescent="0.15">
      <c r="A5218" s="33" t="s">
        <v>2818</v>
      </c>
      <c r="B5218" s="33">
        <v>23</v>
      </c>
      <c r="C5218" s="33" t="s">
        <v>14</v>
      </c>
      <c r="D5218" s="33" t="s">
        <v>31</v>
      </c>
      <c r="E5218" s="33" t="s">
        <v>2819</v>
      </c>
      <c r="F5218" s="67">
        <v>42100</v>
      </c>
      <c r="G5218" s="33" t="s">
        <v>22167</v>
      </c>
      <c r="H5218" s="33" t="s">
        <v>197</v>
      </c>
      <c r="I5218" s="33" t="s">
        <v>198</v>
      </c>
      <c r="J5218" s="33" t="s">
        <v>2820</v>
      </c>
      <c r="K5218" s="33" t="s">
        <v>392</v>
      </c>
      <c r="L5218" s="33" t="s">
        <v>199</v>
      </c>
      <c r="M5218" s="33" t="s">
        <v>21</v>
      </c>
      <c r="N5218" s="33" t="s">
        <v>2821</v>
      </c>
      <c r="O5218" s="33" t="s">
        <v>372</v>
      </c>
      <c r="P5218" s="33" t="s">
        <v>30089</v>
      </c>
      <c r="Q5218" s="40" t="str">
        <f>HYPERLINK("http://www.indystar.com/story/news/crime/2015/04/06/armed-man-shot-and-killed-by-police-on-southwestside/25348529/","http://www.indystar.com/story/news/crime/2015/04/06/armed-man-shot-and-killed-by-police-on-southwestside/25348529/")</f>
        <v>http://www.indystar.com/story/news/crime/2015/04/06/armed-man-shot-and-killed-by-police-on-southwestside/25348529/</v>
      </c>
      <c r="R5218" s="33" t="s">
        <v>512</v>
      </c>
      <c r="S5218" s="33" t="s">
        <v>22</v>
      </c>
      <c r="T5218" s="33" t="s">
        <v>26781</v>
      </c>
      <c r="U5218" s="33" t="s">
        <v>26572</v>
      </c>
      <c r="V5218" s="33" t="s">
        <v>26573</v>
      </c>
      <c r="W5218" s="33" t="s">
        <v>94</v>
      </c>
      <c r="X5218" s="33">
        <v>298</v>
      </c>
      <c r="Z5218" s="33" t="s">
        <v>42968</v>
      </c>
      <c r="AA5218" s="33">
        <v>2443</v>
      </c>
    </row>
    <row r="5219" spans="1:27" ht="12" customHeight="1" x14ac:dyDescent="0.15">
      <c r="A5219" s="33" t="s">
        <v>2783</v>
      </c>
      <c r="B5219" s="33">
        <v>31</v>
      </c>
      <c r="C5219" s="33" t="s">
        <v>14</v>
      </c>
      <c r="D5219" s="33" t="s">
        <v>31</v>
      </c>
      <c r="E5219" s="33" t="s">
        <v>2784</v>
      </c>
      <c r="F5219" s="67">
        <v>42100</v>
      </c>
      <c r="G5219" s="33" t="s">
        <v>2785</v>
      </c>
      <c r="H5219" s="33" t="s">
        <v>2786</v>
      </c>
      <c r="I5219" s="33" t="s">
        <v>735</v>
      </c>
      <c r="J5219" s="33" t="s">
        <v>2787</v>
      </c>
      <c r="K5219" s="33" t="s">
        <v>1659</v>
      </c>
      <c r="L5219" s="33" t="s">
        <v>2788</v>
      </c>
      <c r="M5219" s="33" t="s">
        <v>21</v>
      </c>
      <c r="N5219" s="33" t="s">
        <v>2789</v>
      </c>
      <c r="O5219" s="33" t="s">
        <v>950</v>
      </c>
      <c r="P5219" s="33" t="s">
        <v>30089</v>
      </c>
      <c r="Q5219" s="40" t="str">
        <f>HYPERLINK("http://www.ktvb.com/story/news/crime/2015/04/07/deputy-shoots-kills-man-rifle/25414923/","http://www.ktvb.com/story/news/crime/2015/04/07/deputy-shoots-kills-man-rifle/25414923/")</f>
        <v>http://www.ktvb.com/story/news/crime/2015/04/07/deputy-shoots-kills-man-rifle/25414923/</v>
      </c>
      <c r="R5219" s="33" t="s">
        <v>94</v>
      </c>
      <c r="S5219" s="33" t="s">
        <v>22</v>
      </c>
      <c r="T5219" s="33" t="s">
        <v>26781</v>
      </c>
      <c r="U5219" s="33" t="s">
        <v>26572</v>
      </c>
      <c r="V5219" s="33" t="s">
        <v>26571</v>
      </c>
      <c r="W5219" s="33" t="s">
        <v>94</v>
      </c>
      <c r="X5219" s="33">
        <v>322</v>
      </c>
      <c r="Z5219" s="33" t="s">
        <v>42967</v>
      </c>
      <c r="AA5219" s="33">
        <v>2445</v>
      </c>
    </row>
    <row r="5220" spans="1:27" ht="12" customHeight="1" x14ac:dyDescent="0.15">
      <c r="A5220" s="33" t="s">
        <v>2811</v>
      </c>
      <c r="B5220" s="33">
        <v>33</v>
      </c>
      <c r="C5220" s="33" t="s">
        <v>14</v>
      </c>
      <c r="D5220" s="33" t="s">
        <v>31</v>
      </c>
      <c r="E5220" s="33" t="s">
        <v>2812</v>
      </c>
      <c r="F5220" s="67">
        <v>42100</v>
      </c>
      <c r="G5220" s="33" t="s">
        <v>2813</v>
      </c>
      <c r="H5220" s="33" t="s">
        <v>2814</v>
      </c>
      <c r="I5220" s="33" t="s">
        <v>56</v>
      </c>
      <c r="J5220" s="33" t="s">
        <v>2815</v>
      </c>
      <c r="K5220" s="33" t="s">
        <v>392</v>
      </c>
      <c r="L5220" s="33" t="s">
        <v>2816</v>
      </c>
      <c r="M5220" s="33" t="s">
        <v>21</v>
      </c>
      <c r="N5220" s="33" t="s">
        <v>2817</v>
      </c>
      <c r="O5220" s="33" t="s">
        <v>372</v>
      </c>
      <c r="P5220" s="33" t="s">
        <v>30089</v>
      </c>
      <c r="Q5220" s="40" t="str">
        <f>HYPERLINK("http://www.ocala.com/article/20150429/ARTICLES/150429614","http://www.ocala.com/article/20150429/ARTICLES/150429614")</f>
        <v>http://www.ocala.com/article/20150429/ARTICLES/150429614</v>
      </c>
      <c r="R5220" s="33" t="s">
        <v>94</v>
      </c>
      <c r="S5220" s="33" t="s">
        <v>12</v>
      </c>
      <c r="T5220" s="54" t="s">
        <v>29705</v>
      </c>
      <c r="Z5220" s="33" t="s">
        <v>42967</v>
      </c>
      <c r="AA5220" s="33">
        <v>2446</v>
      </c>
    </row>
    <row r="5221" spans="1:27" ht="12" customHeight="1" x14ac:dyDescent="0.15">
      <c r="A5221" s="33" t="s">
        <v>2805</v>
      </c>
      <c r="B5221" s="33">
        <v>28</v>
      </c>
      <c r="C5221" s="33" t="s">
        <v>14</v>
      </c>
      <c r="D5221" s="33" t="s">
        <v>128</v>
      </c>
      <c r="F5221" s="67">
        <v>42100</v>
      </c>
      <c r="G5221" s="33" t="s">
        <v>2806</v>
      </c>
      <c r="H5221" s="33" t="s">
        <v>2807</v>
      </c>
      <c r="I5221" s="33" t="s">
        <v>282</v>
      </c>
      <c r="J5221" s="33" t="s">
        <v>2808</v>
      </c>
      <c r="K5221" s="33" t="s">
        <v>2809</v>
      </c>
      <c r="L5221" s="33" t="s">
        <v>17584</v>
      </c>
      <c r="M5221" s="33" t="s">
        <v>363</v>
      </c>
      <c r="N5221" s="33" t="s">
        <v>2810</v>
      </c>
      <c r="O5221" s="33" t="s">
        <v>950</v>
      </c>
      <c r="P5221" s="33" t="s">
        <v>30089</v>
      </c>
      <c r="Q5221" s="40" t="str">
        <f>HYPERLINK("http://www.seattletimes.com/seattle-news/coulee-dam-man-dies-following-taser-incident/","http://www.seattletimes.com/seattle-news/coulee-dam-man-dies-following-taser-incident/")</f>
        <v>http://www.seattletimes.com/seattle-news/coulee-dam-man-dies-following-taser-incident/</v>
      </c>
      <c r="R5221" s="33" t="s">
        <v>904</v>
      </c>
      <c r="S5221" s="33" t="s">
        <v>12</v>
      </c>
      <c r="T5221" s="54" t="s">
        <v>29705</v>
      </c>
      <c r="Z5221" s="33" t="s">
        <v>42967</v>
      </c>
      <c r="AA5221" s="33">
        <v>2447</v>
      </c>
    </row>
    <row r="5222" spans="1:27" ht="12" customHeight="1" x14ac:dyDescent="0.15">
      <c r="A5222" s="33" t="s">
        <v>2797</v>
      </c>
      <c r="B5222" s="33">
        <v>25</v>
      </c>
      <c r="C5222" s="33" t="s">
        <v>14</v>
      </c>
      <c r="D5222" s="33" t="s">
        <v>79</v>
      </c>
      <c r="E5222" s="33" t="s">
        <v>2798</v>
      </c>
      <c r="F5222" s="67">
        <v>42100</v>
      </c>
      <c r="G5222" s="33" t="s">
        <v>2799</v>
      </c>
      <c r="H5222" s="33" t="s">
        <v>2138</v>
      </c>
      <c r="I5222" s="33" t="s">
        <v>19</v>
      </c>
      <c r="J5222" s="33" t="s">
        <v>2257</v>
      </c>
      <c r="K5222" s="33" t="s">
        <v>1659</v>
      </c>
      <c r="L5222" s="33" t="s">
        <v>2258</v>
      </c>
      <c r="M5222" s="33" t="s">
        <v>21</v>
      </c>
      <c r="N5222" s="33" t="s">
        <v>36767</v>
      </c>
      <c r="O5222" s="33" t="s">
        <v>507</v>
      </c>
      <c r="P5222" s="33" t="s">
        <v>30089</v>
      </c>
      <c r="Q5222" s="40" t="str">
        <f>HYPERLINK("http://www.wdsu.com/news/local-news/new-orleans/jpso-officer-involved-in-shooting-in-harvey/32215908","http://www.wdsu.com/news/local-news/new-orleans/jpso-officer-involved-in-shooting-in-harvey/32215908")</f>
        <v>http://www.wdsu.com/news/local-news/new-orleans/jpso-officer-involved-in-shooting-in-harvey/32215908</v>
      </c>
      <c r="R5222" s="33" t="s">
        <v>23</v>
      </c>
      <c r="S5222" s="33" t="s">
        <v>22</v>
      </c>
      <c r="T5222" s="33" t="s">
        <v>26781</v>
      </c>
      <c r="U5222" s="33" t="s">
        <v>26572</v>
      </c>
      <c r="V5222" s="33" t="s">
        <v>26574</v>
      </c>
      <c r="W5222" s="33" t="s">
        <v>94</v>
      </c>
      <c r="X5222" s="33">
        <v>318</v>
      </c>
      <c r="Z5222" s="33" t="s">
        <v>42968</v>
      </c>
      <c r="AA5222" s="33">
        <v>2444</v>
      </c>
    </row>
    <row r="5223" spans="1:27" ht="12" customHeight="1" x14ac:dyDescent="0.15">
      <c r="A5223" s="33" t="s">
        <v>2822</v>
      </c>
      <c r="B5223" s="33">
        <v>51</v>
      </c>
      <c r="C5223" s="33" t="s">
        <v>14</v>
      </c>
      <c r="D5223" s="33" t="s">
        <v>31</v>
      </c>
      <c r="E5223" s="33" t="str">
        <f>HYPERLINK("http://mugshot-record-search.com/mugshot/AZ/Maricopa-County-Sheriff-Office/2015-Mar-16/8155067/Kenneth-Cockerel","http://mugshot-record-search.com/mugshot/AZ/Maricopa-County-Sheriff-Office/2015-Mar-16/8155067/Kenneth-Cockerel")</f>
        <v>http://mugshot-record-search.com/mugshot/AZ/Maricopa-County-Sheriff-Office/2015-Mar-16/8155067/Kenneth-Cockerel</v>
      </c>
      <c r="F5223" s="67">
        <v>42099</v>
      </c>
      <c r="G5223" s="33" t="s">
        <v>2823</v>
      </c>
      <c r="H5223" s="33" t="s">
        <v>584</v>
      </c>
      <c r="I5223" s="33" t="s">
        <v>112</v>
      </c>
      <c r="J5223" s="33">
        <v>85308</v>
      </c>
      <c r="K5223" s="33" t="s">
        <v>585</v>
      </c>
      <c r="L5223" s="33" t="s">
        <v>586</v>
      </c>
      <c r="M5223" s="33" t="s">
        <v>21</v>
      </c>
      <c r="N5223" s="33" t="s">
        <v>2824</v>
      </c>
      <c r="O5223" s="33" t="s">
        <v>950</v>
      </c>
      <c r="P5223" s="33" t="s">
        <v>30089</v>
      </c>
      <c r="Q5223" s="40" t="str">
        <f>HYPERLINK("http://www.abc15.com/news/region-phoenix-metro/north-phoenix/police-identify-ken-cockerel-as-man-who-stabbed-himself-then-threatened-officers-with-knives","http://www.abc15.com/news/region-phoenix-metro/north-phoenix/police-identify-ken-cockerel-as-man-who-stabbed-himself-then-threatened-officers-with-knives")</f>
        <v>http://www.abc15.com/news/region-phoenix-metro/north-phoenix/police-identify-ken-cockerel-as-man-who-stabbed-himself-then-threatened-officers-with-knives</v>
      </c>
      <c r="R5223" s="33" t="s">
        <v>512</v>
      </c>
      <c r="S5223" s="33" t="s">
        <v>22</v>
      </c>
      <c r="T5223" s="33" t="s">
        <v>26774</v>
      </c>
      <c r="U5223" s="33" t="s">
        <v>26570</v>
      </c>
      <c r="V5223" s="33" t="s">
        <v>26573</v>
      </c>
      <c r="W5223" s="33" t="s">
        <v>94</v>
      </c>
      <c r="X5223" s="33">
        <v>301</v>
      </c>
      <c r="Z5223" s="33" t="s">
        <v>42968</v>
      </c>
      <c r="AA5223" s="33">
        <v>2442</v>
      </c>
    </row>
    <row r="5224" spans="1:27" ht="12" customHeight="1" x14ac:dyDescent="0.15">
      <c r="A5224" s="33" t="s">
        <v>2800</v>
      </c>
      <c r="B5224" s="33">
        <v>56</v>
      </c>
      <c r="C5224" s="33" t="s">
        <v>14</v>
      </c>
      <c r="D5224" s="33" t="s">
        <v>31</v>
      </c>
      <c r="F5224" s="67">
        <v>42099</v>
      </c>
      <c r="G5224" s="33" t="s">
        <v>2801</v>
      </c>
      <c r="H5224" s="33" t="s">
        <v>2802</v>
      </c>
      <c r="I5224" s="33" t="s">
        <v>39</v>
      </c>
      <c r="J5224" s="33">
        <v>93561</v>
      </c>
      <c r="K5224" s="33" t="s">
        <v>632</v>
      </c>
      <c r="L5224" s="33" t="s">
        <v>2803</v>
      </c>
      <c r="M5224" s="33" t="s">
        <v>21</v>
      </c>
      <c r="N5224" s="33" t="s">
        <v>2804</v>
      </c>
      <c r="O5224" s="33" t="s">
        <v>2426</v>
      </c>
      <c r="P5224" s="33" t="s">
        <v>30089</v>
      </c>
      <c r="Q5224" s="40" t="str">
        <f>HYPERLINK("http://www.turnto23.com/news/local-news/suspect-dies-after-officer-involved-shooting-in-tehachapi-040615","http://www.turnto23.com/news/local-news/suspect-dies-after-officer-involved-shooting-in-tehachapi-040615")</f>
        <v>http://www.turnto23.com/news/local-news/suspect-dies-after-officer-involved-shooting-in-tehachapi-040615</v>
      </c>
      <c r="R5224" s="33" t="s">
        <v>23</v>
      </c>
      <c r="S5224" s="33" t="s">
        <v>22</v>
      </c>
      <c r="T5224" s="33" t="s">
        <v>26781</v>
      </c>
      <c r="U5224" s="33" t="s">
        <v>26572</v>
      </c>
      <c r="V5224" s="33" t="s">
        <v>26573</v>
      </c>
      <c r="W5224" s="33" t="s">
        <v>94</v>
      </c>
      <c r="X5224" s="33">
        <v>304</v>
      </c>
      <c r="Z5224" s="33" t="s">
        <v>42967</v>
      </c>
      <c r="AA5224" s="33">
        <v>2441</v>
      </c>
    </row>
    <row r="5225" spans="1:27" ht="12" customHeight="1" x14ac:dyDescent="0.15">
      <c r="A5225" s="33" t="s">
        <v>2825</v>
      </c>
      <c r="B5225" s="33">
        <v>31</v>
      </c>
      <c r="C5225" s="33" t="s">
        <v>14</v>
      </c>
      <c r="D5225" s="33" t="s">
        <v>79</v>
      </c>
      <c r="E5225" s="33" t="s">
        <v>2826</v>
      </c>
      <c r="F5225" s="67">
        <v>42098</v>
      </c>
      <c r="G5225" s="33" t="s">
        <v>2827</v>
      </c>
      <c r="H5225" s="33" t="s">
        <v>1751</v>
      </c>
      <c r="I5225" s="33" t="s">
        <v>39</v>
      </c>
      <c r="J5225" s="33">
        <v>92865</v>
      </c>
      <c r="K5225" s="33" t="s">
        <v>2828</v>
      </c>
      <c r="L5225" s="33" t="s">
        <v>1753</v>
      </c>
      <c r="M5225" s="33" t="s">
        <v>21</v>
      </c>
      <c r="N5225" s="33" t="s">
        <v>2829</v>
      </c>
      <c r="O5225" s="33" t="s">
        <v>950</v>
      </c>
      <c r="P5225" s="33" t="s">
        <v>30089</v>
      </c>
      <c r="Q5225" s="40" t="str">
        <f>HYPERLINK("http://ktla.com/2015/04/05/armed-man-is-fatally-shot-by-anaheim-police-1-day-after-posting-bail/","http://ktla.com/2015/04/05/armed-man-is-fatally-shot-by-anaheim-police-1-day-after-posting-bail/")</f>
        <v>http://ktla.com/2015/04/05/armed-man-is-fatally-shot-by-anaheim-police-1-day-after-posting-bail/</v>
      </c>
      <c r="R5225" s="33" t="s">
        <v>23</v>
      </c>
      <c r="S5225" s="33" t="s">
        <v>22</v>
      </c>
      <c r="T5225" s="33" t="s">
        <v>26781</v>
      </c>
      <c r="U5225" s="33" t="s">
        <v>26572</v>
      </c>
      <c r="V5225" s="33" t="s">
        <v>26573</v>
      </c>
      <c r="W5225" s="33" t="s">
        <v>512</v>
      </c>
      <c r="X5225" s="33">
        <v>300</v>
      </c>
      <c r="Z5225" s="33" t="s">
        <v>42968</v>
      </c>
      <c r="AA5225" s="33">
        <v>2437</v>
      </c>
    </row>
    <row r="5226" spans="1:27" ht="12" customHeight="1" x14ac:dyDescent="0.15">
      <c r="A5226" s="33" t="s">
        <v>2830</v>
      </c>
      <c r="B5226" s="33">
        <v>17</v>
      </c>
      <c r="C5226" s="33" t="s">
        <v>14</v>
      </c>
      <c r="D5226" s="33" t="s">
        <v>79</v>
      </c>
      <c r="E5226" s="33" t="s">
        <v>2831</v>
      </c>
      <c r="F5226" s="67">
        <v>42098</v>
      </c>
      <c r="G5226" s="33" t="s">
        <v>2832</v>
      </c>
      <c r="H5226" s="33" t="s">
        <v>2833</v>
      </c>
      <c r="I5226" s="33" t="s">
        <v>38</v>
      </c>
      <c r="J5226" s="33">
        <v>60099</v>
      </c>
      <c r="K5226" s="33" t="s">
        <v>1179</v>
      </c>
      <c r="L5226" s="33" t="s">
        <v>2834</v>
      </c>
      <c r="M5226" s="33" t="s">
        <v>21</v>
      </c>
      <c r="N5226" s="33" t="s">
        <v>2835</v>
      </c>
      <c r="O5226" s="33" t="s">
        <v>507</v>
      </c>
      <c r="P5226" s="33" t="s">
        <v>30089</v>
      </c>
      <c r="Q5226" s="40" t="str">
        <f>HYPERLINK("http://www.huffingtonpost.com/2015/04/29/justus-howell_n_7172814.html","http://www.huffingtonpost.com/2015/04/29/justus-howell_n_7172814.html")</f>
        <v>http://www.huffingtonpost.com/2015/04/29/justus-howell_n_7172814.html</v>
      </c>
      <c r="R5226" s="33" t="s">
        <v>23</v>
      </c>
      <c r="S5226" s="33" t="s">
        <v>22</v>
      </c>
      <c r="T5226" s="33" t="s">
        <v>26781</v>
      </c>
      <c r="U5226" s="33" t="s">
        <v>26572</v>
      </c>
      <c r="V5226" s="33" t="s">
        <v>26574</v>
      </c>
      <c r="W5226" s="33" t="s">
        <v>94</v>
      </c>
      <c r="X5226" s="33">
        <v>296</v>
      </c>
      <c r="Z5226" s="33" t="s">
        <v>42968</v>
      </c>
      <c r="AA5226" s="33">
        <v>2436</v>
      </c>
    </row>
    <row r="5227" spans="1:27" ht="12" customHeight="1" x14ac:dyDescent="0.15">
      <c r="A5227" s="33" t="s">
        <v>2843</v>
      </c>
      <c r="B5227" s="33">
        <v>34</v>
      </c>
      <c r="C5227" s="33" t="s">
        <v>14</v>
      </c>
      <c r="D5227" s="33" t="s">
        <v>31</v>
      </c>
      <c r="E5227" s="33" t="s">
        <v>2844</v>
      </c>
      <c r="F5227" s="67">
        <v>42098</v>
      </c>
      <c r="G5227" s="33" t="s">
        <v>2845</v>
      </c>
      <c r="H5227" s="33" t="s">
        <v>2846</v>
      </c>
      <c r="I5227" s="33" t="s">
        <v>178</v>
      </c>
      <c r="J5227" s="33">
        <v>87015</v>
      </c>
      <c r="K5227" s="33" t="s">
        <v>580</v>
      </c>
      <c r="L5227" s="33" t="s">
        <v>2847</v>
      </c>
      <c r="M5227" s="33" t="s">
        <v>21</v>
      </c>
      <c r="N5227" s="33" t="s">
        <v>2848</v>
      </c>
      <c r="O5227" s="33" t="s">
        <v>950</v>
      </c>
      <c r="P5227" s="33" t="s">
        <v>30089</v>
      </c>
      <c r="Q5227" s="40" t="str">
        <f>HYPERLINK("http://www.koat.com/news/state-police-officers-fatally-shoot-east-mountains-man/32197688","http://www.koat.com/news/state-police-officers-fatally-shoot-east-mountains-man/32197688")</f>
        <v>http://www.koat.com/news/state-police-officers-fatally-shoot-east-mountains-man/32197688</v>
      </c>
      <c r="R5227" s="33" t="s">
        <v>512</v>
      </c>
      <c r="S5227" s="33" t="s">
        <v>22</v>
      </c>
      <c r="T5227" s="33" t="s">
        <v>26781</v>
      </c>
      <c r="U5227" s="33" t="s">
        <v>26572</v>
      </c>
      <c r="V5227" s="33" t="s">
        <v>26571</v>
      </c>
      <c r="W5227" s="33" t="s">
        <v>94</v>
      </c>
      <c r="X5227" s="33">
        <v>302</v>
      </c>
      <c r="Z5227" s="33" t="s">
        <v>42967</v>
      </c>
      <c r="AA5227" s="33">
        <v>2438</v>
      </c>
    </row>
    <row r="5228" spans="1:27" ht="12" customHeight="1" x14ac:dyDescent="0.15">
      <c r="A5228" s="33" t="s">
        <v>2849</v>
      </c>
      <c r="B5228" s="33">
        <v>33</v>
      </c>
      <c r="C5228" s="33" t="s">
        <v>14</v>
      </c>
      <c r="D5228" s="33" t="s">
        <v>31</v>
      </c>
      <c r="E5228" s="33" t="s">
        <v>2850</v>
      </c>
      <c r="F5228" s="67">
        <v>42098</v>
      </c>
      <c r="G5228" s="33" t="s">
        <v>2851</v>
      </c>
      <c r="H5228" s="33" t="s">
        <v>2852</v>
      </c>
      <c r="I5228" s="33" t="s">
        <v>367</v>
      </c>
      <c r="J5228" s="33">
        <v>74469</v>
      </c>
      <c r="K5228" s="33" t="s">
        <v>2853</v>
      </c>
      <c r="L5228" s="33" t="s">
        <v>2854</v>
      </c>
      <c r="M5228" s="33" t="s">
        <v>363</v>
      </c>
      <c r="N5228" s="33" t="s">
        <v>2855</v>
      </c>
      <c r="O5228" s="33" t="s">
        <v>950</v>
      </c>
      <c r="P5228" s="33" t="s">
        <v>30089</v>
      </c>
      <c r="Q5228" s="40" t="str">
        <f>HYPERLINK("http://www.newson6.com/story/28722322/sheriff-man-who-died-after-being-tasered-broke-warner-officers-eye-bone-first","http://www.newson6.com/story/28722322/sheriff-man-who-died-after-being-tasered-broke-warner-officers-eye-bone-first")</f>
        <v>http://www.newson6.com/story/28722322/sheriff-man-who-died-after-being-tasered-broke-warner-officers-eye-bone-first</v>
      </c>
      <c r="R5228" s="33" t="s">
        <v>94</v>
      </c>
      <c r="S5228" s="33" t="s">
        <v>12</v>
      </c>
      <c r="T5228" s="54" t="s">
        <v>29705</v>
      </c>
      <c r="Z5228" s="33" t="s">
        <v>42967</v>
      </c>
      <c r="AA5228" s="33">
        <v>2440</v>
      </c>
    </row>
    <row r="5229" spans="1:27" ht="12" customHeight="1" x14ac:dyDescent="0.15">
      <c r="A5229" s="33" t="s">
        <v>2836</v>
      </c>
      <c r="B5229" s="33">
        <v>50</v>
      </c>
      <c r="C5229" s="33" t="s">
        <v>14</v>
      </c>
      <c r="D5229" s="33" t="s">
        <v>79</v>
      </c>
      <c r="E5229" s="33" t="s">
        <v>2837</v>
      </c>
      <c r="F5229" s="67">
        <v>42098</v>
      </c>
      <c r="G5229" s="33" t="s">
        <v>2838</v>
      </c>
      <c r="H5229" s="33" t="s">
        <v>2839</v>
      </c>
      <c r="I5229" s="33" t="s">
        <v>26</v>
      </c>
      <c r="J5229" s="33" t="s">
        <v>2840</v>
      </c>
      <c r="K5229" s="33" t="s">
        <v>2064</v>
      </c>
      <c r="L5229" s="33" t="s">
        <v>2087</v>
      </c>
      <c r="M5229" s="33" t="s">
        <v>4966</v>
      </c>
      <c r="N5229" s="33" t="s">
        <v>2841</v>
      </c>
      <c r="O5229" s="33" t="s">
        <v>26735</v>
      </c>
      <c r="P5229" s="33" t="s">
        <v>27781</v>
      </c>
      <c r="Q5229" s="40" t="s">
        <v>2842</v>
      </c>
      <c r="R5229" s="33" t="s">
        <v>94</v>
      </c>
      <c r="S5229" s="33" t="s">
        <v>12</v>
      </c>
      <c r="T5229" s="33" t="s">
        <v>29705</v>
      </c>
      <c r="U5229" s="33" t="s">
        <v>26570</v>
      </c>
      <c r="V5229" s="33" t="s">
        <v>26574</v>
      </c>
      <c r="W5229" s="33" t="s">
        <v>94</v>
      </c>
      <c r="X5229" s="33">
        <v>297</v>
      </c>
      <c r="Z5229" s="33" t="s">
        <v>42966</v>
      </c>
      <c r="AA5229" s="33">
        <v>2439</v>
      </c>
    </row>
    <row r="5230" spans="1:27" ht="12" customHeight="1" x14ac:dyDescent="0.15">
      <c r="A5230" s="33" t="s">
        <v>2861</v>
      </c>
      <c r="B5230" s="33">
        <v>38</v>
      </c>
      <c r="C5230" s="33" t="s">
        <v>14</v>
      </c>
      <c r="D5230" s="33" t="s">
        <v>31</v>
      </c>
      <c r="E5230" s="33" t="s">
        <v>2862</v>
      </c>
      <c r="F5230" s="67">
        <v>42097</v>
      </c>
      <c r="G5230" s="33" t="s">
        <v>2863</v>
      </c>
      <c r="H5230" s="33" t="s">
        <v>2864</v>
      </c>
      <c r="I5230" s="33" t="s">
        <v>225</v>
      </c>
      <c r="J5230" s="33">
        <v>22603</v>
      </c>
      <c r="K5230" s="33" t="s">
        <v>2865</v>
      </c>
      <c r="L5230" s="33" t="s">
        <v>2866</v>
      </c>
      <c r="M5230" s="33" t="s">
        <v>21</v>
      </c>
      <c r="N5230" s="33" t="s">
        <v>36768</v>
      </c>
      <c r="O5230" s="33" t="s">
        <v>950</v>
      </c>
      <c r="P5230" s="33" t="s">
        <v>30089</v>
      </c>
      <c r="Q5230" s="40" t="str">
        <f>HYPERLINK("http://www.winchesterstar.com/article/040615br","http://www.winchesterstar.com/article/040615br")</f>
        <v>http://www.winchesterstar.com/article/040615br</v>
      </c>
      <c r="R5230" s="33" t="s">
        <v>94</v>
      </c>
      <c r="S5230" s="33" t="s">
        <v>22</v>
      </c>
      <c r="T5230" s="33" t="s">
        <v>26774</v>
      </c>
      <c r="U5230" s="33" t="s">
        <v>26570</v>
      </c>
      <c r="V5230" s="33" t="s">
        <v>26573</v>
      </c>
      <c r="W5230" s="33" t="s">
        <v>512</v>
      </c>
      <c r="X5230" s="33">
        <v>299</v>
      </c>
      <c r="Z5230" s="33" t="s">
        <v>42967</v>
      </c>
      <c r="AA5230" s="33">
        <v>2435</v>
      </c>
    </row>
    <row r="5231" spans="1:27" ht="12" customHeight="1" x14ac:dyDescent="0.15">
      <c r="A5231" s="33" t="s">
        <v>2856</v>
      </c>
      <c r="B5231" s="33">
        <v>32</v>
      </c>
      <c r="C5231" s="33" t="s">
        <v>14</v>
      </c>
      <c r="D5231" s="33" t="s">
        <v>79</v>
      </c>
      <c r="E5231" s="33" t="str">
        <f>HYPERLINK("http://www.killedbypolice.net/victims/150297.jpg","http://www.killedbypolice.net/victims/150297.jpg")</f>
        <v>http://www.killedbypolice.net/victims/150297.jpg</v>
      </c>
      <c r="F5231" s="67">
        <v>42096</v>
      </c>
      <c r="G5231" s="33" t="s">
        <v>2857</v>
      </c>
      <c r="H5231" s="33" t="s">
        <v>2858</v>
      </c>
      <c r="I5231" s="33" t="s">
        <v>38</v>
      </c>
      <c r="J5231" s="33">
        <v>61201</v>
      </c>
      <c r="K5231" s="33" t="s">
        <v>2858</v>
      </c>
      <c r="L5231" s="33" t="s">
        <v>2859</v>
      </c>
      <c r="M5231" s="33" t="s">
        <v>21</v>
      </c>
      <c r="N5231" s="33" t="s">
        <v>2860</v>
      </c>
      <c r="O5231" s="33" t="s">
        <v>950</v>
      </c>
      <c r="P5231" s="33" t="s">
        <v>30089</v>
      </c>
      <c r="Q5231" s="40" t="str">
        <f>HYPERLINK("http://kwqc.com/2015/04/03/r-i-county-coroner-identifies-man-killed-in-officer-involved-shooting/","http://kwqc.com/2015/04/03/r-i-county-coroner-identifies-man-killed-in-officer-involved-shooting/")</f>
        <v>http://kwqc.com/2015/04/03/r-i-county-coroner-identifies-man-killed-in-officer-involved-shooting/</v>
      </c>
      <c r="R5231" s="33" t="s">
        <v>94</v>
      </c>
      <c r="S5231" s="33" t="s">
        <v>22</v>
      </c>
      <c r="T5231" s="33" t="s">
        <v>26781</v>
      </c>
      <c r="U5231" s="33" t="s">
        <v>26572</v>
      </c>
      <c r="V5231" s="33" t="s">
        <v>26574</v>
      </c>
      <c r="W5231" s="33" t="s">
        <v>94</v>
      </c>
      <c r="X5231" s="33">
        <v>286</v>
      </c>
      <c r="Z5231" s="33" t="s">
        <v>42968</v>
      </c>
      <c r="AA5231" s="33">
        <v>2430</v>
      </c>
    </row>
    <row r="5232" spans="1:27" ht="12" customHeight="1" x14ac:dyDescent="0.15">
      <c r="A5232" s="33" t="s">
        <v>2873</v>
      </c>
      <c r="B5232" s="33">
        <v>44</v>
      </c>
      <c r="C5232" s="33" t="s">
        <v>14</v>
      </c>
      <c r="D5232" s="33" t="s">
        <v>79</v>
      </c>
      <c r="E5232" s="33" t="s">
        <v>2874</v>
      </c>
      <c r="F5232" s="67">
        <v>42096</v>
      </c>
      <c r="G5232" s="33" t="s">
        <v>22169</v>
      </c>
      <c r="H5232" s="33" t="s">
        <v>2307</v>
      </c>
      <c r="I5232" s="33" t="s">
        <v>367</v>
      </c>
      <c r="J5232" s="33" t="s">
        <v>2308</v>
      </c>
      <c r="K5232" s="33" t="s">
        <v>2307</v>
      </c>
      <c r="L5232" s="33" t="s">
        <v>2875</v>
      </c>
      <c r="M5232" s="33" t="s">
        <v>21</v>
      </c>
      <c r="N5232" s="33" t="s">
        <v>2876</v>
      </c>
      <c r="O5232" s="33" t="s">
        <v>27779</v>
      </c>
      <c r="P5232" s="33" t="s">
        <v>22638</v>
      </c>
      <c r="Q5232" s="40" t="str">
        <f>HYPERLINK("http://www.inquisitr.com/2003038/oklahoma-shooting-videos-reveal-eric-courtney-harris-last-moments-alive/","http://www.inquisitr.com/2003038/oklahoma-shooting-videos-reveal-eric-courtney-harris-last-moments-alive/")</f>
        <v>http://www.inquisitr.com/2003038/oklahoma-shooting-videos-reveal-eric-courtney-harris-last-moments-alive/</v>
      </c>
      <c r="R5232" s="33" t="s">
        <v>94</v>
      </c>
      <c r="S5232" s="33" t="s">
        <v>12</v>
      </c>
      <c r="T5232" s="33" t="s">
        <v>29705</v>
      </c>
      <c r="U5232" s="33" t="s">
        <v>26570</v>
      </c>
      <c r="V5232" s="33" t="s">
        <v>26573</v>
      </c>
      <c r="W5232" s="33" t="s">
        <v>94</v>
      </c>
      <c r="X5232" s="33">
        <v>291</v>
      </c>
      <c r="Z5232" s="33" t="s">
        <v>42966</v>
      </c>
      <c r="AA5232" s="33">
        <v>2433</v>
      </c>
    </row>
    <row r="5233" spans="1:27" ht="12" customHeight="1" x14ac:dyDescent="0.15">
      <c r="A5233" s="33" t="s">
        <v>2877</v>
      </c>
      <c r="B5233" s="33">
        <v>63</v>
      </c>
      <c r="C5233" s="33" t="s">
        <v>14</v>
      </c>
      <c r="D5233" s="33" t="s">
        <v>31</v>
      </c>
      <c r="F5233" s="67">
        <v>42096</v>
      </c>
      <c r="G5233" s="33" t="s">
        <v>2878</v>
      </c>
      <c r="H5233" s="33" t="s">
        <v>2879</v>
      </c>
      <c r="I5233" s="33" t="s">
        <v>38</v>
      </c>
      <c r="J5233" s="33" t="s">
        <v>2880</v>
      </c>
      <c r="K5233" s="33" t="s">
        <v>2881</v>
      </c>
      <c r="L5233" s="33" t="s">
        <v>2882</v>
      </c>
      <c r="M5233" s="33" t="s">
        <v>4966</v>
      </c>
      <c r="N5233" s="33" t="s">
        <v>2883</v>
      </c>
      <c r="O5233" s="33" t="s">
        <v>950</v>
      </c>
      <c r="P5233" s="33" t="s">
        <v>30089</v>
      </c>
      <c r="Q5233" s="40" t="str">
        <f>HYPERLINK("http://www.kfvs12.com/story/28708976/man-identified-following-officer-involved-shooting-in-metropolis","http://www.kfvs12.com/story/28708976/man-identified-following-officer-involved-shooting-in-metropolis")</f>
        <v>http://www.kfvs12.com/story/28708976/man-identified-following-officer-involved-shooting-in-metropolis</v>
      </c>
      <c r="R5233" s="33" t="s">
        <v>512</v>
      </c>
      <c r="S5233" s="33" t="s">
        <v>22</v>
      </c>
      <c r="T5233" s="33" t="s">
        <v>26781</v>
      </c>
      <c r="U5233" s="33" t="s">
        <v>26572</v>
      </c>
      <c r="V5233" s="33" t="s">
        <v>26573</v>
      </c>
      <c r="W5233" s="33" t="s">
        <v>94</v>
      </c>
      <c r="X5233" s="33">
        <v>288</v>
      </c>
      <c r="Z5233" s="33" t="s">
        <v>42967</v>
      </c>
      <c r="AA5233" s="33">
        <v>2432</v>
      </c>
    </row>
    <row r="5234" spans="1:27" ht="12" customHeight="1" x14ac:dyDescent="0.15">
      <c r="A5234" s="33" t="s">
        <v>2884</v>
      </c>
      <c r="B5234" s="33">
        <v>27</v>
      </c>
      <c r="C5234" s="33" t="s">
        <v>14</v>
      </c>
      <c r="D5234" s="33" t="s">
        <v>31</v>
      </c>
      <c r="E5234" s="33" t="s">
        <v>2885</v>
      </c>
      <c r="F5234" s="67">
        <v>42096</v>
      </c>
      <c r="G5234" s="33" t="s">
        <v>22168</v>
      </c>
      <c r="H5234" s="33" t="s">
        <v>2886</v>
      </c>
      <c r="I5234" s="33" t="s">
        <v>19</v>
      </c>
      <c r="J5234" s="33" t="s">
        <v>2887</v>
      </c>
      <c r="K5234" s="33" t="s">
        <v>2888</v>
      </c>
      <c r="L5234" s="33" t="s">
        <v>2889</v>
      </c>
      <c r="M5234" s="33" t="s">
        <v>21</v>
      </c>
      <c r="N5234" s="33" t="s">
        <v>2890</v>
      </c>
      <c r="O5234" s="33" t="s">
        <v>372</v>
      </c>
      <c r="P5234" s="33" t="s">
        <v>30089</v>
      </c>
      <c r="Q5234" s="40" t="str">
        <f>HYPERLINK("http://www.thetowntalk.com/story/news/local/2015/04/04/pineville-man-killed-deputy-idd-la-guardsman/25296693/","http://www.thetowntalk.com/story/news/local/2015/04/04/pineville-man-killed-deputy-idd-la-guardsman/25296693/")</f>
        <v>http://www.thetowntalk.com/story/news/local/2015/04/04/pineville-man-killed-deputy-idd-la-guardsman/25296693/</v>
      </c>
      <c r="R5234" s="33" t="s">
        <v>512</v>
      </c>
      <c r="S5234" s="33" t="s">
        <v>22</v>
      </c>
      <c r="T5234" s="33" t="s">
        <v>26781</v>
      </c>
      <c r="U5234" s="33" t="s">
        <v>26572</v>
      </c>
      <c r="V5234" s="33" t="s">
        <v>26573</v>
      </c>
      <c r="W5234" s="33" t="s">
        <v>94</v>
      </c>
      <c r="X5234" s="33">
        <v>303</v>
      </c>
      <c r="Z5234" s="33" t="s">
        <v>42967</v>
      </c>
      <c r="AA5234" s="33">
        <v>2431</v>
      </c>
    </row>
    <row r="5235" spans="1:27" ht="12" customHeight="1" x14ac:dyDescent="0.15">
      <c r="A5235" s="33" t="s">
        <v>2867</v>
      </c>
      <c r="B5235" s="33">
        <v>39</v>
      </c>
      <c r="C5235" s="33" t="s">
        <v>14</v>
      </c>
      <c r="D5235" s="33" t="s">
        <v>79</v>
      </c>
      <c r="E5235" s="33" t="s">
        <v>2868</v>
      </c>
      <c r="F5235" s="67">
        <v>42096</v>
      </c>
      <c r="G5235" s="33" t="s">
        <v>2869</v>
      </c>
      <c r="H5235" s="33" t="s">
        <v>2870</v>
      </c>
      <c r="I5235" s="33" t="s">
        <v>395</v>
      </c>
      <c r="J5235" s="33">
        <v>12210</v>
      </c>
      <c r="K5235" s="33" t="s">
        <v>2870</v>
      </c>
      <c r="L5235" s="33" t="s">
        <v>2871</v>
      </c>
      <c r="M5235" s="33" t="s">
        <v>363</v>
      </c>
      <c r="N5235" s="33" t="s">
        <v>2872</v>
      </c>
      <c r="O5235" s="33" t="s">
        <v>2426</v>
      </c>
      <c r="P5235" s="33" t="s">
        <v>30089</v>
      </c>
      <c r="Q5235" s="40" t="str">
        <f>HYPERLINK("http://www.timesunion.com/news/article/Taser-victim-Dontay-Ivy-to-be-laid-to-rest-6187858.php","http://www.timesunion.com/news/article/Taser-victim-Dontay-Ivy-to-be-laid-to-rest-6187858.php")</f>
        <v>http://www.timesunion.com/news/article/Taser-victim-Dontay-Ivy-to-be-laid-to-rest-6187858.php</v>
      </c>
      <c r="R5235" s="33" t="s">
        <v>512</v>
      </c>
      <c r="S5235" s="33" t="s">
        <v>12</v>
      </c>
      <c r="T5235" s="54" t="s">
        <v>29705</v>
      </c>
      <c r="Z5235" s="33" t="s">
        <v>42966</v>
      </c>
      <c r="AA5235" s="33">
        <v>2434</v>
      </c>
    </row>
    <row r="5236" spans="1:27" ht="12" customHeight="1" x14ac:dyDescent="0.15">
      <c r="A5236" s="33" t="s">
        <v>2891</v>
      </c>
      <c r="B5236" s="33">
        <v>37</v>
      </c>
      <c r="C5236" s="33" t="s">
        <v>14</v>
      </c>
      <c r="D5236" s="33" t="s">
        <v>79</v>
      </c>
      <c r="E5236" s="33" t="str">
        <f>HYPERLINK("http://www.killedbypolice.net/victims/150292.jpg","http://www.killedbypolice.net/victims/150292.jpg")</f>
        <v>http://www.killedbypolice.net/victims/150292.jpg</v>
      </c>
      <c r="F5236" s="67">
        <v>42095</v>
      </c>
      <c r="G5236" s="33" t="s">
        <v>2892</v>
      </c>
      <c r="H5236" s="33" t="s">
        <v>2893</v>
      </c>
      <c r="I5236" s="33" t="s">
        <v>39</v>
      </c>
      <c r="J5236" s="33">
        <v>90250</v>
      </c>
      <c r="K5236" s="33" t="s">
        <v>92</v>
      </c>
      <c r="L5236" s="33" t="s">
        <v>2894</v>
      </c>
      <c r="M5236" s="33" t="s">
        <v>21</v>
      </c>
      <c r="N5236" s="33" t="s">
        <v>2895</v>
      </c>
      <c r="O5236" s="33" t="s">
        <v>950</v>
      </c>
      <c r="P5236" s="33" t="s">
        <v>30089</v>
      </c>
      <c r="Q5236" s="40" t="str">
        <f>HYPERLINK("http://www.nbclosangeles.com/news/local/Fatal-Shooting-May-Have-Started-Over-Laugh-298532211.html","http://www.nbclosangeles.com/news/local/Fatal-Shooting-May-Have-Started-Over-Laugh-298532211.html")</f>
        <v>http://www.nbclosangeles.com/news/local/Fatal-Shooting-May-Have-Started-Over-Laugh-298532211.html</v>
      </c>
      <c r="R5236" s="33" t="s">
        <v>94</v>
      </c>
      <c r="S5236" s="33" t="s">
        <v>22</v>
      </c>
      <c r="T5236" s="33" t="s">
        <v>26781</v>
      </c>
      <c r="U5236" s="33" t="s">
        <v>26572</v>
      </c>
      <c r="V5236" s="33" t="s">
        <v>26573</v>
      </c>
      <c r="W5236" s="33" t="s">
        <v>94</v>
      </c>
      <c r="X5236" s="33">
        <v>267</v>
      </c>
      <c r="Z5236" s="33" t="s">
        <v>42966</v>
      </c>
      <c r="AA5236" s="33">
        <v>2428</v>
      </c>
    </row>
    <row r="5237" spans="1:27" ht="12" customHeight="1" x14ac:dyDescent="0.15">
      <c r="A5237" s="33" t="s">
        <v>2670</v>
      </c>
      <c r="B5237" s="33">
        <v>36</v>
      </c>
      <c r="C5237" s="33" t="s">
        <v>14</v>
      </c>
      <c r="D5237" s="33" t="s">
        <v>31</v>
      </c>
      <c r="E5237" s="33" t="s">
        <v>2671</v>
      </c>
      <c r="F5237" s="67">
        <v>42095</v>
      </c>
      <c r="G5237" s="33" t="s">
        <v>2672</v>
      </c>
      <c r="H5237" s="33" t="s">
        <v>2673</v>
      </c>
      <c r="I5237" s="33" t="s">
        <v>75</v>
      </c>
      <c r="J5237" s="33" t="s">
        <v>2674</v>
      </c>
      <c r="K5237" s="33" t="s">
        <v>2675</v>
      </c>
      <c r="L5237" s="33" t="s">
        <v>2676</v>
      </c>
      <c r="M5237" s="33" t="s">
        <v>21</v>
      </c>
      <c r="N5237" s="33" t="s">
        <v>2677</v>
      </c>
      <c r="O5237" s="33" t="s">
        <v>2678</v>
      </c>
      <c r="P5237" s="33" t="s">
        <v>30089</v>
      </c>
      <c r="Q5237" s="40" t="str">
        <f>HYPERLINK("http://www.nj.com/mercer/index.ssf/2015/04/man_shot_by_hamilton_police_in_stabbing_incident_d.html","http://www.nj.com/mercer/index.ssf/2015/04/man_shot_by_hamilton_police_in_stabbing_incident_d.html")</f>
        <v>http://www.nj.com/mercer/index.ssf/2015/04/man_shot_by_hamilton_police_in_stabbing_incident_d.html</v>
      </c>
      <c r="R5237" s="33" t="s">
        <v>94</v>
      </c>
      <c r="S5237" s="33" t="s">
        <v>22</v>
      </c>
      <c r="T5237" s="33" t="s">
        <v>26774</v>
      </c>
      <c r="U5237" s="33" t="s">
        <v>26572</v>
      </c>
      <c r="V5237" s="33" t="s">
        <v>26573</v>
      </c>
      <c r="W5237" s="33" t="s">
        <v>94</v>
      </c>
      <c r="X5237" s="33">
        <v>533</v>
      </c>
      <c r="Z5237" s="33" t="s">
        <v>42968</v>
      </c>
      <c r="AA5237" s="33">
        <v>2429</v>
      </c>
    </row>
    <row r="5238" spans="1:27" ht="12" customHeight="1" x14ac:dyDescent="0.15">
      <c r="A5238" s="33" t="s">
        <v>2932</v>
      </c>
      <c r="B5238" s="33">
        <v>27</v>
      </c>
      <c r="C5238" s="33" t="s">
        <v>20419</v>
      </c>
      <c r="D5238" s="33" t="s">
        <v>79</v>
      </c>
      <c r="E5238" s="33" t="s">
        <v>2933</v>
      </c>
      <c r="F5238" s="67">
        <v>42094</v>
      </c>
      <c r="G5238" s="33" t="s">
        <v>2934</v>
      </c>
      <c r="H5238" s="33" t="s">
        <v>2935</v>
      </c>
      <c r="I5238" s="33" t="s">
        <v>46</v>
      </c>
      <c r="J5238" s="33" t="s">
        <v>2936</v>
      </c>
      <c r="K5238" s="33" t="s">
        <v>2937</v>
      </c>
      <c r="L5238" s="33" t="s">
        <v>2938</v>
      </c>
      <c r="M5238" s="33" t="s">
        <v>21</v>
      </c>
      <c r="N5238" s="33" t="s">
        <v>2939</v>
      </c>
      <c r="O5238" s="33" t="s">
        <v>372</v>
      </c>
      <c r="P5238" s="33" t="s">
        <v>30089</v>
      </c>
      <c r="Q5238" s="40" t="s">
        <v>2940</v>
      </c>
      <c r="R5238" s="33" t="s">
        <v>23</v>
      </c>
      <c r="S5238" s="33" t="s">
        <v>351</v>
      </c>
      <c r="T5238" s="33" t="s">
        <v>26867</v>
      </c>
      <c r="U5238" s="33" t="s">
        <v>26570</v>
      </c>
      <c r="V5238" s="33" t="s">
        <v>26571</v>
      </c>
      <c r="W5238" s="33" t="s">
        <v>94</v>
      </c>
      <c r="X5238" s="33">
        <v>263</v>
      </c>
      <c r="Z5238" s="33" t="s">
        <v>42968</v>
      </c>
      <c r="AA5238" s="33">
        <v>2427</v>
      </c>
    </row>
    <row r="5239" spans="1:27" ht="12" customHeight="1" x14ac:dyDescent="0.15">
      <c r="A5239" s="33" t="s">
        <v>2896</v>
      </c>
      <c r="B5239" s="33">
        <v>31</v>
      </c>
      <c r="C5239" s="33" t="s">
        <v>14</v>
      </c>
      <c r="D5239" s="33" t="s">
        <v>79</v>
      </c>
      <c r="E5239" s="33" t="s">
        <v>2897</v>
      </c>
      <c r="F5239" s="67">
        <v>42094</v>
      </c>
      <c r="G5239" s="33" t="s">
        <v>2898</v>
      </c>
      <c r="H5239" s="33" t="s">
        <v>1888</v>
      </c>
      <c r="I5239" s="33" t="s">
        <v>298</v>
      </c>
      <c r="J5239" s="33" t="s">
        <v>2899</v>
      </c>
      <c r="K5239" s="33" t="s">
        <v>823</v>
      </c>
      <c r="L5239" s="33" t="s">
        <v>824</v>
      </c>
      <c r="M5239" s="33" t="s">
        <v>21</v>
      </c>
      <c r="N5239" s="33" t="s">
        <v>2900</v>
      </c>
      <c r="O5239" s="33" t="s">
        <v>372</v>
      </c>
      <c r="P5239" s="33" t="s">
        <v>30089</v>
      </c>
      <c r="Q5239" s="40" t="s">
        <v>2901</v>
      </c>
      <c r="R5239" s="33" t="s">
        <v>23</v>
      </c>
      <c r="S5239" s="33" t="s">
        <v>351</v>
      </c>
      <c r="T5239" s="1" t="s">
        <v>26867</v>
      </c>
      <c r="Z5239" s="33" t="s">
        <v>42966</v>
      </c>
      <c r="AA5239" s="33">
        <v>2426</v>
      </c>
    </row>
    <row r="5240" spans="1:27" ht="12" customHeight="1" x14ac:dyDescent="0.15">
      <c r="A5240" s="33" t="s">
        <v>2918</v>
      </c>
      <c r="B5240" s="33">
        <v>36</v>
      </c>
      <c r="C5240" s="33" t="s">
        <v>14</v>
      </c>
      <c r="D5240" s="33" t="s">
        <v>31</v>
      </c>
      <c r="E5240" s="33" t="s">
        <v>2919</v>
      </c>
      <c r="F5240" s="67">
        <v>42094</v>
      </c>
      <c r="G5240" s="33" t="s">
        <v>2920</v>
      </c>
      <c r="H5240" s="33" t="s">
        <v>1463</v>
      </c>
      <c r="I5240" s="33" t="s">
        <v>56</v>
      </c>
      <c r="J5240" s="33" t="s">
        <v>2921</v>
      </c>
      <c r="K5240" s="33" t="s">
        <v>590</v>
      </c>
      <c r="L5240" s="33" t="s">
        <v>2922</v>
      </c>
      <c r="M5240" s="33" t="s">
        <v>21</v>
      </c>
      <c r="N5240" s="33" t="s">
        <v>2923</v>
      </c>
      <c r="O5240" s="33" t="s">
        <v>950</v>
      </c>
      <c r="P5240" s="33" t="s">
        <v>30089</v>
      </c>
      <c r="Q5240" s="40" t="s">
        <v>2924</v>
      </c>
      <c r="R5240" s="33" t="s">
        <v>94</v>
      </c>
      <c r="S5240" s="33" t="s">
        <v>22</v>
      </c>
      <c r="T5240" s="33" t="s">
        <v>26781</v>
      </c>
      <c r="U5240" s="33" t="s">
        <v>26572</v>
      </c>
      <c r="V5240" s="33" t="s">
        <v>26573</v>
      </c>
      <c r="W5240" s="33" t="s">
        <v>94</v>
      </c>
      <c r="X5240" s="33">
        <v>259</v>
      </c>
      <c r="Z5240" s="33" t="s">
        <v>42968</v>
      </c>
      <c r="AA5240" s="33">
        <v>2423</v>
      </c>
    </row>
    <row r="5241" spans="1:27" ht="12" customHeight="1" x14ac:dyDescent="0.15">
      <c r="A5241" s="33" t="s">
        <v>2912</v>
      </c>
      <c r="B5241" s="33">
        <v>21</v>
      </c>
      <c r="C5241" s="33" t="s">
        <v>14</v>
      </c>
      <c r="D5241" s="33" t="s">
        <v>42</v>
      </c>
      <c r="E5241" s="33" t="s">
        <v>2913</v>
      </c>
      <c r="F5241" s="67">
        <v>42094</v>
      </c>
      <c r="G5241" s="33" t="s">
        <v>2914</v>
      </c>
      <c r="H5241" s="33" t="s">
        <v>2915</v>
      </c>
      <c r="I5241" s="33" t="s">
        <v>67</v>
      </c>
      <c r="J5241" s="33">
        <v>77520</v>
      </c>
      <c r="K5241" s="33" t="s">
        <v>515</v>
      </c>
      <c r="L5241" s="33" t="s">
        <v>2916</v>
      </c>
      <c r="M5241" s="33" t="s">
        <v>21</v>
      </c>
      <c r="N5241" s="33" t="s">
        <v>2917</v>
      </c>
      <c r="P5241" s="33" t="s">
        <v>30089</v>
      </c>
      <c r="Q5241" s="40" t="str">
        <f>HYPERLINK("http://www.click2houston.com/news/pd-man-with-pellet-gun-shot-dead-by-baytown-police-officer/32108156","http://www.click2houston.com/news/pd-man-with-pellet-gun-shot-dead-by-baytown-police-officer/32108156")</f>
        <v>http://www.click2houston.com/news/pd-man-with-pellet-gun-shot-dead-by-baytown-police-officer/32108156</v>
      </c>
      <c r="R5241" s="33" t="s">
        <v>23</v>
      </c>
      <c r="S5241" s="33" t="s">
        <v>12</v>
      </c>
      <c r="T5241" s="33" t="s">
        <v>29425</v>
      </c>
      <c r="U5241" s="33" t="s">
        <v>26572</v>
      </c>
      <c r="V5241" s="33" t="s">
        <v>26573</v>
      </c>
      <c r="W5241" s="33" t="s">
        <v>94</v>
      </c>
      <c r="X5241" s="33">
        <v>261</v>
      </c>
      <c r="Z5241" s="33" t="s">
        <v>42968</v>
      </c>
      <c r="AA5241" s="33">
        <v>2424</v>
      </c>
    </row>
    <row r="5242" spans="1:27" ht="12" customHeight="1" x14ac:dyDescent="0.15">
      <c r="A5242" s="33" t="s">
        <v>2902</v>
      </c>
      <c r="B5242" s="33">
        <v>32</v>
      </c>
      <c r="C5242" s="33" t="s">
        <v>14</v>
      </c>
      <c r="D5242" s="33" t="s">
        <v>79</v>
      </c>
      <c r="E5242" s="33" t="s">
        <v>2903</v>
      </c>
      <c r="F5242" s="67">
        <v>42094</v>
      </c>
      <c r="G5242" s="33" t="s">
        <v>2904</v>
      </c>
      <c r="H5242" s="33" t="s">
        <v>2905</v>
      </c>
      <c r="I5242" s="33" t="s">
        <v>75</v>
      </c>
      <c r="J5242" s="33" t="s">
        <v>2906</v>
      </c>
      <c r="K5242" s="33" t="s">
        <v>2907</v>
      </c>
      <c r="L5242" s="33" t="s">
        <v>2908</v>
      </c>
      <c r="M5242" s="33" t="s">
        <v>2909</v>
      </c>
      <c r="N5242" s="33" t="s">
        <v>2910</v>
      </c>
      <c r="O5242" s="33" t="s">
        <v>372</v>
      </c>
      <c r="P5242" s="33" t="s">
        <v>30089</v>
      </c>
      <c r="Q5242" s="40" t="s">
        <v>2911</v>
      </c>
      <c r="R5242" s="33" t="s">
        <v>23</v>
      </c>
      <c r="S5242" s="33" t="s">
        <v>12</v>
      </c>
      <c r="T5242" s="54" t="s">
        <v>29705</v>
      </c>
      <c r="Z5242" s="33" t="s">
        <v>42968</v>
      </c>
      <c r="AA5242" s="33">
        <v>2425</v>
      </c>
    </row>
    <row r="5243" spans="1:27" ht="12" customHeight="1" x14ac:dyDescent="0.15">
      <c r="A5243" s="33" t="s">
        <v>2941</v>
      </c>
      <c r="B5243" s="33">
        <v>49</v>
      </c>
      <c r="C5243" s="33" t="s">
        <v>14</v>
      </c>
      <c r="D5243" s="33" t="s">
        <v>31</v>
      </c>
      <c r="E5243" s="33" t="s">
        <v>2942</v>
      </c>
      <c r="F5243" s="67">
        <v>42093</v>
      </c>
      <c r="G5243" s="33" t="s">
        <v>2943</v>
      </c>
      <c r="H5243" s="33" t="s">
        <v>2944</v>
      </c>
      <c r="I5243" s="33" t="s">
        <v>106</v>
      </c>
      <c r="J5243" s="33" t="s">
        <v>2945</v>
      </c>
      <c r="K5243" s="33" t="s">
        <v>2946</v>
      </c>
      <c r="L5243" s="33" t="s">
        <v>2947</v>
      </c>
      <c r="M5243" s="33" t="s">
        <v>21</v>
      </c>
      <c r="N5243" s="33" t="s">
        <v>2948</v>
      </c>
      <c r="O5243" s="33" t="s">
        <v>372</v>
      </c>
      <c r="P5243" s="33" t="s">
        <v>30089</v>
      </c>
      <c r="Q5243" s="40" t="s">
        <v>2949</v>
      </c>
      <c r="R5243" s="33" t="s">
        <v>512</v>
      </c>
      <c r="S5243" s="33" t="s">
        <v>22</v>
      </c>
      <c r="T5243" s="33" t="s">
        <v>26781</v>
      </c>
      <c r="U5243" s="33" t="s">
        <v>26572</v>
      </c>
      <c r="V5243" s="33" t="s">
        <v>26573</v>
      </c>
      <c r="W5243" s="33" t="s">
        <v>94</v>
      </c>
      <c r="X5243" s="33">
        <v>262</v>
      </c>
      <c r="Z5243" s="33" t="s">
        <v>42968</v>
      </c>
      <c r="AA5243" s="33">
        <v>2421</v>
      </c>
    </row>
    <row r="5244" spans="1:27" ht="12" customHeight="1" x14ac:dyDescent="0.15">
      <c r="A5244" s="33" t="s">
        <v>2925</v>
      </c>
      <c r="B5244" s="33">
        <v>30</v>
      </c>
      <c r="C5244" s="33" t="s">
        <v>14</v>
      </c>
      <c r="D5244" s="33" t="s">
        <v>79</v>
      </c>
      <c r="E5244" s="33" t="s">
        <v>2926</v>
      </c>
      <c r="F5244" s="67">
        <v>42093</v>
      </c>
      <c r="G5244" s="33" t="s">
        <v>2927</v>
      </c>
      <c r="H5244" s="33" t="s">
        <v>2928</v>
      </c>
      <c r="I5244" s="33" t="s">
        <v>225</v>
      </c>
      <c r="J5244" s="33">
        <v>22701</v>
      </c>
      <c r="K5244" s="33" t="s">
        <v>2928</v>
      </c>
      <c r="L5244" s="33" t="s">
        <v>2929</v>
      </c>
      <c r="M5244" s="33" t="s">
        <v>363</v>
      </c>
      <c r="N5244" s="33" t="s">
        <v>2930</v>
      </c>
      <c r="P5244" s="33" t="s">
        <v>30089</v>
      </c>
      <c r="Q5244" s="40" t="s">
        <v>2931</v>
      </c>
      <c r="R5244" s="33" t="s">
        <v>23</v>
      </c>
      <c r="S5244" s="33" t="s">
        <v>22</v>
      </c>
      <c r="T5244" s="33" t="s">
        <v>26774</v>
      </c>
      <c r="Z5244" s="33" t="s">
        <v>42967</v>
      </c>
      <c r="AA5244" s="33">
        <v>2422</v>
      </c>
    </row>
    <row r="5245" spans="1:27" ht="12" customHeight="1" x14ac:dyDescent="0.15">
      <c r="A5245" s="33" t="s">
        <v>2958</v>
      </c>
      <c r="B5245" s="33">
        <v>54</v>
      </c>
      <c r="C5245" s="33" t="s">
        <v>14</v>
      </c>
      <c r="D5245" s="33" t="s">
        <v>31</v>
      </c>
      <c r="F5245" s="67">
        <v>42093</v>
      </c>
      <c r="G5245" s="33" t="s">
        <v>2959</v>
      </c>
      <c r="H5245" s="33" t="s">
        <v>2960</v>
      </c>
      <c r="I5245" s="33" t="s">
        <v>250</v>
      </c>
      <c r="J5245" s="33" t="s">
        <v>2961</v>
      </c>
      <c r="K5245" s="33" t="s">
        <v>527</v>
      </c>
      <c r="L5245" s="33" t="s">
        <v>2962</v>
      </c>
      <c r="M5245" s="33" t="s">
        <v>21</v>
      </c>
      <c r="N5245" s="33" t="s">
        <v>2963</v>
      </c>
      <c r="O5245" s="33" t="s">
        <v>372</v>
      </c>
      <c r="P5245" s="33" t="s">
        <v>30089</v>
      </c>
      <c r="Q5245" s="40" t="s">
        <v>2964</v>
      </c>
      <c r="R5245" s="33" t="s">
        <v>23</v>
      </c>
      <c r="S5245" s="33" t="s">
        <v>22</v>
      </c>
      <c r="T5245" s="33" t="s">
        <v>26781</v>
      </c>
      <c r="U5245" s="33" t="s">
        <v>26572</v>
      </c>
      <c r="V5245" s="33" t="s">
        <v>26573</v>
      </c>
      <c r="W5245" s="33" t="s">
        <v>94</v>
      </c>
      <c r="X5245" s="33">
        <v>244</v>
      </c>
      <c r="Z5245" s="33" t="s">
        <v>42967</v>
      </c>
      <c r="AA5245" s="33">
        <v>2420</v>
      </c>
    </row>
    <row r="5246" spans="1:27" ht="12" customHeight="1" x14ac:dyDescent="0.15">
      <c r="A5246" s="33" t="s">
        <v>2970</v>
      </c>
      <c r="B5246" s="33">
        <v>26</v>
      </c>
      <c r="C5246" s="33" t="s">
        <v>14</v>
      </c>
      <c r="D5246" s="33" t="s">
        <v>31</v>
      </c>
      <c r="F5246" s="67">
        <v>42092</v>
      </c>
      <c r="G5246" s="33" t="s">
        <v>2971</v>
      </c>
      <c r="H5246" s="33" t="s">
        <v>2972</v>
      </c>
      <c r="I5246" s="33" t="s">
        <v>63</v>
      </c>
      <c r="J5246" s="33">
        <v>45660</v>
      </c>
      <c r="K5246" s="33" t="s">
        <v>2973</v>
      </c>
      <c r="L5246" s="33" t="s">
        <v>2974</v>
      </c>
      <c r="M5246" s="33" t="s">
        <v>21</v>
      </c>
      <c r="N5246" s="33" t="s">
        <v>2975</v>
      </c>
      <c r="O5246" s="33" t="s">
        <v>18576</v>
      </c>
      <c r="P5246" s="33" t="s">
        <v>18576</v>
      </c>
      <c r="Q5246" s="40" t="str">
        <f>HYPERLINK("http://www.10tv.com/content/stories/2015/03/29/pike-county-ohio--officer-involved-shooting-leaves-one-dead.html","http://www.10tv.com/content/stories/2015/03/29/pike-county-ohio--officer-involved-shooting-leaves-one-dead.html")</f>
        <v>http://www.10tv.com/content/stories/2015/03/29/pike-county-ohio--officer-involved-shooting-leaves-one-dead.html</v>
      </c>
      <c r="R5246" s="33" t="s">
        <v>94</v>
      </c>
      <c r="S5246" s="33" t="s">
        <v>351</v>
      </c>
      <c r="T5246" s="33" t="s">
        <v>26867</v>
      </c>
      <c r="U5246" s="33" t="s">
        <v>26572</v>
      </c>
      <c r="V5246" s="33" t="s">
        <v>26571</v>
      </c>
      <c r="W5246" s="33" t="s">
        <v>94</v>
      </c>
      <c r="X5246" s="33">
        <v>264</v>
      </c>
      <c r="Z5246" s="33" t="s">
        <v>42967</v>
      </c>
      <c r="AA5246" s="33">
        <v>2419</v>
      </c>
    </row>
    <row r="5247" spans="1:27" ht="12" customHeight="1" x14ac:dyDescent="0.15">
      <c r="A5247" s="33" t="s">
        <v>2950</v>
      </c>
      <c r="B5247" s="33">
        <v>29</v>
      </c>
      <c r="C5247" s="33" t="s">
        <v>14</v>
      </c>
      <c r="D5247" s="33" t="s">
        <v>79</v>
      </c>
      <c r="F5247" s="67">
        <v>42092</v>
      </c>
      <c r="G5247" s="33" t="s">
        <v>2951</v>
      </c>
      <c r="H5247" s="33" t="s">
        <v>2952</v>
      </c>
      <c r="I5247" s="33" t="s">
        <v>39</v>
      </c>
      <c r="J5247" s="33" t="s">
        <v>2953</v>
      </c>
      <c r="K5247" s="33" t="s">
        <v>2954</v>
      </c>
      <c r="L5247" s="33" t="s">
        <v>2955</v>
      </c>
      <c r="M5247" s="33" t="s">
        <v>21</v>
      </c>
      <c r="N5247" s="33" t="s">
        <v>2956</v>
      </c>
      <c r="O5247" s="33" t="s">
        <v>372</v>
      </c>
      <c r="P5247" s="33" t="s">
        <v>30089</v>
      </c>
      <c r="Q5247" s="40" t="s">
        <v>2957</v>
      </c>
      <c r="R5247" s="33" t="s">
        <v>23</v>
      </c>
      <c r="S5247" s="33" t="s">
        <v>12</v>
      </c>
      <c r="T5247" s="33" t="s">
        <v>29425</v>
      </c>
      <c r="Y5247" s="33" t="s">
        <v>42476</v>
      </c>
      <c r="Z5247" s="33" t="s">
        <v>42968</v>
      </c>
      <c r="AA5247" s="33">
        <v>2418</v>
      </c>
    </row>
    <row r="5248" spans="1:27" ht="12" customHeight="1" x14ac:dyDescent="0.15">
      <c r="A5248" s="33" t="s">
        <v>2965</v>
      </c>
      <c r="B5248" s="33">
        <v>29</v>
      </c>
      <c r="C5248" s="33" t="s">
        <v>14</v>
      </c>
      <c r="D5248" s="33" t="s">
        <v>79</v>
      </c>
      <c r="E5248" s="33" t="s">
        <v>19146</v>
      </c>
      <c r="F5248" s="67">
        <v>42092</v>
      </c>
      <c r="G5248" s="33" t="s">
        <v>2966</v>
      </c>
      <c r="H5248" s="33" t="s">
        <v>1315</v>
      </c>
      <c r="I5248" s="33" t="s">
        <v>294</v>
      </c>
      <c r="J5248" s="33" t="s">
        <v>2967</v>
      </c>
      <c r="K5248" s="33" t="s">
        <v>1316</v>
      </c>
      <c r="L5248" s="33" t="s">
        <v>2968</v>
      </c>
      <c r="M5248" s="33" t="s">
        <v>21</v>
      </c>
      <c r="N5248" s="33" t="s">
        <v>19145</v>
      </c>
      <c r="O5248" s="33" t="s">
        <v>950</v>
      </c>
      <c r="P5248" s="33" t="s">
        <v>30089</v>
      </c>
      <c r="Q5248" s="40" t="s">
        <v>2969</v>
      </c>
      <c r="R5248" s="33" t="s">
        <v>94</v>
      </c>
      <c r="S5248" s="33" t="s">
        <v>22</v>
      </c>
      <c r="T5248" s="33" t="s">
        <v>26781</v>
      </c>
      <c r="U5248" s="33" t="s">
        <v>26572</v>
      </c>
      <c r="V5248" s="33" t="s">
        <v>26573</v>
      </c>
      <c r="W5248" s="33" t="s">
        <v>94</v>
      </c>
      <c r="X5248" s="33">
        <v>252</v>
      </c>
      <c r="Z5248" s="33" t="s">
        <v>42966</v>
      </c>
      <c r="AA5248" s="33">
        <v>2417</v>
      </c>
    </row>
    <row r="5249" spans="1:27" ht="12" customHeight="1" x14ac:dyDescent="0.15">
      <c r="A5249" s="33" t="s">
        <v>2976</v>
      </c>
      <c r="B5249" s="33">
        <v>41</v>
      </c>
      <c r="C5249" s="33" t="s">
        <v>14</v>
      </c>
      <c r="D5249" s="33" t="s">
        <v>79</v>
      </c>
      <c r="E5249" s="33" t="s">
        <v>2977</v>
      </c>
      <c r="F5249" s="67">
        <v>42090</v>
      </c>
      <c r="G5249" s="33" t="s">
        <v>2978</v>
      </c>
      <c r="H5249" s="33" t="s">
        <v>1586</v>
      </c>
      <c r="I5249" s="33" t="s">
        <v>40</v>
      </c>
      <c r="J5249" s="33" t="s">
        <v>2979</v>
      </c>
      <c r="K5249" s="33" t="s">
        <v>1588</v>
      </c>
      <c r="L5249" s="33" t="s">
        <v>2980</v>
      </c>
      <c r="M5249" s="33" t="s">
        <v>21</v>
      </c>
      <c r="N5249" s="33" t="s">
        <v>2981</v>
      </c>
      <c r="O5249" s="33" t="s">
        <v>372</v>
      </c>
      <c r="P5249" s="33" t="s">
        <v>30089</v>
      </c>
      <c r="Q5249" s="40" t="s">
        <v>2977</v>
      </c>
      <c r="R5249" s="33" t="s">
        <v>23</v>
      </c>
      <c r="S5249" s="33" t="s">
        <v>22</v>
      </c>
      <c r="T5249" s="33" t="s">
        <v>26781</v>
      </c>
      <c r="U5249" s="33" t="s">
        <v>26572</v>
      </c>
      <c r="V5249" s="33" t="s">
        <v>26573</v>
      </c>
      <c r="W5249" s="33" t="s">
        <v>94</v>
      </c>
      <c r="X5249" s="33">
        <v>254</v>
      </c>
      <c r="Z5249" s="33" t="s">
        <v>42966</v>
      </c>
      <c r="AA5249" s="33">
        <v>2410</v>
      </c>
    </row>
    <row r="5250" spans="1:27" ht="12" customHeight="1" x14ac:dyDescent="0.15">
      <c r="A5250" s="33" t="s">
        <v>19144</v>
      </c>
      <c r="B5250" s="33">
        <v>56</v>
      </c>
      <c r="C5250" s="33" t="s">
        <v>14</v>
      </c>
      <c r="D5250" s="33" t="s">
        <v>31</v>
      </c>
      <c r="F5250" s="67">
        <v>42090</v>
      </c>
      <c r="G5250" s="33" t="s">
        <v>3003</v>
      </c>
      <c r="H5250" s="33" t="s">
        <v>3004</v>
      </c>
      <c r="I5250" s="33" t="s">
        <v>39</v>
      </c>
      <c r="J5250" s="33" t="s">
        <v>3005</v>
      </c>
      <c r="K5250" s="33" t="s">
        <v>143</v>
      </c>
      <c r="L5250" s="33" t="s">
        <v>3006</v>
      </c>
      <c r="M5250" s="33" t="s">
        <v>21</v>
      </c>
      <c r="N5250" s="33" t="s">
        <v>3007</v>
      </c>
      <c r="O5250" s="33" t="s">
        <v>372</v>
      </c>
      <c r="P5250" s="33" t="s">
        <v>30089</v>
      </c>
      <c r="Q5250" s="40" t="s">
        <v>3008</v>
      </c>
      <c r="R5250" s="33" t="s">
        <v>512</v>
      </c>
      <c r="S5250" s="33" t="s">
        <v>22</v>
      </c>
      <c r="T5250" s="33" t="s">
        <v>26781</v>
      </c>
      <c r="U5250" s="33" t="s">
        <v>26572</v>
      </c>
      <c r="V5250" s="33" t="s">
        <v>26573</v>
      </c>
      <c r="W5250" s="33" t="s">
        <v>94</v>
      </c>
      <c r="X5250" s="33">
        <v>256</v>
      </c>
      <c r="Z5250" s="33" t="s">
        <v>42968</v>
      </c>
      <c r="AA5250" s="33">
        <v>2412</v>
      </c>
    </row>
    <row r="5251" spans="1:27" ht="12" customHeight="1" x14ac:dyDescent="0.15">
      <c r="A5251" s="33" t="s">
        <v>3016</v>
      </c>
      <c r="B5251" s="33">
        <v>42</v>
      </c>
      <c r="C5251" s="33" t="s">
        <v>14</v>
      </c>
      <c r="D5251" s="33" t="s">
        <v>31</v>
      </c>
      <c r="F5251" s="67">
        <v>42090</v>
      </c>
      <c r="G5251" s="33" t="s">
        <v>3017</v>
      </c>
      <c r="H5251" s="33" t="s">
        <v>3018</v>
      </c>
      <c r="I5251" s="33" t="s">
        <v>139</v>
      </c>
      <c r="J5251" s="33" t="s">
        <v>3019</v>
      </c>
      <c r="K5251" s="33" t="s">
        <v>799</v>
      </c>
      <c r="L5251" s="33" t="s">
        <v>15594</v>
      </c>
      <c r="M5251" s="33" t="s">
        <v>21</v>
      </c>
      <c r="N5251" s="33" t="s">
        <v>3020</v>
      </c>
      <c r="O5251" s="33" t="s">
        <v>507</v>
      </c>
      <c r="P5251" s="33" t="s">
        <v>30089</v>
      </c>
      <c r="Q5251" s="40" t="s">
        <v>3021</v>
      </c>
      <c r="R5251" s="33" t="s">
        <v>23</v>
      </c>
      <c r="S5251" s="33" t="s">
        <v>22</v>
      </c>
      <c r="T5251" s="33" t="s">
        <v>26781</v>
      </c>
      <c r="U5251" s="33" t="s">
        <v>26572</v>
      </c>
      <c r="V5251" s="33" t="s">
        <v>26571</v>
      </c>
      <c r="W5251" s="33" t="s">
        <v>94</v>
      </c>
      <c r="X5251" s="33">
        <v>251</v>
      </c>
      <c r="Z5251" s="33" t="s">
        <v>42967</v>
      </c>
      <c r="AA5251" s="33">
        <v>2409</v>
      </c>
    </row>
    <row r="5252" spans="1:27" ht="12" customHeight="1" x14ac:dyDescent="0.15">
      <c r="A5252" s="33" t="s">
        <v>3831</v>
      </c>
      <c r="B5252" s="33">
        <v>77</v>
      </c>
      <c r="C5252" s="33" t="s">
        <v>14</v>
      </c>
      <c r="D5252" s="33" t="s">
        <v>79</v>
      </c>
      <c r="F5252" s="67">
        <v>42090</v>
      </c>
      <c r="G5252" s="33" t="s">
        <v>3832</v>
      </c>
      <c r="H5252" s="33" t="s">
        <v>3809</v>
      </c>
      <c r="I5252" s="33" t="s">
        <v>88</v>
      </c>
      <c r="J5252" s="33">
        <v>35206</v>
      </c>
      <c r="K5252" s="33" t="s">
        <v>1659</v>
      </c>
      <c r="L5252" s="33" t="s">
        <v>3834</v>
      </c>
      <c r="M5252" s="33" t="s">
        <v>21</v>
      </c>
      <c r="N5252" s="33" t="s">
        <v>3835</v>
      </c>
      <c r="O5252" s="33" t="s">
        <v>372</v>
      </c>
      <c r="P5252" s="33" t="s">
        <v>30089</v>
      </c>
      <c r="Q5252" s="40" t="s">
        <v>3836</v>
      </c>
      <c r="R5252" s="33" t="s">
        <v>512</v>
      </c>
      <c r="S5252" s="33" t="s">
        <v>22</v>
      </c>
      <c r="T5252" s="33" t="s">
        <v>26781</v>
      </c>
      <c r="U5252" s="33" t="s">
        <v>26572</v>
      </c>
      <c r="V5252" s="33" t="s">
        <v>26573</v>
      </c>
      <c r="W5252" s="33" t="s">
        <v>94</v>
      </c>
      <c r="X5252" s="33">
        <v>255</v>
      </c>
      <c r="Z5252" s="33" t="s">
        <v>42966</v>
      </c>
      <c r="AA5252" s="33">
        <v>2411</v>
      </c>
    </row>
    <row r="5253" spans="1:27" ht="12" customHeight="1" x14ac:dyDescent="0.15">
      <c r="A5253" s="33" t="s">
        <v>3009</v>
      </c>
      <c r="B5253" s="33">
        <v>40</v>
      </c>
      <c r="C5253" s="33" t="s">
        <v>14</v>
      </c>
      <c r="D5253" s="33" t="s">
        <v>31</v>
      </c>
      <c r="F5253" s="67">
        <v>42090</v>
      </c>
      <c r="G5253" s="33" t="s">
        <v>3010</v>
      </c>
      <c r="H5253" s="33" t="s">
        <v>3011</v>
      </c>
      <c r="I5253" s="33" t="s">
        <v>40</v>
      </c>
      <c r="J5253" s="33" t="s">
        <v>3012</v>
      </c>
      <c r="K5253" s="33" t="s">
        <v>890</v>
      </c>
      <c r="L5253" s="33" t="s">
        <v>3013</v>
      </c>
      <c r="M5253" s="33" t="s">
        <v>21</v>
      </c>
      <c r="N5253" s="33" t="s">
        <v>3014</v>
      </c>
      <c r="O5253" s="33" t="s">
        <v>372</v>
      </c>
      <c r="P5253" s="33" t="s">
        <v>30089</v>
      </c>
      <c r="Q5253" s="40" t="s">
        <v>3015</v>
      </c>
      <c r="R5253" s="33" t="s">
        <v>23</v>
      </c>
      <c r="S5253" s="33" t="s">
        <v>22</v>
      </c>
      <c r="T5253" s="33" t="s">
        <v>26781</v>
      </c>
      <c r="U5253" s="33" t="s">
        <v>26572</v>
      </c>
      <c r="V5253" s="33" t="s">
        <v>26574</v>
      </c>
      <c r="W5253" s="33" t="s">
        <v>94</v>
      </c>
      <c r="X5253" s="33">
        <v>316</v>
      </c>
      <c r="Z5253" s="33" t="s">
        <v>42968</v>
      </c>
      <c r="AA5253" s="33">
        <v>2413</v>
      </c>
    </row>
    <row r="5254" spans="1:27" ht="12" customHeight="1" x14ac:dyDescent="0.15">
      <c r="A5254" s="33" t="s">
        <v>2997</v>
      </c>
      <c r="B5254" s="33">
        <v>23</v>
      </c>
      <c r="C5254" s="33" t="s">
        <v>14</v>
      </c>
      <c r="D5254" s="33" t="s">
        <v>42</v>
      </c>
      <c r="E5254" s="33" t="s">
        <v>2998</v>
      </c>
      <c r="F5254" s="67">
        <v>42090</v>
      </c>
      <c r="G5254" s="33" t="s">
        <v>2999</v>
      </c>
      <c r="H5254" s="33" t="s">
        <v>631</v>
      </c>
      <c r="I5254" s="33" t="s">
        <v>39</v>
      </c>
      <c r="J5254" s="33" t="s">
        <v>3000</v>
      </c>
      <c r="K5254" s="33" t="s">
        <v>632</v>
      </c>
      <c r="L5254" s="33" t="s">
        <v>633</v>
      </c>
      <c r="M5254" s="33" t="s">
        <v>21</v>
      </c>
      <c r="N5254" s="33" t="s">
        <v>3001</v>
      </c>
      <c r="O5254" s="33" t="s">
        <v>372</v>
      </c>
      <c r="P5254" s="33" t="s">
        <v>30089</v>
      </c>
      <c r="Q5254" s="40" t="s">
        <v>2998</v>
      </c>
      <c r="R5254" s="33" t="s">
        <v>23</v>
      </c>
      <c r="S5254" s="33" t="s">
        <v>12</v>
      </c>
      <c r="T5254" s="33" t="s">
        <v>29425</v>
      </c>
      <c r="U5254" s="33" t="s">
        <v>26572</v>
      </c>
      <c r="V5254" s="33" t="s">
        <v>26571</v>
      </c>
      <c r="W5254" s="33" t="s">
        <v>94</v>
      </c>
      <c r="X5254" s="33">
        <v>258</v>
      </c>
      <c r="Z5254" s="33" t="s">
        <v>42966</v>
      </c>
      <c r="AA5254" s="33">
        <v>2416</v>
      </c>
    </row>
    <row r="5255" spans="1:27" ht="12" customHeight="1" x14ac:dyDescent="0.15">
      <c r="A5255" s="33" t="str">
        <f>HYPERLINK("http://www.killedbypolice.net/victims/150279.jpg","Meagan Hockaday")</f>
        <v>Meagan Hockaday</v>
      </c>
      <c r="B5255" s="33">
        <v>26</v>
      </c>
      <c r="C5255" s="33" t="s">
        <v>103</v>
      </c>
      <c r="D5255" s="33" t="s">
        <v>79</v>
      </c>
      <c r="E5255" s="33" t="s">
        <v>2982</v>
      </c>
      <c r="F5255" s="67">
        <v>42090</v>
      </c>
      <c r="G5255" s="33" t="s">
        <v>2983</v>
      </c>
      <c r="H5255" s="33" t="s">
        <v>2984</v>
      </c>
      <c r="I5255" s="33" t="s">
        <v>39</v>
      </c>
      <c r="J5255" s="33">
        <v>93036</v>
      </c>
      <c r="K5255" s="33" t="s">
        <v>2985</v>
      </c>
      <c r="L5255" s="33" t="s">
        <v>2986</v>
      </c>
      <c r="M5255" s="33" t="s">
        <v>21</v>
      </c>
      <c r="N5255" s="33" t="s">
        <v>2987</v>
      </c>
      <c r="P5255" s="33" t="s">
        <v>30089</v>
      </c>
      <c r="Q5255" s="40" t="str">
        <f>HYPERLINK("http://www.vcstar.com/news/local-news/oxnard/oxnard-woman-killed-by-police-after-domestic-dispute-call_34372240","http://www.vcstar.com/news/local-news/oxnard/oxnard-woman-killed-by-police-after-domestic-dispute-call_34372240")</f>
        <v>http://www.vcstar.com/news/local-news/oxnard/oxnard-woman-killed-by-police-after-domestic-dispute-call_34372240</v>
      </c>
      <c r="R5255" s="33" t="s">
        <v>23</v>
      </c>
      <c r="S5255" s="33" t="s">
        <v>22</v>
      </c>
      <c r="T5255" s="33" t="s">
        <v>26774</v>
      </c>
      <c r="U5255" s="33" t="s">
        <v>26570</v>
      </c>
      <c r="V5255" s="33" t="s">
        <v>26573</v>
      </c>
      <c r="W5255" s="33" t="s">
        <v>94</v>
      </c>
      <c r="X5255" s="33">
        <v>245</v>
      </c>
      <c r="Z5255" s="33" t="s">
        <v>42968</v>
      </c>
      <c r="AA5255" s="33">
        <v>2414</v>
      </c>
    </row>
    <row r="5256" spans="1:27" ht="12" customHeight="1" x14ac:dyDescent="0.15">
      <c r="A5256" s="33" t="s">
        <v>2988</v>
      </c>
      <c r="B5256" s="33">
        <v>39</v>
      </c>
      <c r="C5256" s="33" t="s">
        <v>14</v>
      </c>
      <c r="D5256" s="33" t="s">
        <v>79</v>
      </c>
      <c r="E5256" s="33" t="s">
        <v>2989</v>
      </c>
      <c r="F5256" s="67">
        <v>42090</v>
      </c>
      <c r="G5256" s="33" t="s">
        <v>2990</v>
      </c>
      <c r="H5256" s="33" t="s">
        <v>2991</v>
      </c>
      <c r="I5256" s="33" t="s">
        <v>56</v>
      </c>
      <c r="J5256" s="33" t="s">
        <v>2992</v>
      </c>
      <c r="K5256" s="33" t="s">
        <v>2993</v>
      </c>
      <c r="L5256" s="33" t="s">
        <v>2994</v>
      </c>
      <c r="M5256" s="33" t="s">
        <v>21</v>
      </c>
      <c r="N5256" s="33" t="s">
        <v>2995</v>
      </c>
      <c r="O5256" s="33" t="s">
        <v>372</v>
      </c>
      <c r="P5256" s="33" t="s">
        <v>30089</v>
      </c>
      <c r="Q5256" s="40" t="s">
        <v>2996</v>
      </c>
      <c r="R5256" s="33" t="s">
        <v>23</v>
      </c>
      <c r="S5256" s="33" t="s">
        <v>22</v>
      </c>
      <c r="T5256" s="33" t="s">
        <v>26774</v>
      </c>
      <c r="U5256" s="33" t="s">
        <v>26570</v>
      </c>
      <c r="V5256" s="33" t="s">
        <v>26573</v>
      </c>
      <c r="W5256" s="33" t="s">
        <v>94</v>
      </c>
      <c r="X5256" s="33">
        <v>257</v>
      </c>
      <c r="Z5256" s="33" t="s">
        <v>42968</v>
      </c>
      <c r="AA5256" s="33">
        <v>2415</v>
      </c>
    </row>
    <row r="5257" spans="1:27" ht="12" customHeight="1" x14ac:dyDescent="0.15">
      <c r="A5257" s="33" t="s">
        <v>3022</v>
      </c>
      <c r="B5257" s="33">
        <v>35</v>
      </c>
      <c r="C5257" s="33" t="s">
        <v>14</v>
      </c>
      <c r="D5257" s="33" t="s">
        <v>42</v>
      </c>
      <c r="F5257" s="67">
        <v>42089</v>
      </c>
      <c r="G5257" s="33" t="s">
        <v>3023</v>
      </c>
      <c r="H5257" s="33" t="s">
        <v>205</v>
      </c>
      <c r="I5257" s="33" t="s">
        <v>39</v>
      </c>
      <c r="J5257" s="33" t="s">
        <v>3024</v>
      </c>
      <c r="K5257" s="33" t="s">
        <v>92</v>
      </c>
      <c r="L5257" s="33" t="s">
        <v>93</v>
      </c>
      <c r="M5257" s="33" t="s">
        <v>21</v>
      </c>
      <c r="N5257" s="33" t="s">
        <v>3025</v>
      </c>
      <c r="O5257" s="33" t="s">
        <v>372</v>
      </c>
      <c r="P5257" s="33" t="s">
        <v>30089</v>
      </c>
      <c r="Q5257" s="40" t="s">
        <v>3026</v>
      </c>
      <c r="R5257" s="33" t="s">
        <v>512</v>
      </c>
      <c r="S5257" s="33" t="s">
        <v>22</v>
      </c>
      <c r="T5257" s="33" t="s">
        <v>26774</v>
      </c>
      <c r="U5257" s="33" t="s">
        <v>26570</v>
      </c>
      <c r="V5257" s="33" t="s">
        <v>26573</v>
      </c>
      <c r="W5257" s="33" t="s">
        <v>94</v>
      </c>
      <c r="X5257" s="33">
        <v>250</v>
      </c>
      <c r="Z5257" s="33" t="s">
        <v>42966</v>
      </c>
      <c r="AA5257" s="33">
        <v>2408</v>
      </c>
    </row>
    <row r="5258" spans="1:27" ht="12" customHeight="1" x14ac:dyDescent="0.15">
      <c r="A5258" s="33" t="s">
        <v>3027</v>
      </c>
      <c r="B5258" s="33">
        <v>53</v>
      </c>
      <c r="C5258" s="33" t="s">
        <v>103</v>
      </c>
      <c r="D5258" s="33" t="s">
        <v>31</v>
      </c>
      <c r="E5258" s="33" t="s">
        <v>3028</v>
      </c>
      <c r="F5258" s="67">
        <v>42089</v>
      </c>
      <c r="G5258" s="33" t="s">
        <v>3029</v>
      </c>
      <c r="H5258" s="33" t="s">
        <v>3030</v>
      </c>
      <c r="I5258" s="33" t="s">
        <v>337</v>
      </c>
      <c r="J5258" s="33" t="s">
        <v>3031</v>
      </c>
      <c r="K5258" s="33" t="s">
        <v>3032</v>
      </c>
      <c r="L5258" s="33" t="s">
        <v>3033</v>
      </c>
      <c r="M5258" s="33" t="s">
        <v>21</v>
      </c>
      <c r="N5258" s="33" t="s">
        <v>3034</v>
      </c>
      <c r="O5258" s="33" t="s">
        <v>372</v>
      </c>
      <c r="P5258" s="33" t="s">
        <v>30089</v>
      </c>
      <c r="Q5258" s="40" t="s">
        <v>3035</v>
      </c>
      <c r="R5258" s="33" t="s">
        <v>23</v>
      </c>
      <c r="S5258" s="33" t="s">
        <v>22</v>
      </c>
      <c r="T5258" s="33" t="s">
        <v>26781</v>
      </c>
      <c r="U5258" s="33" t="s">
        <v>26572</v>
      </c>
      <c r="V5258" s="33" t="s">
        <v>26573</v>
      </c>
      <c r="W5258" s="33" t="s">
        <v>94</v>
      </c>
      <c r="X5258" s="33">
        <v>246</v>
      </c>
      <c r="Z5258" s="33" t="s">
        <v>42968</v>
      </c>
      <c r="AA5258" s="33">
        <v>2407</v>
      </c>
    </row>
    <row r="5259" spans="1:27" ht="12" customHeight="1" x14ac:dyDescent="0.15">
      <c r="A5259" s="33" t="s">
        <v>3036</v>
      </c>
      <c r="B5259" s="33">
        <v>27</v>
      </c>
      <c r="C5259" s="33" t="s">
        <v>14</v>
      </c>
      <c r="D5259" s="33" t="s">
        <v>79</v>
      </c>
      <c r="F5259" s="67">
        <v>42088</v>
      </c>
      <c r="G5259" s="33" t="s">
        <v>3037</v>
      </c>
      <c r="H5259" s="33" t="s">
        <v>3038</v>
      </c>
      <c r="I5259" s="33" t="s">
        <v>26</v>
      </c>
      <c r="J5259" s="33" t="s">
        <v>3039</v>
      </c>
      <c r="K5259" s="33" t="s">
        <v>3040</v>
      </c>
      <c r="L5259" s="33" t="s">
        <v>43047</v>
      </c>
      <c r="M5259" s="33" t="s">
        <v>21</v>
      </c>
      <c r="N5259" s="33" t="s">
        <v>3041</v>
      </c>
      <c r="O5259" s="33" t="s">
        <v>372</v>
      </c>
      <c r="P5259" s="33" t="s">
        <v>30089</v>
      </c>
      <c r="Q5259" s="40" t="s">
        <v>3042</v>
      </c>
      <c r="R5259" s="33" t="s">
        <v>23</v>
      </c>
      <c r="S5259" s="33" t="s">
        <v>22</v>
      </c>
      <c r="T5259" s="33" t="s">
        <v>26781</v>
      </c>
      <c r="U5259" s="33" t="s">
        <v>26572</v>
      </c>
      <c r="V5259" s="33" t="s">
        <v>26574</v>
      </c>
      <c r="W5259" s="33" t="s">
        <v>94</v>
      </c>
      <c r="X5259" s="33">
        <v>240</v>
      </c>
      <c r="Z5259" s="33" t="s">
        <v>42967</v>
      </c>
      <c r="AA5259" s="33">
        <v>2404</v>
      </c>
    </row>
    <row r="5260" spans="1:27" ht="12" customHeight="1" x14ac:dyDescent="0.15">
      <c r="A5260" s="33" t="s">
        <v>3048</v>
      </c>
      <c r="B5260" s="33">
        <v>23</v>
      </c>
      <c r="C5260" s="33" t="s">
        <v>14</v>
      </c>
      <c r="D5260" s="33" t="s">
        <v>79</v>
      </c>
      <c r="E5260" s="33" t="s">
        <v>3049</v>
      </c>
      <c r="F5260" s="67">
        <v>42088</v>
      </c>
      <c r="G5260" s="33" t="s">
        <v>3050</v>
      </c>
      <c r="H5260" s="33" t="s">
        <v>1786</v>
      </c>
      <c r="I5260" s="33" t="s">
        <v>160</v>
      </c>
      <c r="J5260" s="33" t="s">
        <v>3051</v>
      </c>
      <c r="K5260" s="33" t="s">
        <v>3052</v>
      </c>
      <c r="L5260" s="33" t="s">
        <v>3053</v>
      </c>
      <c r="M5260" s="33" t="s">
        <v>21</v>
      </c>
      <c r="N5260" s="33" t="s">
        <v>3054</v>
      </c>
      <c r="O5260" s="33" t="s">
        <v>372</v>
      </c>
      <c r="P5260" s="33" t="s">
        <v>30089</v>
      </c>
      <c r="Q5260" s="40" t="s">
        <v>3055</v>
      </c>
      <c r="R5260" s="33" t="s">
        <v>23</v>
      </c>
      <c r="S5260" s="33" t="s">
        <v>351</v>
      </c>
      <c r="T5260" s="33" t="s">
        <v>26575</v>
      </c>
      <c r="U5260" s="33" t="s">
        <v>26570</v>
      </c>
      <c r="V5260" s="33" t="s">
        <v>26571</v>
      </c>
      <c r="W5260" s="33" t="s">
        <v>512</v>
      </c>
      <c r="X5260" s="33">
        <v>239</v>
      </c>
      <c r="Z5260" s="33" t="s">
        <v>42968</v>
      </c>
      <c r="AA5260" s="33">
        <v>2406</v>
      </c>
    </row>
    <row r="5261" spans="1:27" ht="12" customHeight="1" x14ac:dyDescent="0.15">
      <c r="A5261" s="33" t="s">
        <v>3043</v>
      </c>
      <c r="B5261" s="33">
        <v>28</v>
      </c>
      <c r="C5261" s="33" t="s">
        <v>14</v>
      </c>
      <c r="D5261" s="33" t="s">
        <v>42</v>
      </c>
      <c r="F5261" s="67">
        <v>42088</v>
      </c>
      <c r="G5261" s="33" t="s">
        <v>3044</v>
      </c>
      <c r="H5261" s="33" t="s">
        <v>92</v>
      </c>
      <c r="I5261" s="33" t="s">
        <v>39</v>
      </c>
      <c r="J5261" s="33" t="s">
        <v>3045</v>
      </c>
      <c r="K5261" s="33" t="s">
        <v>92</v>
      </c>
      <c r="L5261" s="33" t="s">
        <v>93</v>
      </c>
      <c r="M5261" s="33" t="s">
        <v>21</v>
      </c>
      <c r="N5261" s="33" t="s">
        <v>3046</v>
      </c>
      <c r="O5261" s="33" t="s">
        <v>372</v>
      </c>
      <c r="P5261" s="33" t="s">
        <v>30089</v>
      </c>
      <c r="Q5261" s="40" t="s">
        <v>3047</v>
      </c>
      <c r="R5261" s="33" t="s">
        <v>23</v>
      </c>
      <c r="S5261" s="33" t="s">
        <v>22</v>
      </c>
      <c r="T5261" s="33" t="s">
        <v>26781</v>
      </c>
      <c r="U5261" s="33" t="s">
        <v>26572</v>
      </c>
      <c r="V5261" s="33" t="s">
        <v>26574</v>
      </c>
      <c r="W5261" s="33" t="s">
        <v>94</v>
      </c>
      <c r="X5261" s="33">
        <v>241</v>
      </c>
      <c r="Z5261" s="33" t="s">
        <v>42966</v>
      </c>
      <c r="AA5261" s="33">
        <v>2405</v>
      </c>
    </row>
    <row r="5262" spans="1:27" ht="12" customHeight="1" x14ac:dyDescent="0.15">
      <c r="A5262" s="33" t="s">
        <v>3056</v>
      </c>
      <c r="B5262" s="33">
        <v>29</v>
      </c>
      <c r="C5262" s="33" t="s">
        <v>14</v>
      </c>
      <c r="D5262" s="33" t="s">
        <v>79</v>
      </c>
      <c r="E5262" s="33" t="s">
        <v>3057</v>
      </c>
      <c r="F5262" s="67">
        <v>42087</v>
      </c>
      <c r="G5262" s="33" t="s">
        <v>3058</v>
      </c>
      <c r="H5262" s="33" t="s">
        <v>2491</v>
      </c>
      <c r="I5262" s="33" t="s">
        <v>225</v>
      </c>
      <c r="J5262" s="33" t="s">
        <v>3059</v>
      </c>
      <c r="K5262" s="33" t="s">
        <v>3060</v>
      </c>
      <c r="L5262" s="33" t="s">
        <v>3061</v>
      </c>
      <c r="M5262" s="33" t="s">
        <v>21</v>
      </c>
      <c r="N5262" s="33" t="s">
        <v>3062</v>
      </c>
      <c r="O5262" s="33" t="s">
        <v>372</v>
      </c>
      <c r="P5262" s="33" t="s">
        <v>30089</v>
      </c>
      <c r="Q5262" s="40" t="s">
        <v>3063</v>
      </c>
      <c r="R5262" s="33" t="s">
        <v>512</v>
      </c>
      <c r="S5262" s="33" t="s">
        <v>22</v>
      </c>
      <c r="T5262" s="33" t="s">
        <v>26781</v>
      </c>
      <c r="U5262" s="33" t="s">
        <v>26572</v>
      </c>
      <c r="V5262" s="33" t="s">
        <v>26571</v>
      </c>
      <c r="W5262" s="33" t="s">
        <v>94</v>
      </c>
      <c r="X5262" s="33">
        <v>238</v>
      </c>
      <c r="Z5262" s="33" t="s">
        <v>42968</v>
      </c>
      <c r="AA5262" s="33">
        <v>2400</v>
      </c>
    </row>
    <row r="5263" spans="1:27" ht="12" customHeight="1" x14ac:dyDescent="0.15">
      <c r="A5263" s="33" t="s">
        <v>3064</v>
      </c>
      <c r="B5263" s="33">
        <v>63</v>
      </c>
      <c r="C5263" s="33" t="s">
        <v>14</v>
      </c>
      <c r="D5263" s="33" t="s">
        <v>31</v>
      </c>
      <c r="E5263" s="33" t="s">
        <v>3065</v>
      </c>
      <c r="F5263" s="67">
        <v>42087</v>
      </c>
      <c r="G5263" s="33" t="s">
        <v>3066</v>
      </c>
      <c r="H5263" s="33" t="s">
        <v>3067</v>
      </c>
      <c r="I5263" s="33" t="s">
        <v>112</v>
      </c>
      <c r="J5263" s="33" t="s">
        <v>3068</v>
      </c>
      <c r="K5263" s="33" t="s">
        <v>585</v>
      </c>
      <c r="L5263" s="33" t="s">
        <v>3069</v>
      </c>
      <c r="M5263" s="33" t="s">
        <v>4966</v>
      </c>
      <c r="N5263" s="33" t="s">
        <v>3070</v>
      </c>
      <c r="O5263" s="33" t="s">
        <v>372</v>
      </c>
      <c r="P5263" s="33" t="s">
        <v>30089</v>
      </c>
      <c r="Q5263" s="40" t="s">
        <v>3071</v>
      </c>
      <c r="R5263" s="33" t="s">
        <v>23</v>
      </c>
      <c r="S5263" s="33" t="s">
        <v>22</v>
      </c>
      <c r="T5263" s="33" t="s">
        <v>26781</v>
      </c>
      <c r="U5263" s="33" t="s">
        <v>26570</v>
      </c>
      <c r="V5263" s="33" t="s">
        <v>26573</v>
      </c>
      <c r="W5263" s="33" t="s">
        <v>94</v>
      </c>
      <c r="X5263" s="33">
        <v>242</v>
      </c>
      <c r="Z5263" s="33" t="s">
        <v>42966</v>
      </c>
      <c r="AA5263" s="33">
        <v>2403</v>
      </c>
    </row>
    <row r="5264" spans="1:27" ht="12" customHeight="1" x14ac:dyDescent="0.15">
      <c r="A5264" s="33" t="s">
        <v>3078</v>
      </c>
      <c r="B5264" s="33">
        <v>38</v>
      </c>
      <c r="C5264" s="33" t="s">
        <v>14</v>
      </c>
      <c r="D5264" s="33" t="s">
        <v>31</v>
      </c>
      <c r="E5264" s="33" t="s">
        <v>3079</v>
      </c>
      <c r="F5264" s="67">
        <v>42087</v>
      </c>
      <c r="G5264" s="33" t="s">
        <v>3080</v>
      </c>
      <c r="H5264" s="33" t="s">
        <v>3081</v>
      </c>
      <c r="I5264" s="33" t="s">
        <v>409</v>
      </c>
      <c r="J5264" s="33" t="s">
        <v>3082</v>
      </c>
      <c r="K5264" s="33" t="s">
        <v>3081</v>
      </c>
      <c r="L5264" s="33" t="s">
        <v>3083</v>
      </c>
      <c r="M5264" s="33" t="s">
        <v>21</v>
      </c>
      <c r="N5264" s="33" t="s">
        <v>3084</v>
      </c>
      <c r="O5264" s="33" t="s">
        <v>372</v>
      </c>
      <c r="P5264" s="33" t="s">
        <v>30089</v>
      </c>
      <c r="Q5264" s="40" t="s">
        <v>3085</v>
      </c>
      <c r="R5264" s="33" t="s">
        <v>23</v>
      </c>
      <c r="S5264" s="33" t="s">
        <v>22</v>
      </c>
      <c r="T5264" s="33" t="s">
        <v>26781</v>
      </c>
      <c r="U5264" s="33" t="s">
        <v>26572</v>
      </c>
      <c r="V5264" s="33" t="s">
        <v>26573</v>
      </c>
      <c r="W5264" s="33" t="s">
        <v>94</v>
      </c>
      <c r="X5264" s="33">
        <v>313</v>
      </c>
      <c r="Z5264" s="33" t="s">
        <v>42967</v>
      </c>
      <c r="AA5264" s="33">
        <v>2402</v>
      </c>
    </row>
    <row r="5265" spans="1:27" ht="12" customHeight="1" x14ac:dyDescent="0.15">
      <c r="A5265" s="33" t="s">
        <v>3072</v>
      </c>
      <c r="B5265" s="33">
        <v>57</v>
      </c>
      <c r="C5265" s="33" t="s">
        <v>14</v>
      </c>
      <c r="D5265" s="33" t="s">
        <v>31</v>
      </c>
      <c r="E5265" s="33" t="s">
        <v>3073</v>
      </c>
      <c r="F5265" s="67">
        <v>42087</v>
      </c>
      <c r="G5265" s="33" t="s">
        <v>3074</v>
      </c>
      <c r="H5265" s="33" t="s">
        <v>560</v>
      </c>
      <c r="I5265" s="33" t="s">
        <v>39</v>
      </c>
      <c r="J5265" s="33" t="s">
        <v>3075</v>
      </c>
      <c r="K5265" s="33" t="s">
        <v>561</v>
      </c>
      <c r="L5265" s="33" t="s">
        <v>678</v>
      </c>
      <c r="M5265" s="33" t="s">
        <v>21</v>
      </c>
      <c r="N5265" s="33" t="s">
        <v>3076</v>
      </c>
      <c r="O5265" s="33" t="s">
        <v>950</v>
      </c>
      <c r="P5265" s="33" t="s">
        <v>30089</v>
      </c>
      <c r="Q5265" s="40" t="s">
        <v>3077</v>
      </c>
      <c r="R5265" s="33" t="s">
        <v>512</v>
      </c>
      <c r="S5265" s="33" t="s">
        <v>22</v>
      </c>
      <c r="T5265" s="33" t="s">
        <v>26781</v>
      </c>
      <c r="U5265" s="33" t="s">
        <v>26572</v>
      </c>
      <c r="V5265" s="33" t="s">
        <v>26573</v>
      </c>
      <c r="W5265" s="33" t="s">
        <v>94</v>
      </c>
      <c r="X5265" s="33">
        <v>247</v>
      </c>
      <c r="Z5265" s="33" t="s">
        <v>42966</v>
      </c>
      <c r="AA5265" s="33">
        <v>2401</v>
      </c>
    </row>
    <row r="5266" spans="1:27" ht="12" customHeight="1" x14ac:dyDescent="0.15">
      <c r="A5266" s="33" t="s">
        <v>3095</v>
      </c>
      <c r="B5266" s="33">
        <v>24</v>
      </c>
      <c r="C5266" s="33" t="s">
        <v>14</v>
      </c>
      <c r="D5266" s="33" t="s">
        <v>79</v>
      </c>
      <c r="E5266" s="33" t="s">
        <v>19001</v>
      </c>
      <c r="F5266" s="67">
        <v>42086</v>
      </c>
      <c r="G5266" s="33" t="s">
        <v>3096</v>
      </c>
      <c r="H5266" s="33" t="s">
        <v>561</v>
      </c>
      <c r="I5266" s="33" t="s">
        <v>39</v>
      </c>
      <c r="J5266" s="33">
        <v>95050</v>
      </c>
      <c r="K5266" s="33" t="s">
        <v>561</v>
      </c>
      <c r="L5266" s="33" t="s">
        <v>3097</v>
      </c>
      <c r="M5266" s="33" t="s">
        <v>21</v>
      </c>
      <c r="N5266" s="33" t="s">
        <v>3098</v>
      </c>
      <c r="O5266" s="33" t="s">
        <v>507</v>
      </c>
      <c r="P5266" s="33" t="s">
        <v>30089</v>
      </c>
      <c r="Q5266" s="40" t="s">
        <v>3099</v>
      </c>
      <c r="R5266" s="33" t="s">
        <v>23</v>
      </c>
      <c r="S5266" s="33" t="s">
        <v>22</v>
      </c>
      <c r="T5266" s="33" t="s">
        <v>26781</v>
      </c>
      <c r="U5266" s="33" t="s">
        <v>26572</v>
      </c>
      <c r="V5266" s="33" t="s">
        <v>26573</v>
      </c>
      <c r="W5266" s="33" t="s">
        <v>94</v>
      </c>
      <c r="X5266" s="33">
        <v>237</v>
      </c>
      <c r="Z5266" s="33" t="s">
        <v>42966</v>
      </c>
      <c r="AA5266" s="33">
        <v>2399</v>
      </c>
    </row>
    <row r="5267" spans="1:27" ht="12" customHeight="1" x14ac:dyDescent="0.15">
      <c r="A5267" s="33" t="s">
        <v>3140</v>
      </c>
      <c r="B5267" s="33">
        <v>37</v>
      </c>
      <c r="C5267" s="33" t="s">
        <v>14</v>
      </c>
      <c r="D5267" s="33" t="s">
        <v>31</v>
      </c>
      <c r="E5267" s="33" t="s">
        <v>3141</v>
      </c>
      <c r="F5267" s="67">
        <v>42085</v>
      </c>
      <c r="G5267" s="33" t="s">
        <v>3142</v>
      </c>
      <c r="H5267" s="33" t="s">
        <v>3143</v>
      </c>
      <c r="I5267" s="33" t="s">
        <v>39</v>
      </c>
      <c r="J5267" s="33" t="s">
        <v>3144</v>
      </c>
      <c r="K5267" s="33" t="s">
        <v>3145</v>
      </c>
      <c r="L5267" s="33" t="s">
        <v>3146</v>
      </c>
      <c r="M5267" s="33" t="s">
        <v>21</v>
      </c>
      <c r="N5267" s="33" t="s">
        <v>3147</v>
      </c>
      <c r="O5267" s="33" t="s">
        <v>372</v>
      </c>
      <c r="P5267" s="33" t="s">
        <v>30089</v>
      </c>
      <c r="Q5267" s="40" t="s">
        <v>3148</v>
      </c>
      <c r="R5267" s="33" t="s">
        <v>512</v>
      </c>
      <c r="S5267" s="33" t="s">
        <v>22</v>
      </c>
      <c r="T5267" s="33" t="s">
        <v>26774</v>
      </c>
      <c r="U5267" s="33" t="s">
        <v>26570</v>
      </c>
      <c r="V5267" s="33" t="s">
        <v>26573</v>
      </c>
      <c r="W5267" s="33" t="s">
        <v>94</v>
      </c>
      <c r="X5267" s="33">
        <v>231</v>
      </c>
      <c r="Z5267" s="33" t="s">
        <v>42968</v>
      </c>
      <c r="AA5267" s="33">
        <v>2396</v>
      </c>
    </row>
    <row r="5268" spans="1:27" ht="12" customHeight="1" x14ac:dyDescent="0.15">
      <c r="A5268" s="33" t="s">
        <v>3102</v>
      </c>
      <c r="B5268" s="33">
        <v>36</v>
      </c>
      <c r="C5268" s="33" t="s">
        <v>14</v>
      </c>
      <c r="D5268" s="33" t="s">
        <v>31</v>
      </c>
      <c r="E5268" s="33" t="s">
        <v>3103</v>
      </c>
      <c r="F5268" s="67">
        <v>42085</v>
      </c>
      <c r="G5268" s="33" t="s">
        <v>3104</v>
      </c>
      <c r="H5268" s="33" t="s">
        <v>1459</v>
      </c>
      <c r="I5268" s="33" t="s">
        <v>106</v>
      </c>
      <c r="J5268" s="33" t="s">
        <v>3105</v>
      </c>
      <c r="K5268" s="33" t="s">
        <v>1461</v>
      </c>
      <c r="L5268" s="33" t="s">
        <v>16039</v>
      </c>
      <c r="M5268" s="33" t="s">
        <v>4966</v>
      </c>
      <c r="N5268" s="33" t="s">
        <v>3106</v>
      </c>
      <c r="O5268" s="33" t="s">
        <v>372</v>
      </c>
      <c r="P5268" s="33" t="s">
        <v>30089</v>
      </c>
      <c r="Q5268" s="40" t="s">
        <v>3107</v>
      </c>
      <c r="R5268" s="33" t="s">
        <v>512</v>
      </c>
      <c r="S5268" s="33" t="s">
        <v>22</v>
      </c>
      <c r="T5268" s="33" t="s">
        <v>26774</v>
      </c>
      <c r="U5268" s="33" t="s">
        <v>26570</v>
      </c>
      <c r="V5268" s="33" t="s">
        <v>26574</v>
      </c>
      <c r="W5268" s="33" t="s">
        <v>94</v>
      </c>
      <c r="X5268" s="33">
        <v>233</v>
      </c>
      <c r="Z5268" s="33" t="s">
        <v>42966</v>
      </c>
      <c r="AA5268" s="33">
        <v>2397</v>
      </c>
    </row>
    <row r="5269" spans="1:27" ht="12" customHeight="1" x14ac:dyDescent="0.15">
      <c r="A5269" s="33" t="s">
        <v>3088</v>
      </c>
      <c r="B5269" s="33">
        <v>21</v>
      </c>
      <c r="C5269" s="33" t="s">
        <v>14</v>
      </c>
      <c r="D5269" s="33" t="s">
        <v>79</v>
      </c>
      <c r="E5269" s="33" t="s">
        <v>3089</v>
      </c>
      <c r="F5269" s="67">
        <v>42085</v>
      </c>
      <c r="G5269" s="33" t="s">
        <v>3090</v>
      </c>
      <c r="H5269" s="33" t="s">
        <v>3091</v>
      </c>
      <c r="I5269" s="33" t="s">
        <v>395</v>
      </c>
      <c r="J5269" s="33" t="s">
        <v>3092</v>
      </c>
      <c r="K5269" s="33" t="s">
        <v>1588</v>
      </c>
      <c r="L5269" s="33" t="s">
        <v>3093</v>
      </c>
      <c r="M5269" s="33" t="s">
        <v>4966</v>
      </c>
      <c r="N5269" s="33" t="s">
        <v>27756</v>
      </c>
      <c r="O5269" s="33" t="s">
        <v>372</v>
      </c>
      <c r="P5269" s="33" t="s">
        <v>30089</v>
      </c>
      <c r="Q5269" s="40" t="s">
        <v>3094</v>
      </c>
      <c r="R5269" s="33" t="s">
        <v>23</v>
      </c>
      <c r="S5269" s="33" t="s">
        <v>12</v>
      </c>
      <c r="T5269" s="33" t="s">
        <v>26575</v>
      </c>
      <c r="U5269" s="33" t="s">
        <v>26572</v>
      </c>
      <c r="V5269" s="33" t="s">
        <v>26571</v>
      </c>
      <c r="W5269" s="33" t="s">
        <v>94</v>
      </c>
      <c r="X5269" s="33">
        <v>234</v>
      </c>
      <c r="Z5269" s="33" t="s">
        <v>42968</v>
      </c>
      <c r="AA5269" s="33">
        <v>2398</v>
      </c>
    </row>
    <row r="5270" spans="1:27" ht="12" customHeight="1" x14ac:dyDescent="0.15">
      <c r="A5270" s="33" t="s">
        <v>3113</v>
      </c>
      <c r="B5270" s="33">
        <v>60</v>
      </c>
      <c r="C5270" s="33" t="s">
        <v>14</v>
      </c>
      <c r="D5270" s="33" t="s">
        <v>31</v>
      </c>
      <c r="F5270" s="67">
        <v>42084</v>
      </c>
      <c r="G5270" s="33" t="s">
        <v>3114</v>
      </c>
      <c r="H5270" s="33" t="s">
        <v>3115</v>
      </c>
      <c r="I5270" s="33" t="s">
        <v>198</v>
      </c>
      <c r="J5270" s="33" t="s">
        <v>3116</v>
      </c>
      <c r="K5270" s="33" t="s">
        <v>3117</v>
      </c>
      <c r="L5270" s="33" t="s">
        <v>3118</v>
      </c>
      <c r="M5270" s="33" t="s">
        <v>21</v>
      </c>
      <c r="N5270" s="33" t="s">
        <v>3119</v>
      </c>
      <c r="O5270" s="33" t="s">
        <v>950</v>
      </c>
      <c r="P5270" s="33" t="s">
        <v>30089</v>
      </c>
      <c r="Q5270" s="40" t="s">
        <v>3120</v>
      </c>
      <c r="R5270" s="33" t="s">
        <v>512</v>
      </c>
      <c r="S5270" s="33" t="s">
        <v>22</v>
      </c>
      <c r="T5270" s="33" t="s">
        <v>26781</v>
      </c>
      <c r="U5270" s="33" t="s">
        <v>26572</v>
      </c>
      <c r="V5270" s="33" t="s">
        <v>26573</v>
      </c>
      <c r="W5270" s="33" t="s">
        <v>94</v>
      </c>
      <c r="X5270" s="33">
        <v>311</v>
      </c>
      <c r="Z5270" s="33" t="e">
        <v>#N/A</v>
      </c>
      <c r="AA5270" s="33">
        <v>2394</v>
      </c>
    </row>
    <row r="5271" spans="1:27" ht="12" customHeight="1" x14ac:dyDescent="0.15">
      <c r="A5271" s="33" t="s">
        <v>3127</v>
      </c>
      <c r="B5271" s="33">
        <v>21</v>
      </c>
      <c r="C5271" s="33" t="s">
        <v>14</v>
      </c>
      <c r="D5271" s="33" t="s">
        <v>31</v>
      </c>
      <c r="F5271" s="67">
        <v>42084</v>
      </c>
      <c r="G5271" s="33" t="s">
        <v>3128</v>
      </c>
      <c r="H5271" s="33" t="s">
        <v>1894</v>
      </c>
      <c r="I5271" s="33" t="s">
        <v>112</v>
      </c>
      <c r="J5271" s="33" t="s">
        <v>1895</v>
      </c>
      <c r="K5271" s="33" t="s">
        <v>166</v>
      </c>
      <c r="L5271" s="33" t="s">
        <v>3129</v>
      </c>
      <c r="M5271" s="33" t="s">
        <v>21</v>
      </c>
      <c r="N5271" s="33" t="s">
        <v>3130</v>
      </c>
      <c r="O5271" s="33" t="s">
        <v>372</v>
      </c>
      <c r="P5271" s="33" t="s">
        <v>30089</v>
      </c>
      <c r="Q5271" s="40" t="s">
        <v>3131</v>
      </c>
      <c r="R5271" s="33" t="s">
        <v>512</v>
      </c>
      <c r="S5271" s="33" t="s">
        <v>22</v>
      </c>
      <c r="T5271" s="33" t="s">
        <v>26781</v>
      </c>
      <c r="U5271" s="33" t="s">
        <v>26572</v>
      </c>
      <c r="V5271" s="33" t="s">
        <v>26573</v>
      </c>
      <c r="W5271" s="33" t="s">
        <v>94</v>
      </c>
      <c r="X5271" s="33">
        <v>235</v>
      </c>
      <c r="Z5271" s="33" t="s">
        <v>42968</v>
      </c>
      <c r="AA5271" s="33">
        <v>2392</v>
      </c>
    </row>
    <row r="5272" spans="1:27" ht="12" customHeight="1" x14ac:dyDescent="0.15">
      <c r="A5272" s="33" t="s">
        <v>3132</v>
      </c>
      <c r="B5272" s="33">
        <v>44</v>
      </c>
      <c r="C5272" s="33" t="s">
        <v>14</v>
      </c>
      <c r="D5272" s="33" t="s">
        <v>31</v>
      </c>
      <c r="E5272" s="33" t="s">
        <v>3133</v>
      </c>
      <c r="F5272" s="67">
        <v>42084</v>
      </c>
      <c r="G5272" s="33" t="s">
        <v>3134</v>
      </c>
      <c r="H5272" s="33" t="s">
        <v>3135</v>
      </c>
      <c r="I5272" s="33" t="s">
        <v>395</v>
      </c>
      <c r="J5272" s="33" t="s">
        <v>3136</v>
      </c>
      <c r="K5272" s="33" t="s">
        <v>2393</v>
      </c>
      <c r="L5272" s="33" t="s">
        <v>3137</v>
      </c>
      <c r="M5272" s="33" t="s">
        <v>21</v>
      </c>
      <c r="N5272" s="33" t="s">
        <v>3138</v>
      </c>
      <c r="O5272" s="33" t="s">
        <v>507</v>
      </c>
      <c r="P5272" s="33" t="s">
        <v>30089</v>
      </c>
      <c r="Q5272" s="40" t="s">
        <v>3139</v>
      </c>
      <c r="R5272" s="33" t="s">
        <v>23</v>
      </c>
      <c r="S5272" s="33" t="s">
        <v>22</v>
      </c>
      <c r="T5272" s="33" t="s">
        <v>26781</v>
      </c>
      <c r="U5272" s="33" t="s">
        <v>26572</v>
      </c>
      <c r="V5272" s="33" t="s">
        <v>26571</v>
      </c>
      <c r="W5272" s="33" t="s">
        <v>94</v>
      </c>
      <c r="X5272" s="33">
        <v>309</v>
      </c>
      <c r="Z5272" s="33" t="s">
        <v>42967</v>
      </c>
      <c r="AA5272" s="33">
        <v>2393</v>
      </c>
    </row>
    <row r="5273" spans="1:27" ht="12" customHeight="1" x14ac:dyDescent="0.15">
      <c r="A5273" s="33" t="s">
        <v>3121</v>
      </c>
      <c r="B5273" s="33">
        <v>42</v>
      </c>
      <c r="C5273" s="33" t="s">
        <v>14</v>
      </c>
      <c r="D5273" s="33" t="s">
        <v>31</v>
      </c>
      <c r="F5273" s="67">
        <v>42084</v>
      </c>
      <c r="G5273" s="33" t="s">
        <v>3122</v>
      </c>
      <c r="H5273" s="33" t="s">
        <v>1202</v>
      </c>
      <c r="I5273" s="33" t="s">
        <v>63</v>
      </c>
      <c r="J5273" s="33" t="s">
        <v>3123</v>
      </c>
      <c r="K5273" s="33" t="s">
        <v>1203</v>
      </c>
      <c r="L5273" s="33" t="s">
        <v>11441</v>
      </c>
      <c r="M5273" s="33" t="s">
        <v>21</v>
      </c>
      <c r="N5273" s="33" t="s">
        <v>3125</v>
      </c>
      <c r="O5273" s="33" t="s">
        <v>950</v>
      </c>
      <c r="P5273" s="33" t="s">
        <v>30089</v>
      </c>
      <c r="Q5273" s="40" t="s">
        <v>3126</v>
      </c>
      <c r="R5273" s="33" t="s">
        <v>23</v>
      </c>
      <c r="S5273" s="33" t="s">
        <v>22</v>
      </c>
      <c r="T5273" s="33" t="s">
        <v>26781</v>
      </c>
      <c r="U5273" s="33" t="s">
        <v>26572</v>
      </c>
      <c r="V5273" s="33" t="s">
        <v>26573</v>
      </c>
      <c r="W5273" s="33" t="s">
        <v>94</v>
      </c>
      <c r="X5273" s="33">
        <v>312</v>
      </c>
      <c r="Z5273" s="33" t="s">
        <v>42966</v>
      </c>
      <c r="AA5273" s="33">
        <v>2395</v>
      </c>
    </row>
    <row r="5274" spans="1:27" ht="12" customHeight="1" x14ac:dyDescent="0.15">
      <c r="A5274" s="33" t="s">
        <v>3203</v>
      </c>
      <c r="B5274" s="33">
        <v>24</v>
      </c>
      <c r="C5274" s="33" t="s">
        <v>14</v>
      </c>
      <c r="D5274" s="33" t="s">
        <v>128</v>
      </c>
      <c r="F5274" s="67">
        <v>42083</v>
      </c>
      <c r="G5274" s="33" t="s">
        <v>3204</v>
      </c>
      <c r="H5274" s="33" t="s">
        <v>3205</v>
      </c>
      <c r="I5274" s="33" t="s">
        <v>112</v>
      </c>
      <c r="J5274" s="33" t="s">
        <v>3206</v>
      </c>
      <c r="K5274" s="33" t="s">
        <v>2025</v>
      </c>
      <c r="L5274" s="33" t="s">
        <v>3207</v>
      </c>
      <c r="M5274" s="33" t="s">
        <v>21</v>
      </c>
      <c r="N5274" s="33" t="s">
        <v>3208</v>
      </c>
      <c r="O5274" s="33" t="s">
        <v>950</v>
      </c>
      <c r="P5274" s="33" t="s">
        <v>30089</v>
      </c>
      <c r="Q5274" s="40" t="s">
        <v>3209</v>
      </c>
      <c r="R5274" s="33" t="s">
        <v>23</v>
      </c>
      <c r="S5274" s="33" t="s">
        <v>22</v>
      </c>
      <c r="T5274" s="33" t="s">
        <v>26781</v>
      </c>
      <c r="U5274" s="33" t="s">
        <v>26572</v>
      </c>
      <c r="V5274" s="33" t="s">
        <v>26571</v>
      </c>
      <c r="W5274" s="33" t="s">
        <v>94</v>
      </c>
      <c r="X5274" s="33">
        <v>531</v>
      </c>
      <c r="Z5274" s="33" t="s">
        <v>42967</v>
      </c>
      <c r="AA5274" s="33">
        <v>2390</v>
      </c>
    </row>
    <row r="5275" spans="1:27" ht="12" customHeight="1" x14ac:dyDescent="0.15">
      <c r="A5275" s="33" t="s">
        <v>3156</v>
      </c>
      <c r="B5275" s="33">
        <v>34</v>
      </c>
      <c r="C5275" s="33" t="s">
        <v>14</v>
      </c>
      <c r="D5275" s="33" t="s">
        <v>31</v>
      </c>
      <c r="E5275" s="33" t="s">
        <v>3157</v>
      </c>
      <c r="F5275" s="67">
        <v>42083</v>
      </c>
      <c r="G5275" s="33" t="s">
        <v>3158</v>
      </c>
      <c r="H5275" s="33" t="s">
        <v>3159</v>
      </c>
      <c r="I5275" s="33" t="s">
        <v>367</v>
      </c>
      <c r="J5275" s="33" t="s">
        <v>3160</v>
      </c>
      <c r="K5275" s="33" t="s">
        <v>2451</v>
      </c>
      <c r="L5275" s="33" t="s">
        <v>1904</v>
      </c>
      <c r="M5275" s="33" t="s">
        <v>21</v>
      </c>
      <c r="N5275" s="33" t="s">
        <v>3161</v>
      </c>
      <c r="O5275" s="33" t="s">
        <v>372</v>
      </c>
      <c r="P5275" s="33" t="s">
        <v>30089</v>
      </c>
      <c r="Q5275" s="40" t="s">
        <v>3162</v>
      </c>
      <c r="R5275" s="33" t="s">
        <v>23</v>
      </c>
      <c r="S5275" s="33" t="s">
        <v>22</v>
      </c>
      <c r="T5275" s="33" t="s">
        <v>26781</v>
      </c>
      <c r="U5275" s="33" t="s">
        <v>26572</v>
      </c>
      <c r="V5275" s="33" t="s">
        <v>26573</v>
      </c>
      <c r="W5275" s="33" t="s">
        <v>94</v>
      </c>
      <c r="X5275" s="33">
        <v>310</v>
      </c>
      <c r="Z5275" s="33" t="s">
        <v>42967</v>
      </c>
      <c r="AA5275" s="33">
        <v>2389</v>
      </c>
    </row>
    <row r="5276" spans="1:27" ht="12" customHeight="1" x14ac:dyDescent="0.15">
      <c r="A5276" s="33" t="s">
        <v>3149</v>
      </c>
      <c r="B5276" s="33">
        <v>63</v>
      </c>
      <c r="C5276" s="33" t="s">
        <v>14</v>
      </c>
      <c r="D5276" s="33" t="s">
        <v>79</v>
      </c>
      <c r="E5276" s="33" t="s">
        <v>3150</v>
      </c>
      <c r="F5276" s="67">
        <v>42083</v>
      </c>
      <c r="G5276" s="33" t="s">
        <v>3151</v>
      </c>
      <c r="H5276" s="33" t="s">
        <v>3152</v>
      </c>
      <c r="I5276" s="33" t="s">
        <v>19</v>
      </c>
      <c r="J5276" s="33">
        <v>70062</v>
      </c>
      <c r="K5276" s="33" t="s">
        <v>1659</v>
      </c>
      <c r="L5276" s="33" t="s">
        <v>3154</v>
      </c>
      <c r="M5276" s="33" t="s">
        <v>21</v>
      </c>
      <c r="N5276" s="33" t="s">
        <v>3155</v>
      </c>
      <c r="O5276" s="33" t="s">
        <v>507</v>
      </c>
      <c r="P5276" s="33" t="s">
        <v>30089</v>
      </c>
      <c r="Q5276" s="40" t="s">
        <v>3150</v>
      </c>
      <c r="R5276" s="33" t="s">
        <v>512</v>
      </c>
      <c r="S5276" s="33" t="s">
        <v>22</v>
      </c>
      <c r="T5276" s="33" t="s">
        <v>26593</v>
      </c>
      <c r="U5276" s="33" t="s">
        <v>26572</v>
      </c>
      <c r="V5276" s="33" t="s">
        <v>26573</v>
      </c>
      <c r="W5276" s="33" t="s">
        <v>94</v>
      </c>
      <c r="X5276" s="33">
        <v>308</v>
      </c>
      <c r="Z5276" s="33" t="s">
        <v>42968</v>
      </c>
      <c r="AA5276" s="33">
        <v>2391</v>
      </c>
    </row>
    <row r="5277" spans="1:27" ht="12" customHeight="1" x14ac:dyDescent="0.15">
      <c r="A5277" s="33" t="s">
        <v>3169</v>
      </c>
      <c r="B5277" s="33">
        <v>16</v>
      </c>
      <c r="C5277" s="33" t="s">
        <v>14</v>
      </c>
      <c r="D5277" s="33" t="s">
        <v>79</v>
      </c>
      <c r="E5277" s="33" t="s">
        <v>3170</v>
      </c>
      <c r="F5277" s="67">
        <v>42082</v>
      </c>
      <c r="G5277" s="33" t="s">
        <v>3171</v>
      </c>
      <c r="H5277" s="33" t="s">
        <v>603</v>
      </c>
      <c r="I5277" s="33" t="s">
        <v>56</v>
      </c>
      <c r="J5277" s="33" t="s">
        <v>3172</v>
      </c>
      <c r="K5277" s="33" t="s">
        <v>604</v>
      </c>
      <c r="L5277" s="33" t="s">
        <v>605</v>
      </c>
      <c r="M5277" s="33" t="s">
        <v>21</v>
      </c>
      <c r="N5277" s="33" t="s">
        <v>3173</v>
      </c>
      <c r="O5277" s="33" t="s">
        <v>372</v>
      </c>
      <c r="P5277" s="33" t="s">
        <v>30089</v>
      </c>
      <c r="Q5277" s="40" t="s">
        <v>3174</v>
      </c>
      <c r="R5277" s="33" t="s">
        <v>23</v>
      </c>
      <c r="S5277" s="33" t="s">
        <v>22</v>
      </c>
      <c r="T5277" s="33" t="s">
        <v>26781</v>
      </c>
      <c r="U5277" s="33" t="s">
        <v>26572</v>
      </c>
      <c r="V5277" s="33" t="s">
        <v>26571</v>
      </c>
      <c r="W5277" s="33" t="s">
        <v>94</v>
      </c>
      <c r="X5277" s="33">
        <v>265</v>
      </c>
      <c r="Z5277" s="33" t="s">
        <v>42966</v>
      </c>
      <c r="AA5277" s="33">
        <v>2384</v>
      </c>
    </row>
    <row r="5278" spans="1:27" ht="12" customHeight="1" x14ac:dyDescent="0.15">
      <c r="A5278" s="33" t="s">
        <v>3163</v>
      </c>
      <c r="B5278" s="33">
        <v>18</v>
      </c>
      <c r="C5278" s="33" t="s">
        <v>14</v>
      </c>
      <c r="D5278" s="33" t="s">
        <v>79</v>
      </c>
      <c r="F5278" s="67">
        <v>42082</v>
      </c>
      <c r="G5278" s="33" t="s">
        <v>3164</v>
      </c>
      <c r="H5278" s="33" t="s">
        <v>924</v>
      </c>
      <c r="I5278" s="33" t="s">
        <v>63</v>
      </c>
      <c r="J5278" s="33" t="s">
        <v>3165</v>
      </c>
      <c r="K5278" s="33" t="s">
        <v>95</v>
      </c>
      <c r="L5278" s="33" t="s">
        <v>29641</v>
      </c>
      <c r="M5278" s="33" t="s">
        <v>21</v>
      </c>
      <c r="N5278" s="33" t="s">
        <v>3167</v>
      </c>
      <c r="O5278" s="33" t="s">
        <v>28850</v>
      </c>
      <c r="P5278" s="33" t="s">
        <v>18576</v>
      </c>
      <c r="Q5278" s="40" t="s">
        <v>3168</v>
      </c>
      <c r="R5278" s="33" t="s">
        <v>23</v>
      </c>
      <c r="S5278" s="33" t="s">
        <v>12</v>
      </c>
      <c r="T5278" s="33" t="s">
        <v>29705</v>
      </c>
      <c r="U5278" s="33" t="s">
        <v>26572</v>
      </c>
      <c r="V5278" s="33" t="s">
        <v>26573</v>
      </c>
      <c r="W5278" s="33" t="s">
        <v>94</v>
      </c>
      <c r="X5278" s="33">
        <v>229</v>
      </c>
      <c r="Z5278" s="33" t="s">
        <v>42966</v>
      </c>
      <c r="AA5278" s="33">
        <v>2386</v>
      </c>
    </row>
    <row r="5279" spans="1:27" ht="12" customHeight="1" x14ac:dyDescent="0.15">
      <c r="A5279" s="33" t="s">
        <v>3196</v>
      </c>
      <c r="B5279" s="33">
        <v>39</v>
      </c>
      <c r="C5279" s="33" t="s">
        <v>14</v>
      </c>
      <c r="D5279" s="33" t="s">
        <v>31</v>
      </c>
      <c r="E5279" s="33" t="s">
        <v>3197</v>
      </c>
      <c r="F5279" s="67">
        <v>42082</v>
      </c>
      <c r="G5279" s="33" t="s">
        <v>3198</v>
      </c>
      <c r="H5279" s="33" t="s">
        <v>3199</v>
      </c>
      <c r="I5279" s="33" t="s">
        <v>88</v>
      </c>
      <c r="J5279" s="33" t="s">
        <v>3200</v>
      </c>
      <c r="K5279" s="33" t="s">
        <v>1924</v>
      </c>
      <c r="L5279" s="33" t="s">
        <v>320</v>
      </c>
      <c r="M5279" s="33" t="s">
        <v>21</v>
      </c>
      <c r="N5279" s="33" t="s">
        <v>3201</v>
      </c>
      <c r="O5279" s="33" t="s">
        <v>950</v>
      </c>
      <c r="P5279" s="33" t="s">
        <v>30089</v>
      </c>
      <c r="Q5279" s="40" t="s">
        <v>3202</v>
      </c>
      <c r="R5279" s="33" t="s">
        <v>512</v>
      </c>
      <c r="S5279" s="33" t="s">
        <v>22</v>
      </c>
      <c r="T5279" s="33" t="s">
        <v>26612</v>
      </c>
      <c r="U5279" s="33" t="s">
        <v>26570</v>
      </c>
      <c r="V5279" s="33" t="s">
        <v>26573</v>
      </c>
      <c r="W5279" s="33" t="s">
        <v>512</v>
      </c>
      <c r="X5279" s="33">
        <v>228</v>
      </c>
      <c r="Z5279" s="33" t="s">
        <v>42967</v>
      </c>
      <c r="AA5279" s="33">
        <v>2382</v>
      </c>
    </row>
    <row r="5280" spans="1:27" ht="12" customHeight="1" x14ac:dyDescent="0.15">
      <c r="A5280" s="33" t="s">
        <v>3183</v>
      </c>
      <c r="B5280" s="33">
        <v>20</v>
      </c>
      <c r="C5280" s="33" t="s">
        <v>14</v>
      </c>
      <c r="D5280" s="33" t="s">
        <v>31</v>
      </c>
      <c r="E5280" s="33" t="s">
        <v>18911</v>
      </c>
      <c r="F5280" s="67">
        <v>42082</v>
      </c>
      <c r="G5280" s="33" t="s">
        <v>3184</v>
      </c>
      <c r="H5280" s="33" t="s">
        <v>3185</v>
      </c>
      <c r="I5280" s="33" t="s">
        <v>282</v>
      </c>
      <c r="J5280" s="33" t="s">
        <v>3186</v>
      </c>
      <c r="K5280" s="33" t="s">
        <v>3187</v>
      </c>
      <c r="L5280" s="33" t="s">
        <v>4359</v>
      </c>
      <c r="M5280" s="33" t="s">
        <v>21</v>
      </c>
      <c r="N5280" s="33" t="s">
        <v>3188</v>
      </c>
      <c r="O5280" s="33" t="s">
        <v>950</v>
      </c>
      <c r="P5280" s="33" t="s">
        <v>30089</v>
      </c>
      <c r="Q5280" s="40" t="s">
        <v>3189</v>
      </c>
      <c r="R5280" s="33" t="s">
        <v>512</v>
      </c>
      <c r="S5280" s="33" t="s">
        <v>12</v>
      </c>
      <c r="T5280" s="33" t="s">
        <v>29705</v>
      </c>
      <c r="U5280" s="33" t="s">
        <v>26572</v>
      </c>
      <c r="V5280" s="33" t="s">
        <v>26573</v>
      </c>
      <c r="W5280" s="33" t="s">
        <v>94</v>
      </c>
      <c r="X5280" s="33">
        <v>295</v>
      </c>
      <c r="Z5280" s="33" t="s">
        <v>42967</v>
      </c>
      <c r="AA5280" s="33">
        <v>2387</v>
      </c>
    </row>
    <row r="5281" spans="1:27" ht="12" customHeight="1" x14ac:dyDescent="0.15">
      <c r="A5281" s="33" t="s">
        <v>3175</v>
      </c>
      <c r="B5281" s="33">
        <v>29</v>
      </c>
      <c r="C5281" s="33" t="s">
        <v>14</v>
      </c>
      <c r="D5281" s="33" t="s">
        <v>31</v>
      </c>
      <c r="E5281" s="33" t="s">
        <v>3176</v>
      </c>
      <c r="F5281" s="67">
        <v>42082</v>
      </c>
      <c r="G5281" s="33" t="s">
        <v>3177</v>
      </c>
      <c r="H5281" s="33" t="s">
        <v>3178</v>
      </c>
      <c r="I5281" s="33" t="s">
        <v>63</v>
      </c>
      <c r="J5281" s="33" t="s">
        <v>3179</v>
      </c>
      <c r="K5281" s="33" t="s">
        <v>3180</v>
      </c>
      <c r="L5281" s="33" t="s">
        <v>3181</v>
      </c>
      <c r="M5281" s="33" t="s">
        <v>21</v>
      </c>
      <c r="N5281" s="33" t="s">
        <v>19110</v>
      </c>
      <c r="O5281" s="33" t="s">
        <v>950</v>
      </c>
      <c r="P5281" s="33" t="s">
        <v>30089</v>
      </c>
      <c r="Q5281" s="40" t="s">
        <v>3182</v>
      </c>
      <c r="R5281" s="33" t="s">
        <v>904</v>
      </c>
      <c r="S5281" s="33" t="s">
        <v>12</v>
      </c>
      <c r="T5281" s="54" t="s">
        <v>29705</v>
      </c>
      <c r="Z5281" s="33" t="s">
        <v>42968</v>
      </c>
      <c r="AA5281" s="33">
        <v>2388</v>
      </c>
    </row>
    <row r="5282" spans="1:27" ht="12" customHeight="1" x14ac:dyDescent="0.15">
      <c r="A5282" s="33" t="s">
        <v>3218</v>
      </c>
      <c r="B5282" s="33">
        <v>31</v>
      </c>
      <c r="C5282" s="33" t="s">
        <v>14</v>
      </c>
      <c r="D5282" s="33" t="s">
        <v>31</v>
      </c>
      <c r="E5282" s="33" t="s">
        <v>3219</v>
      </c>
      <c r="F5282" s="67">
        <v>42082</v>
      </c>
      <c r="G5282" s="33" t="s">
        <v>3220</v>
      </c>
      <c r="H5282" s="33" t="s">
        <v>3221</v>
      </c>
      <c r="I5282" s="33" t="s">
        <v>735</v>
      </c>
      <c r="J5282" s="33" t="s">
        <v>3222</v>
      </c>
      <c r="K5282" s="33" t="s">
        <v>3223</v>
      </c>
      <c r="L5282" s="33" t="s">
        <v>3224</v>
      </c>
      <c r="M5282" s="33" t="s">
        <v>21</v>
      </c>
      <c r="N5282" s="33" t="s">
        <v>3225</v>
      </c>
      <c r="O5282" s="33" t="s">
        <v>950</v>
      </c>
      <c r="P5282" s="33" t="s">
        <v>30089</v>
      </c>
      <c r="Q5282" s="40" t="s">
        <v>3226</v>
      </c>
      <c r="R5282" s="33" t="s">
        <v>23</v>
      </c>
      <c r="S5282" s="33" t="s">
        <v>22</v>
      </c>
      <c r="T5282" s="33" t="s">
        <v>26781</v>
      </c>
      <c r="U5282" s="33" t="s">
        <v>26572</v>
      </c>
      <c r="V5282" s="33" t="s">
        <v>26573</v>
      </c>
      <c r="W5282" s="33" t="s">
        <v>512</v>
      </c>
      <c r="X5282" s="33">
        <v>230</v>
      </c>
      <c r="Z5282" s="33" t="s">
        <v>42967</v>
      </c>
      <c r="AA5282" s="33">
        <v>2383</v>
      </c>
    </row>
    <row r="5283" spans="1:27" ht="12" customHeight="1" x14ac:dyDescent="0.15">
      <c r="A5283" s="33" t="s">
        <v>3190</v>
      </c>
      <c r="B5283" s="33">
        <v>36</v>
      </c>
      <c r="C5283" s="33" t="s">
        <v>14</v>
      </c>
      <c r="D5283" s="33" t="s">
        <v>31</v>
      </c>
      <c r="E5283" s="33" t="s">
        <v>3191</v>
      </c>
      <c r="F5283" s="67">
        <v>42082</v>
      </c>
      <c r="G5283" s="33" t="s">
        <v>3192</v>
      </c>
      <c r="H5283" s="33" t="s">
        <v>631</v>
      </c>
      <c r="I5283" s="33" t="s">
        <v>39</v>
      </c>
      <c r="J5283" s="33" t="s">
        <v>3193</v>
      </c>
      <c r="K5283" s="33" t="s">
        <v>632</v>
      </c>
      <c r="L5283" s="33" t="s">
        <v>633</v>
      </c>
      <c r="M5283" s="33" t="s">
        <v>21</v>
      </c>
      <c r="N5283" s="33" t="s">
        <v>3194</v>
      </c>
      <c r="O5283" s="33" t="s">
        <v>507</v>
      </c>
      <c r="P5283" s="33" t="s">
        <v>30089</v>
      </c>
      <c r="Q5283" s="40" t="s">
        <v>3195</v>
      </c>
      <c r="R5283" s="33" t="s">
        <v>512</v>
      </c>
      <c r="S5283" s="33" t="s">
        <v>22</v>
      </c>
      <c r="T5283" s="33" t="s">
        <v>26781</v>
      </c>
      <c r="U5283" s="33" t="s">
        <v>26572</v>
      </c>
      <c r="V5283" s="33" t="s">
        <v>26573</v>
      </c>
      <c r="W5283" s="33" t="s">
        <v>94</v>
      </c>
      <c r="X5283" s="33">
        <v>306</v>
      </c>
      <c r="Z5283" s="33" t="s">
        <v>42968</v>
      </c>
      <c r="AA5283" s="33">
        <v>2385</v>
      </c>
    </row>
    <row r="5284" spans="1:27" ht="12" customHeight="1" x14ac:dyDescent="0.15">
      <c r="A5284" s="33" t="s">
        <v>3227</v>
      </c>
      <c r="B5284" s="33">
        <v>49</v>
      </c>
      <c r="C5284" s="33" t="s">
        <v>103</v>
      </c>
      <c r="D5284" s="33" t="s">
        <v>31</v>
      </c>
      <c r="E5284" s="33" t="s">
        <v>3228</v>
      </c>
      <c r="F5284" s="67">
        <v>42081</v>
      </c>
      <c r="G5284" s="33" t="s">
        <v>3229</v>
      </c>
      <c r="H5284" s="33" t="s">
        <v>3230</v>
      </c>
      <c r="I5284" s="33" t="s">
        <v>112</v>
      </c>
      <c r="J5284" s="33" t="s">
        <v>3231</v>
      </c>
      <c r="K5284" s="33" t="s">
        <v>585</v>
      </c>
      <c r="L5284" s="33" t="s">
        <v>3069</v>
      </c>
      <c r="M5284" s="33" t="s">
        <v>21</v>
      </c>
      <c r="N5284" s="33" t="s">
        <v>3232</v>
      </c>
      <c r="O5284" s="33" t="s">
        <v>372</v>
      </c>
      <c r="P5284" s="33" t="s">
        <v>30089</v>
      </c>
      <c r="Q5284" s="40" t="s">
        <v>3233</v>
      </c>
      <c r="R5284" s="33" t="s">
        <v>94</v>
      </c>
      <c r="S5284" s="33" t="s">
        <v>22</v>
      </c>
      <c r="T5284" s="33" t="s">
        <v>26781</v>
      </c>
      <c r="U5284" s="33" t="s">
        <v>26572</v>
      </c>
      <c r="V5284" s="33" t="s">
        <v>26573</v>
      </c>
      <c r="W5284" s="33" t="s">
        <v>94</v>
      </c>
      <c r="X5284" s="33">
        <v>225</v>
      </c>
      <c r="Z5284" s="33" t="s">
        <v>42968</v>
      </c>
      <c r="AA5284" s="33">
        <v>2379</v>
      </c>
    </row>
    <row r="5285" spans="1:27" ht="12" customHeight="1" x14ac:dyDescent="0.15">
      <c r="A5285" s="33" t="s">
        <v>3210</v>
      </c>
      <c r="B5285" s="33">
        <v>64</v>
      </c>
      <c r="C5285" s="33" t="s">
        <v>14</v>
      </c>
      <c r="D5285" s="33" t="s">
        <v>31</v>
      </c>
      <c r="E5285" s="33" t="s">
        <v>18408</v>
      </c>
      <c r="F5285" s="67">
        <v>42081</v>
      </c>
      <c r="G5285" s="33" t="s">
        <v>3211</v>
      </c>
      <c r="H5285" s="33" t="s">
        <v>3212</v>
      </c>
      <c r="I5285" s="33" t="s">
        <v>56</v>
      </c>
      <c r="J5285" s="33" t="s">
        <v>3213</v>
      </c>
      <c r="K5285" s="33" t="s">
        <v>3214</v>
      </c>
      <c r="L5285" s="33" t="s">
        <v>3215</v>
      </c>
      <c r="M5285" s="33" t="s">
        <v>21</v>
      </c>
      <c r="N5285" s="33" t="s">
        <v>3216</v>
      </c>
      <c r="O5285" s="33" t="s">
        <v>372</v>
      </c>
      <c r="P5285" s="33" t="s">
        <v>30089</v>
      </c>
      <c r="Q5285" s="40" t="s">
        <v>3217</v>
      </c>
      <c r="R5285" s="33" t="s">
        <v>512</v>
      </c>
      <c r="S5285" s="33" t="s">
        <v>22</v>
      </c>
      <c r="T5285" s="33" t="s">
        <v>26781</v>
      </c>
      <c r="U5285" s="33" t="s">
        <v>26572</v>
      </c>
      <c r="V5285" s="33" t="s">
        <v>26573</v>
      </c>
      <c r="W5285" s="33" t="s">
        <v>94</v>
      </c>
      <c r="X5285" s="33">
        <v>226</v>
      </c>
      <c r="Z5285" s="33" t="s">
        <v>42966</v>
      </c>
      <c r="AA5285" s="33">
        <v>2380</v>
      </c>
    </row>
    <row r="5286" spans="1:27" ht="12" customHeight="1" x14ac:dyDescent="0.15">
      <c r="A5286" s="33" t="s">
        <v>18685</v>
      </c>
      <c r="B5286" s="33">
        <v>47</v>
      </c>
      <c r="C5286" s="33" t="s">
        <v>14</v>
      </c>
      <c r="D5286" s="33" t="s">
        <v>31</v>
      </c>
      <c r="F5286" s="67">
        <v>42081</v>
      </c>
      <c r="G5286" s="33" t="s">
        <v>18687</v>
      </c>
      <c r="H5286" s="33" t="s">
        <v>631</v>
      </c>
      <c r="I5286" s="33" t="s">
        <v>39</v>
      </c>
      <c r="J5286" s="33">
        <v>93301</v>
      </c>
      <c r="K5286" s="33" t="s">
        <v>632</v>
      </c>
      <c r="L5286" s="33" t="s">
        <v>633</v>
      </c>
      <c r="M5286" s="33" t="s">
        <v>21</v>
      </c>
      <c r="N5286" s="33" t="s">
        <v>18688</v>
      </c>
      <c r="O5286" s="33" t="s">
        <v>507</v>
      </c>
      <c r="P5286" s="33" t="s">
        <v>30089</v>
      </c>
      <c r="Q5286" s="40" t="s">
        <v>18686</v>
      </c>
      <c r="R5286" s="33" t="s">
        <v>23</v>
      </c>
      <c r="S5286" s="33" t="s">
        <v>22</v>
      </c>
      <c r="T5286" s="33" t="s">
        <v>26774</v>
      </c>
      <c r="U5286" s="33" t="s">
        <v>26570</v>
      </c>
      <c r="V5286" s="33" t="s">
        <v>26573</v>
      </c>
      <c r="W5286" s="33" t="s">
        <v>94</v>
      </c>
      <c r="X5286" s="33">
        <v>294</v>
      </c>
      <c r="Z5286" s="33" t="s">
        <v>42966</v>
      </c>
      <c r="AA5286" s="33">
        <v>2381</v>
      </c>
    </row>
    <row r="5287" spans="1:27" ht="12" customHeight="1" x14ac:dyDescent="0.15">
      <c r="A5287" s="33" t="s">
        <v>3258</v>
      </c>
      <c r="B5287" s="33">
        <v>49</v>
      </c>
      <c r="C5287" s="33" t="s">
        <v>14</v>
      </c>
      <c r="D5287" s="33" t="s">
        <v>31</v>
      </c>
      <c r="F5287" s="67">
        <v>42080</v>
      </c>
      <c r="G5287" s="33" t="s">
        <v>3259</v>
      </c>
      <c r="H5287" s="33" t="s">
        <v>1880</v>
      </c>
      <c r="I5287" s="33" t="s">
        <v>106</v>
      </c>
      <c r="J5287" s="33" t="s">
        <v>3260</v>
      </c>
      <c r="K5287" s="33" t="s">
        <v>404</v>
      </c>
      <c r="L5287" s="33" t="s">
        <v>1882</v>
      </c>
      <c r="M5287" s="33" t="s">
        <v>21</v>
      </c>
      <c r="N5287" s="33" t="s">
        <v>3261</v>
      </c>
      <c r="O5287" s="33" t="s">
        <v>950</v>
      </c>
      <c r="P5287" s="33" t="s">
        <v>30089</v>
      </c>
      <c r="Q5287" s="40" t="s">
        <v>3262</v>
      </c>
      <c r="R5287" s="33" t="s">
        <v>512</v>
      </c>
      <c r="S5287" s="33" t="s">
        <v>22</v>
      </c>
      <c r="T5287" s="33" t="s">
        <v>26781</v>
      </c>
      <c r="U5287" s="33" t="s">
        <v>26572</v>
      </c>
      <c r="V5287" s="33" t="s">
        <v>26573</v>
      </c>
      <c r="W5287" s="33" t="s">
        <v>94</v>
      </c>
      <c r="X5287" s="33">
        <v>216</v>
      </c>
      <c r="Z5287" s="33" t="s">
        <v>42968</v>
      </c>
      <c r="AA5287" s="33">
        <v>2373</v>
      </c>
    </row>
    <row r="5288" spans="1:27" ht="12" customHeight="1" x14ac:dyDescent="0.15">
      <c r="A5288" s="33" t="s">
        <v>3263</v>
      </c>
      <c r="B5288" s="33">
        <v>20</v>
      </c>
      <c r="C5288" s="33" t="s">
        <v>14</v>
      </c>
      <c r="D5288" s="33" t="s">
        <v>31</v>
      </c>
      <c r="E5288" s="33" t="s">
        <v>3264</v>
      </c>
      <c r="F5288" s="67">
        <v>42080</v>
      </c>
      <c r="G5288" s="33" t="s">
        <v>3265</v>
      </c>
      <c r="H5288" s="33" t="s">
        <v>3266</v>
      </c>
      <c r="I5288" s="33" t="s">
        <v>67</v>
      </c>
      <c r="J5288" s="33" t="s">
        <v>3267</v>
      </c>
      <c r="K5288" s="33" t="s">
        <v>1736</v>
      </c>
      <c r="L5288" s="33" t="s">
        <v>3268</v>
      </c>
      <c r="M5288" s="33" t="s">
        <v>21</v>
      </c>
      <c r="N5288" s="33" t="s">
        <v>3269</v>
      </c>
      <c r="O5288" s="33" t="s">
        <v>950</v>
      </c>
      <c r="P5288" s="33" t="s">
        <v>30089</v>
      </c>
      <c r="Q5288" s="40" t="s">
        <v>3270</v>
      </c>
      <c r="R5288" s="33" t="s">
        <v>512</v>
      </c>
      <c r="S5288" s="33" t="s">
        <v>22</v>
      </c>
      <c r="T5288" s="33" t="s">
        <v>26781</v>
      </c>
      <c r="U5288" s="33" t="s">
        <v>26572</v>
      </c>
      <c r="V5288" s="33" t="s">
        <v>26573</v>
      </c>
      <c r="W5288" s="33" t="s">
        <v>94</v>
      </c>
      <c r="X5288" s="33">
        <v>290</v>
      </c>
      <c r="Z5288" s="33" t="s">
        <v>42967</v>
      </c>
      <c r="AA5288" s="33">
        <v>2375</v>
      </c>
    </row>
    <row r="5289" spans="1:27" ht="12" customHeight="1" x14ac:dyDescent="0.15">
      <c r="A5289" s="33" t="s">
        <v>3243</v>
      </c>
      <c r="B5289" s="33">
        <v>22</v>
      </c>
      <c r="C5289" s="33" t="s">
        <v>14</v>
      </c>
      <c r="D5289" s="33" t="s">
        <v>42</v>
      </c>
      <c r="E5289" s="33" t="s">
        <v>3244</v>
      </c>
      <c r="F5289" s="67">
        <v>42080</v>
      </c>
      <c r="G5289" s="33" t="s">
        <v>3245</v>
      </c>
      <c r="H5289" s="33" t="s">
        <v>1537</v>
      </c>
      <c r="I5289" s="33" t="s">
        <v>39</v>
      </c>
      <c r="J5289" s="33" t="s">
        <v>3246</v>
      </c>
      <c r="K5289" s="33" t="s">
        <v>1537</v>
      </c>
      <c r="L5289" s="33" t="s">
        <v>3247</v>
      </c>
      <c r="M5289" s="33" t="s">
        <v>21</v>
      </c>
      <c r="N5289" s="33" t="s">
        <v>3248</v>
      </c>
      <c r="O5289" s="33" t="s">
        <v>950</v>
      </c>
      <c r="P5289" s="33" t="s">
        <v>30089</v>
      </c>
      <c r="Q5289" s="40" t="s">
        <v>3249</v>
      </c>
      <c r="R5289" s="33" t="s">
        <v>23</v>
      </c>
      <c r="S5289" s="33" t="s">
        <v>12</v>
      </c>
      <c r="T5289" s="33" t="s">
        <v>29705</v>
      </c>
      <c r="U5289" s="33" t="s">
        <v>26575</v>
      </c>
      <c r="V5289" s="33" t="s">
        <v>26571</v>
      </c>
      <c r="W5289" s="33" t="s">
        <v>94</v>
      </c>
      <c r="X5289" s="33">
        <v>292</v>
      </c>
      <c r="Z5289" s="33" t="s">
        <v>42968</v>
      </c>
      <c r="AA5289" s="33">
        <v>2376</v>
      </c>
    </row>
    <row r="5290" spans="1:27" ht="12" customHeight="1" x14ac:dyDescent="0.15">
      <c r="A5290" s="33" t="s">
        <v>3271</v>
      </c>
      <c r="B5290" s="33">
        <v>24</v>
      </c>
      <c r="C5290" s="33" t="s">
        <v>103</v>
      </c>
      <c r="D5290" s="33" t="s">
        <v>31</v>
      </c>
      <c r="E5290" s="33" t="s">
        <v>3272</v>
      </c>
      <c r="F5290" s="67">
        <v>42080</v>
      </c>
      <c r="G5290" s="33" t="s">
        <v>3273</v>
      </c>
      <c r="H5290" s="33" t="s">
        <v>886</v>
      </c>
      <c r="I5290" s="33" t="s">
        <v>39</v>
      </c>
      <c r="J5290" s="33" t="s">
        <v>3274</v>
      </c>
      <c r="K5290" s="33" t="s">
        <v>886</v>
      </c>
      <c r="L5290" s="33" t="s">
        <v>887</v>
      </c>
      <c r="M5290" s="33" t="s">
        <v>21</v>
      </c>
      <c r="N5290" s="33" t="s">
        <v>3275</v>
      </c>
      <c r="O5290" s="33" t="s">
        <v>950</v>
      </c>
      <c r="P5290" s="33" t="s">
        <v>30089</v>
      </c>
      <c r="Q5290" s="40" t="s">
        <v>3276</v>
      </c>
      <c r="R5290" s="33" t="s">
        <v>512</v>
      </c>
      <c r="S5290" s="33" t="s">
        <v>351</v>
      </c>
      <c r="T5290" s="33" t="s">
        <v>26867</v>
      </c>
      <c r="U5290" s="33" t="s">
        <v>26570</v>
      </c>
      <c r="V5290" s="33" t="s">
        <v>26573</v>
      </c>
      <c r="W5290" s="33" t="s">
        <v>94</v>
      </c>
      <c r="X5290" s="33">
        <v>221</v>
      </c>
      <c r="Z5290" s="33" t="s">
        <v>42966</v>
      </c>
      <c r="AA5290" s="33">
        <v>2378</v>
      </c>
    </row>
    <row r="5291" spans="1:27" ht="12" customHeight="1" x14ac:dyDescent="0.15">
      <c r="A5291" s="33" t="s">
        <v>3234</v>
      </c>
      <c r="B5291" s="33">
        <v>35</v>
      </c>
      <c r="C5291" s="33" t="s">
        <v>14</v>
      </c>
      <c r="D5291" s="33" t="s">
        <v>79</v>
      </c>
      <c r="E5291" s="33" t="s">
        <v>3235</v>
      </c>
      <c r="F5291" s="67">
        <v>42080</v>
      </c>
      <c r="G5291" s="33" t="s">
        <v>3236</v>
      </c>
      <c r="H5291" s="33" t="s">
        <v>3237</v>
      </c>
      <c r="I5291" s="33" t="s">
        <v>160</v>
      </c>
      <c r="J5291" s="33" t="s">
        <v>3238</v>
      </c>
      <c r="K5291" s="33" t="s">
        <v>3239</v>
      </c>
      <c r="L5291" s="33" t="s">
        <v>3240</v>
      </c>
      <c r="M5291" s="33" t="s">
        <v>363</v>
      </c>
      <c r="N5291" s="33" t="s">
        <v>3241</v>
      </c>
      <c r="O5291" s="33" t="s">
        <v>372</v>
      </c>
      <c r="P5291" s="33" t="s">
        <v>30089</v>
      </c>
      <c r="Q5291" s="40" t="s">
        <v>3242</v>
      </c>
      <c r="R5291" s="33" t="s">
        <v>904</v>
      </c>
      <c r="S5291" s="33" t="s">
        <v>12</v>
      </c>
      <c r="T5291" s="54" t="s">
        <v>29705</v>
      </c>
      <c r="Z5291" s="33" t="s">
        <v>42968</v>
      </c>
      <c r="AA5291" s="33">
        <v>2377</v>
      </c>
    </row>
    <row r="5292" spans="1:27" ht="12" customHeight="1" x14ac:dyDescent="0.15">
      <c r="A5292" s="33" t="s">
        <v>3250</v>
      </c>
      <c r="B5292" s="33">
        <v>24</v>
      </c>
      <c r="C5292" s="33" t="s">
        <v>14</v>
      </c>
      <c r="D5292" s="33" t="s">
        <v>31</v>
      </c>
      <c r="E5292" s="33" t="s">
        <v>3251</v>
      </c>
      <c r="F5292" s="67">
        <v>42080</v>
      </c>
      <c r="G5292" s="33" t="s">
        <v>3252</v>
      </c>
      <c r="H5292" s="33" t="s">
        <v>3253</v>
      </c>
      <c r="I5292" s="33" t="s">
        <v>338</v>
      </c>
      <c r="J5292" s="33" t="s">
        <v>3254</v>
      </c>
      <c r="K5292" s="33" t="s">
        <v>3255</v>
      </c>
      <c r="L5292" s="33" t="s">
        <v>36930</v>
      </c>
      <c r="M5292" s="33" t="s">
        <v>21</v>
      </c>
      <c r="N5292" s="33" t="s">
        <v>3256</v>
      </c>
      <c r="O5292" s="33" t="s">
        <v>372</v>
      </c>
      <c r="P5292" s="33" t="s">
        <v>30089</v>
      </c>
      <c r="Q5292" s="40" t="s">
        <v>3257</v>
      </c>
      <c r="R5292" s="33" t="s">
        <v>512</v>
      </c>
      <c r="S5292" s="33" t="s">
        <v>22</v>
      </c>
      <c r="T5292" s="33" t="s">
        <v>26781</v>
      </c>
      <c r="U5292" s="33" t="s">
        <v>26572</v>
      </c>
      <c r="V5292" s="33" t="s">
        <v>26574</v>
      </c>
      <c r="W5292" s="33" t="s">
        <v>94</v>
      </c>
      <c r="X5292" s="33">
        <v>217</v>
      </c>
      <c r="Z5292" s="33" t="s">
        <v>42967</v>
      </c>
      <c r="AA5292" s="33">
        <v>2374</v>
      </c>
    </row>
    <row r="5293" spans="1:27" ht="12" customHeight="1" x14ac:dyDescent="0.15">
      <c r="A5293" s="33" t="s">
        <v>3282</v>
      </c>
      <c r="B5293" s="33">
        <v>52</v>
      </c>
      <c r="C5293" s="33" t="s">
        <v>14</v>
      </c>
      <c r="D5293" s="33" t="s">
        <v>31</v>
      </c>
      <c r="F5293" s="67">
        <v>42079</v>
      </c>
      <c r="G5293" s="33" t="s">
        <v>3283</v>
      </c>
      <c r="H5293" s="33" t="s">
        <v>779</v>
      </c>
      <c r="I5293" s="33" t="s">
        <v>338</v>
      </c>
      <c r="J5293" s="33" t="s">
        <v>3284</v>
      </c>
      <c r="K5293" s="33" t="s">
        <v>779</v>
      </c>
      <c r="L5293" s="33" t="s">
        <v>780</v>
      </c>
      <c r="M5293" s="33" t="s">
        <v>21</v>
      </c>
      <c r="N5293" s="33" t="s">
        <v>19111</v>
      </c>
      <c r="O5293" s="33" t="s">
        <v>372</v>
      </c>
      <c r="P5293" s="33" t="s">
        <v>30089</v>
      </c>
      <c r="Q5293" s="40" t="s">
        <v>3285</v>
      </c>
      <c r="R5293" s="33" t="s">
        <v>512</v>
      </c>
      <c r="S5293" s="33" t="s">
        <v>22</v>
      </c>
      <c r="T5293" s="33" t="s">
        <v>26781</v>
      </c>
      <c r="U5293" s="33" t="s">
        <v>26572</v>
      </c>
      <c r="V5293" s="33" t="s">
        <v>26573</v>
      </c>
      <c r="W5293" s="33" t="s">
        <v>94</v>
      </c>
      <c r="X5293" s="33">
        <v>213</v>
      </c>
      <c r="Z5293" s="33" t="s">
        <v>42968</v>
      </c>
      <c r="AA5293" s="33">
        <v>2372</v>
      </c>
    </row>
    <row r="5294" spans="1:27" ht="12" customHeight="1" x14ac:dyDescent="0.15">
      <c r="A5294" s="33" t="s">
        <v>3286</v>
      </c>
      <c r="B5294" s="33">
        <v>28</v>
      </c>
      <c r="C5294" s="33" t="s">
        <v>14</v>
      </c>
      <c r="D5294" s="33" t="s">
        <v>31</v>
      </c>
      <c r="E5294" s="33" t="s">
        <v>3287</v>
      </c>
      <c r="F5294" s="67">
        <v>42079</v>
      </c>
      <c r="G5294" s="33" t="s">
        <v>3288</v>
      </c>
      <c r="H5294" s="33" t="s">
        <v>3289</v>
      </c>
      <c r="I5294" s="33" t="s">
        <v>122</v>
      </c>
      <c r="J5294" s="33" t="s">
        <v>3290</v>
      </c>
      <c r="K5294" s="33" t="s">
        <v>3291</v>
      </c>
      <c r="L5294" s="33" t="s">
        <v>4522</v>
      </c>
      <c r="M5294" s="33" t="s">
        <v>21</v>
      </c>
      <c r="N5294" s="33" t="s">
        <v>3292</v>
      </c>
      <c r="O5294" s="33" t="s">
        <v>950</v>
      </c>
      <c r="P5294" s="33" t="s">
        <v>30089</v>
      </c>
      <c r="Q5294" s="40" t="s">
        <v>3293</v>
      </c>
      <c r="R5294" s="33" t="s">
        <v>512</v>
      </c>
      <c r="S5294" s="33" t="s">
        <v>22</v>
      </c>
      <c r="T5294" s="33" t="s">
        <v>26781</v>
      </c>
      <c r="U5294" s="33" t="s">
        <v>26572</v>
      </c>
      <c r="V5294" s="33" t="s">
        <v>26573</v>
      </c>
      <c r="W5294" s="33" t="s">
        <v>94</v>
      </c>
      <c r="X5294" s="33">
        <v>212</v>
      </c>
      <c r="Z5294" s="33" t="s">
        <v>42968</v>
      </c>
      <c r="AA5294" s="33">
        <v>2371</v>
      </c>
    </row>
    <row r="5295" spans="1:27" ht="12" customHeight="1" x14ac:dyDescent="0.15">
      <c r="A5295" s="33" t="s">
        <v>3294</v>
      </c>
      <c r="B5295" s="33">
        <v>41</v>
      </c>
      <c r="C5295" s="33" t="s">
        <v>14</v>
      </c>
      <c r="D5295" s="33" t="s">
        <v>31</v>
      </c>
      <c r="F5295" s="67">
        <v>42078</v>
      </c>
      <c r="G5295" s="33" t="s">
        <v>3295</v>
      </c>
      <c r="H5295" s="33" t="s">
        <v>3296</v>
      </c>
      <c r="I5295" s="33" t="s">
        <v>35</v>
      </c>
      <c r="J5295" s="33" t="s">
        <v>3297</v>
      </c>
      <c r="K5295" s="33" t="s">
        <v>3298</v>
      </c>
      <c r="L5295" s="33" t="s">
        <v>3299</v>
      </c>
      <c r="M5295" s="33" t="s">
        <v>363</v>
      </c>
      <c r="N5295" s="33" t="s">
        <v>3300</v>
      </c>
      <c r="O5295" s="33" t="s">
        <v>372</v>
      </c>
      <c r="P5295" s="33" t="s">
        <v>30089</v>
      </c>
      <c r="Q5295" s="40" t="s">
        <v>3301</v>
      </c>
      <c r="R5295" s="33" t="s">
        <v>512</v>
      </c>
      <c r="S5295" s="33" t="s">
        <v>12</v>
      </c>
      <c r="T5295" s="54" t="s">
        <v>29705</v>
      </c>
      <c r="Z5295" s="33" t="s">
        <v>42968</v>
      </c>
      <c r="AA5295" s="33">
        <v>2370</v>
      </c>
    </row>
    <row r="5296" spans="1:27" ht="12" customHeight="1" x14ac:dyDescent="0.15">
      <c r="A5296" s="33" t="s">
        <v>3302</v>
      </c>
      <c r="B5296" s="33">
        <v>27</v>
      </c>
      <c r="C5296" s="33" t="s">
        <v>14</v>
      </c>
      <c r="D5296" s="33" t="s">
        <v>31</v>
      </c>
      <c r="E5296" s="33" t="s">
        <v>3303</v>
      </c>
      <c r="F5296" s="67">
        <v>42078</v>
      </c>
      <c r="G5296" s="33" t="s">
        <v>3304</v>
      </c>
      <c r="H5296" s="33" t="s">
        <v>3305</v>
      </c>
      <c r="I5296" s="33" t="s">
        <v>621</v>
      </c>
      <c r="J5296" s="33" t="s">
        <v>3306</v>
      </c>
      <c r="K5296" s="33" t="s">
        <v>2159</v>
      </c>
      <c r="L5296" s="33" t="s">
        <v>2974</v>
      </c>
      <c r="M5296" s="33" t="s">
        <v>21</v>
      </c>
      <c r="N5296" s="33" t="s">
        <v>3307</v>
      </c>
      <c r="O5296" s="33" t="s">
        <v>950</v>
      </c>
      <c r="P5296" s="33" t="s">
        <v>1084</v>
      </c>
      <c r="Q5296" s="40" t="s">
        <v>3308</v>
      </c>
      <c r="R5296" s="33" t="s">
        <v>23</v>
      </c>
      <c r="S5296" s="33" t="s">
        <v>22</v>
      </c>
      <c r="T5296" s="33" t="s">
        <v>26593</v>
      </c>
      <c r="U5296" s="33" t="s">
        <v>26570</v>
      </c>
      <c r="V5296" s="33" t="s">
        <v>26573</v>
      </c>
      <c r="W5296" s="33" t="s">
        <v>94</v>
      </c>
      <c r="X5296" s="33">
        <v>210</v>
      </c>
      <c r="Z5296" s="33" t="s">
        <v>42967</v>
      </c>
      <c r="AA5296" s="33">
        <v>2369</v>
      </c>
    </row>
    <row r="5297" spans="1:27" ht="12" customHeight="1" x14ac:dyDescent="0.15">
      <c r="A5297" s="33" t="s">
        <v>3315</v>
      </c>
      <c r="B5297" s="33">
        <v>26</v>
      </c>
      <c r="C5297" s="33" t="s">
        <v>14</v>
      </c>
      <c r="D5297" s="33" t="s">
        <v>31</v>
      </c>
      <c r="E5297" s="33" t="s">
        <v>3316</v>
      </c>
      <c r="F5297" s="67">
        <v>42077</v>
      </c>
      <c r="G5297" s="33" t="s">
        <v>3317</v>
      </c>
      <c r="H5297" s="33" t="s">
        <v>3318</v>
      </c>
      <c r="I5297" s="33" t="s">
        <v>409</v>
      </c>
      <c r="J5297" s="33" t="s">
        <v>3319</v>
      </c>
      <c r="K5297" s="33" t="s">
        <v>3318</v>
      </c>
      <c r="L5297" s="33" t="s">
        <v>3320</v>
      </c>
      <c r="M5297" s="33" t="s">
        <v>21</v>
      </c>
      <c r="N5297" s="33" t="s">
        <v>3321</v>
      </c>
      <c r="O5297" s="33" t="s">
        <v>950</v>
      </c>
      <c r="P5297" s="33" t="s">
        <v>30089</v>
      </c>
      <c r="Q5297" s="40" t="s">
        <v>3322</v>
      </c>
      <c r="R5297" s="33" t="s">
        <v>23</v>
      </c>
      <c r="S5297" s="33" t="s">
        <v>22</v>
      </c>
      <c r="T5297" s="33" t="s">
        <v>26781</v>
      </c>
      <c r="U5297" s="33" t="s">
        <v>26572</v>
      </c>
      <c r="V5297" s="33" t="s">
        <v>26571</v>
      </c>
      <c r="W5297" s="33" t="s">
        <v>94</v>
      </c>
      <c r="X5297" s="33">
        <v>209</v>
      </c>
      <c r="Z5297" s="33" t="s">
        <v>42968</v>
      </c>
      <c r="AA5297" s="33">
        <v>2366</v>
      </c>
    </row>
    <row r="5298" spans="1:27" ht="12" customHeight="1" x14ac:dyDescent="0.15">
      <c r="A5298" s="33" t="s">
        <v>3309</v>
      </c>
      <c r="B5298" s="33">
        <v>29</v>
      </c>
      <c r="C5298" s="33" t="s">
        <v>14</v>
      </c>
      <c r="D5298" s="33" t="s">
        <v>42</v>
      </c>
      <c r="E5298" s="33" t="s">
        <v>3310</v>
      </c>
      <c r="F5298" s="67">
        <v>42077</v>
      </c>
      <c r="G5298" s="33" t="s">
        <v>3311</v>
      </c>
      <c r="H5298" s="33" t="s">
        <v>532</v>
      </c>
      <c r="I5298" s="33" t="s">
        <v>67</v>
      </c>
      <c r="J5298" s="33" t="s">
        <v>3312</v>
      </c>
      <c r="K5298" s="33" t="s">
        <v>533</v>
      </c>
      <c r="L5298" s="33" t="s">
        <v>534</v>
      </c>
      <c r="M5298" s="33" t="s">
        <v>21</v>
      </c>
      <c r="N5298" s="33" t="s">
        <v>3313</v>
      </c>
      <c r="O5298" s="33" t="s">
        <v>950</v>
      </c>
      <c r="P5298" s="33" t="s">
        <v>30089</v>
      </c>
      <c r="Q5298" s="40" t="s">
        <v>3314</v>
      </c>
      <c r="R5298" s="33" t="s">
        <v>512</v>
      </c>
      <c r="S5298" s="33" t="s">
        <v>22</v>
      </c>
      <c r="T5298" s="33" t="s">
        <v>26781</v>
      </c>
      <c r="U5298" s="33" t="s">
        <v>26572</v>
      </c>
      <c r="V5298" s="33" t="s">
        <v>26573</v>
      </c>
      <c r="W5298" s="33" t="s">
        <v>94</v>
      </c>
      <c r="X5298" s="33">
        <v>287</v>
      </c>
      <c r="Z5298" s="33" t="s">
        <v>42966</v>
      </c>
      <c r="AA5298" s="33">
        <v>2367</v>
      </c>
    </row>
    <row r="5299" spans="1:27" ht="12" customHeight="1" x14ac:dyDescent="0.15">
      <c r="A5299" s="33" t="s">
        <v>3347</v>
      </c>
      <c r="B5299" s="33">
        <v>53</v>
      </c>
      <c r="C5299" s="33" t="s">
        <v>14</v>
      </c>
      <c r="D5299" s="33" t="s">
        <v>31</v>
      </c>
      <c r="E5299" s="33" t="s">
        <v>3348</v>
      </c>
      <c r="F5299" s="67">
        <v>42077</v>
      </c>
      <c r="G5299" s="33" t="s">
        <v>3349</v>
      </c>
      <c r="H5299" s="33" t="s">
        <v>3350</v>
      </c>
      <c r="I5299" s="33" t="s">
        <v>139</v>
      </c>
      <c r="J5299" s="33" t="s">
        <v>3351</v>
      </c>
      <c r="K5299" s="33" t="s">
        <v>3352</v>
      </c>
      <c r="L5299" s="33" t="s">
        <v>15594</v>
      </c>
      <c r="M5299" s="33" t="s">
        <v>21</v>
      </c>
      <c r="N5299" s="33" t="s">
        <v>3353</v>
      </c>
      <c r="O5299" s="33" t="s">
        <v>950</v>
      </c>
      <c r="P5299" s="33" t="s">
        <v>30089</v>
      </c>
      <c r="Q5299" s="40" t="s">
        <v>3354</v>
      </c>
      <c r="R5299" s="33" t="s">
        <v>512</v>
      </c>
      <c r="S5299" s="33" t="s">
        <v>22</v>
      </c>
      <c r="T5299" s="33" t="s">
        <v>26774</v>
      </c>
      <c r="U5299" s="33" t="s">
        <v>26570</v>
      </c>
      <c r="V5299" s="33" t="s">
        <v>26573</v>
      </c>
      <c r="W5299" s="33" t="s">
        <v>94</v>
      </c>
      <c r="X5299" s="33">
        <v>208</v>
      </c>
      <c r="Z5299" s="33" t="s">
        <v>42968</v>
      </c>
      <c r="AA5299" s="33">
        <v>2368</v>
      </c>
    </row>
    <row r="5300" spans="1:27" ht="12" customHeight="1" x14ac:dyDescent="0.15">
      <c r="A5300" s="33" t="s">
        <v>3337</v>
      </c>
      <c r="B5300" s="33">
        <v>36</v>
      </c>
      <c r="C5300" s="33" t="s">
        <v>14</v>
      </c>
      <c r="D5300" s="33" t="s">
        <v>31</v>
      </c>
      <c r="F5300" s="67">
        <v>42076</v>
      </c>
      <c r="G5300" s="33" t="s">
        <v>3338</v>
      </c>
      <c r="H5300" s="33" t="s">
        <v>387</v>
      </c>
      <c r="I5300" s="33" t="s">
        <v>39</v>
      </c>
      <c r="J5300" s="33" t="s">
        <v>3339</v>
      </c>
      <c r="K5300" s="33" t="s">
        <v>288</v>
      </c>
      <c r="L5300" s="33" t="s">
        <v>388</v>
      </c>
      <c r="M5300" s="33" t="s">
        <v>21</v>
      </c>
      <c r="N5300" s="33" t="s">
        <v>3340</v>
      </c>
      <c r="O5300" s="33" t="s">
        <v>950</v>
      </c>
      <c r="P5300" s="33" t="s">
        <v>30089</v>
      </c>
      <c r="Q5300" s="40" t="s">
        <v>3341</v>
      </c>
      <c r="R5300" s="33" t="s">
        <v>512</v>
      </c>
      <c r="S5300" s="33" t="s">
        <v>22</v>
      </c>
      <c r="T5300" s="33" t="s">
        <v>26774</v>
      </c>
      <c r="U5300" s="33" t="s">
        <v>26572</v>
      </c>
      <c r="V5300" s="33" t="s">
        <v>26573</v>
      </c>
      <c r="W5300" s="33" t="s">
        <v>94</v>
      </c>
      <c r="X5300" s="33">
        <v>289</v>
      </c>
      <c r="Z5300" s="33" t="s">
        <v>42968</v>
      </c>
      <c r="AA5300" s="33">
        <v>2363</v>
      </c>
    </row>
    <row r="5301" spans="1:27" ht="12" customHeight="1" x14ac:dyDescent="0.15">
      <c r="A5301" s="33" t="s">
        <v>3342</v>
      </c>
      <c r="B5301" s="33">
        <v>59</v>
      </c>
      <c r="C5301" s="33" t="s">
        <v>14</v>
      </c>
      <c r="D5301" s="33" t="s">
        <v>31</v>
      </c>
      <c r="F5301" s="67">
        <v>42076</v>
      </c>
      <c r="G5301" s="33" t="s">
        <v>3343</v>
      </c>
      <c r="H5301" s="33" t="s">
        <v>401</v>
      </c>
      <c r="I5301" s="33" t="s">
        <v>402</v>
      </c>
      <c r="J5301" s="33" t="s">
        <v>3344</v>
      </c>
      <c r="K5301" s="33" t="s">
        <v>404</v>
      </c>
      <c r="L5301" s="33" t="s">
        <v>5161</v>
      </c>
      <c r="M5301" s="33" t="s">
        <v>21</v>
      </c>
      <c r="N5301" s="33" t="s">
        <v>3345</v>
      </c>
      <c r="O5301" s="33" t="s">
        <v>372</v>
      </c>
      <c r="P5301" s="33" t="s">
        <v>30089</v>
      </c>
      <c r="Q5301" s="40" t="s">
        <v>3346</v>
      </c>
      <c r="R5301" s="33" t="s">
        <v>23</v>
      </c>
      <c r="S5301" s="33" t="s">
        <v>22</v>
      </c>
      <c r="T5301" s="33" t="s">
        <v>26781</v>
      </c>
      <c r="U5301" s="33" t="s">
        <v>26572</v>
      </c>
      <c r="V5301" s="33" t="s">
        <v>26573</v>
      </c>
      <c r="W5301" s="33" t="s">
        <v>94</v>
      </c>
      <c r="X5301" s="33">
        <v>283</v>
      </c>
      <c r="Z5301" s="33" t="s">
        <v>42966</v>
      </c>
      <c r="AA5301" s="33">
        <v>2362</v>
      </c>
    </row>
    <row r="5302" spans="1:27" ht="12" customHeight="1" x14ac:dyDescent="0.15">
      <c r="A5302" s="33" t="s">
        <v>3323</v>
      </c>
      <c r="B5302" s="33">
        <v>23</v>
      </c>
      <c r="C5302" s="33" t="s">
        <v>14</v>
      </c>
      <c r="D5302" s="33" t="s">
        <v>42</v>
      </c>
      <c r="E5302" s="33" t="s">
        <v>3324</v>
      </c>
      <c r="F5302" s="67">
        <v>42076</v>
      </c>
      <c r="G5302" s="33" t="s">
        <v>3325</v>
      </c>
      <c r="H5302" s="33" t="s">
        <v>2654</v>
      </c>
      <c r="I5302" s="33" t="s">
        <v>39</v>
      </c>
      <c r="J5302" s="33" t="s">
        <v>3326</v>
      </c>
      <c r="K5302" s="33" t="s">
        <v>92</v>
      </c>
      <c r="L5302" s="33" t="s">
        <v>93</v>
      </c>
      <c r="M5302" s="33" t="s">
        <v>21</v>
      </c>
      <c r="N5302" s="33" t="s">
        <v>3327</v>
      </c>
      <c r="O5302" s="33" t="s">
        <v>372</v>
      </c>
      <c r="P5302" s="33" t="s">
        <v>30089</v>
      </c>
      <c r="Q5302" s="40" t="s">
        <v>3328</v>
      </c>
      <c r="R5302" s="33" t="s">
        <v>904</v>
      </c>
      <c r="S5302" s="33" t="s">
        <v>12</v>
      </c>
      <c r="T5302" s="54" t="s">
        <v>29705</v>
      </c>
      <c r="Z5302" s="33" t="s">
        <v>42968</v>
      </c>
      <c r="AA5302" s="33">
        <v>2365</v>
      </c>
    </row>
    <row r="5303" spans="1:27" ht="12" customHeight="1" x14ac:dyDescent="0.15">
      <c r="A5303" s="33" t="s">
        <v>3362</v>
      </c>
      <c r="B5303" s="33">
        <v>32</v>
      </c>
      <c r="C5303" s="33" t="s">
        <v>14</v>
      </c>
      <c r="D5303" s="33" t="s">
        <v>42</v>
      </c>
      <c r="E5303" s="33" t="s">
        <v>3363</v>
      </c>
      <c r="F5303" s="67">
        <v>42076</v>
      </c>
      <c r="G5303" s="33" t="s">
        <v>3364</v>
      </c>
      <c r="H5303" s="33" t="s">
        <v>92</v>
      </c>
      <c r="I5303" s="33" t="s">
        <v>39</v>
      </c>
      <c r="J5303" s="33" t="s">
        <v>3365</v>
      </c>
      <c r="K5303" s="33" t="s">
        <v>92</v>
      </c>
      <c r="L5303" s="33" t="s">
        <v>386</v>
      </c>
      <c r="M5303" s="33" t="s">
        <v>21</v>
      </c>
      <c r="N5303" s="33" t="s">
        <v>3366</v>
      </c>
      <c r="O5303" s="33" t="s">
        <v>950</v>
      </c>
      <c r="P5303" s="33" t="s">
        <v>30089</v>
      </c>
      <c r="Q5303" s="40" t="s">
        <v>3367</v>
      </c>
      <c r="R5303" s="33" t="s">
        <v>23</v>
      </c>
      <c r="S5303" s="33" t="s">
        <v>12</v>
      </c>
      <c r="T5303" s="33" t="s">
        <v>29705</v>
      </c>
      <c r="U5303" s="33" t="s">
        <v>26570</v>
      </c>
      <c r="V5303" s="33" t="s">
        <v>26574</v>
      </c>
      <c r="W5303" s="33" t="s">
        <v>94</v>
      </c>
      <c r="X5303" s="33">
        <v>351</v>
      </c>
      <c r="Z5303" s="33" t="s">
        <v>42966</v>
      </c>
      <c r="AA5303" s="33">
        <v>2364</v>
      </c>
    </row>
    <row r="5304" spans="1:27" ht="12" customHeight="1" x14ac:dyDescent="0.15">
      <c r="A5304" s="33" t="s">
        <v>3329</v>
      </c>
      <c r="B5304" s="33">
        <v>41</v>
      </c>
      <c r="C5304" s="33" t="s">
        <v>14</v>
      </c>
      <c r="D5304" s="33" t="s">
        <v>42</v>
      </c>
      <c r="E5304" s="33" t="s">
        <v>3330</v>
      </c>
      <c r="F5304" s="67">
        <v>42076</v>
      </c>
      <c r="G5304" s="33" t="s">
        <v>3331</v>
      </c>
      <c r="H5304" s="33" t="s">
        <v>3332</v>
      </c>
      <c r="I5304" s="33" t="s">
        <v>39</v>
      </c>
      <c r="J5304" s="33" t="s">
        <v>3333</v>
      </c>
      <c r="K5304" s="33" t="s">
        <v>3332</v>
      </c>
      <c r="L5304" s="33" t="s">
        <v>3334</v>
      </c>
      <c r="M5304" s="33" t="s">
        <v>21</v>
      </c>
      <c r="N5304" s="33" t="s">
        <v>3335</v>
      </c>
      <c r="O5304" s="33" t="s">
        <v>950</v>
      </c>
      <c r="P5304" s="33" t="s">
        <v>30089</v>
      </c>
      <c r="Q5304" s="40" t="s">
        <v>3336</v>
      </c>
      <c r="R5304" s="33" t="s">
        <v>23</v>
      </c>
      <c r="S5304" s="33" t="s">
        <v>22</v>
      </c>
      <c r="T5304" s="33" t="s">
        <v>26781</v>
      </c>
      <c r="U5304" s="33" t="s">
        <v>26570</v>
      </c>
      <c r="V5304" s="33" t="s">
        <v>19228</v>
      </c>
      <c r="W5304" s="33" t="s">
        <v>94</v>
      </c>
      <c r="X5304" s="33">
        <v>207</v>
      </c>
      <c r="Z5304" s="33" t="s">
        <v>42968</v>
      </c>
      <c r="AA5304" s="33">
        <v>2361</v>
      </c>
    </row>
    <row r="5305" spans="1:27" ht="12" customHeight="1" x14ac:dyDescent="0.15">
      <c r="A5305" s="33" t="s">
        <v>3355</v>
      </c>
      <c r="B5305" s="33">
        <v>35</v>
      </c>
      <c r="C5305" s="33" t="s">
        <v>14</v>
      </c>
      <c r="D5305" s="33" t="s">
        <v>79</v>
      </c>
      <c r="F5305" s="67">
        <v>42075</v>
      </c>
      <c r="G5305" s="33" t="s">
        <v>3356</v>
      </c>
      <c r="H5305" s="33" t="s">
        <v>107</v>
      </c>
      <c r="I5305" s="33" t="s">
        <v>3357</v>
      </c>
      <c r="J5305" s="33" t="s">
        <v>3358</v>
      </c>
      <c r="K5305" s="33" t="s">
        <v>3359</v>
      </c>
      <c r="L5305" s="33" t="s">
        <v>3360</v>
      </c>
      <c r="M5305" s="33" t="s">
        <v>21</v>
      </c>
      <c r="N5305" s="33" t="s">
        <v>27810</v>
      </c>
      <c r="O5305" s="33" t="s">
        <v>372</v>
      </c>
      <c r="P5305" s="33" t="s">
        <v>30089</v>
      </c>
      <c r="Q5305" s="40" t="s">
        <v>3361</v>
      </c>
      <c r="R5305" s="33" t="s">
        <v>512</v>
      </c>
      <c r="S5305" s="33" t="s">
        <v>12</v>
      </c>
      <c r="T5305" s="33" t="s">
        <v>29705</v>
      </c>
      <c r="U5305" s="33" t="s">
        <v>26570</v>
      </c>
      <c r="V5305" s="33" t="s">
        <v>26573</v>
      </c>
      <c r="W5305" s="33" t="s">
        <v>94</v>
      </c>
      <c r="X5305" s="33">
        <v>282</v>
      </c>
      <c r="Z5305" s="33" t="s">
        <v>42966</v>
      </c>
      <c r="AA5305" s="33">
        <v>2360</v>
      </c>
    </row>
    <row r="5306" spans="1:27" ht="12" customHeight="1" x14ac:dyDescent="0.15">
      <c r="A5306" s="33" t="s">
        <v>3388</v>
      </c>
      <c r="B5306" s="33">
        <v>25</v>
      </c>
      <c r="C5306" s="33" t="s">
        <v>14</v>
      </c>
      <c r="D5306" s="33" t="s">
        <v>42</v>
      </c>
      <c r="F5306" s="67">
        <v>42074</v>
      </c>
      <c r="G5306" s="33" t="s">
        <v>3389</v>
      </c>
      <c r="H5306" s="33" t="s">
        <v>3390</v>
      </c>
      <c r="I5306" s="33" t="s">
        <v>39</v>
      </c>
      <c r="J5306" s="33" t="s">
        <v>3391</v>
      </c>
      <c r="K5306" s="33" t="s">
        <v>92</v>
      </c>
      <c r="L5306" s="33" t="s">
        <v>3392</v>
      </c>
      <c r="M5306" s="33" t="s">
        <v>21</v>
      </c>
      <c r="N5306" s="33" t="s">
        <v>3393</v>
      </c>
      <c r="O5306" s="33" t="s">
        <v>950</v>
      </c>
      <c r="P5306" s="33" t="s">
        <v>30089</v>
      </c>
      <c r="Q5306" s="40" t="s">
        <v>3394</v>
      </c>
      <c r="R5306" s="33" t="s">
        <v>23</v>
      </c>
      <c r="S5306" s="33" t="s">
        <v>351</v>
      </c>
      <c r="T5306" s="33" t="s">
        <v>26867</v>
      </c>
      <c r="U5306" s="33" t="s">
        <v>26570</v>
      </c>
      <c r="V5306" s="33" t="s">
        <v>26573</v>
      </c>
      <c r="W5306" s="33" t="s">
        <v>94</v>
      </c>
      <c r="X5306" s="33">
        <v>796</v>
      </c>
      <c r="Z5306" s="33" t="s">
        <v>42966</v>
      </c>
      <c r="AA5306" s="33">
        <v>2359</v>
      </c>
    </row>
    <row r="5307" spans="1:27" ht="12" customHeight="1" x14ac:dyDescent="0.15">
      <c r="A5307" s="33" t="s">
        <v>3368</v>
      </c>
      <c r="B5307" s="33">
        <v>37</v>
      </c>
      <c r="C5307" s="33" t="s">
        <v>14</v>
      </c>
      <c r="D5307" s="33" t="s">
        <v>79</v>
      </c>
      <c r="E5307" s="33" t="s">
        <v>3369</v>
      </c>
      <c r="F5307" s="67">
        <v>42074</v>
      </c>
      <c r="G5307" s="33" t="s">
        <v>3370</v>
      </c>
      <c r="H5307" s="33" t="s">
        <v>3371</v>
      </c>
      <c r="I5307" s="33" t="s">
        <v>46</v>
      </c>
      <c r="J5307" s="33" t="s">
        <v>3372</v>
      </c>
      <c r="K5307" s="33" t="s">
        <v>646</v>
      </c>
      <c r="L5307" s="33" t="s">
        <v>3373</v>
      </c>
      <c r="M5307" s="33" t="s">
        <v>21</v>
      </c>
      <c r="N5307" s="33" t="s">
        <v>3374</v>
      </c>
      <c r="O5307" s="33" t="s">
        <v>950</v>
      </c>
      <c r="P5307" s="33" t="s">
        <v>30089</v>
      </c>
      <c r="Q5307" s="40" t="s">
        <v>3375</v>
      </c>
      <c r="R5307" s="33" t="s">
        <v>23</v>
      </c>
      <c r="S5307" s="33" t="s">
        <v>351</v>
      </c>
      <c r="T5307" s="33" t="s">
        <v>26867</v>
      </c>
      <c r="U5307" s="33" t="s">
        <v>26570</v>
      </c>
      <c r="V5307" s="33" t="s">
        <v>26573</v>
      </c>
      <c r="W5307" s="33" t="s">
        <v>94</v>
      </c>
      <c r="X5307" s="33">
        <v>248</v>
      </c>
      <c r="Z5307" s="33" t="s">
        <v>42968</v>
      </c>
      <c r="AA5307" s="33">
        <v>2358</v>
      </c>
    </row>
    <row r="5308" spans="1:27" ht="12" customHeight="1" x14ac:dyDescent="0.15">
      <c r="A5308" s="33" t="s">
        <v>3437</v>
      </c>
      <c r="B5308" s="33">
        <v>53</v>
      </c>
      <c r="C5308" s="33" t="s">
        <v>14</v>
      </c>
      <c r="D5308" s="33" t="s">
        <v>31</v>
      </c>
      <c r="F5308" s="67">
        <v>42074</v>
      </c>
      <c r="G5308" s="33" t="s">
        <v>3438</v>
      </c>
      <c r="H5308" s="33" t="s">
        <v>3439</v>
      </c>
      <c r="I5308" s="33" t="s">
        <v>88</v>
      </c>
      <c r="J5308" s="33" t="s">
        <v>3440</v>
      </c>
      <c r="K5308" s="33" t="s">
        <v>1659</v>
      </c>
      <c r="L5308" s="33" t="s">
        <v>3441</v>
      </c>
      <c r="M5308" s="33" t="s">
        <v>21</v>
      </c>
      <c r="N5308" s="33" t="s">
        <v>3442</v>
      </c>
      <c r="O5308" s="33" t="s">
        <v>372</v>
      </c>
      <c r="P5308" s="33" t="s">
        <v>30089</v>
      </c>
      <c r="Q5308" s="40" t="s">
        <v>3443</v>
      </c>
      <c r="R5308" s="33" t="s">
        <v>512</v>
      </c>
      <c r="S5308" s="33" t="s">
        <v>22</v>
      </c>
      <c r="T5308" s="33" t="s">
        <v>26781</v>
      </c>
      <c r="U5308" s="33" t="s">
        <v>26572</v>
      </c>
      <c r="V5308" s="33" t="s">
        <v>26573</v>
      </c>
      <c r="W5308" s="33" t="s">
        <v>94</v>
      </c>
      <c r="X5308" s="33">
        <v>581</v>
      </c>
      <c r="Z5308" s="33" t="s">
        <v>42968</v>
      </c>
      <c r="AA5308" s="33">
        <v>2356</v>
      </c>
    </row>
    <row r="5309" spans="1:27" ht="12" customHeight="1" x14ac:dyDescent="0.15">
      <c r="A5309" s="33" t="s">
        <v>3395</v>
      </c>
      <c r="B5309" s="33">
        <v>54</v>
      </c>
      <c r="C5309" s="33" t="s">
        <v>14</v>
      </c>
      <c r="D5309" s="33" t="s">
        <v>31</v>
      </c>
      <c r="E5309" s="33" t="s">
        <v>3396</v>
      </c>
      <c r="F5309" s="67">
        <v>42074</v>
      </c>
      <c r="G5309" s="33" t="s">
        <v>3397</v>
      </c>
      <c r="H5309" s="33" t="s">
        <v>3398</v>
      </c>
      <c r="I5309" s="33" t="s">
        <v>88</v>
      </c>
      <c r="J5309" s="33" t="s">
        <v>3399</v>
      </c>
      <c r="K5309" s="33" t="s">
        <v>3400</v>
      </c>
      <c r="L5309" s="33" t="s">
        <v>3401</v>
      </c>
      <c r="M5309" s="33" t="s">
        <v>21</v>
      </c>
      <c r="N5309" s="33" t="s">
        <v>3402</v>
      </c>
      <c r="O5309" s="33" t="s">
        <v>950</v>
      </c>
      <c r="P5309" s="33" t="s">
        <v>30089</v>
      </c>
      <c r="Q5309" s="40" t="s">
        <v>3403</v>
      </c>
      <c r="R5309" s="33" t="s">
        <v>512</v>
      </c>
      <c r="S5309" s="33" t="s">
        <v>22</v>
      </c>
      <c r="T5309" s="33" t="s">
        <v>26781</v>
      </c>
      <c r="U5309" s="33" t="s">
        <v>26572</v>
      </c>
      <c r="V5309" s="33" t="s">
        <v>26573</v>
      </c>
      <c r="W5309" s="33" t="s">
        <v>94</v>
      </c>
      <c r="X5309" s="33">
        <v>307</v>
      </c>
      <c r="Z5309" s="33" t="s">
        <v>42967</v>
      </c>
      <c r="AA5309" s="33">
        <v>2355</v>
      </c>
    </row>
    <row r="5310" spans="1:27" ht="12" customHeight="1" x14ac:dyDescent="0.15">
      <c r="A5310" s="33" t="s">
        <v>3404</v>
      </c>
      <c r="B5310" s="33">
        <v>31</v>
      </c>
      <c r="C5310" s="33" t="s">
        <v>14</v>
      </c>
      <c r="D5310" s="33" t="s">
        <v>31</v>
      </c>
      <c r="E5310" s="33" t="s">
        <v>3405</v>
      </c>
      <c r="F5310" s="67">
        <v>42074</v>
      </c>
      <c r="G5310" s="33" t="s">
        <v>3406</v>
      </c>
      <c r="H5310" s="33" t="s">
        <v>1116</v>
      </c>
      <c r="I5310" s="33" t="s">
        <v>298</v>
      </c>
      <c r="J5310" s="33" t="s">
        <v>3407</v>
      </c>
      <c r="K5310" s="33" t="s">
        <v>1117</v>
      </c>
      <c r="L5310" s="33" t="s">
        <v>1118</v>
      </c>
      <c r="M5310" s="33" t="s">
        <v>21</v>
      </c>
      <c r="N5310" s="33" t="s">
        <v>3408</v>
      </c>
      <c r="O5310" s="33" t="s">
        <v>950</v>
      </c>
      <c r="P5310" s="33" t="s">
        <v>30089</v>
      </c>
      <c r="Q5310" s="40" t="s">
        <v>3409</v>
      </c>
      <c r="R5310" s="33" t="s">
        <v>512</v>
      </c>
      <c r="S5310" s="33" t="s">
        <v>22</v>
      </c>
      <c r="T5310" s="33" t="s">
        <v>26781</v>
      </c>
      <c r="U5310" s="33" t="s">
        <v>26572</v>
      </c>
      <c r="V5310" s="33" t="s">
        <v>26573</v>
      </c>
      <c r="W5310" s="33" t="s">
        <v>94</v>
      </c>
      <c r="X5310" s="33">
        <v>277</v>
      </c>
      <c r="Z5310" s="33" t="s">
        <v>42966</v>
      </c>
      <c r="AA5310" s="33">
        <v>2353</v>
      </c>
    </row>
    <row r="5311" spans="1:27" ht="12" customHeight="1" x14ac:dyDescent="0.15">
      <c r="A5311" s="33" t="s">
        <v>3380</v>
      </c>
      <c r="B5311" s="33">
        <v>39</v>
      </c>
      <c r="C5311" s="33" t="s">
        <v>14</v>
      </c>
      <c r="D5311" s="33" t="s">
        <v>42</v>
      </c>
      <c r="E5311" s="33" t="s">
        <v>3381</v>
      </c>
      <c r="F5311" s="67">
        <v>42074</v>
      </c>
      <c r="G5311" s="33" t="s">
        <v>3382</v>
      </c>
      <c r="H5311" s="33" t="s">
        <v>3383</v>
      </c>
      <c r="I5311" s="33" t="s">
        <v>39</v>
      </c>
      <c r="J5311" s="33" t="s">
        <v>3384</v>
      </c>
      <c r="K5311" s="33" t="s">
        <v>998</v>
      </c>
      <c r="L5311" s="33" t="s">
        <v>3385</v>
      </c>
      <c r="M5311" s="33" t="s">
        <v>21</v>
      </c>
      <c r="N5311" s="33" t="s">
        <v>3386</v>
      </c>
      <c r="O5311" s="33" t="s">
        <v>950</v>
      </c>
      <c r="P5311" s="33" t="s">
        <v>30089</v>
      </c>
      <c r="Q5311" s="40" t="s">
        <v>3387</v>
      </c>
      <c r="R5311" s="33" t="s">
        <v>512</v>
      </c>
      <c r="S5311" s="33" t="s">
        <v>22</v>
      </c>
      <c r="T5311" s="33" t="s">
        <v>26781</v>
      </c>
      <c r="U5311" s="33" t="s">
        <v>26572</v>
      </c>
      <c r="V5311" s="33" t="s">
        <v>26573</v>
      </c>
      <c r="W5311" s="33" t="s">
        <v>94</v>
      </c>
      <c r="X5311" s="33">
        <v>279</v>
      </c>
      <c r="Z5311" s="33" t="s">
        <v>42966</v>
      </c>
      <c r="AA5311" s="33">
        <v>2354</v>
      </c>
    </row>
    <row r="5312" spans="1:27" ht="12" customHeight="1" x14ac:dyDescent="0.15">
      <c r="A5312" s="33" t="s">
        <v>3410</v>
      </c>
      <c r="B5312" s="33">
        <v>31</v>
      </c>
      <c r="C5312" s="33" t="s">
        <v>14</v>
      </c>
      <c r="D5312" s="33" t="s">
        <v>31</v>
      </c>
      <c r="E5312" s="33" t="s">
        <v>3411</v>
      </c>
      <c r="F5312" s="67">
        <v>42074</v>
      </c>
      <c r="G5312" s="33" t="s">
        <v>3412</v>
      </c>
      <c r="H5312" s="33" t="s">
        <v>3413</v>
      </c>
      <c r="I5312" s="33" t="s">
        <v>112</v>
      </c>
      <c r="J5312" s="33" t="s">
        <v>3414</v>
      </c>
      <c r="K5312" s="33" t="s">
        <v>3415</v>
      </c>
      <c r="L5312" s="33" t="s">
        <v>13350</v>
      </c>
      <c r="M5312" s="33" t="s">
        <v>21</v>
      </c>
      <c r="N5312" s="33" t="s">
        <v>3416</v>
      </c>
      <c r="O5312" s="33" t="s">
        <v>950</v>
      </c>
      <c r="P5312" s="33" t="s">
        <v>30089</v>
      </c>
      <c r="Q5312" s="40" t="s">
        <v>3417</v>
      </c>
      <c r="R5312" s="33" t="s">
        <v>512</v>
      </c>
      <c r="S5312" s="33" t="s">
        <v>12</v>
      </c>
      <c r="T5312" s="33" t="s">
        <v>29425</v>
      </c>
      <c r="U5312" s="33" t="s">
        <v>26572</v>
      </c>
      <c r="V5312" s="33" t="s">
        <v>26573</v>
      </c>
      <c r="W5312" s="33" t="s">
        <v>94</v>
      </c>
      <c r="X5312" s="33">
        <v>281</v>
      </c>
      <c r="Z5312" s="33" t="s">
        <v>42968</v>
      </c>
      <c r="AA5312" s="33">
        <v>2357</v>
      </c>
    </row>
    <row r="5313" spans="1:27" ht="12" customHeight="1" x14ac:dyDescent="0.15">
      <c r="A5313" s="33" t="s">
        <v>3432</v>
      </c>
      <c r="B5313" s="33">
        <v>31</v>
      </c>
      <c r="C5313" s="33" t="s">
        <v>14</v>
      </c>
      <c r="D5313" s="33" t="s">
        <v>79</v>
      </c>
      <c r="E5313" s="33" t="s">
        <v>3433</v>
      </c>
      <c r="F5313" s="67">
        <v>42073</v>
      </c>
      <c r="G5313" s="33" t="s">
        <v>3434</v>
      </c>
      <c r="H5313" s="33" t="s">
        <v>172</v>
      </c>
      <c r="I5313" s="33" t="s">
        <v>19</v>
      </c>
      <c r="J5313" s="33" t="s">
        <v>1572</v>
      </c>
      <c r="K5313" s="33" t="s">
        <v>3435</v>
      </c>
      <c r="L5313" s="33" t="s">
        <v>1573</v>
      </c>
      <c r="M5313" s="33" t="s">
        <v>21</v>
      </c>
      <c r="N5313" s="33" t="s">
        <v>26770</v>
      </c>
      <c r="O5313" s="33" t="s">
        <v>950</v>
      </c>
      <c r="P5313" s="33" t="s">
        <v>30089</v>
      </c>
      <c r="Q5313" s="40" t="s">
        <v>3436</v>
      </c>
      <c r="R5313" s="33" t="s">
        <v>23</v>
      </c>
      <c r="S5313" s="33" t="s">
        <v>22</v>
      </c>
      <c r="T5313" s="33" t="s">
        <v>26781</v>
      </c>
      <c r="U5313" s="33" t="s">
        <v>26572</v>
      </c>
      <c r="V5313" s="33" t="s">
        <v>26573</v>
      </c>
      <c r="W5313" s="33" t="s">
        <v>94</v>
      </c>
      <c r="X5313" s="33">
        <v>278</v>
      </c>
      <c r="Z5313" s="33" t="s">
        <v>42968</v>
      </c>
      <c r="AA5313" s="33">
        <v>2349</v>
      </c>
    </row>
    <row r="5314" spans="1:27" ht="12" customHeight="1" x14ac:dyDescent="0.15">
      <c r="A5314" s="33" t="s">
        <v>3376</v>
      </c>
      <c r="B5314" s="33">
        <v>64</v>
      </c>
      <c r="C5314" s="33" t="s">
        <v>14</v>
      </c>
      <c r="D5314" s="33" t="s">
        <v>79</v>
      </c>
      <c r="E5314" s="33" t="s">
        <v>3377</v>
      </c>
      <c r="F5314" s="67">
        <v>42073</v>
      </c>
      <c r="G5314" s="33" t="s">
        <v>3378</v>
      </c>
      <c r="H5314" s="33" t="s">
        <v>924</v>
      </c>
      <c r="I5314" s="33" t="s">
        <v>63</v>
      </c>
      <c r="J5314" s="33">
        <v>44105</v>
      </c>
      <c r="K5314" s="33" t="s">
        <v>95</v>
      </c>
      <c r="L5314" s="33" t="s">
        <v>29641</v>
      </c>
      <c r="M5314" s="33" t="s">
        <v>21</v>
      </c>
      <c r="N5314" s="33" t="s">
        <v>3379</v>
      </c>
      <c r="P5314" s="33" t="s">
        <v>30089</v>
      </c>
      <c r="Q5314" s="40" t="str">
        <f>HYPERLINK("http://www.19actionnews.com/story/28380324/one-dead-after-officer-involved-shooting-in-cleveland","http://www.19actionnews.com/story/28380324/one-dead-after-officer-involved-shooting-in-cleveland")</f>
        <v>http://www.19actionnews.com/story/28380324/one-dead-after-officer-involved-shooting-in-cleveland</v>
      </c>
      <c r="R5314" s="33" t="s">
        <v>23</v>
      </c>
      <c r="S5314" s="33" t="s">
        <v>22</v>
      </c>
      <c r="T5314" s="33" t="s">
        <v>26781</v>
      </c>
      <c r="U5314" s="33" t="s">
        <v>26572</v>
      </c>
      <c r="V5314" s="33" t="s">
        <v>26573</v>
      </c>
      <c r="W5314" s="33" t="s">
        <v>512</v>
      </c>
      <c r="X5314" s="33">
        <v>206</v>
      </c>
      <c r="Z5314" s="33" t="s">
        <v>42966</v>
      </c>
      <c r="AA5314" s="33">
        <v>2348</v>
      </c>
    </row>
    <row r="5315" spans="1:27" ht="12" customHeight="1" x14ac:dyDescent="0.15">
      <c r="A5315" s="33" t="s">
        <v>3418</v>
      </c>
      <c r="B5315" s="33">
        <v>29</v>
      </c>
      <c r="C5315" s="33" t="s">
        <v>14</v>
      </c>
      <c r="D5315" s="33" t="s">
        <v>79</v>
      </c>
      <c r="E5315" s="33" t="s">
        <v>3419</v>
      </c>
      <c r="F5315" s="67">
        <v>42073</v>
      </c>
      <c r="G5315" s="33" t="s">
        <v>3420</v>
      </c>
      <c r="H5315" s="33" t="s">
        <v>2401</v>
      </c>
      <c r="I5315" s="33" t="s">
        <v>63</v>
      </c>
      <c r="J5315" s="33" t="s">
        <v>3421</v>
      </c>
      <c r="K5315" s="33" t="s">
        <v>2402</v>
      </c>
      <c r="L5315" s="33" t="s">
        <v>2403</v>
      </c>
      <c r="M5315" s="33" t="s">
        <v>363</v>
      </c>
      <c r="N5315" s="33" t="s">
        <v>3422</v>
      </c>
      <c r="O5315" s="33" t="s">
        <v>372</v>
      </c>
      <c r="P5315" s="33" t="s">
        <v>30089</v>
      </c>
      <c r="Q5315" s="40" t="s">
        <v>3423</v>
      </c>
      <c r="R5315" s="33" t="s">
        <v>512</v>
      </c>
      <c r="S5315" s="33" t="s">
        <v>12</v>
      </c>
      <c r="T5315" s="54" t="s">
        <v>29705</v>
      </c>
      <c r="Z5315" s="33" t="s">
        <v>42968</v>
      </c>
      <c r="AA5315" s="33">
        <v>2352</v>
      </c>
    </row>
    <row r="5316" spans="1:27" ht="12" customHeight="1" x14ac:dyDescent="0.15">
      <c r="A5316" s="33" t="s">
        <v>3002</v>
      </c>
      <c r="B5316" s="33">
        <v>37</v>
      </c>
      <c r="C5316" s="33" t="s">
        <v>14</v>
      </c>
      <c r="D5316" s="33" t="s">
        <v>42</v>
      </c>
      <c r="F5316" s="67">
        <v>42073</v>
      </c>
      <c r="G5316" s="33" t="s">
        <v>3444</v>
      </c>
      <c r="H5316" s="33" t="s">
        <v>447</v>
      </c>
      <c r="I5316" s="33" t="s">
        <v>39</v>
      </c>
      <c r="J5316" s="33" t="s">
        <v>3445</v>
      </c>
      <c r="K5316" s="33" t="s">
        <v>288</v>
      </c>
      <c r="L5316" s="33" t="s">
        <v>448</v>
      </c>
      <c r="M5316" s="33" t="s">
        <v>21</v>
      </c>
      <c r="N5316" s="33" t="s">
        <v>3446</v>
      </c>
      <c r="O5316" s="33" t="s">
        <v>950</v>
      </c>
      <c r="P5316" s="33" t="s">
        <v>30089</v>
      </c>
      <c r="Q5316" s="40" t="s">
        <v>3447</v>
      </c>
      <c r="R5316" s="33" t="s">
        <v>512</v>
      </c>
      <c r="S5316" s="33" t="s">
        <v>22</v>
      </c>
      <c r="T5316" s="33" t="s">
        <v>28239</v>
      </c>
      <c r="U5316" s="33" t="s">
        <v>26570</v>
      </c>
      <c r="V5316" s="33" t="s">
        <v>26571</v>
      </c>
      <c r="W5316" s="33" t="s">
        <v>94</v>
      </c>
      <c r="X5316" s="33">
        <v>883</v>
      </c>
      <c r="Z5316" s="33" t="s">
        <v>42968</v>
      </c>
      <c r="AA5316" s="33">
        <v>2351</v>
      </c>
    </row>
    <row r="5317" spans="1:27" ht="12" customHeight="1" x14ac:dyDescent="0.15">
      <c r="A5317" s="33" t="s">
        <v>3424</v>
      </c>
      <c r="B5317" s="33">
        <v>23</v>
      </c>
      <c r="C5317" s="33" t="s">
        <v>14</v>
      </c>
      <c r="D5317" s="33" t="s">
        <v>31</v>
      </c>
      <c r="F5317" s="67">
        <v>42073</v>
      </c>
      <c r="G5317" s="33" t="s">
        <v>3425</v>
      </c>
      <c r="H5317" s="33" t="s">
        <v>3426</v>
      </c>
      <c r="I5317" s="33" t="s">
        <v>160</v>
      </c>
      <c r="J5317" s="33" t="s">
        <v>3427</v>
      </c>
      <c r="K5317" s="33" t="s">
        <v>3428</v>
      </c>
      <c r="L5317" s="33" t="s">
        <v>3429</v>
      </c>
      <c r="M5317" s="33" t="s">
        <v>21</v>
      </c>
      <c r="N5317" s="33" t="s">
        <v>3430</v>
      </c>
      <c r="O5317" s="33" t="s">
        <v>950</v>
      </c>
      <c r="P5317" s="33" t="s">
        <v>30089</v>
      </c>
      <c r="Q5317" s="40" t="s">
        <v>3431</v>
      </c>
      <c r="R5317" s="33" t="s">
        <v>23</v>
      </c>
      <c r="S5317" s="33" t="s">
        <v>22</v>
      </c>
      <c r="T5317" s="33" t="s">
        <v>26774</v>
      </c>
      <c r="U5317" s="33" t="s">
        <v>26572</v>
      </c>
      <c r="V5317" s="33" t="s">
        <v>26573</v>
      </c>
      <c r="W5317" s="33" t="s">
        <v>512</v>
      </c>
      <c r="X5317" s="33">
        <v>536</v>
      </c>
      <c r="Z5317" s="33" t="s">
        <v>42967</v>
      </c>
      <c r="AA5317" s="33">
        <v>2350</v>
      </c>
    </row>
    <row r="5318" spans="1:27" ht="12" customHeight="1" x14ac:dyDescent="0.15">
      <c r="A5318" s="33" t="s">
        <v>3455</v>
      </c>
      <c r="B5318" s="33">
        <v>27</v>
      </c>
      <c r="C5318" s="33" t="s">
        <v>14</v>
      </c>
      <c r="D5318" s="33" t="s">
        <v>79</v>
      </c>
      <c r="E5318" s="33" t="s">
        <v>3456</v>
      </c>
      <c r="F5318" s="67">
        <v>42072</v>
      </c>
      <c r="G5318" s="33" t="s">
        <v>3457</v>
      </c>
      <c r="H5318" s="33" t="s">
        <v>3458</v>
      </c>
      <c r="I5318" s="33" t="s">
        <v>160</v>
      </c>
      <c r="J5318" s="33" t="s">
        <v>3459</v>
      </c>
      <c r="K5318" s="33" t="s">
        <v>1218</v>
      </c>
      <c r="L5318" s="33" t="s">
        <v>806</v>
      </c>
      <c r="M5318" s="33" t="s">
        <v>21</v>
      </c>
      <c r="N5318" s="33" t="s">
        <v>3460</v>
      </c>
      <c r="O5318" s="33" t="s">
        <v>19483</v>
      </c>
      <c r="P5318" s="33" t="s">
        <v>1084</v>
      </c>
      <c r="Q5318" s="40" t="s">
        <v>3461</v>
      </c>
      <c r="R5318" s="33" t="s">
        <v>512</v>
      </c>
      <c r="S5318" s="33" t="s">
        <v>12</v>
      </c>
      <c r="T5318" s="33" t="s">
        <v>29705</v>
      </c>
      <c r="U5318" s="33" t="s">
        <v>26570</v>
      </c>
      <c r="V5318" s="33" t="s">
        <v>26573</v>
      </c>
      <c r="W5318" s="33" t="s">
        <v>94</v>
      </c>
      <c r="X5318" s="33">
        <v>205</v>
      </c>
      <c r="Z5318" s="33" t="s">
        <v>42968</v>
      </c>
      <c r="AA5318" s="33">
        <v>2347</v>
      </c>
    </row>
    <row r="5319" spans="1:27" ht="12" customHeight="1" x14ac:dyDescent="0.15">
      <c r="A5319" s="33" t="s">
        <v>3462</v>
      </c>
      <c r="B5319" s="33">
        <v>46</v>
      </c>
      <c r="C5319" s="33" t="s">
        <v>14</v>
      </c>
      <c r="D5319" s="33" t="s">
        <v>31</v>
      </c>
      <c r="E5319" s="33" t="s">
        <v>3463</v>
      </c>
      <c r="F5319" s="67">
        <v>42072</v>
      </c>
      <c r="G5319" s="33" t="s">
        <v>3464</v>
      </c>
      <c r="H5319" s="33" t="s">
        <v>3465</v>
      </c>
      <c r="I5319" s="33" t="s">
        <v>192</v>
      </c>
      <c r="J5319" s="33" t="s">
        <v>3466</v>
      </c>
      <c r="K5319" s="33" t="s">
        <v>3467</v>
      </c>
      <c r="L5319" s="33" t="s">
        <v>3468</v>
      </c>
      <c r="M5319" s="33" t="s">
        <v>21</v>
      </c>
      <c r="N5319" s="33" t="s">
        <v>3469</v>
      </c>
      <c r="O5319" s="33" t="s">
        <v>950</v>
      </c>
      <c r="P5319" s="33" t="s">
        <v>30089</v>
      </c>
      <c r="Q5319" s="40" t="s">
        <v>3470</v>
      </c>
      <c r="R5319" s="33" t="s">
        <v>94</v>
      </c>
      <c r="S5319" s="33" t="s">
        <v>22</v>
      </c>
      <c r="T5319" s="33" t="s">
        <v>26781</v>
      </c>
      <c r="U5319" s="33" t="s">
        <v>26572</v>
      </c>
      <c r="V5319" s="33" t="s">
        <v>26573</v>
      </c>
      <c r="W5319" s="33" t="s">
        <v>94</v>
      </c>
      <c r="X5319" s="33">
        <v>275</v>
      </c>
      <c r="Z5319" s="33" t="s">
        <v>42967</v>
      </c>
      <c r="AA5319" s="33">
        <v>2345</v>
      </c>
    </row>
    <row r="5320" spans="1:27" ht="12" customHeight="1" x14ac:dyDescent="0.15">
      <c r="A5320" s="33" t="s">
        <v>3448</v>
      </c>
      <c r="B5320" s="33">
        <v>30</v>
      </c>
      <c r="C5320" s="33" t="s">
        <v>14</v>
      </c>
      <c r="D5320" s="33" t="s">
        <v>79</v>
      </c>
      <c r="E5320" s="33" t="s">
        <v>3449</v>
      </c>
      <c r="F5320" s="67">
        <v>42072</v>
      </c>
      <c r="G5320" s="33" t="s">
        <v>3450</v>
      </c>
      <c r="H5320" s="33" t="s">
        <v>1652</v>
      </c>
      <c r="I5320" s="33" t="s">
        <v>56</v>
      </c>
      <c r="J5320" s="33" t="s">
        <v>3451</v>
      </c>
      <c r="K5320" s="33" t="s">
        <v>1654</v>
      </c>
      <c r="L5320" s="33" t="s">
        <v>3452</v>
      </c>
      <c r="M5320" s="33" t="s">
        <v>21</v>
      </c>
      <c r="N5320" s="33" t="s">
        <v>3453</v>
      </c>
      <c r="O5320" s="33" t="s">
        <v>950</v>
      </c>
      <c r="P5320" s="33" t="s">
        <v>30089</v>
      </c>
      <c r="Q5320" s="40" t="s">
        <v>3454</v>
      </c>
      <c r="R5320" s="33" t="s">
        <v>94</v>
      </c>
      <c r="S5320" s="33" t="s">
        <v>22</v>
      </c>
      <c r="T5320" s="33" t="s">
        <v>26781</v>
      </c>
      <c r="U5320" s="33" t="s">
        <v>26572</v>
      </c>
      <c r="V5320" s="33" t="s">
        <v>26573</v>
      </c>
      <c r="W5320" s="33" t="s">
        <v>94</v>
      </c>
      <c r="X5320" s="33">
        <v>276</v>
      </c>
      <c r="Z5320" s="33" t="s">
        <v>42968</v>
      </c>
      <c r="AA5320" s="33">
        <v>2346</v>
      </c>
    </row>
    <row r="5321" spans="1:27" ht="12" customHeight="1" x14ac:dyDescent="0.15">
      <c r="A5321" s="33" t="s">
        <v>3471</v>
      </c>
      <c r="B5321" s="33">
        <v>58</v>
      </c>
      <c r="C5321" s="33" t="s">
        <v>14</v>
      </c>
      <c r="D5321" s="33" t="s">
        <v>31</v>
      </c>
      <c r="E5321" s="33" t="s">
        <v>3472</v>
      </c>
      <c r="F5321" s="67">
        <v>42072</v>
      </c>
      <c r="G5321" s="33" t="s">
        <v>3473</v>
      </c>
      <c r="H5321" s="33" t="s">
        <v>3474</v>
      </c>
      <c r="I5321" s="33" t="s">
        <v>338</v>
      </c>
      <c r="J5321" s="33" t="s">
        <v>3475</v>
      </c>
      <c r="K5321" s="33" t="s">
        <v>3476</v>
      </c>
      <c r="L5321" s="33" t="s">
        <v>36769</v>
      </c>
      <c r="M5321" s="33" t="s">
        <v>21</v>
      </c>
      <c r="N5321" s="33" t="s">
        <v>3477</v>
      </c>
      <c r="O5321" s="33" t="s">
        <v>950</v>
      </c>
      <c r="P5321" s="33" t="s">
        <v>30089</v>
      </c>
      <c r="Q5321" s="40" t="s">
        <v>3478</v>
      </c>
      <c r="R5321" s="33" t="s">
        <v>904</v>
      </c>
      <c r="S5321" s="33" t="s">
        <v>22</v>
      </c>
      <c r="T5321" s="33" t="s">
        <v>26781</v>
      </c>
      <c r="U5321" s="33" t="s">
        <v>26572</v>
      </c>
      <c r="V5321" s="33" t="s">
        <v>26573</v>
      </c>
      <c r="W5321" s="33" t="s">
        <v>94</v>
      </c>
      <c r="X5321" s="33">
        <v>274</v>
      </c>
      <c r="Z5321" s="33" t="s">
        <v>42967</v>
      </c>
      <c r="AA5321" s="33">
        <v>2344</v>
      </c>
    </row>
    <row r="5322" spans="1:27" ht="12" customHeight="1" x14ac:dyDescent="0.15">
      <c r="A5322" s="33" t="s">
        <v>3491</v>
      </c>
      <c r="B5322" s="33">
        <v>35</v>
      </c>
      <c r="C5322" s="33" t="s">
        <v>14</v>
      </c>
      <c r="D5322" s="33" t="s">
        <v>31</v>
      </c>
      <c r="E5322" s="33" t="s">
        <v>3492</v>
      </c>
      <c r="F5322" s="67">
        <v>42071</v>
      </c>
      <c r="G5322" s="33" t="s">
        <v>3493</v>
      </c>
      <c r="H5322" s="33" t="s">
        <v>3494</v>
      </c>
      <c r="I5322" s="33" t="s">
        <v>206</v>
      </c>
      <c r="J5322" s="33" t="s">
        <v>3495</v>
      </c>
      <c r="K5322" s="33" t="s">
        <v>3496</v>
      </c>
      <c r="L5322" s="33" t="s">
        <v>5554</v>
      </c>
      <c r="M5322" s="33" t="s">
        <v>21</v>
      </c>
      <c r="N5322" s="33" t="s">
        <v>3497</v>
      </c>
      <c r="O5322" s="33" t="s">
        <v>950</v>
      </c>
      <c r="P5322" s="33" t="s">
        <v>30089</v>
      </c>
      <c r="Q5322" s="40" t="s">
        <v>3498</v>
      </c>
      <c r="R5322" s="33" t="s">
        <v>94</v>
      </c>
      <c r="S5322" s="33" t="s">
        <v>351</v>
      </c>
      <c r="T5322" s="33" t="s">
        <v>26867</v>
      </c>
      <c r="U5322" s="33" t="s">
        <v>26572</v>
      </c>
      <c r="V5322" s="33" t="s">
        <v>26571</v>
      </c>
      <c r="W5322" s="33" t="s">
        <v>94</v>
      </c>
      <c r="X5322" s="33">
        <v>273</v>
      </c>
      <c r="Z5322" s="33" t="s">
        <v>42968</v>
      </c>
      <c r="AA5322" s="33">
        <v>2343</v>
      </c>
    </row>
    <row r="5323" spans="1:27" ht="12" customHeight="1" x14ac:dyDescent="0.15">
      <c r="A5323" s="33" t="s">
        <v>3479</v>
      </c>
      <c r="B5323" s="33">
        <v>43</v>
      </c>
      <c r="C5323" s="33" t="s">
        <v>103</v>
      </c>
      <c r="D5323" s="33" t="s">
        <v>79</v>
      </c>
      <c r="E5323" s="33" t="s">
        <v>3480</v>
      </c>
      <c r="F5323" s="67">
        <v>42071</v>
      </c>
      <c r="G5323" s="33" t="s">
        <v>3481</v>
      </c>
      <c r="H5323" s="33" t="s">
        <v>1751</v>
      </c>
      <c r="I5323" s="33" t="s">
        <v>39</v>
      </c>
      <c r="J5323" s="33" t="s">
        <v>3482</v>
      </c>
      <c r="K5323" s="33" t="s">
        <v>998</v>
      </c>
      <c r="L5323" s="33" t="s">
        <v>1753</v>
      </c>
      <c r="M5323" s="33" t="s">
        <v>21</v>
      </c>
      <c r="N5323" s="33" t="s">
        <v>3483</v>
      </c>
      <c r="O5323" s="33" t="s">
        <v>950</v>
      </c>
      <c r="P5323" s="33" t="s">
        <v>30089</v>
      </c>
      <c r="Q5323" s="40" t="s">
        <v>3484</v>
      </c>
      <c r="R5323" s="33" t="s">
        <v>512</v>
      </c>
      <c r="S5323" s="33" t="s">
        <v>22</v>
      </c>
      <c r="T5323" s="33" t="s">
        <v>26774</v>
      </c>
      <c r="U5323" s="33" t="s">
        <v>26570</v>
      </c>
      <c r="V5323" s="33" t="s">
        <v>26573</v>
      </c>
      <c r="W5323" s="33" t="s">
        <v>512</v>
      </c>
      <c r="X5323" s="33">
        <v>204</v>
      </c>
      <c r="Z5323" s="33" t="s">
        <v>42966</v>
      </c>
      <c r="AA5323" s="33">
        <v>2342</v>
      </c>
    </row>
    <row r="5324" spans="1:27" ht="12" customHeight="1" x14ac:dyDescent="0.15">
      <c r="A5324" s="33" t="s">
        <v>3485</v>
      </c>
      <c r="B5324" s="33">
        <v>40</v>
      </c>
      <c r="C5324" s="33" t="s">
        <v>14</v>
      </c>
      <c r="D5324" s="33" t="s">
        <v>42</v>
      </c>
      <c r="E5324" s="33" t="s">
        <v>3486</v>
      </c>
      <c r="F5324" s="67">
        <v>42071</v>
      </c>
      <c r="G5324" s="33" t="s">
        <v>3487</v>
      </c>
      <c r="H5324" s="33" t="s">
        <v>1027</v>
      </c>
      <c r="I5324" s="33" t="s">
        <v>367</v>
      </c>
      <c r="J5324" s="33" t="s">
        <v>3488</v>
      </c>
      <c r="K5324" s="33" t="s">
        <v>1028</v>
      </c>
      <c r="L5324" s="33" t="s">
        <v>1029</v>
      </c>
      <c r="M5324" s="33" t="s">
        <v>21</v>
      </c>
      <c r="N5324" s="33" t="s">
        <v>3489</v>
      </c>
      <c r="O5324" s="33" t="s">
        <v>950</v>
      </c>
      <c r="P5324" s="33" t="s">
        <v>30089</v>
      </c>
      <c r="Q5324" s="40" t="s">
        <v>3490</v>
      </c>
      <c r="R5324" s="33" t="s">
        <v>94</v>
      </c>
      <c r="S5324" s="33" t="s">
        <v>22</v>
      </c>
      <c r="T5324" s="33" t="s">
        <v>26781</v>
      </c>
      <c r="U5324" s="33" t="s">
        <v>26572</v>
      </c>
      <c r="V5324" s="33" t="s">
        <v>26573</v>
      </c>
      <c r="W5324" s="33" t="s">
        <v>94</v>
      </c>
      <c r="X5324" s="33">
        <v>272</v>
      </c>
      <c r="Z5324" s="33" t="s">
        <v>42966</v>
      </c>
      <c r="AA5324" s="33">
        <v>2341</v>
      </c>
    </row>
    <row r="5325" spans="1:27" ht="12" customHeight="1" x14ac:dyDescent="0.15">
      <c r="A5325" s="33" t="s">
        <v>3499</v>
      </c>
      <c r="B5325" s="33">
        <v>29</v>
      </c>
      <c r="C5325" s="33" t="s">
        <v>14</v>
      </c>
      <c r="D5325" s="33" t="s">
        <v>31</v>
      </c>
      <c r="E5325" s="33" t="s">
        <v>3500</v>
      </c>
      <c r="F5325" s="67">
        <v>42070</v>
      </c>
      <c r="G5325" s="33" t="s">
        <v>3501</v>
      </c>
      <c r="H5325" s="33" t="s">
        <v>584</v>
      </c>
      <c r="I5325" s="33" t="s">
        <v>112</v>
      </c>
      <c r="J5325" s="33" t="s">
        <v>2590</v>
      </c>
      <c r="K5325" s="33" t="s">
        <v>3502</v>
      </c>
      <c r="L5325" s="33" t="s">
        <v>586</v>
      </c>
      <c r="M5325" s="33" t="s">
        <v>21</v>
      </c>
      <c r="N5325" s="33" t="s">
        <v>3503</v>
      </c>
      <c r="O5325" s="33" t="s">
        <v>372</v>
      </c>
      <c r="P5325" s="33" t="s">
        <v>30089</v>
      </c>
      <c r="Q5325" s="40" t="s">
        <v>3504</v>
      </c>
      <c r="R5325" s="33" t="s">
        <v>23</v>
      </c>
      <c r="S5325" s="33" t="s">
        <v>22</v>
      </c>
      <c r="T5325" s="33" t="s">
        <v>26781</v>
      </c>
      <c r="U5325" s="33" t="s">
        <v>26572</v>
      </c>
      <c r="V5325" s="33" t="s">
        <v>26573</v>
      </c>
      <c r="W5325" s="33" t="s">
        <v>94</v>
      </c>
      <c r="X5325" s="33">
        <v>271</v>
      </c>
      <c r="Z5325" s="33" t="s">
        <v>42966</v>
      </c>
      <c r="AA5325" s="33">
        <v>2340</v>
      </c>
    </row>
    <row r="5326" spans="1:27" ht="12" customHeight="1" x14ac:dyDescent="0.15">
      <c r="A5326" s="33" t="s">
        <v>3505</v>
      </c>
      <c r="B5326" s="33">
        <v>37</v>
      </c>
      <c r="C5326" s="33" t="s">
        <v>14</v>
      </c>
      <c r="D5326" s="33" t="s">
        <v>79</v>
      </c>
      <c r="E5326" s="33" t="s">
        <v>3506</v>
      </c>
      <c r="F5326" s="67">
        <v>42069</v>
      </c>
      <c r="G5326" s="33" t="s">
        <v>3507</v>
      </c>
      <c r="H5326" s="33" t="s">
        <v>3508</v>
      </c>
      <c r="I5326" s="33" t="s">
        <v>192</v>
      </c>
      <c r="J5326" s="33" t="s">
        <v>3509</v>
      </c>
      <c r="K5326" s="33" t="s">
        <v>3510</v>
      </c>
      <c r="L5326" s="33" t="s">
        <v>3511</v>
      </c>
      <c r="M5326" s="33" t="s">
        <v>21</v>
      </c>
      <c r="N5326" s="33" t="s">
        <v>3512</v>
      </c>
      <c r="O5326" s="33" t="s">
        <v>950</v>
      </c>
      <c r="P5326" s="33" t="s">
        <v>30089</v>
      </c>
      <c r="Q5326" s="40" t="s">
        <v>3513</v>
      </c>
      <c r="R5326" s="33" t="s">
        <v>23</v>
      </c>
      <c r="S5326" s="33" t="s">
        <v>12</v>
      </c>
      <c r="T5326" s="33" t="s">
        <v>29705</v>
      </c>
      <c r="U5326" s="33" t="s">
        <v>26575</v>
      </c>
      <c r="V5326" s="33" t="s">
        <v>26574</v>
      </c>
      <c r="W5326" s="33" t="s">
        <v>94</v>
      </c>
      <c r="X5326" s="33">
        <v>269</v>
      </c>
      <c r="Z5326" s="33" t="s">
        <v>42968</v>
      </c>
      <c r="AA5326" s="33">
        <v>2337</v>
      </c>
    </row>
    <row r="5327" spans="1:27" ht="12" customHeight="1" x14ac:dyDescent="0.15">
      <c r="A5327" s="33" t="s">
        <v>3515</v>
      </c>
      <c r="B5327" s="33">
        <v>19</v>
      </c>
      <c r="C5327" s="33" t="s">
        <v>14</v>
      </c>
      <c r="D5327" s="33" t="s">
        <v>79</v>
      </c>
      <c r="E5327" s="33" t="s">
        <v>3516</v>
      </c>
      <c r="F5327" s="67">
        <v>42069</v>
      </c>
      <c r="G5327" s="33" t="s">
        <v>3517</v>
      </c>
      <c r="H5327" s="33" t="s">
        <v>2014</v>
      </c>
      <c r="I5327" s="33" t="s">
        <v>409</v>
      </c>
      <c r="J5327" s="33" t="s">
        <v>3518</v>
      </c>
      <c r="K5327" s="33" t="s">
        <v>8880</v>
      </c>
      <c r="L5327" s="33" t="s">
        <v>3519</v>
      </c>
      <c r="M5327" s="33" t="s">
        <v>21</v>
      </c>
      <c r="N5327" s="33" t="s">
        <v>3520</v>
      </c>
      <c r="O5327" s="33" t="s">
        <v>372</v>
      </c>
      <c r="P5327" s="33" t="s">
        <v>30089</v>
      </c>
      <c r="Q5327" s="40" t="s">
        <v>3521</v>
      </c>
      <c r="R5327" s="33" t="s">
        <v>94</v>
      </c>
      <c r="S5327" s="33" t="s">
        <v>12</v>
      </c>
      <c r="T5327" s="33" t="s">
        <v>29705</v>
      </c>
      <c r="U5327" s="33" t="s">
        <v>26572</v>
      </c>
      <c r="V5327" s="33" t="s">
        <v>26574</v>
      </c>
      <c r="W5327" s="33" t="s">
        <v>94</v>
      </c>
      <c r="X5327" s="33">
        <v>203</v>
      </c>
      <c r="Z5327" s="33" t="s">
        <v>42966</v>
      </c>
      <c r="AA5327" s="33">
        <v>2336</v>
      </c>
    </row>
    <row r="5328" spans="1:27" ht="12" customHeight="1" x14ac:dyDescent="0.15">
      <c r="A5328" s="33" t="s">
        <v>3529</v>
      </c>
      <c r="B5328" s="33">
        <v>33</v>
      </c>
      <c r="C5328" s="33" t="s">
        <v>14</v>
      </c>
      <c r="D5328" s="33" t="s">
        <v>42</v>
      </c>
      <c r="F5328" s="67">
        <v>42069</v>
      </c>
      <c r="G5328" s="33" t="s">
        <v>3530</v>
      </c>
      <c r="H5328" s="33" t="s">
        <v>801</v>
      </c>
      <c r="I5328" s="33" t="s">
        <v>67</v>
      </c>
      <c r="J5328" s="33" t="s">
        <v>3531</v>
      </c>
      <c r="K5328" s="33" t="s">
        <v>801</v>
      </c>
      <c r="L5328" s="33" t="s">
        <v>802</v>
      </c>
      <c r="M5328" s="33" t="s">
        <v>21</v>
      </c>
      <c r="N5328" s="33" t="s">
        <v>3532</v>
      </c>
      <c r="O5328" s="33" t="s">
        <v>950</v>
      </c>
      <c r="P5328" s="33" t="s">
        <v>30089</v>
      </c>
      <c r="Q5328" s="40" t="s">
        <v>3533</v>
      </c>
      <c r="R5328" s="33" t="s">
        <v>23</v>
      </c>
      <c r="S5328" s="33" t="s">
        <v>22</v>
      </c>
      <c r="T5328" s="33" t="s">
        <v>26781</v>
      </c>
      <c r="U5328" s="33" t="s">
        <v>26572</v>
      </c>
      <c r="V5328" s="33" t="s">
        <v>26573</v>
      </c>
      <c r="W5328" s="33" t="s">
        <v>94</v>
      </c>
      <c r="X5328" s="33">
        <v>325</v>
      </c>
      <c r="Z5328" s="33" t="s">
        <v>42966</v>
      </c>
      <c r="AA5328" s="33">
        <v>2335</v>
      </c>
    </row>
    <row r="5329" spans="1:27" ht="12" customHeight="1" x14ac:dyDescent="0.15">
      <c r="A5329" s="33" t="s">
        <v>3522</v>
      </c>
      <c r="B5329" s="33">
        <v>48</v>
      </c>
      <c r="C5329" s="33" t="s">
        <v>14</v>
      </c>
      <c r="D5329" s="33" t="s">
        <v>79</v>
      </c>
      <c r="E5329" s="33" t="s">
        <v>3523</v>
      </c>
      <c r="F5329" s="67">
        <v>42069</v>
      </c>
      <c r="G5329" s="33" t="s">
        <v>3524</v>
      </c>
      <c r="H5329" s="33" t="s">
        <v>3525</v>
      </c>
      <c r="I5329" s="33" t="s">
        <v>56</v>
      </c>
      <c r="J5329" s="33" t="s">
        <v>3526</v>
      </c>
      <c r="K5329" s="33" t="s">
        <v>1950</v>
      </c>
      <c r="L5329" s="33" t="s">
        <v>3112</v>
      </c>
      <c r="M5329" s="33" t="s">
        <v>21</v>
      </c>
      <c r="N5329" s="33" t="s">
        <v>3527</v>
      </c>
      <c r="O5329" s="33" t="s">
        <v>372</v>
      </c>
      <c r="P5329" s="33" t="s">
        <v>30089</v>
      </c>
      <c r="Q5329" s="40" t="s">
        <v>3528</v>
      </c>
      <c r="R5329" s="33" t="s">
        <v>94</v>
      </c>
      <c r="S5329" s="33" t="s">
        <v>351</v>
      </c>
      <c r="T5329" s="33" t="s">
        <v>26867</v>
      </c>
      <c r="U5329" s="33" t="s">
        <v>26570</v>
      </c>
      <c r="V5329" s="33" t="s">
        <v>26573</v>
      </c>
      <c r="W5329" s="33" t="s">
        <v>94</v>
      </c>
      <c r="X5329" s="33">
        <v>270</v>
      </c>
      <c r="Z5329" s="33" t="s">
        <v>42967</v>
      </c>
      <c r="AA5329" s="33">
        <v>2339</v>
      </c>
    </row>
    <row r="5330" spans="1:27" ht="12" customHeight="1" x14ac:dyDescent="0.15">
      <c r="A5330" s="33" t="s">
        <v>3534</v>
      </c>
      <c r="B5330" s="33">
        <v>34</v>
      </c>
      <c r="C5330" s="33" t="s">
        <v>14</v>
      </c>
      <c r="D5330" s="33" t="s">
        <v>31</v>
      </c>
      <c r="E5330" s="33" t="s">
        <v>3535</v>
      </c>
      <c r="F5330" s="67">
        <v>42069</v>
      </c>
      <c r="G5330" s="33" t="s">
        <v>3536</v>
      </c>
      <c r="H5330" s="33" t="s">
        <v>3537</v>
      </c>
      <c r="I5330" s="33" t="s">
        <v>67</v>
      </c>
      <c r="J5330" s="33">
        <v>75482</v>
      </c>
      <c r="K5330" s="33" t="s">
        <v>3538</v>
      </c>
      <c r="L5330" s="33" t="s">
        <v>3539</v>
      </c>
      <c r="M5330" s="33" t="s">
        <v>363</v>
      </c>
      <c r="N5330" s="33" t="s">
        <v>3540</v>
      </c>
      <c r="P5330" s="33" t="s">
        <v>30089</v>
      </c>
      <c r="Q5330" s="40" t="str">
        <f>HYPERLINK("http://www.ksstradio.com/2015/03/09/texas-rangers-investigate-death-of-inmate/","http://www.ksstradio.com/2015/03/09/texas-rangers-investigate-death-of-inmate/")</f>
        <v>http://www.ksstradio.com/2015/03/09/texas-rangers-investigate-death-of-inmate/</v>
      </c>
      <c r="R5330" s="33" t="s">
        <v>23</v>
      </c>
      <c r="S5330" s="33" t="s">
        <v>12</v>
      </c>
      <c r="T5330" s="54" t="s">
        <v>29705</v>
      </c>
      <c r="Z5330" s="33" t="s">
        <v>42967</v>
      </c>
      <c r="AA5330" s="33">
        <v>2338</v>
      </c>
    </row>
    <row r="5331" spans="1:27" ht="12" customHeight="1" x14ac:dyDescent="0.15">
      <c r="A5331" s="33" t="s">
        <v>3548</v>
      </c>
      <c r="B5331" s="33">
        <v>36</v>
      </c>
      <c r="C5331" s="33" t="s">
        <v>14</v>
      </c>
      <c r="D5331" s="33" t="s">
        <v>42</v>
      </c>
      <c r="F5331" s="67">
        <v>42068</v>
      </c>
      <c r="G5331" s="33" t="s">
        <v>3549</v>
      </c>
      <c r="H5331" s="33" t="s">
        <v>3550</v>
      </c>
      <c r="I5331" s="33" t="s">
        <v>39</v>
      </c>
      <c r="J5331" s="33" t="s">
        <v>3551</v>
      </c>
      <c r="K5331" s="33" t="s">
        <v>92</v>
      </c>
      <c r="L5331" s="33" t="s">
        <v>93</v>
      </c>
      <c r="M5331" s="33" t="s">
        <v>21</v>
      </c>
      <c r="N5331" s="33" t="s">
        <v>3552</v>
      </c>
      <c r="O5331" s="33" t="s">
        <v>950</v>
      </c>
      <c r="P5331" s="33" t="s">
        <v>30089</v>
      </c>
      <c r="Q5331" s="40" t="s">
        <v>3553</v>
      </c>
      <c r="R5331" s="33" t="s">
        <v>94</v>
      </c>
      <c r="S5331" s="33" t="s">
        <v>12</v>
      </c>
      <c r="T5331" s="33" t="s">
        <v>29705</v>
      </c>
      <c r="U5331" s="33" t="s">
        <v>26570</v>
      </c>
      <c r="V5331" s="33" t="s">
        <v>26571</v>
      </c>
      <c r="W5331" s="33" t="s">
        <v>94</v>
      </c>
      <c r="X5331" s="33">
        <v>201</v>
      </c>
      <c r="Z5331" s="33" t="s">
        <v>42966</v>
      </c>
      <c r="AA5331" s="33">
        <v>2334</v>
      </c>
    </row>
    <row r="5332" spans="1:27" ht="12" customHeight="1" x14ac:dyDescent="0.15">
      <c r="A5332" s="33" t="s">
        <v>3554</v>
      </c>
      <c r="B5332" s="33">
        <v>34</v>
      </c>
      <c r="C5332" s="33" t="s">
        <v>14</v>
      </c>
      <c r="D5332" s="33" t="s">
        <v>31</v>
      </c>
      <c r="E5332" s="33" t="s">
        <v>3555</v>
      </c>
      <c r="F5332" s="67">
        <v>42068</v>
      </c>
      <c r="G5332" s="33" t="s">
        <v>3556</v>
      </c>
      <c r="H5332" s="33" t="s">
        <v>2159</v>
      </c>
      <c r="I5332" s="33" t="s">
        <v>432</v>
      </c>
      <c r="J5332" s="33" t="s">
        <v>3557</v>
      </c>
      <c r="K5332" s="33" t="s">
        <v>1397</v>
      </c>
      <c r="L5332" s="33" t="s">
        <v>3558</v>
      </c>
      <c r="M5332" s="33" t="s">
        <v>21</v>
      </c>
      <c r="N5332" s="33" t="s">
        <v>3559</v>
      </c>
      <c r="O5332" s="33" t="s">
        <v>950</v>
      </c>
      <c r="P5332" s="33" t="s">
        <v>30089</v>
      </c>
      <c r="Q5332" s="40" t="s">
        <v>3560</v>
      </c>
      <c r="R5332" s="33" t="s">
        <v>23</v>
      </c>
      <c r="S5332" s="33" t="s">
        <v>22</v>
      </c>
      <c r="T5332" s="33" t="s">
        <v>26781</v>
      </c>
      <c r="U5332" s="33" t="s">
        <v>26572</v>
      </c>
      <c r="V5332" s="33" t="s">
        <v>26573</v>
      </c>
      <c r="W5332" s="33" t="s">
        <v>94</v>
      </c>
      <c r="X5332" s="33">
        <v>202</v>
      </c>
      <c r="Z5332" s="33" t="s">
        <v>42968</v>
      </c>
      <c r="AA5332" s="33">
        <v>2332</v>
      </c>
    </row>
    <row r="5333" spans="1:27" ht="12" customHeight="1" x14ac:dyDescent="0.15">
      <c r="A5333" s="33" t="s">
        <v>3541</v>
      </c>
      <c r="B5333" s="33">
        <v>45</v>
      </c>
      <c r="C5333" s="33" t="s">
        <v>14</v>
      </c>
      <c r="D5333" s="33" t="s">
        <v>79</v>
      </c>
      <c r="E5333" s="33" t="s">
        <v>3542</v>
      </c>
      <c r="F5333" s="67">
        <v>42068</v>
      </c>
      <c r="G5333" s="33" t="s">
        <v>3543</v>
      </c>
      <c r="H5333" s="33" t="s">
        <v>831</v>
      </c>
      <c r="I5333" s="33" t="s">
        <v>409</v>
      </c>
      <c r="J5333" s="33" t="s">
        <v>3544</v>
      </c>
      <c r="K5333" s="33" t="s">
        <v>831</v>
      </c>
      <c r="L5333" s="33" t="s">
        <v>3545</v>
      </c>
      <c r="M5333" s="33" t="s">
        <v>21</v>
      </c>
      <c r="N5333" s="33" t="s">
        <v>3546</v>
      </c>
      <c r="O5333" s="33" t="s">
        <v>950</v>
      </c>
      <c r="P5333" s="33" t="s">
        <v>30089</v>
      </c>
      <c r="Q5333" s="40" t="s">
        <v>3547</v>
      </c>
      <c r="R5333" s="33" t="s">
        <v>512</v>
      </c>
      <c r="S5333" s="33" t="s">
        <v>22</v>
      </c>
      <c r="T5333" s="33" t="s">
        <v>26774</v>
      </c>
      <c r="U5333" s="33" t="s">
        <v>26570</v>
      </c>
      <c r="V5333" s="33" t="s">
        <v>26573</v>
      </c>
      <c r="W5333" s="33" t="s">
        <v>94</v>
      </c>
      <c r="X5333" s="33">
        <v>200</v>
      </c>
      <c r="Z5333" s="33" t="s">
        <v>42968</v>
      </c>
      <c r="AA5333" s="33">
        <v>2333</v>
      </c>
    </row>
    <row r="5334" spans="1:27" ht="12" customHeight="1" x14ac:dyDescent="0.15">
      <c r="A5334" s="33" t="s">
        <v>3566</v>
      </c>
      <c r="B5334" s="33">
        <v>26</v>
      </c>
      <c r="C5334" s="33" t="s">
        <v>14</v>
      </c>
      <c r="D5334" s="33" t="s">
        <v>42</v>
      </c>
      <c r="E5334" s="33" t="s">
        <v>3567</v>
      </c>
      <c r="F5334" s="67">
        <v>42067</v>
      </c>
      <c r="G5334" s="33" t="s">
        <v>3568</v>
      </c>
      <c r="H5334" s="33" t="s">
        <v>3569</v>
      </c>
      <c r="I5334" s="33" t="s">
        <v>56</v>
      </c>
      <c r="J5334" s="33" t="s">
        <v>3570</v>
      </c>
      <c r="K5334" s="33" t="s">
        <v>3571</v>
      </c>
      <c r="L5334" s="33" t="s">
        <v>242</v>
      </c>
      <c r="M5334" s="33" t="s">
        <v>21</v>
      </c>
      <c r="N5334" s="33" t="s">
        <v>3572</v>
      </c>
      <c r="O5334" s="33" t="s">
        <v>950</v>
      </c>
      <c r="P5334" s="33" t="s">
        <v>30089</v>
      </c>
      <c r="Q5334" s="40" t="s">
        <v>3573</v>
      </c>
      <c r="R5334" s="33" t="s">
        <v>23</v>
      </c>
      <c r="S5334" s="33" t="s">
        <v>12</v>
      </c>
      <c r="T5334" s="33" t="s">
        <v>29705</v>
      </c>
      <c r="U5334" s="33" t="s">
        <v>26570</v>
      </c>
      <c r="V5334" s="33" t="s">
        <v>26573</v>
      </c>
      <c r="W5334" s="33" t="s">
        <v>94</v>
      </c>
      <c r="X5334" s="33">
        <v>199</v>
      </c>
      <c r="Z5334" s="33" t="s">
        <v>42968</v>
      </c>
      <c r="AA5334" s="33">
        <v>2331</v>
      </c>
    </row>
    <row r="5335" spans="1:27" ht="12" customHeight="1" x14ac:dyDescent="0.15">
      <c r="A5335" s="33" t="s">
        <v>3561</v>
      </c>
      <c r="B5335" s="33">
        <v>28</v>
      </c>
      <c r="C5335" s="33" t="s">
        <v>14</v>
      </c>
      <c r="D5335" s="33" t="s">
        <v>15</v>
      </c>
      <c r="F5335" s="67">
        <v>42067</v>
      </c>
      <c r="G5335" s="33" t="s">
        <v>3562</v>
      </c>
      <c r="H5335" s="33" t="s">
        <v>1645</v>
      </c>
      <c r="I5335" s="33" t="s">
        <v>39</v>
      </c>
      <c r="J5335" s="33" t="s">
        <v>3563</v>
      </c>
      <c r="K5335" s="33" t="s">
        <v>1647</v>
      </c>
      <c r="L5335" s="33" t="s">
        <v>1648</v>
      </c>
      <c r="M5335" s="33" t="s">
        <v>21</v>
      </c>
      <c r="N5335" s="33" t="s">
        <v>3564</v>
      </c>
      <c r="O5335" s="33" t="s">
        <v>507</v>
      </c>
      <c r="P5335" s="33" t="s">
        <v>30089</v>
      </c>
      <c r="Q5335" s="40" t="s">
        <v>3565</v>
      </c>
      <c r="R5335" s="33" t="s">
        <v>23</v>
      </c>
      <c r="S5335" s="33" t="s">
        <v>22</v>
      </c>
      <c r="T5335" s="33" t="s">
        <v>26781</v>
      </c>
      <c r="U5335" s="33" t="s">
        <v>26572</v>
      </c>
      <c r="V5335" s="33" t="s">
        <v>26573</v>
      </c>
      <c r="W5335" s="33" t="s">
        <v>94</v>
      </c>
      <c r="X5335" s="33">
        <v>249</v>
      </c>
      <c r="Z5335" s="33" t="s">
        <v>42966</v>
      </c>
      <c r="AA5335" s="33">
        <v>2330</v>
      </c>
    </row>
    <row r="5336" spans="1:27" ht="12" customHeight="1" x14ac:dyDescent="0.15">
      <c r="A5336" s="33" t="s">
        <v>3582</v>
      </c>
      <c r="B5336" s="33">
        <v>25</v>
      </c>
      <c r="C5336" s="33" t="s">
        <v>14</v>
      </c>
      <c r="D5336" s="33" t="s">
        <v>31</v>
      </c>
      <c r="E5336" s="33" t="s">
        <v>3583</v>
      </c>
      <c r="F5336" s="67">
        <v>42066</v>
      </c>
      <c r="G5336" s="33" t="s">
        <v>3584</v>
      </c>
      <c r="H5336" s="33" t="s">
        <v>3585</v>
      </c>
      <c r="I5336" s="33" t="s">
        <v>112</v>
      </c>
      <c r="J5336" s="33" t="s">
        <v>3586</v>
      </c>
      <c r="K5336" s="33" t="s">
        <v>585</v>
      </c>
      <c r="L5336" s="33" t="s">
        <v>3587</v>
      </c>
      <c r="M5336" s="33" t="s">
        <v>21</v>
      </c>
      <c r="N5336" s="33" t="s">
        <v>3588</v>
      </c>
      <c r="O5336" s="33" t="s">
        <v>950</v>
      </c>
      <c r="P5336" s="33" t="s">
        <v>30089</v>
      </c>
      <c r="Q5336" s="40" t="s">
        <v>3589</v>
      </c>
      <c r="R5336" s="33" t="s">
        <v>94</v>
      </c>
      <c r="S5336" s="33" t="s">
        <v>22</v>
      </c>
      <c r="T5336" s="33" t="s">
        <v>26774</v>
      </c>
      <c r="U5336" s="33" t="s">
        <v>26572</v>
      </c>
      <c r="V5336" s="33" t="s">
        <v>26573</v>
      </c>
      <c r="W5336" s="33" t="s">
        <v>94</v>
      </c>
      <c r="X5336" s="33">
        <v>198</v>
      </c>
      <c r="Z5336" s="33" t="s">
        <v>42966</v>
      </c>
      <c r="AA5336" s="33">
        <v>2329</v>
      </c>
    </row>
    <row r="5337" spans="1:27" ht="12" customHeight="1" x14ac:dyDescent="0.15">
      <c r="A5337" s="33" t="s">
        <v>3574</v>
      </c>
      <c r="B5337" s="33">
        <v>25</v>
      </c>
      <c r="C5337" s="33" t="s">
        <v>14</v>
      </c>
      <c r="D5337" s="33" t="s">
        <v>79</v>
      </c>
      <c r="E5337" s="33" t="s">
        <v>3575</v>
      </c>
      <c r="F5337" s="67">
        <v>42066</v>
      </c>
      <c r="G5337" s="33" t="s">
        <v>3576</v>
      </c>
      <c r="H5337" s="33" t="s">
        <v>3577</v>
      </c>
      <c r="I5337" s="33" t="s">
        <v>46</v>
      </c>
      <c r="J5337" s="33" t="s">
        <v>3578</v>
      </c>
      <c r="K5337" s="33" t="s">
        <v>3579</v>
      </c>
      <c r="L5337" s="33" t="s">
        <v>647</v>
      </c>
      <c r="M5337" s="33" t="s">
        <v>21</v>
      </c>
      <c r="N5337" s="33" t="s">
        <v>3580</v>
      </c>
      <c r="O5337" s="33" t="s">
        <v>950</v>
      </c>
      <c r="P5337" s="33" t="s">
        <v>30089</v>
      </c>
      <c r="Q5337" s="40" t="s">
        <v>3581</v>
      </c>
      <c r="R5337" s="33" t="s">
        <v>94</v>
      </c>
      <c r="S5337" s="33" t="s">
        <v>22</v>
      </c>
      <c r="T5337" s="33" t="s">
        <v>26781</v>
      </c>
      <c r="U5337" s="33" t="s">
        <v>26572</v>
      </c>
      <c r="V5337" s="33" t="s">
        <v>26573</v>
      </c>
      <c r="W5337" s="33" t="s">
        <v>94</v>
      </c>
      <c r="X5337" s="33">
        <v>197</v>
      </c>
      <c r="Z5337" s="33" t="s">
        <v>42968</v>
      </c>
      <c r="AA5337" s="33">
        <v>2328</v>
      </c>
    </row>
    <row r="5338" spans="1:27" ht="12" customHeight="1" x14ac:dyDescent="0.15">
      <c r="A5338" s="33" t="s">
        <v>3590</v>
      </c>
      <c r="B5338" s="33">
        <v>20</v>
      </c>
      <c r="C5338" s="33" t="s">
        <v>14</v>
      </c>
      <c r="D5338" s="33" t="s">
        <v>79</v>
      </c>
      <c r="E5338" s="33" t="s">
        <v>3591</v>
      </c>
      <c r="F5338" s="67">
        <v>42065</v>
      </c>
      <c r="G5338" s="33" t="s">
        <v>3592</v>
      </c>
      <c r="H5338" s="33" t="s">
        <v>3593</v>
      </c>
      <c r="I5338" s="33" t="s">
        <v>38</v>
      </c>
      <c r="J5338" s="33" t="s">
        <v>3594</v>
      </c>
      <c r="K5338" s="33" t="s">
        <v>3595</v>
      </c>
      <c r="L5338" s="33" t="s">
        <v>3596</v>
      </c>
      <c r="M5338" s="33" t="s">
        <v>21</v>
      </c>
      <c r="N5338" s="33" t="s">
        <v>3597</v>
      </c>
      <c r="O5338" s="33" t="s">
        <v>950</v>
      </c>
      <c r="P5338" s="33" t="s">
        <v>30089</v>
      </c>
      <c r="Q5338" s="40" t="s">
        <v>3598</v>
      </c>
      <c r="R5338" s="33" t="s">
        <v>23</v>
      </c>
      <c r="S5338" s="33" t="s">
        <v>22</v>
      </c>
      <c r="T5338" s="33" t="s">
        <v>26781</v>
      </c>
      <c r="U5338" s="33" t="s">
        <v>26570</v>
      </c>
      <c r="V5338" s="33" t="s">
        <v>26574</v>
      </c>
      <c r="W5338" s="33" t="s">
        <v>94</v>
      </c>
      <c r="X5338" s="33">
        <v>196</v>
      </c>
      <c r="Z5338" s="33" t="s">
        <v>42968</v>
      </c>
      <c r="AA5338" s="33">
        <v>2327</v>
      </c>
    </row>
    <row r="5339" spans="1:27" ht="12" customHeight="1" x14ac:dyDescent="0.15">
      <c r="A5339" s="33" t="s">
        <v>3599</v>
      </c>
      <c r="B5339" s="33">
        <v>43</v>
      </c>
      <c r="C5339" s="33" t="s">
        <v>14</v>
      </c>
      <c r="D5339" s="33" t="s">
        <v>79</v>
      </c>
      <c r="E5339" s="33" t="s">
        <v>3600</v>
      </c>
      <c r="F5339" s="67">
        <v>42064</v>
      </c>
      <c r="G5339" s="33" t="s">
        <v>3601</v>
      </c>
      <c r="H5339" s="33" t="s">
        <v>92</v>
      </c>
      <c r="I5339" s="33" t="s">
        <v>39</v>
      </c>
      <c r="J5339" s="33" t="s">
        <v>3602</v>
      </c>
      <c r="K5339" s="33" t="s">
        <v>92</v>
      </c>
      <c r="L5339" s="33" t="s">
        <v>93</v>
      </c>
      <c r="M5339" s="33" t="s">
        <v>4966</v>
      </c>
      <c r="N5339" s="33" t="s">
        <v>3603</v>
      </c>
      <c r="O5339" s="33" t="s">
        <v>372</v>
      </c>
      <c r="P5339" s="33" t="s">
        <v>30089</v>
      </c>
      <c r="Q5339" s="40" t="s">
        <v>3604</v>
      </c>
      <c r="R5339" s="33" t="s">
        <v>512</v>
      </c>
      <c r="S5339" s="33" t="s">
        <v>12</v>
      </c>
      <c r="T5339" s="33" t="s">
        <v>29705</v>
      </c>
      <c r="U5339" s="33" t="s">
        <v>26572</v>
      </c>
      <c r="V5339" s="33" t="s">
        <v>26573</v>
      </c>
      <c r="W5339" s="33" t="s">
        <v>512</v>
      </c>
      <c r="X5339" s="33">
        <v>194</v>
      </c>
      <c r="Z5339" s="33" t="s">
        <v>42966</v>
      </c>
      <c r="AA5339" s="33">
        <v>2324</v>
      </c>
    </row>
    <row r="5340" spans="1:27" ht="12" customHeight="1" x14ac:dyDescent="0.15">
      <c r="A5340" s="33" t="s">
        <v>26704</v>
      </c>
      <c r="B5340" s="33">
        <v>35</v>
      </c>
      <c r="C5340" s="33" t="s">
        <v>14</v>
      </c>
      <c r="D5340" s="33" t="s">
        <v>15</v>
      </c>
      <c r="F5340" s="67">
        <v>42064</v>
      </c>
      <c r="G5340" s="33" t="s">
        <v>29876</v>
      </c>
      <c r="H5340" s="33" t="s">
        <v>674</v>
      </c>
      <c r="I5340" s="33" t="s">
        <v>67</v>
      </c>
      <c r="J5340" s="33" t="s">
        <v>29877</v>
      </c>
      <c r="K5340" s="33" t="s">
        <v>515</v>
      </c>
      <c r="L5340" s="33" t="s">
        <v>29878</v>
      </c>
      <c r="M5340" s="33" t="s">
        <v>21</v>
      </c>
      <c r="N5340" s="33" t="s">
        <v>29879</v>
      </c>
      <c r="O5340" s="33" t="s">
        <v>950</v>
      </c>
      <c r="P5340" s="33" t="s">
        <v>30089</v>
      </c>
      <c r="Q5340" s="40" t="s">
        <v>29880</v>
      </c>
      <c r="R5340" s="33" t="s">
        <v>94</v>
      </c>
      <c r="S5340" s="33" t="s">
        <v>22</v>
      </c>
      <c r="T5340" s="33" t="s">
        <v>26781</v>
      </c>
      <c r="U5340" s="33" t="s">
        <v>26572</v>
      </c>
      <c r="V5340" s="33" t="s">
        <v>26573</v>
      </c>
      <c r="W5340" s="33" t="s">
        <v>94</v>
      </c>
      <c r="X5340" s="33">
        <v>195</v>
      </c>
      <c r="Z5340" s="33" t="s">
        <v>42968</v>
      </c>
      <c r="AA5340" s="33">
        <v>2322</v>
      </c>
    </row>
    <row r="5341" spans="1:27" ht="12" customHeight="1" x14ac:dyDescent="0.15">
      <c r="A5341" s="33" t="s">
        <v>3611</v>
      </c>
      <c r="B5341" s="33">
        <v>49</v>
      </c>
      <c r="C5341" s="33" t="s">
        <v>14</v>
      </c>
      <c r="D5341" s="33" t="s">
        <v>31</v>
      </c>
      <c r="F5341" s="67">
        <v>42064</v>
      </c>
      <c r="G5341" s="33" t="s">
        <v>3612</v>
      </c>
      <c r="H5341" s="33" t="s">
        <v>3613</v>
      </c>
      <c r="I5341" s="33" t="s">
        <v>621</v>
      </c>
      <c r="J5341" s="33" t="s">
        <v>3614</v>
      </c>
      <c r="K5341" s="33" t="s">
        <v>3615</v>
      </c>
      <c r="L5341" s="33" t="s">
        <v>3616</v>
      </c>
      <c r="M5341" s="33" t="s">
        <v>21</v>
      </c>
      <c r="N5341" s="33" t="s">
        <v>3617</v>
      </c>
      <c r="O5341" s="33" t="s">
        <v>950</v>
      </c>
      <c r="P5341" s="33" t="s">
        <v>30089</v>
      </c>
      <c r="Q5341" s="40" t="s">
        <v>3618</v>
      </c>
      <c r="R5341" s="33" t="s">
        <v>23</v>
      </c>
      <c r="S5341" s="33" t="s">
        <v>22</v>
      </c>
      <c r="T5341" s="33" t="s">
        <v>26781</v>
      </c>
      <c r="U5341" s="33" t="s">
        <v>26572</v>
      </c>
      <c r="V5341" s="33" t="s">
        <v>26573</v>
      </c>
      <c r="W5341" s="33" t="s">
        <v>94</v>
      </c>
      <c r="X5341" s="33">
        <v>268</v>
      </c>
      <c r="Z5341" s="33" t="s">
        <v>42967</v>
      </c>
      <c r="AA5341" s="33">
        <v>2323</v>
      </c>
    </row>
    <row r="5342" spans="1:27" ht="12" customHeight="1" x14ac:dyDescent="0.15">
      <c r="A5342" s="33" t="s">
        <v>3605</v>
      </c>
      <c r="B5342" s="33">
        <v>47</v>
      </c>
      <c r="C5342" s="33" t="s">
        <v>14</v>
      </c>
      <c r="D5342" s="33" t="s">
        <v>79</v>
      </c>
      <c r="E5342" s="33" t="s">
        <v>3606</v>
      </c>
      <c r="F5342" s="67">
        <v>42064</v>
      </c>
      <c r="G5342" s="33" t="s">
        <v>3607</v>
      </c>
      <c r="H5342" s="33" t="s">
        <v>1027</v>
      </c>
      <c r="I5342" s="33" t="s">
        <v>367</v>
      </c>
      <c r="J5342" s="33" t="s">
        <v>3608</v>
      </c>
      <c r="K5342" s="33" t="s">
        <v>1028</v>
      </c>
      <c r="L5342" s="33" t="s">
        <v>1029</v>
      </c>
      <c r="M5342" s="33" t="s">
        <v>363</v>
      </c>
      <c r="N5342" s="33" t="s">
        <v>3609</v>
      </c>
      <c r="O5342" s="33" t="s">
        <v>950</v>
      </c>
      <c r="P5342" s="33" t="s">
        <v>30089</v>
      </c>
      <c r="Q5342" s="40" t="s">
        <v>3610</v>
      </c>
      <c r="R5342" s="33" t="s">
        <v>512</v>
      </c>
      <c r="S5342" s="33" t="s">
        <v>12</v>
      </c>
      <c r="T5342" s="54" t="s">
        <v>29705</v>
      </c>
      <c r="Z5342" s="33" t="s">
        <v>42966</v>
      </c>
      <c r="AA5342" s="33">
        <v>2325</v>
      </c>
    </row>
    <row r="5343" spans="1:27" ht="12" customHeight="1" x14ac:dyDescent="0.15">
      <c r="A5343" s="33" t="s">
        <v>17310</v>
      </c>
      <c r="B5343" s="33">
        <v>32</v>
      </c>
      <c r="C5343" s="33" t="s">
        <v>14</v>
      </c>
      <c r="D5343" s="33" t="s">
        <v>79</v>
      </c>
      <c r="F5343" s="67">
        <v>42064</v>
      </c>
      <c r="G5343" s="33" t="s">
        <v>17311</v>
      </c>
      <c r="H5343" s="33" t="s">
        <v>17312</v>
      </c>
      <c r="I5343" s="33" t="s">
        <v>46</v>
      </c>
      <c r="J5343" s="33">
        <v>20695</v>
      </c>
      <c r="K5343" s="33" t="s">
        <v>2616</v>
      </c>
      <c r="L5343" s="33" t="s">
        <v>36770</v>
      </c>
      <c r="M5343" s="33" t="s">
        <v>363</v>
      </c>
      <c r="N5343" s="54" t="s">
        <v>36771</v>
      </c>
      <c r="O5343" s="33" t="s">
        <v>372</v>
      </c>
      <c r="P5343" s="33" t="s">
        <v>30089</v>
      </c>
      <c r="Q5343" s="40" t="s">
        <v>17313</v>
      </c>
      <c r="R5343" s="33" t="s">
        <v>23</v>
      </c>
      <c r="S5343" s="33" t="s">
        <v>12</v>
      </c>
      <c r="T5343" s="54" t="s">
        <v>29705</v>
      </c>
      <c r="Z5343" s="33" t="s">
        <v>42968</v>
      </c>
      <c r="AA5343" s="33">
        <v>2326</v>
      </c>
    </row>
    <row r="5344" spans="1:27" ht="12" customHeight="1" x14ac:dyDescent="0.15">
      <c r="A5344" s="33" t="s">
        <v>3635</v>
      </c>
      <c r="B5344" s="33">
        <v>40</v>
      </c>
      <c r="C5344" s="33" t="s">
        <v>14</v>
      </c>
      <c r="D5344" s="33" t="s">
        <v>79</v>
      </c>
      <c r="E5344" s="33" t="s">
        <v>3636</v>
      </c>
      <c r="F5344" s="67">
        <v>42063</v>
      </c>
      <c r="G5344" s="33" t="s">
        <v>3637</v>
      </c>
      <c r="H5344" s="33" t="s">
        <v>3638</v>
      </c>
      <c r="I5344" s="33" t="s">
        <v>338</v>
      </c>
      <c r="J5344" s="33" t="s">
        <v>3639</v>
      </c>
      <c r="K5344" s="33" t="s">
        <v>3640</v>
      </c>
      <c r="L5344" s="33" t="s">
        <v>3641</v>
      </c>
      <c r="M5344" s="33" t="s">
        <v>21</v>
      </c>
      <c r="N5344" s="33" t="s">
        <v>3642</v>
      </c>
      <c r="O5344" s="33" t="s">
        <v>507</v>
      </c>
      <c r="P5344" s="33" t="s">
        <v>30089</v>
      </c>
      <c r="Q5344" s="40" t="s">
        <v>3643</v>
      </c>
      <c r="R5344" s="33" t="s">
        <v>512</v>
      </c>
      <c r="S5344" s="33" t="s">
        <v>22</v>
      </c>
      <c r="T5344" s="33" t="s">
        <v>26781</v>
      </c>
      <c r="U5344" s="33" t="s">
        <v>26572</v>
      </c>
      <c r="V5344" s="33" t="s">
        <v>26571</v>
      </c>
      <c r="W5344" s="33" t="s">
        <v>94</v>
      </c>
      <c r="X5344" s="33">
        <v>191</v>
      </c>
      <c r="Z5344" s="33" t="s">
        <v>42967</v>
      </c>
      <c r="AA5344" s="33">
        <v>2317</v>
      </c>
    </row>
    <row r="5345" spans="1:27" ht="12" customHeight="1" x14ac:dyDescent="0.15">
      <c r="A5345" s="33" t="s">
        <v>3665</v>
      </c>
      <c r="B5345" s="33">
        <v>37</v>
      </c>
      <c r="C5345" s="33" t="s">
        <v>103</v>
      </c>
      <c r="D5345" s="33" t="s">
        <v>31</v>
      </c>
      <c r="E5345" s="33" t="s">
        <v>3666</v>
      </c>
      <c r="F5345" s="67">
        <v>42063</v>
      </c>
      <c r="G5345" s="33" t="s">
        <v>3667</v>
      </c>
      <c r="H5345" s="33" t="s">
        <v>3668</v>
      </c>
      <c r="I5345" s="33" t="s">
        <v>112</v>
      </c>
      <c r="J5345" s="33" t="s">
        <v>3669</v>
      </c>
      <c r="K5345" s="33" t="s">
        <v>3670</v>
      </c>
      <c r="L5345" s="33" t="s">
        <v>42473</v>
      </c>
      <c r="M5345" s="33" t="s">
        <v>21</v>
      </c>
      <c r="N5345" s="33" t="s">
        <v>3671</v>
      </c>
      <c r="O5345" s="33" t="s">
        <v>950</v>
      </c>
      <c r="P5345" s="33" t="s">
        <v>30089</v>
      </c>
      <c r="Q5345" s="40" t="s">
        <v>3672</v>
      </c>
      <c r="R5345" s="33" t="s">
        <v>94</v>
      </c>
      <c r="S5345" s="33" t="s">
        <v>22</v>
      </c>
      <c r="T5345" s="33" t="s">
        <v>26781</v>
      </c>
      <c r="U5345" s="33" t="s">
        <v>26572</v>
      </c>
      <c r="V5345" s="33" t="s">
        <v>26571</v>
      </c>
      <c r="W5345" s="33" t="s">
        <v>94</v>
      </c>
      <c r="X5345" s="33">
        <v>192</v>
      </c>
      <c r="Z5345" s="33" t="s">
        <v>42967</v>
      </c>
      <c r="AA5345" s="33">
        <v>2318</v>
      </c>
    </row>
    <row r="5346" spans="1:27" ht="12" customHeight="1" x14ac:dyDescent="0.15">
      <c r="A5346" s="33" t="s">
        <v>3621</v>
      </c>
      <c r="B5346" s="33">
        <v>17</v>
      </c>
      <c r="C5346" s="33" t="s">
        <v>14</v>
      </c>
      <c r="D5346" s="33" t="s">
        <v>31</v>
      </c>
      <c r="E5346" s="33" t="s">
        <v>3622</v>
      </c>
      <c r="F5346" s="67">
        <v>42063</v>
      </c>
      <c r="G5346" s="33" t="s">
        <v>3623</v>
      </c>
      <c r="H5346" s="33" t="s">
        <v>3624</v>
      </c>
      <c r="I5346" s="33" t="s">
        <v>51</v>
      </c>
      <c r="J5346" s="33" t="s">
        <v>3625</v>
      </c>
      <c r="K5346" s="33" t="s">
        <v>3626</v>
      </c>
      <c r="L5346" s="33" t="s">
        <v>3627</v>
      </c>
      <c r="M5346" s="33" t="s">
        <v>4966</v>
      </c>
      <c r="N5346" s="33" t="s">
        <v>3628</v>
      </c>
      <c r="O5346" s="33" t="s">
        <v>372</v>
      </c>
      <c r="P5346" s="33" t="s">
        <v>30089</v>
      </c>
      <c r="Q5346" s="40" t="s">
        <v>3629</v>
      </c>
      <c r="R5346" s="33" t="s">
        <v>94</v>
      </c>
      <c r="S5346" s="33" t="s">
        <v>12</v>
      </c>
      <c r="T5346" s="33" t="s">
        <v>29705</v>
      </c>
      <c r="U5346" s="33" t="s">
        <v>26572</v>
      </c>
      <c r="V5346" s="33" t="s">
        <v>26573</v>
      </c>
      <c r="W5346" s="33" t="s">
        <v>512</v>
      </c>
      <c r="X5346" s="33">
        <v>187</v>
      </c>
      <c r="Z5346" s="33" t="s">
        <v>42967</v>
      </c>
      <c r="AA5346" s="33">
        <v>2321</v>
      </c>
    </row>
    <row r="5347" spans="1:27" ht="12" customHeight="1" x14ac:dyDescent="0.15">
      <c r="A5347" s="33" t="s">
        <v>3630</v>
      </c>
      <c r="B5347" s="33">
        <v>28</v>
      </c>
      <c r="C5347" s="33" t="s">
        <v>14</v>
      </c>
      <c r="D5347" s="33" t="s">
        <v>79</v>
      </c>
      <c r="E5347" s="33" t="s">
        <v>3631</v>
      </c>
      <c r="F5347" s="67">
        <v>42063</v>
      </c>
      <c r="G5347" s="33" t="s">
        <v>3632</v>
      </c>
      <c r="H5347" s="33" t="s">
        <v>45</v>
      </c>
      <c r="I5347" s="33" t="s">
        <v>402</v>
      </c>
      <c r="J5347" s="33" t="s">
        <v>2633</v>
      </c>
      <c r="K5347" s="33" t="s">
        <v>2634</v>
      </c>
      <c r="L5347" s="33" t="s">
        <v>36772</v>
      </c>
      <c r="M5347" s="33" t="s">
        <v>21</v>
      </c>
      <c r="N5347" s="33" t="s">
        <v>3633</v>
      </c>
      <c r="O5347" s="33" t="s">
        <v>950</v>
      </c>
      <c r="P5347" s="33" t="s">
        <v>30089</v>
      </c>
      <c r="Q5347" s="40" t="s">
        <v>3634</v>
      </c>
      <c r="R5347" s="33" t="s">
        <v>94</v>
      </c>
      <c r="S5347" s="33" t="s">
        <v>22</v>
      </c>
      <c r="T5347" s="33" t="s">
        <v>26781</v>
      </c>
      <c r="U5347" s="33" t="s">
        <v>26572</v>
      </c>
      <c r="V5347" s="33" t="s">
        <v>26571</v>
      </c>
      <c r="W5347" s="33" t="s">
        <v>94</v>
      </c>
      <c r="X5347" s="33">
        <v>190</v>
      </c>
      <c r="Z5347" s="33" t="s">
        <v>42966</v>
      </c>
      <c r="AA5347" s="33">
        <v>2316</v>
      </c>
    </row>
    <row r="5348" spans="1:27" ht="12" customHeight="1" x14ac:dyDescent="0.15">
      <c r="A5348" s="33" t="s">
        <v>3653</v>
      </c>
      <c r="B5348" s="33">
        <v>28</v>
      </c>
      <c r="C5348" s="33" t="s">
        <v>103</v>
      </c>
      <c r="D5348" s="33" t="s">
        <v>42</v>
      </c>
      <c r="F5348" s="67">
        <v>42063</v>
      </c>
      <c r="G5348" s="33" t="s">
        <v>3654</v>
      </c>
      <c r="H5348" s="33" t="s">
        <v>518</v>
      </c>
      <c r="I5348" s="33" t="s">
        <v>112</v>
      </c>
      <c r="J5348" s="33" t="s">
        <v>3655</v>
      </c>
      <c r="K5348" s="33" t="s">
        <v>519</v>
      </c>
      <c r="L5348" s="33" t="s">
        <v>520</v>
      </c>
      <c r="M5348" s="33" t="s">
        <v>21</v>
      </c>
      <c r="N5348" s="33" t="s">
        <v>3656</v>
      </c>
      <c r="O5348" s="33" t="s">
        <v>950</v>
      </c>
      <c r="P5348" s="33" t="s">
        <v>30089</v>
      </c>
      <c r="Q5348" s="40" t="s">
        <v>3657</v>
      </c>
      <c r="R5348" s="33" t="s">
        <v>94</v>
      </c>
      <c r="S5348" s="33" t="s">
        <v>22</v>
      </c>
      <c r="T5348" s="33" t="s">
        <v>26774</v>
      </c>
      <c r="U5348" s="33" t="s">
        <v>26570</v>
      </c>
      <c r="V5348" s="33" t="s">
        <v>26573</v>
      </c>
      <c r="W5348" s="33" t="s">
        <v>94</v>
      </c>
      <c r="X5348" s="33">
        <v>189</v>
      </c>
      <c r="Z5348" s="33" t="s">
        <v>42968</v>
      </c>
      <c r="AA5348" s="33">
        <v>2319</v>
      </c>
    </row>
    <row r="5349" spans="1:27" ht="12" customHeight="1" x14ac:dyDescent="0.15">
      <c r="A5349" s="33" t="s">
        <v>3644</v>
      </c>
      <c r="B5349" s="33">
        <v>34</v>
      </c>
      <c r="C5349" s="33" t="s">
        <v>14</v>
      </c>
      <c r="D5349" s="33" t="s">
        <v>79</v>
      </c>
      <c r="E5349" s="33" t="s">
        <v>3645</v>
      </c>
      <c r="F5349" s="67">
        <v>42063</v>
      </c>
      <c r="G5349" s="33" t="s">
        <v>3646</v>
      </c>
      <c r="H5349" s="33" t="s">
        <v>3647</v>
      </c>
      <c r="I5349" s="33" t="s">
        <v>402</v>
      </c>
      <c r="J5349" s="33" t="s">
        <v>3648</v>
      </c>
      <c r="K5349" s="33" t="s">
        <v>3649</v>
      </c>
      <c r="L5349" s="33" t="s">
        <v>3650</v>
      </c>
      <c r="M5349" s="33" t="s">
        <v>21</v>
      </c>
      <c r="N5349" s="33" t="s">
        <v>3651</v>
      </c>
      <c r="O5349" s="33" t="s">
        <v>372</v>
      </c>
      <c r="P5349" s="33" t="s">
        <v>30089</v>
      </c>
      <c r="Q5349" s="40" t="s">
        <v>3652</v>
      </c>
      <c r="R5349" s="33" t="s">
        <v>94</v>
      </c>
      <c r="S5349" s="33" t="s">
        <v>12</v>
      </c>
      <c r="T5349" s="33" t="s">
        <v>29705</v>
      </c>
      <c r="U5349" s="33" t="s">
        <v>26570</v>
      </c>
      <c r="V5349" s="33" t="s">
        <v>26571</v>
      </c>
      <c r="W5349" s="33" t="s">
        <v>94</v>
      </c>
      <c r="X5349" s="33">
        <v>188</v>
      </c>
      <c r="Z5349" s="33" t="s">
        <v>42968</v>
      </c>
      <c r="AA5349" s="33">
        <v>2320</v>
      </c>
    </row>
    <row r="5350" spans="1:27" ht="12" customHeight="1" x14ac:dyDescent="0.15">
      <c r="A5350" s="33" t="s">
        <v>3658</v>
      </c>
      <c r="B5350" s="33">
        <v>24</v>
      </c>
      <c r="C5350" s="33" t="s">
        <v>14</v>
      </c>
      <c r="D5350" s="33" t="s">
        <v>31</v>
      </c>
      <c r="E5350" s="33" t="s">
        <v>3659</v>
      </c>
      <c r="F5350" s="67">
        <v>42063</v>
      </c>
      <c r="G5350" s="33" t="s">
        <v>3660</v>
      </c>
      <c r="H5350" s="33" t="s">
        <v>3661</v>
      </c>
      <c r="I5350" s="33" t="s">
        <v>26</v>
      </c>
      <c r="J5350" s="33" t="s">
        <v>3662</v>
      </c>
      <c r="K5350" s="33" t="s">
        <v>233</v>
      </c>
      <c r="L5350" s="33" t="s">
        <v>28</v>
      </c>
      <c r="M5350" s="33" t="s">
        <v>21</v>
      </c>
      <c r="N5350" s="33" t="s">
        <v>3663</v>
      </c>
      <c r="O5350" s="33" t="s">
        <v>1083</v>
      </c>
      <c r="P5350" s="33" t="s">
        <v>1084</v>
      </c>
      <c r="Q5350" s="40" t="s">
        <v>3664</v>
      </c>
      <c r="R5350" s="33" t="s">
        <v>94</v>
      </c>
      <c r="S5350" s="33" t="s">
        <v>22</v>
      </c>
      <c r="T5350" s="33" t="s">
        <v>26781</v>
      </c>
      <c r="U5350" s="33" t="s">
        <v>26572</v>
      </c>
      <c r="V5350" s="33" t="s">
        <v>26573</v>
      </c>
      <c r="W5350" s="33" t="s">
        <v>94</v>
      </c>
      <c r="X5350" s="33">
        <v>186</v>
      </c>
      <c r="Z5350" s="33" t="s">
        <v>42967</v>
      </c>
      <c r="AA5350" s="33">
        <v>2315</v>
      </c>
    </row>
    <row r="5351" spans="1:27" ht="12" customHeight="1" x14ac:dyDescent="0.15">
      <c r="A5351" s="33" t="s">
        <v>3673</v>
      </c>
      <c r="B5351" s="33">
        <v>27</v>
      </c>
      <c r="C5351" s="33" t="s">
        <v>14</v>
      </c>
      <c r="D5351" s="33" t="s">
        <v>42</v>
      </c>
      <c r="E5351" s="33" t="s">
        <v>3674</v>
      </c>
      <c r="F5351" s="67">
        <v>42062</v>
      </c>
      <c r="G5351" s="33" t="s">
        <v>3675</v>
      </c>
      <c r="H5351" s="33" t="s">
        <v>3383</v>
      </c>
      <c r="I5351" s="33" t="s">
        <v>39</v>
      </c>
      <c r="J5351" s="33" t="s">
        <v>3676</v>
      </c>
      <c r="K5351" s="33" t="s">
        <v>998</v>
      </c>
      <c r="L5351" s="33" t="s">
        <v>3385</v>
      </c>
      <c r="M5351" s="33" t="s">
        <v>21</v>
      </c>
      <c r="N5351" s="33" t="s">
        <v>3677</v>
      </c>
      <c r="O5351" s="33" t="s">
        <v>372</v>
      </c>
      <c r="P5351" s="33" t="s">
        <v>30089</v>
      </c>
      <c r="Q5351" s="40" t="s">
        <v>3678</v>
      </c>
      <c r="R5351" s="33" t="s">
        <v>94</v>
      </c>
      <c r="S5351" s="33" t="s">
        <v>12</v>
      </c>
      <c r="T5351" s="33" t="s">
        <v>29705</v>
      </c>
      <c r="U5351" s="33" t="s">
        <v>26575</v>
      </c>
      <c r="V5351" s="33" t="s">
        <v>26573</v>
      </c>
      <c r="W5351" s="33" t="s">
        <v>94</v>
      </c>
      <c r="X5351" s="33">
        <v>185</v>
      </c>
      <c r="Z5351" s="33" t="s">
        <v>42966</v>
      </c>
      <c r="AA5351" s="33">
        <v>2314</v>
      </c>
    </row>
    <row r="5352" spans="1:27" ht="12" customHeight="1" x14ac:dyDescent="0.15">
      <c r="A5352" s="33" t="s">
        <v>3697</v>
      </c>
      <c r="B5352" s="33">
        <v>34</v>
      </c>
      <c r="C5352" s="33" t="s">
        <v>103</v>
      </c>
      <c r="D5352" s="33" t="s">
        <v>31</v>
      </c>
      <c r="E5352" s="33" t="s">
        <v>3698</v>
      </c>
      <c r="F5352" s="67">
        <v>42061</v>
      </c>
      <c r="G5352" s="33" t="s">
        <v>3699</v>
      </c>
      <c r="H5352" s="33" t="s">
        <v>3700</v>
      </c>
      <c r="I5352" s="33" t="s">
        <v>160</v>
      </c>
      <c r="J5352" s="33" t="s">
        <v>3701</v>
      </c>
      <c r="K5352" s="33" t="s">
        <v>3702</v>
      </c>
      <c r="L5352" s="33" t="s">
        <v>3703</v>
      </c>
      <c r="M5352" s="33" t="s">
        <v>21</v>
      </c>
      <c r="N5352" s="33" t="s">
        <v>3704</v>
      </c>
      <c r="O5352" s="33" t="s">
        <v>950</v>
      </c>
      <c r="P5352" s="33" t="s">
        <v>30089</v>
      </c>
      <c r="Q5352" s="40" t="s">
        <v>3705</v>
      </c>
      <c r="R5352" s="33" t="s">
        <v>94</v>
      </c>
      <c r="S5352" s="33" t="s">
        <v>22</v>
      </c>
      <c r="T5352" s="33" t="s">
        <v>26781</v>
      </c>
      <c r="U5352" s="33" t="s">
        <v>26572</v>
      </c>
      <c r="V5352" s="33" t="s">
        <v>26571</v>
      </c>
      <c r="W5352" s="33" t="s">
        <v>94</v>
      </c>
      <c r="X5352" s="33">
        <v>184</v>
      </c>
      <c r="Z5352" s="33" t="s">
        <v>42967</v>
      </c>
      <c r="AA5352" s="33">
        <v>2311</v>
      </c>
    </row>
    <row r="5353" spans="1:27" ht="12" customHeight="1" x14ac:dyDescent="0.15">
      <c r="A5353" s="33" t="s">
        <v>18394</v>
      </c>
      <c r="B5353" s="33">
        <v>49</v>
      </c>
      <c r="C5353" s="33" t="s">
        <v>14</v>
      </c>
      <c r="D5353" s="33" t="s">
        <v>31</v>
      </c>
      <c r="F5353" s="67">
        <v>42061</v>
      </c>
      <c r="G5353" s="33" t="s">
        <v>3684</v>
      </c>
      <c r="H5353" s="33" t="s">
        <v>3685</v>
      </c>
      <c r="I5353" s="33" t="s">
        <v>621</v>
      </c>
      <c r="J5353" s="33" t="s">
        <v>3686</v>
      </c>
      <c r="K5353" s="33" t="s">
        <v>3687</v>
      </c>
      <c r="L5353" s="33" t="s">
        <v>3688</v>
      </c>
      <c r="M5353" s="33" t="s">
        <v>21</v>
      </c>
      <c r="N5353" s="33" t="s">
        <v>26629</v>
      </c>
      <c r="O5353" s="33" t="s">
        <v>373</v>
      </c>
      <c r="P5353" s="33" t="s">
        <v>30089</v>
      </c>
      <c r="Q5353" s="40" t="s">
        <v>3689</v>
      </c>
      <c r="R5353" s="33" t="s">
        <v>23</v>
      </c>
      <c r="S5353" s="33" t="s">
        <v>22</v>
      </c>
      <c r="T5353" s="33" t="s">
        <v>26781</v>
      </c>
      <c r="U5353" s="33" t="s">
        <v>26570</v>
      </c>
      <c r="V5353" s="33" t="s">
        <v>26573</v>
      </c>
      <c r="W5353" s="33" t="s">
        <v>94</v>
      </c>
      <c r="X5353" s="33">
        <v>183</v>
      </c>
      <c r="Z5353" s="33" t="s">
        <v>42968</v>
      </c>
      <c r="AA5353" s="33">
        <v>2310</v>
      </c>
    </row>
    <row r="5354" spans="1:27" ht="12" customHeight="1" x14ac:dyDescent="0.15">
      <c r="A5354" s="33" t="s">
        <v>3690</v>
      </c>
      <c r="B5354" s="33">
        <v>42</v>
      </c>
      <c r="C5354" s="33" t="s">
        <v>14</v>
      </c>
      <c r="D5354" s="33" t="s">
        <v>42</v>
      </c>
      <c r="F5354" s="67">
        <v>42061</v>
      </c>
      <c r="G5354" s="33" t="s">
        <v>3691</v>
      </c>
      <c r="H5354" s="33" t="s">
        <v>3692</v>
      </c>
      <c r="I5354" s="33" t="s">
        <v>56</v>
      </c>
      <c r="J5354" s="33" t="s">
        <v>3693</v>
      </c>
      <c r="K5354" s="33" t="s">
        <v>1736</v>
      </c>
      <c r="L5354" s="33" t="s">
        <v>3694</v>
      </c>
      <c r="M5354" s="33" t="s">
        <v>21</v>
      </c>
      <c r="N5354" s="33" t="s">
        <v>3695</v>
      </c>
      <c r="O5354" s="33" t="s">
        <v>372</v>
      </c>
      <c r="P5354" s="33" t="s">
        <v>30089</v>
      </c>
      <c r="Q5354" s="40" t="s">
        <v>3696</v>
      </c>
      <c r="R5354" s="33" t="s">
        <v>94</v>
      </c>
      <c r="S5354" s="33" t="s">
        <v>22</v>
      </c>
      <c r="T5354" s="33" t="s">
        <v>26781</v>
      </c>
      <c r="U5354" s="33" t="s">
        <v>26572</v>
      </c>
      <c r="V5354" s="33" t="s">
        <v>26574</v>
      </c>
      <c r="W5354" s="33" t="s">
        <v>94</v>
      </c>
      <c r="X5354" s="33">
        <v>181</v>
      </c>
      <c r="Z5354" s="33" t="s">
        <v>42968</v>
      </c>
      <c r="AA5354" s="33">
        <v>2309</v>
      </c>
    </row>
    <row r="5355" spans="1:27" ht="12" customHeight="1" x14ac:dyDescent="0.15">
      <c r="A5355" s="33" t="s">
        <v>3679</v>
      </c>
      <c r="B5355" s="33">
        <v>21</v>
      </c>
      <c r="C5355" s="33" t="s">
        <v>14</v>
      </c>
      <c r="D5355" s="33" t="s">
        <v>42</v>
      </c>
      <c r="F5355" s="67">
        <v>42061</v>
      </c>
      <c r="G5355" s="33" t="s">
        <v>3680</v>
      </c>
      <c r="H5355" s="33" t="s">
        <v>886</v>
      </c>
      <c r="I5355" s="33" t="s">
        <v>39</v>
      </c>
      <c r="J5355" s="33" t="s">
        <v>3681</v>
      </c>
      <c r="K5355" s="33" t="s">
        <v>886</v>
      </c>
      <c r="L5355" s="33" t="s">
        <v>887</v>
      </c>
      <c r="M5355" s="33" t="s">
        <v>21</v>
      </c>
      <c r="N5355" s="33" t="s">
        <v>3682</v>
      </c>
      <c r="O5355" s="33" t="s">
        <v>372</v>
      </c>
      <c r="P5355" s="33" t="s">
        <v>30089</v>
      </c>
      <c r="Q5355" s="40" t="s">
        <v>3683</v>
      </c>
      <c r="R5355" s="33" t="s">
        <v>94</v>
      </c>
      <c r="S5355" s="33" t="s">
        <v>22</v>
      </c>
      <c r="T5355" s="33" t="s">
        <v>26774</v>
      </c>
      <c r="U5355" s="33" t="s">
        <v>26570</v>
      </c>
      <c r="V5355" s="33" t="s">
        <v>26573</v>
      </c>
      <c r="W5355" s="33" t="s">
        <v>94</v>
      </c>
      <c r="X5355" s="33">
        <v>182</v>
      </c>
      <c r="Z5355" s="33" t="s">
        <v>42966</v>
      </c>
      <c r="AA5355" s="33">
        <v>2312</v>
      </c>
    </row>
    <row r="5356" spans="1:27" ht="12" customHeight="1" x14ac:dyDescent="0.15">
      <c r="A5356" s="33" t="s">
        <v>3719</v>
      </c>
      <c r="B5356" s="33">
        <v>31</v>
      </c>
      <c r="C5356" s="33" t="s">
        <v>14</v>
      </c>
      <c r="D5356" s="33" t="s">
        <v>31</v>
      </c>
      <c r="E5356" s="33" t="s">
        <v>3720</v>
      </c>
      <c r="F5356" s="67">
        <v>42061</v>
      </c>
      <c r="H5356" s="33" t="s">
        <v>3721</v>
      </c>
      <c r="I5356" s="33" t="s">
        <v>198</v>
      </c>
      <c r="J5356" s="33">
        <v>47802</v>
      </c>
      <c r="K5356" s="33" t="s">
        <v>3722</v>
      </c>
      <c r="L5356" s="33" t="s">
        <v>4973</v>
      </c>
      <c r="M5356" s="33" t="s">
        <v>4966</v>
      </c>
      <c r="N5356" s="33" t="s">
        <v>3723</v>
      </c>
      <c r="P5356" s="33" t="s">
        <v>30089</v>
      </c>
      <c r="Q5356" s="40" t="str">
        <f>HYPERLINK("http://www.tristatehomepage.com/story/d/story/isp-investigating-officer-involved-shooting-in-ter/40703/pV4yrq5qR0S3uTbJYNfJsQ","http://www.tristatehomepage.com/story/d/story/isp-investigating-officer-involved-shooting-in-ter/40703/pV4yrq5qR0S3uTbJYNfJsQ")</f>
        <v>http://www.tristatehomepage.com/story/d/story/isp-investigating-officer-involved-shooting-in-ter/40703/pV4yrq5qR0S3uTbJYNfJsQ</v>
      </c>
      <c r="R5356" s="33" t="s">
        <v>23</v>
      </c>
      <c r="S5356" s="33" t="s">
        <v>12</v>
      </c>
      <c r="T5356" s="33" t="s">
        <v>29705</v>
      </c>
      <c r="U5356" s="33" t="s">
        <v>26570</v>
      </c>
      <c r="V5356" s="33" t="s">
        <v>26573</v>
      </c>
      <c r="W5356" s="33" t="s">
        <v>94</v>
      </c>
      <c r="X5356" s="33">
        <v>180</v>
      </c>
      <c r="Z5356" s="33" t="s">
        <v>42967</v>
      </c>
      <c r="AA5356" s="33">
        <v>2313</v>
      </c>
    </row>
    <row r="5357" spans="1:27" ht="12" customHeight="1" x14ac:dyDescent="0.15">
      <c r="A5357" s="33" t="s">
        <v>3713</v>
      </c>
      <c r="B5357" s="33">
        <v>43</v>
      </c>
      <c r="C5357" s="33" t="s">
        <v>14</v>
      </c>
      <c r="D5357" s="33" t="s">
        <v>31</v>
      </c>
      <c r="E5357" s="33" t="s">
        <v>3714</v>
      </c>
      <c r="F5357" s="67">
        <v>42060</v>
      </c>
      <c r="G5357" s="33" t="s">
        <v>3715</v>
      </c>
      <c r="H5357" s="33" t="s">
        <v>607</v>
      </c>
      <c r="I5357" s="33" t="s">
        <v>250</v>
      </c>
      <c r="J5357" s="33" t="s">
        <v>3716</v>
      </c>
      <c r="K5357" s="33" t="s">
        <v>527</v>
      </c>
      <c r="L5357" s="33" t="s">
        <v>528</v>
      </c>
      <c r="M5357" s="33" t="s">
        <v>21</v>
      </c>
      <c r="N5357" s="33" t="s">
        <v>3717</v>
      </c>
      <c r="O5357" s="33" t="s">
        <v>950</v>
      </c>
      <c r="P5357" s="33" t="s">
        <v>30089</v>
      </c>
      <c r="Q5357" s="40" t="s">
        <v>3718</v>
      </c>
      <c r="R5357" s="33" t="s">
        <v>512</v>
      </c>
      <c r="S5357" s="33" t="s">
        <v>22</v>
      </c>
      <c r="T5357" s="33" t="s">
        <v>26781</v>
      </c>
      <c r="U5357" s="33" t="s">
        <v>26572</v>
      </c>
      <c r="V5357" s="33" t="s">
        <v>26573</v>
      </c>
      <c r="W5357" s="33" t="s">
        <v>94</v>
      </c>
      <c r="X5357" s="33">
        <v>179</v>
      </c>
      <c r="Z5357" s="33" t="s">
        <v>42968</v>
      </c>
      <c r="AA5357" s="33">
        <v>2307</v>
      </c>
    </row>
    <row r="5358" spans="1:27" ht="12" customHeight="1" x14ac:dyDescent="0.15">
      <c r="A5358" s="33" t="s">
        <v>3706</v>
      </c>
      <c r="B5358" s="33">
        <v>27</v>
      </c>
      <c r="C5358" s="33" t="s">
        <v>14</v>
      </c>
      <c r="D5358" s="33" t="s">
        <v>79</v>
      </c>
      <c r="E5358" s="33" t="s">
        <v>3707</v>
      </c>
      <c r="F5358" s="67">
        <v>42060</v>
      </c>
      <c r="G5358" s="33" t="s">
        <v>3708</v>
      </c>
      <c r="H5358" s="33" t="s">
        <v>1027</v>
      </c>
      <c r="I5358" s="33" t="s">
        <v>367</v>
      </c>
      <c r="J5358" s="33" t="s">
        <v>3709</v>
      </c>
      <c r="K5358" s="33" t="s">
        <v>1028</v>
      </c>
      <c r="L5358" s="33" t="s">
        <v>1029</v>
      </c>
      <c r="M5358" s="33" t="s">
        <v>21</v>
      </c>
      <c r="N5358" s="33" t="s">
        <v>3710</v>
      </c>
      <c r="O5358" s="33" t="s">
        <v>950</v>
      </c>
      <c r="P5358" s="33" t="s">
        <v>30089</v>
      </c>
      <c r="Q5358" s="40" t="s">
        <v>3711</v>
      </c>
      <c r="R5358" s="33" t="s">
        <v>94</v>
      </c>
      <c r="S5358" s="33" t="s">
        <v>351</v>
      </c>
      <c r="T5358" s="33" t="s">
        <v>26867</v>
      </c>
      <c r="U5358" s="33" t="s">
        <v>26570</v>
      </c>
      <c r="V5358" s="33" t="s">
        <v>26571</v>
      </c>
      <c r="W5358" s="33" t="s">
        <v>94</v>
      </c>
      <c r="X5358" s="33">
        <v>178</v>
      </c>
      <c r="Z5358" s="33" t="s">
        <v>42966</v>
      </c>
      <c r="AA5358" s="33">
        <v>2308</v>
      </c>
    </row>
    <row r="5359" spans="1:27" ht="12" customHeight="1" x14ac:dyDescent="0.15">
      <c r="A5359" s="33" t="s">
        <v>3724</v>
      </c>
      <c r="B5359" s="33">
        <v>30</v>
      </c>
      <c r="C5359" s="33" t="s">
        <v>14</v>
      </c>
      <c r="D5359" s="33" t="s">
        <v>42</v>
      </c>
      <c r="E5359" s="33" t="s">
        <v>3725</v>
      </c>
      <c r="F5359" s="67">
        <v>42059</v>
      </c>
      <c r="G5359" s="33" t="s">
        <v>3726</v>
      </c>
      <c r="H5359" s="33" t="s">
        <v>408</v>
      </c>
      <c r="I5359" s="33" t="s">
        <v>409</v>
      </c>
      <c r="J5359" s="33" t="s">
        <v>3727</v>
      </c>
      <c r="K5359" s="33" t="s">
        <v>3728</v>
      </c>
      <c r="L5359" s="33" t="s">
        <v>3729</v>
      </c>
      <c r="M5359" s="33" t="s">
        <v>4966</v>
      </c>
      <c r="N5359" s="33" t="s">
        <v>3730</v>
      </c>
      <c r="O5359" s="33" t="s">
        <v>372</v>
      </c>
      <c r="P5359" s="33" t="s">
        <v>30089</v>
      </c>
      <c r="Q5359" s="40" t="s">
        <v>3731</v>
      </c>
      <c r="R5359" s="33" t="s">
        <v>512</v>
      </c>
      <c r="S5359" s="33" t="s">
        <v>22</v>
      </c>
      <c r="T5359" s="33" t="s">
        <v>26774</v>
      </c>
      <c r="U5359" s="33" t="s">
        <v>26572</v>
      </c>
      <c r="V5359" s="33" t="s">
        <v>26573</v>
      </c>
      <c r="W5359" s="33" t="s">
        <v>94</v>
      </c>
      <c r="X5359" s="33">
        <v>177</v>
      </c>
      <c r="Z5359" s="33" t="s">
        <v>42968</v>
      </c>
      <c r="AA5359" s="33">
        <v>2306</v>
      </c>
    </row>
    <row r="5360" spans="1:27" ht="12" customHeight="1" x14ac:dyDescent="0.15">
      <c r="A5360" s="33" t="s">
        <v>3785</v>
      </c>
      <c r="B5360" s="33">
        <v>41</v>
      </c>
      <c r="C5360" s="33" t="s">
        <v>14</v>
      </c>
      <c r="D5360" s="33" t="s">
        <v>31</v>
      </c>
      <c r="E5360" s="33" t="s">
        <v>3786</v>
      </c>
      <c r="F5360" s="67">
        <v>42058</v>
      </c>
      <c r="G5360" s="33" t="s">
        <v>3787</v>
      </c>
      <c r="H5360" s="33" t="s">
        <v>3788</v>
      </c>
      <c r="I5360" s="33" t="s">
        <v>160</v>
      </c>
      <c r="J5360" s="33" t="s">
        <v>3789</v>
      </c>
      <c r="K5360" s="33" t="s">
        <v>3790</v>
      </c>
      <c r="L5360" s="33" t="s">
        <v>3791</v>
      </c>
      <c r="M5360" s="33" t="s">
        <v>21</v>
      </c>
      <c r="N5360" s="33" t="s">
        <v>3792</v>
      </c>
      <c r="P5360" s="33" t="s">
        <v>30089</v>
      </c>
      <c r="Q5360" s="40" t="s">
        <v>3793</v>
      </c>
      <c r="R5360" s="33" t="s">
        <v>23</v>
      </c>
      <c r="S5360" s="33" t="s">
        <v>22</v>
      </c>
      <c r="T5360" s="33" t="s">
        <v>26781</v>
      </c>
      <c r="U5360" s="33" t="s">
        <v>26572</v>
      </c>
      <c r="V5360" s="33" t="s">
        <v>26574</v>
      </c>
      <c r="W5360" s="33" t="s">
        <v>94</v>
      </c>
      <c r="X5360" s="33">
        <v>175</v>
      </c>
      <c r="Z5360" s="33" t="s">
        <v>42967</v>
      </c>
      <c r="AA5360" s="33">
        <v>2301</v>
      </c>
    </row>
    <row r="5361" spans="1:27" ht="12" customHeight="1" x14ac:dyDescent="0.15">
      <c r="A5361" s="33" t="s">
        <v>3757</v>
      </c>
      <c r="B5361" s="33">
        <v>37</v>
      </c>
      <c r="C5361" s="33" t="s">
        <v>14</v>
      </c>
      <c r="D5361" s="33" t="s">
        <v>31</v>
      </c>
      <c r="E5361" s="33" t="s">
        <v>3758</v>
      </c>
      <c r="F5361" s="67">
        <v>42058</v>
      </c>
      <c r="G5361" s="33" t="s">
        <v>3759</v>
      </c>
      <c r="H5361" s="33" t="s">
        <v>3760</v>
      </c>
      <c r="I5361" s="33" t="s">
        <v>160</v>
      </c>
      <c r="J5361" s="33" t="s">
        <v>3761</v>
      </c>
      <c r="K5361" s="33" t="s">
        <v>3052</v>
      </c>
      <c r="L5361" s="33" t="s">
        <v>36773</v>
      </c>
      <c r="M5361" s="33" t="s">
        <v>21</v>
      </c>
      <c r="N5361" s="33" t="s">
        <v>3762</v>
      </c>
      <c r="O5361" s="33" t="s">
        <v>950</v>
      </c>
      <c r="P5361" s="33" t="s">
        <v>30089</v>
      </c>
      <c r="Q5361" s="40" t="s">
        <v>3763</v>
      </c>
      <c r="R5361" s="33" t="s">
        <v>94</v>
      </c>
      <c r="S5361" s="33" t="s">
        <v>22</v>
      </c>
      <c r="T5361" s="33" t="s">
        <v>26774</v>
      </c>
      <c r="U5361" s="33" t="s">
        <v>26570</v>
      </c>
      <c r="V5361" s="33" t="s">
        <v>26573</v>
      </c>
      <c r="W5361" s="33" t="s">
        <v>94</v>
      </c>
      <c r="X5361" s="33">
        <v>174</v>
      </c>
      <c r="Z5361" s="33" t="s">
        <v>42968</v>
      </c>
      <c r="AA5361" s="33">
        <v>2303</v>
      </c>
    </row>
    <row r="5362" spans="1:27" ht="12" customHeight="1" x14ac:dyDescent="0.15">
      <c r="A5362" s="33" t="s">
        <v>3764</v>
      </c>
      <c r="B5362" s="33">
        <v>39</v>
      </c>
      <c r="C5362" s="33" t="s">
        <v>14</v>
      </c>
      <c r="D5362" s="33" t="s">
        <v>31</v>
      </c>
      <c r="E5362" s="33" t="s">
        <v>3765</v>
      </c>
      <c r="F5362" s="67">
        <v>42058</v>
      </c>
      <c r="G5362" s="33" t="s">
        <v>3766</v>
      </c>
      <c r="H5362" s="33" t="s">
        <v>1522</v>
      </c>
      <c r="I5362" s="33" t="s">
        <v>432</v>
      </c>
      <c r="J5362" s="33" t="s">
        <v>3767</v>
      </c>
      <c r="K5362" s="33" t="s">
        <v>882</v>
      </c>
      <c r="L5362" s="33" t="s">
        <v>2101</v>
      </c>
      <c r="M5362" s="33" t="s">
        <v>4966</v>
      </c>
      <c r="N5362" s="33" t="s">
        <v>3768</v>
      </c>
      <c r="O5362" s="33" t="s">
        <v>950</v>
      </c>
      <c r="P5362" s="33" t="s">
        <v>30089</v>
      </c>
      <c r="Q5362" s="40" t="s">
        <v>3769</v>
      </c>
      <c r="R5362" s="33" t="s">
        <v>94</v>
      </c>
      <c r="S5362" s="33" t="s">
        <v>12</v>
      </c>
      <c r="T5362" s="33" t="s">
        <v>29705</v>
      </c>
      <c r="U5362" s="33" t="s">
        <v>26570</v>
      </c>
      <c r="V5362" s="33" t="s">
        <v>26573</v>
      </c>
      <c r="W5362" s="33" t="s">
        <v>94</v>
      </c>
      <c r="X5362" s="33">
        <v>371</v>
      </c>
      <c r="Z5362" s="33" t="s">
        <v>42966</v>
      </c>
      <c r="AA5362" s="33">
        <v>2305</v>
      </c>
    </row>
    <row r="5363" spans="1:27" ht="12" customHeight="1" x14ac:dyDescent="0.15">
      <c r="A5363" s="33" t="s">
        <v>3748</v>
      </c>
      <c r="B5363" s="33">
        <v>42</v>
      </c>
      <c r="C5363" s="33" t="s">
        <v>14</v>
      </c>
      <c r="D5363" s="33" t="s">
        <v>31</v>
      </c>
      <c r="E5363" s="33" t="s">
        <v>3749</v>
      </c>
      <c r="F5363" s="67">
        <v>42058</v>
      </c>
      <c r="G5363" s="33" t="s">
        <v>3750</v>
      </c>
      <c r="H5363" s="33" t="s">
        <v>3751</v>
      </c>
      <c r="I5363" s="33" t="s">
        <v>376</v>
      </c>
      <c r="J5363" s="33" t="s">
        <v>3752</v>
      </c>
      <c r="K5363" s="33" t="s">
        <v>3753</v>
      </c>
      <c r="L5363" s="33" t="s">
        <v>3754</v>
      </c>
      <c r="M5363" s="33" t="s">
        <v>4966</v>
      </c>
      <c r="N5363" s="33" t="s">
        <v>3755</v>
      </c>
      <c r="O5363" s="33" t="s">
        <v>372</v>
      </c>
      <c r="P5363" s="33" t="s">
        <v>30089</v>
      </c>
      <c r="Q5363" s="40" t="s">
        <v>3756</v>
      </c>
      <c r="R5363" s="33" t="s">
        <v>94</v>
      </c>
      <c r="S5363" s="33" t="s">
        <v>22</v>
      </c>
      <c r="T5363" s="33" t="s">
        <v>26774</v>
      </c>
      <c r="U5363" s="33" t="s">
        <v>26572</v>
      </c>
      <c r="V5363" s="33" t="s">
        <v>26571</v>
      </c>
      <c r="W5363" s="33" t="s">
        <v>94</v>
      </c>
      <c r="X5363" s="33">
        <v>266</v>
      </c>
      <c r="Z5363" s="33" t="s">
        <v>42966</v>
      </c>
      <c r="AA5363" s="33">
        <v>2304</v>
      </c>
    </row>
    <row r="5364" spans="1:27" ht="12" customHeight="1" x14ac:dyDescent="0.15">
      <c r="A5364" s="33" t="s">
        <v>3740</v>
      </c>
      <c r="B5364" s="33">
        <v>47</v>
      </c>
      <c r="C5364" s="33" t="s">
        <v>14</v>
      </c>
      <c r="D5364" s="33" t="s">
        <v>31</v>
      </c>
      <c r="F5364" s="67">
        <v>42058</v>
      </c>
      <c r="G5364" s="33" t="s">
        <v>3741</v>
      </c>
      <c r="H5364" s="33" t="s">
        <v>3742</v>
      </c>
      <c r="I5364" s="33" t="s">
        <v>19</v>
      </c>
      <c r="J5364" s="33" t="s">
        <v>3743</v>
      </c>
      <c r="K5364" s="33" t="s">
        <v>3744</v>
      </c>
      <c r="L5364" s="33" t="s">
        <v>3745</v>
      </c>
      <c r="M5364" s="33" t="s">
        <v>21</v>
      </c>
      <c r="N5364" s="33" t="s">
        <v>3746</v>
      </c>
      <c r="O5364" s="33" t="s">
        <v>950</v>
      </c>
      <c r="P5364" s="33" t="s">
        <v>30089</v>
      </c>
      <c r="Q5364" s="40" t="s">
        <v>3747</v>
      </c>
      <c r="R5364" s="33" t="s">
        <v>512</v>
      </c>
      <c r="S5364" s="33" t="s">
        <v>22</v>
      </c>
      <c r="T5364" s="33" t="s">
        <v>26781</v>
      </c>
      <c r="U5364" s="33" t="s">
        <v>26572</v>
      </c>
      <c r="V5364" s="33" t="s">
        <v>26573</v>
      </c>
      <c r="W5364" s="33" t="s">
        <v>94</v>
      </c>
      <c r="X5364" s="33">
        <v>172</v>
      </c>
      <c r="Z5364" s="33" t="s">
        <v>42968</v>
      </c>
      <c r="AA5364" s="33">
        <v>2300</v>
      </c>
    </row>
    <row r="5365" spans="1:27" ht="12" customHeight="1" x14ac:dyDescent="0.15">
      <c r="A5365" s="33" t="s">
        <v>3732</v>
      </c>
      <c r="B5365" s="33">
        <v>16</v>
      </c>
      <c r="C5365" s="33" t="s">
        <v>14</v>
      </c>
      <c r="D5365" s="33" t="s">
        <v>79</v>
      </c>
      <c r="F5365" s="67">
        <v>42058</v>
      </c>
      <c r="G5365" s="33" t="s">
        <v>3733</v>
      </c>
      <c r="H5365" s="33" t="s">
        <v>3734</v>
      </c>
      <c r="I5365" s="33" t="s">
        <v>88</v>
      </c>
      <c r="J5365" s="33" t="s">
        <v>3735</v>
      </c>
      <c r="K5365" s="33" t="s">
        <v>3736</v>
      </c>
      <c r="L5365" s="33" t="s">
        <v>3737</v>
      </c>
      <c r="M5365" s="33" t="s">
        <v>21</v>
      </c>
      <c r="N5365" s="33" t="s">
        <v>3738</v>
      </c>
      <c r="O5365" s="33" t="s">
        <v>372</v>
      </c>
      <c r="P5365" s="33" t="s">
        <v>30089</v>
      </c>
      <c r="Q5365" s="40" t="s">
        <v>3739</v>
      </c>
      <c r="R5365" s="33" t="s">
        <v>94</v>
      </c>
      <c r="S5365" s="33" t="s">
        <v>22</v>
      </c>
      <c r="T5365" s="33" t="s">
        <v>26781</v>
      </c>
      <c r="U5365" s="33" t="s">
        <v>26572</v>
      </c>
      <c r="V5365" s="33" t="s">
        <v>26573</v>
      </c>
      <c r="W5365" s="33" t="s">
        <v>94</v>
      </c>
      <c r="X5365" s="33">
        <v>176</v>
      </c>
      <c r="Z5365" s="33" t="s">
        <v>42967</v>
      </c>
      <c r="AA5365" s="33">
        <v>2302</v>
      </c>
    </row>
    <row r="5366" spans="1:27" ht="12" customHeight="1" x14ac:dyDescent="0.15">
      <c r="A5366" s="33" t="s">
        <v>3778</v>
      </c>
      <c r="B5366" s="33">
        <v>50</v>
      </c>
      <c r="C5366" s="33" t="s">
        <v>14</v>
      </c>
      <c r="D5366" s="33" t="s">
        <v>31</v>
      </c>
      <c r="F5366" s="67">
        <v>42057</v>
      </c>
      <c r="G5366" s="33" t="s">
        <v>3779</v>
      </c>
      <c r="H5366" s="33" t="s">
        <v>3780</v>
      </c>
      <c r="I5366" s="33" t="s">
        <v>56</v>
      </c>
      <c r="J5366" s="33" t="s">
        <v>3781</v>
      </c>
      <c r="K5366" s="33" t="s">
        <v>1654</v>
      </c>
      <c r="L5366" s="33" t="s">
        <v>3782</v>
      </c>
      <c r="M5366" s="33" t="s">
        <v>21</v>
      </c>
      <c r="N5366" s="33" t="s">
        <v>3783</v>
      </c>
      <c r="O5366" s="33" t="s">
        <v>950</v>
      </c>
      <c r="P5366" s="33" t="s">
        <v>30089</v>
      </c>
      <c r="Q5366" s="40" t="s">
        <v>3784</v>
      </c>
      <c r="R5366" s="33" t="s">
        <v>94</v>
      </c>
      <c r="S5366" s="33" t="s">
        <v>22</v>
      </c>
      <c r="T5366" s="33" t="s">
        <v>26781</v>
      </c>
      <c r="U5366" s="33" t="s">
        <v>26572</v>
      </c>
      <c r="V5366" s="33" t="s">
        <v>26573</v>
      </c>
      <c r="W5366" s="33" t="s">
        <v>94</v>
      </c>
      <c r="X5366" s="33">
        <v>170</v>
      </c>
      <c r="Z5366" s="33" t="s">
        <v>42968</v>
      </c>
      <c r="AA5366" s="33">
        <v>2298</v>
      </c>
    </row>
    <row r="5367" spans="1:27" ht="12" customHeight="1" x14ac:dyDescent="0.15">
      <c r="A5367" s="33" t="s">
        <v>3770</v>
      </c>
      <c r="B5367" s="33">
        <v>39</v>
      </c>
      <c r="C5367" s="33" t="s">
        <v>14</v>
      </c>
      <c r="D5367" s="33" t="s">
        <v>79</v>
      </c>
      <c r="E5367" s="33" t="s">
        <v>3771</v>
      </c>
      <c r="F5367" s="67">
        <v>42057</v>
      </c>
      <c r="G5367" s="33" t="s">
        <v>3772</v>
      </c>
      <c r="H5367" s="33" t="s">
        <v>3773</v>
      </c>
      <c r="I5367" s="33" t="s">
        <v>56</v>
      </c>
      <c r="J5367" s="33" t="s">
        <v>3774</v>
      </c>
      <c r="K5367" s="33" t="s">
        <v>1052</v>
      </c>
      <c r="L5367" s="33" t="s">
        <v>3775</v>
      </c>
      <c r="M5367" s="33" t="s">
        <v>363</v>
      </c>
      <c r="N5367" s="33" t="s">
        <v>3776</v>
      </c>
      <c r="O5367" s="33" t="s">
        <v>950</v>
      </c>
      <c r="P5367" s="33" t="s">
        <v>30089</v>
      </c>
      <c r="Q5367" s="40" t="s">
        <v>3777</v>
      </c>
      <c r="R5367" s="33" t="s">
        <v>94</v>
      </c>
      <c r="S5367" s="33" t="s">
        <v>12</v>
      </c>
      <c r="T5367" s="54" t="s">
        <v>29705</v>
      </c>
      <c r="Z5367" s="33" t="s">
        <v>42966</v>
      </c>
      <c r="AA5367" s="33">
        <v>2299</v>
      </c>
    </row>
    <row r="5368" spans="1:27" ht="12" customHeight="1" x14ac:dyDescent="0.15">
      <c r="A5368" s="33" t="s">
        <v>3794</v>
      </c>
      <c r="B5368" s="33">
        <v>41</v>
      </c>
      <c r="C5368" s="33" t="s">
        <v>14</v>
      </c>
      <c r="D5368" s="33" t="s">
        <v>31</v>
      </c>
      <c r="E5368" s="33" t="s">
        <v>3795</v>
      </c>
      <c r="F5368" s="67">
        <v>42056</v>
      </c>
      <c r="G5368" s="33" t="s">
        <v>3796</v>
      </c>
      <c r="H5368" s="33" t="s">
        <v>3797</v>
      </c>
      <c r="I5368" s="33" t="s">
        <v>178</v>
      </c>
      <c r="J5368" s="33" t="s">
        <v>3798</v>
      </c>
      <c r="K5368" s="33" t="s">
        <v>2159</v>
      </c>
      <c r="L5368" s="33" t="s">
        <v>2847</v>
      </c>
      <c r="M5368" s="33" t="s">
        <v>21</v>
      </c>
      <c r="N5368" s="33" t="s">
        <v>3799</v>
      </c>
      <c r="O5368" s="33" t="s">
        <v>950</v>
      </c>
      <c r="P5368" s="33" t="s">
        <v>30089</v>
      </c>
      <c r="Q5368" s="40" t="s">
        <v>3800</v>
      </c>
      <c r="R5368" s="33" t="s">
        <v>23</v>
      </c>
      <c r="S5368" s="33" t="s">
        <v>22</v>
      </c>
      <c r="T5368" s="33" t="s">
        <v>26781</v>
      </c>
      <c r="U5368" s="33" t="s">
        <v>26572</v>
      </c>
      <c r="V5368" s="33" t="s">
        <v>26573</v>
      </c>
      <c r="W5368" s="33" t="s">
        <v>94</v>
      </c>
      <c r="X5368" s="33">
        <v>167</v>
      </c>
      <c r="Z5368" s="33" t="s">
        <v>42967</v>
      </c>
      <c r="AA5368" s="33">
        <v>2296</v>
      </c>
    </row>
    <row r="5369" spans="1:27" ht="12" customHeight="1" x14ac:dyDescent="0.15">
      <c r="A5369" s="33" t="s">
        <v>3801</v>
      </c>
      <c r="B5369" s="33">
        <v>51</v>
      </c>
      <c r="C5369" s="33" t="s">
        <v>14</v>
      </c>
      <c r="D5369" s="33" t="s">
        <v>31</v>
      </c>
      <c r="E5369" s="33" t="s">
        <v>3802</v>
      </c>
      <c r="F5369" s="67">
        <v>42056</v>
      </c>
      <c r="G5369" s="33" t="s">
        <v>3803</v>
      </c>
      <c r="H5369" s="33" t="s">
        <v>197</v>
      </c>
      <c r="I5369" s="33" t="s">
        <v>198</v>
      </c>
      <c r="J5369" s="33" t="s">
        <v>3804</v>
      </c>
      <c r="K5369" s="33" t="s">
        <v>392</v>
      </c>
      <c r="L5369" s="33" t="s">
        <v>199</v>
      </c>
      <c r="M5369" s="33" t="s">
        <v>21</v>
      </c>
      <c r="N5369" s="33" t="s">
        <v>3805</v>
      </c>
      <c r="O5369" s="33" t="s">
        <v>950</v>
      </c>
      <c r="P5369" s="33" t="s">
        <v>30089</v>
      </c>
      <c r="Q5369" s="40" t="str">
        <f>HYPERLINK("http://www.theindychannel.com/news/local-news/suspect-fatally-shot-by-impd-officer-on-east-side","http://www.theindychannel.com/news/local-news/suspect-fatally-shot-by-impd-officer-on-east-side")</f>
        <v>http://www.theindychannel.com/news/local-news/suspect-fatally-shot-by-impd-officer-on-east-side</v>
      </c>
      <c r="R5369" s="33" t="s">
        <v>94</v>
      </c>
      <c r="S5369" s="33" t="s">
        <v>22</v>
      </c>
      <c r="T5369" s="33" t="s">
        <v>26774</v>
      </c>
      <c r="U5369" s="33" t="s">
        <v>26572</v>
      </c>
      <c r="V5369" s="33" t="s">
        <v>26573</v>
      </c>
      <c r="W5369" s="33" t="s">
        <v>94</v>
      </c>
      <c r="X5369" s="33">
        <v>168</v>
      </c>
      <c r="Z5369" s="33" t="s">
        <v>42968</v>
      </c>
      <c r="AA5369" s="33">
        <v>2297</v>
      </c>
    </row>
    <row r="5370" spans="1:27" ht="12" customHeight="1" x14ac:dyDescent="0.15">
      <c r="A5370" s="33" t="s">
        <v>3824</v>
      </c>
      <c r="B5370" s="33">
        <v>31</v>
      </c>
      <c r="C5370" s="33" t="s">
        <v>14</v>
      </c>
      <c r="D5370" s="33" t="s">
        <v>42</v>
      </c>
      <c r="E5370" s="33" t="s">
        <v>3825</v>
      </c>
      <c r="F5370" s="67">
        <v>42055</v>
      </c>
      <c r="G5370" s="33" t="s">
        <v>3826</v>
      </c>
      <c r="H5370" s="33" t="s">
        <v>3827</v>
      </c>
      <c r="I5370" s="33" t="s">
        <v>67</v>
      </c>
      <c r="J5370" s="33" t="s">
        <v>3828</v>
      </c>
      <c r="K5370" s="33" t="s">
        <v>68</v>
      </c>
      <c r="L5370" s="33" t="s">
        <v>3829</v>
      </c>
      <c r="M5370" s="33" t="s">
        <v>21</v>
      </c>
      <c r="N5370" s="33" t="s">
        <v>19113</v>
      </c>
      <c r="O5370" s="33" t="s">
        <v>372</v>
      </c>
      <c r="P5370" s="33" t="s">
        <v>30089</v>
      </c>
      <c r="Q5370" s="40" t="s">
        <v>3830</v>
      </c>
      <c r="R5370" s="33" t="s">
        <v>23</v>
      </c>
      <c r="S5370" s="33" t="s">
        <v>12</v>
      </c>
      <c r="T5370" s="33" t="s">
        <v>29705</v>
      </c>
      <c r="U5370" s="33" t="s">
        <v>26570</v>
      </c>
      <c r="V5370" s="33" t="s">
        <v>26573</v>
      </c>
      <c r="W5370" s="33" t="s">
        <v>94</v>
      </c>
      <c r="X5370" s="33">
        <v>165</v>
      </c>
      <c r="Z5370" s="33" t="s">
        <v>42968</v>
      </c>
      <c r="AA5370" s="33">
        <v>2293</v>
      </c>
    </row>
    <row r="5371" spans="1:27" ht="12" customHeight="1" x14ac:dyDescent="0.15">
      <c r="A5371" s="33" t="s">
        <v>3806</v>
      </c>
      <c r="B5371" s="33">
        <v>38</v>
      </c>
      <c r="C5371" s="33" t="s">
        <v>14</v>
      </c>
      <c r="D5371" s="33" t="s">
        <v>79</v>
      </c>
      <c r="E5371" s="33" t="s">
        <v>3807</v>
      </c>
      <c r="F5371" s="67">
        <v>42055</v>
      </c>
      <c r="G5371" s="33" t="s">
        <v>3808</v>
      </c>
      <c r="H5371" s="33" t="s">
        <v>3809</v>
      </c>
      <c r="I5371" s="33" t="s">
        <v>88</v>
      </c>
      <c r="J5371" s="33" t="s">
        <v>3810</v>
      </c>
      <c r="K5371" s="33" t="s">
        <v>1659</v>
      </c>
      <c r="L5371" s="33" t="s">
        <v>3811</v>
      </c>
      <c r="M5371" s="33" t="s">
        <v>21</v>
      </c>
      <c r="N5371" s="33" t="s">
        <v>3812</v>
      </c>
      <c r="O5371" s="33" t="s">
        <v>950</v>
      </c>
      <c r="P5371" s="33" t="s">
        <v>30089</v>
      </c>
      <c r="Q5371" s="40" t="s">
        <v>3813</v>
      </c>
      <c r="R5371" s="33" t="s">
        <v>94</v>
      </c>
      <c r="S5371" s="33" t="s">
        <v>22</v>
      </c>
      <c r="T5371" s="33" t="s">
        <v>26781</v>
      </c>
      <c r="U5371" s="33" t="s">
        <v>26572</v>
      </c>
      <c r="V5371" s="33" t="s">
        <v>26573</v>
      </c>
      <c r="W5371" s="33" t="s">
        <v>94</v>
      </c>
      <c r="X5371" s="33">
        <v>166</v>
      </c>
      <c r="Z5371" s="33" t="s">
        <v>42966</v>
      </c>
      <c r="AA5371" s="33">
        <v>2291</v>
      </c>
    </row>
    <row r="5372" spans="1:27" ht="12" customHeight="1" x14ac:dyDescent="0.15">
      <c r="A5372" s="33" t="s">
        <v>3837</v>
      </c>
      <c r="B5372" s="33">
        <v>35</v>
      </c>
      <c r="C5372" s="33" t="s">
        <v>14</v>
      </c>
      <c r="D5372" s="33" t="s">
        <v>31</v>
      </c>
      <c r="E5372" s="33" t="s">
        <v>3838</v>
      </c>
      <c r="F5372" s="67">
        <v>42055</v>
      </c>
      <c r="G5372" s="33" t="s">
        <v>3839</v>
      </c>
      <c r="H5372" s="33" t="s">
        <v>281</v>
      </c>
      <c r="I5372" s="33" t="s">
        <v>39</v>
      </c>
      <c r="J5372" s="33" t="s">
        <v>3840</v>
      </c>
      <c r="K5372" s="33" t="s">
        <v>1245</v>
      </c>
      <c r="L5372" s="33" t="s">
        <v>1246</v>
      </c>
      <c r="M5372" s="33" t="s">
        <v>363</v>
      </c>
      <c r="N5372" s="33" t="s">
        <v>3841</v>
      </c>
      <c r="O5372" s="33" t="s">
        <v>950</v>
      </c>
      <c r="P5372" s="33" t="s">
        <v>30089</v>
      </c>
      <c r="Q5372" s="40" t="s">
        <v>3842</v>
      </c>
      <c r="R5372" s="33" t="s">
        <v>23</v>
      </c>
      <c r="S5372" s="33" t="s">
        <v>12</v>
      </c>
      <c r="T5372" s="54" t="s">
        <v>29705</v>
      </c>
      <c r="Z5372" s="33" t="s">
        <v>42968</v>
      </c>
      <c r="AA5372" s="33">
        <v>2295</v>
      </c>
    </row>
    <row r="5373" spans="1:27" ht="12" customHeight="1" x14ac:dyDescent="0.15">
      <c r="A5373" s="33" t="s">
        <v>3822</v>
      </c>
      <c r="B5373" s="33" t="s">
        <v>23</v>
      </c>
      <c r="C5373" s="33" t="s">
        <v>14</v>
      </c>
      <c r="D5373" s="33" t="s">
        <v>42</v>
      </c>
      <c r="F5373" s="67">
        <v>42055</v>
      </c>
      <c r="G5373" s="33" t="s">
        <v>19087</v>
      </c>
      <c r="H5373" s="33" t="s">
        <v>674</v>
      </c>
      <c r="I5373" s="33" t="s">
        <v>67</v>
      </c>
      <c r="K5373" s="33" t="s">
        <v>515</v>
      </c>
      <c r="L5373" s="33" t="s">
        <v>5161</v>
      </c>
      <c r="M5373" s="33" t="s">
        <v>21</v>
      </c>
      <c r="N5373" s="33" t="s">
        <v>19088</v>
      </c>
      <c r="O5373" s="33" t="s">
        <v>4311</v>
      </c>
      <c r="P5373" s="33" t="s">
        <v>30089</v>
      </c>
      <c r="Q5373" s="40" t="s">
        <v>3823</v>
      </c>
      <c r="R5373" s="33" t="s">
        <v>94</v>
      </c>
      <c r="S5373" s="33" t="s">
        <v>22</v>
      </c>
      <c r="T5373" s="33" t="s">
        <v>26781</v>
      </c>
      <c r="U5373" s="33" t="s">
        <v>26572</v>
      </c>
      <c r="V5373" s="33" t="s">
        <v>26571</v>
      </c>
      <c r="W5373" s="33" t="s">
        <v>94</v>
      </c>
      <c r="X5373" s="33">
        <v>584</v>
      </c>
      <c r="Z5373" s="33" t="e">
        <v>#N/A</v>
      </c>
      <c r="AA5373" s="33">
        <v>2292</v>
      </c>
    </row>
    <row r="5374" spans="1:27" ht="12" customHeight="1" x14ac:dyDescent="0.15">
      <c r="A5374" s="33" t="s">
        <v>3814</v>
      </c>
      <c r="B5374" s="33">
        <v>41</v>
      </c>
      <c r="C5374" s="33" t="s">
        <v>14</v>
      </c>
      <c r="D5374" s="33" t="s">
        <v>79</v>
      </c>
      <c r="E5374" s="33" t="s">
        <v>3815</v>
      </c>
      <c r="F5374" s="67">
        <v>42055</v>
      </c>
      <c r="G5374" s="33" t="s">
        <v>3816</v>
      </c>
      <c r="H5374" s="33" t="s">
        <v>2307</v>
      </c>
      <c r="I5374" s="33" t="s">
        <v>367</v>
      </c>
      <c r="J5374" s="33" t="s">
        <v>3817</v>
      </c>
      <c r="K5374" s="33" t="s">
        <v>3818</v>
      </c>
      <c r="L5374" s="33" t="s">
        <v>3819</v>
      </c>
      <c r="M5374" s="33" t="s">
        <v>363</v>
      </c>
      <c r="N5374" s="33" t="s">
        <v>3820</v>
      </c>
      <c r="O5374" s="33" t="s">
        <v>950</v>
      </c>
      <c r="P5374" s="33" t="s">
        <v>30089</v>
      </c>
      <c r="Q5374" s="40" t="s">
        <v>3821</v>
      </c>
      <c r="R5374" s="33" t="s">
        <v>94</v>
      </c>
      <c r="S5374" s="33" t="s">
        <v>12</v>
      </c>
      <c r="T5374" s="54" t="s">
        <v>29705</v>
      </c>
      <c r="Z5374" s="33" t="s">
        <v>42966</v>
      </c>
      <c r="AA5374" s="33">
        <v>2294</v>
      </c>
    </row>
    <row r="5375" spans="1:27" ht="12" customHeight="1" x14ac:dyDescent="0.15">
      <c r="A5375" s="33" t="s">
        <v>3852</v>
      </c>
      <c r="B5375" s="33">
        <v>20</v>
      </c>
      <c r="C5375" s="33" t="s">
        <v>103</v>
      </c>
      <c r="D5375" s="33" t="s">
        <v>79</v>
      </c>
      <c r="E5375" s="33" t="s">
        <v>3853</v>
      </c>
      <c r="F5375" s="67">
        <v>42053</v>
      </c>
      <c r="G5375" s="33" t="s">
        <v>3854</v>
      </c>
      <c r="H5375" s="33" t="s">
        <v>3855</v>
      </c>
      <c r="I5375" s="33" t="s">
        <v>338</v>
      </c>
      <c r="J5375" s="33" t="s">
        <v>3856</v>
      </c>
      <c r="K5375" s="33" t="s">
        <v>3857</v>
      </c>
      <c r="L5375" s="33" t="s">
        <v>3858</v>
      </c>
      <c r="M5375" s="33" t="s">
        <v>21</v>
      </c>
      <c r="N5375" s="33" t="s">
        <v>3859</v>
      </c>
      <c r="O5375" s="33" t="s">
        <v>507</v>
      </c>
      <c r="P5375" s="33" t="s">
        <v>30089</v>
      </c>
      <c r="Q5375" s="40" t="s">
        <v>3860</v>
      </c>
      <c r="R5375" s="33" t="s">
        <v>512</v>
      </c>
      <c r="S5375" s="33" t="s">
        <v>29</v>
      </c>
      <c r="T5375" s="33" t="s">
        <v>26575</v>
      </c>
      <c r="U5375" s="33" t="s">
        <v>26570</v>
      </c>
      <c r="V5375" s="33" t="s">
        <v>26573</v>
      </c>
      <c r="W5375" s="33" t="s">
        <v>94</v>
      </c>
      <c r="X5375" s="33">
        <v>163</v>
      </c>
      <c r="Z5375" s="33" t="s">
        <v>42968</v>
      </c>
      <c r="AA5375" s="33">
        <v>2290</v>
      </c>
    </row>
    <row r="5376" spans="1:27" ht="12" customHeight="1" x14ac:dyDescent="0.15">
      <c r="A5376" s="33" t="s">
        <v>3870</v>
      </c>
      <c r="B5376" s="33">
        <v>30</v>
      </c>
      <c r="C5376" s="33" t="s">
        <v>14</v>
      </c>
      <c r="D5376" s="33" t="s">
        <v>31</v>
      </c>
      <c r="F5376" s="67">
        <v>42052</v>
      </c>
      <c r="G5376" s="33" t="s">
        <v>3871</v>
      </c>
      <c r="H5376" s="33" t="s">
        <v>3872</v>
      </c>
      <c r="I5376" s="33" t="s">
        <v>40</v>
      </c>
      <c r="J5376" s="33" t="s">
        <v>3873</v>
      </c>
      <c r="K5376" s="33" t="s">
        <v>36</v>
      </c>
      <c r="L5376" s="33" t="s">
        <v>3874</v>
      </c>
      <c r="M5376" s="33" t="s">
        <v>21</v>
      </c>
      <c r="N5376" s="33" t="s">
        <v>36774</v>
      </c>
      <c r="O5376" s="33" t="s">
        <v>373</v>
      </c>
      <c r="P5376" s="33" t="s">
        <v>30089</v>
      </c>
      <c r="Q5376" s="40" t="s">
        <v>3875</v>
      </c>
      <c r="R5376" s="33" t="s">
        <v>94</v>
      </c>
      <c r="S5376" s="33" t="s">
        <v>12</v>
      </c>
      <c r="T5376" s="33" t="s">
        <v>29425</v>
      </c>
      <c r="U5376" s="33" t="s">
        <v>26572</v>
      </c>
      <c r="V5376" s="33" t="s">
        <v>26574</v>
      </c>
      <c r="W5376" s="33" t="s">
        <v>94</v>
      </c>
      <c r="X5376" s="33">
        <v>161</v>
      </c>
      <c r="Z5376" s="33" t="s">
        <v>42968</v>
      </c>
      <c r="AA5376" s="33">
        <v>2287</v>
      </c>
    </row>
    <row r="5377" spans="1:27" ht="12" customHeight="1" x14ac:dyDescent="0.15">
      <c r="A5377" s="33" t="s">
        <v>3884</v>
      </c>
      <c r="B5377" s="33">
        <v>43</v>
      </c>
      <c r="C5377" s="33" t="s">
        <v>103</v>
      </c>
      <c r="D5377" s="33" t="s">
        <v>31</v>
      </c>
      <c r="E5377" s="33" t="s">
        <v>3885</v>
      </c>
      <c r="F5377" s="67">
        <v>42052</v>
      </c>
      <c r="G5377" s="33" t="s">
        <v>3886</v>
      </c>
      <c r="H5377" s="33" t="s">
        <v>778</v>
      </c>
      <c r="I5377" s="33" t="s">
        <v>338</v>
      </c>
      <c r="J5377" s="33" t="s">
        <v>3887</v>
      </c>
      <c r="K5377" s="33" t="s">
        <v>779</v>
      </c>
      <c r="L5377" s="33" t="s">
        <v>3888</v>
      </c>
      <c r="M5377" s="33" t="s">
        <v>21</v>
      </c>
      <c r="N5377" s="33" t="s">
        <v>3889</v>
      </c>
      <c r="O5377" s="33" t="s">
        <v>372</v>
      </c>
      <c r="P5377" s="33" t="s">
        <v>30089</v>
      </c>
      <c r="Q5377" s="40" t="s">
        <v>3890</v>
      </c>
      <c r="R5377" s="33" t="s">
        <v>23</v>
      </c>
      <c r="S5377" s="33" t="s">
        <v>22</v>
      </c>
      <c r="T5377" s="33" t="s">
        <v>26781</v>
      </c>
      <c r="U5377" s="33" t="s">
        <v>26572</v>
      </c>
      <c r="V5377" s="33" t="s">
        <v>26573</v>
      </c>
      <c r="W5377" s="33" t="s">
        <v>94</v>
      </c>
      <c r="X5377" s="33">
        <v>130</v>
      </c>
      <c r="Z5377" s="33" t="s">
        <v>42968</v>
      </c>
      <c r="AA5377" s="33">
        <v>2285</v>
      </c>
    </row>
    <row r="5378" spans="1:27" ht="12" customHeight="1" x14ac:dyDescent="0.15">
      <c r="A5378" s="33" t="s">
        <v>3861</v>
      </c>
      <c r="B5378" s="33">
        <v>50</v>
      </c>
      <c r="C5378" s="33" t="s">
        <v>14</v>
      </c>
      <c r="D5378" s="33" t="s">
        <v>42</v>
      </c>
      <c r="E5378" s="33" t="s">
        <v>3862</v>
      </c>
      <c r="F5378" s="67">
        <v>42052</v>
      </c>
      <c r="G5378" s="33" t="s">
        <v>3863</v>
      </c>
      <c r="H5378" s="33" t="s">
        <v>3864</v>
      </c>
      <c r="I5378" s="33" t="s">
        <v>67</v>
      </c>
      <c r="J5378" s="33" t="s">
        <v>3865</v>
      </c>
      <c r="K5378" s="33" t="s">
        <v>3866</v>
      </c>
      <c r="L5378" s="33" t="s">
        <v>3867</v>
      </c>
      <c r="M5378" s="33" t="s">
        <v>21</v>
      </c>
      <c r="N5378" s="33" t="s">
        <v>3868</v>
      </c>
      <c r="O5378" s="33" t="s">
        <v>950</v>
      </c>
      <c r="P5378" s="33" t="s">
        <v>30089</v>
      </c>
      <c r="Q5378" s="40" t="s">
        <v>3869</v>
      </c>
      <c r="R5378" s="33" t="s">
        <v>94</v>
      </c>
      <c r="S5378" s="33" t="s">
        <v>351</v>
      </c>
      <c r="T5378" s="33" t="s">
        <v>26867</v>
      </c>
      <c r="U5378" s="33" t="s">
        <v>26570</v>
      </c>
      <c r="V5378" s="33" t="s">
        <v>26573</v>
      </c>
      <c r="W5378" s="33" t="s">
        <v>94</v>
      </c>
      <c r="X5378" s="33">
        <v>162</v>
      </c>
      <c r="Z5378" s="33" t="s">
        <v>42968</v>
      </c>
      <c r="AA5378" s="33">
        <v>2289</v>
      </c>
    </row>
    <row r="5379" spans="1:27" ht="12" customHeight="1" x14ac:dyDescent="0.15">
      <c r="A5379" s="33" t="s">
        <v>3876</v>
      </c>
      <c r="B5379" s="33">
        <v>32</v>
      </c>
      <c r="C5379" s="33" t="s">
        <v>14</v>
      </c>
      <c r="D5379" s="33" t="s">
        <v>31</v>
      </c>
      <c r="E5379" s="33" t="s">
        <v>3877</v>
      </c>
      <c r="F5379" s="67">
        <v>42052</v>
      </c>
      <c r="G5379" s="33" t="s">
        <v>3878</v>
      </c>
      <c r="H5379" s="33" t="s">
        <v>3879</v>
      </c>
      <c r="I5379" s="33" t="s">
        <v>51</v>
      </c>
      <c r="J5379" s="33" t="s">
        <v>3880</v>
      </c>
      <c r="K5379" s="33" t="s">
        <v>3626</v>
      </c>
      <c r="L5379" s="33" t="s">
        <v>3881</v>
      </c>
      <c r="M5379" s="33" t="s">
        <v>21</v>
      </c>
      <c r="N5379" s="33" t="s">
        <v>3882</v>
      </c>
      <c r="O5379" s="33" t="s">
        <v>372</v>
      </c>
      <c r="P5379" s="33" t="s">
        <v>30089</v>
      </c>
      <c r="Q5379" s="40" t="s">
        <v>3883</v>
      </c>
      <c r="R5379" s="33" t="s">
        <v>94</v>
      </c>
      <c r="S5379" s="33" t="s">
        <v>22</v>
      </c>
      <c r="T5379" s="33" t="s">
        <v>26781</v>
      </c>
      <c r="U5379" s="33" t="s">
        <v>26572</v>
      </c>
      <c r="V5379" s="33" t="s">
        <v>26573</v>
      </c>
      <c r="W5379" s="33" t="s">
        <v>94</v>
      </c>
      <c r="X5379" s="33">
        <v>160</v>
      </c>
      <c r="Z5379" s="33" t="s">
        <v>42967</v>
      </c>
      <c r="AA5379" s="33">
        <v>2286</v>
      </c>
    </row>
    <row r="5380" spans="1:27" ht="12" customHeight="1" x14ac:dyDescent="0.15">
      <c r="A5380" s="33" t="s">
        <v>3843</v>
      </c>
      <c r="B5380" s="33">
        <v>31</v>
      </c>
      <c r="C5380" s="33" t="s">
        <v>14</v>
      </c>
      <c r="D5380" s="33" t="s">
        <v>31</v>
      </c>
      <c r="E5380" s="33" t="s">
        <v>3844</v>
      </c>
      <c r="F5380" s="67">
        <v>42052</v>
      </c>
      <c r="G5380" s="33" t="s">
        <v>3845</v>
      </c>
      <c r="H5380" s="33" t="s">
        <v>3846</v>
      </c>
      <c r="I5380" s="33" t="s">
        <v>402</v>
      </c>
      <c r="J5380" s="33" t="s">
        <v>3847</v>
      </c>
      <c r="K5380" s="33" t="s">
        <v>3848</v>
      </c>
      <c r="L5380" s="33" t="s">
        <v>3849</v>
      </c>
      <c r="M5380" s="33" t="s">
        <v>21</v>
      </c>
      <c r="N5380" s="33" t="s">
        <v>3850</v>
      </c>
      <c r="O5380" s="33" t="s">
        <v>372</v>
      </c>
      <c r="P5380" s="33" t="s">
        <v>30089</v>
      </c>
      <c r="Q5380" s="40" t="s">
        <v>3851</v>
      </c>
      <c r="R5380" s="33" t="s">
        <v>94</v>
      </c>
      <c r="S5380" s="33" t="s">
        <v>12</v>
      </c>
      <c r="T5380" s="33" t="s">
        <v>29705</v>
      </c>
      <c r="U5380" s="33" t="s">
        <v>26570</v>
      </c>
      <c r="V5380" s="33" t="s">
        <v>26574</v>
      </c>
      <c r="W5380" s="33" t="s">
        <v>94</v>
      </c>
      <c r="X5380" s="33">
        <v>159</v>
      </c>
      <c r="Z5380" s="33" t="s">
        <v>42968</v>
      </c>
      <c r="AA5380" s="33">
        <v>2288</v>
      </c>
    </row>
    <row r="5381" spans="1:27" ht="12" customHeight="1" x14ac:dyDescent="0.15">
      <c r="A5381" s="33" t="s">
        <v>3898</v>
      </c>
      <c r="B5381" s="33">
        <v>26</v>
      </c>
      <c r="C5381" s="33" t="s">
        <v>14</v>
      </c>
      <c r="D5381" s="33" t="s">
        <v>31</v>
      </c>
      <c r="E5381" s="33" t="s">
        <v>3899</v>
      </c>
      <c r="F5381" s="67">
        <v>42051</v>
      </c>
      <c r="G5381" s="33" t="s">
        <v>3900</v>
      </c>
      <c r="H5381" s="33" t="s">
        <v>3901</v>
      </c>
      <c r="I5381" s="33" t="s">
        <v>735</v>
      </c>
      <c r="J5381" s="33" t="s">
        <v>3902</v>
      </c>
      <c r="K5381" s="33" t="s">
        <v>3903</v>
      </c>
      <c r="L5381" s="33" t="s">
        <v>3904</v>
      </c>
      <c r="M5381" s="33" t="s">
        <v>21</v>
      </c>
      <c r="N5381" s="33" t="s">
        <v>3905</v>
      </c>
      <c r="O5381" s="33" t="s">
        <v>950</v>
      </c>
      <c r="P5381" s="33" t="s">
        <v>30089</v>
      </c>
      <c r="Q5381" s="40" t="s">
        <v>3906</v>
      </c>
      <c r="R5381" s="33" t="s">
        <v>94</v>
      </c>
      <c r="S5381" s="33" t="s">
        <v>22</v>
      </c>
      <c r="T5381" s="33" t="s">
        <v>26781</v>
      </c>
      <c r="U5381" s="33" t="s">
        <v>26572</v>
      </c>
      <c r="V5381" s="33" t="s">
        <v>26573</v>
      </c>
      <c r="W5381" s="33" t="s">
        <v>94</v>
      </c>
      <c r="X5381" s="33">
        <v>157</v>
      </c>
      <c r="Z5381" s="33" t="s">
        <v>42968</v>
      </c>
      <c r="AA5381" s="33">
        <v>2283</v>
      </c>
    </row>
    <row r="5382" spans="1:27" ht="12" customHeight="1" x14ac:dyDescent="0.15">
      <c r="A5382" s="33" t="s">
        <v>3891</v>
      </c>
      <c r="B5382" s="33">
        <v>56</v>
      </c>
      <c r="C5382" s="33" t="s">
        <v>14</v>
      </c>
      <c r="D5382" s="33" t="s">
        <v>31</v>
      </c>
      <c r="F5382" s="67">
        <v>42051</v>
      </c>
      <c r="G5382" s="33" t="s">
        <v>3892</v>
      </c>
      <c r="H5382" s="33" t="s">
        <v>3893</v>
      </c>
      <c r="I5382" s="33" t="s">
        <v>112</v>
      </c>
      <c r="J5382" s="33" t="s">
        <v>3894</v>
      </c>
      <c r="K5382" s="33" t="s">
        <v>519</v>
      </c>
      <c r="L5382" s="33" t="s">
        <v>3895</v>
      </c>
      <c r="M5382" s="33" t="s">
        <v>21</v>
      </c>
      <c r="N5382" s="33" t="s">
        <v>3896</v>
      </c>
      <c r="O5382" s="33" t="s">
        <v>950</v>
      </c>
      <c r="P5382" s="33" t="s">
        <v>30089</v>
      </c>
      <c r="Q5382" s="40" t="s">
        <v>3897</v>
      </c>
      <c r="R5382" s="33" t="s">
        <v>94</v>
      </c>
      <c r="S5382" s="33" t="s">
        <v>22</v>
      </c>
      <c r="T5382" s="33" t="s">
        <v>26781</v>
      </c>
      <c r="U5382" s="33" t="s">
        <v>26572</v>
      </c>
      <c r="V5382" s="33" t="s">
        <v>26573</v>
      </c>
      <c r="W5382" s="33" t="s">
        <v>94</v>
      </c>
      <c r="X5382" s="33">
        <v>156</v>
      </c>
      <c r="Z5382" s="33" t="s">
        <v>42968</v>
      </c>
      <c r="AA5382" s="33">
        <v>2282</v>
      </c>
    </row>
    <row r="5383" spans="1:27" ht="12" customHeight="1" x14ac:dyDescent="0.15">
      <c r="A5383" s="33" t="s">
        <v>3932</v>
      </c>
      <c r="B5383" s="33">
        <v>24</v>
      </c>
      <c r="C5383" s="33" t="s">
        <v>14</v>
      </c>
      <c r="D5383" s="33" t="s">
        <v>31</v>
      </c>
      <c r="E5383" s="33" t="s">
        <v>3933</v>
      </c>
      <c r="F5383" s="67">
        <v>42051</v>
      </c>
      <c r="G5383" s="33" t="s">
        <v>3934</v>
      </c>
      <c r="H5383" s="33" t="s">
        <v>3935</v>
      </c>
      <c r="I5383" s="33" t="s">
        <v>221</v>
      </c>
      <c r="J5383" s="33" t="s">
        <v>3936</v>
      </c>
      <c r="K5383" s="33" t="s">
        <v>547</v>
      </c>
      <c r="L5383" s="33" t="s">
        <v>3937</v>
      </c>
      <c r="M5383" s="33" t="s">
        <v>21</v>
      </c>
      <c r="N5383" s="33" t="s">
        <v>3938</v>
      </c>
      <c r="O5383" s="33" t="s">
        <v>950</v>
      </c>
      <c r="P5383" s="33" t="s">
        <v>30089</v>
      </c>
      <c r="Q5383" s="40" t="s">
        <v>3939</v>
      </c>
      <c r="R5383" s="33" t="s">
        <v>512</v>
      </c>
      <c r="S5383" s="33" t="s">
        <v>12</v>
      </c>
      <c r="T5383" s="33" t="s">
        <v>29425</v>
      </c>
      <c r="U5383" s="33" t="s">
        <v>26572</v>
      </c>
      <c r="V5383" s="33" t="s">
        <v>26573</v>
      </c>
      <c r="W5383" s="33" t="s">
        <v>94</v>
      </c>
      <c r="X5383" s="33">
        <v>158</v>
      </c>
      <c r="Z5383" s="33" t="s">
        <v>42966</v>
      </c>
      <c r="AA5383" s="33">
        <v>2284</v>
      </c>
    </row>
    <row r="5384" spans="1:27" ht="12" customHeight="1" x14ac:dyDescent="0.15">
      <c r="A5384" s="33" t="s">
        <v>3923</v>
      </c>
      <c r="B5384" s="33">
        <v>34</v>
      </c>
      <c r="C5384" s="33" t="s">
        <v>14</v>
      </c>
      <c r="D5384" s="33" t="s">
        <v>31</v>
      </c>
      <c r="E5384" s="33" t="s">
        <v>3924</v>
      </c>
      <c r="F5384" s="67">
        <v>42050</v>
      </c>
      <c r="G5384" s="33" t="s">
        <v>3925</v>
      </c>
      <c r="H5384" s="33" t="s">
        <v>3926</v>
      </c>
      <c r="I5384" s="33" t="s">
        <v>621</v>
      </c>
      <c r="J5384" s="33" t="s">
        <v>3927</v>
      </c>
      <c r="K5384" s="33" t="s">
        <v>3928</v>
      </c>
      <c r="L5384" s="33" t="s">
        <v>3929</v>
      </c>
      <c r="M5384" s="33" t="s">
        <v>21</v>
      </c>
      <c r="N5384" s="33" t="s">
        <v>3930</v>
      </c>
      <c r="O5384" s="33" t="s">
        <v>950</v>
      </c>
      <c r="P5384" s="33" t="s">
        <v>30089</v>
      </c>
      <c r="Q5384" s="40" t="s">
        <v>3931</v>
      </c>
      <c r="R5384" s="33" t="s">
        <v>94</v>
      </c>
      <c r="S5384" s="33" t="s">
        <v>22</v>
      </c>
      <c r="T5384" s="33" t="s">
        <v>26781</v>
      </c>
      <c r="U5384" s="33" t="s">
        <v>26572</v>
      </c>
      <c r="V5384" s="33" t="s">
        <v>26574</v>
      </c>
      <c r="W5384" s="33" t="s">
        <v>94</v>
      </c>
      <c r="X5384" s="33">
        <v>151</v>
      </c>
      <c r="Z5384" s="33" t="s">
        <v>42967</v>
      </c>
      <c r="AA5384" s="33">
        <v>2279</v>
      </c>
    </row>
    <row r="5385" spans="1:27" ht="12" customHeight="1" x14ac:dyDescent="0.15">
      <c r="A5385" s="33" t="s">
        <v>3907</v>
      </c>
      <c r="B5385" s="33">
        <v>25</v>
      </c>
      <c r="C5385" s="33" t="s">
        <v>14</v>
      </c>
      <c r="D5385" s="33" t="s">
        <v>79</v>
      </c>
      <c r="E5385" s="33" t="s">
        <v>3908</v>
      </c>
      <c r="F5385" s="67">
        <v>42050</v>
      </c>
      <c r="G5385" s="33" t="s">
        <v>3909</v>
      </c>
      <c r="H5385" s="33" t="s">
        <v>3910</v>
      </c>
      <c r="I5385" s="33" t="s">
        <v>56</v>
      </c>
      <c r="J5385" s="33" t="s">
        <v>3911</v>
      </c>
      <c r="K5385" s="33" t="s">
        <v>148</v>
      </c>
      <c r="L5385" s="33" t="s">
        <v>3912</v>
      </c>
      <c r="M5385" s="33" t="s">
        <v>4966</v>
      </c>
      <c r="N5385" s="33" t="s">
        <v>27811</v>
      </c>
      <c r="O5385" s="33" t="s">
        <v>950</v>
      </c>
      <c r="P5385" s="33" t="s">
        <v>30089</v>
      </c>
      <c r="Q5385" s="40" t="s">
        <v>3913</v>
      </c>
      <c r="R5385" s="33" t="s">
        <v>512</v>
      </c>
      <c r="S5385" s="33" t="s">
        <v>12</v>
      </c>
      <c r="T5385" s="33" t="s">
        <v>29705</v>
      </c>
      <c r="U5385" s="33" t="s">
        <v>26570</v>
      </c>
      <c r="V5385" s="33" t="s">
        <v>26573</v>
      </c>
      <c r="W5385" s="33" t="s">
        <v>94</v>
      </c>
      <c r="X5385" s="33">
        <v>150</v>
      </c>
      <c r="Z5385" s="33" t="s">
        <v>42968</v>
      </c>
      <c r="AA5385" s="33">
        <v>2281</v>
      </c>
    </row>
    <row r="5386" spans="1:27" ht="12" customHeight="1" x14ac:dyDescent="0.15">
      <c r="A5386" s="33" t="s">
        <v>3914</v>
      </c>
      <c r="B5386" s="33">
        <v>34</v>
      </c>
      <c r="C5386" s="33" t="s">
        <v>14</v>
      </c>
      <c r="D5386" s="33" t="s">
        <v>31</v>
      </c>
      <c r="E5386" s="33" t="s">
        <v>3915</v>
      </c>
      <c r="F5386" s="67">
        <v>42050</v>
      </c>
      <c r="G5386" s="33" t="s">
        <v>3916</v>
      </c>
      <c r="H5386" s="33" t="s">
        <v>3917</v>
      </c>
      <c r="I5386" s="33" t="s">
        <v>106</v>
      </c>
      <c r="J5386" s="33" t="s">
        <v>3918</v>
      </c>
      <c r="K5386" s="33" t="s">
        <v>3919</v>
      </c>
      <c r="L5386" s="33" t="s">
        <v>3920</v>
      </c>
      <c r="M5386" s="33" t="s">
        <v>21</v>
      </c>
      <c r="N5386" s="33" t="s">
        <v>3921</v>
      </c>
      <c r="O5386" s="33" t="s">
        <v>950</v>
      </c>
      <c r="P5386" s="33" t="s">
        <v>30089</v>
      </c>
      <c r="Q5386" s="40" t="s">
        <v>3922</v>
      </c>
      <c r="R5386" s="33" t="s">
        <v>512</v>
      </c>
      <c r="S5386" s="33" t="s">
        <v>22</v>
      </c>
      <c r="T5386" s="33" t="s">
        <v>26585</v>
      </c>
      <c r="U5386" s="33" t="s">
        <v>26570</v>
      </c>
      <c r="V5386" s="33" t="s">
        <v>26573</v>
      </c>
      <c r="W5386" s="33" t="s">
        <v>94</v>
      </c>
      <c r="X5386" s="33">
        <v>153</v>
      </c>
      <c r="Z5386" s="33" t="s">
        <v>42967</v>
      </c>
      <c r="AA5386" s="33">
        <v>2280</v>
      </c>
    </row>
    <row r="5387" spans="1:27" ht="12" customHeight="1" x14ac:dyDescent="0.15">
      <c r="A5387" s="33" t="s">
        <v>3948</v>
      </c>
      <c r="B5387" s="33">
        <v>16</v>
      </c>
      <c r="C5387" s="33" t="s">
        <v>14</v>
      </c>
      <c r="D5387" s="33" t="s">
        <v>31</v>
      </c>
      <c r="E5387" s="33" t="s">
        <v>3949</v>
      </c>
      <c r="F5387" s="67">
        <v>42049</v>
      </c>
      <c r="G5387" s="33" t="s">
        <v>3950</v>
      </c>
      <c r="H5387" s="33" t="s">
        <v>486</v>
      </c>
      <c r="I5387" s="33" t="s">
        <v>46</v>
      </c>
      <c r="J5387" s="33" t="s">
        <v>3951</v>
      </c>
      <c r="K5387" s="33" t="s">
        <v>1487</v>
      </c>
      <c r="L5387" s="33" t="s">
        <v>212</v>
      </c>
      <c r="M5387" s="33" t="s">
        <v>21</v>
      </c>
      <c r="N5387" s="33" t="s">
        <v>3952</v>
      </c>
      <c r="O5387" s="33" t="s">
        <v>950</v>
      </c>
      <c r="P5387" s="33" t="s">
        <v>30089</v>
      </c>
      <c r="Q5387" s="40" t="s">
        <v>3953</v>
      </c>
      <c r="R5387" s="33" t="s">
        <v>512</v>
      </c>
      <c r="S5387" s="33" t="s">
        <v>22</v>
      </c>
      <c r="T5387" s="33" t="s">
        <v>26781</v>
      </c>
      <c r="U5387" s="33" t="s">
        <v>26572</v>
      </c>
      <c r="V5387" s="33" t="s">
        <v>26571</v>
      </c>
      <c r="W5387" s="33" t="s">
        <v>94</v>
      </c>
      <c r="X5387" s="33">
        <v>149</v>
      </c>
      <c r="Z5387" s="33" t="s">
        <v>42968</v>
      </c>
      <c r="AA5387" s="33">
        <v>2277</v>
      </c>
    </row>
    <row r="5388" spans="1:27" ht="12" customHeight="1" x14ac:dyDescent="0.15">
      <c r="A5388" s="33" t="s">
        <v>3940</v>
      </c>
      <c r="B5388" s="33">
        <v>51</v>
      </c>
      <c r="C5388" s="33" t="s">
        <v>14</v>
      </c>
      <c r="D5388" s="33" t="s">
        <v>31</v>
      </c>
      <c r="E5388" s="33" t="s">
        <v>18400</v>
      </c>
      <c r="F5388" s="67">
        <v>42049</v>
      </c>
      <c r="G5388" s="33" t="s">
        <v>3941</v>
      </c>
      <c r="H5388" s="33" t="s">
        <v>3942</v>
      </c>
      <c r="I5388" s="33" t="s">
        <v>67</v>
      </c>
      <c r="J5388" s="33" t="s">
        <v>3943</v>
      </c>
      <c r="K5388" s="33" t="s">
        <v>3944</v>
      </c>
      <c r="L5388" s="33" t="s">
        <v>3945</v>
      </c>
      <c r="M5388" s="33" t="s">
        <v>21</v>
      </c>
      <c r="N5388" s="33" t="s">
        <v>3946</v>
      </c>
      <c r="O5388" s="33" t="s">
        <v>507</v>
      </c>
      <c r="P5388" s="33" t="s">
        <v>30089</v>
      </c>
      <c r="Q5388" s="40" t="s">
        <v>3947</v>
      </c>
      <c r="R5388" s="33" t="s">
        <v>94</v>
      </c>
      <c r="S5388" s="33" t="s">
        <v>22</v>
      </c>
      <c r="T5388" s="33" t="s">
        <v>26781</v>
      </c>
      <c r="U5388" s="33" t="s">
        <v>26572</v>
      </c>
      <c r="V5388" s="33" t="s">
        <v>26573</v>
      </c>
      <c r="W5388" s="33" t="s">
        <v>94</v>
      </c>
      <c r="X5388" s="33">
        <v>155</v>
      </c>
      <c r="Z5388" s="33" t="s">
        <v>42966</v>
      </c>
      <c r="AA5388" s="33">
        <v>2278</v>
      </c>
    </row>
    <row r="5389" spans="1:27" ht="12" customHeight="1" x14ac:dyDescent="0.15">
      <c r="A5389" s="33" t="s">
        <v>3973</v>
      </c>
      <c r="B5389" s="33">
        <v>35</v>
      </c>
      <c r="C5389" s="33" t="s">
        <v>14</v>
      </c>
      <c r="D5389" s="33" t="s">
        <v>42</v>
      </c>
      <c r="E5389" s="33" t="s">
        <v>3974</v>
      </c>
      <c r="F5389" s="67">
        <v>42048</v>
      </c>
      <c r="G5389" s="33" t="s">
        <v>3975</v>
      </c>
      <c r="H5389" s="33" t="s">
        <v>3976</v>
      </c>
      <c r="I5389" s="33" t="s">
        <v>376</v>
      </c>
      <c r="J5389" s="33">
        <v>19606</v>
      </c>
      <c r="K5389" s="33" t="s">
        <v>3977</v>
      </c>
      <c r="L5389" s="33" t="s">
        <v>8484</v>
      </c>
      <c r="M5389" s="33" t="s">
        <v>21</v>
      </c>
      <c r="N5389" s="33" t="s">
        <v>3978</v>
      </c>
      <c r="O5389" s="33" t="s">
        <v>372</v>
      </c>
      <c r="P5389" s="33" t="s">
        <v>30089</v>
      </c>
      <c r="Q5389" s="40" t="str">
        <f>HYPERLINK("http://touch.mcall.com/#section/-1/article/p2p-82809119/","http://touch.mcall.com/#section/-1/article/p2p-82809119/")</f>
        <v>http://touch.mcall.com/#section/-1/article/p2p-82809119/</v>
      </c>
      <c r="R5389" s="33" t="s">
        <v>94</v>
      </c>
      <c r="S5389" s="33" t="s">
        <v>12</v>
      </c>
      <c r="T5389" s="33" t="s">
        <v>29705</v>
      </c>
      <c r="U5389" s="33" t="s">
        <v>26570</v>
      </c>
      <c r="V5389" s="33" t="s">
        <v>26573</v>
      </c>
      <c r="W5389" s="33" t="s">
        <v>94</v>
      </c>
      <c r="X5389" s="33">
        <v>147</v>
      </c>
      <c r="Z5389" s="33" t="s">
        <v>42968</v>
      </c>
      <c r="AA5389" s="33">
        <v>2275</v>
      </c>
    </row>
    <row r="5390" spans="1:27" ht="12" customHeight="1" x14ac:dyDescent="0.15">
      <c r="A5390" s="33" t="s">
        <v>3959</v>
      </c>
      <c r="B5390" s="33">
        <v>37</v>
      </c>
      <c r="C5390" s="33" t="s">
        <v>14</v>
      </c>
      <c r="D5390" s="33" t="s">
        <v>42</v>
      </c>
      <c r="E5390" s="33" t="s">
        <v>3960</v>
      </c>
      <c r="F5390" s="67">
        <v>42048</v>
      </c>
      <c r="G5390" s="33" t="s">
        <v>3961</v>
      </c>
      <c r="H5390" s="33" t="s">
        <v>3962</v>
      </c>
      <c r="I5390" s="33" t="s">
        <v>112</v>
      </c>
      <c r="J5390" s="33" t="s">
        <v>3963</v>
      </c>
      <c r="K5390" s="33" t="s">
        <v>2223</v>
      </c>
      <c r="L5390" s="33" t="s">
        <v>2224</v>
      </c>
      <c r="M5390" s="33" t="s">
        <v>21</v>
      </c>
      <c r="N5390" s="33" t="s">
        <v>3964</v>
      </c>
      <c r="O5390" s="33" t="s">
        <v>950</v>
      </c>
      <c r="P5390" s="33" t="s">
        <v>30089</v>
      </c>
      <c r="Q5390" s="40" t="s">
        <v>3965</v>
      </c>
      <c r="R5390" s="33" t="s">
        <v>512</v>
      </c>
      <c r="S5390" s="33" t="s">
        <v>22</v>
      </c>
      <c r="T5390" s="33" t="s">
        <v>26774</v>
      </c>
      <c r="U5390" s="33" t="s">
        <v>26570</v>
      </c>
      <c r="V5390" s="33" t="s">
        <v>26573</v>
      </c>
      <c r="W5390" s="33" t="s">
        <v>94</v>
      </c>
      <c r="X5390" s="33">
        <v>154</v>
      </c>
      <c r="Z5390" s="33" t="s">
        <v>42967</v>
      </c>
      <c r="AA5390" s="33">
        <v>2274</v>
      </c>
    </row>
    <row r="5391" spans="1:27" ht="12" customHeight="1" x14ac:dyDescent="0.15">
      <c r="A5391" s="33" t="s">
        <v>3966</v>
      </c>
      <c r="B5391" s="33">
        <v>27</v>
      </c>
      <c r="C5391" s="33" t="s">
        <v>14</v>
      </c>
      <c r="D5391" s="33" t="s">
        <v>31</v>
      </c>
      <c r="F5391" s="67">
        <v>42048</v>
      </c>
      <c r="G5391" s="33" t="s">
        <v>3967</v>
      </c>
      <c r="H5391" s="33" t="s">
        <v>3968</v>
      </c>
      <c r="I5391" s="33" t="s">
        <v>298</v>
      </c>
      <c r="J5391" s="33" t="s">
        <v>3969</v>
      </c>
      <c r="K5391" s="33" t="s">
        <v>1937</v>
      </c>
      <c r="L5391" s="33" t="s">
        <v>3970</v>
      </c>
      <c r="M5391" s="33" t="s">
        <v>21</v>
      </c>
      <c r="N5391" s="33" t="s">
        <v>3971</v>
      </c>
      <c r="O5391" s="33" t="s">
        <v>950</v>
      </c>
      <c r="P5391" s="33" t="s">
        <v>30089</v>
      </c>
      <c r="Q5391" s="40" t="s">
        <v>3972</v>
      </c>
      <c r="R5391" s="33" t="s">
        <v>94</v>
      </c>
      <c r="S5391" s="33" t="s">
        <v>22</v>
      </c>
      <c r="T5391" s="33" t="s">
        <v>26781</v>
      </c>
      <c r="U5391" s="33" t="s">
        <v>26572</v>
      </c>
      <c r="V5391" s="33" t="s">
        <v>26573</v>
      </c>
      <c r="W5391" s="33" t="s">
        <v>94</v>
      </c>
      <c r="X5391" s="33">
        <v>148</v>
      </c>
      <c r="Z5391" s="33" t="s">
        <v>42967</v>
      </c>
      <c r="AA5391" s="33">
        <v>2273</v>
      </c>
    </row>
    <row r="5392" spans="1:27" ht="12" customHeight="1" x14ac:dyDescent="0.15">
      <c r="A5392" s="33" t="s">
        <v>3954</v>
      </c>
      <c r="B5392" s="33">
        <v>21</v>
      </c>
      <c r="C5392" s="33" t="s">
        <v>14</v>
      </c>
      <c r="D5392" s="33" t="s">
        <v>42</v>
      </c>
      <c r="F5392" s="67">
        <v>42048</v>
      </c>
      <c r="G5392" s="33" t="s">
        <v>3955</v>
      </c>
      <c r="H5392" s="33" t="s">
        <v>401</v>
      </c>
      <c r="I5392" s="33" t="s">
        <v>337</v>
      </c>
      <c r="J5392" s="33" t="s">
        <v>3956</v>
      </c>
      <c r="K5392" s="33" t="s">
        <v>554</v>
      </c>
      <c r="L5392" s="33" t="s">
        <v>42466</v>
      </c>
      <c r="M5392" s="33" t="s">
        <v>21</v>
      </c>
      <c r="N5392" s="33" t="s">
        <v>3957</v>
      </c>
      <c r="O5392" s="33" t="s">
        <v>950</v>
      </c>
      <c r="P5392" s="33" t="s">
        <v>30089</v>
      </c>
      <c r="Q5392" s="40" t="s">
        <v>3958</v>
      </c>
      <c r="R5392" s="33" t="s">
        <v>23</v>
      </c>
      <c r="S5392" s="33" t="s">
        <v>22</v>
      </c>
      <c r="T5392" s="33" t="s">
        <v>26781</v>
      </c>
      <c r="U5392" s="33" t="s">
        <v>26572</v>
      </c>
      <c r="V5392" s="33" t="s">
        <v>26571</v>
      </c>
      <c r="W5392" s="33" t="s">
        <v>94</v>
      </c>
      <c r="X5392" s="33">
        <v>146</v>
      </c>
      <c r="Z5392" s="33" t="s">
        <v>42966</v>
      </c>
      <c r="AA5392" s="33">
        <v>2272</v>
      </c>
    </row>
    <row r="5393" spans="1:27" ht="12" customHeight="1" x14ac:dyDescent="0.15">
      <c r="A5393" s="33" t="s">
        <v>3979</v>
      </c>
      <c r="B5393" s="33">
        <v>23</v>
      </c>
      <c r="C5393" s="33" t="s">
        <v>14</v>
      </c>
      <c r="D5393" s="33" t="s">
        <v>31</v>
      </c>
      <c r="E5393" s="33" t="s">
        <v>3980</v>
      </c>
      <c r="F5393" s="67">
        <v>42048</v>
      </c>
      <c r="G5393" s="33" t="s">
        <v>3981</v>
      </c>
      <c r="H5393" s="33" t="s">
        <v>288</v>
      </c>
      <c r="I5393" s="33" t="s">
        <v>39</v>
      </c>
      <c r="J5393" s="33" t="s">
        <v>3982</v>
      </c>
      <c r="K5393" s="33" t="s">
        <v>288</v>
      </c>
      <c r="L5393" s="33" t="s">
        <v>3983</v>
      </c>
      <c r="M5393" s="33" t="s">
        <v>21</v>
      </c>
      <c r="N5393" s="33" t="s">
        <v>3984</v>
      </c>
      <c r="O5393" s="33" t="s">
        <v>950</v>
      </c>
      <c r="P5393" s="33" t="s">
        <v>30089</v>
      </c>
      <c r="Q5393" s="40" t="s">
        <v>3985</v>
      </c>
      <c r="R5393" s="33" t="s">
        <v>94</v>
      </c>
      <c r="S5393" s="33" t="s">
        <v>351</v>
      </c>
      <c r="T5393" s="33" t="s">
        <v>26867</v>
      </c>
      <c r="U5393" s="33" t="s">
        <v>26572</v>
      </c>
      <c r="V5393" s="33" t="s">
        <v>26571</v>
      </c>
      <c r="W5393" s="33" t="s">
        <v>94</v>
      </c>
      <c r="X5393" s="33">
        <v>145</v>
      </c>
      <c r="Z5393" s="33" t="s">
        <v>42968</v>
      </c>
      <c r="AA5393" s="33">
        <v>2276</v>
      </c>
    </row>
    <row r="5394" spans="1:27" ht="12" customHeight="1" x14ac:dyDescent="0.15">
      <c r="A5394" s="33" t="s">
        <v>3986</v>
      </c>
      <c r="B5394" s="33">
        <v>23</v>
      </c>
      <c r="C5394" s="33" t="s">
        <v>14</v>
      </c>
      <c r="D5394" s="33" t="s">
        <v>79</v>
      </c>
      <c r="E5394" s="33" t="s">
        <v>3987</v>
      </c>
      <c r="F5394" s="67">
        <v>42046</v>
      </c>
      <c r="G5394" s="33" t="s">
        <v>3988</v>
      </c>
      <c r="H5394" s="33" t="s">
        <v>560</v>
      </c>
      <c r="I5394" s="33" t="s">
        <v>39</v>
      </c>
      <c r="J5394" s="33" t="s">
        <v>3989</v>
      </c>
      <c r="K5394" s="33" t="s">
        <v>561</v>
      </c>
      <c r="L5394" s="33" t="s">
        <v>678</v>
      </c>
      <c r="M5394" s="33" t="s">
        <v>21</v>
      </c>
      <c r="N5394" s="33" t="s">
        <v>3990</v>
      </c>
      <c r="O5394" s="33" t="s">
        <v>950</v>
      </c>
      <c r="P5394" s="33" t="s">
        <v>30089</v>
      </c>
      <c r="Q5394" s="40" t="s">
        <v>3991</v>
      </c>
      <c r="R5394" s="33" t="s">
        <v>512</v>
      </c>
      <c r="S5394" s="33" t="s">
        <v>22</v>
      </c>
      <c r="T5394" s="33" t="s">
        <v>26774</v>
      </c>
      <c r="U5394" s="33" t="s">
        <v>26570</v>
      </c>
      <c r="V5394" s="33" t="s">
        <v>26573</v>
      </c>
      <c r="W5394" s="33" t="s">
        <v>94</v>
      </c>
      <c r="X5394" s="33">
        <v>141</v>
      </c>
      <c r="Z5394" s="33" t="s">
        <v>42968</v>
      </c>
      <c r="AA5394" s="33">
        <v>2269</v>
      </c>
    </row>
    <row r="5395" spans="1:27" ht="12" customHeight="1" x14ac:dyDescent="0.15">
      <c r="A5395" s="33" t="s">
        <v>3999</v>
      </c>
      <c r="B5395" s="33">
        <v>37</v>
      </c>
      <c r="C5395" s="33" t="s">
        <v>14</v>
      </c>
      <c r="D5395" s="33" t="s">
        <v>31</v>
      </c>
      <c r="E5395" s="33" t="s">
        <v>4000</v>
      </c>
      <c r="F5395" s="67">
        <v>42046</v>
      </c>
      <c r="G5395" s="33" t="s">
        <v>4001</v>
      </c>
      <c r="H5395" s="33" t="s">
        <v>4002</v>
      </c>
      <c r="I5395" s="33" t="s">
        <v>56</v>
      </c>
      <c r="J5395" s="33" t="s">
        <v>4003</v>
      </c>
      <c r="K5395" s="33" t="s">
        <v>4004</v>
      </c>
      <c r="L5395" s="33" t="s">
        <v>4005</v>
      </c>
      <c r="M5395" s="33" t="s">
        <v>21</v>
      </c>
      <c r="N5395" s="33" t="s">
        <v>4006</v>
      </c>
      <c r="O5395" s="33" t="s">
        <v>372</v>
      </c>
      <c r="P5395" s="33" t="s">
        <v>30089</v>
      </c>
      <c r="Q5395" s="40" t="str">
        <f>HYPERLINK("http://www.starfl.com/news/local-news/officer-involved-shooting-under-investigation-1.440104","http://www.starfl.com/news/local-news/officer-involved-shooting-under-investigation-1.440104")</f>
        <v>http://www.starfl.com/news/local-news/officer-involved-shooting-under-investigation-1.440104</v>
      </c>
      <c r="R5395" s="33" t="s">
        <v>23</v>
      </c>
      <c r="S5395" s="33" t="s">
        <v>12</v>
      </c>
      <c r="T5395" s="54" t="s">
        <v>29705</v>
      </c>
      <c r="Z5395" s="33" t="s">
        <v>42967</v>
      </c>
      <c r="AA5395" s="33">
        <v>2271</v>
      </c>
    </row>
    <row r="5396" spans="1:27" ht="12" customHeight="1" x14ac:dyDescent="0.15">
      <c r="A5396" s="33" t="s">
        <v>3992</v>
      </c>
      <c r="B5396" s="33">
        <v>46</v>
      </c>
      <c r="C5396" s="33" t="s">
        <v>14</v>
      </c>
      <c r="D5396" s="33" t="s">
        <v>31</v>
      </c>
      <c r="F5396" s="67">
        <v>42046</v>
      </c>
      <c r="G5396" s="33" t="s">
        <v>3993</v>
      </c>
      <c r="H5396" s="33" t="s">
        <v>3994</v>
      </c>
      <c r="I5396" s="33" t="s">
        <v>88</v>
      </c>
      <c r="J5396" s="33">
        <v>36853</v>
      </c>
      <c r="K5396" s="33" t="s">
        <v>3995</v>
      </c>
      <c r="L5396" s="33" t="s">
        <v>3996</v>
      </c>
      <c r="M5396" s="33" t="s">
        <v>21</v>
      </c>
      <c r="N5396" s="33" t="s">
        <v>3997</v>
      </c>
      <c r="O5396" s="33" t="s">
        <v>372</v>
      </c>
      <c r="P5396" s="33" t="s">
        <v>30089</v>
      </c>
      <c r="Q5396" s="40" t="s">
        <v>3998</v>
      </c>
      <c r="R5396" s="33" t="s">
        <v>512</v>
      </c>
      <c r="S5396" s="33" t="s">
        <v>12</v>
      </c>
      <c r="T5396" s="33" t="s">
        <v>29425</v>
      </c>
      <c r="U5396" s="33" t="s">
        <v>26572</v>
      </c>
      <c r="V5396" s="33" t="s">
        <v>26574</v>
      </c>
      <c r="W5396" s="33" t="s">
        <v>512</v>
      </c>
      <c r="X5396" s="33">
        <v>142</v>
      </c>
      <c r="Z5396" s="33" t="s">
        <v>42967</v>
      </c>
      <c r="AA5396" s="33">
        <v>2270</v>
      </c>
    </row>
    <row r="5397" spans="1:27" ht="12" customHeight="1" x14ac:dyDescent="0.15">
      <c r="A5397" s="33" t="s">
        <v>4021</v>
      </c>
      <c r="B5397" s="33">
        <v>45</v>
      </c>
      <c r="C5397" s="33" t="s">
        <v>14</v>
      </c>
      <c r="D5397" s="33" t="s">
        <v>31</v>
      </c>
      <c r="E5397" s="33" t="s">
        <v>4022</v>
      </c>
      <c r="F5397" s="67">
        <v>42045</v>
      </c>
      <c r="G5397" s="33" t="s">
        <v>4023</v>
      </c>
      <c r="H5397" s="33" t="s">
        <v>4024</v>
      </c>
      <c r="I5397" s="33" t="s">
        <v>192</v>
      </c>
      <c r="J5397" s="33" t="s">
        <v>4025</v>
      </c>
      <c r="K5397" s="33" t="s">
        <v>4026</v>
      </c>
      <c r="L5397" s="33" t="s">
        <v>4027</v>
      </c>
      <c r="M5397" s="33" t="s">
        <v>21</v>
      </c>
      <c r="N5397" s="33" t="s">
        <v>4028</v>
      </c>
      <c r="O5397" s="33" t="s">
        <v>372</v>
      </c>
      <c r="P5397" s="33" t="s">
        <v>30089</v>
      </c>
      <c r="Q5397" s="40" t="s">
        <v>4029</v>
      </c>
      <c r="R5397" s="33" t="s">
        <v>512</v>
      </c>
      <c r="S5397" s="33" t="s">
        <v>22</v>
      </c>
      <c r="T5397" s="33" t="s">
        <v>26781</v>
      </c>
      <c r="U5397" s="33" t="s">
        <v>26572</v>
      </c>
      <c r="V5397" s="33" t="s">
        <v>26571</v>
      </c>
      <c r="W5397" s="33" t="s">
        <v>94</v>
      </c>
      <c r="X5397" s="33">
        <v>140</v>
      </c>
      <c r="Z5397" s="33" t="s">
        <v>42967</v>
      </c>
      <c r="AA5397" s="33">
        <v>2267</v>
      </c>
    </row>
    <row r="5398" spans="1:27" ht="12" customHeight="1" x14ac:dyDescent="0.15">
      <c r="A5398" s="33" t="s">
        <v>4013</v>
      </c>
      <c r="B5398" s="33">
        <v>35</v>
      </c>
      <c r="C5398" s="33" t="s">
        <v>14</v>
      </c>
      <c r="D5398" s="33" t="s">
        <v>42</v>
      </c>
      <c r="E5398" s="33" t="s">
        <v>4014</v>
      </c>
      <c r="F5398" s="67">
        <v>42045</v>
      </c>
      <c r="G5398" s="33" t="s">
        <v>4015</v>
      </c>
      <c r="H5398" s="33" t="s">
        <v>4016</v>
      </c>
      <c r="I5398" s="33" t="s">
        <v>282</v>
      </c>
      <c r="J5398" s="33" t="s">
        <v>4017</v>
      </c>
      <c r="K5398" s="33" t="s">
        <v>1203</v>
      </c>
      <c r="L5398" s="33" t="s">
        <v>4018</v>
      </c>
      <c r="M5398" s="33" t="s">
        <v>4966</v>
      </c>
      <c r="N5398" s="33" t="s">
        <v>4019</v>
      </c>
      <c r="O5398" s="33" t="s">
        <v>372</v>
      </c>
      <c r="P5398" s="33" t="s">
        <v>30089</v>
      </c>
      <c r="Q5398" s="40" t="s">
        <v>4020</v>
      </c>
      <c r="R5398" s="33" t="s">
        <v>512</v>
      </c>
      <c r="S5398" s="33" t="s">
        <v>12</v>
      </c>
      <c r="T5398" s="33" t="s">
        <v>29705</v>
      </c>
      <c r="U5398" s="33" t="s">
        <v>26570</v>
      </c>
      <c r="V5398" s="33" t="s">
        <v>26574</v>
      </c>
      <c r="W5398" s="33" t="s">
        <v>94</v>
      </c>
      <c r="X5398" s="33">
        <v>138</v>
      </c>
      <c r="Z5398" s="33" t="s">
        <v>42968</v>
      </c>
      <c r="AA5398" s="33">
        <v>2268</v>
      </c>
    </row>
    <row r="5399" spans="1:27" ht="12" customHeight="1" x14ac:dyDescent="0.15">
      <c r="A5399" s="33" t="s">
        <v>4007</v>
      </c>
      <c r="B5399" s="33">
        <v>49</v>
      </c>
      <c r="C5399" s="33" t="s">
        <v>14</v>
      </c>
      <c r="D5399" s="33" t="s">
        <v>79</v>
      </c>
      <c r="E5399" s="33" t="s">
        <v>4008</v>
      </c>
      <c r="F5399" s="67">
        <v>42045</v>
      </c>
      <c r="G5399" s="33" t="s">
        <v>4009</v>
      </c>
      <c r="H5399" s="33" t="s">
        <v>1116</v>
      </c>
      <c r="I5399" s="33" t="s">
        <v>298</v>
      </c>
      <c r="J5399" s="33" t="s">
        <v>4010</v>
      </c>
      <c r="K5399" s="33" t="s">
        <v>1117</v>
      </c>
      <c r="L5399" s="33" t="s">
        <v>1118</v>
      </c>
      <c r="M5399" s="33" t="s">
        <v>21</v>
      </c>
      <c r="N5399" s="33" t="s">
        <v>4011</v>
      </c>
      <c r="O5399" s="33" t="s">
        <v>950</v>
      </c>
      <c r="P5399" s="33" t="s">
        <v>30089</v>
      </c>
      <c r="Q5399" s="40" t="s">
        <v>4012</v>
      </c>
      <c r="R5399" s="33" t="s">
        <v>23</v>
      </c>
      <c r="S5399" s="33" t="s">
        <v>22</v>
      </c>
      <c r="T5399" s="33" t="s">
        <v>26781</v>
      </c>
      <c r="U5399" s="33" t="s">
        <v>26572</v>
      </c>
      <c r="V5399" s="33" t="s">
        <v>26573</v>
      </c>
      <c r="W5399" s="33" t="s">
        <v>94</v>
      </c>
      <c r="X5399" s="33">
        <v>139</v>
      </c>
      <c r="Z5399" s="33" t="s">
        <v>42966</v>
      </c>
      <c r="AA5399" s="33">
        <v>2266</v>
      </c>
    </row>
    <row r="5400" spans="1:27" ht="12" customHeight="1" x14ac:dyDescent="0.15">
      <c r="A5400" s="33" t="s">
        <v>4040</v>
      </c>
      <c r="B5400" s="33">
        <v>45</v>
      </c>
      <c r="C5400" s="33" t="s">
        <v>14</v>
      </c>
      <c r="D5400" s="33" t="s">
        <v>79</v>
      </c>
      <c r="E5400" s="33" t="s">
        <v>4041</v>
      </c>
      <c r="F5400" s="67">
        <v>42044</v>
      </c>
      <c r="G5400" s="33" t="s">
        <v>4042</v>
      </c>
      <c r="H5400" s="33" t="s">
        <v>266</v>
      </c>
      <c r="I5400" s="33" t="s">
        <v>67</v>
      </c>
      <c r="J5400" s="33" t="s">
        <v>4043</v>
      </c>
      <c r="K5400" s="33" t="s">
        <v>266</v>
      </c>
      <c r="L5400" s="33" t="s">
        <v>267</v>
      </c>
      <c r="M5400" s="33" t="s">
        <v>21</v>
      </c>
      <c r="N5400" s="33" t="s">
        <v>19204</v>
      </c>
      <c r="O5400" s="33" t="s">
        <v>950</v>
      </c>
      <c r="P5400" s="33" t="s">
        <v>30089</v>
      </c>
      <c r="Q5400" s="40" t="str">
        <f>HYPERLINK("http://crimeblog.dallasnews.com/2015/02/live-video-dallas-police-on-the-scene-of-officer-involved-shooting-at-bonnie-view-and-i-20.html/","http://crimeblog.dallasnews.com/2015/02/live-video-dallas-police-on-the-scene-of-officer-involved-shooting-at-bonnie-view-and-i-20.html/")</f>
        <v>http://crimeblog.dallasnews.com/2015/02/live-video-dallas-police-on-the-scene-of-officer-involved-shooting-at-bonnie-view-and-i-20.html/</v>
      </c>
      <c r="R5400" s="33" t="s">
        <v>94</v>
      </c>
      <c r="S5400" s="33" t="s">
        <v>351</v>
      </c>
      <c r="T5400" s="33" t="s">
        <v>26867</v>
      </c>
      <c r="U5400" s="33" t="s">
        <v>26572</v>
      </c>
      <c r="V5400" s="33" t="s">
        <v>26573</v>
      </c>
      <c r="W5400" s="33" t="s">
        <v>94</v>
      </c>
      <c r="X5400" s="33">
        <v>137</v>
      </c>
      <c r="Z5400" s="33" t="s">
        <v>42968</v>
      </c>
      <c r="AA5400" s="33">
        <v>2265</v>
      </c>
    </row>
    <row r="5401" spans="1:27" ht="12" customHeight="1" x14ac:dyDescent="0.15">
      <c r="A5401" s="33" t="s">
        <v>4030</v>
      </c>
      <c r="B5401" s="33">
        <v>61</v>
      </c>
      <c r="C5401" s="33" t="s">
        <v>14</v>
      </c>
      <c r="D5401" s="33" t="s">
        <v>31</v>
      </c>
      <c r="E5401" s="33" t="s">
        <v>4031</v>
      </c>
      <c r="F5401" s="67">
        <v>42044</v>
      </c>
      <c r="G5401" s="33" t="s">
        <v>4032</v>
      </c>
      <c r="H5401" s="33" t="s">
        <v>4033</v>
      </c>
      <c r="I5401" s="33" t="s">
        <v>4034</v>
      </c>
      <c r="J5401" s="33" t="s">
        <v>4035</v>
      </c>
      <c r="K5401" s="33" t="s">
        <v>4036</v>
      </c>
      <c r="L5401" s="33" t="s">
        <v>4037</v>
      </c>
      <c r="M5401" s="33" t="s">
        <v>21</v>
      </c>
      <c r="N5401" s="33" t="s">
        <v>4038</v>
      </c>
      <c r="O5401" s="33" t="s">
        <v>950</v>
      </c>
      <c r="P5401" s="33" t="s">
        <v>30089</v>
      </c>
      <c r="Q5401" s="40" t="s">
        <v>4039</v>
      </c>
      <c r="R5401" s="33" t="s">
        <v>512</v>
      </c>
      <c r="S5401" s="33" t="s">
        <v>22</v>
      </c>
      <c r="T5401" s="33" t="s">
        <v>26781</v>
      </c>
      <c r="U5401" s="33" t="s">
        <v>26575</v>
      </c>
      <c r="V5401" s="33" t="s">
        <v>26573</v>
      </c>
      <c r="W5401" s="33" t="s">
        <v>94</v>
      </c>
      <c r="X5401" s="33">
        <v>136</v>
      </c>
      <c r="Z5401" s="33" t="s">
        <v>42967</v>
      </c>
      <c r="AA5401" s="33">
        <v>2264</v>
      </c>
    </row>
    <row r="5402" spans="1:27" ht="12" customHeight="1" x14ac:dyDescent="0.15">
      <c r="A5402" s="33" t="s">
        <v>4067</v>
      </c>
      <c r="B5402" s="33">
        <v>33</v>
      </c>
      <c r="C5402" s="33" t="s">
        <v>14</v>
      </c>
      <c r="D5402" s="33" t="s">
        <v>42</v>
      </c>
      <c r="E5402" s="33" t="s">
        <v>4068</v>
      </c>
      <c r="F5402" s="67">
        <v>42043</v>
      </c>
      <c r="G5402" s="33" t="s">
        <v>4069</v>
      </c>
      <c r="H5402" s="33" t="s">
        <v>4070</v>
      </c>
      <c r="I5402" s="33" t="s">
        <v>309</v>
      </c>
      <c r="J5402" s="33" t="s">
        <v>4071</v>
      </c>
      <c r="K5402" s="33" t="s">
        <v>4070</v>
      </c>
      <c r="L5402" s="33" t="s">
        <v>4072</v>
      </c>
      <c r="M5402" s="33" t="s">
        <v>21</v>
      </c>
      <c r="N5402" s="33" t="s">
        <v>4073</v>
      </c>
      <c r="O5402" s="33" t="s">
        <v>950</v>
      </c>
      <c r="P5402" s="33" t="s">
        <v>30089</v>
      </c>
      <c r="Q5402" s="40" t="s">
        <v>4074</v>
      </c>
      <c r="R5402" s="33" t="s">
        <v>94</v>
      </c>
      <c r="S5402" s="33" t="s">
        <v>22</v>
      </c>
      <c r="T5402" s="33" t="s">
        <v>26781</v>
      </c>
      <c r="U5402" s="33" t="s">
        <v>26572</v>
      </c>
      <c r="V5402" s="33" t="s">
        <v>26571</v>
      </c>
      <c r="W5402" s="33" t="s">
        <v>94</v>
      </c>
      <c r="X5402" s="33">
        <v>131</v>
      </c>
      <c r="Z5402" s="33" t="s">
        <v>42966</v>
      </c>
      <c r="AA5402" s="33">
        <v>2258</v>
      </c>
    </row>
    <row r="5403" spans="1:27" ht="12" customHeight="1" x14ac:dyDescent="0.15">
      <c r="A5403" s="33" t="s">
        <v>4046</v>
      </c>
      <c r="B5403" s="33">
        <v>41</v>
      </c>
      <c r="C5403" s="33" t="s">
        <v>14</v>
      </c>
      <c r="D5403" s="33" t="s">
        <v>31</v>
      </c>
      <c r="E5403" s="33" t="s">
        <v>4047</v>
      </c>
      <c r="F5403" s="67">
        <v>42043</v>
      </c>
      <c r="G5403" s="33" t="s">
        <v>4048</v>
      </c>
      <c r="H5403" s="33" t="s">
        <v>4049</v>
      </c>
      <c r="I5403" s="33" t="s">
        <v>67</v>
      </c>
      <c r="J5403" s="33" t="s">
        <v>4050</v>
      </c>
      <c r="K5403" s="33" t="s">
        <v>4051</v>
      </c>
      <c r="L5403" s="33" t="s">
        <v>4052</v>
      </c>
      <c r="M5403" s="33" t="s">
        <v>21</v>
      </c>
      <c r="N5403" s="33" t="s">
        <v>4053</v>
      </c>
      <c r="O5403" s="33" t="s">
        <v>372</v>
      </c>
      <c r="P5403" s="33" t="s">
        <v>30089</v>
      </c>
      <c r="Q5403" s="40" t="str">
        <f>HYPERLINK("http://www.cbsnews.com/news/texas-officer-responding-to-home-fatally-shoots-off-duty-deputy/","http://www.cbsnews.com/news/texas-officer-responding-to-home-fatally-shoots-off-duty-deputy/")</f>
        <v>http://www.cbsnews.com/news/texas-officer-responding-to-home-fatally-shoots-off-duty-deputy/</v>
      </c>
      <c r="R5403" s="33" t="s">
        <v>23</v>
      </c>
      <c r="S5403" s="33" t="s">
        <v>22</v>
      </c>
      <c r="T5403" s="33" t="s">
        <v>26781</v>
      </c>
      <c r="U5403" s="33" t="s">
        <v>26572</v>
      </c>
      <c r="V5403" s="33" t="s">
        <v>26573</v>
      </c>
      <c r="W5403" s="33" t="s">
        <v>94</v>
      </c>
      <c r="X5403" s="33">
        <v>135</v>
      </c>
      <c r="Y5403" s="33" t="s">
        <v>42476</v>
      </c>
      <c r="Z5403" s="33" t="s">
        <v>42967</v>
      </c>
      <c r="AA5403" s="33">
        <v>2262</v>
      </c>
    </row>
    <row r="5404" spans="1:27" ht="12" customHeight="1" x14ac:dyDescent="0.15">
      <c r="A5404" s="33" t="s">
        <v>4079</v>
      </c>
      <c r="B5404" s="33">
        <v>27</v>
      </c>
      <c r="C5404" s="33" t="s">
        <v>14</v>
      </c>
      <c r="D5404" s="33" t="s">
        <v>31</v>
      </c>
      <c r="E5404" s="33" t="s">
        <v>4080</v>
      </c>
      <c r="F5404" s="67">
        <v>42043</v>
      </c>
      <c r="G5404" s="33" t="s">
        <v>4081</v>
      </c>
      <c r="H5404" s="33" t="s">
        <v>1227</v>
      </c>
      <c r="I5404" s="33" t="s">
        <v>67</v>
      </c>
      <c r="J5404" s="33" t="s">
        <v>4082</v>
      </c>
      <c r="K5404" s="33" t="s">
        <v>1228</v>
      </c>
      <c r="L5404" s="33" t="s">
        <v>1229</v>
      </c>
      <c r="M5404" s="33" t="s">
        <v>21</v>
      </c>
      <c r="N5404" s="33" t="s">
        <v>4083</v>
      </c>
      <c r="O5404" s="33" t="s">
        <v>372</v>
      </c>
      <c r="P5404" s="33" t="s">
        <v>30089</v>
      </c>
      <c r="Q5404" s="40" t="s">
        <v>4084</v>
      </c>
      <c r="R5404" s="33" t="s">
        <v>23</v>
      </c>
      <c r="S5404" s="33" t="s">
        <v>22</v>
      </c>
      <c r="T5404" s="33" t="s">
        <v>26781</v>
      </c>
      <c r="U5404" s="33" t="s">
        <v>26572</v>
      </c>
      <c r="V5404" s="33" t="s">
        <v>26573</v>
      </c>
      <c r="W5404" s="33" t="s">
        <v>94</v>
      </c>
      <c r="X5404" s="33">
        <v>132</v>
      </c>
      <c r="Z5404" s="33" t="s">
        <v>42968</v>
      </c>
      <c r="AA5404" s="33">
        <v>2259</v>
      </c>
    </row>
    <row r="5405" spans="1:27" ht="12" customHeight="1" x14ac:dyDescent="0.15">
      <c r="A5405" s="33" t="s">
        <v>4075</v>
      </c>
      <c r="B5405" s="33">
        <v>46</v>
      </c>
      <c r="C5405" s="33" t="s">
        <v>14</v>
      </c>
      <c r="D5405" s="33" t="s">
        <v>79</v>
      </c>
      <c r="E5405" s="33" t="str">
        <f>HYPERLINK("http://www.trbimg.com/img-54da5444/turbine/os-joseph-paffen-20150210/243/243x137","http://www.trbimg.com/img-54da5444/turbine/os-joseph-paffen-20150210/243/243x137")</f>
        <v>http://www.trbimg.com/img-54da5444/turbine/os-joseph-paffen-20150210/243/243x137</v>
      </c>
      <c r="F5405" s="67">
        <v>42043</v>
      </c>
      <c r="G5405" s="33" t="s">
        <v>4076</v>
      </c>
      <c r="H5405" s="33" t="s">
        <v>997</v>
      </c>
      <c r="I5405" s="33" t="s">
        <v>56</v>
      </c>
      <c r="J5405" s="33">
        <v>32812</v>
      </c>
      <c r="K5405" s="33" t="s">
        <v>998</v>
      </c>
      <c r="L5405" s="33" t="s">
        <v>4077</v>
      </c>
      <c r="M5405" s="33" t="s">
        <v>21</v>
      </c>
      <c r="N5405" s="33" t="s">
        <v>4078</v>
      </c>
      <c r="O5405" s="33" t="s">
        <v>372</v>
      </c>
      <c r="P5405" s="33" t="s">
        <v>30089</v>
      </c>
      <c r="Q5405" s="40" t="str">
        <f>HYPERLINK("http://www.orlandosentinel.com/news/breaking-news/os-sovereign-citizen-deputy-shooting-20150210-story.html","http://www.orlandosentinel.com/news/breaking-news/os-sovereign-citizen-deputy-shooting-20150210-story.html")</f>
        <v>http://www.orlandosentinel.com/news/breaking-news/os-sovereign-citizen-deputy-shooting-20150210-story.html</v>
      </c>
      <c r="R5405" s="33" t="s">
        <v>23</v>
      </c>
      <c r="S5405" s="33" t="s">
        <v>22</v>
      </c>
      <c r="T5405" s="33" t="s">
        <v>26781</v>
      </c>
      <c r="U5405" s="33" t="s">
        <v>26572</v>
      </c>
      <c r="V5405" s="33" t="s">
        <v>26573</v>
      </c>
      <c r="W5405" s="33" t="s">
        <v>94</v>
      </c>
      <c r="X5405" s="33">
        <v>134</v>
      </c>
      <c r="Z5405" s="33" t="s">
        <v>42968</v>
      </c>
      <c r="AA5405" s="33">
        <v>2261</v>
      </c>
    </row>
    <row r="5406" spans="1:27" ht="12" customHeight="1" x14ac:dyDescent="0.15">
      <c r="A5406" s="33" t="s">
        <v>4062</v>
      </c>
      <c r="B5406" s="33">
        <v>37</v>
      </c>
      <c r="C5406" s="33" t="s">
        <v>103</v>
      </c>
      <c r="D5406" s="33" t="s">
        <v>79</v>
      </c>
      <c r="E5406" s="33" t="s">
        <v>4063</v>
      </c>
      <c r="F5406" s="67">
        <v>42043</v>
      </c>
      <c r="G5406" s="33" t="s">
        <v>4064</v>
      </c>
      <c r="H5406" s="33" t="s">
        <v>4065</v>
      </c>
      <c r="I5406" s="33" t="s">
        <v>225</v>
      </c>
      <c r="J5406" s="33">
        <v>22030</v>
      </c>
      <c r="K5406" s="33" t="s">
        <v>4065</v>
      </c>
      <c r="L5406" s="33" t="s">
        <v>4066</v>
      </c>
      <c r="M5406" s="33" t="s">
        <v>363</v>
      </c>
      <c r="N5406" s="33" t="s">
        <v>36775</v>
      </c>
      <c r="P5406" s="33" t="s">
        <v>30089</v>
      </c>
      <c r="Q5406" s="40" t="str">
        <f>HYPERLINK("http://www.washingtonpost.com/local/crime/woman-dies-after-a-stun-gun-was-used-on-her-in-the-fairfax-county-jail/2015/02/08/14a7f498-4987-4e47-be50-5d31b39825ef_story.html","http://www.washingtonpost.com/local/crime/woman-dies-after-a-stun-gun-was-used-on-her-in-the-fairfax-county-jail/2015/02/08/14a7f498-4987-4e47-be50-5d31b39825ef_story.html")</f>
        <v>http://www.washingtonpost.com/local/crime/woman-dies-after-a-stun-gun-was-used-on-her-in-the-fairfax-county-jail/2015/02/08/14a7f498-4987-4e47-be50-5d31b39825ef_story.html</v>
      </c>
      <c r="R5406" s="33" t="s">
        <v>23</v>
      </c>
      <c r="S5406" s="33" t="s">
        <v>12</v>
      </c>
      <c r="T5406" s="54" t="s">
        <v>29705</v>
      </c>
      <c r="Z5406" s="33" t="s">
        <v>42968</v>
      </c>
      <c r="AA5406" s="33">
        <v>2263</v>
      </c>
    </row>
    <row r="5407" spans="1:27" ht="12" customHeight="1" x14ac:dyDescent="0.15">
      <c r="A5407" s="33" t="s">
        <v>4054</v>
      </c>
      <c r="B5407" s="33">
        <v>57</v>
      </c>
      <c r="C5407" s="33" t="s">
        <v>14</v>
      </c>
      <c r="D5407" s="33" t="s">
        <v>31</v>
      </c>
      <c r="E5407" s="33" t="s">
        <v>4055</v>
      </c>
      <c r="F5407" s="67">
        <v>42043</v>
      </c>
      <c r="G5407" s="33" t="s">
        <v>4056</v>
      </c>
      <c r="H5407" s="33" t="s">
        <v>4057</v>
      </c>
      <c r="I5407" s="33" t="s">
        <v>395</v>
      </c>
      <c r="J5407" s="33" t="s">
        <v>4058</v>
      </c>
      <c r="K5407" s="33" t="s">
        <v>4059</v>
      </c>
      <c r="L5407" s="33" t="s">
        <v>4060</v>
      </c>
      <c r="M5407" s="33" t="s">
        <v>21</v>
      </c>
      <c r="N5407" s="33" t="s">
        <v>4061</v>
      </c>
      <c r="O5407" s="33" t="s">
        <v>950</v>
      </c>
      <c r="P5407" s="33" t="s">
        <v>30089</v>
      </c>
      <c r="Q5407" s="40" t="s">
        <v>4055</v>
      </c>
      <c r="R5407" s="33" t="s">
        <v>512</v>
      </c>
      <c r="S5407" s="33" t="s">
        <v>22</v>
      </c>
      <c r="T5407" s="33" t="s">
        <v>26781</v>
      </c>
      <c r="U5407" s="33" t="s">
        <v>26572</v>
      </c>
      <c r="V5407" s="33" t="s">
        <v>26573</v>
      </c>
      <c r="W5407" s="33" t="s">
        <v>94</v>
      </c>
      <c r="X5407" s="33">
        <v>133</v>
      </c>
      <c r="Z5407" s="33" t="s">
        <v>42968</v>
      </c>
      <c r="AA5407" s="33">
        <v>2260</v>
      </c>
    </row>
    <row r="5408" spans="1:27" ht="12" customHeight="1" x14ac:dyDescent="0.15">
      <c r="A5408" s="33" t="s">
        <v>4100</v>
      </c>
      <c r="B5408" s="33">
        <v>26</v>
      </c>
      <c r="C5408" s="33" t="s">
        <v>14</v>
      </c>
      <c r="D5408" s="33" t="s">
        <v>31</v>
      </c>
      <c r="F5408" s="67">
        <v>42042</v>
      </c>
      <c r="G5408" s="33" t="s">
        <v>4101</v>
      </c>
      <c r="H5408" s="33" t="s">
        <v>4102</v>
      </c>
      <c r="I5408" s="33" t="s">
        <v>39</v>
      </c>
      <c r="J5408" s="33" t="s">
        <v>4103</v>
      </c>
      <c r="K5408" s="33" t="s">
        <v>728</v>
      </c>
      <c r="L5408" s="33" t="s">
        <v>729</v>
      </c>
      <c r="M5408" s="33" t="s">
        <v>21</v>
      </c>
      <c r="N5408" s="33" t="s">
        <v>4104</v>
      </c>
      <c r="O5408" s="33" t="s">
        <v>950</v>
      </c>
      <c r="P5408" s="33" t="s">
        <v>30089</v>
      </c>
      <c r="Q5408" s="40" t="s">
        <v>4105</v>
      </c>
      <c r="R5408" s="33" t="s">
        <v>94</v>
      </c>
      <c r="S5408" s="33" t="s">
        <v>12</v>
      </c>
      <c r="T5408" s="33" t="s">
        <v>29425</v>
      </c>
      <c r="U5408" s="33" t="s">
        <v>26572</v>
      </c>
      <c r="V5408" s="33" t="s">
        <v>26573</v>
      </c>
      <c r="W5408" s="33" t="s">
        <v>94</v>
      </c>
      <c r="X5408" s="33">
        <v>532</v>
      </c>
      <c r="Z5408" s="33" t="s">
        <v>42968</v>
      </c>
      <c r="AA5408" s="33">
        <v>2257</v>
      </c>
    </row>
    <row r="5409" spans="1:27" ht="12" customHeight="1" x14ac:dyDescent="0.15">
      <c r="A5409" s="33" t="s">
        <v>4085</v>
      </c>
      <c r="B5409" s="33">
        <v>74</v>
      </c>
      <c r="C5409" s="33" t="s">
        <v>14</v>
      </c>
      <c r="D5409" s="33" t="s">
        <v>79</v>
      </c>
      <c r="F5409" s="67">
        <v>42042</v>
      </c>
      <c r="G5409" s="33" t="s">
        <v>4086</v>
      </c>
      <c r="H5409" s="33" t="s">
        <v>778</v>
      </c>
      <c r="I5409" s="33" t="s">
        <v>338</v>
      </c>
      <c r="J5409" s="33">
        <v>28052</v>
      </c>
      <c r="K5409" s="33" t="s">
        <v>4087</v>
      </c>
      <c r="L5409" s="33" t="s">
        <v>3888</v>
      </c>
      <c r="M5409" s="33" t="s">
        <v>21</v>
      </c>
      <c r="N5409" s="33" t="s">
        <v>4088</v>
      </c>
      <c r="O5409" s="33" t="s">
        <v>372</v>
      </c>
      <c r="P5409" s="33" t="s">
        <v>30089</v>
      </c>
      <c r="Q5409" s="40" t="str">
        <f>HYPERLINK("http://www.wcnc.com/story/news/crime/2015/02/08/gastoina-police-officer-involved-in-deadly-shooting/23075073/","http://www.wcnc.com/story/news/crime/2015/02/08/gastoina-police-officer-involved-in-deadly-shooting/23075073/")</f>
        <v>http://www.wcnc.com/story/news/crime/2015/02/08/gastoina-police-officer-involved-in-deadly-shooting/23075073/</v>
      </c>
      <c r="R5409" s="33" t="s">
        <v>94</v>
      </c>
      <c r="S5409" s="33" t="s">
        <v>22</v>
      </c>
      <c r="T5409" s="33" t="s">
        <v>26781</v>
      </c>
      <c r="U5409" s="33" t="s">
        <v>26572</v>
      </c>
      <c r="V5409" s="33" t="s">
        <v>26573</v>
      </c>
      <c r="W5409" s="33" t="s">
        <v>94</v>
      </c>
      <c r="X5409" s="33">
        <v>554</v>
      </c>
      <c r="Z5409" s="33" t="s">
        <v>42968</v>
      </c>
      <c r="AA5409" s="33">
        <v>2256</v>
      </c>
    </row>
    <row r="5410" spans="1:27" ht="12" customHeight="1" x14ac:dyDescent="0.15">
      <c r="A5410" s="33" t="s">
        <v>4095</v>
      </c>
      <c r="B5410" s="33">
        <v>25</v>
      </c>
      <c r="C5410" s="33" t="s">
        <v>14</v>
      </c>
      <c r="D5410" s="33" t="s">
        <v>79</v>
      </c>
      <c r="E5410" s="33" t="s">
        <v>4096</v>
      </c>
      <c r="F5410" s="67">
        <v>42041</v>
      </c>
      <c r="G5410" s="33" t="s">
        <v>4097</v>
      </c>
      <c r="H5410" s="33" t="s">
        <v>1027</v>
      </c>
      <c r="I5410" s="33" t="s">
        <v>367</v>
      </c>
      <c r="J5410" s="33" t="s">
        <v>4098</v>
      </c>
      <c r="K5410" s="33" t="s">
        <v>1028</v>
      </c>
      <c r="L5410" s="33" t="s">
        <v>1029</v>
      </c>
      <c r="M5410" s="33" t="s">
        <v>21</v>
      </c>
      <c r="N5410" s="33" t="s">
        <v>36776</v>
      </c>
      <c r="O5410" s="33" t="s">
        <v>950</v>
      </c>
      <c r="P5410" s="33" t="s">
        <v>30089</v>
      </c>
      <c r="Q5410" s="40" t="s">
        <v>4099</v>
      </c>
      <c r="R5410" s="33" t="s">
        <v>94</v>
      </c>
      <c r="S5410" s="33" t="s">
        <v>22</v>
      </c>
      <c r="T5410" s="33" t="s">
        <v>26781</v>
      </c>
      <c r="U5410" s="33" t="s">
        <v>26572</v>
      </c>
      <c r="V5410" s="33" t="s">
        <v>26573</v>
      </c>
      <c r="W5410" s="33" t="s">
        <v>94</v>
      </c>
      <c r="X5410" s="33">
        <v>129</v>
      </c>
      <c r="Z5410" s="33" t="s">
        <v>42968</v>
      </c>
      <c r="AA5410" s="33">
        <v>2255</v>
      </c>
    </row>
    <row r="5411" spans="1:27" ht="12" customHeight="1" x14ac:dyDescent="0.15">
      <c r="A5411" s="33" t="s">
        <v>4134</v>
      </c>
      <c r="B5411" s="33">
        <v>59</v>
      </c>
      <c r="C5411" s="33" t="s">
        <v>14</v>
      </c>
      <c r="D5411" s="33" t="s">
        <v>31</v>
      </c>
      <c r="E5411" s="33" t="s">
        <v>4135</v>
      </c>
      <c r="F5411" s="67">
        <v>42039</v>
      </c>
      <c r="G5411" s="33" t="s">
        <v>4136</v>
      </c>
      <c r="H5411" s="33" t="s">
        <v>4137</v>
      </c>
      <c r="I5411" s="33" t="s">
        <v>39</v>
      </c>
      <c r="J5411" s="33" t="s">
        <v>4138</v>
      </c>
      <c r="K5411" s="33" t="s">
        <v>288</v>
      </c>
      <c r="L5411" s="33" t="s">
        <v>4139</v>
      </c>
      <c r="M5411" s="33" t="s">
        <v>4140</v>
      </c>
      <c r="N5411" s="33" t="s">
        <v>4141</v>
      </c>
      <c r="O5411" s="33" t="s">
        <v>950</v>
      </c>
      <c r="P5411" s="33" t="s">
        <v>30089</v>
      </c>
      <c r="Q5411" s="40" t="str">
        <f>HYPERLINK("http://losangeles.cbslocal.com/2015/02/04/police-fatally-shoot-bank-robbery-suspect-in-chino-following-high-speed-chase/","http://losangeles.cbslocal.com/2015/02/04/police-fatally-shoot-bank-robbery-suspect-in-chino-following-high-speed-chase/")</f>
        <v>http://losangeles.cbslocal.com/2015/02/04/police-fatally-shoot-bank-robbery-suspect-in-chino-following-high-speed-chase/</v>
      </c>
      <c r="R5411" s="33" t="s">
        <v>94</v>
      </c>
      <c r="S5411" s="33" t="s">
        <v>22</v>
      </c>
      <c r="T5411" s="33" t="s">
        <v>26781</v>
      </c>
      <c r="U5411" s="33" t="s">
        <v>26570</v>
      </c>
      <c r="V5411" s="33" t="s">
        <v>26571</v>
      </c>
      <c r="W5411" s="33" t="s">
        <v>94</v>
      </c>
      <c r="X5411" s="33">
        <v>128</v>
      </c>
      <c r="Z5411" s="33" t="s">
        <v>42968</v>
      </c>
      <c r="AA5411" s="33">
        <v>2251</v>
      </c>
    </row>
    <row r="5412" spans="1:27" ht="12" customHeight="1" x14ac:dyDescent="0.15">
      <c r="A5412" s="33" t="str">
        <f>HYPERLINK("http://www.killedbypolice.net/victims/150102.jpg","Joaquin Hernandez")</f>
        <v>Joaquin Hernandez</v>
      </c>
      <c r="B5412" s="33">
        <v>28</v>
      </c>
      <c r="C5412" s="33" t="s">
        <v>14</v>
      </c>
      <c r="D5412" s="33" t="s">
        <v>42</v>
      </c>
      <c r="E5412" s="33" t="s">
        <v>4117</v>
      </c>
      <c r="F5412" s="67">
        <v>42039</v>
      </c>
      <c r="G5412" s="33" t="s">
        <v>4118</v>
      </c>
      <c r="H5412" s="33" t="s">
        <v>3585</v>
      </c>
      <c r="I5412" s="33" t="s">
        <v>112</v>
      </c>
      <c r="J5412" s="33">
        <v>85042</v>
      </c>
      <c r="K5412" s="33" t="s">
        <v>585</v>
      </c>
      <c r="L5412" s="33" t="s">
        <v>1338</v>
      </c>
      <c r="M5412" s="33" t="s">
        <v>21</v>
      </c>
      <c r="N5412" s="33" t="s">
        <v>4119</v>
      </c>
      <c r="P5412" s="33" t="s">
        <v>30089</v>
      </c>
      <c r="Q5412" s="40" t="s">
        <v>4120</v>
      </c>
      <c r="R5412" s="33" t="s">
        <v>23</v>
      </c>
      <c r="S5412" s="33" t="s">
        <v>12</v>
      </c>
      <c r="T5412" s="33" t="s">
        <v>29705</v>
      </c>
      <c r="U5412" s="33" t="s">
        <v>26570</v>
      </c>
      <c r="V5412" s="33" t="s">
        <v>26573</v>
      </c>
      <c r="W5412" s="33" t="s">
        <v>94</v>
      </c>
      <c r="X5412" s="33">
        <v>125</v>
      </c>
      <c r="Z5412" s="33" t="s">
        <v>42968</v>
      </c>
      <c r="AA5412" s="33">
        <v>2254</v>
      </c>
    </row>
    <row r="5413" spans="1:27" ht="12" customHeight="1" x14ac:dyDescent="0.15">
      <c r="A5413" s="33" t="s">
        <v>4126</v>
      </c>
      <c r="B5413" s="33">
        <v>28</v>
      </c>
      <c r="C5413" s="33" t="s">
        <v>14</v>
      </c>
      <c r="D5413" s="33" t="s">
        <v>42</v>
      </c>
      <c r="E5413" s="33" t="s">
        <v>4127</v>
      </c>
      <c r="F5413" s="67">
        <v>42039</v>
      </c>
      <c r="G5413" s="33" t="s">
        <v>4118</v>
      </c>
      <c r="H5413" s="33" t="s">
        <v>3585</v>
      </c>
      <c r="I5413" s="33" t="s">
        <v>112</v>
      </c>
      <c r="J5413" s="33" t="s">
        <v>4128</v>
      </c>
      <c r="K5413" s="33" t="s">
        <v>585</v>
      </c>
      <c r="L5413" s="33" t="s">
        <v>17583</v>
      </c>
      <c r="M5413" s="33" t="s">
        <v>21</v>
      </c>
      <c r="N5413" s="33" t="s">
        <v>4129</v>
      </c>
      <c r="O5413" s="33" t="s">
        <v>950</v>
      </c>
      <c r="P5413" s="33" t="s">
        <v>30089</v>
      </c>
      <c r="Q5413" s="40" t="s">
        <v>4120</v>
      </c>
      <c r="R5413" s="33" t="s">
        <v>94</v>
      </c>
      <c r="S5413" s="33" t="s">
        <v>22</v>
      </c>
      <c r="T5413" s="33" t="s">
        <v>26781</v>
      </c>
      <c r="U5413" s="33" t="s">
        <v>26572</v>
      </c>
      <c r="V5413" s="33" t="s">
        <v>26571</v>
      </c>
      <c r="W5413" s="33" t="s">
        <v>94</v>
      </c>
      <c r="X5413" s="33">
        <v>124</v>
      </c>
      <c r="Z5413" s="33" t="s">
        <v>42968</v>
      </c>
      <c r="AA5413" s="33">
        <v>2249</v>
      </c>
    </row>
    <row r="5414" spans="1:27" ht="12" customHeight="1" x14ac:dyDescent="0.15">
      <c r="A5414" s="33" t="s">
        <v>4121</v>
      </c>
      <c r="B5414" s="33">
        <v>37</v>
      </c>
      <c r="C5414" s="33" t="s">
        <v>14</v>
      </c>
      <c r="D5414" s="33" t="s">
        <v>42</v>
      </c>
      <c r="F5414" s="67">
        <v>42039</v>
      </c>
      <c r="G5414" s="33" t="s">
        <v>4122</v>
      </c>
      <c r="H5414" s="33" t="s">
        <v>997</v>
      </c>
      <c r="I5414" s="33" t="s">
        <v>56</v>
      </c>
      <c r="J5414" s="33" t="s">
        <v>4123</v>
      </c>
      <c r="K5414" s="33" t="s">
        <v>998</v>
      </c>
      <c r="L5414" s="33" t="s">
        <v>999</v>
      </c>
      <c r="M5414" s="33" t="s">
        <v>21</v>
      </c>
      <c r="N5414" s="33" t="s">
        <v>4124</v>
      </c>
      <c r="O5414" s="33" t="s">
        <v>950</v>
      </c>
      <c r="P5414" s="33" t="s">
        <v>30089</v>
      </c>
      <c r="Q5414" s="40" t="s">
        <v>4125</v>
      </c>
      <c r="R5414" s="33" t="s">
        <v>94</v>
      </c>
      <c r="S5414" s="33" t="s">
        <v>22</v>
      </c>
      <c r="T5414" s="33" t="s">
        <v>26781</v>
      </c>
      <c r="U5414" s="33" t="s">
        <v>26572</v>
      </c>
      <c r="V5414" s="33" t="s">
        <v>26573</v>
      </c>
      <c r="W5414" s="33" t="s">
        <v>94</v>
      </c>
      <c r="X5414" s="33">
        <v>123</v>
      </c>
      <c r="Z5414" s="33" t="s">
        <v>42968</v>
      </c>
      <c r="AA5414" s="33">
        <v>2248</v>
      </c>
    </row>
    <row r="5415" spans="1:27" ht="12" customHeight="1" x14ac:dyDescent="0.15">
      <c r="A5415" s="33" t="s">
        <v>4112</v>
      </c>
      <c r="B5415" s="33">
        <v>51</v>
      </c>
      <c r="C5415" s="33" t="s">
        <v>14</v>
      </c>
      <c r="D5415" s="33" t="s">
        <v>79</v>
      </c>
      <c r="E5415" s="33" t="s">
        <v>4113</v>
      </c>
      <c r="F5415" s="67">
        <v>42039</v>
      </c>
      <c r="G5415" s="33" t="s">
        <v>4114</v>
      </c>
      <c r="H5415" s="33" t="s">
        <v>4115</v>
      </c>
      <c r="I5415" s="33" t="s">
        <v>67</v>
      </c>
      <c r="J5415" s="33" t="s">
        <v>4116</v>
      </c>
      <c r="K5415" s="33" t="s">
        <v>744</v>
      </c>
      <c r="L5415" s="33" t="s">
        <v>745</v>
      </c>
      <c r="M5415" s="33" t="s">
        <v>21</v>
      </c>
      <c r="N5415" s="33" t="s">
        <v>36777</v>
      </c>
      <c r="O5415" s="33" t="s">
        <v>950</v>
      </c>
      <c r="P5415" s="33" t="s">
        <v>30089</v>
      </c>
      <c r="Q5415" s="40" t="str">
        <f>HYPERLINK("http://www.wacotrib.com/news/traffic/officers-shoot-kill-suspected-waco-area-robber-after-high-speed/article_0ad98762-1641-5888-80b2-3797f0b5c9f6.html","http://www.wacotrib.com/news/traffic/officers-shoot-kill-suspected-waco-area-robber-after-high-speed/article_0ad98762-1641-5888-80b2-3797f0b5c9f6.html")</f>
        <v>http://www.wacotrib.com/news/traffic/officers-shoot-kill-suspected-waco-area-robber-after-high-speed/article_0ad98762-1641-5888-80b2-3797f0b5c9f6.html</v>
      </c>
      <c r="R5415" s="33" t="s">
        <v>94</v>
      </c>
      <c r="S5415" s="33" t="s">
        <v>22</v>
      </c>
      <c r="T5415" s="33" t="s">
        <v>26781</v>
      </c>
      <c r="U5415" s="33" t="s">
        <v>26572</v>
      </c>
      <c r="V5415" s="33" t="s">
        <v>26571</v>
      </c>
      <c r="W5415" s="33" t="s">
        <v>94</v>
      </c>
      <c r="X5415" s="33">
        <v>126</v>
      </c>
      <c r="Z5415" s="33" t="s">
        <v>42967</v>
      </c>
      <c r="AA5415" s="33">
        <v>2250</v>
      </c>
    </row>
    <row r="5416" spans="1:27" ht="12" customHeight="1" x14ac:dyDescent="0.15">
      <c r="A5416" s="33" t="s">
        <v>4130</v>
      </c>
      <c r="B5416" s="33">
        <v>28</v>
      </c>
      <c r="C5416" s="33" t="s">
        <v>14</v>
      </c>
      <c r="D5416" s="33" t="s">
        <v>79</v>
      </c>
      <c r="E5416" s="33" t="s">
        <v>18395</v>
      </c>
      <c r="F5416" s="67">
        <v>42039</v>
      </c>
      <c r="G5416" s="33" t="s">
        <v>4131</v>
      </c>
      <c r="H5416" s="33" t="s">
        <v>3212</v>
      </c>
      <c r="I5416" s="33" t="s">
        <v>56</v>
      </c>
      <c r="J5416" s="33" t="s">
        <v>3213</v>
      </c>
      <c r="K5416" s="33" t="s">
        <v>3214</v>
      </c>
      <c r="L5416" s="33" t="s">
        <v>3215</v>
      </c>
      <c r="M5416" s="33" t="s">
        <v>21</v>
      </c>
      <c r="N5416" s="33" t="s">
        <v>4132</v>
      </c>
      <c r="O5416" s="33" t="s">
        <v>507</v>
      </c>
      <c r="P5416" s="33" t="s">
        <v>30089</v>
      </c>
      <c r="Q5416" s="40" t="s">
        <v>4133</v>
      </c>
      <c r="R5416" s="33" t="s">
        <v>94</v>
      </c>
      <c r="S5416" s="33" t="s">
        <v>12</v>
      </c>
      <c r="T5416" s="33" t="s">
        <v>29705</v>
      </c>
      <c r="U5416" s="33" t="s">
        <v>26572</v>
      </c>
      <c r="V5416" s="33" t="s">
        <v>26573</v>
      </c>
      <c r="W5416" s="33" t="s">
        <v>94</v>
      </c>
      <c r="X5416" s="33">
        <v>116</v>
      </c>
      <c r="Z5416" s="33" t="s">
        <v>42966</v>
      </c>
      <c r="AA5416" s="33">
        <v>2253</v>
      </c>
    </row>
    <row r="5417" spans="1:27" ht="12" customHeight="1" x14ac:dyDescent="0.15">
      <c r="A5417" s="33" t="s">
        <v>4106</v>
      </c>
      <c r="B5417" s="33">
        <v>36</v>
      </c>
      <c r="C5417" s="33" t="s">
        <v>14</v>
      </c>
      <c r="D5417" s="33" t="s">
        <v>79</v>
      </c>
      <c r="E5417" s="33" t="s">
        <v>4107</v>
      </c>
      <c r="F5417" s="67">
        <v>42039</v>
      </c>
      <c r="G5417" s="33" t="s">
        <v>4108</v>
      </c>
      <c r="H5417" s="33" t="s">
        <v>1116</v>
      </c>
      <c r="I5417" s="33" t="s">
        <v>298</v>
      </c>
      <c r="J5417" s="33" t="s">
        <v>4109</v>
      </c>
      <c r="K5417" s="33" t="s">
        <v>1117</v>
      </c>
      <c r="L5417" s="33" t="s">
        <v>5161</v>
      </c>
      <c r="M5417" s="33" t="s">
        <v>21</v>
      </c>
      <c r="N5417" s="33" t="s">
        <v>4110</v>
      </c>
      <c r="O5417" s="33" t="s">
        <v>950</v>
      </c>
      <c r="P5417" s="33" t="s">
        <v>30089</v>
      </c>
      <c r="Q5417" s="40" t="s">
        <v>4111</v>
      </c>
      <c r="R5417" s="33" t="s">
        <v>94</v>
      </c>
      <c r="S5417" s="33" t="s">
        <v>22</v>
      </c>
      <c r="T5417" s="33" t="s">
        <v>26774</v>
      </c>
      <c r="U5417" s="33" t="s">
        <v>26570</v>
      </c>
      <c r="V5417" s="33" t="s">
        <v>26573</v>
      </c>
      <c r="W5417" s="33" t="s">
        <v>94</v>
      </c>
      <c r="X5417" s="33">
        <v>127</v>
      </c>
      <c r="Z5417" s="33" t="s">
        <v>42966</v>
      </c>
      <c r="AA5417" s="33">
        <v>2252</v>
      </c>
    </row>
    <row r="5418" spans="1:27" ht="12" customHeight="1" x14ac:dyDescent="0.15">
      <c r="A5418" s="33" t="s">
        <v>4142</v>
      </c>
      <c r="B5418" s="33">
        <v>29</v>
      </c>
      <c r="C5418" s="33" t="s">
        <v>14</v>
      </c>
      <c r="D5418" s="33" t="s">
        <v>79</v>
      </c>
      <c r="E5418" s="33" t="s">
        <v>4143</v>
      </c>
      <c r="F5418" s="67">
        <v>42038</v>
      </c>
      <c r="G5418" s="33" t="s">
        <v>4144</v>
      </c>
      <c r="H5418" s="33" t="s">
        <v>822</v>
      </c>
      <c r="I5418" s="33" t="s">
        <v>39</v>
      </c>
      <c r="J5418" s="33" t="s">
        <v>4145</v>
      </c>
      <c r="K5418" s="33" t="s">
        <v>4146</v>
      </c>
      <c r="L5418" s="33" t="s">
        <v>4147</v>
      </c>
      <c r="M5418" s="33" t="s">
        <v>21</v>
      </c>
      <c r="N5418" s="33" t="s">
        <v>4148</v>
      </c>
      <c r="O5418" s="33" t="s">
        <v>950</v>
      </c>
      <c r="P5418" s="33" t="s">
        <v>30089</v>
      </c>
      <c r="Q5418" s="40" t="s">
        <v>4149</v>
      </c>
      <c r="R5418" s="33" t="s">
        <v>512</v>
      </c>
      <c r="S5418" s="33" t="s">
        <v>22</v>
      </c>
      <c r="T5418" s="33" t="s">
        <v>26774</v>
      </c>
      <c r="U5418" s="33" t="s">
        <v>26570</v>
      </c>
      <c r="V5418" s="33" t="s">
        <v>26573</v>
      </c>
      <c r="W5418" s="33" t="s">
        <v>94</v>
      </c>
      <c r="X5418" s="33">
        <v>119</v>
      </c>
      <c r="Z5418" s="33" t="s">
        <v>42968</v>
      </c>
      <c r="AA5418" s="33">
        <v>2246</v>
      </c>
    </row>
    <row r="5419" spans="1:27" ht="12" customHeight="1" x14ac:dyDescent="0.15">
      <c r="A5419" s="33" t="s">
        <v>4150</v>
      </c>
      <c r="B5419" s="33">
        <v>38</v>
      </c>
      <c r="C5419" s="33" t="s">
        <v>103</v>
      </c>
      <c r="D5419" s="33" t="s">
        <v>79</v>
      </c>
      <c r="E5419" s="33" t="s">
        <v>4151</v>
      </c>
      <c r="F5419" s="67">
        <v>42038</v>
      </c>
      <c r="G5419" s="33" t="s">
        <v>4152</v>
      </c>
      <c r="H5419" s="33" t="s">
        <v>4153</v>
      </c>
      <c r="I5419" s="33" t="s">
        <v>39</v>
      </c>
      <c r="J5419" s="33" t="s">
        <v>4154</v>
      </c>
      <c r="K5419" s="33" t="s">
        <v>558</v>
      </c>
      <c r="L5419" s="33" t="s">
        <v>4155</v>
      </c>
      <c r="M5419" s="33" t="s">
        <v>21</v>
      </c>
      <c r="N5419" s="33" t="s">
        <v>4156</v>
      </c>
      <c r="O5419" s="33" t="s">
        <v>950</v>
      </c>
      <c r="P5419" s="33" t="s">
        <v>30089</v>
      </c>
      <c r="Q5419" s="40" t="s">
        <v>4157</v>
      </c>
      <c r="R5419" s="33" t="s">
        <v>94</v>
      </c>
      <c r="S5419" s="33" t="s">
        <v>22</v>
      </c>
      <c r="T5419" s="33" t="s">
        <v>26781</v>
      </c>
      <c r="U5419" s="33" t="s">
        <v>26572</v>
      </c>
      <c r="V5419" s="33" t="s">
        <v>26571</v>
      </c>
      <c r="W5419" s="33" t="s">
        <v>94</v>
      </c>
      <c r="X5419" s="33">
        <v>118</v>
      </c>
      <c r="Z5419" s="33" t="s">
        <v>42966</v>
      </c>
      <c r="AA5419" s="33">
        <v>2244</v>
      </c>
    </row>
    <row r="5420" spans="1:27" ht="12" customHeight="1" x14ac:dyDescent="0.15">
      <c r="A5420" s="33" t="s">
        <v>4158</v>
      </c>
      <c r="B5420" s="33">
        <v>23</v>
      </c>
      <c r="C5420" s="33" t="s">
        <v>14</v>
      </c>
      <c r="D5420" s="33" t="s">
        <v>79</v>
      </c>
      <c r="E5420" s="33" t="s">
        <v>4159</v>
      </c>
      <c r="F5420" s="67">
        <v>42038</v>
      </c>
      <c r="G5420" s="33" t="s">
        <v>4160</v>
      </c>
      <c r="H5420" s="33" t="s">
        <v>661</v>
      </c>
      <c r="I5420" s="33" t="s">
        <v>402</v>
      </c>
      <c r="J5420" s="33" t="s">
        <v>4161</v>
      </c>
      <c r="K5420" s="33" t="s">
        <v>661</v>
      </c>
      <c r="L5420" s="33" t="s">
        <v>4162</v>
      </c>
      <c r="M5420" s="33" t="s">
        <v>21</v>
      </c>
      <c r="N5420" s="33" t="s">
        <v>4163</v>
      </c>
      <c r="O5420" s="33" t="s">
        <v>950</v>
      </c>
      <c r="P5420" s="33" t="s">
        <v>30089</v>
      </c>
      <c r="Q5420" s="40" t="s">
        <v>4159</v>
      </c>
      <c r="R5420" s="33" t="s">
        <v>94</v>
      </c>
      <c r="S5420" s="33" t="s">
        <v>22</v>
      </c>
      <c r="T5420" s="33" t="s">
        <v>26781</v>
      </c>
      <c r="U5420" s="33" t="s">
        <v>26572</v>
      </c>
      <c r="V5420" s="33" t="s">
        <v>26574</v>
      </c>
      <c r="W5420" s="33" t="s">
        <v>94</v>
      </c>
      <c r="X5420" s="33">
        <v>117</v>
      </c>
      <c r="Z5420" s="33" t="s">
        <v>42966</v>
      </c>
      <c r="AA5420" s="33">
        <v>2243</v>
      </c>
    </row>
    <row r="5421" spans="1:27" ht="12" customHeight="1" x14ac:dyDescent="0.15">
      <c r="A5421" s="33" t="s">
        <v>4164</v>
      </c>
      <c r="B5421" s="33">
        <v>35</v>
      </c>
      <c r="C5421" s="33" t="s">
        <v>14</v>
      </c>
      <c r="D5421" s="33" t="s">
        <v>42</v>
      </c>
      <c r="F5421" s="67">
        <v>42038</v>
      </c>
      <c r="G5421" s="33" t="s">
        <v>4165</v>
      </c>
      <c r="H5421" s="33" t="s">
        <v>4166</v>
      </c>
      <c r="I5421" s="33" t="s">
        <v>67</v>
      </c>
      <c r="J5421" s="33" t="s">
        <v>4167</v>
      </c>
      <c r="K5421" s="33" t="s">
        <v>635</v>
      </c>
      <c r="L5421" s="33" t="s">
        <v>4168</v>
      </c>
      <c r="M5421" s="33" t="s">
        <v>363</v>
      </c>
      <c r="N5421" s="33" t="s">
        <v>4169</v>
      </c>
      <c r="O5421" s="33" t="s">
        <v>950</v>
      </c>
      <c r="P5421" s="33" t="s">
        <v>30089</v>
      </c>
      <c r="Q5421" s="40" t="s">
        <v>4170</v>
      </c>
      <c r="R5421" s="33" t="s">
        <v>512</v>
      </c>
      <c r="S5421" s="33" t="s">
        <v>12</v>
      </c>
      <c r="T5421" s="54" t="s">
        <v>29705</v>
      </c>
      <c r="Z5421" s="33" t="s">
        <v>42967</v>
      </c>
      <c r="AA5421" s="33">
        <v>2247</v>
      </c>
    </row>
    <row r="5422" spans="1:27" ht="12" customHeight="1" x14ac:dyDescent="0.15">
      <c r="A5422" s="33" t="s">
        <v>4171</v>
      </c>
      <c r="B5422" s="33">
        <v>45</v>
      </c>
      <c r="C5422" s="33" t="s">
        <v>14</v>
      </c>
      <c r="D5422" s="33" t="s">
        <v>31</v>
      </c>
      <c r="F5422" s="67">
        <v>42038</v>
      </c>
      <c r="G5422" s="33" t="s">
        <v>4172</v>
      </c>
      <c r="H5422" s="33" t="s">
        <v>882</v>
      </c>
      <c r="I5422" s="33" t="s">
        <v>160</v>
      </c>
      <c r="J5422" s="33" t="s">
        <v>4173</v>
      </c>
      <c r="K5422" s="33" t="s">
        <v>4174</v>
      </c>
      <c r="L5422" s="33" t="s">
        <v>4175</v>
      </c>
      <c r="M5422" s="33" t="s">
        <v>21</v>
      </c>
      <c r="N5422" s="33" t="s">
        <v>4176</v>
      </c>
      <c r="O5422" s="33" t="s">
        <v>950</v>
      </c>
      <c r="P5422" s="33" t="s">
        <v>30089</v>
      </c>
      <c r="Q5422" s="40" t="s">
        <v>4177</v>
      </c>
      <c r="R5422" s="33" t="s">
        <v>512</v>
      </c>
      <c r="S5422" s="33" t="s">
        <v>22</v>
      </c>
      <c r="T5422" s="33" t="s">
        <v>26781</v>
      </c>
      <c r="U5422" s="33" t="s">
        <v>26572</v>
      </c>
      <c r="V5422" s="33" t="s">
        <v>26573</v>
      </c>
      <c r="W5422" s="33" t="s">
        <v>94</v>
      </c>
      <c r="X5422" s="33">
        <v>120</v>
      </c>
      <c r="Z5422" s="33" t="s">
        <v>42967</v>
      </c>
      <c r="AA5422" s="33">
        <v>2245</v>
      </c>
    </row>
    <row r="5423" spans="1:27" ht="12" customHeight="1" x14ac:dyDescent="0.15">
      <c r="A5423" s="33" t="s">
        <v>4195</v>
      </c>
      <c r="B5423" s="33">
        <v>42</v>
      </c>
      <c r="C5423" s="33" t="s">
        <v>14</v>
      </c>
      <c r="D5423" s="33" t="s">
        <v>31</v>
      </c>
      <c r="E5423" s="33" t="s">
        <v>4196</v>
      </c>
      <c r="F5423" s="67">
        <v>42037</v>
      </c>
      <c r="G5423" s="33" t="s">
        <v>4197</v>
      </c>
      <c r="H5423" s="33" t="s">
        <v>4198</v>
      </c>
      <c r="I5423" s="33" t="s">
        <v>39</v>
      </c>
      <c r="J5423" s="33" t="s">
        <v>4199</v>
      </c>
      <c r="K5423" s="33" t="s">
        <v>288</v>
      </c>
      <c r="L5423" s="33" t="s">
        <v>4200</v>
      </c>
      <c r="M5423" s="33" t="s">
        <v>21</v>
      </c>
      <c r="N5423" s="33" t="s">
        <v>4201</v>
      </c>
      <c r="O5423" s="33" t="s">
        <v>950</v>
      </c>
      <c r="P5423" s="33" t="s">
        <v>30089</v>
      </c>
      <c r="Q5423" s="40" t="s">
        <v>4202</v>
      </c>
      <c r="R5423" s="33" t="s">
        <v>512</v>
      </c>
      <c r="S5423" s="33" t="s">
        <v>22</v>
      </c>
      <c r="T5423" s="33" t="s">
        <v>26781</v>
      </c>
      <c r="U5423" s="33" t="s">
        <v>26572</v>
      </c>
      <c r="V5423" s="33" t="s">
        <v>26573</v>
      </c>
      <c r="W5423" s="33" t="s">
        <v>94</v>
      </c>
      <c r="X5423" s="33">
        <v>115</v>
      </c>
      <c r="Z5423" s="33" t="s">
        <v>42968</v>
      </c>
      <c r="AA5423" s="33">
        <v>2240</v>
      </c>
    </row>
    <row r="5424" spans="1:27" ht="12" customHeight="1" x14ac:dyDescent="0.15">
      <c r="A5424" s="33" t="s">
        <v>4178</v>
      </c>
      <c r="B5424" s="33">
        <v>59</v>
      </c>
      <c r="C5424" s="33" t="s">
        <v>14</v>
      </c>
      <c r="D5424" s="33" t="s">
        <v>31</v>
      </c>
      <c r="E5424" s="33" t="s">
        <v>4179</v>
      </c>
      <c r="F5424" s="67">
        <v>42037</v>
      </c>
      <c r="G5424" s="33" t="s">
        <v>4180</v>
      </c>
      <c r="H5424" s="33" t="s">
        <v>4181</v>
      </c>
      <c r="I5424" s="33" t="s">
        <v>376</v>
      </c>
      <c r="J5424" s="33" t="s">
        <v>4182</v>
      </c>
      <c r="K5424" s="33" t="s">
        <v>4183</v>
      </c>
      <c r="L5424" s="33" t="s">
        <v>4184</v>
      </c>
      <c r="M5424" s="33" t="s">
        <v>21</v>
      </c>
      <c r="N5424" s="33" t="s">
        <v>4185</v>
      </c>
      <c r="O5424" s="33" t="s">
        <v>1083</v>
      </c>
      <c r="P5424" s="33" t="s">
        <v>18576</v>
      </c>
      <c r="Q5424" s="40" t="s">
        <v>4186</v>
      </c>
      <c r="R5424" s="33" t="s">
        <v>904</v>
      </c>
      <c r="S5424" s="33" t="s">
        <v>12</v>
      </c>
      <c r="T5424" s="33" t="s">
        <v>29705</v>
      </c>
      <c r="U5424" s="33" t="s">
        <v>26570</v>
      </c>
      <c r="V5424" s="33" t="s">
        <v>26574</v>
      </c>
      <c r="W5424" s="33" t="s">
        <v>94</v>
      </c>
      <c r="X5424" s="33">
        <v>114</v>
      </c>
      <c r="Z5424" s="33" t="s">
        <v>42968</v>
      </c>
      <c r="AA5424" s="33">
        <v>2242</v>
      </c>
    </row>
    <row r="5425" spans="1:27" ht="12" customHeight="1" x14ac:dyDescent="0.15">
      <c r="A5425" s="33" t="s">
        <v>4187</v>
      </c>
      <c r="B5425" s="33">
        <v>17</v>
      </c>
      <c r="C5425" s="33" t="s">
        <v>14</v>
      </c>
      <c r="D5425" s="33" t="s">
        <v>31</v>
      </c>
      <c r="E5425" s="33" t="s">
        <v>4188</v>
      </c>
      <c r="F5425" s="67">
        <v>42037</v>
      </c>
      <c r="G5425" s="33" t="s">
        <v>4189</v>
      </c>
      <c r="H5425" s="33" t="s">
        <v>4190</v>
      </c>
      <c r="I5425" s="33" t="s">
        <v>51</v>
      </c>
      <c r="J5425" s="33" t="s">
        <v>4191</v>
      </c>
      <c r="K5425" s="33" t="s">
        <v>2597</v>
      </c>
      <c r="L5425" s="33" t="s">
        <v>4192</v>
      </c>
      <c r="M5425" s="33" t="s">
        <v>21</v>
      </c>
      <c r="N5425" s="33" t="s">
        <v>4193</v>
      </c>
      <c r="O5425" s="33" t="s">
        <v>507</v>
      </c>
      <c r="P5425" s="33" t="s">
        <v>30089</v>
      </c>
      <c r="Q5425" s="40" t="s">
        <v>4194</v>
      </c>
      <c r="R5425" s="33" t="s">
        <v>94</v>
      </c>
      <c r="S5425" s="33" t="s">
        <v>22</v>
      </c>
      <c r="T5425" s="33" t="s">
        <v>26781</v>
      </c>
      <c r="U5425" s="33" t="s">
        <v>26572</v>
      </c>
      <c r="V5425" s="33" t="s">
        <v>26573</v>
      </c>
      <c r="W5425" s="33" t="s">
        <v>94</v>
      </c>
      <c r="X5425" s="33">
        <v>528</v>
      </c>
      <c r="Z5425" s="33" t="s">
        <v>42968</v>
      </c>
      <c r="AA5425" s="33">
        <v>2241</v>
      </c>
    </row>
    <row r="5426" spans="1:27" ht="12" customHeight="1" x14ac:dyDescent="0.15">
      <c r="A5426" s="33" t="s">
        <v>4203</v>
      </c>
      <c r="B5426" s="33">
        <v>31</v>
      </c>
      <c r="C5426" s="33" t="s">
        <v>14</v>
      </c>
      <c r="D5426" s="33" t="s">
        <v>42</v>
      </c>
      <c r="F5426" s="67">
        <v>42035</v>
      </c>
      <c r="G5426" s="33" t="s">
        <v>4204</v>
      </c>
      <c r="H5426" s="33" t="s">
        <v>4205</v>
      </c>
      <c r="I5426" s="33" t="s">
        <v>67</v>
      </c>
      <c r="J5426" s="33" t="s">
        <v>4206</v>
      </c>
      <c r="K5426" s="33" t="s">
        <v>515</v>
      </c>
      <c r="L5426" s="33" t="s">
        <v>675</v>
      </c>
      <c r="M5426" s="33" t="s">
        <v>21</v>
      </c>
      <c r="N5426" s="33" t="s">
        <v>4207</v>
      </c>
      <c r="O5426" s="33" t="s">
        <v>950</v>
      </c>
      <c r="P5426" s="33" t="s">
        <v>30089</v>
      </c>
      <c r="Q5426" s="40" t="s">
        <v>4208</v>
      </c>
      <c r="R5426" s="33" t="s">
        <v>94</v>
      </c>
      <c r="S5426" s="33" t="s">
        <v>22</v>
      </c>
      <c r="T5426" s="33" t="s">
        <v>26781</v>
      </c>
      <c r="U5426" s="33" t="s">
        <v>26572</v>
      </c>
      <c r="V5426" s="33" t="s">
        <v>26573</v>
      </c>
      <c r="W5426" s="33" t="s">
        <v>94</v>
      </c>
      <c r="X5426" s="33">
        <v>338</v>
      </c>
      <c r="Z5426" s="33" t="s">
        <v>42967</v>
      </c>
      <c r="AA5426" s="33">
        <v>2238</v>
      </c>
    </row>
    <row r="5427" spans="1:27" ht="12" customHeight="1" x14ac:dyDescent="0.15">
      <c r="A5427" s="33" t="s">
        <v>4209</v>
      </c>
      <c r="B5427" s="33">
        <v>54</v>
      </c>
      <c r="C5427" s="33" t="s">
        <v>14</v>
      </c>
      <c r="D5427" s="33" t="s">
        <v>79</v>
      </c>
      <c r="E5427" s="33" t="s">
        <v>4210</v>
      </c>
      <c r="F5427" s="67">
        <v>42035</v>
      </c>
      <c r="G5427" s="33" t="s">
        <v>4211</v>
      </c>
      <c r="H5427" s="33" t="s">
        <v>4212</v>
      </c>
      <c r="I5427" s="33" t="s">
        <v>46</v>
      </c>
      <c r="J5427" s="33" t="s">
        <v>4213</v>
      </c>
      <c r="K5427" s="33" t="s">
        <v>1487</v>
      </c>
      <c r="L5427" s="33" t="s">
        <v>212</v>
      </c>
      <c r="M5427" s="33" t="s">
        <v>4966</v>
      </c>
      <c r="N5427" s="33" t="s">
        <v>4214</v>
      </c>
      <c r="O5427" s="33" t="s">
        <v>950</v>
      </c>
      <c r="P5427" s="33" t="s">
        <v>30089</v>
      </c>
      <c r="Q5427" s="40" t="s">
        <v>4215</v>
      </c>
      <c r="R5427" s="33" t="s">
        <v>512</v>
      </c>
      <c r="S5427" s="33" t="s">
        <v>22</v>
      </c>
      <c r="T5427" s="33" t="s">
        <v>26774</v>
      </c>
      <c r="U5427" s="33" t="s">
        <v>26570</v>
      </c>
      <c r="V5427" s="33" t="s">
        <v>26573</v>
      </c>
      <c r="W5427" s="33" t="s">
        <v>94</v>
      </c>
      <c r="X5427" s="33">
        <v>339</v>
      </c>
      <c r="Z5427" s="33" t="s">
        <v>42968</v>
      </c>
      <c r="AA5427" s="33">
        <v>2239</v>
      </c>
    </row>
    <row r="5428" spans="1:27" ht="12" customHeight="1" x14ac:dyDescent="0.15">
      <c r="A5428" s="33" t="s">
        <v>4216</v>
      </c>
      <c r="B5428" s="33">
        <v>48</v>
      </c>
      <c r="C5428" s="33" t="s">
        <v>14</v>
      </c>
      <c r="D5428" s="33" t="s">
        <v>31</v>
      </c>
      <c r="E5428" s="33" t="s">
        <v>4217</v>
      </c>
      <c r="F5428" s="67">
        <v>42034</v>
      </c>
      <c r="G5428" s="33" t="s">
        <v>4218</v>
      </c>
      <c r="H5428" s="33" t="s">
        <v>4219</v>
      </c>
      <c r="I5428" s="33" t="s">
        <v>798</v>
      </c>
      <c r="J5428" s="33" t="s">
        <v>4220</v>
      </c>
      <c r="K5428" s="33" t="s">
        <v>4221</v>
      </c>
      <c r="L5428" s="33" t="s">
        <v>4222</v>
      </c>
      <c r="M5428" s="33" t="s">
        <v>21</v>
      </c>
      <c r="N5428" s="33" t="s">
        <v>4223</v>
      </c>
      <c r="O5428" s="33" t="s">
        <v>950</v>
      </c>
      <c r="P5428" s="33" t="s">
        <v>30089</v>
      </c>
      <c r="Q5428" s="40" t="s">
        <v>4224</v>
      </c>
      <c r="R5428" s="33" t="s">
        <v>94</v>
      </c>
      <c r="S5428" s="33" t="s">
        <v>22</v>
      </c>
      <c r="T5428" s="33" t="s">
        <v>26781</v>
      </c>
      <c r="U5428" s="33" t="s">
        <v>26572</v>
      </c>
      <c r="V5428" s="33" t="s">
        <v>26574</v>
      </c>
      <c r="W5428" s="33" t="s">
        <v>94</v>
      </c>
      <c r="X5428" s="33">
        <v>113</v>
      </c>
      <c r="Z5428" s="33" t="s">
        <v>42968</v>
      </c>
      <c r="AA5428" s="33">
        <v>2237</v>
      </c>
    </row>
    <row r="5429" spans="1:27" ht="12" customHeight="1" x14ac:dyDescent="0.15">
      <c r="A5429" s="33" t="s">
        <v>4225</v>
      </c>
      <c r="B5429" s="33">
        <v>42</v>
      </c>
      <c r="C5429" s="33" t="s">
        <v>14</v>
      </c>
      <c r="D5429" s="33" t="s">
        <v>31</v>
      </c>
      <c r="E5429" s="33" t="s">
        <v>4226</v>
      </c>
      <c r="F5429" s="67">
        <v>42033</v>
      </c>
      <c r="G5429" s="33" t="s">
        <v>4227</v>
      </c>
      <c r="H5429" s="33" t="s">
        <v>4228</v>
      </c>
      <c r="I5429" s="33" t="s">
        <v>367</v>
      </c>
      <c r="J5429" s="33" t="s">
        <v>4229</v>
      </c>
      <c r="K5429" s="33" t="s">
        <v>523</v>
      </c>
      <c r="L5429" s="33" t="s">
        <v>4230</v>
      </c>
      <c r="M5429" s="33" t="s">
        <v>21</v>
      </c>
      <c r="N5429" s="33" t="s">
        <v>4231</v>
      </c>
      <c r="O5429" s="33" t="s">
        <v>507</v>
      </c>
      <c r="P5429" s="33" t="s">
        <v>30089</v>
      </c>
      <c r="Q5429" s="40" t="str">
        <f>HYPERLINK("http://newsok.com/new-details-released-in-stillwater-homicide-officer-shooting/article/5389230","http://newsok.com/new-details-released-in-stillwater-homicide-officer-shooting/article/5389230")</f>
        <v>http://newsok.com/new-details-released-in-stillwater-homicide-officer-shooting/article/5389230</v>
      </c>
      <c r="R5429" s="33" t="s">
        <v>94</v>
      </c>
      <c r="S5429" s="33" t="s">
        <v>12</v>
      </c>
      <c r="T5429" s="33" t="s">
        <v>29705</v>
      </c>
      <c r="U5429" s="33" t="s">
        <v>26570</v>
      </c>
      <c r="V5429" s="33" t="s">
        <v>26574</v>
      </c>
      <c r="W5429" s="33" t="s">
        <v>94</v>
      </c>
      <c r="X5429" s="33">
        <v>342</v>
      </c>
      <c r="Z5429" s="33" t="s">
        <v>42968</v>
      </c>
      <c r="AA5429" s="33">
        <v>2236</v>
      </c>
    </row>
    <row r="5430" spans="1:27" ht="12" customHeight="1" x14ac:dyDescent="0.15">
      <c r="A5430" s="33" t="s">
        <v>4089</v>
      </c>
      <c r="B5430" s="33">
        <v>31</v>
      </c>
      <c r="C5430" s="33" t="s">
        <v>14</v>
      </c>
      <c r="D5430" s="33" t="s">
        <v>31</v>
      </c>
      <c r="E5430" s="33" t="s">
        <v>4090</v>
      </c>
      <c r="F5430" s="67">
        <v>42033</v>
      </c>
      <c r="G5430" s="33" t="s">
        <v>4091</v>
      </c>
      <c r="H5430" s="33" t="s">
        <v>4092</v>
      </c>
      <c r="I5430" s="33" t="s">
        <v>51</v>
      </c>
      <c r="J5430" s="33">
        <v>49548</v>
      </c>
      <c r="K5430" s="33" t="s">
        <v>2350</v>
      </c>
      <c r="L5430" s="33" t="s">
        <v>4093</v>
      </c>
      <c r="M5430" s="33" t="s">
        <v>21</v>
      </c>
      <c r="N5430" s="33" t="s">
        <v>4094</v>
      </c>
      <c r="P5430" s="33" t="s">
        <v>30089</v>
      </c>
      <c r="Q5430" s="40" t="str">
        <f>HYPERLINK("http://woodtv.com/2015/02/07/suspect-in-officer-shooting-to-be-taken-off-life-support/","http://woodtv.com/2015/02/07/suspect-in-officer-shooting-to-be-taken-off-life-support/")</f>
        <v>http://woodtv.com/2015/02/07/suspect-in-officer-shooting-to-be-taken-off-life-support/</v>
      </c>
      <c r="R5430" s="33" t="s">
        <v>512</v>
      </c>
      <c r="S5430" s="33" t="s">
        <v>22</v>
      </c>
      <c r="T5430" s="33" t="s">
        <v>26781</v>
      </c>
      <c r="U5430" s="33" t="s">
        <v>26572</v>
      </c>
      <c r="V5430" s="33" t="s">
        <v>26573</v>
      </c>
      <c r="W5430" s="33" t="s">
        <v>94</v>
      </c>
      <c r="X5430" s="33">
        <v>112</v>
      </c>
      <c r="Z5430" s="33" t="s">
        <v>42968</v>
      </c>
      <c r="AA5430" s="33">
        <v>2235</v>
      </c>
    </row>
    <row r="5431" spans="1:27" ht="12" customHeight="1" x14ac:dyDescent="0.15">
      <c r="A5431" s="33" t="s">
        <v>19142</v>
      </c>
      <c r="B5431" s="33">
        <v>26</v>
      </c>
      <c r="C5431" s="33" t="s">
        <v>14</v>
      </c>
      <c r="D5431" s="33" t="s">
        <v>31</v>
      </c>
      <c r="F5431" s="67">
        <v>42032</v>
      </c>
      <c r="G5431" s="33" t="s">
        <v>4237</v>
      </c>
      <c r="H5431" s="33" t="s">
        <v>4238</v>
      </c>
      <c r="I5431" s="33" t="s">
        <v>67</v>
      </c>
      <c r="J5431" s="33">
        <v>77471</v>
      </c>
      <c r="K5431" s="33" t="s">
        <v>1296</v>
      </c>
      <c r="L5431" s="33" t="s">
        <v>4239</v>
      </c>
      <c r="M5431" s="33" t="s">
        <v>21</v>
      </c>
      <c r="N5431" s="33" t="s">
        <v>19143</v>
      </c>
      <c r="O5431" s="33" t="s">
        <v>373</v>
      </c>
      <c r="P5431" s="33" t="s">
        <v>30089</v>
      </c>
      <c r="Q5431" s="40" t="s">
        <v>4240</v>
      </c>
      <c r="R5431" s="33" t="s">
        <v>23</v>
      </c>
      <c r="S5431" s="33" t="s">
        <v>22</v>
      </c>
      <c r="T5431" s="33" t="s">
        <v>26781</v>
      </c>
      <c r="U5431" s="33" t="s">
        <v>26572</v>
      </c>
      <c r="V5431" s="33" t="s">
        <v>26573</v>
      </c>
      <c r="W5431" s="33" t="s">
        <v>94</v>
      </c>
      <c r="X5431" s="33">
        <v>347</v>
      </c>
      <c r="Z5431" s="33" t="s">
        <v>42968</v>
      </c>
      <c r="AA5431" s="33">
        <v>2233</v>
      </c>
    </row>
    <row r="5432" spans="1:27" ht="12" customHeight="1" x14ac:dyDescent="0.15">
      <c r="A5432" s="33" t="s">
        <v>4257</v>
      </c>
      <c r="B5432" s="33">
        <v>35</v>
      </c>
      <c r="C5432" s="33" t="s">
        <v>14</v>
      </c>
      <c r="D5432" s="33" t="s">
        <v>885</v>
      </c>
      <c r="F5432" s="67">
        <v>42032</v>
      </c>
      <c r="G5432" s="33" t="s">
        <v>4258</v>
      </c>
      <c r="H5432" s="33" t="s">
        <v>1645</v>
      </c>
      <c r="I5432" s="33" t="s">
        <v>39</v>
      </c>
      <c r="J5432" s="33" t="s">
        <v>4259</v>
      </c>
      <c r="K5432" s="33" t="s">
        <v>1647</v>
      </c>
      <c r="L5432" s="33" t="s">
        <v>1648</v>
      </c>
      <c r="M5432" s="33" t="s">
        <v>4966</v>
      </c>
      <c r="N5432" s="33" t="s">
        <v>4260</v>
      </c>
      <c r="O5432" s="33" t="s">
        <v>950</v>
      </c>
      <c r="P5432" s="33" t="s">
        <v>30089</v>
      </c>
      <c r="Q5432" s="40" t="s">
        <v>4261</v>
      </c>
      <c r="R5432" s="33" t="s">
        <v>512</v>
      </c>
      <c r="S5432" s="33" t="s">
        <v>22</v>
      </c>
      <c r="T5432" s="33" t="s">
        <v>26594</v>
      </c>
      <c r="U5432" s="33" t="s">
        <v>26572</v>
      </c>
      <c r="V5432" s="33" t="s">
        <v>26573</v>
      </c>
      <c r="W5432" s="33" t="s">
        <v>94</v>
      </c>
      <c r="X5432" s="33">
        <v>346</v>
      </c>
      <c r="Z5432" s="33" t="s">
        <v>42968</v>
      </c>
      <c r="AA5432" s="33">
        <v>2234</v>
      </c>
    </row>
    <row r="5433" spans="1:27" ht="12" customHeight="1" x14ac:dyDescent="0.15">
      <c r="A5433" s="33" t="s">
        <v>4241</v>
      </c>
      <c r="B5433" s="33">
        <v>45</v>
      </c>
      <c r="C5433" s="33" t="s">
        <v>14</v>
      </c>
      <c r="D5433" s="33" t="s">
        <v>31</v>
      </c>
      <c r="F5433" s="67">
        <v>42032</v>
      </c>
      <c r="H5433" s="33" t="s">
        <v>4242</v>
      </c>
      <c r="I5433" s="33" t="s">
        <v>67</v>
      </c>
      <c r="J5433" s="33">
        <v>76270</v>
      </c>
      <c r="K5433" s="33" t="s">
        <v>4051</v>
      </c>
      <c r="L5433" s="33" t="s">
        <v>262</v>
      </c>
      <c r="M5433" s="33" t="s">
        <v>21</v>
      </c>
      <c r="N5433" s="33" t="s">
        <v>4243</v>
      </c>
      <c r="P5433" s="33" t="s">
        <v>30089</v>
      </c>
      <c r="Q5433" s="40" t="s">
        <v>4244</v>
      </c>
      <c r="R5433" s="33" t="s">
        <v>23</v>
      </c>
      <c r="S5433" s="33" t="s">
        <v>22</v>
      </c>
      <c r="T5433" s="33" t="s">
        <v>26781</v>
      </c>
      <c r="U5433" s="33" t="s">
        <v>26572</v>
      </c>
      <c r="V5433" s="33" t="s">
        <v>26573</v>
      </c>
      <c r="W5433" s="33" t="s">
        <v>94</v>
      </c>
      <c r="X5433" s="33">
        <v>345</v>
      </c>
      <c r="Z5433" s="33" t="s">
        <v>42967</v>
      </c>
      <c r="AA5433" s="33">
        <v>2232</v>
      </c>
    </row>
    <row r="5434" spans="1:27" ht="12" customHeight="1" x14ac:dyDescent="0.15">
      <c r="A5434" s="33" t="s">
        <v>4288</v>
      </c>
      <c r="B5434" s="33">
        <v>29</v>
      </c>
      <c r="C5434" s="33" t="s">
        <v>14</v>
      </c>
      <c r="D5434" s="33" t="s">
        <v>31</v>
      </c>
      <c r="F5434" s="67">
        <v>42031</v>
      </c>
      <c r="G5434" s="33" t="s">
        <v>4289</v>
      </c>
      <c r="H5434" s="33" t="s">
        <v>4290</v>
      </c>
      <c r="I5434" s="33" t="s">
        <v>112</v>
      </c>
      <c r="J5434" s="33" t="s">
        <v>4291</v>
      </c>
      <c r="K5434" s="33" t="s">
        <v>4292</v>
      </c>
      <c r="L5434" s="33" t="s">
        <v>36931</v>
      </c>
      <c r="M5434" s="33" t="s">
        <v>21</v>
      </c>
      <c r="N5434" s="33" t="s">
        <v>4293</v>
      </c>
      <c r="O5434" s="33" t="s">
        <v>950</v>
      </c>
      <c r="P5434" s="33" t="s">
        <v>30089</v>
      </c>
      <c r="Q5434" s="40" t="s">
        <v>4294</v>
      </c>
      <c r="R5434" s="33" t="s">
        <v>94</v>
      </c>
      <c r="S5434" s="33" t="s">
        <v>22</v>
      </c>
      <c r="T5434" s="33" t="s">
        <v>26781</v>
      </c>
      <c r="U5434" s="33" t="s">
        <v>26572</v>
      </c>
      <c r="V5434" s="33" t="s">
        <v>26573</v>
      </c>
      <c r="W5434" s="33" t="s">
        <v>94</v>
      </c>
      <c r="X5434" s="33">
        <v>349</v>
      </c>
      <c r="Z5434" s="33" t="s">
        <v>42967</v>
      </c>
      <c r="AA5434" s="33">
        <v>2228</v>
      </c>
    </row>
    <row r="5435" spans="1:27" ht="12" customHeight="1" x14ac:dyDescent="0.15">
      <c r="A5435" s="33" t="s">
        <v>4251</v>
      </c>
      <c r="B5435" s="33">
        <v>26</v>
      </c>
      <c r="C5435" s="33" t="s">
        <v>14</v>
      </c>
      <c r="D5435" s="33" t="s">
        <v>42</v>
      </c>
      <c r="E5435" s="33" t="s">
        <v>4252</v>
      </c>
      <c r="F5435" s="67">
        <v>42031</v>
      </c>
      <c r="G5435" s="33" t="s">
        <v>4253</v>
      </c>
      <c r="H5435" s="33" t="s">
        <v>584</v>
      </c>
      <c r="I5435" s="33" t="s">
        <v>112</v>
      </c>
      <c r="J5435" s="33" t="s">
        <v>4254</v>
      </c>
      <c r="K5435" s="33" t="s">
        <v>585</v>
      </c>
      <c r="L5435" s="33" t="s">
        <v>586</v>
      </c>
      <c r="M5435" s="33" t="s">
        <v>21</v>
      </c>
      <c r="N5435" s="33" t="s">
        <v>4255</v>
      </c>
      <c r="O5435" s="33" t="s">
        <v>372</v>
      </c>
      <c r="P5435" s="33" t="s">
        <v>30089</v>
      </c>
      <c r="Q5435" s="40" t="s">
        <v>4256</v>
      </c>
      <c r="R5435" s="33" t="s">
        <v>94</v>
      </c>
      <c r="S5435" s="33" t="s">
        <v>351</v>
      </c>
      <c r="T5435" s="33" t="s">
        <v>26867</v>
      </c>
      <c r="U5435" s="33" t="s">
        <v>26570</v>
      </c>
      <c r="V5435" s="33" t="s">
        <v>26573</v>
      </c>
      <c r="W5435" s="33" t="s">
        <v>94</v>
      </c>
      <c r="X5435" s="33">
        <v>348</v>
      </c>
      <c r="Z5435" s="33" t="s">
        <v>42968</v>
      </c>
      <c r="AA5435" s="33">
        <v>2231</v>
      </c>
    </row>
    <row r="5436" spans="1:27" ht="12" customHeight="1" x14ac:dyDescent="0.15">
      <c r="A5436" s="33" t="s">
        <v>4245</v>
      </c>
      <c r="B5436" s="33">
        <v>33</v>
      </c>
      <c r="C5436" s="33" t="s">
        <v>14</v>
      </c>
      <c r="D5436" s="33" t="s">
        <v>79</v>
      </c>
      <c r="E5436" s="33" t="s">
        <v>4246</v>
      </c>
      <c r="F5436" s="67">
        <v>42031</v>
      </c>
      <c r="G5436" s="33" t="s">
        <v>4247</v>
      </c>
      <c r="H5436" s="33" t="s">
        <v>1202</v>
      </c>
      <c r="I5436" s="33" t="s">
        <v>63</v>
      </c>
      <c r="J5436" s="33" t="s">
        <v>4248</v>
      </c>
      <c r="K5436" s="33" t="s">
        <v>1203</v>
      </c>
      <c r="L5436" s="33" t="s">
        <v>11441</v>
      </c>
      <c r="M5436" s="33" t="s">
        <v>21</v>
      </c>
      <c r="N5436" s="33" t="s">
        <v>4249</v>
      </c>
      <c r="O5436" s="33" t="s">
        <v>372</v>
      </c>
      <c r="P5436" s="33" t="s">
        <v>30089</v>
      </c>
      <c r="Q5436" s="40" t="s">
        <v>4250</v>
      </c>
      <c r="R5436" s="33" t="s">
        <v>94</v>
      </c>
      <c r="S5436" s="33" t="s">
        <v>22</v>
      </c>
      <c r="T5436" s="33" t="s">
        <v>26781</v>
      </c>
      <c r="U5436" s="33" t="s">
        <v>26572</v>
      </c>
      <c r="V5436" s="33" t="s">
        <v>26573</v>
      </c>
      <c r="W5436" s="33" t="s">
        <v>94</v>
      </c>
      <c r="X5436" s="33">
        <v>350</v>
      </c>
      <c r="Z5436" s="33" t="s">
        <v>42966</v>
      </c>
      <c r="AA5436" s="33">
        <v>2229</v>
      </c>
    </row>
    <row r="5437" spans="1:27" ht="12" customHeight="1" x14ac:dyDescent="0.15">
      <c r="A5437" s="33" t="s">
        <v>4262</v>
      </c>
      <c r="B5437" s="33">
        <v>39</v>
      </c>
      <c r="C5437" s="33" t="s">
        <v>103</v>
      </c>
      <c r="D5437" s="33" t="s">
        <v>31</v>
      </c>
      <c r="E5437" s="33" t="s">
        <v>4263</v>
      </c>
      <c r="F5437" s="67">
        <v>42031</v>
      </c>
      <c r="G5437" s="33" t="s">
        <v>4264</v>
      </c>
      <c r="H5437" s="33" t="s">
        <v>1522</v>
      </c>
      <c r="I5437" s="33" t="s">
        <v>432</v>
      </c>
      <c r="J5437" s="33" t="s">
        <v>4265</v>
      </c>
      <c r="K5437" s="33" t="s">
        <v>882</v>
      </c>
      <c r="L5437" s="33" t="s">
        <v>2101</v>
      </c>
      <c r="M5437" s="33" t="s">
        <v>21</v>
      </c>
      <c r="N5437" s="33" t="s">
        <v>4266</v>
      </c>
      <c r="O5437" s="33" t="s">
        <v>950</v>
      </c>
      <c r="P5437" s="33" t="s">
        <v>30089</v>
      </c>
      <c r="Q5437" s="40" t="s">
        <v>4267</v>
      </c>
      <c r="R5437" s="33" t="s">
        <v>512</v>
      </c>
      <c r="S5437" s="33" t="s">
        <v>22</v>
      </c>
      <c r="T5437" s="33" t="s">
        <v>26774</v>
      </c>
      <c r="U5437" s="33" t="s">
        <v>26572</v>
      </c>
      <c r="V5437" s="33" t="s">
        <v>26573</v>
      </c>
      <c r="W5437" s="33" t="s">
        <v>94</v>
      </c>
      <c r="X5437" s="33">
        <v>111</v>
      </c>
      <c r="Z5437" s="33" t="s">
        <v>42966</v>
      </c>
      <c r="AA5437" s="33">
        <v>2230</v>
      </c>
    </row>
    <row r="5438" spans="1:27" ht="12" customHeight="1" x14ac:dyDescent="0.15">
      <c r="A5438" s="33" t="s">
        <v>4275</v>
      </c>
      <c r="B5438" s="33">
        <v>34</v>
      </c>
      <c r="C5438" s="33" t="s">
        <v>14</v>
      </c>
      <c r="D5438" s="33" t="s">
        <v>42</v>
      </c>
      <c r="F5438" s="67">
        <v>42030</v>
      </c>
      <c r="G5438" s="33" t="s">
        <v>4276</v>
      </c>
      <c r="H5438" s="33" t="s">
        <v>4277</v>
      </c>
      <c r="I5438" s="33" t="s">
        <v>39</v>
      </c>
      <c r="J5438" s="33" t="s">
        <v>4278</v>
      </c>
      <c r="K5438" s="33" t="s">
        <v>632</v>
      </c>
      <c r="L5438" s="33" t="s">
        <v>693</v>
      </c>
      <c r="M5438" s="33" t="s">
        <v>21</v>
      </c>
      <c r="N5438" s="33" t="s">
        <v>4279</v>
      </c>
      <c r="O5438" s="33" t="s">
        <v>507</v>
      </c>
      <c r="P5438" s="33" t="s">
        <v>30089</v>
      </c>
      <c r="Q5438" s="40" t="s">
        <v>4280</v>
      </c>
      <c r="R5438" s="33" t="s">
        <v>512</v>
      </c>
      <c r="S5438" s="33" t="s">
        <v>22</v>
      </c>
      <c r="T5438" s="33" t="s">
        <v>26774</v>
      </c>
      <c r="U5438" s="33" t="s">
        <v>26570</v>
      </c>
      <c r="V5438" s="33" t="s">
        <v>26573</v>
      </c>
      <c r="W5438" s="33" t="s">
        <v>94</v>
      </c>
      <c r="X5438" s="33">
        <v>353</v>
      </c>
      <c r="Z5438" s="33" t="s">
        <v>42968</v>
      </c>
      <c r="AA5438" s="33">
        <v>2225</v>
      </c>
    </row>
    <row r="5439" spans="1:27" ht="12" customHeight="1" x14ac:dyDescent="0.15">
      <c r="A5439" s="33" t="s">
        <v>4270</v>
      </c>
      <c r="B5439" s="33">
        <v>17</v>
      </c>
      <c r="C5439" s="33" t="s">
        <v>103</v>
      </c>
      <c r="D5439" s="33" t="s">
        <v>42</v>
      </c>
      <c r="E5439" s="33" t="s">
        <v>4271</v>
      </c>
      <c r="F5439" s="67">
        <v>42030</v>
      </c>
      <c r="G5439" s="33" t="s">
        <v>4272</v>
      </c>
      <c r="H5439" s="33" t="s">
        <v>1212</v>
      </c>
      <c r="I5439" s="33" t="s">
        <v>192</v>
      </c>
      <c r="J5439" s="33">
        <v>80207</v>
      </c>
      <c r="K5439" s="33" t="s">
        <v>1212</v>
      </c>
      <c r="L5439" s="33" t="s">
        <v>1213</v>
      </c>
      <c r="M5439" s="33" t="s">
        <v>21</v>
      </c>
      <c r="N5439" s="33" t="s">
        <v>4273</v>
      </c>
      <c r="O5439" s="33" t="s">
        <v>372</v>
      </c>
      <c r="P5439" s="33" t="s">
        <v>30089</v>
      </c>
      <c r="Q5439" s="40" t="s">
        <v>4274</v>
      </c>
      <c r="R5439" s="33" t="s">
        <v>23</v>
      </c>
      <c r="S5439" s="33" t="s">
        <v>351</v>
      </c>
      <c r="T5439" s="33" t="s">
        <v>26867</v>
      </c>
      <c r="U5439" s="33" t="s">
        <v>26570</v>
      </c>
      <c r="V5439" s="33" t="s">
        <v>26573</v>
      </c>
      <c r="W5439" s="33" t="s">
        <v>94</v>
      </c>
      <c r="X5439" s="33">
        <v>20</v>
      </c>
      <c r="Z5439" s="33" t="s">
        <v>42968</v>
      </c>
      <c r="AA5439" s="33">
        <v>2227</v>
      </c>
    </row>
    <row r="5440" spans="1:27" ht="12" customHeight="1" x14ac:dyDescent="0.15">
      <c r="A5440" s="33" t="s">
        <v>4281</v>
      </c>
      <c r="B5440" s="33">
        <v>24</v>
      </c>
      <c r="C5440" s="33" t="s">
        <v>14</v>
      </c>
      <c r="D5440" s="33" t="s">
        <v>42</v>
      </c>
      <c r="E5440" s="33" t="s">
        <v>4282</v>
      </c>
      <c r="F5440" s="67">
        <v>42030</v>
      </c>
      <c r="G5440" s="33" t="s">
        <v>4283</v>
      </c>
      <c r="H5440" s="33" t="s">
        <v>4284</v>
      </c>
      <c r="I5440" s="33" t="s">
        <v>67</v>
      </c>
      <c r="J5440" s="33" t="s">
        <v>4285</v>
      </c>
      <c r="K5440" s="33" t="s">
        <v>1191</v>
      </c>
      <c r="L5440" s="33" t="s">
        <v>36778</v>
      </c>
      <c r="M5440" s="33" t="s">
        <v>21</v>
      </c>
      <c r="N5440" s="33" t="s">
        <v>4286</v>
      </c>
      <c r="O5440" s="33" t="s">
        <v>950</v>
      </c>
      <c r="P5440" s="33" t="s">
        <v>30089</v>
      </c>
      <c r="Q5440" s="40" t="s">
        <v>4287</v>
      </c>
      <c r="R5440" s="33" t="s">
        <v>94</v>
      </c>
      <c r="S5440" s="33" t="s">
        <v>12</v>
      </c>
      <c r="T5440" s="33" t="s">
        <v>29705</v>
      </c>
      <c r="U5440" s="33" t="s">
        <v>26570</v>
      </c>
      <c r="V5440" s="33" t="s">
        <v>26571</v>
      </c>
      <c r="W5440" s="33" t="s">
        <v>94</v>
      </c>
      <c r="X5440" s="33">
        <v>352</v>
      </c>
      <c r="Z5440" s="33" t="s">
        <v>42967</v>
      </c>
      <c r="AA5440" s="33">
        <v>2226</v>
      </c>
    </row>
    <row r="5441" spans="1:27" ht="12" customHeight="1" x14ac:dyDescent="0.15">
      <c r="A5441" s="33" t="s">
        <v>4296</v>
      </c>
      <c r="B5441" s="33">
        <v>68</v>
      </c>
      <c r="C5441" s="33" t="s">
        <v>14</v>
      </c>
      <c r="D5441" s="33" t="s">
        <v>31</v>
      </c>
      <c r="E5441" s="33" t="s">
        <v>4297</v>
      </c>
      <c r="F5441" s="67">
        <v>42030</v>
      </c>
      <c r="G5441" s="33" t="s">
        <v>4298</v>
      </c>
      <c r="H5441" s="33" t="s">
        <v>4299</v>
      </c>
      <c r="I5441" s="33" t="s">
        <v>122</v>
      </c>
      <c r="J5441" s="33" t="s">
        <v>4300</v>
      </c>
      <c r="K5441" s="33" t="s">
        <v>1009</v>
      </c>
      <c r="L5441" s="33" t="s">
        <v>4301</v>
      </c>
      <c r="M5441" s="33" t="s">
        <v>21</v>
      </c>
      <c r="N5441" s="33" t="s">
        <v>4302</v>
      </c>
      <c r="O5441" s="33" t="s">
        <v>507</v>
      </c>
      <c r="P5441" s="33" t="s">
        <v>30089</v>
      </c>
      <c r="Q5441" s="40" t="s">
        <v>4303</v>
      </c>
      <c r="R5441" s="33" t="s">
        <v>512</v>
      </c>
      <c r="S5441" s="33" t="s">
        <v>22</v>
      </c>
      <c r="T5441" s="33" t="s">
        <v>26781</v>
      </c>
      <c r="U5441" s="33" t="s">
        <v>26572</v>
      </c>
      <c r="V5441" s="33" t="s">
        <v>26573</v>
      </c>
      <c r="W5441" s="33" t="s">
        <v>94</v>
      </c>
      <c r="X5441" s="33">
        <v>324</v>
      </c>
      <c r="Z5441" s="33" t="s">
        <v>42968</v>
      </c>
      <c r="AA5441" s="33">
        <v>2224</v>
      </c>
    </row>
    <row r="5442" spans="1:27" ht="12" customHeight="1" x14ac:dyDescent="0.15">
      <c r="A5442" s="33" t="s">
        <v>4304</v>
      </c>
      <c r="B5442" s="33">
        <v>26</v>
      </c>
      <c r="C5442" s="33" t="s">
        <v>14</v>
      </c>
      <c r="D5442" s="33" t="s">
        <v>42</v>
      </c>
      <c r="E5442" s="33" t="s">
        <v>4305</v>
      </c>
      <c r="F5442" s="67">
        <v>42029</v>
      </c>
      <c r="G5442" s="33" t="s">
        <v>4306</v>
      </c>
      <c r="H5442" s="33" t="s">
        <v>4307</v>
      </c>
      <c r="I5442" s="33" t="s">
        <v>192</v>
      </c>
      <c r="J5442" s="33" t="s">
        <v>4308</v>
      </c>
      <c r="K5442" s="33" t="s">
        <v>4307</v>
      </c>
      <c r="L5442" s="33" t="s">
        <v>4309</v>
      </c>
      <c r="M5442" s="33" t="s">
        <v>21</v>
      </c>
      <c r="N5442" s="33" t="s">
        <v>4310</v>
      </c>
      <c r="O5442" s="33" t="s">
        <v>4311</v>
      </c>
      <c r="P5442" s="33" t="s">
        <v>30089</v>
      </c>
      <c r="Q5442" s="40" t="s">
        <v>4312</v>
      </c>
      <c r="R5442" s="33" t="s">
        <v>94</v>
      </c>
      <c r="S5442" s="33" t="s">
        <v>22</v>
      </c>
      <c r="T5442" s="33" t="s">
        <v>26781</v>
      </c>
      <c r="U5442" s="33" t="s">
        <v>26572</v>
      </c>
      <c r="V5442" s="33" t="s">
        <v>26571</v>
      </c>
      <c r="W5442" s="33" t="s">
        <v>94</v>
      </c>
      <c r="X5442" s="33">
        <v>108</v>
      </c>
      <c r="Z5442" s="33" t="s">
        <v>42968</v>
      </c>
      <c r="AA5442" s="33">
        <v>2222</v>
      </c>
    </row>
    <row r="5443" spans="1:27" ht="12" customHeight="1" x14ac:dyDescent="0.15">
      <c r="A5443" s="33" t="s">
        <v>4313</v>
      </c>
      <c r="B5443" s="33">
        <v>59</v>
      </c>
      <c r="C5443" s="33" t="s">
        <v>14</v>
      </c>
      <c r="D5443" s="33" t="s">
        <v>24</v>
      </c>
      <c r="F5443" s="67">
        <v>42029</v>
      </c>
      <c r="G5443" s="33" t="s">
        <v>4314</v>
      </c>
      <c r="H5443" s="33" t="s">
        <v>4315</v>
      </c>
      <c r="I5443" s="33" t="s">
        <v>75</v>
      </c>
      <c r="J5443" s="33" t="s">
        <v>4316</v>
      </c>
      <c r="K5443" s="33" t="s">
        <v>1406</v>
      </c>
      <c r="L5443" s="33" t="s">
        <v>4317</v>
      </c>
      <c r="M5443" s="33" t="s">
        <v>21</v>
      </c>
      <c r="N5443" s="33" t="s">
        <v>4318</v>
      </c>
      <c r="O5443" s="33" t="s">
        <v>950</v>
      </c>
      <c r="P5443" s="33" t="s">
        <v>30089</v>
      </c>
      <c r="Q5443" s="40" t="s">
        <v>4319</v>
      </c>
      <c r="R5443" s="33" t="s">
        <v>94</v>
      </c>
      <c r="S5443" s="33" t="s">
        <v>22</v>
      </c>
      <c r="T5443" s="33" t="s">
        <v>26781</v>
      </c>
      <c r="U5443" s="33" t="s">
        <v>26572</v>
      </c>
      <c r="V5443" s="33" t="s">
        <v>26573</v>
      </c>
      <c r="W5443" s="33" t="s">
        <v>94</v>
      </c>
      <c r="X5443" s="33">
        <v>110</v>
      </c>
      <c r="Z5443" s="33" t="s">
        <v>42968</v>
      </c>
      <c r="AA5443" s="33">
        <v>2223</v>
      </c>
    </row>
    <row r="5444" spans="1:27" ht="12" customHeight="1" x14ac:dyDescent="0.15">
      <c r="A5444" s="33" t="s">
        <v>4327</v>
      </c>
      <c r="B5444" s="33">
        <v>45</v>
      </c>
      <c r="C5444" s="33" t="s">
        <v>14</v>
      </c>
      <c r="D5444" s="33" t="s">
        <v>31</v>
      </c>
      <c r="F5444" s="67">
        <v>42028</v>
      </c>
      <c r="G5444" s="33" t="s">
        <v>4328</v>
      </c>
      <c r="H5444" s="33" t="s">
        <v>4329</v>
      </c>
      <c r="I5444" s="33" t="s">
        <v>735</v>
      </c>
      <c r="J5444" s="33" t="s">
        <v>4330</v>
      </c>
      <c r="K5444" s="33" t="s">
        <v>2014</v>
      </c>
      <c r="L5444" s="33" t="s">
        <v>4331</v>
      </c>
      <c r="M5444" s="33" t="s">
        <v>21</v>
      </c>
      <c r="N5444" s="33" t="s">
        <v>4332</v>
      </c>
      <c r="O5444" s="33" t="s">
        <v>950</v>
      </c>
      <c r="P5444" s="33" t="s">
        <v>30089</v>
      </c>
      <c r="Q5444" s="40" t="s">
        <v>4333</v>
      </c>
      <c r="R5444" s="33" t="s">
        <v>94</v>
      </c>
      <c r="S5444" s="33" t="s">
        <v>22</v>
      </c>
      <c r="T5444" s="33" t="s">
        <v>26781</v>
      </c>
      <c r="U5444" s="33" t="s">
        <v>26572</v>
      </c>
      <c r="V5444" s="33" t="s">
        <v>26573</v>
      </c>
      <c r="W5444" s="33" t="s">
        <v>94</v>
      </c>
      <c r="X5444" s="33">
        <v>105</v>
      </c>
      <c r="Z5444" s="33" t="s">
        <v>42968</v>
      </c>
      <c r="AA5444" s="33">
        <v>2219</v>
      </c>
    </row>
    <row r="5445" spans="1:27" ht="12" customHeight="1" x14ac:dyDescent="0.15">
      <c r="A5445" s="33" t="s">
        <v>4232</v>
      </c>
      <c r="B5445" s="33">
        <v>40</v>
      </c>
      <c r="C5445" s="33" t="s">
        <v>14</v>
      </c>
      <c r="D5445" s="33" t="s">
        <v>31</v>
      </c>
      <c r="E5445" s="33" t="s">
        <v>4233</v>
      </c>
      <c r="F5445" s="67">
        <v>42028</v>
      </c>
      <c r="G5445" s="33" t="s">
        <v>4234</v>
      </c>
      <c r="H5445" s="33" t="s">
        <v>870</v>
      </c>
      <c r="I5445" s="33" t="s">
        <v>67</v>
      </c>
      <c r="J5445" s="33" t="s">
        <v>4235</v>
      </c>
      <c r="K5445" s="33" t="s">
        <v>68</v>
      </c>
      <c r="L5445" s="33" t="s">
        <v>871</v>
      </c>
      <c r="M5445" s="33" t="s">
        <v>21</v>
      </c>
      <c r="N5445" s="33" t="s">
        <v>36779</v>
      </c>
      <c r="O5445" s="33" t="s">
        <v>950</v>
      </c>
      <c r="P5445" s="33" t="s">
        <v>30089</v>
      </c>
      <c r="Q5445" s="40" t="s">
        <v>4236</v>
      </c>
      <c r="R5445" s="33" t="s">
        <v>512</v>
      </c>
      <c r="S5445" s="33" t="s">
        <v>22</v>
      </c>
      <c r="T5445" s="33" t="s">
        <v>26781</v>
      </c>
      <c r="U5445" s="33" t="s">
        <v>26572</v>
      </c>
      <c r="V5445" s="33" t="s">
        <v>26573</v>
      </c>
      <c r="W5445" s="33" t="s">
        <v>94</v>
      </c>
      <c r="X5445" s="33">
        <v>341</v>
      </c>
      <c r="Z5445" s="33" t="s">
        <v>42968</v>
      </c>
      <c r="AA5445" s="33">
        <v>2220</v>
      </c>
    </row>
    <row r="5446" spans="1:27" ht="12" customHeight="1" x14ac:dyDescent="0.15">
      <c r="A5446" s="33" t="s">
        <v>4320</v>
      </c>
      <c r="B5446" s="33">
        <v>26</v>
      </c>
      <c r="C5446" s="33" t="s">
        <v>14</v>
      </c>
      <c r="D5446" s="33" t="s">
        <v>79</v>
      </c>
      <c r="E5446" s="33" t="s">
        <v>4321</v>
      </c>
      <c r="F5446" s="67">
        <v>42028</v>
      </c>
      <c r="G5446" s="33" t="s">
        <v>4322</v>
      </c>
      <c r="H5446" s="33" t="s">
        <v>1487</v>
      </c>
      <c r="I5446" s="33" t="s">
        <v>46</v>
      </c>
      <c r="J5446" s="33" t="s">
        <v>4323</v>
      </c>
      <c r="K5446" s="33" t="s">
        <v>4324</v>
      </c>
      <c r="L5446" s="33" t="s">
        <v>2556</v>
      </c>
      <c r="M5446" s="33" t="s">
        <v>21</v>
      </c>
      <c r="N5446" s="33" t="s">
        <v>4325</v>
      </c>
      <c r="O5446" s="33" t="s">
        <v>950</v>
      </c>
      <c r="P5446" s="33" t="s">
        <v>30089</v>
      </c>
      <c r="Q5446" s="40" t="s">
        <v>4326</v>
      </c>
      <c r="R5446" s="33" t="s">
        <v>512</v>
      </c>
      <c r="S5446" s="33" t="s">
        <v>22</v>
      </c>
      <c r="T5446" s="33" t="s">
        <v>26774</v>
      </c>
      <c r="U5446" s="33" t="s">
        <v>26570</v>
      </c>
      <c r="V5446" s="33" t="s">
        <v>26573</v>
      </c>
      <c r="W5446" s="33" t="s">
        <v>94</v>
      </c>
      <c r="X5446" s="33">
        <v>107</v>
      </c>
      <c r="Z5446" s="33" t="s">
        <v>42966</v>
      </c>
      <c r="AA5446" s="33">
        <v>2221</v>
      </c>
    </row>
    <row r="5447" spans="1:27" ht="12" customHeight="1" x14ac:dyDescent="0.15">
      <c r="A5447" s="33" t="s">
        <v>4334</v>
      </c>
      <c r="B5447" s="33">
        <v>56</v>
      </c>
      <c r="C5447" s="33" t="s">
        <v>14</v>
      </c>
      <c r="D5447" s="33" t="s">
        <v>42</v>
      </c>
      <c r="F5447" s="67">
        <v>42027</v>
      </c>
      <c r="G5447" s="33" t="s">
        <v>4335</v>
      </c>
      <c r="H5447" s="33" t="s">
        <v>4336</v>
      </c>
      <c r="I5447" s="33" t="s">
        <v>67</v>
      </c>
      <c r="J5447" s="33" t="s">
        <v>4337</v>
      </c>
      <c r="K5447" s="33" t="s">
        <v>4338</v>
      </c>
      <c r="L5447" s="33" t="s">
        <v>4339</v>
      </c>
      <c r="M5447" s="33" t="s">
        <v>21</v>
      </c>
      <c r="N5447" s="33" t="s">
        <v>4340</v>
      </c>
      <c r="O5447" s="33" t="s">
        <v>372</v>
      </c>
      <c r="P5447" s="33" t="s">
        <v>30089</v>
      </c>
      <c r="Q5447" s="40" t="s">
        <v>4341</v>
      </c>
      <c r="R5447" s="33" t="s">
        <v>23</v>
      </c>
      <c r="S5447" s="33" t="s">
        <v>22</v>
      </c>
      <c r="T5447" s="33" t="s">
        <v>26774</v>
      </c>
      <c r="U5447" s="33" t="s">
        <v>26570</v>
      </c>
      <c r="V5447" s="33" t="s">
        <v>26573</v>
      </c>
      <c r="W5447" s="33" t="s">
        <v>94</v>
      </c>
      <c r="X5447" s="33">
        <v>102</v>
      </c>
      <c r="Z5447" s="33" t="s">
        <v>42967</v>
      </c>
      <c r="AA5447" s="33">
        <v>2217</v>
      </c>
    </row>
    <row r="5448" spans="1:27" ht="12" customHeight="1" x14ac:dyDescent="0.15">
      <c r="A5448" s="33" t="s">
        <v>4342</v>
      </c>
      <c r="B5448" s="33">
        <v>29</v>
      </c>
      <c r="C5448" s="33" t="s">
        <v>14</v>
      </c>
      <c r="D5448" s="33" t="s">
        <v>79</v>
      </c>
      <c r="F5448" s="67">
        <v>42027</v>
      </c>
      <c r="G5448" s="33" t="s">
        <v>4343</v>
      </c>
      <c r="H5448" s="33" t="s">
        <v>4344</v>
      </c>
      <c r="I5448" s="33" t="s">
        <v>56</v>
      </c>
      <c r="J5448" s="33" t="s">
        <v>4345</v>
      </c>
      <c r="K5448" s="33" t="s">
        <v>1052</v>
      </c>
      <c r="L5448" s="33" t="s">
        <v>4346</v>
      </c>
      <c r="M5448" s="33" t="s">
        <v>21</v>
      </c>
      <c r="N5448" s="33" t="s">
        <v>4347</v>
      </c>
      <c r="O5448" s="33" t="s">
        <v>950</v>
      </c>
      <c r="P5448" s="33" t="s">
        <v>30089</v>
      </c>
      <c r="Q5448" s="40" t="s">
        <v>4348</v>
      </c>
      <c r="R5448" s="33" t="s">
        <v>94</v>
      </c>
      <c r="S5448" s="33" t="s">
        <v>351</v>
      </c>
      <c r="T5448" s="33" t="s">
        <v>26867</v>
      </c>
      <c r="U5448" s="33" t="s">
        <v>26570</v>
      </c>
      <c r="V5448" s="33" t="s">
        <v>26573</v>
      </c>
      <c r="W5448" s="33" t="s">
        <v>94</v>
      </c>
      <c r="X5448" s="33">
        <v>101</v>
      </c>
      <c r="Z5448" s="33" t="s">
        <v>42966</v>
      </c>
      <c r="AA5448" s="33">
        <v>2218</v>
      </c>
    </row>
    <row r="5449" spans="1:27" ht="12" customHeight="1" x14ac:dyDescent="0.15">
      <c r="A5449" s="33" t="s">
        <v>4349</v>
      </c>
      <c r="B5449" s="33">
        <v>61</v>
      </c>
      <c r="C5449" s="33" t="s">
        <v>14</v>
      </c>
      <c r="D5449" s="33" t="s">
        <v>31</v>
      </c>
      <c r="E5449" s="33" t="s">
        <v>4350</v>
      </c>
      <c r="F5449" s="67">
        <v>42027</v>
      </c>
      <c r="G5449" s="33" t="s">
        <v>4351</v>
      </c>
      <c r="H5449" s="33" t="s">
        <v>1227</v>
      </c>
      <c r="I5449" s="33" t="s">
        <v>67</v>
      </c>
      <c r="J5449" s="33" t="s">
        <v>4352</v>
      </c>
      <c r="K5449" s="33" t="s">
        <v>1228</v>
      </c>
      <c r="L5449" s="33" t="s">
        <v>1229</v>
      </c>
      <c r="M5449" s="33" t="s">
        <v>21</v>
      </c>
      <c r="N5449" s="33" t="s">
        <v>4353</v>
      </c>
      <c r="O5449" s="33" t="s">
        <v>372</v>
      </c>
      <c r="P5449" s="33" t="s">
        <v>30089</v>
      </c>
      <c r="Q5449" s="40" t="str">
        <f>HYPERLINK("http://www.statesman.com/news/news/local/officer-involved-shooting-being-investigated/njtpW/","http://www.statesman.com/news/news/local/officer-involved-shooting-being-investigated/njtpW/")</f>
        <v>http://www.statesman.com/news/news/local/officer-involved-shooting-being-investigated/njtpW/</v>
      </c>
      <c r="R5449" s="33" t="s">
        <v>512</v>
      </c>
      <c r="S5449" s="33" t="s">
        <v>22</v>
      </c>
      <c r="T5449" s="33" t="s">
        <v>26781</v>
      </c>
      <c r="U5449" s="33" t="s">
        <v>26572</v>
      </c>
      <c r="V5449" s="33" t="s">
        <v>26573</v>
      </c>
      <c r="W5449" s="33" t="s">
        <v>94</v>
      </c>
      <c r="X5449" s="33">
        <v>336</v>
      </c>
      <c r="Z5449" s="33" t="s">
        <v>42968</v>
      </c>
      <c r="AA5449" s="33">
        <v>2216</v>
      </c>
    </row>
    <row r="5450" spans="1:27" ht="12" customHeight="1" x14ac:dyDescent="0.15">
      <c r="A5450" s="33" t="s">
        <v>4354</v>
      </c>
      <c r="B5450" s="33">
        <v>25</v>
      </c>
      <c r="C5450" s="33" t="s">
        <v>14</v>
      </c>
      <c r="D5450" s="33" t="s">
        <v>79</v>
      </c>
      <c r="E5450" s="33" t="s">
        <v>18396</v>
      </c>
      <c r="F5450" s="67">
        <v>42026</v>
      </c>
      <c r="G5450" s="33" t="s">
        <v>4355</v>
      </c>
      <c r="H5450" s="33" t="s">
        <v>4356</v>
      </c>
      <c r="I5450" s="33" t="s">
        <v>67</v>
      </c>
      <c r="J5450" s="33" t="s">
        <v>4357</v>
      </c>
      <c r="K5450" s="33" t="s">
        <v>4358</v>
      </c>
      <c r="L5450" s="33" t="s">
        <v>4359</v>
      </c>
      <c r="M5450" s="33" t="s">
        <v>21</v>
      </c>
      <c r="N5450" s="33" t="s">
        <v>4360</v>
      </c>
      <c r="O5450" s="33" t="s">
        <v>950</v>
      </c>
      <c r="P5450" s="33" t="s">
        <v>30089</v>
      </c>
      <c r="Q5450" s="40" t="s">
        <v>4361</v>
      </c>
      <c r="R5450" s="33" t="s">
        <v>94</v>
      </c>
      <c r="S5450" s="33" t="s">
        <v>12</v>
      </c>
      <c r="T5450" s="33" t="s">
        <v>29425</v>
      </c>
      <c r="U5450" s="33" t="s">
        <v>26572</v>
      </c>
      <c r="V5450" s="33" t="s">
        <v>26571</v>
      </c>
      <c r="W5450" s="33" t="s">
        <v>94</v>
      </c>
      <c r="X5450" s="33">
        <v>99</v>
      </c>
      <c r="Z5450" s="33" t="s">
        <v>42967</v>
      </c>
      <c r="AA5450" s="33">
        <v>2215</v>
      </c>
    </row>
    <row r="5451" spans="1:27" ht="12" customHeight="1" x14ac:dyDescent="0.15">
      <c r="A5451" s="33" t="s">
        <v>4362</v>
      </c>
      <c r="B5451" s="33">
        <v>17</v>
      </c>
      <c r="C5451" s="33" t="s">
        <v>103</v>
      </c>
      <c r="D5451" s="33" t="s">
        <v>31</v>
      </c>
      <c r="E5451" s="33" t="s">
        <v>4363</v>
      </c>
      <c r="F5451" s="67">
        <v>42026</v>
      </c>
      <c r="G5451" s="33" t="s">
        <v>4364</v>
      </c>
      <c r="H5451" s="33" t="s">
        <v>550</v>
      </c>
      <c r="I5451" s="33" t="s">
        <v>67</v>
      </c>
      <c r="J5451" s="33" t="s">
        <v>4365</v>
      </c>
      <c r="K5451" s="33" t="s">
        <v>551</v>
      </c>
      <c r="L5451" s="33" t="s">
        <v>552</v>
      </c>
      <c r="M5451" s="33" t="s">
        <v>4966</v>
      </c>
      <c r="N5451" s="33" t="s">
        <v>4366</v>
      </c>
      <c r="O5451" s="33" t="s">
        <v>950</v>
      </c>
      <c r="P5451" s="33" t="s">
        <v>30089</v>
      </c>
      <c r="Q5451" s="40" t="s">
        <v>4367</v>
      </c>
      <c r="R5451" s="33" t="s">
        <v>94</v>
      </c>
      <c r="S5451" s="33" t="s">
        <v>22</v>
      </c>
      <c r="T5451" s="33" t="s">
        <v>26774</v>
      </c>
      <c r="U5451" s="33" t="s">
        <v>26570</v>
      </c>
      <c r="V5451" s="33" t="s">
        <v>26573</v>
      </c>
      <c r="W5451" s="33" t="s">
        <v>94</v>
      </c>
      <c r="X5451" s="33">
        <v>100</v>
      </c>
      <c r="Z5451" s="33" t="s">
        <v>42968</v>
      </c>
      <c r="AA5451" s="33">
        <v>2214</v>
      </c>
    </row>
    <row r="5452" spans="1:27" ht="12" customHeight="1" x14ac:dyDescent="0.15">
      <c r="A5452" s="33" t="s">
        <v>4397</v>
      </c>
      <c r="B5452" s="33">
        <v>36</v>
      </c>
      <c r="C5452" s="33" t="s">
        <v>14</v>
      </c>
      <c r="D5452" s="33" t="s">
        <v>31</v>
      </c>
      <c r="E5452" s="33" t="s">
        <v>4398</v>
      </c>
      <c r="F5452" s="67">
        <v>42025</v>
      </c>
      <c r="G5452" s="33" t="s">
        <v>4399</v>
      </c>
      <c r="H5452" s="33" t="s">
        <v>727</v>
      </c>
      <c r="I5452" s="33" t="s">
        <v>39</v>
      </c>
      <c r="J5452" s="33" t="s">
        <v>2614</v>
      </c>
      <c r="K5452" s="33" t="s">
        <v>728</v>
      </c>
      <c r="L5452" s="33" t="s">
        <v>729</v>
      </c>
      <c r="M5452" s="33" t="s">
        <v>21</v>
      </c>
      <c r="N5452" s="33" t="s">
        <v>4400</v>
      </c>
      <c r="O5452" s="33" t="s">
        <v>950</v>
      </c>
      <c r="P5452" s="33" t="s">
        <v>30089</v>
      </c>
      <c r="Q5452" s="40" t="s">
        <v>4401</v>
      </c>
      <c r="R5452" s="33" t="s">
        <v>94</v>
      </c>
      <c r="S5452" s="33" t="s">
        <v>22</v>
      </c>
      <c r="T5452" s="33" t="s">
        <v>26781</v>
      </c>
      <c r="U5452" s="33" t="s">
        <v>26572</v>
      </c>
      <c r="V5452" s="33" t="s">
        <v>26573</v>
      </c>
      <c r="W5452" s="33" t="s">
        <v>94</v>
      </c>
      <c r="X5452" s="33">
        <v>86</v>
      </c>
      <c r="Z5452" s="33" t="s">
        <v>42968</v>
      </c>
      <c r="AA5452" s="33">
        <v>2209</v>
      </c>
    </row>
    <row r="5453" spans="1:27" ht="12" customHeight="1" x14ac:dyDescent="0.15">
      <c r="A5453" s="33" t="s">
        <v>4382</v>
      </c>
      <c r="B5453" s="33">
        <v>54</v>
      </c>
      <c r="C5453" s="33" t="s">
        <v>14</v>
      </c>
      <c r="D5453" s="33" t="s">
        <v>31</v>
      </c>
      <c r="F5453" s="67">
        <v>42025</v>
      </c>
      <c r="G5453" s="33" t="s">
        <v>4383</v>
      </c>
      <c r="H5453" s="33" t="s">
        <v>4384</v>
      </c>
      <c r="I5453" s="33" t="s">
        <v>468</v>
      </c>
      <c r="J5453" s="33" t="s">
        <v>4385</v>
      </c>
      <c r="K5453" s="33" t="s">
        <v>4386</v>
      </c>
      <c r="L5453" s="33" t="s">
        <v>4387</v>
      </c>
      <c r="M5453" s="33" t="s">
        <v>21</v>
      </c>
      <c r="N5453" s="33" t="s">
        <v>36780</v>
      </c>
      <c r="O5453" s="33" t="s">
        <v>372</v>
      </c>
      <c r="P5453" s="33" t="s">
        <v>30089</v>
      </c>
      <c r="Q5453" s="40" t="s">
        <v>4388</v>
      </c>
      <c r="R5453" s="33" t="s">
        <v>512</v>
      </c>
      <c r="S5453" s="33" t="s">
        <v>22</v>
      </c>
      <c r="T5453" s="33" t="s">
        <v>26781</v>
      </c>
      <c r="U5453" s="33" t="s">
        <v>26572</v>
      </c>
      <c r="V5453" s="33" t="s">
        <v>26573</v>
      </c>
      <c r="W5453" s="33" t="s">
        <v>94</v>
      </c>
      <c r="X5453" s="33">
        <v>98</v>
      </c>
      <c r="Z5453" s="33" t="s">
        <v>42968</v>
      </c>
      <c r="AA5453" s="33">
        <v>2212</v>
      </c>
    </row>
    <row r="5454" spans="1:27" ht="12" customHeight="1" x14ac:dyDescent="0.15">
      <c r="A5454" s="33" t="s">
        <v>4389</v>
      </c>
      <c r="B5454" s="33">
        <v>45</v>
      </c>
      <c r="C5454" s="33" t="s">
        <v>14</v>
      </c>
      <c r="D5454" s="33" t="s">
        <v>31</v>
      </c>
      <c r="E5454" s="33" t="s">
        <v>4390</v>
      </c>
      <c r="F5454" s="67">
        <v>42025</v>
      </c>
      <c r="G5454" s="33" t="s">
        <v>4391</v>
      </c>
      <c r="H5454" s="33" t="s">
        <v>4392</v>
      </c>
      <c r="I5454" s="33" t="s">
        <v>621</v>
      </c>
      <c r="J5454" s="33" t="s">
        <v>4393</v>
      </c>
      <c r="K5454" s="33" t="s">
        <v>4394</v>
      </c>
      <c r="L5454" s="33" t="s">
        <v>4395</v>
      </c>
      <c r="M5454" s="33" t="s">
        <v>21</v>
      </c>
      <c r="N5454" s="33" t="s">
        <v>36781</v>
      </c>
      <c r="O5454" s="33" t="s">
        <v>372</v>
      </c>
      <c r="P5454" s="33" t="s">
        <v>30089</v>
      </c>
      <c r="Q5454" s="40" t="s">
        <v>4396</v>
      </c>
      <c r="R5454" s="33" t="s">
        <v>94</v>
      </c>
      <c r="S5454" s="33" t="s">
        <v>29</v>
      </c>
      <c r="T5454" s="1" t="s">
        <v>41840</v>
      </c>
      <c r="Z5454" s="33" t="s">
        <v>42967</v>
      </c>
      <c r="AA5454" s="33">
        <v>2213</v>
      </c>
    </row>
    <row r="5455" spans="1:27" ht="12" customHeight="1" x14ac:dyDescent="0.15">
      <c r="A5455" s="33" t="s">
        <v>4368</v>
      </c>
      <c r="B5455" s="33">
        <v>19</v>
      </c>
      <c r="C5455" s="33" t="s">
        <v>14</v>
      </c>
      <c r="D5455" s="33" t="s">
        <v>79</v>
      </c>
      <c r="E5455" s="33" t="s">
        <v>4369</v>
      </c>
      <c r="F5455" s="67">
        <v>42025</v>
      </c>
      <c r="G5455" s="33" t="s">
        <v>4370</v>
      </c>
      <c r="H5455" s="33" t="s">
        <v>661</v>
      </c>
      <c r="I5455" s="33" t="s">
        <v>402</v>
      </c>
      <c r="J5455" s="33" t="s">
        <v>4371</v>
      </c>
      <c r="K5455" s="33" t="s">
        <v>661</v>
      </c>
      <c r="L5455" s="33" t="s">
        <v>4162</v>
      </c>
      <c r="M5455" s="33" t="s">
        <v>21</v>
      </c>
      <c r="N5455" s="33" t="s">
        <v>4372</v>
      </c>
      <c r="O5455" s="33" t="s">
        <v>372</v>
      </c>
      <c r="P5455" s="33" t="s">
        <v>30089</v>
      </c>
      <c r="Q5455" s="40" t="s">
        <v>4373</v>
      </c>
      <c r="R5455" s="33" t="s">
        <v>94</v>
      </c>
      <c r="S5455" s="33" t="s">
        <v>22</v>
      </c>
      <c r="T5455" s="33" t="s">
        <v>26781</v>
      </c>
      <c r="U5455" s="33" t="s">
        <v>26572</v>
      </c>
      <c r="V5455" s="33" t="s">
        <v>26573</v>
      </c>
      <c r="W5455" s="33" t="s">
        <v>94</v>
      </c>
      <c r="X5455" s="33">
        <v>90</v>
      </c>
      <c r="Z5455" s="33" t="s">
        <v>42966</v>
      </c>
      <c r="AA5455" s="33">
        <v>2211</v>
      </c>
    </row>
    <row r="5456" spans="1:27" ht="12" customHeight="1" x14ac:dyDescent="0.15">
      <c r="A5456" s="33" t="s">
        <v>4374</v>
      </c>
      <c r="B5456" s="33">
        <v>36</v>
      </c>
      <c r="C5456" s="33" t="s">
        <v>14</v>
      </c>
      <c r="D5456" s="33" t="s">
        <v>42</v>
      </c>
      <c r="E5456" s="33" t="s">
        <v>4375</v>
      </c>
      <c r="F5456" s="67">
        <v>42025</v>
      </c>
      <c r="G5456" s="33" t="s">
        <v>4376</v>
      </c>
      <c r="H5456" s="33" t="s">
        <v>4377</v>
      </c>
      <c r="I5456" s="33" t="s">
        <v>67</v>
      </c>
      <c r="J5456" s="33" t="s">
        <v>4378</v>
      </c>
      <c r="K5456" s="33" t="s">
        <v>4379</v>
      </c>
      <c r="L5456" s="33" t="s">
        <v>4359</v>
      </c>
      <c r="M5456" s="33" t="s">
        <v>21</v>
      </c>
      <c r="N5456" s="33" t="s">
        <v>4380</v>
      </c>
      <c r="O5456" s="33" t="s">
        <v>950</v>
      </c>
      <c r="P5456" s="33" t="s">
        <v>30089</v>
      </c>
      <c r="Q5456" s="40" t="s">
        <v>4381</v>
      </c>
      <c r="R5456" s="33" t="s">
        <v>94</v>
      </c>
      <c r="S5456" s="33" t="s">
        <v>22</v>
      </c>
      <c r="T5456" s="33" t="s">
        <v>26781</v>
      </c>
      <c r="U5456" s="33" t="s">
        <v>26572</v>
      </c>
      <c r="V5456" s="33" t="s">
        <v>26574</v>
      </c>
      <c r="W5456" s="33" t="s">
        <v>94</v>
      </c>
      <c r="X5456" s="33">
        <v>88</v>
      </c>
      <c r="Z5456" s="33" t="s">
        <v>42967</v>
      </c>
      <c r="AA5456" s="33">
        <v>2210</v>
      </c>
    </row>
    <row r="5457" spans="1:27" ht="12" customHeight="1" x14ac:dyDescent="0.15">
      <c r="A5457" s="33" t="s">
        <v>4490</v>
      </c>
      <c r="B5457" s="33">
        <v>42</v>
      </c>
      <c r="C5457" s="33" t="s">
        <v>14</v>
      </c>
      <c r="D5457" s="33" t="s">
        <v>79</v>
      </c>
      <c r="E5457" s="33" t="s">
        <v>4491</v>
      </c>
      <c r="F5457" s="67">
        <v>42024</v>
      </c>
      <c r="G5457" s="33" t="s">
        <v>4492</v>
      </c>
      <c r="H5457" s="33" t="s">
        <v>639</v>
      </c>
      <c r="I5457" s="33" t="s">
        <v>112</v>
      </c>
      <c r="J5457" s="33" t="s">
        <v>4493</v>
      </c>
      <c r="K5457" s="33" t="s">
        <v>585</v>
      </c>
      <c r="L5457" s="33" t="s">
        <v>4494</v>
      </c>
      <c r="M5457" s="33" t="s">
        <v>21</v>
      </c>
      <c r="N5457" s="33" t="s">
        <v>4495</v>
      </c>
      <c r="O5457" s="33" t="s">
        <v>372</v>
      </c>
      <c r="P5457" s="33" t="s">
        <v>30089</v>
      </c>
      <c r="Q5457" s="40" t="s">
        <v>4496</v>
      </c>
      <c r="R5457" s="33" t="s">
        <v>23</v>
      </c>
      <c r="S5457" s="33" t="s">
        <v>351</v>
      </c>
      <c r="T5457" s="33" t="s">
        <v>26867</v>
      </c>
      <c r="U5457" s="33" t="s">
        <v>26570</v>
      </c>
      <c r="V5457" s="33" t="s">
        <v>26571</v>
      </c>
      <c r="W5457" s="33" t="s">
        <v>94</v>
      </c>
      <c r="X5457" s="33">
        <v>85</v>
      </c>
      <c r="Z5457" s="33" t="s">
        <v>42968</v>
      </c>
      <c r="AA5457" s="33">
        <v>2208</v>
      </c>
    </row>
    <row r="5458" spans="1:27" ht="12" customHeight="1" x14ac:dyDescent="0.15">
      <c r="A5458" s="33" t="s">
        <v>4402</v>
      </c>
      <c r="B5458" s="33">
        <v>49</v>
      </c>
      <c r="C5458" s="33" t="s">
        <v>14</v>
      </c>
      <c r="D5458" s="33" t="s">
        <v>31</v>
      </c>
      <c r="E5458" s="33" t="s">
        <v>4403</v>
      </c>
      <c r="F5458" s="67">
        <v>42023</v>
      </c>
      <c r="G5458" s="33" t="s">
        <v>4404</v>
      </c>
      <c r="H5458" s="33" t="s">
        <v>4405</v>
      </c>
      <c r="I5458" s="33" t="s">
        <v>40</v>
      </c>
      <c r="J5458" s="33" t="s">
        <v>4406</v>
      </c>
      <c r="K5458" s="33" t="s">
        <v>3060</v>
      </c>
      <c r="L5458" s="33" t="s">
        <v>4407</v>
      </c>
      <c r="M5458" s="33" t="s">
        <v>21</v>
      </c>
      <c r="N5458" s="33" t="s">
        <v>4408</v>
      </c>
      <c r="O5458" s="33" t="s">
        <v>372</v>
      </c>
      <c r="P5458" s="33" t="s">
        <v>30089</v>
      </c>
      <c r="Q5458" s="40" t="s">
        <v>4409</v>
      </c>
      <c r="R5458" s="33" t="s">
        <v>23</v>
      </c>
      <c r="S5458" s="33" t="s">
        <v>22</v>
      </c>
      <c r="T5458" s="33" t="s">
        <v>26774</v>
      </c>
      <c r="U5458" s="33" t="s">
        <v>26572</v>
      </c>
      <c r="V5458" s="33" t="s">
        <v>26573</v>
      </c>
      <c r="W5458" s="33" t="s">
        <v>94</v>
      </c>
      <c r="X5458" s="33">
        <v>84</v>
      </c>
      <c r="Z5458" s="33" t="s">
        <v>42968</v>
      </c>
      <c r="AA5458" s="33">
        <v>2207</v>
      </c>
    </row>
    <row r="5459" spans="1:27" ht="12" customHeight="1" x14ac:dyDescent="0.15">
      <c r="A5459" s="33" t="s">
        <v>4419</v>
      </c>
      <c r="B5459" s="33">
        <v>32</v>
      </c>
      <c r="C5459" s="33" t="s">
        <v>14</v>
      </c>
      <c r="D5459" s="33" t="s">
        <v>31</v>
      </c>
      <c r="E5459" s="33" t="s">
        <v>4420</v>
      </c>
      <c r="F5459" s="67">
        <v>42022</v>
      </c>
      <c r="G5459" s="33" t="s">
        <v>4421</v>
      </c>
      <c r="H5459" s="33" t="s">
        <v>585</v>
      </c>
      <c r="I5459" s="33" t="s">
        <v>112</v>
      </c>
      <c r="J5459" s="33" t="s">
        <v>4422</v>
      </c>
      <c r="K5459" s="33" t="s">
        <v>585</v>
      </c>
      <c r="L5459" s="33" t="s">
        <v>4423</v>
      </c>
      <c r="M5459" s="33" t="s">
        <v>21</v>
      </c>
      <c r="N5459" s="33" t="s">
        <v>4424</v>
      </c>
      <c r="O5459" s="33" t="s">
        <v>372</v>
      </c>
      <c r="P5459" s="33" t="s">
        <v>30089</v>
      </c>
      <c r="Q5459" s="40" t="s">
        <v>4425</v>
      </c>
      <c r="R5459" s="33" t="s">
        <v>512</v>
      </c>
      <c r="S5459" s="33" t="s">
        <v>22</v>
      </c>
      <c r="T5459" s="33" t="s">
        <v>26781</v>
      </c>
      <c r="U5459" s="33" t="s">
        <v>26572</v>
      </c>
      <c r="V5459" s="33" t="s">
        <v>26573</v>
      </c>
      <c r="W5459" s="33" t="s">
        <v>94</v>
      </c>
      <c r="X5459" s="33">
        <v>80</v>
      </c>
      <c r="Z5459" s="33" t="s">
        <v>42968</v>
      </c>
      <c r="AA5459" s="33">
        <v>2205</v>
      </c>
    </row>
    <row r="5460" spans="1:27" ht="12" customHeight="1" x14ac:dyDescent="0.15">
      <c r="A5460" s="33" t="s">
        <v>4410</v>
      </c>
      <c r="B5460" s="33">
        <v>67</v>
      </c>
      <c r="C5460" s="33" t="s">
        <v>14</v>
      </c>
      <c r="D5460" s="33" t="s">
        <v>31</v>
      </c>
      <c r="E5460" s="33" t="s">
        <v>4411</v>
      </c>
      <c r="F5460" s="67">
        <v>42022</v>
      </c>
      <c r="G5460" s="33" t="s">
        <v>4412</v>
      </c>
      <c r="H5460" s="33" t="s">
        <v>4413</v>
      </c>
      <c r="I5460" s="33" t="s">
        <v>294</v>
      </c>
      <c r="J5460" s="33" t="s">
        <v>4414</v>
      </c>
      <c r="K5460" s="33" t="s">
        <v>4415</v>
      </c>
      <c r="L5460" s="33" t="s">
        <v>4416</v>
      </c>
      <c r="M5460" s="33" t="s">
        <v>4966</v>
      </c>
      <c r="N5460" s="33" t="s">
        <v>4417</v>
      </c>
      <c r="O5460" s="33" t="s">
        <v>372</v>
      </c>
      <c r="P5460" s="33" t="s">
        <v>30089</v>
      </c>
      <c r="Q5460" s="40" t="s">
        <v>4418</v>
      </c>
      <c r="R5460" s="33" t="s">
        <v>512</v>
      </c>
      <c r="S5460" s="33" t="s">
        <v>22</v>
      </c>
      <c r="T5460" s="33" t="s">
        <v>26781</v>
      </c>
      <c r="U5460" s="33" t="s">
        <v>26572</v>
      </c>
      <c r="V5460" s="33" t="s">
        <v>26573</v>
      </c>
      <c r="W5460" s="33" t="s">
        <v>94</v>
      </c>
      <c r="X5460" s="33">
        <v>83</v>
      </c>
      <c r="Z5460" s="33" t="s">
        <v>42967</v>
      </c>
      <c r="AA5460" s="33">
        <v>2206</v>
      </c>
    </row>
    <row r="5461" spans="1:27" ht="12" customHeight="1" x14ac:dyDescent="0.15">
      <c r="A5461" s="33" t="s">
        <v>4439</v>
      </c>
      <c r="B5461" s="33">
        <v>24</v>
      </c>
      <c r="C5461" s="33" t="s">
        <v>14</v>
      </c>
      <c r="D5461" s="33" t="s">
        <v>42</v>
      </c>
      <c r="E5461" s="33" t="s">
        <v>4440</v>
      </c>
      <c r="F5461" s="67">
        <v>42021</v>
      </c>
      <c r="G5461" s="33" t="s">
        <v>4441</v>
      </c>
      <c r="H5461" s="33" t="s">
        <v>92</v>
      </c>
      <c r="I5461" s="33" t="s">
        <v>39</v>
      </c>
      <c r="J5461" s="33" t="s">
        <v>4442</v>
      </c>
      <c r="K5461" s="33" t="s">
        <v>92</v>
      </c>
      <c r="L5461" s="33" t="s">
        <v>93</v>
      </c>
      <c r="M5461" s="33" t="s">
        <v>21</v>
      </c>
      <c r="N5461" s="33" t="s">
        <v>4443</v>
      </c>
      <c r="O5461" s="33" t="s">
        <v>950</v>
      </c>
      <c r="P5461" s="33" t="s">
        <v>30089</v>
      </c>
      <c r="Q5461" s="40" t="s">
        <v>4444</v>
      </c>
      <c r="R5461" s="33" t="s">
        <v>23</v>
      </c>
      <c r="S5461" s="33" t="s">
        <v>22</v>
      </c>
      <c r="T5461" s="33" t="s">
        <v>26781</v>
      </c>
      <c r="U5461" s="33" t="s">
        <v>26572</v>
      </c>
      <c r="V5461" s="33" t="s">
        <v>26573</v>
      </c>
      <c r="W5461" s="33" t="s">
        <v>94</v>
      </c>
      <c r="X5461" s="33">
        <v>75</v>
      </c>
      <c r="Z5461" s="33" t="s">
        <v>42966</v>
      </c>
      <c r="AA5461" s="33">
        <v>2203</v>
      </c>
    </row>
    <row r="5462" spans="1:27" ht="12" customHeight="1" x14ac:dyDescent="0.15">
      <c r="A5462" s="33" t="s">
        <v>4426</v>
      </c>
      <c r="B5462" s="33">
        <v>27</v>
      </c>
      <c r="C5462" s="33" t="s">
        <v>14</v>
      </c>
      <c r="D5462" s="33" t="s">
        <v>79</v>
      </c>
      <c r="E5462" s="33" t="s">
        <v>4427</v>
      </c>
      <c r="F5462" s="67">
        <v>42021</v>
      </c>
      <c r="G5462" s="33" t="s">
        <v>4428</v>
      </c>
      <c r="H5462" s="33" t="s">
        <v>870</v>
      </c>
      <c r="I5462" s="33" t="s">
        <v>67</v>
      </c>
      <c r="J5462" s="33" t="s">
        <v>4429</v>
      </c>
      <c r="K5462" s="33" t="s">
        <v>68</v>
      </c>
      <c r="L5462" s="33" t="s">
        <v>871</v>
      </c>
      <c r="M5462" s="33" t="s">
        <v>21</v>
      </c>
      <c r="N5462" s="33" t="s">
        <v>4430</v>
      </c>
      <c r="O5462" s="33" t="s">
        <v>950</v>
      </c>
      <c r="P5462" s="33" t="s">
        <v>30089</v>
      </c>
      <c r="Q5462" s="40" t="s">
        <v>4431</v>
      </c>
      <c r="R5462" s="33" t="s">
        <v>94</v>
      </c>
      <c r="S5462" s="33" t="s">
        <v>22</v>
      </c>
      <c r="T5462" s="33" t="s">
        <v>26774</v>
      </c>
      <c r="U5462" s="33" t="s">
        <v>26572</v>
      </c>
      <c r="V5462" s="33" t="s">
        <v>26573</v>
      </c>
      <c r="W5462" s="33" t="s">
        <v>94</v>
      </c>
      <c r="X5462" s="33">
        <v>78</v>
      </c>
      <c r="Z5462" s="33" t="s">
        <v>42966</v>
      </c>
      <c r="AA5462" s="33">
        <v>2204</v>
      </c>
    </row>
    <row r="5463" spans="1:27" ht="12" customHeight="1" x14ac:dyDescent="0.15">
      <c r="A5463" s="33" t="s">
        <v>4432</v>
      </c>
      <c r="B5463" s="33">
        <v>21</v>
      </c>
      <c r="C5463" s="33" t="s">
        <v>14</v>
      </c>
      <c r="D5463" s="33" t="s">
        <v>79</v>
      </c>
      <c r="E5463" s="33" t="s">
        <v>4433</v>
      </c>
      <c r="F5463" s="67">
        <v>42021</v>
      </c>
      <c r="G5463" s="33" t="s">
        <v>4434</v>
      </c>
      <c r="H5463" s="33" t="s">
        <v>2853</v>
      </c>
      <c r="I5463" s="33" t="s">
        <v>367</v>
      </c>
      <c r="J5463" s="33" t="s">
        <v>4435</v>
      </c>
      <c r="K5463" s="33" t="s">
        <v>2853</v>
      </c>
      <c r="L5463" s="33" t="s">
        <v>4436</v>
      </c>
      <c r="M5463" s="33" t="s">
        <v>21</v>
      </c>
      <c r="N5463" s="33" t="s">
        <v>4437</v>
      </c>
      <c r="O5463" s="33" t="s">
        <v>507</v>
      </c>
      <c r="P5463" s="33" t="s">
        <v>30089</v>
      </c>
      <c r="Q5463" s="40" t="s">
        <v>4438</v>
      </c>
      <c r="R5463" s="33" t="s">
        <v>94</v>
      </c>
      <c r="S5463" s="33" t="s">
        <v>22</v>
      </c>
      <c r="T5463" s="33" t="s">
        <v>26781</v>
      </c>
      <c r="U5463" s="33" t="s">
        <v>26572</v>
      </c>
      <c r="V5463" s="33" t="s">
        <v>26574</v>
      </c>
      <c r="W5463" s="33" t="s">
        <v>512</v>
      </c>
      <c r="X5463" s="33">
        <v>74</v>
      </c>
      <c r="Z5463" s="33" t="s">
        <v>42968</v>
      </c>
      <c r="AA5463" s="33">
        <v>2202</v>
      </c>
    </row>
    <row r="5464" spans="1:27" ht="12" customHeight="1" x14ac:dyDescent="0.15">
      <c r="A5464" s="33" t="s">
        <v>4453</v>
      </c>
      <c r="B5464" s="33">
        <v>23</v>
      </c>
      <c r="C5464" s="33" t="s">
        <v>14</v>
      </c>
      <c r="D5464" s="33" t="s">
        <v>79</v>
      </c>
      <c r="E5464" s="33" t="s">
        <v>4454</v>
      </c>
      <c r="F5464" s="67">
        <v>42020</v>
      </c>
      <c r="G5464" s="33" t="s">
        <v>4455</v>
      </c>
      <c r="H5464" s="33" t="s">
        <v>2307</v>
      </c>
      <c r="I5464" s="33" t="s">
        <v>367</v>
      </c>
      <c r="J5464" s="33" t="s">
        <v>4456</v>
      </c>
      <c r="K5464" s="33" t="s">
        <v>2307</v>
      </c>
      <c r="L5464" s="33" t="s">
        <v>4457</v>
      </c>
      <c r="M5464" s="33" t="s">
        <v>21</v>
      </c>
      <c r="N5464" s="33" t="s">
        <v>4458</v>
      </c>
      <c r="O5464" s="33" t="s">
        <v>372</v>
      </c>
      <c r="P5464" s="33" t="s">
        <v>30089</v>
      </c>
      <c r="Q5464" s="40" t="str">
        <f>HYPERLINK("http://kfor.com/2015/01/17/update-on-off-duty-officer-shooting-at-garth-brooks-concert-in-tulsa/","http://kfor.com/2015/01/17/update-on-off-duty-officer-shooting-at-garth-brooks-concert-in-tulsa/")</f>
        <v>http://kfor.com/2015/01/17/update-on-off-duty-officer-shooting-at-garth-brooks-concert-in-tulsa/</v>
      </c>
      <c r="R5464" s="33" t="s">
        <v>94</v>
      </c>
      <c r="S5464" s="33" t="s">
        <v>22</v>
      </c>
      <c r="T5464" s="1" t="s">
        <v>26781</v>
      </c>
      <c r="Z5464" s="33" t="s">
        <v>42966</v>
      </c>
      <c r="AA5464" s="33">
        <v>2199</v>
      </c>
    </row>
    <row r="5465" spans="1:27" ht="12" customHeight="1" x14ac:dyDescent="0.15">
      <c r="A5465" s="33" t="s">
        <v>4445</v>
      </c>
      <c r="B5465" s="33">
        <v>57</v>
      </c>
      <c r="C5465" s="33" t="s">
        <v>14</v>
      </c>
      <c r="D5465" s="33" t="s">
        <v>15</v>
      </c>
      <c r="E5465" s="33" t="s">
        <v>4446</v>
      </c>
      <c r="F5465" s="67">
        <v>42020</v>
      </c>
      <c r="G5465" s="33" t="s">
        <v>4447</v>
      </c>
      <c r="H5465" s="33" t="s">
        <v>4448</v>
      </c>
      <c r="I5465" s="33" t="s">
        <v>122</v>
      </c>
      <c r="J5465" s="33" t="s">
        <v>4449</v>
      </c>
      <c r="K5465" s="33" t="s">
        <v>1009</v>
      </c>
      <c r="L5465" s="33" t="s">
        <v>4450</v>
      </c>
      <c r="M5465" s="33" t="s">
        <v>363</v>
      </c>
      <c r="N5465" s="33" t="s">
        <v>4451</v>
      </c>
      <c r="O5465" s="33" t="s">
        <v>950</v>
      </c>
      <c r="P5465" s="33" t="s">
        <v>30089</v>
      </c>
      <c r="Q5465" s="40" t="s">
        <v>4452</v>
      </c>
      <c r="R5465" s="33" t="s">
        <v>94</v>
      </c>
      <c r="S5465" s="33" t="s">
        <v>22</v>
      </c>
      <c r="T5465" s="1" t="s">
        <v>26589</v>
      </c>
      <c r="Z5465" s="33" t="s">
        <v>42968</v>
      </c>
      <c r="AA5465" s="33">
        <v>2197</v>
      </c>
    </row>
    <row r="5466" spans="1:27" ht="12" customHeight="1" x14ac:dyDescent="0.15">
      <c r="A5466" s="33" t="s">
        <v>3002</v>
      </c>
      <c r="B5466" s="33" t="s">
        <v>23</v>
      </c>
      <c r="C5466" s="33" t="s">
        <v>14</v>
      </c>
      <c r="D5466" s="33" t="s">
        <v>79</v>
      </c>
      <c r="F5466" s="67">
        <v>42020</v>
      </c>
      <c r="G5466" s="33" t="s">
        <v>4459</v>
      </c>
      <c r="H5466" s="33" t="s">
        <v>674</v>
      </c>
      <c r="I5466" s="33" t="s">
        <v>67</v>
      </c>
      <c r="J5466" s="33">
        <v>77089</v>
      </c>
      <c r="K5466" s="33" t="s">
        <v>515</v>
      </c>
      <c r="L5466" s="33" t="s">
        <v>675</v>
      </c>
      <c r="M5466" s="33" t="s">
        <v>21</v>
      </c>
      <c r="N5466" s="33" t="s">
        <v>4460</v>
      </c>
      <c r="P5466" s="33" t="s">
        <v>30089</v>
      </c>
      <c r="Q5466" s="40" t="s">
        <v>4461</v>
      </c>
      <c r="R5466" s="33" t="s">
        <v>23</v>
      </c>
      <c r="S5466" s="33" t="s">
        <v>22</v>
      </c>
      <c r="T5466" s="1" t="s">
        <v>26781</v>
      </c>
      <c r="Y5466" s="33" t="s">
        <v>42476</v>
      </c>
      <c r="Z5466" s="33" t="s">
        <v>42968</v>
      </c>
      <c r="AA5466" s="33">
        <v>2198</v>
      </c>
    </row>
    <row r="5467" spans="1:27" ht="12" customHeight="1" x14ac:dyDescent="0.15">
      <c r="A5467" s="33" t="s">
        <v>4462</v>
      </c>
      <c r="B5467" s="33">
        <v>48</v>
      </c>
      <c r="C5467" s="33" t="s">
        <v>14</v>
      </c>
      <c r="D5467" s="33" t="s">
        <v>24</v>
      </c>
      <c r="F5467" s="67">
        <v>42020</v>
      </c>
      <c r="G5467" s="33" t="s">
        <v>4463</v>
      </c>
      <c r="H5467" s="33" t="s">
        <v>1066</v>
      </c>
      <c r="I5467" s="33" t="s">
        <v>39</v>
      </c>
      <c r="J5467" s="33" t="s">
        <v>4464</v>
      </c>
      <c r="K5467" s="33" t="s">
        <v>558</v>
      </c>
      <c r="L5467" s="33" t="s">
        <v>1067</v>
      </c>
      <c r="M5467" s="33" t="s">
        <v>4966</v>
      </c>
      <c r="N5467" s="33" t="s">
        <v>4465</v>
      </c>
      <c r="O5467" s="33" t="s">
        <v>372</v>
      </c>
      <c r="P5467" s="33" t="s">
        <v>30089</v>
      </c>
      <c r="Q5467" s="40" t="s">
        <v>4466</v>
      </c>
      <c r="R5467" s="33" t="s">
        <v>94</v>
      </c>
      <c r="S5467" s="33" t="s">
        <v>22</v>
      </c>
      <c r="T5467" s="33" t="s">
        <v>26774</v>
      </c>
      <c r="U5467" s="33" t="s">
        <v>26570</v>
      </c>
      <c r="V5467" s="33" t="s">
        <v>26573</v>
      </c>
      <c r="W5467" s="33" t="s">
        <v>94</v>
      </c>
      <c r="X5467" s="33">
        <v>68</v>
      </c>
      <c r="Z5467" s="33" t="s">
        <v>42968</v>
      </c>
      <c r="AA5467" s="33">
        <v>2201</v>
      </c>
    </row>
    <row r="5468" spans="1:27" ht="12" customHeight="1" x14ac:dyDescent="0.15">
      <c r="A5468" s="33" t="s">
        <v>26569</v>
      </c>
      <c r="B5468" s="33">
        <v>41</v>
      </c>
      <c r="C5468" s="33" t="s">
        <v>14</v>
      </c>
      <c r="D5468" s="33" t="s">
        <v>31</v>
      </c>
      <c r="F5468" s="67">
        <v>42020</v>
      </c>
      <c r="G5468" s="33" t="s">
        <v>4467</v>
      </c>
      <c r="H5468" s="33" t="s">
        <v>4468</v>
      </c>
      <c r="I5468" s="33" t="s">
        <v>67</v>
      </c>
      <c r="J5468" s="33">
        <v>75147</v>
      </c>
      <c r="K5468" s="33" t="s">
        <v>30046</v>
      </c>
      <c r="L5468" s="33" t="s">
        <v>262</v>
      </c>
      <c r="M5468" s="33" t="s">
        <v>21</v>
      </c>
      <c r="N5468" s="33" t="s">
        <v>4469</v>
      </c>
      <c r="P5468" s="33" t="s">
        <v>30089</v>
      </c>
      <c r="Q5468" s="40" t="s">
        <v>4470</v>
      </c>
      <c r="R5468" s="33" t="s">
        <v>23</v>
      </c>
      <c r="S5468" s="33" t="s">
        <v>22</v>
      </c>
      <c r="T5468" s="33" t="s">
        <v>26781</v>
      </c>
      <c r="U5468" s="33" t="s">
        <v>26572</v>
      </c>
      <c r="V5468" s="33" t="s">
        <v>26571</v>
      </c>
      <c r="W5468" s="33" t="s">
        <v>94</v>
      </c>
      <c r="X5468" s="33">
        <v>67</v>
      </c>
      <c r="Z5468" s="33" t="s">
        <v>42967</v>
      </c>
      <c r="AA5468" s="33">
        <v>2200</v>
      </c>
    </row>
    <row r="5469" spans="1:27" ht="12" customHeight="1" x14ac:dyDescent="0.15">
      <c r="A5469" s="33" t="s">
        <v>4476</v>
      </c>
      <c r="B5469" s="33">
        <v>34</v>
      </c>
      <c r="C5469" s="33" t="s">
        <v>14</v>
      </c>
      <c r="D5469" s="33" t="s">
        <v>79</v>
      </c>
      <c r="E5469" s="33" t="s">
        <v>4477</v>
      </c>
      <c r="F5469" s="67">
        <v>42019</v>
      </c>
      <c r="G5469" s="33" t="s">
        <v>4478</v>
      </c>
      <c r="H5469" s="33" t="s">
        <v>4479</v>
      </c>
      <c r="I5469" s="33" t="s">
        <v>225</v>
      </c>
      <c r="J5469" s="33" t="s">
        <v>4480</v>
      </c>
      <c r="K5469" s="33" t="s">
        <v>21062</v>
      </c>
      <c r="L5469" s="33" t="s">
        <v>4481</v>
      </c>
      <c r="M5469" s="33" t="s">
        <v>21</v>
      </c>
      <c r="N5469" s="33" t="s">
        <v>4482</v>
      </c>
      <c r="O5469" s="33" t="s">
        <v>950</v>
      </c>
      <c r="P5469" s="33" t="s">
        <v>30089</v>
      </c>
      <c r="Q5469" s="40" t="s">
        <v>4483</v>
      </c>
      <c r="R5469" s="33" t="s">
        <v>512</v>
      </c>
      <c r="S5469" s="33" t="s">
        <v>22</v>
      </c>
      <c r="T5469" s="33" t="s">
        <v>26781</v>
      </c>
      <c r="U5469" s="33" t="s">
        <v>26572</v>
      </c>
      <c r="V5469" s="33" t="s">
        <v>26573</v>
      </c>
      <c r="W5469" s="33" t="s">
        <v>94</v>
      </c>
      <c r="X5469" s="33">
        <v>51</v>
      </c>
      <c r="Z5469" s="33" t="s">
        <v>42968</v>
      </c>
      <c r="AA5469" s="33">
        <v>2191</v>
      </c>
    </row>
    <row r="5470" spans="1:27" ht="12" customHeight="1" x14ac:dyDescent="0.15">
      <c r="A5470" s="33" t="s">
        <v>4504</v>
      </c>
      <c r="B5470" s="33">
        <v>24</v>
      </c>
      <c r="C5470" s="33" t="s">
        <v>14</v>
      </c>
      <c r="D5470" s="33" t="s">
        <v>31</v>
      </c>
      <c r="E5470" s="33" t="s">
        <v>18397</v>
      </c>
      <c r="F5470" s="67">
        <v>42019</v>
      </c>
      <c r="G5470" s="33" t="s">
        <v>4505</v>
      </c>
      <c r="H5470" s="33" t="s">
        <v>4506</v>
      </c>
      <c r="I5470" s="33" t="s">
        <v>122</v>
      </c>
      <c r="J5470" s="33" t="s">
        <v>4507</v>
      </c>
      <c r="K5470" s="33" t="s">
        <v>1009</v>
      </c>
      <c r="L5470" s="33" t="s">
        <v>4508</v>
      </c>
      <c r="M5470" s="33" t="s">
        <v>21</v>
      </c>
      <c r="N5470" s="33" t="s">
        <v>4509</v>
      </c>
      <c r="O5470" s="33" t="s">
        <v>372</v>
      </c>
      <c r="P5470" s="33" t="s">
        <v>30089</v>
      </c>
      <c r="Q5470" s="40" t="s">
        <v>4510</v>
      </c>
      <c r="R5470" s="33" t="s">
        <v>512</v>
      </c>
      <c r="S5470" s="33" t="s">
        <v>22</v>
      </c>
      <c r="T5470" s="33" t="s">
        <v>26781</v>
      </c>
      <c r="U5470" s="33" t="s">
        <v>26572</v>
      </c>
      <c r="V5470" s="33" t="s">
        <v>26573</v>
      </c>
      <c r="W5470" s="33" t="s">
        <v>94</v>
      </c>
      <c r="X5470" s="33">
        <v>60</v>
      </c>
      <c r="Z5470" s="33" t="s">
        <v>42968</v>
      </c>
      <c r="AA5470" s="33">
        <v>2194</v>
      </c>
    </row>
    <row r="5471" spans="1:27" ht="12" customHeight="1" x14ac:dyDescent="0.15">
      <c r="A5471" s="33" t="s">
        <v>4511</v>
      </c>
      <c r="B5471" s="33">
        <v>33</v>
      </c>
      <c r="C5471" s="33" t="s">
        <v>14</v>
      </c>
      <c r="D5471" s="33" t="s">
        <v>31</v>
      </c>
      <c r="E5471" s="33" t="s">
        <v>4512</v>
      </c>
      <c r="F5471" s="67">
        <v>42019</v>
      </c>
      <c r="G5471" s="33" t="s">
        <v>4513</v>
      </c>
      <c r="H5471" s="33" t="s">
        <v>4514</v>
      </c>
      <c r="I5471" s="33" t="s">
        <v>19</v>
      </c>
      <c r="J5471" s="33" t="s">
        <v>4515</v>
      </c>
      <c r="K5471" s="33" t="s">
        <v>4516</v>
      </c>
      <c r="L5471" s="33" t="s">
        <v>13405</v>
      </c>
      <c r="M5471" s="33" t="s">
        <v>21</v>
      </c>
      <c r="N5471" s="33" t="s">
        <v>4517</v>
      </c>
      <c r="O5471" s="33" t="s">
        <v>950</v>
      </c>
      <c r="P5471" s="33" t="s">
        <v>30089</v>
      </c>
      <c r="Q5471" s="40" t="str">
        <f>HYPERLINK("http://theadvocate.com/news/11346884-123/evangeline-parish-man-shot-killed","http://theadvocate.com/news/11346884-123/evangeline-parish-man-shot-killed")</f>
        <v>http://theadvocate.com/news/11346884-123/evangeline-parish-man-shot-killed</v>
      </c>
      <c r="R5471" s="33" t="s">
        <v>94</v>
      </c>
      <c r="S5471" s="33" t="s">
        <v>22</v>
      </c>
      <c r="T5471" s="33" t="s">
        <v>26781</v>
      </c>
      <c r="U5471" s="33" t="s">
        <v>26572</v>
      </c>
      <c r="V5471" s="33" t="s">
        <v>26573</v>
      </c>
      <c r="W5471" s="33" t="s">
        <v>94</v>
      </c>
      <c r="X5471" s="33">
        <v>64</v>
      </c>
      <c r="Z5471" s="33" t="s">
        <v>42967</v>
      </c>
      <c r="AA5471" s="33">
        <v>2195</v>
      </c>
    </row>
    <row r="5472" spans="1:27" ht="12" customHeight="1" x14ac:dyDescent="0.15">
      <c r="A5472" s="33" t="s">
        <v>4471</v>
      </c>
      <c r="B5472" s="33">
        <v>39</v>
      </c>
      <c r="C5472" s="33" t="s">
        <v>14</v>
      </c>
      <c r="D5472" s="33" t="s">
        <v>79</v>
      </c>
      <c r="E5472" s="33" t="s">
        <v>4472</v>
      </c>
      <c r="F5472" s="67">
        <v>42019</v>
      </c>
      <c r="G5472" s="33" t="s">
        <v>4473</v>
      </c>
      <c r="H5472" s="33" t="s">
        <v>3508</v>
      </c>
      <c r="I5472" s="33" t="s">
        <v>192</v>
      </c>
      <c r="J5472" s="33" t="s">
        <v>3509</v>
      </c>
      <c r="K5472" s="33" t="s">
        <v>3510</v>
      </c>
      <c r="L5472" s="33" t="s">
        <v>3511</v>
      </c>
      <c r="M5472" s="33" t="s">
        <v>21</v>
      </c>
      <c r="N5472" s="33" t="s">
        <v>4474</v>
      </c>
      <c r="O5472" s="33" t="s">
        <v>4311</v>
      </c>
      <c r="P5472" s="33" t="s">
        <v>30089</v>
      </c>
      <c r="Q5472" s="40" t="s">
        <v>4475</v>
      </c>
      <c r="R5472" s="33" t="s">
        <v>94</v>
      </c>
      <c r="S5472" s="33" t="s">
        <v>22</v>
      </c>
      <c r="T5472" s="33" t="s">
        <v>26781</v>
      </c>
      <c r="U5472" s="33" t="s">
        <v>26572</v>
      </c>
      <c r="V5472" s="33" t="s">
        <v>26573</v>
      </c>
      <c r="W5472" s="33" t="s">
        <v>94</v>
      </c>
      <c r="X5472" s="33">
        <v>57</v>
      </c>
      <c r="Z5472" s="33" t="s">
        <v>42968</v>
      </c>
      <c r="AA5472" s="33">
        <v>2193</v>
      </c>
    </row>
    <row r="5473" spans="1:27" ht="12" customHeight="1" x14ac:dyDescent="0.15">
      <c r="A5473" s="33" t="s">
        <v>4497</v>
      </c>
      <c r="B5473" s="33">
        <v>36</v>
      </c>
      <c r="C5473" s="33" t="s">
        <v>14</v>
      </c>
      <c r="D5473" s="33" t="s">
        <v>42</v>
      </c>
      <c r="F5473" s="67">
        <v>42019</v>
      </c>
      <c r="G5473" s="33" t="s">
        <v>4498</v>
      </c>
      <c r="H5473" s="33" t="s">
        <v>4499</v>
      </c>
      <c r="I5473" s="33" t="s">
        <v>39</v>
      </c>
      <c r="J5473" s="33" t="s">
        <v>4500</v>
      </c>
      <c r="K5473" s="33" t="s">
        <v>3145</v>
      </c>
      <c r="L5473" s="33" t="s">
        <v>4501</v>
      </c>
      <c r="M5473" s="33" t="s">
        <v>21</v>
      </c>
      <c r="N5473" s="33" t="s">
        <v>4502</v>
      </c>
      <c r="O5473" s="33" t="s">
        <v>950</v>
      </c>
      <c r="P5473" s="33" t="s">
        <v>30089</v>
      </c>
      <c r="Q5473" s="40" t="s">
        <v>4503</v>
      </c>
      <c r="R5473" s="33" t="s">
        <v>512</v>
      </c>
      <c r="S5473" s="33" t="s">
        <v>22</v>
      </c>
      <c r="T5473" s="33" t="s">
        <v>26774</v>
      </c>
      <c r="U5473" s="33" t="s">
        <v>26570</v>
      </c>
      <c r="V5473" s="33" t="s">
        <v>26573</v>
      </c>
      <c r="W5473" s="33" t="s">
        <v>94</v>
      </c>
      <c r="X5473" s="33">
        <v>63</v>
      </c>
      <c r="Z5473" s="33" t="s">
        <v>42968</v>
      </c>
      <c r="AA5473" s="33">
        <v>2196</v>
      </c>
    </row>
    <row r="5474" spans="1:27" ht="12" customHeight="1" x14ac:dyDescent="0.15">
      <c r="A5474" s="33" t="s">
        <v>4484</v>
      </c>
      <c r="B5474" s="33">
        <v>27</v>
      </c>
      <c r="C5474" s="33" t="s">
        <v>14</v>
      </c>
      <c r="D5474" s="33" t="s">
        <v>79</v>
      </c>
      <c r="E5474" s="33" t="s">
        <v>4485</v>
      </c>
      <c r="F5474" s="67">
        <v>42019</v>
      </c>
      <c r="G5474" s="33" t="s">
        <v>4486</v>
      </c>
      <c r="H5474" s="33" t="s">
        <v>197</v>
      </c>
      <c r="I5474" s="33" t="s">
        <v>198</v>
      </c>
      <c r="J5474" s="33" t="s">
        <v>4487</v>
      </c>
      <c r="K5474" s="33" t="s">
        <v>392</v>
      </c>
      <c r="L5474" s="33" t="s">
        <v>199</v>
      </c>
      <c r="M5474" s="33" t="s">
        <v>21</v>
      </c>
      <c r="N5474" s="33" t="s">
        <v>4488</v>
      </c>
      <c r="O5474" s="33" t="s">
        <v>950</v>
      </c>
      <c r="P5474" s="33" t="s">
        <v>30089</v>
      </c>
      <c r="Q5474" s="40" t="s">
        <v>4489</v>
      </c>
      <c r="R5474" s="33" t="s">
        <v>94</v>
      </c>
      <c r="S5474" s="33" t="s">
        <v>22</v>
      </c>
      <c r="T5474" s="33" t="s">
        <v>26781</v>
      </c>
      <c r="U5474" s="33" t="s">
        <v>26572</v>
      </c>
      <c r="V5474" s="33" t="s">
        <v>26574</v>
      </c>
      <c r="W5474" s="33" t="s">
        <v>94</v>
      </c>
      <c r="X5474" s="33">
        <v>56</v>
      </c>
      <c r="Z5474" s="33" t="s">
        <v>42968</v>
      </c>
      <c r="AA5474" s="33">
        <v>2192</v>
      </c>
    </row>
    <row r="5475" spans="1:27" ht="12" customHeight="1" x14ac:dyDescent="0.15">
      <c r="A5475" s="33" t="s">
        <v>4532</v>
      </c>
      <c r="B5475" s="33">
        <v>68</v>
      </c>
      <c r="C5475" s="33" t="s">
        <v>14</v>
      </c>
      <c r="D5475" s="33" t="s">
        <v>31</v>
      </c>
      <c r="E5475" s="33" t="s">
        <v>4533</v>
      </c>
      <c r="F5475" s="67">
        <v>42018</v>
      </c>
      <c r="G5475" s="33" t="s">
        <v>4534</v>
      </c>
      <c r="H5475" s="33" t="s">
        <v>4535</v>
      </c>
      <c r="I5475" s="33" t="s">
        <v>67</v>
      </c>
      <c r="J5475" s="33" t="s">
        <v>4536</v>
      </c>
      <c r="K5475" s="33" t="s">
        <v>4537</v>
      </c>
      <c r="L5475" s="33" t="s">
        <v>4538</v>
      </c>
      <c r="M5475" s="33" t="s">
        <v>21</v>
      </c>
      <c r="N5475" s="33" t="s">
        <v>4539</v>
      </c>
      <c r="O5475" s="33" t="s">
        <v>950</v>
      </c>
      <c r="P5475" s="33" t="s">
        <v>30089</v>
      </c>
      <c r="Q5475" s="40" t="s">
        <v>4540</v>
      </c>
      <c r="R5475" s="33" t="s">
        <v>23</v>
      </c>
      <c r="S5475" s="33" t="s">
        <v>22</v>
      </c>
      <c r="T5475" s="33" t="s">
        <v>26781</v>
      </c>
      <c r="U5475" s="33" t="s">
        <v>26572</v>
      </c>
      <c r="V5475" s="33" t="s">
        <v>26573</v>
      </c>
      <c r="W5475" s="33" t="s">
        <v>94</v>
      </c>
      <c r="X5475" s="33">
        <v>54</v>
      </c>
      <c r="Z5475" s="33" t="s">
        <v>42968</v>
      </c>
      <c r="AA5475" s="33">
        <v>2186</v>
      </c>
    </row>
    <row r="5476" spans="1:27" ht="12" customHeight="1" x14ac:dyDescent="0.15">
      <c r="A5476" s="33" t="s">
        <v>4525</v>
      </c>
      <c r="B5476" s="33">
        <v>75</v>
      </c>
      <c r="C5476" s="33" t="s">
        <v>14</v>
      </c>
      <c r="D5476" s="33" t="s">
        <v>31</v>
      </c>
      <c r="F5476" s="67">
        <v>42018</v>
      </c>
      <c r="G5476" s="33" t="s">
        <v>4526</v>
      </c>
      <c r="H5476" s="33" t="s">
        <v>4527</v>
      </c>
      <c r="I5476" s="33" t="s">
        <v>75</v>
      </c>
      <c r="J5476" s="33" t="s">
        <v>4528</v>
      </c>
      <c r="K5476" s="33" t="s">
        <v>36</v>
      </c>
      <c r="L5476" s="33" t="s">
        <v>4529</v>
      </c>
      <c r="M5476" s="33" t="s">
        <v>21</v>
      </c>
      <c r="N5476" s="33" t="s">
        <v>4530</v>
      </c>
      <c r="O5476" s="33" t="s">
        <v>372</v>
      </c>
      <c r="P5476" s="33" t="s">
        <v>30089</v>
      </c>
      <c r="Q5476" s="40" t="s">
        <v>4531</v>
      </c>
      <c r="R5476" s="33" t="s">
        <v>23</v>
      </c>
      <c r="S5476" s="33" t="s">
        <v>22</v>
      </c>
      <c r="T5476" s="33" t="s">
        <v>26774</v>
      </c>
      <c r="U5476" s="33" t="s">
        <v>26572</v>
      </c>
      <c r="V5476" s="33" t="s">
        <v>26573</v>
      </c>
      <c r="W5476" s="33" t="s">
        <v>94</v>
      </c>
      <c r="X5476" s="33">
        <v>52</v>
      </c>
      <c r="Z5476" s="33" t="s">
        <v>42968</v>
      </c>
      <c r="AA5476" s="33">
        <v>2187</v>
      </c>
    </row>
    <row r="5477" spans="1:27" ht="12" customHeight="1" x14ac:dyDescent="0.15">
      <c r="A5477" s="33" t="s">
        <v>4550</v>
      </c>
      <c r="B5477" s="33">
        <v>34</v>
      </c>
      <c r="C5477" s="33" t="s">
        <v>14</v>
      </c>
      <c r="D5477" s="33" t="s">
        <v>31</v>
      </c>
      <c r="E5477" s="33" t="s">
        <v>4551</v>
      </c>
      <c r="F5477" s="67">
        <v>42018</v>
      </c>
      <c r="G5477" s="33" t="s">
        <v>4552</v>
      </c>
      <c r="H5477" s="33" t="s">
        <v>4553</v>
      </c>
      <c r="I5477" s="33" t="s">
        <v>221</v>
      </c>
      <c r="J5477" s="33" t="s">
        <v>4554</v>
      </c>
      <c r="K5477" s="33" t="s">
        <v>564</v>
      </c>
      <c r="L5477" s="33" t="s">
        <v>4555</v>
      </c>
      <c r="M5477" s="33" t="s">
        <v>21</v>
      </c>
      <c r="N5477" s="33" t="s">
        <v>4556</v>
      </c>
      <c r="O5477" s="33" t="s">
        <v>950</v>
      </c>
      <c r="P5477" s="33" t="s">
        <v>30089</v>
      </c>
      <c r="Q5477" s="40" t="s">
        <v>4557</v>
      </c>
      <c r="R5477" s="33" t="s">
        <v>23</v>
      </c>
      <c r="S5477" s="33" t="s">
        <v>22</v>
      </c>
      <c r="T5477" s="33" t="s">
        <v>26774</v>
      </c>
      <c r="U5477" s="33" t="s">
        <v>26572</v>
      </c>
      <c r="V5477" s="33" t="s">
        <v>26573</v>
      </c>
      <c r="W5477" s="33" t="s">
        <v>512</v>
      </c>
      <c r="X5477" s="33">
        <v>55</v>
      </c>
      <c r="Z5477" s="33" t="s">
        <v>42968</v>
      </c>
      <c r="AA5477" s="33">
        <v>2188</v>
      </c>
    </row>
    <row r="5478" spans="1:27" ht="12" customHeight="1" x14ac:dyDescent="0.15">
      <c r="A5478" s="33" t="s">
        <v>4541</v>
      </c>
      <c r="B5478" s="33">
        <v>29</v>
      </c>
      <c r="C5478" s="33" t="s">
        <v>14</v>
      </c>
      <c r="D5478" s="33" t="s">
        <v>31</v>
      </c>
      <c r="E5478" s="33" t="s">
        <v>4542</v>
      </c>
      <c r="F5478" s="67">
        <v>42018</v>
      </c>
      <c r="G5478" s="33" t="s">
        <v>4543</v>
      </c>
      <c r="H5478" s="33" t="s">
        <v>4544</v>
      </c>
      <c r="I5478" s="33" t="s">
        <v>402</v>
      </c>
      <c r="J5478" s="33" t="s">
        <v>4545</v>
      </c>
      <c r="K5478" s="33" t="s">
        <v>1203</v>
      </c>
      <c r="L5478" s="33" t="s">
        <v>4546</v>
      </c>
      <c r="M5478" s="33" t="s">
        <v>21</v>
      </c>
      <c r="N5478" s="33" t="s">
        <v>4547</v>
      </c>
      <c r="O5478" s="33" t="s">
        <v>950</v>
      </c>
      <c r="P5478" s="33" t="s">
        <v>30089</v>
      </c>
      <c r="Q5478" s="40" t="s">
        <v>4548</v>
      </c>
      <c r="R5478" s="33" t="s">
        <v>94</v>
      </c>
      <c r="S5478" s="33" t="s">
        <v>351</v>
      </c>
      <c r="T5478" s="33" t="s">
        <v>26867</v>
      </c>
      <c r="U5478" s="33" t="s">
        <v>26572</v>
      </c>
      <c r="V5478" s="33" t="s">
        <v>26573</v>
      </c>
      <c r="W5478" s="33" t="s">
        <v>94</v>
      </c>
      <c r="X5478" s="33">
        <v>50</v>
      </c>
      <c r="Z5478" s="33" t="s">
        <v>42967</v>
      </c>
      <c r="AA5478" s="33">
        <v>2190</v>
      </c>
    </row>
    <row r="5479" spans="1:27" ht="12" customHeight="1" x14ac:dyDescent="0.15">
      <c r="A5479" s="33" t="s">
        <v>4518</v>
      </c>
      <c r="B5479" s="33">
        <v>24</v>
      </c>
      <c r="C5479" s="33" t="s">
        <v>14</v>
      </c>
      <c r="D5479" s="33" t="s">
        <v>79</v>
      </c>
      <c r="E5479" s="33" t="s">
        <v>4519</v>
      </c>
      <c r="F5479" s="67">
        <v>42018</v>
      </c>
      <c r="G5479" s="33" t="s">
        <v>4520</v>
      </c>
      <c r="H5479" s="33" t="s">
        <v>3289</v>
      </c>
      <c r="I5479" s="33" t="s">
        <v>122</v>
      </c>
      <c r="J5479" s="33" t="s">
        <v>4521</v>
      </c>
      <c r="K5479" s="33" t="s">
        <v>3291</v>
      </c>
      <c r="L5479" s="33" t="s">
        <v>4522</v>
      </c>
      <c r="M5479" s="33" t="s">
        <v>21</v>
      </c>
      <c r="N5479" s="33" t="s">
        <v>4523</v>
      </c>
      <c r="O5479" s="33" t="s">
        <v>372</v>
      </c>
      <c r="P5479" s="33" t="s">
        <v>30089</v>
      </c>
      <c r="Q5479" s="40" t="s">
        <v>4524</v>
      </c>
      <c r="R5479" s="33" t="s">
        <v>23</v>
      </c>
      <c r="S5479" s="33" t="s">
        <v>351</v>
      </c>
      <c r="T5479" s="33" t="s">
        <v>26867</v>
      </c>
      <c r="U5479" s="33" t="s">
        <v>26572</v>
      </c>
      <c r="V5479" s="33" t="s">
        <v>26573</v>
      </c>
      <c r="W5479" s="33" t="s">
        <v>94</v>
      </c>
      <c r="X5479" s="33">
        <v>49</v>
      </c>
      <c r="Z5479" s="33" t="s">
        <v>42966</v>
      </c>
      <c r="AA5479" s="33">
        <v>2189</v>
      </c>
    </row>
    <row r="5480" spans="1:27" ht="12" customHeight="1" x14ac:dyDescent="0.15">
      <c r="A5480" s="33" t="s">
        <v>4558</v>
      </c>
      <c r="B5480" s="33">
        <v>34</v>
      </c>
      <c r="C5480" s="33" t="s">
        <v>14</v>
      </c>
      <c r="D5480" s="33" t="s">
        <v>31</v>
      </c>
      <c r="E5480" s="33" t="s">
        <v>4559</v>
      </c>
      <c r="F5480" s="67">
        <v>42017</v>
      </c>
      <c r="G5480" s="33" t="s">
        <v>4560</v>
      </c>
      <c r="H5480" s="33" t="s">
        <v>866</v>
      </c>
      <c r="I5480" s="33" t="s">
        <v>178</v>
      </c>
      <c r="J5480" s="33" t="s">
        <v>4561</v>
      </c>
      <c r="K5480" s="33" t="s">
        <v>433</v>
      </c>
      <c r="L5480" s="33" t="s">
        <v>4562</v>
      </c>
      <c r="M5480" s="33" t="s">
        <v>21</v>
      </c>
      <c r="N5480" s="33" t="s">
        <v>36782</v>
      </c>
      <c r="O5480" s="33" t="s">
        <v>950</v>
      </c>
      <c r="P5480" s="33" t="s">
        <v>30089</v>
      </c>
      <c r="Q5480" s="40" t="s">
        <v>4563</v>
      </c>
      <c r="R5480" s="33" t="s">
        <v>94</v>
      </c>
      <c r="S5480" s="33" t="s">
        <v>22</v>
      </c>
      <c r="T5480" s="33" t="s">
        <v>26781</v>
      </c>
      <c r="U5480" s="33" t="s">
        <v>26572</v>
      </c>
      <c r="V5480" s="33" t="s">
        <v>26574</v>
      </c>
      <c r="W5480" s="33" t="s">
        <v>512</v>
      </c>
      <c r="X5480" s="33">
        <v>46</v>
      </c>
      <c r="Z5480" s="33" t="s">
        <v>42966</v>
      </c>
      <c r="AA5480" s="33">
        <v>2184</v>
      </c>
    </row>
    <row r="5481" spans="1:27" ht="12" customHeight="1" x14ac:dyDescent="0.15">
      <c r="A5481" s="33" t="s">
        <v>4564</v>
      </c>
      <c r="B5481" s="33">
        <v>43</v>
      </c>
      <c r="C5481" s="33" t="s">
        <v>14</v>
      </c>
      <c r="D5481" s="33" t="s">
        <v>31</v>
      </c>
      <c r="E5481" s="33" t="s">
        <v>4565</v>
      </c>
      <c r="F5481" s="67">
        <v>42017</v>
      </c>
      <c r="G5481" s="33" t="s">
        <v>4566</v>
      </c>
      <c r="H5481" s="33" t="s">
        <v>4567</v>
      </c>
      <c r="I5481" s="33" t="s">
        <v>67</v>
      </c>
      <c r="J5481" s="33" t="s">
        <v>4568</v>
      </c>
      <c r="K5481" s="33" t="s">
        <v>4569</v>
      </c>
      <c r="L5481" s="33" t="s">
        <v>4570</v>
      </c>
      <c r="M5481" s="33" t="s">
        <v>21</v>
      </c>
      <c r="N5481" s="33" t="s">
        <v>4571</v>
      </c>
      <c r="O5481" s="33" t="s">
        <v>372</v>
      </c>
      <c r="P5481" s="33" t="s">
        <v>30089</v>
      </c>
      <c r="Q5481" s="40" t="s">
        <v>4572</v>
      </c>
      <c r="R5481" s="33" t="s">
        <v>512</v>
      </c>
      <c r="S5481" s="33" t="s">
        <v>22</v>
      </c>
      <c r="T5481" s="33" t="s">
        <v>26774</v>
      </c>
      <c r="U5481" s="33" t="s">
        <v>26570</v>
      </c>
      <c r="V5481" s="33" t="s">
        <v>26573</v>
      </c>
      <c r="W5481" s="33" t="s">
        <v>94</v>
      </c>
      <c r="X5481" s="33">
        <v>48</v>
      </c>
      <c r="Z5481" s="33" t="s">
        <v>42967</v>
      </c>
      <c r="AA5481" s="33">
        <v>2185</v>
      </c>
    </row>
    <row r="5482" spans="1:27" ht="12" customHeight="1" x14ac:dyDescent="0.15">
      <c r="A5482" s="33" t="s">
        <v>4578</v>
      </c>
      <c r="B5482" s="33">
        <v>23</v>
      </c>
      <c r="C5482" s="33" t="s">
        <v>14</v>
      </c>
      <c r="D5482" s="33" t="s">
        <v>42</v>
      </c>
      <c r="F5482" s="67">
        <v>42015</v>
      </c>
      <c r="G5482" s="33" t="s">
        <v>4579</v>
      </c>
      <c r="H5482" s="33" t="s">
        <v>3390</v>
      </c>
      <c r="I5482" s="33" t="s">
        <v>39</v>
      </c>
      <c r="J5482" s="33" t="s">
        <v>3391</v>
      </c>
      <c r="K5482" s="33" t="s">
        <v>92</v>
      </c>
      <c r="L5482" s="33" t="s">
        <v>386</v>
      </c>
      <c r="M5482" s="33" t="s">
        <v>21</v>
      </c>
      <c r="N5482" s="33" t="s">
        <v>4580</v>
      </c>
      <c r="O5482" s="33" t="s">
        <v>372</v>
      </c>
      <c r="P5482" s="33" t="s">
        <v>30089</v>
      </c>
      <c r="Q5482" s="40" t="s">
        <v>4581</v>
      </c>
      <c r="R5482" s="33" t="s">
        <v>94</v>
      </c>
      <c r="S5482" s="33" t="s">
        <v>22</v>
      </c>
      <c r="T5482" s="33" t="s">
        <v>26781</v>
      </c>
      <c r="U5482" s="33" t="s">
        <v>26572</v>
      </c>
      <c r="V5482" s="33" t="s">
        <v>26573</v>
      </c>
      <c r="W5482" s="33" t="s">
        <v>94</v>
      </c>
      <c r="X5482" s="33">
        <v>43</v>
      </c>
      <c r="Z5482" s="33" t="s">
        <v>42966</v>
      </c>
      <c r="AA5482" s="33">
        <v>2182</v>
      </c>
    </row>
    <row r="5483" spans="1:27" ht="12" customHeight="1" x14ac:dyDescent="0.15">
      <c r="A5483" s="33" t="s">
        <v>4573</v>
      </c>
      <c r="B5483" s="33">
        <v>29</v>
      </c>
      <c r="C5483" s="33" t="s">
        <v>14</v>
      </c>
      <c r="D5483" s="33" t="s">
        <v>42</v>
      </c>
      <c r="F5483" s="67">
        <v>42015</v>
      </c>
      <c r="G5483" s="33" t="s">
        <v>4574</v>
      </c>
      <c r="H5483" s="33" t="s">
        <v>249</v>
      </c>
      <c r="I5483" s="33" t="s">
        <v>250</v>
      </c>
      <c r="J5483" s="33" t="s">
        <v>4575</v>
      </c>
      <c r="K5483" s="33" t="s">
        <v>527</v>
      </c>
      <c r="L5483" s="33" t="s">
        <v>251</v>
      </c>
      <c r="M5483" s="33" t="s">
        <v>4966</v>
      </c>
      <c r="N5483" s="33" t="s">
        <v>4576</v>
      </c>
      <c r="O5483" s="33" t="s">
        <v>372</v>
      </c>
      <c r="P5483" s="33" t="s">
        <v>30089</v>
      </c>
      <c r="Q5483" s="40" t="s">
        <v>4577</v>
      </c>
      <c r="R5483" s="33" t="s">
        <v>94</v>
      </c>
      <c r="S5483" s="33" t="s">
        <v>22</v>
      </c>
      <c r="T5483" s="33" t="s">
        <v>26781</v>
      </c>
      <c r="U5483" s="33" t="s">
        <v>26572</v>
      </c>
      <c r="V5483" s="33" t="s">
        <v>26574</v>
      </c>
      <c r="W5483" s="33" t="s">
        <v>94</v>
      </c>
      <c r="X5483" s="33">
        <v>45</v>
      </c>
      <c r="Z5483" s="33" t="s">
        <v>42966</v>
      </c>
      <c r="AA5483" s="33">
        <v>2183</v>
      </c>
    </row>
    <row r="5484" spans="1:27" ht="12" customHeight="1" x14ac:dyDescent="0.15">
      <c r="A5484" s="33" t="s">
        <v>4582</v>
      </c>
      <c r="B5484" s="33">
        <v>39</v>
      </c>
      <c r="C5484" s="33" t="s">
        <v>14</v>
      </c>
      <c r="D5484" s="33" t="s">
        <v>31</v>
      </c>
      <c r="E5484" s="33" t="s">
        <v>4583</v>
      </c>
      <c r="F5484" s="67">
        <v>42015</v>
      </c>
      <c r="G5484" s="33" t="s">
        <v>4584</v>
      </c>
      <c r="H5484" s="33" t="s">
        <v>4585</v>
      </c>
      <c r="I5484" s="33" t="s">
        <v>38</v>
      </c>
      <c r="J5484" s="33" t="s">
        <v>4586</v>
      </c>
      <c r="K5484" s="33" t="s">
        <v>882</v>
      </c>
      <c r="L5484" s="33" t="s">
        <v>4587</v>
      </c>
      <c r="M5484" s="33" t="s">
        <v>21</v>
      </c>
      <c r="N5484" s="33" t="s">
        <v>4588</v>
      </c>
      <c r="O5484" s="33" t="s">
        <v>950</v>
      </c>
      <c r="P5484" s="33" t="s">
        <v>30089</v>
      </c>
      <c r="Q5484" s="40" t="s">
        <v>4589</v>
      </c>
      <c r="R5484" s="33" t="s">
        <v>512</v>
      </c>
      <c r="S5484" s="33" t="s">
        <v>22</v>
      </c>
      <c r="T5484" s="33" t="s">
        <v>26781</v>
      </c>
      <c r="U5484" s="33" t="s">
        <v>26572</v>
      </c>
      <c r="V5484" s="33" t="s">
        <v>26573</v>
      </c>
      <c r="W5484" s="33" t="s">
        <v>94</v>
      </c>
      <c r="X5484" s="33">
        <v>42</v>
      </c>
      <c r="Z5484" s="33" t="s">
        <v>42967</v>
      </c>
      <c r="AA5484" s="33">
        <v>2181</v>
      </c>
    </row>
    <row r="5485" spans="1:27" ht="12" customHeight="1" x14ac:dyDescent="0.15">
      <c r="A5485" s="33" t="s">
        <v>4590</v>
      </c>
      <c r="B5485" s="33">
        <v>71</v>
      </c>
      <c r="C5485" s="33" t="s">
        <v>14</v>
      </c>
      <c r="D5485" s="33" t="s">
        <v>31</v>
      </c>
      <c r="F5485" s="67">
        <v>42013</v>
      </c>
      <c r="G5485" s="33" t="s">
        <v>4591</v>
      </c>
      <c r="H5485" s="33" t="s">
        <v>4592</v>
      </c>
      <c r="I5485" s="33" t="s">
        <v>918</v>
      </c>
      <c r="J5485" s="33" t="s">
        <v>4593</v>
      </c>
      <c r="K5485" s="33" t="s">
        <v>2108</v>
      </c>
      <c r="L5485" s="33" t="s">
        <v>4594</v>
      </c>
      <c r="M5485" s="33" t="s">
        <v>21</v>
      </c>
      <c r="N5485" s="33" t="s">
        <v>4595</v>
      </c>
      <c r="O5485" s="33" t="s">
        <v>507</v>
      </c>
      <c r="P5485" s="33" t="s">
        <v>30089</v>
      </c>
      <c r="Q5485" s="40" t="s">
        <v>4596</v>
      </c>
      <c r="R5485" s="33" t="s">
        <v>94</v>
      </c>
      <c r="S5485" s="33" t="s">
        <v>22</v>
      </c>
      <c r="T5485" s="33" t="s">
        <v>26781</v>
      </c>
      <c r="U5485" s="33" t="s">
        <v>26572</v>
      </c>
      <c r="V5485" s="33" t="s">
        <v>26573</v>
      </c>
      <c r="W5485" s="33" t="s">
        <v>94</v>
      </c>
      <c r="X5485" s="33">
        <v>38</v>
      </c>
      <c r="Z5485" s="33" t="s">
        <v>42967</v>
      </c>
      <c r="AA5485" s="33">
        <v>2180</v>
      </c>
    </row>
    <row r="5486" spans="1:27" ht="12" customHeight="1" x14ac:dyDescent="0.15">
      <c r="A5486" s="33" t="s">
        <v>4613</v>
      </c>
      <c r="B5486" s="33">
        <v>42</v>
      </c>
      <c r="C5486" s="33" t="s">
        <v>14</v>
      </c>
      <c r="D5486" s="33" t="s">
        <v>31</v>
      </c>
      <c r="E5486" s="33" t="s">
        <v>4614</v>
      </c>
      <c r="F5486" s="67">
        <v>42012</v>
      </c>
      <c r="G5486" s="33" t="s">
        <v>4615</v>
      </c>
      <c r="H5486" s="33" t="s">
        <v>220</v>
      </c>
      <c r="I5486" s="33" t="s">
        <v>221</v>
      </c>
      <c r="J5486" s="33" t="s">
        <v>4616</v>
      </c>
      <c r="K5486" s="33" t="s">
        <v>564</v>
      </c>
      <c r="L5486" s="33" t="s">
        <v>222</v>
      </c>
      <c r="M5486" s="33" t="s">
        <v>21</v>
      </c>
      <c r="N5486" s="33" t="s">
        <v>4617</v>
      </c>
      <c r="O5486" s="33" t="s">
        <v>372</v>
      </c>
      <c r="P5486" s="33" t="s">
        <v>30089</v>
      </c>
      <c r="Q5486" s="40" t="s">
        <v>4618</v>
      </c>
      <c r="R5486" s="33" t="s">
        <v>23</v>
      </c>
      <c r="S5486" s="33" t="s">
        <v>29</v>
      </c>
      <c r="T5486" s="33" t="s">
        <v>26604</v>
      </c>
      <c r="U5486" s="33" t="s">
        <v>26572</v>
      </c>
      <c r="V5486" s="33" t="s">
        <v>26573</v>
      </c>
      <c r="W5486" s="33" t="s">
        <v>512</v>
      </c>
      <c r="X5486" s="33">
        <v>32</v>
      </c>
      <c r="Z5486" s="33" t="s">
        <v>42968</v>
      </c>
      <c r="AA5486" s="33">
        <v>2177</v>
      </c>
    </row>
    <row r="5487" spans="1:27" ht="12" customHeight="1" x14ac:dyDescent="0.15">
      <c r="A5487" s="33" t="s">
        <v>4619</v>
      </c>
      <c r="B5487" s="33">
        <v>28</v>
      </c>
      <c r="C5487" s="33" t="s">
        <v>14</v>
      </c>
      <c r="D5487" s="33" t="s">
        <v>31</v>
      </c>
      <c r="E5487" s="33" t="s">
        <v>4620</v>
      </c>
      <c r="F5487" s="67">
        <v>42012</v>
      </c>
      <c r="G5487" s="33" t="s">
        <v>4621</v>
      </c>
      <c r="H5487" s="33" t="s">
        <v>4622</v>
      </c>
      <c r="I5487" s="33" t="s">
        <v>798</v>
      </c>
      <c r="J5487" s="33" t="s">
        <v>4623</v>
      </c>
      <c r="K5487" s="33" t="s">
        <v>4221</v>
      </c>
      <c r="L5487" s="33" t="s">
        <v>4624</v>
      </c>
      <c r="M5487" s="33" t="s">
        <v>21</v>
      </c>
      <c r="N5487" s="33" t="s">
        <v>4625</v>
      </c>
      <c r="O5487" s="33" t="s">
        <v>372</v>
      </c>
      <c r="P5487" s="33" t="s">
        <v>30089</v>
      </c>
      <c r="Q5487" s="40" t="s">
        <v>4626</v>
      </c>
      <c r="R5487" s="33" t="s">
        <v>94</v>
      </c>
      <c r="S5487" s="33" t="s">
        <v>351</v>
      </c>
      <c r="T5487" s="33" t="s">
        <v>26867</v>
      </c>
      <c r="U5487" s="33" t="s">
        <v>26575</v>
      </c>
      <c r="V5487" s="33" t="s">
        <v>26573</v>
      </c>
      <c r="W5487" s="33" t="s">
        <v>94</v>
      </c>
      <c r="X5487" s="33">
        <v>29</v>
      </c>
      <c r="Z5487" s="33" t="s">
        <v>42967</v>
      </c>
      <c r="AA5487" s="33">
        <v>2179</v>
      </c>
    </row>
    <row r="5488" spans="1:27" ht="12" customHeight="1" x14ac:dyDescent="0.15">
      <c r="A5488" s="33" t="s">
        <v>4597</v>
      </c>
      <c r="B5488" s="33">
        <v>49</v>
      </c>
      <c r="C5488" s="33" t="s">
        <v>14</v>
      </c>
      <c r="D5488" s="33" t="s">
        <v>31</v>
      </c>
      <c r="E5488" s="33" t="s">
        <v>4598</v>
      </c>
      <c r="F5488" s="67">
        <v>42012</v>
      </c>
      <c r="G5488" s="33" t="s">
        <v>4599</v>
      </c>
      <c r="H5488" s="33" t="s">
        <v>4600</v>
      </c>
      <c r="I5488" s="33" t="s">
        <v>221</v>
      </c>
      <c r="J5488" s="33" t="s">
        <v>4601</v>
      </c>
      <c r="K5488" s="33" t="s">
        <v>4602</v>
      </c>
      <c r="L5488" s="33" t="s">
        <v>4603</v>
      </c>
      <c r="M5488" s="33" t="s">
        <v>21</v>
      </c>
      <c r="N5488" s="33" t="s">
        <v>4604</v>
      </c>
      <c r="O5488" s="33" t="s">
        <v>950</v>
      </c>
      <c r="P5488" s="33" t="s">
        <v>30089</v>
      </c>
      <c r="Q5488" s="40" t="s">
        <v>4605</v>
      </c>
      <c r="R5488" s="33" t="s">
        <v>512</v>
      </c>
      <c r="S5488" s="33" t="s">
        <v>22</v>
      </c>
      <c r="T5488" s="33" t="s">
        <v>26781</v>
      </c>
      <c r="U5488" s="33" t="s">
        <v>26572</v>
      </c>
      <c r="V5488" s="33" t="s">
        <v>26573</v>
      </c>
      <c r="W5488" s="33" t="s">
        <v>512</v>
      </c>
      <c r="X5488" s="33">
        <v>37</v>
      </c>
      <c r="Z5488" s="33" t="s">
        <v>42968</v>
      </c>
      <c r="AA5488" s="33">
        <v>2176</v>
      </c>
    </row>
    <row r="5489" spans="1:27" ht="12" customHeight="1" x14ac:dyDescent="0.15">
      <c r="A5489" s="33" t="s">
        <v>4606</v>
      </c>
      <c r="B5489" s="33">
        <v>36</v>
      </c>
      <c r="C5489" s="33" t="s">
        <v>14</v>
      </c>
      <c r="D5489" s="33" t="s">
        <v>79</v>
      </c>
      <c r="E5489" s="33" t="s">
        <v>4607</v>
      </c>
      <c r="F5489" s="67">
        <v>42012</v>
      </c>
      <c r="G5489" s="33" t="s">
        <v>4608</v>
      </c>
      <c r="H5489" s="33" t="s">
        <v>4609</v>
      </c>
      <c r="I5489" s="33" t="s">
        <v>918</v>
      </c>
      <c r="J5489" s="33" t="s">
        <v>4610</v>
      </c>
      <c r="K5489" s="33" t="s">
        <v>622</v>
      </c>
      <c r="L5489" s="33" t="s">
        <v>4611</v>
      </c>
      <c r="M5489" s="33" t="s">
        <v>21</v>
      </c>
      <c r="N5489" s="33" t="s">
        <v>4612</v>
      </c>
      <c r="O5489" s="33" t="s">
        <v>372</v>
      </c>
      <c r="P5489" s="33" t="s">
        <v>30089</v>
      </c>
      <c r="Q5489" s="40" t="str">
        <f>HYPERLINK("http://www.greenfieldreporter.com/view/story/f769fa01fc134dab9ebc78994015adf8/AR--Fatal-Pharmacy-Robbery","http://www.greenfieldreporter.com/view/story/f769fa01fc134dab9ebc78994015adf8/AR--Fatal-Pharmacy-Robbery")</f>
        <v>http://www.greenfieldreporter.com/view/story/f769fa01fc134dab9ebc78994015adf8/AR--Fatal-Pharmacy-Robbery</v>
      </c>
      <c r="R5489" s="33" t="s">
        <v>94</v>
      </c>
      <c r="S5489" s="33" t="s">
        <v>12</v>
      </c>
      <c r="T5489" s="33" t="s">
        <v>29705</v>
      </c>
      <c r="U5489" s="33" t="s">
        <v>26572</v>
      </c>
      <c r="V5489" s="33" t="s">
        <v>26573</v>
      </c>
      <c r="W5489" s="33" t="s">
        <v>94</v>
      </c>
      <c r="X5489" s="33">
        <v>36</v>
      </c>
      <c r="Z5489" s="33" t="s">
        <v>42967</v>
      </c>
      <c r="AA5489" s="33">
        <v>2178</v>
      </c>
    </row>
    <row r="5490" spans="1:27" ht="12" customHeight="1" x14ac:dyDescent="0.15">
      <c r="A5490" s="33" t="s">
        <v>4652</v>
      </c>
      <c r="B5490" s="33">
        <v>30</v>
      </c>
      <c r="C5490" s="33" t="s">
        <v>14</v>
      </c>
      <c r="D5490" s="33" t="s">
        <v>31</v>
      </c>
      <c r="E5490" s="33" t="s">
        <v>4653</v>
      </c>
      <c r="F5490" s="67">
        <v>42011</v>
      </c>
      <c r="G5490" s="33" t="s">
        <v>4654</v>
      </c>
      <c r="H5490" s="33" t="s">
        <v>1734</v>
      </c>
      <c r="I5490" s="33" t="s">
        <v>342</v>
      </c>
      <c r="J5490" s="33" t="s">
        <v>4655</v>
      </c>
      <c r="K5490" s="33" t="s">
        <v>1736</v>
      </c>
      <c r="L5490" s="33" t="s">
        <v>1737</v>
      </c>
      <c r="M5490" s="33" t="s">
        <v>21</v>
      </c>
      <c r="N5490" s="33" t="s">
        <v>36783</v>
      </c>
      <c r="O5490" s="33" t="s">
        <v>372</v>
      </c>
      <c r="P5490" s="33" t="s">
        <v>30089</v>
      </c>
      <c r="Q5490" s="40" t="s">
        <v>4656</v>
      </c>
      <c r="R5490" s="33" t="s">
        <v>94</v>
      </c>
      <c r="S5490" s="33" t="s">
        <v>22</v>
      </c>
      <c r="T5490" s="33" t="s">
        <v>26781</v>
      </c>
      <c r="U5490" s="33" t="s">
        <v>26572</v>
      </c>
      <c r="V5490" s="33" t="s">
        <v>26571</v>
      </c>
      <c r="W5490" s="33" t="s">
        <v>94</v>
      </c>
      <c r="X5490" s="33">
        <v>25</v>
      </c>
      <c r="Z5490" s="33" t="s">
        <v>42966</v>
      </c>
      <c r="AA5490" s="33">
        <v>2171</v>
      </c>
    </row>
    <row r="5491" spans="1:27" ht="12" customHeight="1" x14ac:dyDescent="0.15">
      <c r="A5491" s="33" t="s">
        <v>4657</v>
      </c>
      <c r="B5491" s="33">
        <v>31</v>
      </c>
      <c r="C5491" s="33" t="s">
        <v>14</v>
      </c>
      <c r="D5491" s="33" t="s">
        <v>31</v>
      </c>
      <c r="E5491" s="33" t="s">
        <v>4658</v>
      </c>
      <c r="F5491" s="67">
        <v>42011</v>
      </c>
      <c r="G5491" s="33" t="s">
        <v>4659</v>
      </c>
      <c r="H5491" s="33" t="s">
        <v>4660</v>
      </c>
      <c r="I5491" s="33" t="s">
        <v>38</v>
      </c>
      <c r="J5491" s="33" t="s">
        <v>4661</v>
      </c>
      <c r="K5491" s="33" t="s">
        <v>82</v>
      </c>
      <c r="L5491" s="33" t="s">
        <v>4662</v>
      </c>
      <c r="M5491" s="33" t="s">
        <v>21</v>
      </c>
      <c r="N5491" s="33" t="s">
        <v>4663</v>
      </c>
      <c r="O5491" s="33" t="s">
        <v>372</v>
      </c>
      <c r="P5491" s="33" t="s">
        <v>30089</v>
      </c>
      <c r="Q5491" s="40" t="s">
        <v>4664</v>
      </c>
      <c r="R5491" s="33" t="s">
        <v>23</v>
      </c>
      <c r="S5491" s="33" t="s">
        <v>351</v>
      </c>
      <c r="T5491" s="1" t="s">
        <v>42983</v>
      </c>
      <c r="Y5491" s="33" t="s">
        <v>42476</v>
      </c>
      <c r="Z5491" s="33" t="s">
        <v>42966</v>
      </c>
      <c r="AA5491" s="33">
        <v>2175</v>
      </c>
    </row>
    <row r="5492" spans="1:27" ht="12" customHeight="1" x14ac:dyDescent="0.15">
      <c r="A5492" s="33" t="s">
        <v>4633</v>
      </c>
      <c r="B5492" s="33">
        <v>31</v>
      </c>
      <c r="C5492" s="33" t="s">
        <v>14</v>
      </c>
      <c r="D5492" s="33" t="s">
        <v>79</v>
      </c>
      <c r="E5492" s="33" t="s">
        <v>4634</v>
      </c>
      <c r="F5492" s="67">
        <v>42011</v>
      </c>
      <c r="G5492" s="33" t="s">
        <v>4635</v>
      </c>
      <c r="H5492" s="33" t="s">
        <v>4636</v>
      </c>
      <c r="I5492" s="33" t="s">
        <v>67</v>
      </c>
      <c r="J5492" s="33" t="s">
        <v>4637</v>
      </c>
      <c r="K5492" s="33" t="s">
        <v>4537</v>
      </c>
      <c r="L5492" s="33" t="s">
        <v>4638</v>
      </c>
      <c r="M5492" s="33" t="s">
        <v>21</v>
      </c>
      <c r="N5492" s="33" t="s">
        <v>4639</v>
      </c>
      <c r="O5492" s="33" t="s">
        <v>507</v>
      </c>
      <c r="P5492" s="33" t="s">
        <v>30089</v>
      </c>
      <c r="Q5492" s="40" t="s">
        <v>4640</v>
      </c>
      <c r="R5492" s="33" t="s">
        <v>94</v>
      </c>
      <c r="S5492" s="33" t="s">
        <v>22</v>
      </c>
      <c r="T5492" s="33" t="s">
        <v>26781</v>
      </c>
      <c r="U5492" s="33" t="s">
        <v>26572</v>
      </c>
      <c r="V5492" s="33" t="s">
        <v>26573</v>
      </c>
      <c r="W5492" s="33" t="s">
        <v>94</v>
      </c>
      <c r="X5492" s="33">
        <v>21</v>
      </c>
      <c r="Z5492" s="33" t="s">
        <v>42967</v>
      </c>
      <c r="AA5492" s="33">
        <v>2170</v>
      </c>
    </row>
    <row r="5493" spans="1:27" ht="12" customHeight="1" x14ac:dyDescent="0.15">
      <c r="A5493" s="33" t="s">
        <v>4627</v>
      </c>
      <c r="B5493" s="33">
        <v>41</v>
      </c>
      <c r="C5493" s="33" t="s">
        <v>14</v>
      </c>
      <c r="D5493" s="33" t="s">
        <v>79</v>
      </c>
      <c r="E5493" s="33" t="s">
        <v>4628</v>
      </c>
      <c r="F5493" s="67">
        <v>42011</v>
      </c>
      <c r="G5493" s="33" t="s">
        <v>4629</v>
      </c>
      <c r="H5493" s="33" t="s">
        <v>1202</v>
      </c>
      <c r="I5493" s="33" t="s">
        <v>63</v>
      </c>
      <c r="J5493" s="33" t="s">
        <v>4630</v>
      </c>
      <c r="K5493" s="33" t="s">
        <v>1203</v>
      </c>
      <c r="L5493" s="33" t="s">
        <v>11441</v>
      </c>
      <c r="M5493" s="33" t="s">
        <v>21</v>
      </c>
      <c r="N5493" s="33" t="s">
        <v>4631</v>
      </c>
      <c r="O5493" s="33" t="s">
        <v>507</v>
      </c>
      <c r="P5493" s="33" t="s">
        <v>30089</v>
      </c>
      <c r="Q5493" s="40" t="s">
        <v>4632</v>
      </c>
      <c r="R5493" s="33" t="s">
        <v>512</v>
      </c>
      <c r="S5493" s="33" t="s">
        <v>22</v>
      </c>
      <c r="T5493" s="33" t="s">
        <v>26774</v>
      </c>
      <c r="U5493" s="33" t="s">
        <v>26570</v>
      </c>
      <c r="V5493" s="33" t="s">
        <v>26573</v>
      </c>
      <c r="W5493" s="33" t="s">
        <v>94</v>
      </c>
      <c r="X5493" s="33">
        <v>22</v>
      </c>
      <c r="Z5493" s="33" t="s">
        <v>42968</v>
      </c>
      <c r="AA5493" s="33">
        <v>2173</v>
      </c>
    </row>
    <row r="5494" spans="1:27" ht="12" customHeight="1" x14ac:dyDescent="0.15">
      <c r="A5494" s="33" t="s">
        <v>4646</v>
      </c>
      <c r="B5494" s="33">
        <v>42</v>
      </c>
      <c r="C5494" s="33" t="s">
        <v>14</v>
      </c>
      <c r="D5494" s="33" t="s">
        <v>79</v>
      </c>
      <c r="E5494" s="33" t="s">
        <v>4647</v>
      </c>
      <c r="F5494" s="67">
        <v>42011</v>
      </c>
      <c r="G5494" s="33" t="s">
        <v>4648</v>
      </c>
      <c r="H5494" s="33" t="s">
        <v>3060</v>
      </c>
      <c r="I5494" s="33" t="s">
        <v>432</v>
      </c>
      <c r="J5494" s="33" t="s">
        <v>4649</v>
      </c>
      <c r="K5494" s="33" t="s">
        <v>2014</v>
      </c>
      <c r="L5494" s="33" t="s">
        <v>36353</v>
      </c>
      <c r="M5494" s="33" t="s">
        <v>363</v>
      </c>
      <c r="N5494" s="33" t="s">
        <v>4651</v>
      </c>
      <c r="O5494" s="33" t="s">
        <v>372</v>
      </c>
      <c r="P5494" s="33" t="s">
        <v>30089</v>
      </c>
      <c r="Q5494" s="40" t="str">
        <f>HYPERLINK("http://www.omaha.com/news/crime/autopsy-results-to-be-released-soon-in-case-of-man/article_57e6f9c6-981e-11e4-84ef-dfff4d2c6e13.html","http://www.omaha.com/news/crime/autopsy-results-to-be-released-soon-in-case-of-man/article_57e6f9c6-981e-11e4-84ef-dfff4d2c6e13.html")</f>
        <v>http://www.omaha.com/news/crime/autopsy-results-to-be-released-soon-in-case-of-man/article_57e6f9c6-981e-11e4-84ef-dfff4d2c6e13.html</v>
      </c>
      <c r="R5494" s="33" t="s">
        <v>23</v>
      </c>
      <c r="S5494" s="33" t="s">
        <v>12</v>
      </c>
      <c r="T5494" s="54" t="s">
        <v>29705</v>
      </c>
      <c r="Z5494" s="33" t="s">
        <v>42968</v>
      </c>
      <c r="AA5494" s="33">
        <v>2174</v>
      </c>
    </row>
    <row r="5495" spans="1:27" ht="12" customHeight="1" x14ac:dyDescent="0.15">
      <c r="A5495" s="33" t="s">
        <v>4641</v>
      </c>
      <c r="B5495" s="33">
        <v>37</v>
      </c>
      <c r="C5495" s="33" t="s">
        <v>14</v>
      </c>
      <c r="D5495" s="33" t="s">
        <v>79</v>
      </c>
      <c r="F5495" s="67">
        <v>42011</v>
      </c>
      <c r="G5495" s="33" t="s">
        <v>4642</v>
      </c>
      <c r="H5495" s="33" t="s">
        <v>979</v>
      </c>
      <c r="I5495" s="33" t="s">
        <v>19</v>
      </c>
      <c r="J5495" s="33" t="s">
        <v>4643</v>
      </c>
      <c r="K5495" s="33" t="s">
        <v>2393</v>
      </c>
      <c r="L5495" s="33" t="s">
        <v>980</v>
      </c>
      <c r="M5495" s="33" t="s">
        <v>21</v>
      </c>
      <c r="N5495" s="33" t="s">
        <v>4644</v>
      </c>
      <c r="O5495" s="33" t="s">
        <v>507</v>
      </c>
      <c r="P5495" s="33" t="s">
        <v>30089</v>
      </c>
      <c r="Q5495" s="40" t="s">
        <v>4645</v>
      </c>
      <c r="R5495" s="33" t="s">
        <v>94</v>
      </c>
      <c r="S5495" s="33" t="s">
        <v>22</v>
      </c>
      <c r="T5495" s="33" t="s">
        <v>26781</v>
      </c>
      <c r="U5495" s="33" t="s">
        <v>26572</v>
      </c>
      <c r="V5495" s="33" t="s">
        <v>26574</v>
      </c>
      <c r="W5495" s="33" t="s">
        <v>512</v>
      </c>
      <c r="X5495" s="33">
        <v>27</v>
      </c>
      <c r="Z5495" s="33" t="s">
        <v>42966</v>
      </c>
      <c r="AA5495" s="33">
        <v>2172</v>
      </c>
    </row>
    <row r="5496" spans="1:27" ht="12" customHeight="1" x14ac:dyDescent="0.15">
      <c r="A5496" s="33" t="s">
        <v>4681</v>
      </c>
      <c r="B5496" s="33">
        <v>35</v>
      </c>
      <c r="C5496" s="33" t="s">
        <v>14</v>
      </c>
      <c r="D5496" s="33" t="s">
        <v>31</v>
      </c>
      <c r="E5496" s="33" t="s">
        <v>4682</v>
      </c>
      <c r="F5496" s="67">
        <v>42010</v>
      </c>
      <c r="G5496" s="33" t="s">
        <v>4683</v>
      </c>
      <c r="H5496" s="33" t="s">
        <v>4684</v>
      </c>
      <c r="I5496" s="33" t="s">
        <v>337</v>
      </c>
      <c r="J5496" s="33" t="s">
        <v>4685</v>
      </c>
      <c r="K5496" s="33" t="s">
        <v>4686</v>
      </c>
      <c r="L5496" s="33" t="s">
        <v>36382</v>
      </c>
      <c r="M5496" s="33" t="s">
        <v>21</v>
      </c>
      <c r="N5496" s="33" t="s">
        <v>4687</v>
      </c>
      <c r="O5496" s="33" t="s">
        <v>507</v>
      </c>
      <c r="P5496" s="33" t="s">
        <v>30089</v>
      </c>
      <c r="Q5496" s="40" t="s">
        <v>4688</v>
      </c>
      <c r="R5496" s="33" t="s">
        <v>904</v>
      </c>
      <c r="S5496" s="33" t="s">
        <v>22</v>
      </c>
      <c r="T5496" s="33" t="s">
        <v>26781</v>
      </c>
      <c r="U5496" s="33" t="s">
        <v>26572</v>
      </c>
      <c r="V5496" s="33" t="s">
        <v>26573</v>
      </c>
      <c r="W5496" s="33" t="s">
        <v>94</v>
      </c>
      <c r="X5496" s="33">
        <v>15</v>
      </c>
      <c r="Z5496" s="33" t="s">
        <v>42967</v>
      </c>
      <c r="AA5496" s="33">
        <v>2165</v>
      </c>
    </row>
    <row r="5497" spans="1:27" ht="12" customHeight="1" x14ac:dyDescent="0.15">
      <c r="A5497" s="33" t="s">
        <v>4675</v>
      </c>
      <c r="B5497" s="33">
        <v>25</v>
      </c>
      <c r="C5497" s="33" t="s">
        <v>14</v>
      </c>
      <c r="D5497" s="33" t="s">
        <v>31</v>
      </c>
      <c r="E5497" s="33" t="s">
        <v>4676</v>
      </c>
      <c r="F5497" s="67">
        <v>42010</v>
      </c>
      <c r="G5497" s="33" t="s">
        <v>4677</v>
      </c>
      <c r="H5497" s="33" t="s">
        <v>1645</v>
      </c>
      <c r="I5497" s="33" t="s">
        <v>39</v>
      </c>
      <c r="J5497" s="33" t="s">
        <v>4678</v>
      </c>
      <c r="K5497" s="33" t="s">
        <v>1647</v>
      </c>
      <c r="L5497" s="33" t="s">
        <v>1648</v>
      </c>
      <c r="M5497" s="33" t="s">
        <v>4966</v>
      </c>
      <c r="N5497" s="33" t="s">
        <v>4679</v>
      </c>
      <c r="O5497" s="33" t="s">
        <v>950</v>
      </c>
      <c r="P5497" s="33" t="s">
        <v>30089</v>
      </c>
      <c r="Q5497" s="40" t="s">
        <v>4680</v>
      </c>
      <c r="R5497" s="33" t="s">
        <v>904</v>
      </c>
      <c r="S5497" s="33" t="s">
        <v>22</v>
      </c>
      <c r="T5497" s="33" t="s">
        <v>26774</v>
      </c>
      <c r="U5497" s="33" t="s">
        <v>26572</v>
      </c>
      <c r="V5497" s="33" t="s">
        <v>26573</v>
      </c>
      <c r="W5497" s="33" t="s">
        <v>94</v>
      </c>
      <c r="X5497" s="33">
        <v>19</v>
      </c>
      <c r="Z5497" s="33" t="s">
        <v>42968</v>
      </c>
      <c r="AA5497" s="33">
        <v>2166</v>
      </c>
    </row>
    <row r="5498" spans="1:27" ht="12" customHeight="1" x14ac:dyDescent="0.15">
      <c r="A5498" s="33" t="s">
        <v>4665</v>
      </c>
      <c r="B5498" s="33">
        <v>26</v>
      </c>
      <c r="C5498" s="33" t="s">
        <v>14</v>
      </c>
      <c r="D5498" s="33" t="s">
        <v>79</v>
      </c>
      <c r="F5498" s="67">
        <v>42010</v>
      </c>
      <c r="G5498" s="33" t="s">
        <v>4666</v>
      </c>
      <c r="H5498" s="33" t="s">
        <v>92</v>
      </c>
      <c r="I5498" s="33" t="s">
        <v>39</v>
      </c>
      <c r="J5498" s="33" t="s">
        <v>4667</v>
      </c>
      <c r="K5498" s="33" t="s">
        <v>92</v>
      </c>
      <c r="L5498" s="33" t="s">
        <v>386</v>
      </c>
      <c r="M5498" s="33" t="s">
        <v>363</v>
      </c>
      <c r="N5498" s="33" t="s">
        <v>4668</v>
      </c>
      <c r="O5498" s="33" t="s">
        <v>372</v>
      </c>
      <c r="P5498" s="33" t="s">
        <v>30089</v>
      </c>
      <c r="Q5498" s="40" t="str">
        <f>HYPERLINK("http://www.latimes.com/local/lanow/la-me-ln-taser-death-20150107-story.html","http://www.latimes.com/local/lanow/la-me-ln-taser-death-20150107-story.html")</f>
        <v>http://www.latimes.com/local/lanow/la-me-ln-taser-death-20150107-story.html</v>
      </c>
      <c r="R5498" s="33" t="s">
        <v>904</v>
      </c>
      <c r="S5498" s="33" t="s">
        <v>12</v>
      </c>
      <c r="T5498" s="54" t="s">
        <v>29705</v>
      </c>
      <c r="Z5498" s="33" t="s">
        <v>42966</v>
      </c>
      <c r="AA5498" s="33">
        <v>2169</v>
      </c>
    </row>
    <row r="5499" spans="1:27" ht="12" customHeight="1" x14ac:dyDescent="0.15">
      <c r="A5499" s="33" t="s">
        <v>4669</v>
      </c>
      <c r="B5499" s="33">
        <v>47</v>
      </c>
      <c r="C5499" s="33" t="s">
        <v>14</v>
      </c>
      <c r="D5499" s="33" t="s">
        <v>79</v>
      </c>
      <c r="E5499" s="33" t="s">
        <v>4670</v>
      </c>
      <c r="F5499" s="67">
        <v>42010</v>
      </c>
      <c r="G5499" s="33" t="s">
        <v>4671</v>
      </c>
      <c r="H5499" s="33" t="s">
        <v>359</v>
      </c>
      <c r="I5499" s="33" t="s">
        <v>376</v>
      </c>
      <c r="J5499" s="33" t="s">
        <v>4672</v>
      </c>
      <c r="K5499" s="33" t="s">
        <v>1530</v>
      </c>
      <c r="L5499" s="33" t="s">
        <v>5161</v>
      </c>
      <c r="M5499" s="33" t="s">
        <v>21</v>
      </c>
      <c r="N5499" s="33" t="s">
        <v>4673</v>
      </c>
      <c r="O5499" s="33" t="s">
        <v>950</v>
      </c>
      <c r="P5499" s="33" t="s">
        <v>30089</v>
      </c>
      <c r="Q5499" s="40" t="s">
        <v>4674</v>
      </c>
      <c r="R5499" s="33" t="s">
        <v>94</v>
      </c>
      <c r="S5499" s="33" t="s">
        <v>12</v>
      </c>
      <c r="T5499" s="33" t="s">
        <v>29425</v>
      </c>
      <c r="U5499" s="33" t="s">
        <v>26572</v>
      </c>
      <c r="V5499" s="33" t="s">
        <v>26573</v>
      </c>
      <c r="W5499" s="33" t="s">
        <v>94</v>
      </c>
      <c r="X5499" s="33">
        <v>17</v>
      </c>
      <c r="Z5499" s="33" t="s">
        <v>42966</v>
      </c>
      <c r="AA5499" s="33">
        <v>2167</v>
      </c>
    </row>
    <row r="5500" spans="1:27" ht="12" customHeight="1" x14ac:dyDescent="0.15">
      <c r="A5500" s="33" t="s">
        <v>4689</v>
      </c>
      <c r="B5500" s="33">
        <v>34</v>
      </c>
      <c r="C5500" s="33" t="s">
        <v>103</v>
      </c>
      <c r="D5500" s="33" t="s">
        <v>31</v>
      </c>
      <c r="E5500" s="33" t="s">
        <v>4690</v>
      </c>
      <c r="F5500" s="67">
        <v>42010</v>
      </c>
      <c r="G5500" s="33" t="s">
        <v>4691</v>
      </c>
      <c r="H5500" s="33" t="s">
        <v>4692</v>
      </c>
      <c r="I5500" s="33" t="s">
        <v>342</v>
      </c>
      <c r="J5500" s="33" t="s">
        <v>4693</v>
      </c>
      <c r="K5500" s="33" t="s">
        <v>1734</v>
      </c>
      <c r="L5500" s="33" t="s">
        <v>4694</v>
      </c>
      <c r="M5500" s="33" t="s">
        <v>21</v>
      </c>
      <c r="N5500" s="33" t="s">
        <v>4695</v>
      </c>
      <c r="O5500" s="33" t="s">
        <v>950</v>
      </c>
      <c r="P5500" s="33" t="s">
        <v>30089</v>
      </c>
      <c r="Q5500" s="40" t="str">
        <f>HYPERLINK("http://www.washingtonpost.com/news/the-watch/wp/2015/01/09/iowa-cop-reportedly-tries-to-shoot-dog-kills-woman-instead/","http://www.washingtonpost.com/news/the-watch/wp/2015/01/09/iowa-cop-reportedly-tries-to-shoot-dog-kills-woman-instead/")</f>
        <v>http://www.washingtonpost.com/news/the-watch/wp/2015/01/09/iowa-cop-reportedly-tries-to-shoot-dog-kills-woman-instead/</v>
      </c>
      <c r="R5500" s="33" t="s">
        <v>23</v>
      </c>
      <c r="S5500" s="33" t="s">
        <v>12</v>
      </c>
      <c r="T5500" s="33" t="s">
        <v>29705</v>
      </c>
      <c r="U5500" s="33" t="s">
        <v>26570</v>
      </c>
      <c r="V5500" s="33" t="s">
        <v>26573</v>
      </c>
      <c r="W5500" s="33" t="s">
        <v>512</v>
      </c>
      <c r="X5500" s="33">
        <v>16</v>
      </c>
      <c r="Z5500" s="33" t="s">
        <v>42968</v>
      </c>
      <c r="AA5500" s="33">
        <v>2168</v>
      </c>
    </row>
    <row r="5501" spans="1:27" ht="12" customHeight="1" x14ac:dyDescent="0.15">
      <c r="A5501" s="33" t="s">
        <v>4700</v>
      </c>
      <c r="B5501" s="33">
        <v>22</v>
      </c>
      <c r="C5501" s="33" t="s">
        <v>14</v>
      </c>
      <c r="D5501" s="33" t="s">
        <v>42</v>
      </c>
      <c r="E5501" s="33" t="s">
        <v>4701</v>
      </c>
      <c r="F5501" s="67">
        <v>42009</v>
      </c>
      <c r="G5501" s="33" t="s">
        <v>4702</v>
      </c>
      <c r="H5501" s="33" t="s">
        <v>4703</v>
      </c>
      <c r="I5501" s="33" t="s">
        <v>112</v>
      </c>
      <c r="J5501" s="33" t="s">
        <v>4704</v>
      </c>
      <c r="K5501" s="33" t="s">
        <v>585</v>
      </c>
      <c r="L5501" s="33" t="s">
        <v>4705</v>
      </c>
      <c r="M5501" s="33" t="s">
        <v>21</v>
      </c>
      <c r="N5501" s="33" t="s">
        <v>4706</v>
      </c>
      <c r="O5501" s="33" t="s">
        <v>950</v>
      </c>
      <c r="P5501" s="33" t="s">
        <v>30089</v>
      </c>
      <c r="Q5501" s="40" t="s">
        <v>4707</v>
      </c>
      <c r="R5501" s="33" t="s">
        <v>94</v>
      </c>
      <c r="S5501" s="33" t="s">
        <v>22</v>
      </c>
      <c r="T5501" s="33" t="s">
        <v>26781</v>
      </c>
      <c r="U5501" s="33" t="s">
        <v>26572</v>
      </c>
      <c r="V5501" s="33" t="s">
        <v>26571</v>
      </c>
      <c r="W5501" s="33" t="s">
        <v>94</v>
      </c>
      <c r="X5501" s="33">
        <v>13</v>
      </c>
      <c r="Z5501" s="33" t="s">
        <v>42968</v>
      </c>
      <c r="AA5501" s="33">
        <v>2164</v>
      </c>
    </row>
    <row r="5502" spans="1:27" ht="12" customHeight="1" x14ac:dyDescent="0.15">
      <c r="A5502" s="33" t="s">
        <v>4723</v>
      </c>
      <c r="B5502" s="33">
        <v>32</v>
      </c>
      <c r="C5502" s="33" t="s">
        <v>14</v>
      </c>
      <c r="D5502" s="33" t="s">
        <v>31</v>
      </c>
      <c r="F5502" s="67">
        <v>42008</v>
      </c>
      <c r="G5502" s="33" t="s">
        <v>4724</v>
      </c>
      <c r="H5502" s="33" t="s">
        <v>886</v>
      </c>
      <c r="I5502" s="33" t="s">
        <v>39</v>
      </c>
      <c r="J5502" s="33" t="s">
        <v>3681</v>
      </c>
      <c r="K5502" s="33" t="s">
        <v>886</v>
      </c>
      <c r="L5502" s="33" t="s">
        <v>887</v>
      </c>
      <c r="M5502" s="33" t="s">
        <v>21</v>
      </c>
      <c r="N5502" s="33" t="s">
        <v>4725</v>
      </c>
      <c r="O5502" s="33" t="s">
        <v>4311</v>
      </c>
      <c r="P5502" s="33" t="s">
        <v>30089</v>
      </c>
      <c r="Q5502" s="40" t="s">
        <v>4726</v>
      </c>
      <c r="R5502" s="33" t="s">
        <v>512</v>
      </c>
      <c r="S5502" s="33" t="s">
        <v>12</v>
      </c>
      <c r="T5502" s="33" t="s">
        <v>29425</v>
      </c>
      <c r="U5502" s="33" t="s">
        <v>26572</v>
      </c>
      <c r="V5502" s="33" t="s">
        <v>26573</v>
      </c>
      <c r="W5502" s="33" t="s">
        <v>94</v>
      </c>
      <c r="X5502" s="33">
        <v>8</v>
      </c>
      <c r="Z5502" s="33" t="s">
        <v>42966</v>
      </c>
      <c r="AA5502" s="33">
        <v>2163</v>
      </c>
    </row>
    <row r="5503" spans="1:27" ht="12" customHeight="1" x14ac:dyDescent="0.15">
      <c r="A5503" s="33" t="s">
        <v>4716</v>
      </c>
      <c r="B5503" s="33">
        <v>18</v>
      </c>
      <c r="C5503" s="33" t="s">
        <v>14</v>
      </c>
      <c r="D5503" s="33" t="s">
        <v>31</v>
      </c>
      <c r="E5503" s="33" t="s">
        <v>4717</v>
      </c>
      <c r="F5503" s="67">
        <v>42008</v>
      </c>
      <c r="G5503" s="33" t="s">
        <v>4718</v>
      </c>
      <c r="H5503" s="33" t="s">
        <v>4719</v>
      </c>
      <c r="I5503" s="33" t="s">
        <v>367</v>
      </c>
      <c r="J5503" s="33" t="s">
        <v>4720</v>
      </c>
      <c r="K5503" s="33" t="s">
        <v>930</v>
      </c>
      <c r="L5503" s="33" t="s">
        <v>1904</v>
      </c>
      <c r="M5503" s="33" t="s">
        <v>21</v>
      </c>
      <c r="N5503" s="33" t="s">
        <v>4721</v>
      </c>
      <c r="O5503" s="33" t="s">
        <v>950</v>
      </c>
      <c r="P5503" s="33" t="s">
        <v>30089</v>
      </c>
      <c r="Q5503" s="40" t="s">
        <v>4722</v>
      </c>
      <c r="R5503" s="33" t="s">
        <v>94</v>
      </c>
      <c r="S5503" s="33" t="s">
        <v>22</v>
      </c>
      <c r="T5503" s="33" t="s">
        <v>26781</v>
      </c>
      <c r="U5503" s="33" t="s">
        <v>26572</v>
      </c>
      <c r="V5503" s="33" t="s">
        <v>26573</v>
      </c>
      <c r="W5503" s="33" t="s">
        <v>94</v>
      </c>
      <c r="X5503" s="33">
        <v>11</v>
      </c>
      <c r="Z5503" s="33" t="s">
        <v>42967</v>
      </c>
      <c r="AA5503" s="33">
        <v>2161</v>
      </c>
    </row>
    <row r="5504" spans="1:27" ht="12" customHeight="1" x14ac:dyDescent="0.15">
      <c r="A5504" s="33" t="s">
        <v>4708</v>
      </c>
      <c r="B5504" s="33">
        <v>39</v>
      </c>
      <c r="C5504" s="33" t="s">
        <v>14</v>
      </c>
      <c r="D5504" s="33" t="s">
        <v>42</v>
      </c>
      <c r="E5504" s="33" t="s">
        <v>4709</v>
      </c>
      <c r="F5504" s="67">
        <v>42008</v>
      </c>
      <c r="G5504" s="33" t="s">
        <v>4710</v>
      </c>
      <c r="H5504" s="33" t="s">
        <v>4711</v>
      </c>
      <c r="I5504" s="33" t="s">
        <v>192</v>
      </c>
      <c r="J5504" s="33" t="s">
        <v>4712</v>
      </c>
      <c r="K5504" s="33" t="s">
        <v>1594</v>
      </c>
      <c r="L5504" s="33" t="s">
        <v>4713</v>
      </c>
      <c r="M5504" s="33" t="s">
        <v>21</v>
      </c>
      <c r="N5504" s="33" t="s">
        <v>4714</v>
      </c>
      <c r="O5504" s="33" t="s">
        <v>507</v>
      </c>
      <c r="P5504" s="33" t="s">
        <v>30089</v>
      </c>
      <c r="Q5504" s="40" t="s">
        <v>4715</v>
      </c>
      <c r="R5504" s="33" t="s">
        <v>94</v>
      </c>
      <c r="S5504" s="33" t="s">
        <v>22</v>
      </c>
      <c r="T5504" s="33" t="s">
        <v>29423</v>
      </c>
      <c r="U5504" s="33" t="s">
        <v>26572</v>
      </c>
      <c r="V5504" s="33" t="s">
        <v>26573</v>
      </c>
      <c r="W5504" s="33" t="s">
        <v>94</v>
      </c>
      <c r="X5504" s="33">
        <v>9</v>
      </c>
      <c r="Z5504" s="33" t="s">
        <v>42968</v>
      </c>
      <c r="AA5504" s="33">
        <v>2162</v>
      </c>
    </row>
    <row r="5505" spans="1:27" ht="12" customHeight="1" x14ac:dyDescent="0.15">
      <c r="A5505" s="33" t="s">
        <v>4729</v>
      </c>
      <c r="B5505" s="33">
        <v>23</v>
      </c>
      <c r="C5505" s="33" t="s">
        <v>14</v>
      </c>
      <c r="D5505" s="33" t="s">
        <v>42</v>
      </c>
      <c r="E5505" s="33" t="s">
        <v>4730</v>
      </c>
      <c r="F5505" s="67">
        <v>42007</v>
      </c>
      <c r="G5505" s="33" t="s">
        <v>4731</v>
      </c>
      <c r="H5505" s="33" t="s">
        <v>635</v>
      </c>
      <c r="I5505" s="33" t="s">
        <v>337</v>
      </c>
      <c r="J5505" s="33" t="s">
        <v>4732</v>
      </c>
      <c r="K5505" s="33" t="s">
        <v>636</v>
      </c>
      <c r="L5505" s="33" t="s">
        <v>637</v>
      </c>
      <c r="M5505" s="33" t="s">
        <v>4966</v>
      </c>
      <c r="N5505" s="33" t="s">
        <v>4733</v>
      </c>
      <c r="O5505" s="33" t="s">
        <v>950</v>
      </c>
      <c r="P5505" s="33" t="s">
        <v>30089</v>
      </c>
      <c r="Q5505" s="40" t="s">
        <v>4734</v>
      </c>
      <c r="R5505" s="33" t="s">
        <v>94</v>
      </c>
      <c r="S5505" s="33" t="s">
        <v>12</v>
      </c>
      <c r="T5505" s="33" t="s">
        <v>29705</v>
      </c>
      <c r="U5505" s="33" t="s">
        <v>26570</v>
      </c>
      <c r="V5505" s="33" t="s">
        <v>26573</v>
      </c>
      <c r="W5505" s="33" t="s">
        <v>94</v>
      </c>
      <c r="X5505" s="33">
        <v>5</v>
      </c>
      <c r="Z5505" s="33" t="s">
        <v>42966</v>
      </c>
      <c r="AA5505" s="33">
        <v>2160</v>
      </c>
    </row>
    <row r="5506" spans="1:27" ht="12" customHeight="1" x14ac:dyDescent="0.15">
      <c r="A5506" s="33" t="s">
        <v>4735</v>
      </c>
      <c r="B5506" s="33">
        <v>53</v>
      </c>
      <c r="C5506" s="33" t="s">
        <v>14</v>
      </c>
      <c r="D5506" s="33" t="s">
        <v>15</v>
      </c>
      <c r="E5506" s="33" t="s">
        <v>4736</v>
      </c>
      <c r="F5506" s="67">
        <v>42006</v>
      </c>
      <c r="G5506" s="33" t="s">
        <v>4737</v>
      </c>
      <c r="H5506" s="33" t="s">
        <v>4738</v>
      </c>
      <c r="I5506" s="33" t="s">
        <v>282</v>
      </c>
      <c r="J5506" s="33" t="s">
        <v>4739</v>
      </c>
      <c r="K5506" s="33" t="s">
        <v>650</v>
      </c>
      <c r="L5506" s="33" t="s">
        <v>651</v>
      </c>
      <c r="M5506" s="33" t="s">
        <v>21</v>
      </c>
      <c r="N5506" s="33" t="s">
        <v>4740</v>
      </c>
      <c r="O5506" s="33" t="s">
        <v>950</v>
      </c>
      <c r="P5506" s="33" t="s">
        <v>30089</v>
      </c>
      <c r="Q5506" s="40" t="s">
        <v>4741</v>
      </c>
      <c r="R5506" s="33" t="s">
        <v>512</v>
      </c>
      <c r="S5506" s="33" t="s">
        <v>22</v>
      </c>
      <c r="T5506" s="33" t="s">
        <v>26781</v>
      </c>
      <c r="U5506" s="33" t="s">
        <v>26572</v>
      </c>
      <c r="V5506" s="33" t="s">
        <v>26573</v>
      </c>
      <c r="W5506" s="33" t="s">
        <v>94</v>
      </c>
      <c r="X5506" s="33">
        <v>3</v>
      </c>
      <c r="Z5506" s="33" t="s">
        <v>42967</v>
      </c>
      <c r="AA5506" s="33">
        <v>2158</v>
      </c>
    </row>
    <row r="5507" spans="1:27" ht="12" customHeight="1" x14ac:dyDescent="0.15">
      <c r="A5507" s="33" t="s">
        <v>4742</v>
      </c>
      <c r="B5507" s="33">
        <v>47</v>
      </c>
      <c r="C5507" s="33" t="s">
        <v>14</v>
      </c>
      <c r="D5507" s="33" t="s">
        <v>31</v>
      </c>
      <c r="F5507" s="67">
        <v>42006</v>
      </c>
      <c r="G5507" s="33" t="s">
        <v>4743</v>
      </c>
      <c r="H5507" s="33" t="s">
        <v>105</v>
      </c>
      <c r="I5507" s="33" t="s">
        <v>106</v>
      </c>
      <c r="J5507" s="33" t="s">
        <v>4744</v>
      </c>
      <c r="K5507" s="33" t="s">
        <v>107</v>
      </c>
      <c r="L5507" s="33" t="s">
        <v>108</v>
      </c>
      <c r="M5507" s="33" t="s">
        <v>21</v>
      </c>
      <c r="N5507" s="33" t="s">
        <v>4745</v>
      </c>
      <c r="O5507" s="33" t="s">
        <v>950</v>
      </c>
      <c r="P5507" s="33" t="s">
        <v>30089</v>
      </c>
      <c r="Q5507" s="40" t="s">
        <v>4746</v>
      </c>
      <c r="R5507" s="33" t="s">
        <v>904</v>
      </c>
      <c r="S5507" s="33" t="s">
        <v>22</v>
      </c>
      <c r="T5507" s="33" t="s">
        <v>26781</v>
      </c>
      <c r="U5507" s="33" t="s">
        <v>26572</v>
      </c>
      <c r="V5507" s="33" t="s">
        <v>26573</v>
      </c>
      <c r="W5507" s="33" t="s">
        <v>94</v>
      </c>
      <c r="X5507" s="33">
        <v>4</v>
      </c>
      <c r="Z5507" s="33" t="s">
        <v>42968</v>
      </c>
      <c r="AA5507" s="33">
        <v>2159</v>
      </c>
    </row>
    <row r="5508" spans="1:27" ht="12" customHeight="1" x14ac:dyDescent="0.15">
      <c r="A5508" s="33" t="s">
        <v>4748</v>
      </c>
      <c r="B5508" s="33">
        <v>18</v>
      </c>
      <c r="C5508" s="33" t="s">
        <v>14</v>
      </c>
      <c r="D5508" s="33" t="s">
        <v>42</v>
      </c>
      <c r="E5508" s="33" t="str">
        <f>HYPERLINK("http://www.miamiherald.com/news/local/community/florida-keys/tfsh2c/picture5621952/ALTERNATES/FREE_960/Roberto.jpg","http://www.miamiherald.com/news/local/community/florida-keys/tfsh2c/picture5621952/ALTERNATES/FREE_960/Roberto.jpg")</f>
        <v>http://www.miamiherald.com/news/local/community/florida-keys/tfsh2c/picture5621952/ALTERNATES/FREE_960/Roberto.jpg</v>
      </c>
      <c r="F5508" s="67">
        <v>42005</v>
      </c>
      <c r="G5508" s="33" t="s">
        <v>4749</v>
      </c>
      <c r="H5508" s="33" t="s">
        <v>4750</v>
      </c>
      <c r="I5508" s="33" t="s">
        <v>56</v>
      </c>
      <c r="J5508" s="33" t="s">
        <v>4751</v>
      </c>
      <c r="K5508" s="33" t="s">
        <v>1037</v>
      </c>
      <c r="L5508" s="33" t="s">
        <v>4752</v>
      </c>
      <c r="M5508" s="33" t="s">
        <v>363</v>
      </c>
      <c r="N5508" s="33" t="s">
        <v>4753</v>
      </c>
      <c r="O5508" s="33" t="s">
        <v>950</v>
      </c>
      <c r="P5508" s="33" t="s">
        <v>30089</v>
      </c>
      <c r="Q5508" s="40" t="str">
        <f>HYPERLINK("http://www.miamiherald.com/news/local/community/florida-keys/article5621958.html","http://www.miamiherald.com/news/local/community/florida-keys/article5621958.html")</f>
        <v>http://www.miamiherald.com/news/local/community/florida-keys/article5621958.html</v>
      </c>
      <c r="R5508" s="33" t="s">
        <v>904</v>
      </c>
      <c r="S5508" s="33" t="s">
        <v>12</v>
      </c>
      <c r="T5508" s="54" t="s">
        <v>29705</v>
      </c>
      <c r="Z5508" s="33" t="s">
        <v>42968</v>
      </c>
      <c r="AA5508" s="33">
        <v>2157</v>
      </c>
    </row>
    <row r="5509" spans="1:27" ht="12" customHeight="1" x14ac:dyDescent="0.15">
      <c r="A5509" s="33" t="s">
        <v>4769</v>
      </c>
      <c r="B5509" s="33">
        <v>20</v>
      </c>
      <c r="C5509" s="33" t="s">
        <v>14</v>
      </c>
      <c r="D5509" s="33" t="s">
        <v>31</v>
      </c>
      <c r="F5509" s="67">
        <v>42004</v>
      </c>
      <c r="G5509" s="33" t="s">
        <v>4770</v>
      </c>
      <c r="H5509" s="33" t="s">
        <v>4771</v>
      </c>
      <c r="I5509" s="33" t="s">
        <v>798</v>
      </c>
      <c r="J5509" s="33">
        <v>59808</v>
      </c>
      <c r="K5509" s="33" t="s">
        <v>4771</v>
      </c>
      <c r="L5509" s="33" t="s">
        <v>4772</v>
      </c>
      <c r="M5509" s="33" t="s">
        <v>21</v>
      </c>
      <c r="N5509" s="33" t="s">
        <v>4773</v>
      </c>
      <c r="O5509" s="33" t="s">
        <v>507</v>
      </c>
      <c r="P5509" s="33" t="s">
        <v>30089</v>
      </c>
      <c r="Q5509" s="40" t="s">
        <v>4774</v>
      </c>
      <c r="R5509" s="33" t="s">
        <v>904</v>
      </c>
      <c r="S5509" s="33" t="s">
        <v>12</v>
      </c>
      <c r="T5509" s="54" t="s">
        <v>29705</v>
      </c>
      <c r="Z5509" s="33" t="s">
        <v>42967</v>
      </c>
      <c r="AA5509" s="33">
        <v>2156</v>
      </c>
    </row>
    <row r="5510" spans="1:27" ht="12" customHeight="1" x14ac:dyDescent="0.15">
      <c r="A5510" s="33" t="s">
        <v>4755</v>
      </c>
      <c r="B5510" s="33">
        <v>44</v>
      </c>
      <c r="C5510" s="33" t="s">
        <v>14</v>
      </c>
      <c r="D5510" s="33" t="s">
        <v>79</v>
      </c>
      <c r="E5510" s="33" t="str">
        <f>HYPERLINK("http://i.guim.co.uk/static/w-620/h--/q-95/sys-images/Guardian/Pix/pictures/2015/2/12/1423748301468/7245d83a-eba5-4117-8f2b-584fc9f566e8-bestSizeAvailable.jpeg","http://i.guim.co.uk/static/w-620/h--/q-95/sys-images/Guardian/Pix/pictures/2015/2/12/1423748301468/7245d83a-eba5-4117-8f2b-584fc9f566e8-bestSizeAvailable.jpeg")</f>
        <v>http://i.guim.co.uk/static/w-620/h--/q-95/sys-images/Guardian/Pix/pictures/2015/2/12/1423748301468/7245d83a-eba5-4117-8f2b-584fc9f566e8-bestSizeAvailable.jpeg</v>
      </c>
      <c r="F5510" s="67">
        <v>42004</v>
      </c>
      <c r="H5510" s="33" t="s">
        <v>974</v>
      </c>
      <c r="I5510" s="33" t="s">
        <v>160</v>
      </c>
      <c r="J5510" s="33">
        <v>30030</v>
      </c>
      <c r="K5510" s="33" t="s">
        <v>805</v>
      </c>
      <c r="L5510" s="33" t="s">
        <v>806</v>
      </c>
      <c r="M5510" s="33" t="s">
        <v>21</v>
      </c>
      <c r="N5510" s="33" t="s">
        <v>36785</v>
      </c>
      <c r="P5510" s="33" t="s">
        <v>30089</v>
      </c>
      <c r="Q5510" s="40" t="str">
        <f>HYPERLINK("http://www.alternet.org/news-amp-politics/kevin-davis-called-cops-help-out-friend-trouble-and-was-shot-death-police-his","http://www.alternet.org/news-amp-politics/kevin-davis-called-cops-help-out-friend-trouble-and-was-shot-death-police-his")</f>
        <v>http://www.alternet.org/news-amp-politics/kevin-davis-called-cops-help-out-friend-trouble-and-was-shot-death-police-his</v>
      </c>
      <c r="R5510" s="33" t="s">
        <v>94</v>
      </c>
      <c r="S5510" s="33" t="s">
        <v>22</v>
      </c>
      <c r="T5510" s="1" t="s">
        <v>26781</v>
      </c>
      <c r="Z5510" s="33" t="s">
        <v>42968</v>
      </c>
      <c r="AA5510" s="33">
        <v>2153</v>
      </c>
    </row>
    <row r="5511" spans="1:27" ht="12" customHeight="1" x14ac:dyDescent="0.15">
      <c r="A5511" s="33" t="s">
        <v>4756</v>
      </c>
      <c r="B5511" s="33">
        <v>28</v>
      </c>
      <c r="C5511" s="33" t="s">
        <v>14</v>
      </c>
      <c r="D5511" s="33" t="s">
        <v>79</v>
      </c>
      <c r="E5511" s="33" t="str">
        <f>HYPERLINK("http://www.miamiherald.com/news/local/crime/2xyin4/picture5303859/ALTERNATES/FREE_960/Eric%20Tyrone%20Forbes.jpg","http://www.miamiherald.com/news/local/crime/2xyin4/picture5303859/ALTERNATES/FREE_960/Eric%20Tyrone%20Forbes.jpg")</f>
        <v>http://www.miamiherald.com/news/local/crime/2xyin4/picture5303859/ALTERNATES/FREE_960/Eric%20Tyrone%20Forbes.jpg</v>
      </c>
      <c r="F5511" s="67">
        <v>42004</v>
      </c>
      <c r="G5511" s="33" t="s">
        <v>4757</v>
      </c>
      <c r="H5511" s="33" t="s">
        <v>196</v>
      </c>
      <c r="I5511" s="33" t="s">
        <v>56</v>
      </c>
      <c r="J5511" s="33">
        <v>33150</v>
      </c>
      <c r="K5511" s="33" t="s">
        <v>1052</v>
      </c>
      <c r="L5511" s="33" t="s">
        <v>4758</v>
      </c>
      <c r="M5511" s="33" t="s">
        <v>21</v>
      </c>
      <c r="N5511" s="33" t="s">
        <v>36784</v>
      </c>
      <c r="P5511" s="33" t="s">
        <v>30089</v>
      </c>
      <c r="Q5511" s="40" t="str">
        <f>HYPERLINK("http://www.local10.com/news/1-dead-in-new-years-eve-policeinvolved-shooting-in-miami/30477214","http://www.local10.com/news/1-dead-in-new-years-eve-policeinvolved-shooting-in-miami/30477214")</f>
        <v>http://www.local10.com/news/1-dead-in-new-years-eve-policeinvolved-shooting-in-miami/30477214</v>
      </c>
      <c r="R5511" s="33" t="s">
        <v>94</v>
      </c>
      <c r="S5511" s="33" t="s">
        <v>22</v>
      </c>
      <c r="T5511" s="1" t="s">
        <v>26781</v>
      </c>
      <c r="Z5511" s="33" t="s">
        <v>42966</v>
      </c>
      <c r="AA5511" s="33">
        <v>2152</v>
      </c>
    </row>
    <row r="5512" spans="1:27" ht="12" customHeight="1" x14ac:dyDescent="0.15">
      <c r="A5512" s="33" t="s">
        <v>4759</v>
      </c>
      <c r="B5512" s="33">
        <v>34</v>
      </c>
      <c r="C5512" s="33" t="s">
        <v>14</v>
      </c>
      <c r="D5512" s="33" t="s">
        <v>42</v>
      </c>
      <c r="F5512" s="67">
        <v>42004</v>
      </c>
      <c r="G5512" s="33" t="s">
        <v>4760</v>
      </c>
      <c r="H5512" s="33" t="s">
        <v>4761</v>
      </c>
      <c r="I5512" s="33" t="s">
        <v>367</v>
      </c>
      <c r="J5512" s="33">
        <v>73072</v>
      </c>
      <c r="K5512" s="33" t="s">
        <v>924</v>
      </c>
      <c r="L5512" s="33" t="s">
        <v>4762</v>
      </c>
      <c r="M5512" s="33" t="s">
        <v>21</v>
      </c>
      <c r="N5512" s="33" t="s">
        <v>4763</v>
      </c>
      <c r="O5512" s="33" t="s">
        <v>507</v>
      </c>
      <c r="P5512" s="33" t="s">
        <v>30089</v>
      </c>
      <c r="Q5512" s="40" t="s">
        <v>4764</v>
      </c>
      <c r="R5512" s="33" t="s">
        <v>904</v>
      </c>
      <c r="S5512" s="33" t="s">
        <v>22</v>
      </c>
      <c r="T5512" s="1" t="s">
        <v>26594</v>
      </c>
      <c r="Z5512" s="33" t="s">
        <v>42968</v>
      </c>
      <c r="AA5512" s="33">
        <v>2155</v>
      </c>
    </row>
    <row r="5513" spans="1:27" ht="12" customHeight="1" x14ac:dyDescent="0.15">
      <c r="A5513" s="33" t="s">
        <v>4765</v>
      </c>
      <c r="B5513" s="33">
        <v>34</v>
      </c>
      <c r="C5513" s="33" t="s">
        <v>103</v>
      </c>
      <c r="D5513" s="33" t="s">
        <v>42</v>
      </c>
      <c r="F5513" s="67">
        <v>42004</v>
      </c>
      <c r="G5513" s="33" t="s">
        <v>4766</v>
      </c>
      <c r="H5513" s="33" t="s">
        <v>4767</v>
      </c>
      <c r="I5513" s="33" t="s">
        <v>39</v>
      </c>
      <c r="J5513" s="33">
        <v>90220</v>
      </c>
      <c r="K5513" s="33" t="s">
        <v>92</v>
      </c>
      <c r="L5513" s="33" t="s">
        <v>386</v>
      </c>
      <c r="M5513" s="33" t="s">
        <v>21</v>
      </c>
      <c r="N5513" s="33" t="s">
        <v>4768</v>
      </c>
      <c r="P5513" s="33" t="s">
        <v>30089</v>
      </c>
      <c r="Q5513" s="40" t="str">
        <f>HYPERLINK("http://www.presstelegram.com/general-news/20150101/armed-woman-killed-in-compton-deputy-involved-shooting","http://www.presstelegram.com/general-news/20150101/armed-woman-killed-in-compton-deputy-involved-shooting")</f>
        <v>http://www.presstelegram.com/general-news/20150101/armed-woman-killed-in-compton-deputy-involved-shooting</v>
      </c>
      <c r="R5513" s="33" t="s">
        <v>23</v>
      </c>
      <c r="S5513" s="33" t="s">
        <v>22</v>
      </c>
      <c r="T5513" s="1" t="s">
        <v>26781</v>
      </c>
      <c r="Z5513" s="33" t="s">
        <v>42968</v>
      </c>
      <c r="AA5513" s="33">
        <v>2151</v>
      </c>
    </row>
    <row r="5514" spans="1:27" ht="12" customHeight="1" x14ac:dyDescent="0.15">
      <c r="A5514" s="33" t="s">
        <v>4775</v>
      </c>
      <c r="B5514" s="33">
        <v>48</v>
      </c>
      <c r="C5514" s="33" t="s">
        <v>14</v>
      </c>
      <c r="D5514" s="33" t="s">
        <v>31</v>
      </c>
      <c r="F5514" s="67">
        <v>42004</v>
      </c>
      <c r="H5514" s="33" t="s">
        <v>4776</v>
      </c>
      <c r="I5514" s="33" t="s">
        <v>294</v>
      </c>
      <c r="J5514" s="33">
        <v>41164</v>
      </c>
      <c r="K5514" s="33" t="s">
        <v>761</v>
      </c>
      <c r="L5514" s="33" t="s">
        <v>3101</v>
      </c>
      <c r="M5514" s="33" t="s">
        <v>21</v>
      </c>
      <c r="N5514" s="33" t="s">
        <v>4777</v>
      </c>
      <c r="P5514" s="33" t="s">
        <v>30089</v>
      </c>
      <c r="Q5514" s="40" t="s">
        <v>4778</v>
      </c>
      <c r="R5514" s="33" t="s">
        <v>23</v>
      </c>
      <c r="S5514" s="33" t="s">
        <v>22</v>
      </c>
      <c r="T5514" s="1" t="s">
        <v>26781</v>
      </c>
      <c r="Z5514" s="33" t="s">
        <v>42967</v>
      </c>
      <c r="AA5514" s="33">
        <v>2154</v>
      </c>
    </row>
    <row r="5515" spans="1:27" ht="12" customHeight="1" x14ac:dyDescent="0.15">
      <c r="A5515" s="33" t="s">
        <v>4787</v>
      </c>
      <c r="B5515" s="33">
        <v>52</v>
      </c>
      <c r="C5515" s="33" t="s">
        <v>14</v>
      </c>
      <c r="D5515" s="33" t="s">
        <v>31</v>
      </c>
      <c r="F5515" s="67">
        <v>42003</v>
      </c>
      <c r="H5515" s="33" t="s">
        <v>4788</v>
      </c>
      <c r="I5515" s="33" t="s">
        <v>376</v>
      </c>
      <c r="J5515" s="33">
        <v>19041</v>
      </c>
      <c r="K5515" s="33" t="s">
        <v>850</v>
      </c>
      <c r="L5515" s="33" t="s">
        <v>4789</v>
      </c>
      <c r="M5515" s="33" t="s">
        <v>21</v>
      </c>
      <c r="N5515" s="33" t="s">
        <v>4790</v>
      </c>
      <c r="O5515" s="33" t="s">
        <v>372</v>
      </c>
      <c r="P5515" s="33" t="s">
        <v>30089</v>
      </c>
      <c r="Q5515" s="40" t="str">
        <f>HYPERLINK("http://6abc.com/news/sources-suspect-shot-killed-by-police-in-drexel-hill/455767/","http://6abc.com/news/sources-suspect-shot-killed-by-police-in-drexel-hill/455767/")</f>
        <v>http://6abc.com/news/sources-suspect-shot-killed-by-police-in-drexel-hill/455767/</v>
      </c>
      <c r="R5515" s="33" t="s">
        <v>23</v>
      </c>
      <c r="S5515" s="33" t="s">
        <v>351</v>
      </c>
      <c r="T5515" s="1" t="s">
        <v>42983</v>
      </c>
      <c r="Z5515" s="33" t="s">
        <v>42968</v>
      </c>
      <c r="AA5515" s="33">
        <v>2150</v>
      </c>
    </row>
    <row r="5516" spans="1:27" ht="12" customHeight="1" x14ac:dyDescent="0.15">
      <c r="A5516" s="33" t="s">
        <v>4779</v>
      </c>
      <c r="B5516" s="33">
        <v>36</v>
      </c>
      <c r="C5516" s="33" t="s">
        <v>14</v>
      </c>
      <c r="D5516" s="33" t="s">
        <v>79</v>
      </c>
      <c r="E5516" s="33" t="s">
        <v>4780</v>
      </c>
      <c r="F5516" s="67">
        <v>42003</v>
      </c>
      <c r="G5516" s="33" t="s">
        <v>4781</v>
      </c>
      <c r="H5516" s="33" t="s">
        <v>4782</v>
      </c>
      <c r="I5516" s="33" t="s">
        <v>75</v>
      </c>
      <c r="J5516" s="33" t="s">
        <v>4783</v>
      </c>
      <c r="K5516" s="33" t="s">
        <v>2907</v>
      </c>
      <c r="L5516" s="33" t="s">
        <v>4784</v>
      </c>
      <c r="M5516" s="33" t="s">
        <v>21</v>
      </c>
      <c r="N5516" s="33" t="s">
        <v>4785</v>
      </c>
      <c r="O5516" s="33" t="s">
        <v>372</v>
      </c>
      <c r="P5516" s="33" t="s">
        <v>30089</v>
      </c>
      <c r="Q5516" s="40" t="s">
        <v>4786</v>
      </c>
      <c r="R5516" s="33" t="s">
        <v>94</v>
      </c>
      <c r="S5516" s="33" t="s">
        <v>12</v>
      </c>
      <c r="T5516" s="54" t="s">
        <v>29705</v>
      </c>
      <c r="Z5516" s="33" t="s">
        <v>42968</v>
      </c>
      <c r="AA5516" s="33">
        <v>2148</v>
      </c>
    </row>
    <row r="5517" spans="1:27" ht="12" customHeight="1" x14ac:dyDescent="0.15">
      <c r="A5517" s="33" t="s">
        <v>4791</v>
      </c>
      <c r="B5517" s="33">
        <v>30</v>
      </c>
      <c r="C5517" s="33" t="s">
        <v>14</v>
      </c>
      <c r="D5517" s="33" t="s">
        <v>31</v>
      </c>
      <c r="E5517" s="33" t="s">
        <v>4792</v>
      </c>
      <c r="F5517" s="67">
        <v>42003</v>
      </c>
      <c r="G5517" s="33" t="s">
        <v>4793</v>
      </c>
      <c r="H5517" s="33" t="s">
        <v>4794</v>
      </c>
      <c r="I5517" s="33" t="s">
        <v>88</v>
      </c>
      <c r="J5517" s="33" t="s">
        <v>4795</v>
      </c>
      <c r="K5517" s="33" t="s">
        <v>674</v>
      </c>
      <c r="L5517" s="33" t="s">
        <v>4796</v>
      </c>
      <c r="M5517" s="33" t="s">
        <v>21</v>
      </c>
      <c r="N5517" s="33" t="s">
        <v>4797</v>
      </c>
      <c r="O5517" s="33" t="s">
        <v>372</v>
      </c>
      <c r="P5517" s="33" t="s">
        <v>30089</v>
      </c>
      <c r="Q5517" s="40" t="s">
        <v>4798</v>
      </c>
      <c r="R5517" s="33" t="s">
        <v>94</v>
      </c>
      <c r="S5517" s="33" t="s">
        <v>12</v>
      </c>
      <c r="T5517" s="54" t="s">
        <v>29705</v>
      </c>
      <c r="Z5517" s="33" t="s">
        <v>42968</v>
      </c>
      <c r="AA5517" s="33">
        <v>2149</v>
      </c>
    </row>
    <row r="5518" spans="1:27" ht="12" customHeight="1" x14ac:dyDescent="0.15">
      <c r="A5518" s="33" t="s">
        <v>4799</v>
      </c>
      <c r="B5518" s="33">
        <v>48</v>
      </c>
      <c r="C5518" s="33" t="s">
        <v>14</v>
      </c>
      <c r="D5518" s="33" t="s">
        <v>31</v>
      </c>
      <c r="E5518" s="33" t="s">
        <v>4800</v>
      </c>
      <c r="F5518" s="67">
        <v>42003</v>
      </c>
      <c r="G5518" s="33" t="s">
        <v>4801</v>
      </c>
      <c r="H5518" s="33" t="s">
        <v>4802</v>
      </c>
      <c r="I5518" s="33" t="s">
        <v>56</v>
      </c>
      <c r="J5518" s="33">
        <v>32086</v>
      </c>
      <c r="K5518" s="33" t="s">
        <v>2230</v>
      </c>
      <c r="L5518" s="33" t="s">
        <v>5035</v>
      </c>
      <c r="M5518" s="33" t="s">
        <v>21</v>
      </c>
      <c r="N5518" s="33" t="s">
        <v>4803</v>
      </c>
      <c r="P5518" s="33" t="s">
        <v>30089</v>
      </c>
      <c r="Q5518" s="40" t="str">
        <f>HYPERLINK("http://www.firstcoastnews.com/story/news/local/2014/12/29/st-johns-county-armed-suspect-killed/21031459/","http://www.firstcoastnews.com/story/news/local/2014/12/29/st-johns-county-armed-suspect-killed/21031459/")</f>
        <v>http://www.firstcoastnews.com/story/news/local/2014/12/29/st-johns-county-armed-suspect-killed/21031459/</v>
      </c>
      <c r="R5518" s="33" t="s">
        <v>23</v>
      </c>
      <c r="S5518" s="33" t="s">
        <v>22</v>
      </c>
      <c r="T5518" s="1" t="s">
        <v>26781</v>
      </c>
      <c r="Z5518" s="33" t="s">
        <v>42968</v>
      </c>
      <c r="AA5518" s="33">
        <v>2147</v>
      </c>
    </row>
    <row r="5519" spans="1:27" ht="12" customHeight="1" x14ac:dyDescent="0.15">
      <c r="A5519" s="33" t="s">
        <v>4804</v>
      </c>
      <c r="B5519" s="33">
        <v>28</v>
      </c>
      <c r="C5519" s="33" t="s">
        <v>14</v>
      </c>
      <c r="D5519" s="33" t="s">
        <v>31</v>
      </c>
      <c r="F5519" s="67">
        <v>42002</v>
      </c>
      <c r="G5519" s="33" t="s">
        <v>4805</v>
      </c>
      <c r="H5519" s="33" t="s">
        <v>4806</v>
      </c>
      <c r="I5519" s="33" t="s">
        <v>39</v>
      </c>
      <c r="J5519" s="33">
        <v>95969</v>
      </c>
      <c r="K5519" s="33" t="s">
        <v>4807</v>
      </c>
      <c r="L5519" s="33" t="s">
        <v>36786</v>
      </c>
      <c r="M5519" s="33" t="s">
        <v>21</v>
      </c>
      <c r="N5519" s="33" t="s">
        <v>4808</v>
      </c>
      <c r="O5519" s="33" t="s">
        <v>507</v>
      </c>
      <c r="P5519" s="33" t="s">
        <v>30089</v>
      </c>
      <c r="Q5519" s="40" t="str">
        <f>HYPERLINK("http://www.chicoer.com/general-news/20141229/man-shot-killed-by-sheriffs-deputy-in-paradise","http://www.chicoer.com/general-news/20141229/man-shot-killed-by-sheriffs-deputy-in-paradise")</f>
        <v>http://www.chicoer.com/general-news/20141229/man-shot-killed-by-sheriffs-deputy-in-paradise</v>
      </c>
      <c r="R5519" s="33" t="s">
        <v>23</v>
      </c>
      <c r="S5519" s="33" t="s">
        <v>22</v>
      </c>
      <c r="T5519" s="1" t="s">
        <v>26774</v>
      </c>
      <c r="Z5519" s="33" t="s">
        <v>42968</v>
      </c>
      <c r="AA5519" s="33">
        <v>2145</v>
      </c>
    </row>
    <row r="5520" spans="1:27" ht="12" customHeight="1" x14ac:dyDescent="0.15">
      <c r="A5520" s="33" t="s">
        <v>4809</v>
      </c>
      <c r="B5520" s="33" t="s">
        <v>23</v>
      </c>
      <c r="C5520" s="33" t="s">
        <v>14</v>
      </c>
      <c r="D5520" s="33" t="s">
        <v>31</v>
      </c>
      <c r="F5520" s="67">
        <v>42002</v>
      </c>
      <c r="H5520" s="33" t="s">
        <v>4810</v>
      </c>
      <c r="I5520" s="33" t="s">
        <v>88</v>
      </c>
      <c r="J5520" s="33">
        <v>36773</v>
      </c>
      <c r="K5520" s="33" t="s">
        <v>266</v>
      </c>
      <c r="L5520" s="33" t="s">
        <v>4811</v>
      </c>
      <c r="M5520" s="33" t="s">
        <v>21</v>
      </c>
      <c r="N5520" s="33" t="s">
        <v>4812</v>
      </c>
      <c r="P5520" s="33" t="s">
        <v>30089</v>
      </c>
      <c r="Q5520" s="40" t="s">
        <v>4813</v>
      </c>
      <c r="R5520" s="33" t="s">
        <v>23</v>
      </c>
      <c r="S5520" s="33" t="s">
        <v>29</v>
      </c>
      <c r="T5520" s="1" t="s">
        <v>41840</v>
      </c>
      <c r="Z5520" s="33" t="s">
        <v>42967</v>
      </c>
      <c r="AA5520" s="33">
        <v>2146</v>
      </c>
    </row>
    <row r="5521" spans="1:27" ht="12" customHeight="1" x14ac:dyDescent="0.15">
      <c r="A5521" s="33" t="s">
        <v>4816</v>
      </c>
      <c r="B5521" s="33">
        <v>51</v>
      </c>
      <c r="C5521" s="33" t="s">
        <v>14</v>
      </c>
      <c r="D5521" s="33" t="s">
        <v>24</v>
      </c>
      <c r="F5521" s="67">
        <v>42001</v>
      </c>
      <c r="G5521" s="33" t="s">
        <v>4817</v>
      </c>
      <c r="H5521" s="33" t="s">
        <v>4818</v>
      </c>
      <c r="I5521" s="33" t="s">
        <v>112</v>
      </c>
      <c r="J5521" s="33" t="s">
        <v>4819</v>
      </c>
      <c r="K5521" s="33" t="s">
        <v>166</v>
      </c>
      <c r="L5521" s="33" t="s">
        <v>4820</v>
      </c>
      <c r="M5521" s="33" t="s">
        <v>21</v>
      </c>
      <c r="N5521" s="33" t="s">
        <v>4821</v>
      </c>
      <c r="O5521" s="33" t="s">
        <v>507</v>
      </c>
      <c r="P5521" s="33" t="s">
        <v>30089</v>
      </c>
      <c r="Q5521" s="40" t="s">
        <v>4822</v>
      </c>
      <c r="R5521" s="33" t="s">
        <v>512</v>
      </c>
      <c r="S5521" s="33" t="s">
        <v>22</v>
      </c>
      <c r="T5521" s="1" t="s">
        <v>26781</v>
      </c>
      <c r="Z5521" s="33" t="s">
        <v>42967</v>
      </c>
      <c r="AA5521" s="33">
        <v>2142</v>
      </c>
    </row>
    <row r="5522" spans="1:27" ht="12" customHeight="1" x14ac:dyDescent="0.15">
      <c r="A5522" s="33" t="s">
        <v>4814</v>
      </c>
      <c r="B5522" s="33">
        <v>28</v>
      </c>
      <c r="C5522" s="33" t="s">
        <v>14</v>
      </c>
      <c r="D5522" s="33" t="s">
        <v>79</v>
      </c>
      <c r="E5522" s="33" t="str">
        <f>HYPERLINK("http://edge.liveleak.com/80281E/ll_a_s/2014/Dec/29/LiveLeak-dot-com-ebe_1419888575-davidandrescott_1419888592.jpg.resized.jpg?d5e8cc8eccfb6039332f41f6249e92b06c91b4db65f5e99818bdd5924c40ded7397e&amp;ec_rate=230","http://edge.liveleak.com/80281E/ll_a_s/2014/Dec/29/LiveLeak-dot-com-ebe_1419888575-davidandrescott_1419888592.jpg.resized.jpg?d5e8cc8eccfb6039332f41f6249e92b06c91b4db65f5e99818bdd5924c40ded7397e&amp;ec_rate=230")</f>
        <v>http://edge.liveleak.com/80281E/ll_a_s/2014/Dec/29/LiveLeak-dot-com-ebe_1419888575-davidandrescott_1419888592.jpg.resized.jpg?d5e8cc8eccfb6039332f41f6249e92b06c91b4db65f5e99818bdd5924c40ded7397e&amp;ec_rate=230</v>
      </c>
      <c r="F5522" s="67">
        <v>42001</v>
      </c>
      <c r="G5522" s="33" t="s">
        <v>4815</v>
      </c>
      <c r="H5522" s="33" t="s">
        <v>603</v>
      </c>
      <c r="I5522" s="33" t="s">
        <v>56</v>
      </c>
      <c r="J5522" s="33">
        <v>32277</v>
      </c>
      <c r="K5522" s="33" t="s">
        <v>604</v>
      </c>
      <c r="L5522" s="33" t="s">
        <v>605</v>
      </c>
      <c r="M5522" s="33" t="s">
        <v>21</v>
      </c>
      <c r="N5522" s="33" t="s">
        <v>19034</v>
      </c>
      <c r="O5522" s="33" t="s">
        <v>950</v>
      </c>
      <c r="P5522" s="33" t="s">
        <v>30089</v>
      </c>
      <c r="Q5522" s="40" t="str">
        <f>HYPERLINK("http://www.actionnewsjax.com/news/news/local/swat-called-out-fort-caroline-area/njbtC/","http://www.actionnewsjax.com/news/news/local/swat-called-out-fort-caroline-area/njbtC/")</f>
        <v>http://www.actionnewsjax.com/news/news/local/swat-called-out-fort-caroline-area/njbtC/</v>
      </c>
      <c r="R5522" s="33" t="s">
        <v>94</v>
      </c>
      <c r="S5522" s="33" t="s">
        <v>12</v>
      </c>
      <c r="T5522" s="54" t="s">
        <v>43028</v>
      </c>
      <c r="Z5522" s="33" t="s">
        <v>42968</v>
      </c>
      <c r="AA5522" s="33">
        <v>2144</v>
      </c>
    </row>
    <row r="5523" spans="1:27" ht="12" customHeight="1" x14ac:dyDescent="0.15">
      <c r="A5523" s="33" t="s">
        <v>4823</v>
      </c>
      <c r="B5523" s="33">
        <v>28</v>
      </c>
      <c r="C5523" s="33" t="s">
        <v>14</v>
      </c>
      <c r="D5523" s="33" t="s">
        <v>31</v>
      </c>
      <c r="E5523" s="33" t="s">
        <v>4824</v>
      </c>
      <c r="F5523" s="67">
        <v>42001</v>
      </c>
      <c r="G5523" s="33" t="s">
        <v>4825</v>
      </c>
      <c r="H5523" s="33" t="s">
        <v>4826</v>
      </c>
      <c r="I5523" s="33" t="s">
        <v>221</v>
      </c>
      <c r="J5523" s="33" t="s">
        <v>4827</v>
      </c>
      <c r="K5523" s="33" t="s">
        <v>4828</v>
      </c>
      <c r="L5523" s="33" t="s">
        <v>4829</v>
      </c>
      <c r="M5523" s="33" t="s">
        <v>21</v>
      </c>
      <c r="N5523" s="33" t="s">
        <v>36787</v>
      </c>
      <c r="O5523" s="33" t="s">
        <v>372</v>
      </c>
      <c r="P5523" s="33" t="s">
        <v>30089</v>
      </c>
      <c r="Q5523" s="40" t="s">
        <v>4830</v>
      </c>
      <c r="R5523" s="33" t="s">
        <v>94</v>
      </c>
      <c r="S5523" s="33" t="s">
        <v>22</v>
      </c>
      <c r="T5523" s="1" t="s">
        <v>26781</v>
      </c>
      <c r="Z5523" s="33" t="s">
        <v>42968</v>
      </c>
      <c r="AA5523" s="33">
        <v>2143</v>
      </c>
    </row>
    <row r="5524" spans="1:27" ht="12" customHeight="1" x14ac:dyDescent="0.15">
      <c r="A5524" s="33" t="s">
        <v>4831</v>
      </c>
      <c r="B5524" s="33">
        <v>51</v>
      </c>
      <c r="C5524" s="33" t="s">
        <v>14</v>
      </c>
      <c r="D5524" s="33" t="s">
        <v>31</v>
      </c>
      <c r="F5524" s="67">
        <v>42000</v>
      </c>
      <c r="G5524" s="33" t="s">
        <v>4832</v>
      </c>
      <c r="H5524" s="33" t="s">
        <v>4833</v>
      </c>
      <c r="I5524" s="33" t="s">
        <v>88</v>
      </c>
      <c r="J5524" s="33">
        <v>35083</v>
      </c>
      <c r="K5524" s="33" t="s">
        <v>4834</v>
      </c>
      <c r="L5524" s="33" t="s">
        <v>4835</v>
      </c>
      <c r="M5524" s="33" t="s">
        <v>21</v>
      </c>
      <c r="N5524" s="33" t="s">
        <v>4836</v>
      </c>
      <c r="O5524" s="33" t="s">
        <v>507</v>
      </c>
      <c r="P5524" s="33" t="s">
        <v>30089</v>
      </c>
      <c r="Q5524" s="40" t="str">
        <f>HYPERLINK("http://www.al.com/news/birmingham/index.ssf/2014/12/51-year-old_man_shot_to_death.html","http://www.al.com/news/birmingham/index.ssf/2014/12/51-year-old_man_shot_to_death.html")</f>
        <v>http://www.al.com/news/birmingham/index.ssf/2014/12/51-year-old_man_shot_to_death.html</v>
      </c>
      <c r="R5524" s="33" t="s">
        <v>23</v>
      </c>
      <c r="S5524" s="33" t="s">
        <v>22</v>
      </c>
      <c r="T5524" s="1" t="s">
        <v>43022</v>
      </c>
      <c r="Z5524" s="33" t="s">
        <v>42967</v>
      </c>
      <c r="AA5524" s="33">
        <v>2141</v>
      </c>
    </row>
    <row r="5525" spans="1:27" ht="12" customHeight="1" x14ac:dyDescent="0.15">
      <c r="A5525" s="33" t="s">
        <v>4846</v>
      </c>
      <c r="B5525" s="33">
        <v>43</v>
      </c>
      <c r="C5525" s="33" t="s">
        <v>14</v>
      </c>
      <c r="D5525" s="33" t="s">
        <v>31</v>
      </c>
      <c r="E5525" s="33" t="s">
        <v>4847</v>
      </c>
      <c r="F5525" s="67">
        <v>41999</v>
      </c>
      <c r="G5525" s="33" t="s">
        <v>4848</v>
      </c>
      <c r="H5525" s="33" t="s">
        <v>4849</v>
      </c>
      <c r="I5525" s="33" t="s">
        <v>63</v>
      </c>
      <c r="J5525" s="33">
        <v>44146</v>
      </c>
      <c r="K5525" s="33" t="s">
        <v>95</v>
      </c>
      <c r="L5525" s="33" t="s">
        <v>4850</v>
      </c>
      <c r="M5525" s="33" t="s">
        <v>21</v>
      </c>
      <c r="N5525" s="33" t="s">
        <v>4851</v>
      </c>
      <c r="P5525" s="33" t="s">
        <v>30089</v>
      </c>
      <c r="Q5525" s="40" t="str">
        <f>HYPERLINK("http://www.19actionnews.com/story/27709268/bedford-resident-shot-and-killed-during-confrontation-with-police","http://www.19actionnews.com/story/27709268/bedford-resident-shot-and-killed-during-confrontation-with-police")</f>
        <v>http://www.19actionnews.com/story/27709268/bedford-resident-shot-and-killed-during-confrontation-with-police</v>
      </c>
      <c r="R5525" s="33" t="s">
        <v>23</v>
      </c>
      <c r="S5525" s="33" t="s">
        <v>22</v>
      </c>
      <c r="T5525" s="1" t="s">
        <v>26774</v>
      </c>
      <c r="Z5525" s="33" t="s">
        <v>42968</v>
      </c>
      <c r="AA5525" s="33">
        <v>2140</v>
      </c>
    </row>
    <row r="5526" spans="1:27" ht="12" customHeight="1" x14ac:dyDescent="0.15">
      <c r="A5526" s="33" t="s">
        <v>4840</v>
      </c>
      <c r="B5526" s="33">
        <v>20</v>
      </c>
      <c r="C5526" s="33" t="s">
        <v>14</v>
      </c>
      <c r="D5526" s="33" t="s">
        <v>79</v>
      </c>
      <c r="E5526" s="33" t="str">
        <f>HYPERLINK("http://ww3.hdnux.com/photos/33/73/31/7321166/3/622x350.jpg","http://ww3.hdnux.com/photos/33/73/31/7321166/3/622x350.jpg")</f>
        <v>http://ww3.hdnux.com/photos/33/73/31/7321166/3/622x350.jpg</v>
      </c>
      <c r="F5526" s="67">
        <v>41999</v>
      </c>
      <c r="G5526" s="33" t="s">
        <v>4841</v>
      </c>
      <c r="H5526" s="33" t="s">
        <v>4842</v>
      </c>
      <c r="I5526" s="33" t="s">
        <v>67</v>
      </c>
      <c r="J5526" s="33">
        <v>77591</v>
      </c>
      <c r="K5526" s="33" t="s">
        <v>4843</v>
      </c>
      <c r="L5526" s="33" t="s">
        <v>4844</v>
      </c>
      <c r="M5526" s="33" t="s">
        <v>21</v>
      </c>
      <c r="N5526" s="33" t="s">
        <v>4845</v>
      </c>
      <c r="P5526" s="33" t="s">
        <v>30089</v>
      </c>
      <c r="Q5526" s="40" t="str">
        <f>HYPERLINK("http://www.kvue.com/story/news/state/2014/12/26/police-shoot-kill-man-firing-gun-in-texas-city-parking-lot/20907475/","http://www.kvue.com/story/news/state/2014/12/26/police-shoot-kill-man-firing-gun-in-texas-city-parking-lot/20907475/")</f>
        <v>http://www.kvue.com/story/news/state/2014/12/26/police-shoot-kill-man-firing-gun-in-texas-city-parking-lot/20907475/</v>
      </c>
      <c r="R5526" s="33" t="s">
        <v>23</v>
      </c>
      <c r="S5526" s="33" t="s">
        <v>22</v>
      </c>
      <c r="T5526" s="1" t="s">
        <v>26781</v>
      </c>
      <c r="Z5526" s="33" t="s">
        <v>42968</v>
      </c>
      <c r="AA5526" s="33">
        <v>2138</v>
      </c>
    </row>
    <row r="5527" spans="1:27" ht="12" customHeight="1" x14ac:dyDescent="0.15">
      <c r="A5527" s="33" t="s">
        <v>4837</v>
      </c>
      <c r="B5527" s="33">
        <v>23</v>
      </c>
      <c r="C5527" s="33" t="s">
        <v>14</v>
      </c>
      <c r="D5527" s="33" t="s">
        <v>79</v>
      </c>
      <c r="E5527" s="33" t="str">
        <f>HYPERLINK("http://www.wesh.com/image/view/-/30418970/medRes/2/-/maxh/220/maxw/220/-/o2mpgg/-/Quinten-Jamal-Smith-jpg.jpg","http://www.wesh.com/image/view/-/30418970/medRes/2/-/maxh/220/maxw/220/-/o2mpgg/-/Quinten-Jamal-Smith-jpg.jpg")</f>
        <v>http://www.wesh.com/image/view/-/30418970/medRes/2/-/maxh/220/maxw/220/-/o2mpgg/-/Quinten-Jamal-Smith-jpg.jpg</v>
      </c>
      <c r="F5527" s="67">
        <v>41999</v>
      </c>
      <c r="G5527" s="33" t="s">
        <v>4838</v>
      </c>
      <c r="H5527" s="33" t="s">
        <v>1652</v>
      </c>
      <c r="I5527" s="33" t="s">
        <v>56</v>
      </c>
      <c r="J5527" s="33">
        <v>32922</v>
      </c>
      <c r="K5527" s="33" t="s">
        <v>1654</v>
      </c>
      <c r="L5527" s="33" t="s">
        <v>3452</v>
      </c>
      <c r="M5527" s="33" t="s">
        <v>21</v>
      </c>
      <c r="N5527" s="33" t="s">
        <v>4839</v>
      </c>
      <c r="P5527" s="33" t="s">
        <v>30089</v>
      </c>
      <c r="Q5527" s="40" t="str">
        <f>HYPERLINK("http://www.wesh.com/news/sheriff-brevard-deputy-fatally-shoots-armed-wanted-man/30415088","http://www.wesh.com/news/sheriff-brevard-deputy-fatally-shoots-armed-wanted-man/30415088")</f>
        <v>http://www.wesh.com/news/sheriff-brevard-deputy-fatally-shoots-armed-wanted-man/30415088</v>
      </c>
      <c r="R5527" s="33" t="s">
        <v>94</v>
      </c>
      <c r="S5527" s="33" t="s">
        <v>22</v>
      </c>
      <c r="T5527" s="1" t="s">
        <v>26781</v>
      </c>
      <c r="Z5527" s="33" t="s">
        <v>42968</v>
      </c>
      <c r="AA5527" s="33">
        <v>2139</v>
      </c>
    </row>
    <row r="5528" spans="1:27" ht="12" customHeight="1" x14ac:dyDescent="0.15">
      <c r="A5528" s="33" t="s">
        <v>4852</v>
      </c>
      <c r="B5528" s="33">
        <v>25</v>
      </c>
      <c r="C5528" s="33" t="s">
        <v>14</v>
      </c>
      <c r="D5528" s="33" t="s">
        <v>79</v>
      </c>
      <c r="E5528" s="33" t="s">
        <v>4853</v>
      </c>
      <c r="F5528" s="67">
        <v>41998</v>
      </c>
      <c r="G5528" s="33" t="s">
        <v>4854</v>
      </c>
      <c r="H5528" s="33" t="s">
        <v>81</v>
      </c>
      <c r="I5528" s="33" t="s">
        <v>38</v>
      </c>
      <c r="J5528" s="33" t="s">
        <v>4855</v>
      </c>
      <c r="K5528" s="33" t="s">
        <v>82</v>
      </c>
      <c r="L5528" s="33" t="s">
        <v>83</v>
      </c>
      <c r="M5528" s="33" t="s">
        <v>21</v>
      </c>
      <c r="N5528" s="33" t="s">
        <v>4856</v>
      </c>
      <c r="O5528" s="33" t="s">
        <v>950</v>
      </c>
      <c r="P5528" s="33" t="s">
        <v>30089</v>
      </c>
      <c r="Q5528" s="40" t="s">
        <v>4857</v>
      </c>
      <c r="R5528" s="33" t="s">
        <v>512</v>
      </c>
      <c r="S5528" s="33" t="s">
        <v>22</v>
      </c>
      <c r="T5528" s="1" t="s">
        <v>26774</v>
      </c>
      <c r="Z5528" s="33" t="s">
        <v>42966</v>
      </c>
      <c r="AA5528" s="33">
        <v>2135</v>
      </c>
    </row>
    <row r="5529" spans="1:27" ht="12" customHeight="1" x14ac:dyDescent="0.15">
      <c r="A5529" s="33" t="s">
        <v>4863</v>
      </c>
      <c r="B5529" s="33">
        <v>40</v>
      </c>
      <c r="C5529" s="33" t="s">
        <v>14</v>
      </c>
      <c r="D5529" s="33" t="s">
        <v>42</v>
      </c>
      <c r="F5529" s="67">
        <v>41998</v>
      </c>
      <c r="G5529" s="33" t="s">
        <v>4864</v>
      </c>
      <c r="H5529" s="33" t="s">
        <v>143</v>
      </c>
      <c r="I5529" s="33" t="s">
        <v>39</v>
      </c>
      <c r="J5529" s="33">
        <v>92173</v>
      </c>
      <c r="K5529" s="33" t="s">
        <v>143</v>
      </c>
      <c r="L5529" s="33" t="s">
        <v>4359</v>
      </c>
      <c r="M5529" s="33" t="s">
        <v>363</v>
      </c>
      <c r="N5529" s="33" t="s">
        <v>36788</v>
      </c>
      <c r="P5529" s="33" t="s">
        <v>30089</v>
      </c>
      <c r="Q5529" s="40" t="s">
        <v>4865</v>
      </c>
      <c r="R5529" s="33" t="s">
        <v>23</v>
      </c>
      <c r="S5529" s="33" t="s">
        <v>12</v>
      </c>
      <c r="T5529" s="54" t="s">
        <v>29705</v>
      </c>
      <c r="Z5529" s="33" t="s">
        <v>42968</v>
      </c>
      <c r="AA5529" s="33">
        <v>2137</v>
      </c>
    </row>
    <row r="5530" spans="1:27" ht="12" customHeight="1" x14ac:dyDescent="0.15">
      <c r="A5530" s="33" t="s">
        <v>4858</v>
      </c>
      <c r="B5530" s="33" t="s">
        <v>23</v>
      </c>
      <c r="C5530" s="33" t="s">
        <v>14</v>
      </c>
      <c r="D5530" s="33" t="s">
        <v>42</v>
      </c>
      <c r="F5530" s="67">
        <v>41998</v>
      </c>
      <c r="G5530" s="33" t="s">
        <v>4859</v>
      </c>
      <c r="H5530" s="33" t="s">
        <v>4860</v>
      </c>
      <c r="I5530" s="33" t="s">
        <v>39</v>
      </c>
      <c r="J5530" s="33">
        <v>92236</v>
      </c>
      <c r="K5530" s="33" t="s">
        <v>728</v>
      </c>
      <c r="L5530" s="33" t="s">
        <v>729</v>
      </c>
      <c r="M5530" s="33" t="s">
        <v>21</v>
      </c>
      <c r="N5530" s="33" t="s">
        <v>4861</v>
      </c>
      <c r="P5530" s="33" t="s">
        <v>30089</v>
      </c>
      <c r="Q5530" s="40" t="s">
        <v>4862</v>
      </c>
      <c r="R5530" s="33" t="s">
        <v>23</v>
      </c>
      <c r="S5530" s="33" t="s">
        <v>12</v>
      </c>
      <c r="T5530" s="54" t="s">
        <v>29705</v>
      </c>
      <c r="Z5530" s="33" t="s">
        <v>42968</v>
      </c>
      <c r="AA5530" s="33">
        <v>2136</v>
      </c>
    </row>
    <row r="5531" spans="1:27" ht="12" customHeight="1" x14ac:dyDescent="0.15">
      <c r="A5531" s="33" t="s">
        <v>4696</v>
      </c>
      <c r="B5531" s="33">
        <v>47</v>
      </c>
      <c r="C5531" s="33" t="s">
        <v>14</v>
      </c>
      <c r="D5531" s="33" t="s">
        <v>31</v>
      </c>
      <c r="E5531" s="33" t="s">
        <v>4881</v>
      </c>
      <c r="F5531" s="67">
        <v>41997</v>
      </c>
      <c r="G5531" s="33" t="s">
        <v>4882</v>
      </c>
      <c r="H5531" s="33" t="s">
        <v>4697</v>
      </c>
      <c r="I5531" s="33" t="s">
        <v>160</v>
      </c>
      <c r="J5531" s="33" t="s">
        <v>4883</v>
      </c>
      <c r="K5531" s="33" t="s">
        <v>4698</v>
      </c>
      <c r="L5531" s="33" t="s">
        <v>4884</v>
      </c>
      <c r="M5531" s="33" t="s">
        <v>21</v>
      </c>
      <c r="N5531" s="33" t="s">
        <v>4885</v>
      </c>
      <c r="O5531" s="33" t="s">
        <v>950</v>
      </c>
      <c r="P5531" s="33" t="s">
        <v>30089</v>
      </c>
      <c r="Q5531" s="40" t="str">
        <f>HYPERLINK("http://pickens.fetchyournews.com/archives/5043-UPDATED-Authorities-Confirm-Suspect-Has-Died,-Domestic-Call-Ends-in-Gun-Fire.html","http://pickens.fetchyournews.com/archives/5043-UPDATED-Authorities-Confirm-Suspect-Has-Died,-Domestic-Call-Ends-in-Gun-Fire.html")</f>
        <v>http://pickens.fetchyournews.com/archives/5043-UPDATED-Authorities-Confirm-Suspect-Has-Died,-Domestic-Call-Ends-in-Gun-Fire.html</v>
      </c>
      <c r="R5531" s="33" t="s">
        <v>94</v>
      </c>
      <c r="S5531" s="33" t="s">
        <v>22</v>
      </c>
      <c r="T5531" s="1" t="s">
        <v>26781</v>
      </c>
      <c r="Z5531" s="33" t="s">
        <v>42967</v>
      </c>
      <c r="AA5531" s="33">
        <v>2133</v>
      </c>
    </row>
    <row r="5532" spans="1:27" ht="12" customHeight="1" x14ac:dyDescent="0.15">
      <c r="A5532" s="33" t="s">
        <v>4870</v>
      </c>
      <c r="B5532" s="33">
        <v>55</v>
      </c>
      <c r="C5532" s="33" t="s">
        <v>14</v>
      </c>
      <c r="D5532" s="33" t="s">
        <v>24</v>
      </c>
      <c r="F5532" s="67">
        <v>41997</v>
      </c>
      <c r="G5532" s="33" t="s">
        <v>4871</v>
      </c>
      <c r="H5532" s="33" t="s">
        <v>4872</v>
      </c>
      <c r="I5532" s="33" t="s">
        <v>106</v>
      </c>
      <c r="J5532" s="33">
        <v>97467</v>
      </c>
      <c r="K5532" s="33" t="s">
        <v>882</v>
      </c>
      <c r="L5532" s="33" t="s">
        <v>4873</v>
      </c>
      <c r="M5532" s="33" t="s">
        <v>21</v>
      </c>
      <c r="N5532" s="33" t="s">
        <v>4874</v>
      </c>
      <c r="O5532" s="33" t="s">
        <v>507</v>
      </c>
      <c r="P5532" s="33" t="s">
        <v>30089</v>
      </c>
      <c r="Q5532" s="40" t="str">
        <f>HYPERLINK("http://www.oregonlive.com/portland/index.ssf/2014/12/man_dies_after_officer-involve.html","http://www.oregonlive.com/portland/index.ssf/2014/12/man_dies_after_officer-involve.html")</f>
        <v>http://www.oregonlive.com/portland/index.ssf/2014/12/man_dies_after_officer-involve.html</v>
      </c>
      <c r="R5532" s="33" t="s">
        <v>23</v>
      </c>
      <c r="S5532" s="33" t="s">
        <v>22</v>
      </c>
      <c r="T5532" s="1" t="s">
        <v>26781</v>
      </c>
      <c r="Y5532" s="33" t="s">
        <v>42476</v>
      </c>
      <c r="Z5532" s="33" t="s">
        <v>42967</v>
      </c>
      <c r="AA5532" s="33">
        <v>2132</v>
      </c>
    </row>
    <row r="5533" spans="1:27" ht="12" customHeight="1" x14ac:dyDescent="0.15">
      <c r="A5533" s="33" t="s">
        <v>4866</v>
      </c>
      <c r="B5533" s="33">
        <v>33</v>
      </c>
      <c r="C5533" s="33" t="s">
        <v>14</v>
      </c>
      <c r="D5533" s="33" t="s">
        <v>79</v>
      </c>
      <c r="F5533" s="67">
        <v>41997</v>
      </c>
      <c r="G5533" s="33" t="s">
        <v>4867</v>
      </c>
      <c r="H5533" s="33" t="s">
        <v>107</v>
      </c>
      <c r="I5533" s="33" t="s">
        <v>3357</v>
      </c>
      <c r="J5533" s="33">
        <v>20018</v>
      </c>
      <c r="K5533" s="33" t="s">
        <v>3359</v>
      </c>
      <c r="L5533" s="33" t="s">
        <v>17581</v>
      </c>
      <c r="M5533" s="33" t="s">
        <v>21</v>
      </c>
      <c r="N5533" s="33" t="s">
        <v>4868</v>
      </c>
      <c r="P5533" s="33" t="s">
        <v>30089</v>
      </c>
      <c r="Q5533" s="40" t="s">
        <v>4869</v>
      </c>
      <c r="R5533" s="33" t="s">
        <v>94</v>
      </c>
      <c r="S5533" s="33" t="s">
        <v>22</v>
      </c>
      <c r="T5533" s="1" t="s">
        <v>26781</v>
      </c>
      <c r="Z5533" s="33" t="s">
        <v>42966</v>
      </c>
      <c r="AA5533" s="33">
        <v>2131</v>
      </c>
    </row>
    <row r="5534" spans="1:27" ht="12" customHeight="1" x14ac:dyDescent="0.15">
      <c r="A5534" s="33" t="s">
        <v>4875</v>
      </c>
      <c r="B5534" s="33">
        <v>21</v>
      </c>
      <c r="C5534" s="33" t="s">
        <v>14</v>
      </c>
      <c r="D5534" s="33" t="s">
        <v>31</v>
      </c>
      <c r="F5534" s="67">
        <v>41997</v>
      </c>
      <c r="G5534" s="33" t="s">
        <v>4876</v>
      </c>
      <c r="H5534" s="33" t="s">
        <v>4877</v>
      </c>
      <c r="I5534" s="33" t="s">
        <v>56</v>
      </c>
      <c r="J5534" s="33">
        <v>33483</v>
      </c>
      <c r="K5534" s="33" t="s">
        <v>4878</v>
      </c>
      <c r="L5534" s="33" t="s">
        <v>57</v>
      </c>
      <c r="M5534" s="33" t="s">
        <v>21</v>
      </c>
      <c r="N5534" s="33" t="s">
        <v>4879</v>
      </c>
      <c r="P5534" s="33" t="s">
        <v>30089</v>
      </c>
      <c r="Q5534" s="40" t="s">
        <v>4880</v>
      </c>
      <c r="R5534" s="33" t="s">
        <v>23</v>
      </c>
      <c r="S5534" s="33" t="s">
        <v>29</v>
      </c>
      <c r="T5534" s="33" t="s">
        <v>41840</v>
      </c>
      <c r="Z5534" s="33" t="s">
        <v>42968</v>
      </c>
      <c r="AA5534" s="33">
        <v>2134</v>
      </c>
    </row>
    <row r="5535" spans="1:27" ht="12" customHeight="1" x14ac:dyDescent="0.15">
      <c r="A5535" s="33" t="s">
        <v>4886</v>
      </c>
      <c r="B5535" s="33">
        <v>18</v>
      </c>
      <c r="C5535" s="33" t="s">
        <v>14</v>
      </c>
      <c r="D5535" s="33" t="s">
        <v>79</v>
      </c>
      <c r="E5535" s="33" t="s">
        <v>4887</v>
      </c>
      <c r="F5535" s="67">
        <v>41996</v>
      </c>
      <c r="G5535" s="33" t="s">
        <v>4888</v>
      </c>
      <c r="H5535" s="33" t="s">
        <v>4889</v>
      </c>
      <c r="I5535" s="33" t="s">
        <v>402</v>
      </c>
      <c r="J5535" s="33">
        <v>63134</v>
      </c>
      <c r="K5535" s="33" t="s">
        <v>661</v>
      </c>
      <c r="L5535" s="33" t="s">
        <v>4890</v>
      </c>
      <c r="M5535" s="33" t="s">
        <v>21</v>
      </c>
      <c r="N5535" s="33" t="s">
        <v>4891</v>
      </c>
      <c r="O5535" s="33" t="s">
        <v>950</v>
      </c>
      <c r="P5535" s="33" t="s">
        <v>30089</v>
      </c>
      <c r="Q5535" s="40" t="str">
        <f>HYPERLINK("http://www.huffingtonpost.com/2014/12/24/antonio-martin-police-shooting_n_6376210.html","http://www.huffingtonpost.com/2014/12/24/antonio-martin-police-shooting_n_6376210.html")</f>
        <v>http://www.huffingtonpost.com/2014/12/24/antonio-martin-police-shooting_n_6376210.html</v>
      </c>
      <c r="R5535" s="33" t="s">
        <v>94</v>
      </c>
      <c r="S5535" s="33" t="s">
        <v>22</v>
      </c>
      <c r="T5535" s="1" t="s">
        <v>26781</v>
      </c>
      <c r="Z5535" s="33" t="s">
        <v>42968</v>
      </c>
      <c r="AA5535" s="33">
        <v>2129</v>
      </c>
    </row>
    <row r="5536" spans="1:27" ht="12" customHeight="1" x14ac:dyDescent="0.15">
      <c r="A5536" s="33" t="s">
        <v>4892</v>
      </c>
      <c r="B5536" s="33">
        <v>61</v>
      </c>
      <c r="C5536" s="33" t="s">
        <v>14</v>
      </c>
      <c r="D5536" s="33" t="s">
        <v>24</v>
      </c>
      <c r="F5536" s="67">
        <v>41996</v>
      </c>
      <c r="G5536" s="33" t="s">
        <v>4893</v>
      </c>
      <c r="H5536" s="33" t="s">
        <v>3692</v>
      </c>
      <c r="I5536" s="33" t="s">
        <v>56</v>
      </c>
      <c r="J5536" s="33">
        <v>33805</v>
      </c>
      <c r="K5536" s="33" t="s">
        <v>1736</v>
      </c>
      <c r="L5536" s="33" t="s">
        <v>3694</v>
      </c>
      <c r="M5536" s="33" t="s">
        <v>21</v>
      </c>
      <c r="N5536" s="33" t="s">
        <v>4894</v>
      </c>
      <c r="P5536" s="33" t="s">
        <v>30089</v>
      </c>
      <c r="Q5536" s="40" t="s">
        <v>4895</v>
      </c>
      <c r="R5536" s="33" t="s">
        <v>512</v>
      </c>
      <c r="S5536" s="33" t="s">
        <v>22</v>
      </c>
      <c r="T5536" s="1" t="s">
        <v>26781</v>
      </c>
      <c r="Z5536" s="33" t="s">
        <v>42968</v>
      </c>
      <c r="AA5536" s="33">
        <v>2130</v>
      </c>
    </row>
    <row r="5537" spans="1:27" ht="12" customHeight="1" x14ac:dyDescent="0.15">
      <c r="A5537" s="33" t="s">
        <v>4901</v>
      </c>
      <c r="B5537" s="33">
        <v>20</v>
      </c>
      <c r="C5537" s="33" t="s">
        <v>14</v>
      </c>
      <c r="D5537" s="33" t="s">
        <v>31</v>
      </c>
      <c r="F5537" s="67">
        <v>41995</v>
      </c>
      <c r="G5537" s="33" t="s">
        <v>4902</v>
      </c>
      <c r="H5537" s="33" t="s">
        <v>974</v>
      </c>
      <c r="I5537" s="33" t="s">
        <v>160</v>
      </c>
      <c r="J5537" s="33">
        <v>30034</v>
      </c>
      <c r="K5537" s="33" t="s">
        <v>805</v>
      </c>
      <c r="L5537" s="33" t="s">
        <v>806</v>
      </c>
      <c r="M5537" s="33" t="s">
        <v>21</v>
      </c>
      <c r="N5537" s="33" t="s">
        <v>4903</v>
      </c>
      <c r="P5537" s="33" t="s">
        <v>30089</v>
      </c>
      <c r="Q5537" s="40" t="s">
        <v>4904</v>
      </c>
      <c r="R5537" s="33" t="s">
        <v>23</v>
      </c>
      <c r="S5537" s="33" t="s">
        <v>22</v>
      </c>
      <c r="T5537" s="1" t="s">
        <v>26781</v>
      </c>
      <c r="Z5537" s="33" t="s">
        <v>42968</v>
      </c>
      <c r="AA5537" s="33">
        <v>2125</v>
      </c>
    </row>
    <row r="5538" spans="1:27" ht="12" customHeight="1" x14ac:dyDescent="0.15">
      <c r="A5538" s="33" t="s">
        <v>4910</v>
      </c>
      <c r="B5538" s="33">
        <v>27</v>
      </c>
      <c r="C5538" s="33" t="s">
        <v>14</v>
      </c>
      <c r="D5538" s="33" t="s">
        <v>31</v>
      </c>
      <c r="E5538" s="33" t="s">
        <v>4911</v>
      </c>
      <c r="F5538" s="67">
        <v>41995</v>
      </c>
      <c r="G5538" s="33" t="s">
        <v>4912</v>
      </c>
      <c r="H5538" s="33" t="s">
        <v>4913</v>
      </c>
      <c r="I5538" s="33" t="s">
        <v>294</v>
      </c>
      <c r="J5538" s="33" t="s">
        <v>4914</v>
      </c>
      <c r="K5538" s="33" t="s">
        <v>810</v>
      </c>
      <c r="L5538" s="33" t="s">
        <v>4915</v>
      </c>
      <c r="M5538" s="33" t="s">
        <v>21</v>
      </c>
      <c r="N5538" s="33" t="s">
        <v>4916</v>
      </c>
      <c r="O5538" s="33" t="s">
        <v>950</v>
      </c>
      <c r="P5538" s="33" t="s">
        <v>30089</v>
      </c>
      <c r="Q5538" s="40" t="s">
        <v>4917</v>
      </c>
      <c r="R5538" s="33" t="s">
        <v>94</v>
      </c>
      <c r="S5538" s="33" t="s">
        <v>22</v>
      </c>
      <c r="T5538" s="1" t="s">
        <v>26576</v>
      </c>
      <c r="Z5538" s="33" t="s">
        <v>42968</v>
      </c>
      <c r="AA5538" s="33">
        <v>2127</v>
      </c>
    </row>
    <row r="5539" spans="1:27" ht="12" customHeight="1" x14ac:dyDescent="0.15">
      <c r="A5539" s="33" t="s">
        <v>4896</v>
      </c>
      <c r="B5539" s="33">
        <v>29</v>
      </c>
      <c r="C5539" s="33" t="s">
        <v>14</v>
      </c>
      <c r="D5539" s="33" t="s">
        <v>42</v>
      </c>
      <c r="F5539" s="67">
        <v>41995</v>
      </c>
      <c r="G5539" s="33" t="s">
        <v>4897</v>
      </c>
      <c r="H5539" s="33" t="s">
        <v>911</v>
      </c>
      <c r="I5539" s="33" t="s">
        <v>178</v>
      </c>
      <c r="J5539" s="33">
        <v>88001</v>
      </c>
      <c r="K5539" s="33" t="s">
        <v>912</v>
      </c>
      <c r="L5539" s="33" t="s">
        <v>4898</v>
      </c>
      <c r="M5539" s="33" t="s">
        <v>21</v>
      </c>
      <c r="N5539" s="33" t="s">
        <v>4899</v>
      </c>
      <c r="O5539" s="33" t="s">
        <v>507</v>
      </c>
      <c r="P5539" s="33" t="s">
        <v>30089</v>
      </c>
      <c r="Q5539" s="40" t="s">
        <v>4900</v>
      </c>
      <c r="R5539" s="33" t="s">
        <v>23</v>
      </c>
      <c r="S5539" s="33" t="s">
        <v>29</v>
      </c>
      <c r="T5539" s="33" t="s">
        <v>41840</v>
      </c>
      <c r="Z5539" s="33" t="s">
        <v>42968</v>
      </c>
      <c r="AA5539" s="33">
        <v>2126</v>
      </c>
    </row>
    <row r="5540" spans="1:27" ht="12" customHeight="1" x14ac:dyDescent="0.15">
      <c r="A5540" s="33" t="s">
        <v>4905</v>
      </c>
      <c r="B5540" s="33">
        <v>62</v>
      </c>
      <c r="C5540" s="33" t="s">
        <v>14</v>
      </c>
      <c r="D5540" s="33" t="s">
        <v>31</v>
      </c>
      <c r="F5540" s="67">
        <v>41995</v>
      </c>
      <c r="G5540" s="33" t="s">
        <v>4906</v>
      </c>
      <c r="H5540" s="33" t="s">
        <v>4907</v>
      </c>
      <c r="I5540" s="33" t="s">
        <v>122</v>
      </c>
      <c r="J5540" s="33">
        <v>56531</v>
      </c>
      <c r="K5540" s="33" t="s">
        <v>369</v>
      </c>
      <c r="L5540" s="33" t="s">
        <v>4908</v>
      </c>
      <c r="M5540" s="33" t="s">
        <v>351</v>
      </c>
      <c r="N5540" s="33" t="s">
        <v>4909</v>
      </c>
      <c r="O5540" s="33" t="s">
        <v>372</v>
      </c>
      <c r="P5540" s="33" t="s">
        <v>30089</v>
      </c>
      <c r="Q5540" s="40" t="str">
        <f>HYPERLINK("http://www.valleynewslive.com/home/headlines/Man-Dead-in-Otter-Tail-Police-Chase-286635971.html","http://www.valleynewslive.com/home/headlines/Man-Dead-in-Otter-Tail-Police-Chase-286635971.html")</f>
        <v>http://www.valleynewslive.com/home/headlines/Man-Dead-in-Otter-Tail-Police-Chase-286635971.html</v>
      </c>
      <c r="R5540" s="33" t="s">
        <v>23</v>
      </c>
      <c r="S5540" s="33" t="s">
        <v>351</v>
      </c>
      <c r="T5540" s="33" t="s">
        <v>26867</v>
      </c>
      <c r="Z5540" s="33" t="s">
        <v>42967</v>
      </c>
      <c r="AA5540" s="33">
        <v>2128</v>
      </c>
    </row>
    <row r="5541" spans="1:27" ht="12" customHeight="1" x14ac:dyDescent="0.15">
      <c r="A5541" s="33" t="s">
        <v>4918</v>
      </c>
      <c r="B5541" s="33">
        <v>28</v>
      </c>
      <c r="C5541" s="33" t="s">
        <v>14</v>
      </c>
      <c r="D5541" s="33" t="s">
        <v>31</v>
      </c>
      <c r="F5541" s="67">
        <v>41994</v>
      </c>
      <c r="H5541" s="33" t="s">
        <v>4919</v>
      </c>
      <c r="I5541" s="33" t="s">
        <v>798</v>
      </c>
      <c r="J5541" s="33">
        <v>59722</v>
      </c>
      <c r="K5541" s="33" t="s">
        <v>4920</v>
      </c>
      <c r="L5541" s="33" t="s">
        <v>4921</v>
      </c>
      <c r="M5541" s="33" t="s">
        <v>21</v>
      </c>
      <c r="N5541" s="33" t="s">
        <v>4922</v>
      </c>
      <c r="P5541" s="33" t="s">
        <v>30089</v>
      </c>
      <c r="Q5541" s="40" t="s">
        <v>4923</v>
      </c>
      <c r="R5541" s="33" t="s">
        <v>23</v>
      </c>
      <c r="S5541" s="33" t="s">
        <v>29</v>
      </c>
      <c r="T5541" s="33" t="s">
        <v>41840</v>
      </c>
      <c r="Z5541" s="33" t="s">
        <v>42967</v>
      </c>
      <c r="AA5541" s="33">
        <v>2124</v>
      </c>
    </row>
    <row r="5542" spans="1:27" ht="12" customHeight="1" x14ac:dyDescent="0.15">
      <c r="A5542" s="33" t="s">
        <v>4924</v>
      </c>
      <c r="B5542" s="33">
        <v>52</v>
      </c>
      <c r="C5542" s="33" t="s">
        <v>14</v>
      </c>
      <c r="D5542" s="33" t="s">
        <v>31</v>
      </c>
      <c r="E5542" s="33" t="s">
        <v>4925</v>
      </c>
      <c r="F5542" s="67">
        <v>41994</v>
      </c>
      <c r="G5542" s="33" t="s">
        <v>4926</v>
      </c>
      <c r="H5542" s="33" t="s">
        <v>4927</v>
      </c>
      <c r="I5542" s="33" t="s">
        <v>206</v>
      </c>
      <c r="J5542" s="33">
        <v>19904</v>
      </c>
      <c r="K5542" s="33" t="s">
        <v>2350</v>
      </c>
      <c r="L5542" s="33" t="s">
        <v>4928</v>
      </c>
      <c r="M5542" s="33" t="s">
        <v>21</v>
      </c>
      <c r="N5542" s="33" t="s">
        <v>4929</v>
      </c>
      <c r="P5542" s="33" t="s">
        <v>30089</v>
      </c>
      <c r="Q5542" s="40" t="str">
        <f>HYPERLINK("http://www.doverpost.com/article/20141221/NEWS/141229971/13421/NEWS","http://www.doverpost.com/article/20141221/NEWS/141229971/13421/NEWS")</f>
        <v>http://www.doverpost.com/article/20141221/NEWS/141229971/13421/NEWS</v>
      </c>
      <c r="R5542" s="33" t="s">
        <v>23</v>
      </c>
      <c r="S5542" s="33" t="s">
        <v>12</v>
      </c>
      <c r="T5542" s="33" t="s">
        <v>29425</v>
      </c>
      <c r="Z5542" s="33" t="s">
        <v>42968</v>
      </c>
      <c r="AA5542" s="33">
        <v>2123</v>
      </c>
    </row>
    <row r="5543" spans="1:27" ht="12" customHeight="1" x14ac:dyDescent="0.15">
      <c r="A5543" s="33" t="s">
        <v>4930</v>
      </c>
      <c r="B5543" s="33">
        <v>53</v>
      </c>
      <c r="C5543" s="33" t="s">
        <v>14</v>
      </c>
      <c r="D5543" s="33" t="s">
        <v>31</v>
      </c>
      <c r="F5543" s="67">
        <v>41994</v>
      </c>
      <c r="G5543" s="33" t="s">
        <v>4931</v>
      </c>
      <c r="H5543" s="33" t="s">
        <v>4932</v>
      </c>
      <c r="I5543" s="33" t="s">
        <v>39</v>
      </c>
      <c r="J5543" s="33">
        <v>95603</v>
      </c>
      <c r="K5543" s="33" t="s">
        <v>1003</v>
      </c>
      <c r="L5543" s="33" t="s">
        <v>1004</v>
      </c>
      <c r="M5543" s="33" t="s">
        <v>21</v>
      </c>
      <c r="N5543" s="33" t="s">
        <v>4933</v>
      </c>
      <c r="P5543" s="33" t="s">
        <v>30089</v>
      </c>
      <c r="Q5543" s="40" t="str">
        <f>HYPERLINK("http://www.sacbee.com/news/local/crime/article4774815.html","http://www.sacbee.com/news/local/crime/article4774815.html")</f>
        <v>http://www.sacbee.com/news/local/crime/article4774815.html</v>
      </c>
      <c r="R5543" s="33" t="s">
        <v>23</v>
      </c>
      <c r="S5543" s="33" t="s">
        <v>22</v>
      </c>
      <c r="T5543" s="1" t="s">
        <v>26781</v>
      </c>
      <c r="Z5543" s="33" t="s">
        <v>42968</v>
      </c>
      <c r="AA5543" s="33">
        <v>2122</v>
      </c>
    </row>
    <row r="5544" spans="1:27" ht="12" customHeight="1" x14ac:dyDescent="0.15">
      <c r="A5544" s="33" t="s">
        <v>4937</v>
      </c>
      <c r="B5544" s="33">
        <v>30</v>
      </c>
      <c r="C5544" s="33" t="s">
        <v>14</v>
      </c>
      <c r="D5544" s="33" t="s">
        <v>128</v>
      </c>
      <c r="E5544" s="33" t="s">
        <v>4938</v>
      </c>
      <c r="F5544" s="67">
        <v>41993</v>
      </c>
      <c r="G5544" s="33" t="s">
        <v>4939</v>
      </c>
      <c r="H5544" s="33" t="s">
        <v>131</v>
      </c>
      <c r="I5544" s="33" t="s">
        <v>132</v>
      </c>
      <c r="J5544" s="33" t="s">
        <v>4940</v>
      </c>
      <c r="K5544" s="33" t="s">
        <v>133</v>
      </c>
      <c r="L5544" s="33" t="s">
        <v>4941</v>
      </c>
      <c r="M5544" s="33" t="s">
        <v>21</v>
      </c>
      <c r="N5544" s="33" t="s">
        <v>4942</v>
      </c>
      <c r="O5544" s="33" t="s">
        <v>372</v>
      </c>
      <c r="P5544" s="33" t="s">
        <v>30089</v>
      </c>
      <c r="Q5544" s="40" t="s">
        <v>4943</v>
      </c>
      <c r="R5544" s="33" t="s">
        <v>94</v>
      </c>
      <c r="S5544" s="33" t="s">
        <v>22</v>
      </c>
      <c r="T5544" s="1" t="s">
        <v>26774</v>
      </c>
      <c r="Z5544" s="33" t="s">
        <v>42968</v>
      </c>
      <c r="AA5544" s="33">
        <v>2121</v>
      </c>
    </row>
    <row r="5545" spans="1:27" ht="12" customHeight="1" x14ac:dyDescent="0.15">
      <c r="A5545" s="33" t="s">
        <v>4950</v>
      </c>
      <c r="B5545" s="33">
        <v>41</v>
      </c>
      <c r="C5545" s="33" t="s">
        <v>14</v>
      </c>
      <c r="D5545" s="33" t="s">
        <v>31</v>
      </c>
      <c r="E5545" s="33" t="s">
        <v>4951</v>
      </c>
      <c r="F5545" s="67">
        <v>41992</v>
      </c>
      <c r="G5545" s="33" t="s">
        <v>4952</v>
      </c>
      <c r="H5545" s="33" t="s">
        <v>4953</v>
      </c>
      <c r="I5545" s="33" t="s">
        <v>56</v>
      </c>
      <c r="J5545" s="33" t="s">
        <v>4954</v>
      </c>
      <c r="K5545" s="33" t="s">
        <v>4016</v>
      </c>
      <c r="L5545" s="33" t="s">
        <v>4955</v>
      </c>
      <c r="M5545" s="33" t="s">
        <v>21</v>
      </c>
      <c r="N5545" s="33" t="s">
        <v>4956</v>
      </c>
      <c r="O5545" s="33" t="s">
        <v>950</v>
      </c>
      <c r="P5545" s="33" t="s">
        <v>30089</v>
      </c>
      <c r="Q5545" s="40" t="s">
        <v>4957</v>
      </c>
      <c r="R5545" s="33" t="s">
        <v>94</v>
      </c>
      <c r="S5545" s="33" t="s">
        <v>29</v>
      </c>
      <c r="T5545" s="1" t="s">
        <v>43020</v>
      </c>
      <c r="Z5545" s="33" t="s">
        <v>42968</v>
      </c>
      <c r="AA5545" s="33">
        <v>2120</v>
      </c>
    </row>
    <row r="5546" spans="1:27" ht="12" customHeight="1" x14ac:dyDescent="0.15">
      <c r="A5546" s="33" t="s">
        <v>4958</v>
      </c>
      <c r="B5546" s="33">
        <v>35</v>
      </c>
      <c r="C5546" s="33" t="s">
        <v>14</v>
      </c>
      <c r="D5546" s="33" t="s">
        <v>31</v>
      </c>
      <c r="F5546" s="67">
        <v>41992</v>
      </c>
      <c r="G5546" s="33" t="s">
        <v>4959</v>
      </c>
      <c r="H5546" s="33" t="s">
        <v>584</v>
      </c>
      <c r="I5546" s="33" t="s">
        <v>112</v>
      </c>
      <c r="J5546" s="33">
        <v>85023</v>
      </c>
      <c r="K5546" s="33" t="s">
        <v>585</v>
      </c>
      <c r="L5546" s="33" t="s">
        <v>586</v>
      </c>
      <c r="M5546" s="33" t="s">
        <v>21</v>
      </c>
      <c r="N5546" s="33" t="s">
        <v>4960</v>
      </c>
      <c r="P5546" s="33" t="s">
        <v>30089</v>
      </c>
      <c r="Q5546" s="40" t="str">
        <f>HYPERLINK("http://www.kpho.com/story/27660383/pd-phoenix-officer-involved-in-shooting","http://www.kpho.com/story/27660383/pd-phoenix-officer-involved-in-shooting")</f>
        <v>http://www.kpho.com/story/27660383/pd-phoenix-officer-involved-in-shooting</v>
      </c>
      <c r="R5546" s="33" t="s">
        <v>23</v>
      </c>
      <c r="S5546" s="33" t="s">
        <v>22</v>
      </c>
      <c r="T5546" s="1" t="s">
        <v>43021</v>
      </c>
      <c r="Z5546" s="33" t="s">
        <v>42968</v>
      </c>
      <c r="AA5546" s="33">
        <v>2118</v>
      </c>
    </row>
    <row r="5547" spans="1:27" ht="12" customHeight="1" x14ac:dyDescent="0.15">
      <c r="A5547" s="33" t="s">
        <v>4944</v>
      </c>
      <c r="B5547" s="33">
        <v>28</v>
      </c>
      <c r="C5547" s="33" t="s">
        <v>14</v>
      </c>
      <c r="D5547" s="33" t="s">
        <v>79</v>
      </c>
      <c r="E5547" s="33" t="s">
        <v>4945</v>
      </c>
      <c r="F5547" s="67">
        <v>41992</v>
      </c>
      <c r="G5547" s="33" t="s">
        <v>4946</v>
      </c>
      <c r="H5547" s="33" t="s">
        <v>661</v>
      </c>
      <c r="I5547" s="33" t="s">
        <v>402</v>
      </c>
      <c r="J5547" s="33" t="s">
        <v>4947</v>
      </c>
      <c r="K5547" s="33" t="s">
        <v>661</v>
      </c>
      <c r="L5547" s="33" t="s">
        <v>4162</v>
      </c>
      <c r="M5547" s="33" t="s">
        <v>21</v>
      </c>
      <c r="N5547" s="33" t="s">
        <v>4948</v>
      </c>
      <c r="O5547" s="33" t="s">
        <v>950</v>
      </c>
      <c r="P5547" s="33" t="s">
        <v>30089</v>
      </c>
      <c r="Q5547" s="40" t="s">
        <v>4949</v>
      </c>
      <c r="R5547" s="33" t="s">
        <v>94</v>
      </c>
      <c r="S5547" s="33" t="s">
        <v>29</v>
      </c>
      <c r="T5547" s="33" t="s">
        <v>41840</v>
      </c>
      <c r="Z5547" s="33" t="s">
        <v>42966</v>
      </c>
      <c r="AA5547" s="33">
        <v>2119</v>
      </c>
    </row>
    <row r="5548" spans="1:27" ht="12" customHeight="1" x14ac:dyDescent="0.15">
      <c r="A5548" s="33" t="s">
        <v>4961</v>
      </c>
      <c r="B5548" s="33">
        <v>17</v>
      </c>
      <c r="C5548" s="33" t="s">
        <v>14</v>
      </c>
      <c r="D5548" s="33" t="s">
        <v>128</v>
      </c>
      <c r="E5548" s="33" t="s">
        <v>4962</v>
      </c>
      <c r="F5548" s="67">
        <v>41991</v>
      </c>
      <c r="H5548" s="33" t="s">
        <v>4963</v>
      </c>
      <c r="I5548" s="33" t="s">
        <v>39</v>
      </c>
      <c r="J5548" s="33" t="s">
        <v>4964</v>
      </c>
      <c r="K5548" s="33" t="s">
        <v>4965</v>
      </c>
      <c r="L5548" s="33" t="s">
        <v>897</v>
      </c>
      <c r="M5548" s="33" t="s">
        <v>4966</v>
      </c>
      <c r="N5548" s="33" t="s">
        <v>4967</v>
      </c>
      <c r="O5548" s="33" t="s">
        <v>372</v>
      </c>
      <c r="P5548" s="33" t="s">
        <v>30089</v>
      </c>
      <c r="Q5548" s="40" t="s">
        <v>4968</v>
      </c>
      <c r="R5548" s="33" t="s">
        <v>23</v>
      </c>
      <c r="S5548" s="33" t="s">
        <v>22</v>
      </c>
      <c r="T5548" s="1" t="s">
        <v>26593</v>
      </c>
      <c r="Z5548" s="33" t="s">
        <v>42967</v>
      </c>
      <c r="AA5548" s="33">
        <v>2116</v>
      </c>
    </row>
    <row r="5549" spans="1:27" ht="12" customHeight="1" x14ac:dyDescent="0.15">
      <c r="A5549" s="33" t="s">
        <v>4969</v>
      </c>
      <c r="B5549" s="33">
        <v>39</v>
      </c>
      <c r="C5549" s="33" t="s">
        <v>14</v>
      </c>
      <c r="D5549" s="33" t="s">
        <v>31</v>
      </c>
      <c r="E5549" s="33" t="s">
        <v>4970</v>
      </c>
      <c r="F5549" s="67">
        <v>41991</v>
      </c>
      <c r="H5549" s="33" t="s">
        <v>4971</v>
      </c>
      <c r="I5549" s="33" t="s">
        <v>198</v>
      </c>
      <c r="J5549" s="33">
        <v>46166</v>
      </c>
      <c r="K5549" s="33" t="s">
        <v>4972</v>
      </c>
      <c r="L5549" s="33" t="s">
        <v>4973</v>
      </c>
      <c r="M5549" s="33" t="s">
        <v>21</v>
      </c>
      <c r="N5549" s="33" t="s">
        <v>4974</v>
      </c>
      <c r="P5549" s="33" t="s">
        <v>30089</v>
      </c>
      <c r="Q5549" s="40" t="str">
        <f>HYPERLINK("http://www.wthr.com/story/27658447/police-pursuit-standoff-shuts-down-state-road-67-at-owen-morgan-county-line","http://www.wthr.com/story/27658447/police-pursuit-standoff-shuts-down-state-road-67-at-owen-morgan-county-line")</f>
        <v>http://www.wthr.com/story/27658447/police-pursuit-standoff-shuts-down-state-road-67-at-owen-morgan-county-line</v>
      </c>
      <c r="R5549" s="33" t="s">
        <v>23</v>
      </c>
      <c r="S5549" s="33" t="s">
        <v>22</v>
      </c>
      <c r="T5549" s="1" t="s">
        <v>26576</v>
      </c>
      <c r="Z5549" s="33" t="s">
        <v>42967</v>
      </c>
      <c r="AA5549" s="33">
        <v>2117</v>
      </c>
    </row>
    <row r="5550" spans="1:27" ht="12" customHeight="1" x14ac:dyDescent="0.15">
      <c r="A5550" s="33" t="s">
        <v>4975</v>
      </c>
      <c r="B5550" s="33">
        <v>34</v>
      </c>
      <c r="C5550" s="33" t="s">
        <v>14</v>
      </c>
      <c r="D5550" s="33" t="s">
        <v>42</v>
      </c>
      <c r="E5550" s="33" t="s">
        <v>4976</v>
      </c>
      <c r="F5550" s="67">
        <v>41990</v>
      </c>
      <c r="G5550" s="33" t="s">
        <v>4977</v>
      </c>
      <c r="H5550" s="33" t="s">
        <v>866</v>
      </c>
      <c r="I5550" s="33" t="s">
        <v>178</v>
      </c>
      <c r="J5550" s="33" t="s">
        <v>4978</v>
      </c>
      <c r="K5550" s="33" t="s">
        <v>433</v>
      </c>
      <c r="L5550" s="33" t="s">
        <v>7415</v>
      </c>
      <c r="M5550" s="33" t="s">
        <v>21</v>
      </c>
      <c r="N5550" s="33" t="s">
        <v>4979</v>
      </c>
      <c r="O5550" s="33" t="s">
        <v>950</v>
      </c>
      <c r="P5550" s="33" t="s">
        <v>30089</v>
      </c>
      <c r="Q5550" s="40" t="s">
        <v>4980</v>
      </c>
      <c r="R5550" s="33" t="s">
        <v>94</v>
      </c>
      <c r="S5550" s="33" t="s">
        <v>22</v>
      </c>
      <c r="T5550" s="1" t="s">
        <v>26781</v>
      </c>
      <c r="Z5550" s="33" t="s">
        <v>42968</v>
      </c>
      <c r="AA5550" s="33">
        <v>2108</v>
      </c>
    </row>
    <row r="5551" spans="1:27" ht="12" customHeight="1" x14ac:dyDescent="0.15">
      <c r="A5551" s="33" t="s">
        <v>5010</v>
      </c>
      <c r="B5551" s="33">
        <v>25</v>
      </c>
      <c r="C5551" s="33" t="s">
        <v>14</v>
      </c>
      <c r="D5551" s="33" t="s">
        <v>31</v>
      </c>
      <c r="F5551" s="67">
        <v>41990</v>
      </c>
      <c r="G5551" s="33" t="s">
        <v>5011</v>
      </c>
      <c r="H5551" s="33" t="s">
        <v>5012</v>
      </c>
      <c r="I5551" s="33" t="s">
        <v>342</v>
      </c>
      <c r="J5551" s="33">
        <v>50158</v>
      </c>
      <c r="K5551" s="33" t="s">
        <v>611</v>
      </c>
      <c r="L5551" s="33" t="s">
        <v>5013</v>
      </c>
      <c r="M5551" s="33" t="s">
        <v>21</v>
      </c>
      <c r="N5551" s="33" t="s">
        <v>5014</v>
      </c>
      <c r="P5551" s="33" t="s">
        <v>30089</v>
      </c>
      <c r="Q5551" s="40" t="str">
        <f>HYPERLINK("http://whotv.com/2014/12/17/marshalltown-police-critically-wound-armed-suspect-overnight/","http://whotv.com/2014/12/17/marshalltown-police-critically-wound-armed-suspect-overnight/")</f>
        <v>http://whotv.com/2014/12/17/marshalltown-police-critically-wound-armed-suspect-overnight/</v>
      </c>
      <c r="R5551" s="33" t="s">
        <v>23</v>
      </c>
      <c r="S5551" s="33" t="s">
        <v>22</v>
      </c>
      <c r="T5551" s="1" t="s">
        <v>26781</v>
      </c>
      <c r="Z5551" s="33" t="s">
        <v>42968</v>
      </c>
      <c r="AA5551" s="33">
        <v>2110</v>
      </c>
    </row>
    <row r="5552" spans="1:27" ht="12" customHeight="1" x14ac:dyDescent="0.15">
      <c r="A5552" s="33" t="s">
        <v>4994</v>
      </c>
      <c r="B5552" s="33">
        <v>18</v>
      </c>
      <c r="C5552" s="33" t="s">
        <v>14</v>
      </c>
      <c r="D5552" s="33" t="s">
        <v>31</v>
      </c>
      <c r="F5552" s="67">
        <v>41990</v>
      </c>
      <c r="G5552" s="33" t="s">
        <v>4995</v>
      </c>
      <c r="H5552" s="33" t="s">
        <v>584</v>
      </c>
      <c r="I5552" s="33" t="s">
        <v>112</v>
      </c>
      <c r="J5552" s="33">
        <v>85054</v>
      </c>
      <c r="K5552" s="33" t="s">
        <v>585</v>
      </c>
      <c r="L5552" s="33" t="s">
        <v>586</v>
      </c>
      <c r="M5552" s="33" t="s">
        <v>21</v>
      </c>
      <c r="N5552" s="33" t="s">
        <v>4996</v>
      </c>
      <c r="O5552" s="33" t="s">
        <v>507</v>
      </c>
      <c r="P5552" s="33" t="s">
        <v>30089</v>
      </c>
      <c r="Q5552" s="40" t="str">
        <f>HYPERLINK("http://www.azcentral.com/story/news/local/phoenix/2014/12/17/phoenix-officer-shooting-teen-dies-abrk/20530475/","http://www.azcentral.com/story/news/local/phoenix/2014/12/17/phoenix-officer-shooting-teen-dies-abrk/20530475/")</f>
        <v>http://www.azcentral.com/story/news/local/phoenix/2014/12/17/phoenix-officer-shooting-teen-dies-abrk/20530475/</v>
      </c>
      <c r="R5552" s="33" t="s">
        <v>23</v>
      </c>
      <c r="S5552" s="33" t="s">
        <v>22</v>
      </c>
      <c r="T5552" s="1" t="s">
        <v>26781</v>
      </c>
      <c r="Z5552" s="33" t="s">
        <v>42966</v>
      </c>
      <c r="AA5552" s="33">
        <v>2112</v>
      </c>
    </row>
    <row r="5553" spans="1:27" ht="12" customHeight="1" x14ac:dyDescent="0.15">
      <c r="A5553" s="33" t="s">
        <v>3002</v>
      </c>
      <c r="B5553" s="33" t="s">
        <v>23</v>
      </c>
      <c r="C5553" s="33" t="s">
        <v>14</v>
      </c>
      <c r="D5553" s="33" t="s">
        <v>24</v>
      </c>
      <c r="F5553" s="67">
        <v>41990</v>
      </c>
      <c r="G5553" s="33" t="s">
        <v>4985</v>
      </c>
      <c r="H5553" s="33" t="s">
        <v>826</v>
      </c>
      <c r="I5553" s="33" t="s">
        <v>282</v>
      </c>
      <c r="J5553" s="33">
        <v>98444</v>
      </c>
      <c r="K5553" s="33" t="s">
        <v>827</v>
      </c>
      <c r="L5553" s="33" t="s">
        <v>828</v>
      </c>
      <c r="M5553" s="33" t="s">
        <v>21</v>
      </c>
      <c r="N5553" s="33" t="s">
        <v>4986</v>
      </c>
      <c r="P5553" s="33" t="s">
        <v>30089</v>
      </c>
      <c r="Q5553" s="40" t="str">
        <f>HYPERLINK("http://www.kirotv.com/news/news/deputy-involved-shooting-tacoma/njTnD/","http://www.kirotv.com/news/news/deputy-involved-shooting-tacoma/njTnD/")</f>
        <v>http://www.kirotv.com/news/news/deputy-involved-shooting-tacoma/njTnD/</v>
      </c>
      <c r="R5553" s="33" t="s">
        <v>23</v>
      </c>
      <c r="S5553" s="33" t="s">
        <v>22</v>
      </c>
      <c r="T5553" s="1" t="s">
        <v>26781</v>
      </c>
      <c r="Z5553" s="33" t="s">
        <v>42968</v>
      </c>
      <c r="AA5553" s="33">
        <v>2109</v>
      </c>
    </row>
    <row r="5554" spans="1:27" ht="12" customHeight="1" x14ac:dyDescent="0.15">
      <c r="A5554" s="33" t="s">
        <v>4981</v>
      </c>
      <c r="B5554" s="33">
        <v>48</v>
      </c>
      <c r="C5554" s="33" t="s">
        <v>14</v>
      </c>
      <c r="D5554" s="33" t="s">
        <v>42</v>
      </c>
      <c r="F5554" s="67">
        <v>41990</v>
      </c>
      <c r="G5554" s="33" t="s">
        <v>4982</v>
      </c>
      <c r="H5554" s="33" t="s">
        <v>532</v>
      </c>
      <c r="I5554" s="33" t="s">
        <v>67</v>
      </c>
      <c r="J5554" s="33">
        <v>78228</v>
      </c>
      <c r="K5554" s="33" t="s">
        <v>533</v>
      </c>
      <c r="L5554" s="33" t="s">
        <v>534</v>
      </c>
      <c r="M5554" s="33" t="s">
        <v>21</v>
      </c>
      <c r="N5554" s="33" t="s">
        <v>4983</v>
      </c>
      <c r="P5554" s="33" t="s">
        <v>30089</v>
      </c>
      <c r="Q5554" s="40" t="s">
        <v>4984</v>
      </c>
      <c r="R5554" s="33" t="s">
        <v>23</v>
      </c>
      <c r="S5554" s="33" t="s">
        <v>29</v>
      </c>
      <c r="T5554" s="33" t="s">
        <v>41840</v>
      </c>
      <c r="Z5554" s="33" t="s">
        <v>42968</v>
      </c>
      <c r="AA5554" s="33">
        <v>2115</v>
      </c>
    </row>
    <row r="5555" spans="1:27" ht="12" customHeight="1" x14ac:dyDescent="0.15">
      <c r="A5555" s="33" t="s">
        <v>4997</v>
      </c>
      <c r="B5555" s="33">
        <v>18</v>
      </c>
      <c r="C5555" s="33" t="s">
        <v>14</v>
      </c>
      <c r="D5555" s="33" t="s">
        <v>31</v>
      </c>
      <c r="E5555" s="33" t="str">
        <f>HYPERLINK("http://www.muellersfuneralhomes.com/obituaries/Johnathon-Jd-Mar/Print/Wall","http://www.muellersfuneralhomes.com/obituaries/Johnathon-Jd-Mar/Print/Wall")</f>
        <v>http://www.muellersfuneralhomes.com/obituaries/Johnathon-Jd-Mar/Print/Wall</v>
      </c>
      <c r="F5555" s="67">
        <v>41990</v>
      </c>
      <c r="G5555" s="33" t="s">
        <v>4998</v>
      </c>
      <c r="H5555" s="33" t="s">
        <v>4999</v>
      </c>
      <c r="I5555" s="33" t="s">
        <v>122</v>
      </c>
      <c r="J5555" s="33" t="s">
        <v>5000</v>
      </c>
      <c r="K5555" s="33" t="s">
        <v>3291</v>
      </c>
      <c r="L5555" s="33" t="s">
        <v>5001</v>
      </c>
      <c r="M5555" s="33" t="s">
        <v>21</v>
      </c>
      <c r="N5555" s="33" t="s">
        <v>5002</v>
      </c>
      <c r="O5555" s="33" t="s">
        <v>372</v>
      </c>
      <c r="P5555" s="33" t="s">
        <v>30089</v>
      </c>
      <c r="Q5555" s="40" t="s">
        <v>5003</v>
      </c>
      <c r="R5555" s="33" t="s">
        <v>512</v>
      </c>
      <c r="S5555" s="33" t="s">
        <v>22</v>
      </c>
      <c r="T5555" s="1" t="s">
        <v>26774</v>
      </c>
      <c r="Z5555" s="33" t="s">
        <v>42968</v>
      </c>
      <c r="AA5555" s="33">
        <v>2113</v>
      </c>
    </row>
    <row r="5556" spans="1:27" ht="12" customHeight="1" x14ac:dyDescent="0.15">
      <c r="A5556" s="33" t="s">
        <v>5004</v>
      </c>
      <c r="B5556" s="33">
        <v>48</v>
      </c>
      <c r="C5556" s="33" t="s">
        <v>14</v>
      </c>
      <c r="D5556" s="33" t="s">
        <v>31</v>
      </c>
      <c r="E5556" s="33" t="s">
        <v>5005</v>
      </c>
      <c r="F5556" s="67">
        <v>41990</v>
      </c>
      <c r="G5556" s="33" t="s">
        <v>5006</v>
      </c>
      <c r="H5556" s="33" t="s">
        <v>5007</v>
      </c>
      <c r="I5556" s="33" t="s">
        <v>39</v>
      </c>
      <c r="J5556" s="33">
        <v>92626</v>
      </c>
      <c r="K5556" s="33" t="s">
        <v>998</v>
      </c>
      <c r="L5556" s="33" t="s">
        <v>5008</v>
      </c>
      <c r="M5556" s="33" t="s">
        <v>21</v>
      </c>
      <c r="N5556" s="33" t="s">
        <v>5009</v>
      </c>
      <c r="P5556" s="33" t="s">
        <v>30089</v>
      </c>
      <c r="Q5556" s="40" t="str">
        <f>HYPERLINK("http://www.ocregister.com/articles/mesa-645510-costa-warrants.html","http://www.ocregister.com/articles/mesa-645510-costa-warrants.html")</f>
        <v>http://www.ocregister.com/articles/mesa-645510-costa-warrants.html</v>
      </c>
      <c r="R5556" s="33" t="s">
        <v>23</v>
      </c>
      <c r="S5556" s="33" t="s">
        <v>22</v>
      </c>
      <c r="T5556" s="1" t="s">
        <v>26781</v>
      </c>
      <c r="Z5556" s="33" t="s">
        <v>42966</v>
      </c>
      <c r="AA5556" s="33">
        <v>2111</v>
      </c>
    </row>
    <row r="5557" spans="1:27" ht="12" customHeight="1" x14ac:dyDescent="0.15">
      <c r="A5557" s="33" t="s">
        <v>4987</v>
      </c>
      <c r="B5557" s="33">
        <v>28</v>
      </c>
      <c r="C5557" s="33" t="s">
        <v>14</v>
      </c>
      <c r="D5557" s="33" t="s">
        <v>31</v>
      </c>
      <c r="E5557" s="33" t="s">
        <v>4988</v>
      </c>
      <c r="F5557" s="67">
        <v>41990</v>
      </c>
      <c r="G5557" s="33" t="s">
        <v>4989</v>
      </c>
      <c r="H5557" s="33" t="s">
        <v>4990</v>
      </c>
      <c r="I5557" s="33" t="s">
        <v>56</v>
      </c>
      <c r="J5557" s="33">
        <v>32506</v>
      </c>
      <c r="K5557" s="33" t="s">
        <v>4991</v>
      </c>
      <c r="L5557" s="33" t="s">
        <v>4992</v>
      </c>
      <c r="M5557" s="33" t="s">
        <v>363</v>
      </c>
      <c r="N5557" s="33" t="s">
        <v>4993</v>
      </c>
      <c r="P5557" s="33" t="s">
        <v>30089</v>
      </c>
      <c r="Q5557" s="40" t="str">
        <f>HYPERLINK("http://www.pnj.com/story/news/crime/2014/12/17/man-dies-two-weeks-tased/20545199/","http://www.pnj.com/story/news/crime/2014/12/17/man-dies-two-weeks-tased/20545199/")</f>
        <v>http://www.pnj.com/story/news/crime/2014/12/17/man-dies-two-weeks-tased/20545199/</v>
      </c>
      <c r="R5557" s="33" t="s">
        <v>23</v>
      </c>
      <c r="S5557" s="33" t="s">
        <v>12</v>
      </c>
      <c r="T5557" s="1" t="s">
        <v>29705</v>
      </c>
      <c r="Z5557" s="33" t="s">
        <v>42968</v>
      </c>
      <c r="AA5557" s="33">
        <v>2114</v>
      </c>
    </row>
    <row r="5558" spans="1:27" ht="12" customHeight="1" x14ac:dyDescent="0.15">
      <c r="A5558" s="33" t="s">
        <v>5021</v>
      </c>
      <c r="B5558" s="33">
        <v>35</v>
      </c>
      <c r="C5558" s="33" t="s">
        <v>14</v>
      </c>
      <c r="D5558" s="33" t="s">
        <v>79</v>
      </c>
      <c r="E5558" s="33" t="str">
        <f>HYPERLINK("http://www.arklatexhomepage.com/media/lib/186/8/4/d/84d8a85a-cc51-4371-b6d1-6a6fb81977f1/Story.jpg","http://www.arklatexhomepage.com/media/lib/186/8/4/d/84d8a85a-cc51-4371-b6d1-6a6fb81977f1/Story.jpg")</f>
        <v>http://www.arklatexhomepage.com/media/lib/186/8/4/d/84d8a85a-cc51-4371-b6d1-6a6fb81977f1/Story.jpg</v>
      </c>
      <c r="F5558" s="67">
        <v>41988</v>
      </c>
      <c r="G5558" s="33" t="s">
        <v>5022</v>
      </c>
      <c r="H5558" s="33" t="s">
        <v>1023</v>
      </c>
      <c r="I5558" s="33" t="s">
        <v>67</v>
      </c>
      <c r="J5558" s="33">
        <v>75501</v>
      </c>
      <c r="K5558" s="33" t="s">
        <v>5023</v>
      </c>
      <c r="L5558" s="33" t="s">
        <v>1024</v>
      </c>
      <c r="M5558" s="33" t="s">
        <v>21</v>
      </c>
      <c r="N5558" s="33" t="s">
        <v>36789</v>
      </c>
      <c r="O5558" s="33" t="s">
        <v>507</v>
      </c>
      <c r="P5558" s="33" t="s">
        <v>30089</v>
      </c>
      <c r="Q5558" s="40" t="s">
        <v>5024</v>
      </c>
      <c r="R5558" s="33" t="s">
        <v>512</v>
      </c>
      <c r="S5558" s="33" t="s">
        <v>12</v>
      </c>
      <c r="T5558" s="54" t="s">
        <v>29705</v>
      </c>
      <c r="Z5558" s="33" t="s">
        <v>42968</v>
      </c>
      <c r="AA5558" s="33">
        <v>2107</v>
      </c>
    </row>
    <row r="5559" spans="1:27" ht="12" customHeight="1" x14ac:dyDescent="0.15">
      <c r="A5559" s="33" t="s">
        <v>5015</v>
      </c>
      <c r="B5559" s="33">
        <v>26</v>
      </c>
      <c r="C5559" s="33" t="s">
        <v>14</v>
      </c>
      <c r="D5559" s="33" t="s">
        <v>79</v>
      </c>
      <c r="F5559" s="67">
        <v>41988</v>
      </c>
      <c r="G5559" s="33" t="s">
        <v>5016</v>
      </c>
      <c r="H5559" s="33" t="s">
        <v>1033</v>
      </c>
      <c r="I5559" s="33" t="s">
        <v>376</v>
      </c>
      <c r="J5559" s="33">
        <v>19135</v>
      </c>
      <c r="K5559" s="33" t="s">
        <v>1033</v>
      </c>
      <c r="L5559" s="33" t="s">
        <v>1034</v>
      </c>
      <c r="M5559" s="33" t="s">
        <v>21</v>
      </c>
      <c r="N5559" s="33" t="s">
        <v>5017</v>
      </c>
      <c r="P5559" s="33" t="s">
        <v>30089</v>
      </c>
      <c r="Q5559" s="40" t="str">
        <f>HYPERLINK("http://www.nbcphiladelphia.com/news/local/Mayfair-Police-Shooting-285796911.html","http://www.nbcphiladelphia.com/news/local/Mayfair-Police-Shooting-285796911.html")</f>
        <v>http://www.nbcphiladelphia.com/news/local/Mayfair-Police-Shooting-285796911.html</v>
      </c>
      <c r="R5559" s="33" t="s">
        <v>94</v>
      </c>
      <c r="S5559" s="33" t="s">
        <v>22</v>
      </c>
      <c r="T5559" s="1" t="s">
        <v>26781</v>
      </c>
      <c r="Z5559" s="33" t="s">
        <v>42966</v>
      </c>
      <c r="AA5559" s="33">
        <v>2104</v>
      </c>
    </row>
    <row r="5560" spans="1:27" ht="12" customHeight="1" x14ac:dyDescent="0.15">
      <c r="A5560" s="33" t="s">
        <v>5025</v>
      </c>
      <c r="B5560" s="33">
        <v>32</v>
      </c>
      <c r="C5560" s="33" t="s">
        <v>103</v>
      </c>
      <c r="D5560" s="33" t="s">
        <v>42</v>
      </c>
      <c r="E5560" s="33" t="str">
        <f>HYPERLINK("http://www.everythinglubbock.com/media/lib/197/b/e/9/be97488a-220f-42d4-a656-82afae53b037/Story.jpg","http://www.everythinglubbock.com/media/lib/197/b/e/9/be97488a-220f-42d4-a656-82afae53b037/Story.jpg")</f>
        <v>http://www.everythinglubbock.com/media/lib/197/b/e/9/be97488a-220f-42d4-a656-82afae53b037/Story.jpg</v>
      </c>
      <c r="F5560" s="67">
        <v>41988</v>
      </c>
      <c r="G5560" s="33" t="s">
        <v>5026</v>
      </c>
      <c r="H5560" s="33" t="s">
        <v>1807</v>
      </c>
      <c r="I5560" s="33" t="s">
        <v>67</v>
      </c>
      <c r="J5560" s="33">
        <v>79705</v>
      </c>
      <c r="K5560" s="33" t="s">
        <v>1807</v>
      </c>
      <c r="L5560" s="33" t="s">
        <v>1809</v>
      </c>
      <c r="M5560" s="33" t="s">
        <v>21</v>
      </c>
      <c r="N5560" s="33" t="s">
        <v>5027</v>
      </c>
      <c r="O5560" s="33" t="s">
        <v>372</v>
      </c>
      <c r="P5560" s="33" t="s">
        <v>30089</v>
      </c>
      <c r="Q5560" s="40" t="str">
        <f>HYPERLINK("http://www.newswest9.com/story/27643563/midland-police-identify-officer-killed-in-murder-suicide","http://www.newswest9.com/story/27643563/midland-police-identify-officer-killed-in-murder-suicide")</f>
        <v>http://www.newswest9.com/story/27643563/midland-police-identify-officer-killed-in-murder-suicide</v>
      </c>
      <c r="R5560" s="33" t="s">
        <v>23</v>
      </c>
      <c r="S5560" s="33" t="s">
        <v>12</v>
      </c>
      <c r="T5560" s="54" t="s">
        <v>29705</v>
      </c>
      <c r="Z5560" s="33" t="s">
        <v>42968</v>
      </c>
      <c r="AA5560" s="33">
        <v>2106</v>
      </c>
    </row>
    <row r="5561" spans="1:27" ht="12" customHeight="1" x14ac:dyDescent="0.15">
      <c r="A5561" s="33" t="s">
        <v>5018</v>
      </c>
      <c r="B5561" s="33">
        <v>16</v>
      </c>
      <c r="C5561" s="33" t="s">
        <v>14</v>
      </c>
      <c r="D5561" s="33" t="s">
        <v>79</v>
      </c>
      <c r="F5561" s="67">
        <v>41988</v>
      </c>
      <c r="G5561" s="33" t="s">
        <v>5019</v>
      </c>
      <c r="H5561" s="33" t="s">
        <v>1888</v>
      </c>
      <c r="I5561" s="33" t="s">
        <v>298</v>
      </c>
      <c r="J5561" s="33">
        <v>37217</v>
      </c>
      <c r="K5561" s="33" t="s">
        <v>823</v>
      </c>
      <c r="L5561" s="33" t="s">
        <v>824</v>
      </c>
      <c r="M5561" s="33" t="s">
        <v>21</v>
      </c>
      <c r="N5561" s="33" t="s">
        <v>5020</v>
      </c>
      <c r="P5561" s="33" t="s">
        <v>30089</v>
      </c>
      <c r="Q5561" s="40" t="str">
        <f>HYPERLINK("http://www.tennessean.com/story/news/crime/2014/12/14/suspect-killed-officer-injured-south-nashville/20418519/","http://www.tennessean.com/story/news/crime/2014/12/14/suspect-killed-officer-injured-south-nashville/20418519/")</f>
        <v>http://www.tennessean.com/story/news/crime/2014/12/14/suspect-killed-officer-injured-south-nashville/20418519/</v>
      </c>
      <c r="R5561" s="33" t="s">
        <v>94</v>
      </c>
      <c r="S5561" s="33" t="s">
        <v>22</v>
      </c>
      <c r="T5561" s="1" t="s">
        <v>26781</v>
      </c>
      <c r="Z5561" s="33" t="s">
        <v>42968</v>
      </c>
      <c r="AA5561" s="33">
        <v>2105</v>
      </c>
    </row>
    <row r="5562" spans="1:27" ht="12" customHeight="1" x14ac:dyDescent="0.15">
      <c r="A5562" s="33" t="s">
        <v>5038</v>
      </c>
      <c r="B5562" s="33">
        <v>65</v>
      </c>
      <c r="C5562" s="33" t="s">
        <v>14</v>
      </c>
      <c r="D5562" s="33" t="s">
        <v>24</v>
      </c>
      <c r="F5562" s="67">
        <v>41987</v>
      </c>
      <c r="G5562" s="33" t="s">
        <v>5039</v>
      </c>
      <c r="H5562" s="33" t="s">
        <v>5040</v>
      </c>
      <c r="I5562" s="33" t="s">
        <v>39</v>
      </c>
      <c r="J5562" s="33">
        <v>92570</v>
      </c>
      <c r="K5562" s="33" t="s">
        <v>728</v>
      </c>
      <c r="L5562" s="33" t="s">
        <v>729</v>
      </c>
      <c r="M5562" s="33" t="s">
        <v>21</v>
      </c>
      <c r="N5562" s="33" t="s">
        <v>5041</v>
      </c>
      <c r="P5562" s="33" t="s">
        <v>30089</v>
      </c>
      <c r="Q5562" s="40" t="s">
        <v>5042</v>
      </c>
      <c r="R5562" s="33" t="s">
        <v>23</v>
      </c>
      <c r="S5562" s="33" t="s">
        <v>29</v>
      </c>
      <c r="T5562" s="33" t="s">
        <v>41840</v>
      </c>
      <c r="Z5562" s="33" t="s">
        <v>42968</v>
      </c>
      <c r="AA5562" s="33">
        <v>2103</v>
      </c>
    </row>
    <row r="5563" spans="1:27" ht="12" customHeight="1" x14ac:dyDescent="0.15">
      <c r="A5563" s="33" t="s">
        <v>5033</v>
      </c>
      <c r="B5563" s="33">
        <v>51</v>
      </c>
      <c r="C5563" s="33" t="s">
        <v>14</v>
      </c>
      <c r="D5563" s="33" t="s">
        <v>42</v>
      </c>
      <c r="F5563" s="67">
        <v>41987</v>
      </c>
      <c r="G5563" s="33" t="s">
        <v>5034</v>
      </c>
      <c r="I5563" s="33" t="s">
        <v>56</v>
      </c>
      <c r="J5563" s="33">
        <v>32259</v>
      </c>
      <c r="K5563" s="33" t="s">
        <v>2230</v>
      </c>
      <c r="L5563" s="33" t="s">
        <v>5035</v>
      </c>
      <c r="M5563" s="33" t="s">
        <v>21</v>
      </c>
      <c r="N5563" s="33" t="s">
        <v>5036</v>
      </c>
      <c r="P5563" s="33" t="s">
        <v>30089</v>
      </c>
      <c r="Q5563" s="40" t="s">
        <v>5037</v>
      </c>
      <c r="R5563" s="33" t="s">
        <v>23</v>
      </c>
      <c r="S5563" s="33" t="s">
        <v>29</v>
      </c>
      <c r="T5563" s="33" t="s">
        <v>41840</v>
      </c>
      <c r="Z5563" s="33" t="s">
        <v>42968</v>
      </c>
      <c r="AA5563" s="33">
        <v>2102</v>
      </c>
    </row>
    <row r="5564" spans="1:27" ht="12" customHeight="1" x14ac:dyDescent="0.15">
      <c r="A5564" s="33" t="s">
        <v>5028</v>
      </c>
      <c r="B5564" s="33">
        <v>23</v>
      </c>
      <c r="C5564" s="33" t="s">
        <v>14</v>
      </c>
      <c r="D5564" s="33" t="s">
        <v>79</v>
      </c>
      <c r="F5564" s="67">
        <v>41987</v>
      </c>
      <c r="G5564" s="33" t="s">
        <v>5029</v>
      </c>
      <c r="H5564" s="33" t="s">
        <v>5030</v>
      </c>
      <c r="I5564" s="33" t="s">
        <v>621</v>
      </c>
      <c r="J5564" s="33">
        <v>39157</v>
      </c>
      <c r="K5564" s="33" t="s">
        <v>2014</v>
      </c>
      <c r="L5564" s="33" t="s">
        <v>5031</v>
      </c>
      <c r="M5564" s="33" t="s">
        <v>21</v>
      </c>
      <c r="N5564" s="33" t="s">
        <v>5032</v>
      </c>
      <c r="O5564" s="33" t="s">
        <v>507</v>
      </c>
      <c r="P5564" s="33" t="s">
        <v>30089</v>
      </c>
      <c r="Q5564" s="40" t="str">
        <f>HYPERLINK("http://www.msnewsnow.com/story/27625936/madison-coroner-called-to-hwy-51-for-officer-involved-shooting","http://www.msnewsnow.com/story/27625936/madison-coroner-called-to-hwy-51-for-officer-involved-shooting")</f>
        <v>http://www.msnewsnow.com/story/27625936/madison-coroner-called-to-hwy-51-for-officer-involved-shooting</v>
      </c>
      <c r="R5564" s="33" t="s">
        <v>94</v>
      </c>
      <c r="S5564" s="33" t="s">
        <v>22</v>
      </c>
      <c r="T5564" s="1" t="s">
        <v>26781</v>
      </c>
      <c r="Z5564" s="33" t="s">
        <v>42968</v>
      </c>
      <c r="AA5564" s="33">
        <v>2101</v>
      </c>
    </row>
    <row r="5565" spans="1:27" ht="12" customHeight="1" x14ac:dyDescent="0.15">
      <c r="A5565" s="33" t="s">
        <v>5043</v>
      </c>
      <c r="B5565" s="33">
        <v>19</v>
      </c>
      <c r="C5565" s="33" t="s">
        <v>14</v>
      </c>
      <c r="D5565" s="33" t="s">
        <v>42</v>
      </c>
      <c r="F5565" s="67">
        <v>41986</v>
      </c>
      <c r="G5565" s="33" t="s">
        <v>5044</v>
      </c>
      <c r="H5565" s="33" t="s">
        <v>2574</v>
      </c>
      <c r="I5565" s="33" t="s">
        <v>337</v>
      </c>
      <c r="J5565" s="33">
        <v>66606</v>
      </c>
      <c r="K5565" s="33" t="s">
        <v>2576</v>
      </c>
      <c r="L5565" s="33" t="s">
        <v>2577</v>
      </c>
      <c r="M5565" s="33" t="s">
        <v>21</v>
      </c>
      <c r="N5565" s="33" t="s">
        <v>5045</v>
      </c>
      <c r="O5565" s="33" t="s">
        <v>507</v>
      </c>
      <c r="P5565" s="33" t="s">
        <v>30089</v>
      </c>
      <c r="Q5565" s="40" t="s">
        <v>5046</v>
      </c>
      <c r="R5565" s="33" t="s">
        <v>23</v>
      </c>
      <c r="S5565" s="33" t="s">
        <v>22</v>
      </c>
      <c r="T5565" s="1" t="s">
        <v>26781</v>
      </c>
      <c r="Z5565" s="33" t="s">
        <v>42966</v>
      </c>
      <c r="AA5565" s="33">
        <v>2098</v>
      </c>
    </row>
    <row r="5566" spans="1:27" ht="12" customHeight="1" x14ac:dyDescent="0.15">
      <c r="A5566" s="33" t="s">
        <v>5053</v>
      </c>
      <c r="B5566" s="33">
        <v>22</v>
      </c>
      <c r="C5566" s="33" t="s">
        <v>14</v>
      </c>
      <c r="D5566" s="33" t="s">
        <v>31</v>
      </c>
      <c r="F5566" s="67">
        <v>41986</v>
      </c>
      <c r="G5566" s="33" t="s">
        <v>5054</v>
      </c>
      <c r="H5566" s="33" t="s">
        <v>537</v>
      </c>
      <c r="I5566" s="33" t="s">
        <v>63</v>
      </c>
      <c r="J5566" s="33">
        <v>43050</v>
      </c>
      <c r="K5566" s="33" t="s">
        <v>2476</v>
      </c>
      <c r="L5566" s="33" t="s">
        <v>5055</v>
      </c>
      <c r="M5566" s="33" t="s">
        <v>21</v>
      </c>
      <c r="N5566" s="33" t="s">
        <v>5056</v>
      </c>
      <c r="P5566" s="33" t="s">
        <v>30089</v>
      </c>
      <c r="Q5566" s="40" t="s">
        <v>5057</v>
      </c>
      <c r="R5566" s="33" t="s">
        <v>23</v>
      </c>
      <c r="S5566" s="33" t="s">
        <v>29</v>
      </c>
      <c r="T5566" s="33" t="s">
        <v>41840</v>
      </c>
      <c r="Z5566" s="33" t="s">
        <v>42967</v>
      </c>
      <c r="AA5566" s="33">
        <v>2100</v>
      </c>
    </row>
    <row r="5567" spans="1:27" ht="12" customHeight="1" x14ac:dyDescent="0.15">
      <c r="A5567" s="33" t="s">
        <v>5047</v>
      </c>
      <c r="B5567" s="33">
        <v>27</v>
      </c>
      <c r="C5567" s="33" t="s">
        <v>14</v>
      </c>
      <c r="D5567" s="33" t="s">
        <v>24</v>
      </c>
      <c r="F5567" s="67">
        <v>41986</v>
      </c>
      <c r="G5567" s="33" t="s">
        <v>5048</v>
      </c>
      <c r="H5567" s="33" t="s">
        <v>5049</v>
      </c>
      <c r="I5567" s="33" t="s">
        <v>298</v>
      </c>
      <c r="J5567" s="33">
        <v>37862</v>
      </c>
      <c r="K5567" s="33" t="s">
        <v>5050</v>
      </c>
      <c r="L5567" s="33" t="s">
        <v>5051</v>
      </c>
      <c r="M5567" s="33" t="s">
        <v>21</v>
      </c>
      <c r="N5567" s="33" t="s">
        <v>5052</v>
      </c>
      <c r="P5567" s="33" t="s">
        <v>30089</v>
      </c>
      <c r="Q5567" s="40" t="str">
        <f>HYPERLINK("http://www.wbir.com/story/news/local/sevierville-sevier/2014/12/13/spd-officer-shoots-kills-man-standoff/20349589/","http://www.wbir.com/story/news/local/sevierville-sevier/2014/12/13/spd-officer-shoots-kills-man-standoff/20349589/")</f>
        <v>http://www.wbir.com/story/news/local/sevierville-sevier/2014/12/13/spd-officer-shoots-kills-man-standoff/20349589/</v>
      </c>
      <c r="R5567" s="33" t="s">
        <v>23</v>
      </c>
      <c r="S5567" s="33" t="s">
        <v>22</v>
      </c>
      <c r="T5567" s="33" t="s">
        <v>26781</v>
      </c>
      <c r="Z5567" s="33" t="s">
        <v>42967</v>
      </c>
      <c r="AA5567" s="33">
        <v>2099</v>
      </c>
    </row>
    <row r="5568" spans="1:27" ht="12" customHeight="1" x14ac:dyDescent="0.15">
      <c r="A5568" s="33" t="s">
        <v>5058</v>
      </c>
      <c r="B5568" s="33">
        <v>22</v>
      </c>
      <c r="C5568" s="33" t="s">
        <v>14</v>
      </c>
      <c r="D5568" s="33" t="s">
        <v>79</v>
      </c>
      <c r="E5568" s="33" t="s">
        <v>5059</v>
      </c>
      <c r="F5568" s="67">
        <v>41985</v>
      </c>
      <c r="G5568" s="33" t="s">
        <v>5060</v>
      </c>
      <c r="H5568" s="33" t="s">
        <v>5061</v>
      </c>
      <c r="I5568" s="33" t="s">
        <v>402</v>
      </c>
      <c r="J5568" s="33" t="s">
        <v>5062</v>
      </c>
      <c r="K5568" s="33" t="s">
        <v>5063</v>
      </c>
      <c r="L5568" s="33" t="s">
        <v>5064</v>
      </c>
      <c r="M5568" s="33" t="s">
        <v>21</v>
      </c>
      <c r="N5568" s="33" t="s">
        <v>5065</v>
      </c>
      <c r="P5568" s="33" t="s">
        <v>30089</v>
      </c>
      <c r="Q5568" s="40" t="s">
        <v>5066</v>
      </c>
      <c r="R5568" s="33" t="s">
        <v>94</v>
      </c>
      <c r="S5568" s="33" t="s">
        <v>22</v>
      </c>
      <c r="T5568" s="1" t="s">
        <v>26774</v>
      </c>
      <c r="Z5568" s="33" t="s">
        <v>42967</v>
      </c>
      <c r="AA5568" s="33">
        <v>2097</v>
      </c>
    </row>
    <row r="5569" spans="1:27" ht="12" customHeight="1" x14ac:dyDescent="0.15">
      <c r="A5569" s="33" t="s">
        <v>5067</v>
      </c>
      <c r="B5569" s="33">
        <v>28</v>
      </c>
      <c r="C5569" s="33" t="s">
        <v>14</v>
      </c>
      <c r="D5569" s="33" t="s">
        <v>31</v>
      </c>
      <c r="E5569" s="33" t="s">
        <v>5068</v>
      </c>
      <c r="F5569" s="67">
        <v>41984</v>
      </c>
      <c r="G5569" s="33" t="s">
        <v>5069</v>
      </c>
      <c r="H5569" s="33" t="s">
        <v>5070</v>
      </c>
      <c r="I5569" s="33" t="s">
        <v>192</v>
      </c>
      <c r="J5569" s="33" t="s">
        <v>2667</v>
      </c>
      <c r="K5569" s="33" t="s">
        <v>1066</v>
      </c>
      <c r="L5569" s="33" t="s">
        <v>5071</v>
      </c>
      <c r="M5569" s="33" t="s">
        <v>21</v>
      </c>
      <c r="N5569" s="33" t="s">
        <v>5072</v>
      </c>
      <c r="P5569" s="33" t="s">
        <v>30089</v>
      </c>
      <c r="Q5569" s="40" t="str">
        <f>HYPERLINK("http://www.kktv.com/home/headlines/One-Man-Hospialized-After-Officer-Involved-Shooting-285508201.html","http://www.kktv.com/home/headlines/One-Man-Hospialized-After-Officer-Involved-Shooting-285508201.html")</f>
        <v>http://www.kktv.com/home/headlines/One-Man-Hospialized-After-Officer-Involved-Shooting-285508201.html</v>
      </c>
      <c r="R5569" s="33" t="s">
        <v>512</v>
      </c>
      <c r="S5569" s="33" t="s">
        <v>22</v>
      </c>
      <c r="T5569" s="1" t="s">
        <v>26612</v>
      </c>
      <c r="Z5569" s="33" t="s">
        <v>42967</v>
      </c>
      <c r="AA5569" s="33">
        <v>2095</v>
      </c>
    </row>
    <row r="5570" spans="1:27" ht="12" customHeight="1" x14ac:dyDescent="0.15">
      <c r="A5570" s="33" t="s">
        <v>5073</v>
      </c>
      <c r="B5570" s="33">
        <v>27</v>
      </c>
      <c r="C5570" s="33" t="s">
        <v>14</v>
      </c>
      <c r="D5570" s="33" t="s">
        <v>31</v>
      </c>
      <c r="E5570" s="33" t="s">
        <v>5074</v>
      </c>
      <c r="F5570" s="67">
        <v>41984</v>
      </c>
      <c r="G5570" s="33" t="s">
        <v>5075</v>
      </c>
      <c r="H5570" s="33" t="s">
        <v>5076</v>
      </c>
      <c r="I5570" s="33" t="s">
        <v>56</v>
      </c>
      <c r="J5570" s="33" t="s">
        <v>5077</v>
      </c>
      <c r="K5570" s="33" t="s">
        <v>4878</v>
      </c>
      <c r="L5570" s="33" t="s">
        <v>5078</v>
      </c>
      <c r="M5570" s="33" t="s">
        <v>21</v>
      </c>
      <c r="N5570" s="33" t="s">
        <v>5079</v>
      </c>
      <c r="P5570" s="33" t="s">
        <v>30089</v>
      </c>
      <c r="Q5570" s="40" t="s">
        <v>5080</v>
      </c>
      <c r="R5570" s="33" t="s">
        <v>94</v>
      </c>
      <c r="S5570" s="33" t="s">
        <v>22</v>
      </c>
      <c r="T5570" s="1" t="s">
        <v>26781</v>
      </c>
      <c r="Z5570" s="33" t="s">
        <v>42968</v>
      </c>
      <c r="AA5570" s="33">
        <v>2096</v>
      </c>
    </row>
    <row r="5571" spans="1:27" ht="12" customHeight="1" x14ac:dyDescent="0.15">
      <c r="A5571" s="33" t="s">
        <v>5081</v>
      </c>
      <c r="B5571" s="33">
        <v>24</v>
      </c>
      <c r="C5571" s="33" t="s">
        <v>14</v>
      </c>
      <c r="D5571" s="33" t="s">
        <v>79</v>
      </c>
      <c r="E5571" s="33" t="s">
        <v>5082</v>
      </c>
      <c r="F5571" s="67">
        <v>41983</v>
      </c>
      <c r="G5571" s="33" t="s">
        <v>5083</v>
      </c>
      <c r="H5571" s="33" t="s">
        <v>5084</v>
      </c>
      <c r="I5571" s="33" t="s">
        <v>338</v>
      </c>
      <c r="J5571" s="33" t="s">
        <v>5085</v>
      </c>
      <c r="K5571" s="33" t="s">
        <v>5086</v>
      </c>
      <c r="L5571" s="33" t="s">
        <v>8338</v>
      </c>
      <c r="M5571" s="33" t="s">
        <v>21</v>
      </c>
      <c r="N5571" s="33" t="s">
        <v>36791</v>
      </c>
      <c r="P5571" s="33" t="s">
        <v>30089</v>
      </c>
      <c r="Q5571" s="40" t="str">
        <f>HYPERLINK("http://wvtm.membercenter.worldnow.com/story/27598792/1-dead-in-sanford-officer-involved-shooting","http://wvtm.membercenter.worldnow.com/story/27598792/1-dead-in-sanford-officer-involved-shooting")</f>
        <v>http://wvtm.membercenter.worldnow.com/story/27598792/1-dead-in-sanford-officer-involved-shooting</v>
      </c>
      <c r="R5571" s="33" t="s">
        <v>94</v>
      </c>
      <c r="S5571" s="33" t="s">
        <v>29</v>
      </c>
      <c r="T5571" s="33" t="s">
        <v>41840</v>
      </c>
      <c r="Z5571" s="33" t="s">
        <v>42968</v>
      </c>
      <c r="AA5571" s="33">
        <v>2093</v>
      </c>
    </row>
    <row r="5572" spans="1:27" ht="12" customHeight="1" x14ac:dyDescent="0.15">
      <c r="A5572" s="33" t="s">
        <v>5087</v>
      </c>
      <c r="B5572" s="33">
        <v>38</v>
      </c>
      <c r="C5572" s="33" t="s">
        <v>14</v>
      </c>
      <c r="D5572" s="33" t="s">
        <v>24</v>
      </c>
      <c r="F5572" s="67">
        <v>41983</v>
      </c>
      <c r="G5572" s="33" t="s">
        <v>5088</v>
      </c>
      <c r="H5572" s="33" t="s">
        <v>5089</v>
      </c>
      <c r="I5572" s="33" t="s">
        <v>39</v>
      </c>
      <c r="J5572" s="33" t="s">
        <v>5090</v>
      </c>
      <c r="K5572" s="33" t="s">
        <v>728</v>
      </c>
      <c r="L5572" s="33" t="s">
        <v>729</v>
      </c>
      <c r="M5572" s="33" t="s">
        <v>21</v>
      </c>
      <c r="N5572" s="33" t="s">
        <v>36790</v>
      </c>
      <c r="O5572" s="33" t="s">
        <v>372</v>
      </c>
      <c r="P5572" s="33" t="s">
        <v>30089</v>
      </c>
      <c r="Q5572" s="40" t="s">
        <v>5091</v>
      </c>
      <c r="R5572" s="33" t="s">
        <v>94</v>
      </c>
      <c r="S5572" s="33" t="s">
        <v>22</v>
      </c>
      <c r="T5572" s="33" t="s">
        <v>26576</v>
      </c>
      <c r="Z5572" s="33" t="s">
        <v>42968</v>
      </c>
      <c r="AA5572" s="33">
        <v>2094</v>
      </c>
    </row>
    <row r="5573" spans="1:27" ht="12" customHeight="1" x14ac:dyDescent="0.15">
      <c r="A5573" s="33" t="s">
        <v>5097</v>
      </c>
      <c r="B5573" s="33">
        <v>84</v>
      </c>
      <c r="C5573" s="33" t="s">
        <v>14</v>
      </c>
      <c r="D5573" s="33" t="s">
        <v>31</v>
      </c>
      <c r="E5573" s="33" t="s">
        <v>5101</v>
      </c>
      <c r="F5573" s="67">
        <v>41982</v>
      </c>
      <c r="G5573" s="33" t="s">
        <v>5102</v>
      </c>
      <c r="H5573" s="33" t="s">
        <v>5098</v>
      </c>
      <c r="I5573" s="33" t="s">
        <v>198</v>
      </c>
      <c r="J5573" s="33" t="s">
        <v>5099</v>
      </c>
      <c r="K5573" s="33" t="s">
        <v>1179</v>
      </c>
      <c r="L5573" s="33" t="s">
        <v>5100</v>
      </c>
      <c r="M5573" s="33" t="s">
        <v>21</v>
      </c>
      <c r="N5573" s="33" t="s">
        <v>5103</v>
      </c>
      <c r="O5573" s="33" t="s">
        <v>507</v>
      </c>
      <c r="P5573" s="33" t="s">
        <v>30089</v>
      </c>
      <c r="Q5573" s="40" t="s">
        <v>5104</v>
      </c>
      <c r="R5573" s="33" t="s">
        <v>94</v>
      </c>
      <c r="S5573" s="33" t="s">
        <v>22</v>
      </c>
      <c r="T5573" s="1" t="s">
        <v>26781</v>
      </c>
      <c r="Z5573" s="33" t="s">
        <v>42968</v>
      </c>
      <c r="AA5573" s="33">
        <v>2091</v>
      </c>
    </row>
    <row r="5574" spans="1:27" ht="12" customHeight="1" x14ac:dyDescent="0.15">
      <c r="A5574" s="33" t="s">
        <v>5092</v>
      </c>
      <c r="B5574" s="33">
        <v>49</v>
      </c>
      <c r="C5574" s="33" t="s">
        <v>14</v>
      </c>
      <c r="D5574" s="33" t="s">
        <v>79</v>
      </c>
      <c r="F5574" s="67">
        <v>41982</v>
      </c>
      <c r="G5574" s="33" t="s">
        <v>5093</v>
      </c>
      <c r="H5574" s="33" t="s">
        <v>700</v>
      </c>
      <c r="I5574" s="33" t="s">
        <v>395</v>
      </c>
      <c r="J5574" s="33" t="s">
        <v>5094</v>
      </c>
      <c r="K5574" s="33" t="s">
        <v>1601</v>
      </c>
      <c r="L5574" s="33" t="s">
        <v>539</v>
      </c>
      <c r="M5574" s="33" t="s">
        <v>21</v>
      </c>
      <c r="N5574" s="33" t="s">
        <v>5095</v>
      </c>
      <c r="O5574" s="33" t="s">
        <v>372</v>
      </c>
      <c r="P5574" s="33" t="s">
        <v>30089</v>
      </c>
      <c r="Q5574" s="40" t="s">
        <v>5096</v>
      </c>
      <c r="R5574" s="33" t="s">
        <v>512</v>
      </c>
      <c r="S5574" s="33" t="s">
        <v>22</v>
      </c>
      <c r="T5574" s="1" t="s">
        <v>26774</v>
      </c>
      <c r="Z5574" s="33" t="s">
        <v>42966</v>
      </c>
      <c r="AA5574" s="33">
        <v>2092</v>
      </c>
    </row>
    <row r="5575" spans="1:27" ht="12" customHeight="1" x14ac:dyDescent="0.15">
      <c r="A5575" s="33" t="s">
        <v>5105</v>
      </c>
      <c r="B5575" s="33">
        <v>31</v>
      </c>
      <c r="C5575" s="33" t="s">
        <v>14</v>
      </c>
      <c r="D5575" s="33" t="s">
        <v>79</v>
      </c>
      <c r="F5575" s="67">
        <v>41981</v>
      </c>
      <c r="G5575" s="33" t="s">
        <v>5106</v>
      </c>
      <c r="H5575" s="33" t="s">
        <v>532</v>
      </c>
      <c r="I5575" s="33" t="s">
        <v>67</v>
      </c>
      <c r="J5575" s="33" t="s">
        <v>5107</v>
      </c>
      <c r="K5575" s="33" t="s">
        <v>533</v>
      </c>
      <c r="L5575" s="33" t="s">
        <v>542</v>
      </c>
      <c r="M5575" s="33" t="s">
        <v>21</v>
      </c>
      <c r="N5575" s="33" t="s">
        <v>5108</v>
      </c>
      <c r="P5575" s="33" t="s">
        <v>30089</v>
      </c>
      <c r="Q5575" s="40" t="s">
        <v>5109</v>
      </c>
      <c r="R5575" s="33" t="s">
        <v>94</v>
      </c>
      <c r="S5575" s="33" t="s">
        <v>22</v>
      </c>
      <c r="T5575" s="1" t="s">
        <v>26781</v>
      </c>
      <c r="Z5575" s="33" t="s">
        <v>42966</v>
      </c>
      <c r="AA5575" s="33">
        <v>2089</v>
      </c>
    </row>
    <row r="5576" spans="1:27" ht="12" customHeight="1" x14ac:dyDescent="0.15">
      <c r="A5576" s="33" t="s">
        <v>5110</v>
      </c>
      <c r="B5576" s="33">
        <v>27</v>
      </c>
      <c r="C5576" s="33" t="s">
        <v>14</v>
      </c>
      <c r="D5576" s="33" t="s">
        <v>42</v>
      </c>
      <c r="E5576" s="33" t="s">
        <v>5111</v>
      </c>
      <c r="F5576" s="67">
        <v>41981</v>
      </c>
      <c r="G5576" s="33" t="s">
        <v>5112</v>
      </c>
      <c r="H5576" s="33" t="s">
        <v>5113</v>
      </c>
      <c r="I5576" s="33" t="s">
        <v>51</v>
      </c>
      <c r="J5576" s="33">
        <v>48917</v>
      </c>
      <c r="K5576" s="33" t="s">
        <v>5114</v>
      </c>
      <c r="L5576" s="33" t="s">
        <v>5115</v>
      </c>
      <c r="M5576" s="33" t="s">
        <v>21</v>
      </c>
      <c r="N5576" s="33" t="s">
        <v>5116</v>
      </c>
      <c r="P5576" s="33" t="s">
        <v>30089</v>
      </c>
      <c r="Q5576" s="40" t="str">
        <f>HYPERLINK("http://www.lansingstatejournal.com/story/news/local/2014/12/08/shooting-lansing-township/20101031/","http://www.lansingstatejournal.com/story/news/local/2014/12/08/shooting-lansing-township/20101031/")</f>
        <v>http://www.lansingstatejournal.com/story/news/local/2014/12/08/shooting-lansing-township/20101031/</v>
      </c>
      <c r="R5576" s="33" t="s">
        <v>23</v>
      </c>
      <c r="S5576" s="33" t="s">
        <v>22</v>
      </c>
      <c r="T5576" s="1" t="s">
        <v>26781</v>
      </c>
      <c r="Z5576" s="33" t="s">
        <v>42968</v>
      </c>
      <c r="AA5576" s="33">
        <v>2090</v>
      </c>
    </row>
    <row r="5577" spans="1:27" ht="12" customHeight="1" x14ac:dyDescent="0.15">
      <c r="A5577" s="33" t="s">
        <v>5123</v>
      </c>
      <c r="B5577" s="33">
        <v>32</v>
      </c>
      <c r="C5577" s="33" t="s">
        <v>14</v>
      </c>
      <c r="D5577" s="33" t="s">
        <v>42</v>
      </c>
      <c r="E5577" s="33" t="s">
        <v>5124</v>
      </c>
      <c r="F5577" s="67">
        <v>41980</v>
      </c>
      <c r="G5577" s="33" t="s">
        <v>36792</v>
      </c>
      <c r="H5577" s="33" t="s">
        <v>5125</v>
      </c>
      <c r="I5577" s="33" t="s">
        <v>56</v>
      </c>
      <c r="J5577" s="33" t="s">
        <v>5126</v>
      </c>
      <c r="K5577" s="33" t="s">
        <v>5127</v>
      </c>
      <c r="L5577" s="33" t="s">
        <v>5128</v>
      </c>
      <c r="M5577" s="33" t="s">
        <v>21</v>
      </c>
      <c r="N5577" s="33" t="s">
        <v>5129</v>
      </c>
      <c r="O5577" s="33" t="s">
        <v>950</v>
      </c>
      <c r="P5577" s="33" t="s">
        <v>30089</v>
      </c>
      <c r="Q5577" s="40" t="s">
        <v>5130</v>
      </c>
      <c r="R5577" s="33" t="s">
        <v>94</v>
      </c>
      <c r="S5577" s="33" t="s">
        <v>22</v>
      </c>
      <c r="T5577" s="1" t="s">
        <v>26781</v>
      </c>
      <c r="Z5577" s="33" t="s">
        <v>42967</v>
      </c>
      <c r="AA5577" s="33">
        <v>2084</v>
      </c>
    </row>
    <row r="5578" spans="1:27" ht="12" customHeight="1" x14ac:dyDescent="0.15">
      <c r="A5578" s="33" t="s">
        <v>5117</v>
      </c>
      <c r="B5578" s="33">
        <v>39</v>
      </c>
      <c r="C5578" s="33" t="s">
        <v>14</v>
      </c>
      <c r="D5578" s="33" t="s">
        <v>79</v>
      </c>
      <c r="E5578" s="33" t="s">
        <v>5118</v>
      </c>
      <c r="F5578" s="67">
        <v>41980</v>
      </c>
      <c r="G5578" s="33" t="s">
        <v>5119</v>
      </c>
      <c r="H5578" s="33" t="s">
        <v>1027</v>
      </c>
      <c r="I5578" s="33" t="s">
        <v>367</v>
      </c>
      <c r="J5578" s="33" t="s">
        <v>5120</v>
      </c>
      <c r="K5578" s="33" t="s">
        <v>1028</v>
      </c>
      <c r="L5578" s="33" t="s">
        <v>1029</v>
      </c>
      <c r="M5578" s="33" t="s">
        <v>21</v>
      </c>
      <c r="N5578" s="33" t="s">
        <v>5121</v>
      </c>
      <c r="O5578" s="33" t="s">
        <v>372</v>
      </c>
      <c r="P5578" s="33" t="s">
        <v>30089</v>
      </c>
      <c r="Q5578" s="40" t="s">
        <v>5122</v>
      </c>
      <c r="R5578" s="33" t="s">
        <v>94</v>
      </c>
      <c r="S5578" s="33" t="s">
        <v>22</v>
      </c>
      <c r="T5578" s="1" t="s">
        <v>26781</v>
      </c>
      <c r="Z5578" s="33" t="s">
        <v>42966</v>
      </c>
      <c r="AA5578" s="33">
        <v>2083</v>
      </c>
    </row>
    <row r="5579" spans="1:27" ht="12" customHeight="1" x14ac:dyDescent="0.15">
      <c r="A5579" s="33" t="s">
        <v>5137</v>
      </c>
      <c r="B5579" s="33">
        <v>45</v>
      </c>
      <c r="C5579" s="33" t="s">
        <v>14</v>
      </c>
      <c r="D5579" s="33" t="s">
        <v>24</v>
      </c>
      <c r="F5579" s="67">
        <v>41980</v>
      </c>
      <c r="G5579" s="33" t="s">
        <v>5138</v>
      </c>
      <c r="H5579" s="33" t="s">
        <v>81</v>
      </c>
      <c r="I5579" s="33" t="s">
        <v>38</v>
      </c>
      <c r="J5579" s="33">
        <v>60655</v>
      </c>
      <c r="K5579" s="33" t="s">
        <v>82</v>
      </c>
      <c r="L5579" s="33" t="s">
        <v>83</v>
      </c>
      <c r="M5579" s="33" t="s">
        <v>21</v>
      </c>
      <c r="N5579" s="33" t="s">
        <v>5139</v>
      </c>
      <c r="P5579" s="33" t="s">
        <v>30089</v>
      </c>
      <c r="Q5579" s="40" t="s">
        <v>5140</v>
      </c>
      <c r="R5579" s="33" t="s">
        <v>23</v>
      </c>
      <c r="S5579" s="33" t="s">
        <v>22</v>
      </c>
      <c r="T5579" s="1" t="s">
        <v>26781</v>
      </c>
      <c r="Y5579" s="33" t="s">
        <v>42476</v>
      </c>
      <c r="Z5579" s="33" t="s">
        <v>42966</v>
      </c>
      <c r="AA5579" s="33">
        <v>2085</v>
      </c>
    </row>
    <row r="5580" spans="1:27" ht="12" customHeight="1" x14ac:dyDescent="0.15">
      <c r="A5580" s="33" t="s">
        <v>5141</v>
      </c>
      <c r="B5580" s="33">
        <v>31</v>
      </c>
      <c r="C5580" s="33" t="s">
        <v>14</v>
      </c>
      <c r="D5580" s="33" t="s">
        <v>31</v>
      </c>
      <c r="E5580" s="33" t="s">
        <v>5142</v>
      </c>
      <c r="F5580" s="67">
        <v>41980</v>
      </c>
      <c r="G5580" s="33" t="s">
        <v>5143</v>
      </c>
      <c r="H5580" s="33" t="s">
        <v>607</v>
      </c>
      <c r="I5580" s="33" t="s">
        <v>250</v>
      </c>
      <c r="J5580" s="33">
        <v>89103</v>
      </c>
      <c r="K5580" s="33" t="s">
        <v>527</v>
      </c>
      <c r="L5580" s="33" t="s">
        <v>528</v>
      </c>
      <c r="M5580" s="33" t="s">
        <v>21</v>
      </c>
      <c r="N5580" s="33" t="s">
        <v>5144</v>
      </c>
      <c r="P5580" s="33" t="s">
        <v>30089</v>
      </c>
      <c r="Q5580" s="40" t="str">
        <f>HYPERLINK("http://www.mynews3.com/content/specials/crimetracker/story/One-dead-in-shooting-inside-Rio-casino-early-today/cN46O5Q68ky6b5gwzcAquQ.cspx","http://www.mynews3.com/content/specials/crimetracker/story/One-dead-in-shooting-inside-Rio-casino-early-today/cN46O5Q68ky6b5gwzcAquQ.cspx")</f>
        <v>http://www.mynews3.com/content/specials/crimetracker/story/One-dead-in-shooting-inside-Rio-casino-early-today/cN46O5Q68ky6b5gwzcAquQ.cspx</v>
      </c>
      <c r="R5580" s="33" t="s">
        <v>23</v>
      </c>
      <c r="S5580" s="33" t="s">
        <v>22</v>
      </c>
      <c r="T5580" s="1" t="s">
        <v>26781</v>
      </c>
      <c r="Z5580" s="33" t="s">
        <v>42966</v>
      </c>
      <c r="AA5580" s="33">
        <v>2086</v>
      </c>
    </row>
    <row r="5581" spans="1:27" ht="12" customHeight="1" x14ac:dyDescent="0.15">
      <c r="A5581" s="33" t="s">
        <v>5131</v>
      </c>
      <c r="B5581" s="33">
        <v>27</v>
      </c>
      <c r="C5581" s="33" t="s">
        <v>103</v>
      </c>
      <c r="D5581" s="33" t="s">
        <v>42</v>
      </c>
      <c r="F5581" s="67">
        <v>41980</v>
      </c>
      <c r="G5581" s="33" t="s">
        <v>5132</v>
      </c>
      <c r="H5581" s="33" t="s">
        <v>557</v>
      </c>
      <c r="I5581" s="33" t="s">
        <v>39</v>
      </c>
      <c r="J5581" s="33" t="s">
        <v>5133</v>
      </c>
      <c r="K5581" s="33" t="s">
        <v>558</v>
      </c>
      <c r="L5581" s="33" t="s">
        <v>5134</v>
      </c>
      <c r="M5581" s="33" t="s">
        <v>21</v>
      </c>
      <c r="N5581" s="33" t="s">
        <v>5135</v>
      </c>
      <c r="O5581" s="33" t="s">
        <v>950</v>
      </c>
      <c r="P5581" s="33" t="s">
        <v>30089</v>
      </c>
      <c r="Q5581" s="40" t="s">
        <v>5136</v>
      </c>
      <c r="R5581" s="33" t="s">
        <v>94</v>
      </c>
      <c r="S5581" s="33" t="s">
        <v>351</v>
      </c>
      <c r="T5581" s="1" t="s">
        <v>26867</v>
      </c>
      <c r="Z5581" s="33" t="s">
        <v>42966</v>
      </c>
      <c r="AA5581" s="33">
        <v>2088</v>
      </c>
    </row>
    <row r="5582" spans="1:27" ht="12" customHeight="1" x14ac:dyDescent="0.15">
      <c r="A5582" s="33" t="s">
        <v>5145</v>
      </c>
      <c r="B5582" s="33">
        <v>29</v>
      </c>
      <c r="C5582" s="33" t="s">
        <v>14</v>
      </c>
      <c r="D5582" s="33" t="s">
        <v>31</v>
      </c>
      <c r="E5582" s="33" t="s">
        <v>5146</v>
      </c>
      <c r="F5582" s="67">
        <v>41980</v>
      </c>
      <c r="G5582" s="33" t="s">
        <v>5147</v>
      </c>
      <c r="H5582" s="33" t="s">
        <v>5148</v>
      </c>
      <c r="I5582" s="33" t="s">
        <v>338</v>
      </c>
      <c r="J5582" s="33" t="s">
        <v>5149</v>
      </c>
      <c r="K5582" s="33" t="s">
        <v>5150</v>
      </c>
      <c r="L5582" s="33" t="s">
        <v>5151</v>
      </c>
      <c r="M5582" s="33" t="s">
        <v>21</v>
      </c>
      <c r="N5582" s="33" t="s">
        <v>5152</v>
      </c>
      <c r="O5582" s="33" t="s">
        <v>372</v>
      </c>
      <c r="P5582" s="33" t="s">
        <v>30089</v>
      </c>
      <c r="Q5582" s="40" t="s">
        <v>5153</v>
      </c>
      <c r="R5582" s="33" t="s">
        <v>23</v>
      </c>
      <c r="S5582" s="33" t="s">
        <v>22</v>
      </c>
      <c r="T5582" s="1" t="s">
        <v>26781</v>
      </c>
      <c r="Z5582" s="33" t="s">
        <v>42968</v>
      </c>
      <c r="AA5582" s="33">
        <v>2087</v>
      </c>
    </row>
    <row r="5583" spans="1:27" ht="12" customHeight="1" x14ac:dyDescent="0.15">
      <c r="A5583" s="33" t="s">
        <v>5154</v>
      </c>
      <c r="B5583" s="33">
        <v>42</v>
      </c>
      <c r="C5583" s="33" t="s">
        <v>14</v>
      </c>
      <c r="D5583" s="33" t="s">
        <v>31</v>
      </c>
      <c r="F5583" s="67">
        <v>41978</v>
      </c>
      <c r="G5583" s="33" t="s">
        <v>5155</v>
      </c>
      <c r="H5583" s="33" t="s">
        <v>92</v>
      </c>
      <c r="I5583" s="33" t="s">
        <v>39</v>
      </c>
      <c r="J5583" s="33">
        <v>90028</v>
      </c>
      <c r="K5583" s="33" t="s">
        <v>92</v>
      </c>
      <c r="L5583" s="33" t="s">
        <v>93</v>
      </c>
      <c r="M5583" s="33" t="s">
        <v>21</v>
      </c>
      <c r="N5583" s="33" t="s">
        <v>5156</v>
      </c>
      <c r="P5583" s="33" t="s">
        <v>30089</v>
      </c>
      <c r="Q5583" s="40" t="str">
        <f>HYPERLINK("http://ktla.com/2014/12/05/armed-man-shot-by-officers-near-hollywood-and-highland-lapd/","http://ktla.com/2014/12/05/armed-man-shot-by-officers-near-hollywood-and-highland-lapd/")</f>
        <v>http://ktla.com/2014/12/05/armed-man-shot-by-officers-near-hollywood-and-highland-lapd/</v>
      </c>
      <c r="R5583" s="33" t="s">
        <v>23</v>
      </c>
      <c r="S5583" s="33" t="s">
        <v>22</v>
      </c>
      <c r="T5583" s="1" t="s">
        <v>26774</v>
      </c>
      <c r="Z5583" s="33" t="s">
        <v>42966</v>
      </c>
      <c r="AA5583" s="33">
        <v>2081</v>
      </c>
    </row>
    <row r="5584" spans="1:27" ht="12" customHeight="1" x14ac:dyDescent="0.15">
      <c r="A5584" s="33" t="s">
        <v>5158</v>
      </c>
      <c r="B5584" s="33">
        <v>61</v>
      </c>
      <c r="C5584" s="33" t="s">
        <v>14</v>
      </c>
      <c r="D5584" s="33" t="s">
        <v>31</v>
      </c>
      <c r="E5584" s="33" t="str">
        <f>HYPERLINK("http://wistv.images.worldnow.com/images/6145354_G.jpg","http://wistv.images.worldnow.com/images/6145354_G.jpg")</f>
        <v>http://wistv.images.worldnow.com/images/6145354_G.jpg</v>
      </c>
      <c r="F5584" s="67">
        <v>41978</v>
      </c>
      <c r="G5584" s="33" t="s">
        <v>5159</v>
      </c>
      <c r="H5584" s="33" t="s">
        <v>1406</v>
      </c>
      <c r="I5584" s="33" t="s">
        <v>26</v>
      </c>
      <c r="J5584" s="33">
        <v>29020</v>
      </c>
      <c r="K5584" s="33" t="s">
        <v>5160</v>
      </c>
      <c r="L5584" s="33" t="s">
        <v>5161</v>
      </c>
      <c r="M5584" s="33" t="s">
        <v>21</v>
      </c>
      <c r="N5584" s="33" t="s">
        <v>5162</v>
      </c>
      <c r="O5584" s="33" t="s">
        <v>950</v>
      </c>
      <c r="P5584" s="33" t="s">
        <v>30089</v>
      </c>
      <c r="Q5584" s="40" t="str">
        <f>HYPERLINK("http://www.wltx.com/story/news/local/2014/12/05/sled-investigating-officer-involved-shooting/19980013/","http://www.wltx.com/story/news/local/2014/12/05/sled-investigating-officer-involved-shooting/19980013/")</f>
        <v>http://www.wltx.com/story/news/local/2014/12/05/sled-investigating-officer-involved-shooting/19980013/</v>
      </c>
      <c r="R5584" s="33" t="s">
        <v>94</v>
      </c>
      <c r="S5584" s="33" t="s">
        <v>29</v>
      </c>
      <c r="T5584" s="1" t="s">
        <v>41840</v>
      </c>
      <c r="Z5584" s="33" t="s">
        <v>42967</v>
      </c>
      <c r="AA5584" s="33">
        <v>2082</v>
      </c>
    </row>
    <row r="5585" spans="1:27" ht="12" customHeight="1" x14ac:dyDescent="0.15">
      <c r="A5585" s="33" t="s">
        <v>5186</v>
      </c>
      <c r="B5585" s="33">
        <v>33</v>
      </c>
      <c r="C5585" s="33" t="s">
        <v>14</v>
      </c>
      <c r="D5585" s="33" t="s">
        <v>31</v>
      </c>
      <c r="E5585" s="33" t="s">
        <v>5187</v>
      </c>
      <c r="F5585" s="67">
        <v>41977</v>
      </c>
      <c r="G5585" s="33" t="s">
        <v>5188</v>
      </c>
      <c r="H5585" s="33" t="s">
        <v>369</v>
      </c>
      <c r="I5585" s="33" t="s">
        <v>367</v>
      </c>
      <c r="J5585" s="33">
        <v>74738</v>
      </c>
      <c r="K5585" s="33" t="s">
        <v>1070</v>
      </c>
      <c r="L5585" s="33" t="s">
        <v>5189</v>
      </c>
      <c r="M5585" s="33" t="s">
        <v>21</v>
      </c>
      <c r="N5585" s="33" t="s">
        <v>5190</v>
      </c>
      <c r="P5585" s="33" t="s">
        <v>30089</v>
      </c>
      <c r="Q5585" s="40" t="s">
        <v>5191</v>
      </c>
      <c r="R5585" s="33" t="s">
        <v>23</v>
      </c>
      <c r="S5585" s="33" t="s">
        <v>22</v>
      </c>
      <c r="T5585" s="1" t="s">
        <v>26781</v>
      </c>
      <c r="Z5585" s="33" t="s">
        <v>42967</v>
      </c>
      <c r="AA5585" s="33">
        <v>2080</v>
      </c>
    </row>
    <row r="5586" spans="1:27" ht="12" customHeight="1" x14ac:dyDescent="0.15">
      <c r="A5586" s="33" t="s">
        <v>5163</v>
      </c>
      <c r="B5586" s="33">
        <v>32</v>
      </c>
      <c r="C5586" s="33" t="s">
        <v>14</v>
      </c>
      <c r="D5586" s="33" t="s">
        <v>42</v>
      </c>
      <c r="E5586" s="33" t="s">
        <v>5164</v>
      </c>
      <c r="F5586" s="67">
        <v>41977</v>
      </c>
      <c r="G5586" s="33" t="s">
        <v>5165</v>
      </c>
      <c r="H5586" s="33" t="s">
        <v>997</v>
      </c>
      <c r="I5586" s="33" t="s">
        <v>56</v>
      </c>
      <c r="J5586" s="33" t="s">
        <v>5166</v>
      </c>
      <c r="K5586" s="33" t="s">
        <v>998</v>
      </c>
      <c r="L5586" s="33" t="s">
        <v>999</v>
      </c>
      <c r="M5586" s="33" t="s">
        <v>21</v>
      </c>
      <c r="N5586" s="33" t="s">
        <v>5167</v>
      </c>
      <c r="O5586" s="33" t="s">
        <v>950</v>
      </c>
      <c r="P5586" s="33" t="s">
        <v>30089</v>
      </c>
      <c r="Q5586" s="40" t="s">
        <v>5168</v>
      </c>
      <c r="R5586" s="33" t="s">
        <v>94</v>
      </c>
      <c r="S5586" s="33" t="s">
        <v>22</v>
      </c>
      <c r="T5586" s="1" t="s">
        <v>26781</v>
      </c>
      <c r="Z5586" s="33" t="s">
        <v>42968</v>
      </c>
      <c r="AA5586" s="33">
        <v>2079</v>
      </c>
    </row>
    <row r="5587" spans="1:27" ht="12" customHeight="1" x14ac:dyDescent="0.15">
      <c r="A5587" s="33" t="s">
        <v>5169</v>
      </c>
      <c r="B5587" s="33">
        <v>51</v>
      </c>
      <c r="C5587" s="33" t="s">
        <v>14</v>
      </c>
      <c r="D5587" s="33" t="s">
        <v>31</v>
      </c>
      <c r="E5587" s="33" t="s">
        <v>5170</v>
      </c>
      <c r="F5587" s="67">
        <v>41977</v>
      </c>
      <c r="G5587" s="33" t="s">
        <v>5171</v>
      </c>
      <c r="H5587" s="33" t="s">
        <v>5172</v>
      </c>
      <c r="I5587" s="33" t="s">
        <v>19</v>
      </c>
      <c r="J5587" s="33" t="s">
        <v>5173</v>
      </c>
      <c r="K5587" s="33" t="s">
        <v>5174</v>
      </c>
      <c r="L5587" s="33" t="s">
        <v>5175</v>
      </c>
      <c r="M5587" s="33" t="s">
        <v>21</v>
      </c>
      <c r="N5587" s="33" t="s">
        <v>5176</v>
      </c>
      <c r="O5587" s="33" t="s">
        <v>5177</v>
      </c>
      <c r="P5587" s="33" t="s">
        <v>1084</v>
      </c>
      <c r="Q5587" s="40" t="str">
        <f>HYPERLINK("http://www.thenewsstar.com/story/news/local/2014/12/23/officer-involved-shooting-named-separate-case/20814039/","http://www.thenewsstar.com/story/news/local/2014/12/23/officer-involved-shooting-named-separate-case/20814039/")</f>
        <v>http://www.thenewsstar.com/story/news/local/2014/12/23/officer-involved-shooting-named-separate-case/20814039/</v>
      </c>
      <c r="R5587" s="33" t="s">
        <v>23</v>
      </c>
      <c r="S5587" s="33" t="s">
        <v>12</v>
      </c>
      <c r="T5587" s="54" t="s">
        <v>43027</v>
      </c>
      <c r="W5587" s="33" t="s">
        <v>26739</v>
      </c>
      <c r="Z5587" s="33" t="s">
        <v>42968</v>
      </c>
      <c r="AA5587" s="33">
        <v>2077</v>
      </c>
    </row>
    <row r="5588" spans="1:27" ht="12" customHeight="1" x14ac:dyDescent="0.15">
      <c r="A5588" s="33" t="s">
        <v>5178</v>
      </c>
      <c r="B5588" s="33">
        <v>55</v>
      </c>
      <c r="C5588" s="33" t="s">
        <v>103</v>
      </c>
      <c r="D5588" s="33" t="s">
        <v>31</v>
      </c>
      <c r="E5588" s="33" t="s">
        <v>5179</v>
      </c>
      <c r="F5588" s="67">
        <v>41977</v>
      </c>
      <c r="G5588" s="33" t="s">
        <v>5180</v>
      </c>
      <c r="H5588" s="33" t="s">
        <v>5181</v>
      </c>
      <c r="I5588" s="33" t="s">
        <v>4034</v>
      </c>
      <c r="J5588" s="33" t="s">
        <v>5182</v>
      </c>
      <c r="K5588" s="33" t="s">
        <v>1499</v>
      </c>
      <c r="L5588" s="33" t="s">
        <v>5183</v>
      </c>
      <c r="M5588" s="33" t="s">
        <v>21</v>
      </c>
      <c r="N5588" s="33" t="s">
        <v>5184</v>
      </c>
      <c r="O5588" s="33" t="s">
        <v>372</v>
      </c>
      <c r="P5588" s="33" t="s">
        <v>30089</v>
      </c>
      <c r="Q5588" s="40" t="s">
        <v>5185</v>
      </c>
      <c r="R5588" s="33" t="s">
        <v>94</v>
      </c>
      <c r="S5588" s="33" t="s">
        <v>22</v>
      </c>
      <c r="T5588" s="1" t="s">
        <v>26781</v>
      </c>
      <c r="Z5588" s="33" t="s">
        <v>42967</v>
      </c>
      <c r="AA5588" s="33">
        <v>2078</v>
      </c>
    </row>
    <row r="5589" spans="1:27" ht="12" customHeight="1" x14ac:dyDescent="0.15">
      <c r="A5589" s="33" t="s">
        <v>5192</v>
      </c>
      <c r="B5589" s="33">
        <v>68</v>
      </c>
      <c r="C5589" s="33" t="s">
        <v>14</v>
      </c>
      <c r="D5589" s="33" t="s">
        <v>79</v>
      </c>
      <c r="F5589" s="67">
        <v>41976</v>
      </c>
      <c r="G5589" s="33" t="s">
        <v>5193</v>
      </c>
      <c r="H5589" s="33" t="s">
        <v>92</v>
      </c>
      <c r="I5589" s="33" t="s">
        <v>39</v>
      </c>
      <c r="J5589" s="33">
        <v>90014</v>
      </c>
      <c r="K5589" s="33" t="s">
        <v>92</v>
      </c>
      <c r="L5589" s="33" t="s">
        <v>93</v>
      </c>
      <c r="M5589" s="33" t="s">
        <v>21</v>
      </c>
      <c r="N5589" s="33" t="s">
        <v>5194</v>
      </c>
      <c r="P5589" s="33" t="s">
        <v>30089</v>
      </c>
      <c r="Q5589" s="40" t="s">
        <v>5195</v>
      </c>
      <c r="R5589" s="33" t="s">
        <v>23</v>
      </c>
      <c r="S5589" s="33" t="s">
        <v>22</v>
      </c>
      <c r="T5589" s="1" t="s">
        <v>26576</v>
      </c>
      <c r="Z5589" s="33" t="s">
        <v>42966</v>
      </c>
      <c r="AA5589" s="33">
        <v>2076</v>
      </c>
    </row>
    <row r="5590" spans="1:27" ht="12" customHeight="1" x14ac:dyDescent="0.15">
      <c r="A5590" s="33" t="s">
        <v>5196</v>
      </c>
      <c r="B5590" s="33">
        <v>55</v>
      </c>
      <c r="C5590" s="33" t="s">
        <v>14</v>
      </c>
      <c r="D5590" s="33" t="s">
        <v>24</v>
      </c>
      <c r="F5590" s="67">
        <v>41976</v>
      </c>
      <c r="G5590" s="33" t="s">
        <v>5197</v>
      </c>
      <c r="H5590" s="33" t="s">
        <v>870</v>
      </c>
      <c r="I5590" s="33" t="s">
        <v>67</v>
      </c>
      <c r="J5590" s="33">
        <v>76116</v>
      </c>
      <c r="K5590" s="33" t="s">
        <v>68</v>
      </c>
      <c r="L5590" s="33" t="s">
        <v>871</v>
      </c>
      <c r="M5590" s="33" t="s">
        <v>21</v>
      </c>
      <c r="N5590" s="33" t="s">
        <v>5198</v>
      </c>
      <c r="P5590" s="33" t="s">
        <v>30089</v>
      </c>
      <c r="Q5590" s="40" t="str">
        <f>HYPERLINK("http://www.star-telegram.com/2014/12/03/6335890/fort-worth-police-fatally-shoot.html?rh=1","http://www.star-telegram.com/2014/12/03/6335890/fort-worth-police-fatally-shoot.html?rh=1")</f>
        <v>http://www.star-telegram.com/2014/12/03/6335890/fort-worth-police-fatally-shoot.html?rh=1</v>
      </c>
      <c r="R5590" s="33" t="s">
        <v>23</v>
      </c>
      <c r="S5590" s="33" t="s">
        <v>22</v>
      </c>
      <c r="T5590" s="1" t="s">
        <v>43019</v>
      </c>
      <c r="Z5590" s="33" t="s">
        <v>42968</v>
      </c>
      <c r="AA5590" s="33">
        <v>2075</v>
      </c>
    </row>
    <row r="5591" spans="1:27" ht="12" customHeight="1" x14ac:dyDescent="0.15">
      <c r="A5591" s="33" t="s">
        <v>5199</v>
      </c>
      <c r="B5591" s="33">
        <v>24</v>
      </c>
      <c r="C5591" s="33" t="s">
        <v>14</v>
      </c>
      <c r="D5591" s="33" t="s">
        <v>79</v>
      </c>
      <c r="E5591" s="33" t="str">
        <f>HYPERLINK("https://encrypted-tbn1.gstatic.com/images?q=tbn:ANd9GcReseSA89ykdECqZfgRZGCtXTy03nbwQN7mgVVimHD6HxveTuXMkCVC4Q","https://encrypted-tbn1.gstatic.com/images?q=tbn:ANd9GcReseSA89ykdECqZfgRZGCtXTy03nbwQN7mgVVimHD6HxveTuXMkCVC4Q")</f>
        <v>https://encrypted-tbn1.gstatic.com/images?q=tbn:ANd9GcReseSA89ykdECqZfgRZGCtXTy03nbwQN7mgVVimHD6HxveTuXMkCVC4Q</v>
      </c>
      <c r="F5591" s="67">
        <v>41975</v>
      </c>
      <c r="G5591" s="33" t="s">
        <v>5200</v>
      </c>
      <c r="H5591" s="33" t="s">
        <v>1027</v>
      </c>
      <c r="I5591" s="33" t="s">
        <v>367</v>
      </c>
      <c r="J5591" s="33">
        <v>73127</v>
      </c>
      <c r="K5591" s="33" t="s">
        <v>1028</v>
      </c>
      <c r="L5591" s="33" t="s">
        <v>1029</v>
      </c>
      <c r="M5591" s="33" t="s">
        <v>21</v>
      </c>
      <c r="N5591" s="33" t="s">
        <v>5201</v>
      </c>
      <c r="P5591" s="33" t="s">
        <v>30089</v>
      </c>
      <c r="Q5591" s="40" t="str">
        <f>HYPERLINK("http://newsok.com/officer-involved-shooting-reported-in-northwest-oklahoma-city/article/5372084","http://newsok.com/officer-involved-shooting-reported-in-northwest-oklahoma-city/article/5372084")</f>
        <v>http://newsok.com/officer-involved-shooting-reported-in-northwest-oklahoma-city/article/5372084</v>
      </c>
      <c r="R5591" s="33" t="s">
        <v>94</v>
      </c>
      <c r="S5591" s="33" t="s">
        <v>22</v>
      </c>
      <c r="T5591" s="1" t="s">
        <v>26781</v>
      </c>
      <c r="Z5591" s="33" t="s">
        <v>42968</v>
      </c>
      <c r="AA5591" s="33">
        <v>2072</v>
      </c>
    </row>
    <row r="5592" spans="1:27" ht="12" customHeight="1" x14ac:dyDescent="0.15">
      <c r="A5592" s="33" t="s">
        <v>5202</v>
      </c>
      <c r="B5592" s="33">
        <v>34</v>
      </c>
      <c r="C5592" s="33" t="s">
        <v>14</v>
      </c>
      <c r="D5592" s="33" t="s">
        <v>79</v>
      </c>
      <c r="E5592" s="33" t="s">
        <v>5203</v>
      </c>
      <c r="F5592" s="67">
        <v>41975</v>
      </c>
      <c r="G5592" s="33" t="s">
        <v>5204</v>
      </c>
      <c r="H5592" s="33" t="s">
        <v>584</v>
      </c>
      <c r="I5592" s="33" t="s">
        <v>112</v>
      </c>
      <c r="J5592" s="33" t="s">
        <v>5205</v>
      </c>
      <c r="K5592" s="33" t="s">
        <v>585</v>
      </c>
      <c r="L5592" s="33" t="s">
        <v>586</v>
      </c>
      <c r="M5592" s="33" t="s">
        <v>21</v>
      </c>
      <c r="N5592" s="33" t="s">
        <v>5206</v>
      </c>
      <c r="O5592" s="33" t="s">
        <v>372</v>
      </c>
      <c r="P5592" s="33" t="s">
        <v>30089</v>
      </c>
      <c r="Q5592" s="40" t="s">
        <v>5207</v>
      </c>
      <c r="R5592" s="33" t="s">
        <v>94</v>
      </c>
      <c r="S5592" s="33" t="s">
        <v>12</v>
      </c>
      <c r="T5592" s="54" t="s">
        <v>29705</v>
      </c>
      <c r="Z5592" s="33" t="s">
        <v>42968</v>
      </c>
      <c r="AA5592" s="33">
        <v>2073</v>
      </c>
    </row>
    <row r="5593" spans="1:27" ht="12" customHeight="1" x14ac:dyDescent="0.15">
      <c r="A5593" s="33" t="s">
        <v>5208</v>
      </c>
      <c r="B5593" s="33">
        <v>50</v>
      </c>
      <c r="C5593" s="33" t="s">
        <v>14</v>
      </c>
      <c r="D5593" s="33" t="s">
        <v>31</v>
      </c>
      <c r="E5593" s="33" t="s">
        <v>5209</v>
      </c>
      <c r="F5593" s="67">
        <v>41975</v>
      </c>
      <c r="G5593" s="33" t="s">
        <v>5210</v>
      </c>
      <c r="H5593" s="33" t="s">
        <v>5211</v>
      </c>
      <c r="I5593" s="33" t="s">
        <v>338</v>
      </c>
      <c r="J5593" s="33">
        <v>28377</v>
      </c>
      <c r="K5593" s="33" t="s">
        <v>5212</v>
      </c>
      <c r="L5593" s="33" t="s">
        <v>5213</v>
      </c>
      <c r="M5593" s="33" t="s">
        <v>363</v>
      </c>
      <c r="N5593" s="33" t="s">
        <v>5214</v>
      </c>
      <c r="P5593" s="33" t="s">
        <v>30089</v>
      </c>
      <c r="Q5593" s="40" t="s">
        <v>5215</v>
      </c>
      <c r="R5593" s="33" t="s">
        <v>23</v>
      </c>
      <c r="S5593" s="33" t="s">
        <v>12</v>
      </c>
      <c r="T5593" s="54" t="s">
        <v>29705</v>
      </c>
      <c r="Z5593" s="33" t="s">
        <v>42967</v>
      </c>
      <c r="AA5593" s="33">
        <v>2074</v>
      </c>
    </row>
    <row r="5594" spans="1:27" ht="12" customHeight="1" x14ac:dyDescent="0.15">
      <c r="A5594" s="33" t="s">
        <v>5216</v>
      </c>
      <c r="B5594" s="33">
        <v>16</v>
      </c>
      <c r="C5594" s="33" t="s">
        <v>14</v>
      </c>
      <c r="D5594" s="33" t="s">
        <v>15</v>
      </c>
      <c r="F5594" s="67">
        <v>41974</v>
      </c>
      <c r="G5594" s="33" t="s">
        <v>5217</v>
      </c>
      <c r="H5594" s="33" t="s">
        <v>674</v>
      </c>
      <c r="I5594" s="33" t="s">
        <v>67</v>
      </c>
      <c r="J5594" s="33">
        <v>77068</v>
      </c>
      <c r="K5594" s="33" t="s">
        <v>515</v>
      </c>
      <c r="L5594" s="33" t="s">
        <v>516</v>
      </c>
      <c r="M5594" s="33" t="s">
        <v>21</v>
      </c>
      <c r="N5594" s="33" t="s">
        <v>5218</v>
      </c>
      <c r="P5594" s="33" t="s">
        <v>30089</v>
      </c>
      <c r="Q5594" s="40" t="str">
        <f>HYPERLINK("http://www.chron.com/news/houston-texas/article/1-dead-in-officer-involved-shooting-in-NW-Harris-5928188.php","http://www.chron.com/news/houston-texas/article/1-dead-in-officer-involved-shooting-in-NW-Harris-5928188.php")</f>
        <v>http://www.chron.com/news/houston-texas/article/1-dead-in-officer-involved-shooting-in-NW-Harris-5928188.php</v>
      </c>
      <c r="R5594" s="33" t="s">
        <v>23</v>
      </c>
      <c r="S5594" s="33" t="s">
        <v>22</v>
      </c>
      <c r="T5594" s="1" t="s">
        <v>26781</v>
      </c>
      <c r="Z5594" s="33" t="s">
        <v>42968</v>
      </c>
      <c r="AA5594" s="33">
        <v>2068</v>
      </c>
    </row>
    <row r="5595" spans="1:27" ht="12" customHeight="1" x14ac:dyDescent="0.15">
      <c r="A5595" s="33" t="s">
        <v>5223</v>
      </c>
      <c r="B5595" s="33">
        <v>45</v>
      </c>
      <c r="C5595" s="33" t="s">
        <v>14</v>
      </c>
      <c r="D5595" s="33" t="s">
        <v>31</v>
      </c>
      <c r="E5595" s="33" t="s">
        <v>5224</v>
      </c>
      <c r="F5595" s="67">
        <v>41974</v>
      </c>
      <c r="G5595" s="33" t="s">
        <v>5225</v>
      </c>
      <c r="H5595" s="33" t="s">
        <v>233</v>
      </c>
      <c r="I5595" s="33" t="s">
        <v>26</v>
      </c>
      <c r="J5595" s="33" t="s">
        <v>5226</v>
      </c>
      <c r="K5595" s="33" t="s">
        <v>233</v>
      </c>
      <c r="L5595" s="33" t="s">
        <v>5227</v>
      </c>
      <c r="M5595" s="33" t="s">
        <v>21</v>
      </c>
      <c r="N5595" s="33" t="s">
        <v>5228</v>
      </c>
      <c r="O5595" s="33" t="s">
        <v>372</v>
      </c>
      <c r="P5595" s="33" t="s">
        <v>30089</v>
      </c>
      <c r="Q5595" s="40" t="s">
        <v>5229</v>
      </c>
      <c r="R5595" s="33" t="s">
        <v>512</v>
      </c>
      <c r="S5595" s="33" t="s">
        <v>22</v>
      </c>
      <c r="T5595" s="1" t="s">
        <v>26781</v>
      </c>
      <c r="Z5595" s="33" t="s">
        <v>42968</v>
      </c>
      <c r="AA5595" s="33">
        <v>2069</v>
      </c>
    </row>
    <row r="5596" spans="1:27" ht="12" customHeight="1" x14ac:dyDescent="0.15">
      <c r="A5596" s="33" t="s">
        <v>5219</v>
      </c>
      <c r="B5596" s="33">
        <v>49</v>
      </c>
      <c r="C5596" s="33" t="s">
        <v>14</v>
      </c>
      <c r="D5596" s="33" t="s">
        <v>42</v>
      </c>
      <c r="F5596" s="67">
        <v>41974</v>
      </c>
      <c r="G5596" s="33" t="s">
        <v>5220</v>
      </c>
      <c r="H5596" s="33" t="s">
        <v>1807</v>
      </c>
      <c r="I5596" s="33" t="s">
        <v>67</v>
      </c>
      <c r="J5596" s="33">
        <v>79701</v>
      </c>
      <c r="K5596" s="33" t="s">
        <v>1807</v>
      </c>
      <c r="L5596" s="33" t="s">
        <v>1809</v>
      </c>
      <c r="M5596" s="33" t="s">
        <v>21</v>
      </c>
      <c r="N5596" s="33" t="s">
        <v>5221</v>
      </c>
      <c r="P5596" s="33" t="s">
        <v>30089</v>
      </c>
      <c r="Q5596" s="40" t="s">
        <v>5222</v>
      </c>
      <c r="R5596" s="33" t="s">
        <v>23</v>
      </c>
      <c r="S5596" s="33" t="s">
        <v>22</v>
      </c>
      <c r="T5596" s="1" t="s">
        <v>26593</v>
      </c>
      <c r="Z5596" s="33" t="s">
        <v>42966</v>
      </c>
      <c r="AA5596" s="33">
        <v>2070</v>
      </c>
    </row>
    <row r="5597" spans="1:27" ht="12" customHeight="1" x14ac:dyDescent="0.15">
      <c r="A5597" s="33" t="s">
        <v>5230</v>
      </c>
      <c r="B5597" s="33" t="s">
        <v>23</v>
      </c>
      <c r="C5597" s="33" t="s">
        <v>103</v>
      </c>
      <c r="D5597" s="33" t="s">
        <v>31</v>
      </c>
      <c r="E5597" s="33" t="s">
        <v>5231</v>
      </c>
      <c r="F5597" s="67">
        <v>41974</v>
      </c>
      <c r="G5597" s="33" t="s">
        <v>5232</v>
      </c>
      <c r="H5597" s="33" t="s">
        <v>5233</v>
      </c>
      <c r="I5597" s="33" t="s">
        <v>294</v>
      </c>
      <c r="J5597" s="33">
        <v>41030</v>
      </c>
      <c r="K5597" s="33" t="s">
        <v>369</v>
      </c>
      <c r="L5597" s="33" t="s">
        <v>3101</v>
      </c>
      <c r="M5597" s="33" t="s">
        <v>363</v>
      </c>
      <c r="N5597" s="33" t="s">
        <v>5234</v>
      </c>
      <c r="P5597" s="33" t="s">
        <v>30089</v>
      </c>
      <c r="Q5597" s="40" t="s">
        <v>5235</v>
      </c>
      <c r="R5597" s="33" t="s">
        <v>23</v>
      </c>
      <c r="S5597" s="33" t="s">
        <v>12</v>
      </c>
      <c r="T5597" s="1" t="s">
        <v>29705</v>
      </c>
      <c r="Z5597" s="33" t="s">
        <v>42967</v>
      </c>
      <c r="AA5597" s="33">
        <v>2071</v>
      </c>
    </row>
    <row r="5598" spans="1:27" ht="12" customHeight="1" x14ac:dyDescent="0.15">
      <c r="A5598" s="33" t="s">
        <v>5243</v>
      </c>
      <c r="B5598" s="33">
        <v>24</v>
      </c>
      <c r="C5598" s="33" t="s">
        <v>14</v>
      </c>
      <c r="D5598" s="33" t="s">
        <v>31</v>
      </c>
      <c r="E5598" s="33" t="s">
        <v>5244</v>
      </c>
      <c r="F5598" s="67">
        <v>41973</v>
      </c>
      <c r="G5598" s="33" t="s">
        <v>5245</v>
      </c>
      <c r="H5598" s="33" t="s">
        <v>5246</v>
      </c>
      <c r="I5598" s="33" t="s">
        <v>250</v>
      </c>
      <c r="J5598" s="33" t="s">
        <v>5247</v>
      </c>
      <c r="K5598" s="33" t="s">
        <v>5246</v>
      </c>
      <c r="L5598" s="33" t="s">
        <v>5248</v>
      </c>
      <c r="M5598" s="33" t="s">
        <v>21</v>
      </c>
      <c r="N5598" s="33" t="s">
        <v>5249</v>
      </c>
      <c r="O5598" s="33" t="s">
        <v>507</v>
      </c>
      <c r="P5598" s="33" t="s">
        <v>30089</v>
      </c>
      <c r="Q5598" s="40" t="s">
        <v>5250</v>
      </c>
      <c r="R5598" s="33" t="s">
        <v>23</v>
      </c>
      <c r="S5598" s="33" t="s">
        <v>22</v>
      </c>
      <c r="T5598" s="1" t="s">
        <v>26781</v>
      </c>
      <c r="Z5598" s="33" t="s">
        <v>42968</v>
      </c>
      <c r="AA5598" s="33">
        <v>2066</v>
      </c>
    </row>
    <row r="5599" spans="1:27" ht="12" customHeight="1" x14ac:dyDescent="0.15">
      <c r="A5599" s="33" t="s">
        <v>5236</v>
      </c>
      <c r="B5599" s="33">
        <v>19</v>
      </c>
      <c r="C5599" s="33" t="s">
        <v>14</v>
      </c>
      <c r="D5599" s="33" t="s">
        <v>42</v>
      </c>
      <c r="E5599" s="33" t="s">
        <v>5237</v>
      </c>
      <c r="F5599" s="67">
        <v>41973</v>
      </c>
      <c r="G5599" s="33" t="s">
        <v>5238</v>
      </c>
      <c r="H5599" s="33" t="s">
        <v>5239</v>
      </c>
      <c r="I5599" s="33" t="s">
        <v>39</v>
      </c>
      <c r="J5599" s="33" t="s">
        <v>5240</v>
      </c>
      <c r="K5599" s="33" t="s">
        <v>92</v>
      </c>
      <c r="L5599" s="33" t="s">
        <v>386</v>
      </c>
      <c r="M5599" s="33" t="s">
        <v>21</v>
      </c>
      <c r="N5599" s="33" t="s">
        <v>5241</v>
      </c>
      <c r="O5599" s="33" t="s">
        <v>950</v>
      </c>
      <c r="P5599" s="33" t="s">
        <v>30089</v>
      </c>
      <c r="Q5599" s="40" t="s">
        <v>5242</v>
      </c>
      <c r="R5599" s="33" t="s">
        <v>512</v>
      </c>
      <c r="S5599" s="33" t="s">
        <v>22</v>
      </c>
      <c r="T5599" s="1" t="s">
        <v>26774</v>
      </c>
      <c r="Z5599" s="33" t="s">
        <v>42968</v>
      </c>
      <c r="AA5599" s="33">
        <v>2067</v>
      </c>
    </row>
    <row r="5600" spans="1:27" ht="12" customHeight="1" x14ac:dyDescent="0.15">
      <c r="A5600" s="33" t="s">
        <v>5258</v>
      </c>
      <c r="B5600" s="33">
        <v>27</v>
      </c>
      <c r="C5600" s="33" t="s">
        <v>14</v>
      </c>
      <c r="D5600" s="33" t="s">
        <v>128</v>
      </c>
      <c r="E5600" s="33" t="s">
        <v>5259</v>
      </c>
      <c r="F5600" s="67">
        <v>41971</v>
      </c>
      <c r="G5600" s="33" t="s">
        <v>5260</v>
      </c>
      <c r="H5600" s="33" t="s">
        <v>5261</v>
      </c>
      <c r="I5600" s="33" t="s">
        <v>178</v>
      </c>
      <c r="J5600" s="33" t="s">
        <v>5262</v>
      </c>
      <c r="K5600" s="33" t="s">
        <v>5263</v>
      </c>
      <c r="L5600" s="33" t="s">
        <v>2847</v>
      </c>
      <c r="M5600" s="33" t="s">
        <v>21</v>
      </c>
      <c r="N5600" s="33" t="s">
        <v>5264</v>
      </c>
      <c r="O5600" s="33" t="s">
        <v>950</v>
      </c>
      <c r="P5600" s="33" t="s">
        <v>30089</v>
      </c>
      <c r="Q5600" s="40" t="s">
        <v>5265</v>
      </c>
      <c r="R5600" s="33" t="s">
        <v>94</v>
      </c>
      <c r="S5600" s="33" t="s">
        <v>22</v>
      </c>
      <c r="T5600" s="1" t="s">
        <v>26781</v>
      </c>
      <c r="Z5600" s="33" t="s">
        <v>42967</v>
      </c>
      <c r="AA5600" s="33">
        <v>2062</v>
      </c>
    </row>
    <row r="5601" spans="1:31" ht="12" customHeight="1" x14ac:dyDescent="0.15">
      <c r="A5601" s="33" t="s">
        <v>5251</v>
      </c>
      <c r="B5601" s="33">
        <v>52</v>
      </c>
      <c r="C5601" s="33" t="s">
        <v>14</v>
      </c>
      <c r="D5601" s="33" t="s">
        <v>42</v>
      </c>
      <c r="F5601" s="67">
        <v>41971</v>
      </c>
      <c r="G5601" s="33" t="s">
        <v>5252</v>
      </c>
      <c r="H5601" s="33" t="s">
        <v>5253</v>
      </c>
      <c r="I5601" s="33" t="s">
        <v>51</v>
      </c>
      <c r="J5601" s="33" t="s">
        <v>5254</v>
      </c>
      <c r="K5601" s="33" t="s">
        <v>1057</v>
      </c>
      <c r="L5601" s="33" t="s">
        <v>2030</v>
      </c>
      <c r="M5601" s="33" t="s">
        <v>21</v>
      </c>
      <c r="N5601" s="33" t="s">
        <v>5256</v>
      </c>
      <c r="O5601" s="33" t="s">
        <v>950</v>
      </c>
      <c r="P5601" s="33" t="s">
        <v>30089</v>
      </c>
      <c r="Q5601" s="40" t="s">
        <v>5257</v>
      </c>
      <c r="R5601" s="33" t="s">
        <v>94</v>
      </c>
      <c r="S5601" s="33" t="s">
        <v>22</v>
      </c>
      <c r="T5601" s="33" t="s">
        <v>26781</v>
      </c>
      <c r="Z5601" s="33" t="s">
        <v>42966</v>
      </c>
      <c r="AA5601" s="33">
        <v>2065</v>
      </c>
    </row>
    <row r="5602" spans="1:31" ht="12" customHeight="1" x14ac:dyDescent="0.15">
      <c r="A5602" s="33" t="s">
        <v>5266</v>
      </c>
      <c r="B5602" s="33">
        <v>49</v>
      </c>
      <c r="C5602" s="33" t="s">
        <v>14</v>
      </c>
      <c r="D5602" s="33" t="s">
        <v>31</v>
      </c>
      <c r="E5602" s="33" t="s">
        <v>5267</v>
      </c>
      <c r="F5602" s="67">
        <v>41971</v>
      </c>
      <c r="G5602" s="33" t="s">
        <v>5268</v>
      </c>
      <c r="H5602" s="33" t="s">
        <v>1227</v>
      </c>
      <c r="I5602" s="33" t="s">
        <v>67</v>
      </c>
      <c r="J5602" s="33" t="s">
        <v>5269</v>
      </c>
      <c r="K5602" s="33" t="s">
        <v>1228</v>
      </c>
      <c r="L5602" s="33" t="s">
        <v>1229</v>
      </c>
      <c r="M5602" s="33" t="s">
        <v>21</v>
      </c>
      <c r="N5602" s="33" t="s">
        <v>5270</v>
      </c>
      <c r="O5602" s="33" t="s">
        <v>950</v>
      </c>
      <c r="P5602" s="33" t="s">
        <v>30089</v>
      </c>
      <c r="Q5602" s="40" t="s">
        <v>5271</v>
      </c>
      <c r="R5602" s="33" t="s">
        <v>23</v>
      </c>
      <c r="S5602" s="33" t="s">
        <v>22</v>
      </c>
      <c r="T5602" s="1" t="s">
        <v>26781</v>
      </c>
      <c r="Z5602" s="33" t="s">
        <v>42968</v>
      </c>
      <c r="AA5602" s="33">
        <v>2063</v>
      </c>
    </row>
    <row r="5603" spans="1:31" ht="12" customHeight="1" x14ac:dyDescent="0.15">
      <c r="A5603" s="33" t="s">
        <v>5272</v>
      </c>
      <c r="B5603" s="33">
        <v>42</v>
      </c>
      <c r="C5603" s="33" t="s">
        <v>14</v>
      </c>
      <c r="D5603" s="33" t="s">
        <v>31</v>
      </c>
      <c r="E5603" s="33" t="s">
        <v>5273</v>
      </c>
      <c r="F5603" s="67">
        <v>41971</v>
      </c>
      <c r="G5603" s="33" t="s">
        <v>5274</v>
      </c>
      <c r="H5603" s="33" t="s">
        <v>404</v>
      </c>
      <c r="I5603" s="33" t="s">
        <v>621</v>
      </c>
      <c r="J5603" s="33" t="s">
        <v>5275</v>
      </c>
      <c r="K5603" s="33" t="s">
        <v>5276</v>
      </c>
      <c r="L5603" s="33" t="s">
        <v>5277</v>
      </c>
      <c r="M5603" s="33" t="s">
        <v>21</v>
      </c>
      <c r="N5603" s="33" t="s">
        <v>5278</v>
      </c>
      <c r="O5603" s="33" t="s">
        <v>950</v>
      </c>
      <c r="P5603" s="33" t="s">
        <v>30089</v>
      </c>
      <c r="Q5603" s="40" t="s">
        <v>5279</v>
      </c>
      <c r="R5603" s="33" t="s">
        <v>94</v>
      </c>
      <c r="S5603" s="33" t="s">
        <v>22</v>
      </c>
      <c r="T5603" s="1" t="s">
        <v>26781</v>
      </c>
      <c r="Z5603" s="33" t="s">
        <v>42968</v>
      </c>
      <c r="AA5603" s="33">
        <v>2064</v>
      </c>
    </row>
    <row r="5604" spans="1:31" ht="12" customHeight="1" x14ac:dyDescent="0.15">
      <c r="A5604" s="33" t="s">
        <v>5280</v>
      </c>
      <c r="B5604" s="33">
        <v>45</v>
      </c>
      <c r="C5604" s="33" t="s">
        <v>14</v>
      </c>
      <c r="D5604" s="33" t="s">
        <v>24</v>
      </c>
      <c r="F5604" s="67">
        <v>41970</v>
      </c>
      <c r="G5604" s="33" t="s">
        <v>5281</v>
      </c>
      <c r="H5604" s="33" t="s">
        <v>5282</v>
      </c>
      <c r="I5604" s="33" t="s">
        <v>56</v>
      </c>
      <c r="J5604" s="33" t="s">
        <v>5283</v>
      </c>
      <c r="K5604" s="33" t="s">
        <v>590</v>
      </c>
      <c r="L5604" s="33" t="s">
        <v>591</v>
      </c>
      <c r="M5604" s="33" t="s">
        <v>21</v>
      </c>
      <c r="N5604" s="33" t="s">
        <v>5284</v>
      </c>
      <c r="O5604" s="33" t="s">
        <v>950</v>
      </c>
      <c r="P5604" s="33" t="s">
        <v>30089</v>
      </c>
      <c r="Q5604" s="40" t="s">
        <v>5285</v>
      </c>
      <c r="R5604" s="33" t="s">
        <v>94</v>
      </c>
      <c r="S5604" s="33" t="s">
        <v>22</v>
      </c>
      <c r="T5604" s="1" t="s">
        <v>26781</v>
      </c>
      <c r="Z5604" s="33" t="s">
        <v>42968</v>
      </c>
      <c r="AA5604" s="33">
        <v>2061</v>
      </c>
    </row>
    <row r="5605" spans="1:31" ht="12" customHeight="1" x14ac:dyDescent="0.15">
      <c r="A5605" s="33" t="s">
        <v>5294</v>
      </c>
      <c r="B5605" s="33">
        <v>22</v>
      </c>
      <c r="C5605" s="33" t="s">
        <v>14</v>
      </c>
      <c r="D5605" s="33" t="s">
        <v>31</v>
      </c>
      <c r="E5605" s="33" t="s">
        <v>5295</v>
      </c>
      <c r="F5605" s="67">
        <v>41969</v>
      </c>
      <c r="G5605" s="33" t="s">
        <v>5296</v>
      </c>
      <c r="H5605" s="33" t="s">
        <v>5297</v>
      </c>
      <c r="I5605" s="33" t="s">
        <v>67</v>
      </c>
      <c r="J5605" s="33" t="s">
        <v>5298</v>
      </c>
      <c r="K5605" s="33" t="s">
        <v>153</v>
      </c>
      <c r="L5605" s="33" t="s">
        <v>5299</v>
      </c>
      <c r="M5605" s="33" t="s">
        <v>21</v>
      </c>
      <c r="N5605" s="33" t="s">
        <v>5300</v>
      </c>
      <c r="O5605" s="33" t="s">
        <v>372</v>
      </c>
      <c r="P5605" s="33" t="s">
        <v>30089</v>
      </c>
      <c r="Q5605" s="40" t="s">
        <v>5301</v>
      </c>
      <c r="R5605" s="33" t="s">
        <v>94</v>
      </c>
      <c r="S5605" s="33" t="s">
        <v>22</v>
      </c>
      <c r="T5605" s="1" t="s">
        <v>26781</v>
      </c>
      <c r="Z5605" s="33" t="s">
        <v>42968</v>
      </c>
      <c r="AA5605" s="33">
        <v>2058</v>
      </c>
    </row>
    <row r="5606" spans="1:31" ht="12" customHeight="1" x14ac:dyDescent="0.15">
      <c r="A5606" s="33" t="s">
        <v>5302</v>
      </c>
      <c r="B5606" s="33">
        <v>41</v>
      </c>
      <c r="C5606" s="33" t="s">
        <v>14</v>
      </c>
      <c r="D5606" s="33" t="s">
        <v>31</v>
      </c>
      <c r="E5606" s="33" t="s">
        <v>5303</v>
      </c>
      <c r="F5606" s="67">
        <v>41969</v>
      </c>
      <c r="G5606" s="33" t="s">
        <v>5304</v>
      </c>
      <c r="H5606" s="33" t="s">
        <v>5305</v>
      </c>
      <c r="I5606" s="33" t="s">
        <v>402</v>
      </c>
      <c r="J5606" s="33" t="s">
        <v>5306</v>
      </c>
      <c r="K5606" s="33" t="s">
        <v>4972</v>
      </c>
      <c r="L5606" s="33" t="s">
        <v>5307</v>
      </c>
      <c r="M5606" s="33" t="s">
        <v>21</v>
      </c>
      <c r="N5606" s="33" t="s">
        <v>5308</v>
      </c>
      <c r="O5606" s="33" t="s">
        <v>950</v>
      </c>
      <c r="P5606" s="33" t="s">
        <v>30089</v>
      </c>
      <c r="Q5606" s="40" t="s">
        <v>5309</v>
      </c>
      <c r="R5606" s="33" t="s">
        <v>23</v>
      </c>
      <c r="S5606" s="33" t="s">
        <v>22</v>
      </c>
      <c r="T5606" s="1" t="s">
        <v>26781</v>
      </c>
      <c r="Z5606" s="33" t="s">
        <v>42967</v>
      </c>
      <c r="AA5606" s="33">
        <v>2059</v>
      </c>
    </row>
    <row r="5607" spans="1:31" ht="12" customHeight="1" x14ac:dyDescent="0.15">
      <c r="A5607" s="33" t="s">
        <v>5286</v>
      </c>
      <c r="B5607" s="33">
        <v>39</v>
      </c>
      <c r="C5607" s="33" t="s">
        <v>14</v>
      </c>
      <c r="D5607" s="33" t="s">
        <v>31</v>
      </c>
      <c r="E5607" s="33" t="s">
        <v>5287</v>
      </c>
      <c r="F5607" s="67">
        <v>41969</v>
      </c>
      <c r="G5607" s="33" t="s">
        <v>5288</v>
      </c>
      <c r="H5607" s="33" t="s">
        <v>5289</v>
      </c>
      <c r="I5607" s="33" t="s">
        <v>39</v>
      </c>
      <c r="J5607" s="33" t="s">
        <v>5290</v>
      </c>
      <c r="K5607" s="33" t="s">
        <v>5291</v>
      </c>
      <c r="L5607" s="33" t="s">
        <v>5292</v>
      </c>
      <c r="M5607" s="33" t="s">
        <v>363</v>
      </c>
      <c r="N5607" s="33" t="s">
        <v>5293</v>
      </c>
      <c r="O5607" s="33" t="s">
        <v>372</v>
      </c>
      <c r="P5607" s="33" t="s">
        <v>30089</v>
      </c>
      <c r="Q5607" s="40" t="s">
        <v>19035</v>
      </c>
      <c r="R5607" s="33" t="s">
        <v>23</v>
      </c>
      <c r="S5607" s="33" t="s">
        <v>12</v>
      </c>
      <c r="T5607" s="54" t="s">
        <v>29705</v>
      </c>
      <c r="Z5607" s="33" t="s">
        <v>42967</v>
      </c>
      <c r="AA5607" s="33">
        <v>2060</v>
      </c>
    </row>
    <row r="5608" spans="1:31" ht="12" customHeight="1" x14ac:dyDescent="0.15">
      <c r="A5608" s="33" t="s">
        <v>5310</v>
      </c>
      <c r="B5608" s="33">
        <v>30</v>
      </c>
      <c r="C5608" s="33" t="s">
        <v>14</v>
      </c>
      <c r="D5608" s="33" t="s">
        <v>79</v>
      </c>
      <c r="E5608" s="33" t="s">
        <v>5311</v>
      </c>
      <c r="F5608" s="67">
        <v>41968</v>
      </c>
      <c r="G5608" s="33" t="s">
        <v>5312</v>
      </c>
      <c r="H5608" s="33" t="s">
        <v>5313</v>
      </c>
      <c r="I5608" s="33" t="s">
        <v>67</v>
      </c>
      <c r="J5608" s="33" t="s">
        <v>5314</v>
      </c>
      <c r="K5608" s="33" t="s">
        <v>266</v>
      </c>
      <c r="L5608" s="33" t="s">
        <v>5315</v>
      </c>
      <c r="M5608" s="33" t="s">
        <v>363</v>
      </c>
      <c r="N5608" s="33" t="s">
        <v>5316</v>
      </c>
      <c r="O5608" s="33" t="s">
        <v>950</v>
      </c>
      <c r="P5608" s="33" t="s">
        <v>30089</v>
      </c>
      <c r="Q5608" s="40" t="str">
        <f>HYPERLINK("http://crimeblog.dallasnews.com/2014/11/balch-springs-police-say-man-died-in-custody-tuesday-after-he-fought-arresting-officers.html/","http://crimeblog.dallasnews.com/2014/11/balch-springs-police-say-man-died-in-custody-tuesday-after-he-fought-arresting-officers.html/")</f>
        <v>http://crimeblog.dallasnews.com/2014/11/balch-springs-police-say-man-died-in-custody-tuesday-after-he-fought-arresting-officers.html/</v>
      </c>
      <c r="R5608" s="33" t="s">
        <v>904</v>
      </c>
      <c r="S5608" s="33" t="s">
        <v>12</v>
      </c>
      <c r="T5608" s="54" t="s">
        <v>29705</v>
      </c>
      <c r="Z5608" s="33" t="s">
        <v>42968</v>
      </c>
      <c r="AA5608" s="33">
        <v>2056</v>
      </c>
    </row>
    <row r="5609" spans="1:31" ht="12" customHeight="1" x14ac:dyDescent="0.15">
      <c r="A5609" s="33" t="s">
        <v>5328</v>
      </c>
      <c r="B5609" s="33">
        <v>31</v>
      </c>
      <c r="C5609" s="33" t="s">
        <v>14</v>
      </c>
      <c r="D5609" s="33" t="s">
        <v>31</v>
      </c>
      <c r="F5609" s="67">
        <v>41968</v>
      </c>
      <c r="G5609" s="33" t="s">
        <v>5329</v>
      </c>
      <c r="H5609" s="33" t="s">
        <v>3086</v>
      </c>
      <c r="I5609" s="33" t="s">
        <v>282</v>
      </c>
      <c r="J5609" s="33" t="s">
        <v>5330</v>
      </c>
      <c r="K5609" s="33" t="s">
        <v>527</v>
      </c>
      <c r="L5609" s="33" t="s">
        <v>5331</v>
      </c>
      <c r="M5609" s="33" t="s">
        <v>21</v>
      </c>
      <c r="N5609" s="33" t="s">
        <v>5332</v>
      </c>
      <c r="O5609" s="33" t="s">
        <v>950</v>
      </c>
      <c r="P5609" s="33" t="s">
        <v>30089</v>
      </c>
      <c r="Q5609" s="40" t="s">
        <v>5333</v>
      </c>
      <c r="R5609" s="33" t="s">
        <v>23</v>
      </c>
      <c r="S5609" s="33" t="s">
        <v>12</v>
      </c>
      <c r="T5609" s="33" t="s">
        <v>29425</v>
      </c>
      <c r="Z5609" s="33" t="s">
        <v>42968</v>
      </c>
      <c r="AA5609" s="33">
        <v>2055</v>
      </c>
    </row>
    <row r="5610" spans="1:31" ht="12" customHeight="1" x14ac:dyDescent="0.15">
      <c r="A5610" s="33" t="s">
        <v>5323</v>
      </c>
      <c r="B5610" s="33">
        <v>26</v>
      </c>
      <c r="C5610" s="33" t="s">
        <v>14</v>
      </c>
      <c r="D5610" s="33" t="s">
        <v>31</v>
      </c>
      <c r="E5610" s="33" t="s">
        <v>5324</v>
      </c>
      <c r="F5610" s="67">
        <v>41968</v>
      </c>
      <c r="G5610" s="33" t="s">
        <v>5325</v>
      </c>
      <c r="H5610" s="33" t="s">
        <v>4307</v>
      </c>
      <c r="I5610" s="33" t="s">
        <v>192</v>
      </c>
      <c r="J5610" s="33" t="s">
        <v>4308</v>
      </c>
      <c r="K5610" s="33" t="s">
        <v>4307</v>
      </c>
      <c r="L5610" s="33" t="s">
        <v>4309</v>
      </c>
      <c r="M5610" s="33" t="s">
        <v>21</v>
      </c>
      <c r="N5610" s="33" t="s">
        <v>5326</v>
      </c>
      <c r="O5610" s="33" t="s">
        <v>950</v>
      </c>
      <c r="P5610" s="33" t="s">
        <v>30089</v>
      </c>
      <c r="Q5610" s="40" t="s">
        <v>5327</v>
      </c>
      <c r="R5610" s="33" t="s">
        <v>94</v>
      </c>
      <c r="S5610" s="33" t="s">
        <v>351</v>
      </c>
      <c r="T5610" s="1" t="s">
        <v>26867</v>
      </c>
      <c r="Z5610" s="33" t="s">
        <v>42968</v>
      </c>
      <c r="AA5610" s="33">
        <v>2057</v>
      </c>
    </row>
    <row r="5611" spans="1:31" ht="12" customHeight="1" x14ac:dyDescent="0.15">
      <c r="A5611" s="33" t="s">
        <v>5317</v>
      </c>
      <c r="B5611" s="33">
        <v>52</v>
      </c>
      <c r="C5611" s="33" t="s">
        <v>14</v>
      </c>
      <c r="D5611" s="33" t="s">
        <v>31</v>
      </c>
      <c r="E5611" s="33" t="s">
        <v>5318</v>
      </c>
      <c r="F5611" s="67">
        <v>41968</v>
      </c>
      <c r="G5611" s="33" t="s">
        <v>5319</v>
      </c>
      <c r="H5611" s="33" t="s">
        <v>924</v>
      </c>
      <c r="I5611" s="33" t="s">
        <v>298</v>
      </c>
      <c r="J5611" s="33" t="s">
        <v>5320</v>
      </c>
      <c r="K5611" s="33" t="s">
        <v>925</v>
      </c>
      <c r="L5611" s="33" t="s">
        <v>17579</v>
      </c>
      <c r="M5611" s="33" t="s">
        <v>21</v>
      </c>
      <c r="N5611" s="33" t="s">
        <v>5321</v>
      </c>
      <c r="O5611" s="33" t="s">
        <v>950</v>
      </c>
      <c r="P5611" s="33" t="s">
        <v>30089</v>
      </c>
      <c r="Q5611" s="40" t="s">
        <v>5322</v>
      </c>
      <c r="R5611" s="33" t="s">
        <v>94</v>
      </c>
      <c r="S5611" s="33" t="s">
        <v>22</v>
      </c>
      <c r="T5611" s="1" t="s">
        <v>26774</v>
      </c>
      <c r="Z5611" s="33" t="s">
        <v>42968</v>
      </c>
      <c r="AA5611" s="33">
        <v>2054</v>
      </c>
    </row>
    <row r="5612" spans="1:31" ht="12" customHeight="1" x14ac:dyDescent="0.15">
      <c r="A5612" s="33" t="s">
        <v>5334</v>
      </c>
      <c r="B5612" s="33">
        <v>33</v>
      </c>
      <c r="C5612" s="33" t="s">
        <v>14</v>
      </c>
      <c r="D5612" s="33" t="s">
        <v>79</v>
      </c>
      <c r="E5612" s="33" t="s">
        <v>5335</v>
      </c>
      <c r="F5612" s="67">
        <v>41967</v>
      </c>
      <c r="G5612" s="33" t="s">
        <v>5336</v>
      </c>
      <c r="H5612" s="33" t="s">
        <v>603</v>
      </c>
      <c r="I5612" s="33" t="s">
        <v>56</v>
      </c>
      <c r="J5612" s="33" t="s">
        <v>5337</v>
      </c>
      <c r="K5612" s="33" t="s">
        <v>604</v>
      </c>
      <c r="L5612" s="33" t="s">
        <v>605</v>
      </c>
      <c r="M5612" s="33" t="s">
        <v>21</v>
      </c>
      <c r="N5612" s="33" t="s">
        <v>5338</v>
      </c>
      <c r="O5612" s="33" t="s">
        <v>950</v>
      </c>
      <c r="P5612" s="33" t="s">
        <v>30089</v>
      </c>
      <c r="Q5612" s="40" t="str">
        <f>HYPERLINK("http://www.firstcoastnews.com/story/news/local/2014/11/24/jso-involved-incident-gate-gas-station/70068030/","http://www.firstcoastnews.com/story/news/local/2014/11/24/jso-involved-incident-gate-gas-station/70068030/")</f>
        <v>http://www.firstcoastnews.com/story/news/local/2014/11/24/jso-involved-incident-gate-gas-station/70068030/</v>
      </c>
      <c r="R5612" s="33" t="s">
        <v>94</v>
      </c>
      <c r="S5612" s="33" t="s">
        <v>22</v>
      </c>
      <c r="T5612" s="33" t="s">
        <v>27803</v>
      </c>
      <c r="Z5612" s="33" t="s">
        <v>42968</v>
      </c>
      <c r="AA5612" s="33">
        <v>2053</v>
      </c>
      <c r="AE5612" s="33"/>
    </row>
    <row r="5613" spans="1:31" ht="12" customHeight="1" x14ac:dyDescent="0.15">
      <c r="A5613" s="33" t="s">
        <v>5339</v>
      </c>
      <c r="B5613" s="33">
        <v>35</v>
      </c>
      <c r="C5613" s="33" t="s">
        <v>14</v>
      </c>
      <c r="D5613" s="33" t="s">
        <v>79</v>
      </c>
      <c r="E5613" s="33" t="s">
        <v>5340</v>
      </c>
      <c r="F5613" s="67">
        <v>41967</v>
      </c>
      <c r="G5613" s="33" t="s">
        <v>5341</v>
      </c>
      <c r="H5613" s="33" t="s">
        <v>2864</v>
      </c>
      <c r="I5613" s="33" t="s">
        <v>39</v>
      </c>
      <c r="J5613" s="33" t="s">
        <v>5342</v>
      </c>
      <c r="K5613" s="33" t="s">
        <v>728</v>
      </c>
      <c r="L5613" s="33" t="s">
        <v>729</v>
      </c>
      <c r="M5613" s="33" t="s">
        <v>21</v>
      </c>
      <c r="N5613" s="33" t="s">
        <v>5343</v>
      </c>
      <c r="O5613" s="33" t="s">
        <v>950</v>
      </c>
      <c r="P5613" s="33" t="s">
        <v>30089</v>
      </c>
      <c r="Q5613" s="40" t="s">
        <v>5344</v>
      </c>
      <c r="R5613" s="33" t="s">
        <v>94</v>
      </c>
      <c r="S5613" s="33" t="s">
        <v>22</v>
      </c>
      <c r="T5613" s="33" t="s">
        <v>26781</v>
      </c>
      <c r="Z5613" s="33" t="s">
        <v>42968</v>
      </c>
      <c r="AA5613" s="33">
        <v>2052</v>
      </c>
    </row>
    <row r="5614" spans="1:31" ht="12" customHeight="1" x14ac:dyDescent="0.15">
      <c r="A5614" s="33" t="s">
        <v>5351</v>
      </c>
      <c r="B5614" s="33">
        <v>50</v>
      </c>
      <c r="C5614" s="33" t="s">
        <v>14</v>
      </c>
      <c r="D5614" s="33" t="s">
        <v>31</v>
      </c>
      <c r="E5614" s="33" t="s">
        <v>5352</v>
      </c>
      <c r="F5614" s="67">
        <v>41966</v>
      </c>
      <c r="G5614" s="33" t="s">
        <v>5353</v>
      </c>
      <c r="H5614" s="33" t="s">
        <v>3277</v>
      </c>
      <c r="I5614" s="33" t="s">
        <v>56</v>
      </c>
      <c r="J5614" s="33" t="s">
        <v>5354</v>
      </c>
      <c r="K5614" s="33" t="s">
        <v>3279</v>
      </c>
      <c r="L5614" s="33" t="s">
        <v>5355</v>
      </c>
      <c r="M5614" s="33" t="s">
        <v>21</v>
      </c>
      <c r="N5614" s="33" t="s">
        <v>5356</v>
      </c>
      <c r="O5614" s="33" t="s">
        <v>950</v>
      </c>
      <c r="P5614" s="33" t="s">
        <v>30089</v>
      </c>
      <c r="Q5614" s="40" t="s">
        <v>5357</v>
      </c>
      <c r="R5614" s="33" t="s">
        <v>94</v>
      </c>
      <c r="S5614" s="33" t="s">
        <v>22</v>
      </c>
      <c r="T5614" s="1" t="s">
        <v>26781</v>
      </c>
      <c r="Z5614" s="33" t="s">
        <v>42968</v>
      </c>
      <c r="AA5614" s="33">
        <v>2050</v>
      </c>
    </row>
    <row r="5615" spans="1:31" ht="12" customHeight="1" x14ac:dyDescent="0.15">
      <c r="A5615" s="33" t="s">
        <v>5358</v>
      </c>
      <c r="B5615" s="33">
        <v>33</v>
      </c>
      <c r="C5615" s="33" t="s">
        <v>14</v>
      </c>
      <c r="D5615" s="33" t="s">
        <v>31</v>
      </c>
      <c r="E5615" s="33" t="s">
        <v>5359</v>
      </c>
      <c r="F5615" s="67">
        <v>41966</v>
      </c>
      <c r="G5615" s="33" t="s">
        <v>5360</v>
      </c>
      <c r="H5615" s="33" t="s">
        <v>5361</v>
      </c>
      <c r="I5615" s="33" t="s">
        <v>112</v>
      </c>
      <c r="J5615" s="33" t="s">
        <v>5362</v>
      </c>
      <c r="K5615" s="33" t="s">
        <v>5363</v>
      </c>
      <c r="L5615" s="33" t="s">
        <v>5364</v>
      </c>
      <c r="M5615" s="33" t="s">
        <v>21</v>
      </c>
      <c r="N5615" s="33" t="s">
        <v>5365</v>
      </c>
      <c r="O5615" s="33" t="s">
        <v>507</v>
      </c>
      <c r="P5615" s="33" t="s">
        <v>30089</v>
      </c>
      <c r="Q5615" s="40" t="s">
        <v>5366</v>
      </c>
      <c r="R5615" s="33" t="s">
        <v>904</v>
      </c>
      <c r="S5615" s="33" t="s">
        <v>22</v>
      </c>
      <c r="T5615" s="1" t="s">
        <v>26781</v>
      </c>
      <c r="Z5615" s="33" t="s">
        <v>42968</v>
      </c>
      <c r="AA5615" s="33">
        <v>2051</v>
      </c>
    </row>
    <row r="5616" spans="1:31" ht="12" customHeight="1" x14ac:dyDescent="0.15">
      <c r="A5616" s="33" t="s">
        <v>5345</v>
      </c>
      <c r="B5616" s="33">
        <v>27</v>
      </c>
      <c r="C5616" s="33" t="s">
        <v>14</v>
      </c>
      <c r="D5616" s="33" t="s">
        <v>42</v>
      </c>
      <c r="F5616" s="67">
        <v>41966</v>
      </c>
      <c r="G5616" s="33" t="s">
        <v>5346</v>
      </c>
      <c r="H5616" s="33" t="s">
        <v>5347</v>
      </c>
      <c r="I5616" s="33" t="s">
        <v>39</v>
      </c>
      <c r="J5616" s="33" t="s">
        <v>5348</v>
      </c>
      <c r="K5616" s="33" t="s">
        <v>92</v>
      </c>
      <c r="L5616" s="33" t="s">
        <v>1402</v>
      </c>
      <c r="M5616" s="33" t="s">
        <v>21</v>
      </c>
      <c r="N5616" s="33" t="s">
        <v>5349</v>
      </c>
      <c r="O5616" s="33" t="s">
        <v>950</v>
      </c>
      <c r="P5616" s="33" t="s">
        <v>30089</v>
      </c>
      <c r="Q5616" s="40" t="s">
        <v>5350</v>
      </c>
      <c r="R5616" s="33" t="s">
        <v>94</v>
      </c>
      <c r="S5616" s="33" t="s">
        <v>22</v>
      </c>
      <c r="T5616" s="1" t="s">
        <v>26781</v>
      </c>
      <c r="Z5616" s="33" t="s">
        <v>42968</v>
      </c>
      <c r="AA5616" s="33">
        <v>2049</v>
      </c>
    </row>
    <row r="5617" spans="1:27" ht="12" customHeight="1" x14ac:dyDescent="0.15">
      <c r="A5617" s="33" t="s">
        <v>5401</v>
      </c>
      <c r="B5617" s="33">
        <v>29</v>
      </c>
      <c r="C5617" s="33" t="s">
        <v>14</v>
      </c>
      <c r="D5617" s="33" t="s">
        <v>31</v>
      </c>
      <c r="E5617" s="33" t="s">
        <v>5402</v>
      </c>
      <c r="F5617" s="67">
        <v>41965</v>
      </c>
      <c r="G5617" s="33" t="s">
        <v>5403</v>
      </c>
      <c r="H5617" s="33" t="s">
        <v>5404</v>
      </c>
      <c r="I5617" s="33" t="s">
        <v>39</v>
      </c>
      <c r="J5617" s="33" t="s">
        <v>5405</v>
      </c>
      <c r="K5617" s="33" t="s">
        <v>5406</v>
      </c>
      <c r="L5617" s="33" t="s">
        <v>5407</v>
      </c>
      <c r="M5617" s="33" t="s">
        <v>21</v>
      </c>
      <c r="N5617" s="33" t="s">
        <v>5408</v>
      </c>
      <c r="O5617" s="33" t="s">
        <v>950</v>
      </c>
      <c r="P5617" s="33" t="s">
        <v>30089</v>
      </c>
      <c r="Q5617" s="40" t="str">
        <f>HYPERLINK("http://sacramento.cbslocal.com/2014/11/23/suspect-dead-after-shootout-in-downtown-sonora-officer-bystander-hurt/","http://sacramento.cbslocal.com/2014/11/23/suspect-dead-after-shootout-in-downtown-sonora-officer-bystander-hurt/")</f>
        <v>http://sacramento.cbslocal.com/2014/11/23/suspect-dead-after-shootout-in-downtown-sonora-officer-bystander-hurt/</v>
      </c>
      <c r="R5617" s="33" t="s">
        <v>94</v>
      </c>
      <c r="S5617" s="33" t="s">
        <v>22</v>
      </c>
      <c r="T5617" s="1" t="s">
        <v>26781</v>
      </c>
      <c r="Z5617" s="33" t="s">
        <v>42968</v>
      </c>
      <c r="AA5617" s="33">
        <v>2044</v>
      </c>
    </row>
    <row r="5618" spans="1:27" ht="12" customHeight="1" x14ac:dyDescent="0.15">
      <c r="A5618" s="33" t="s">
        <v>5381</v>
      </c>
      <c r="B5618" s="33">
        <v>26</v>
      </c>
      <c r="C5618" s="33" t="s">
        <v>14</v>
      </c>
      <c r="D5618" s="33" t="s">
        <v>31</v>
      </c>
      <c r="E5618" s="33" t="s">
        <v>5382</v>
      </c>
      <c r="F5618" s="67">
        <v>41965</v>
      </c>
      <c r="G5618" s="33" t="s">
        <v>5383</v>
      </c>
      <c r="H5618" s="33" t="s">
        <v>5384</v>
      </c>
      <c r="I5618" s="33" t="s">
        <v>221</v>
      </c>
      <c r="J5618" s="33" t="s">
        <v>5385</v>
      </c>
      <c r="K5618" s="33" t="s">
        <v>564</v>
      </c>
      <c r="L5618" s="33" t="s">
        <v>5386</v>
      </c>
      <c r="M5618" s="33" t="s">
        <v>21</v>
      </c>
      <c r="N5618" s="33" t="s">
        <v>5387</v>
      </c>
      <c r="O5618" s="33" t="s">
        <v>372</v>
      </c>
      <c r="P5618" s="33" t="s">
        <v>30089</v>
      </c>
      <c r="Q5618" s="40" t="str">
        <f>HYPERLINK("http://www.kutv.com/news/features/top-stories/stories/South-Jordan-police-give-more-details-in-shooting-death-of-1-man-59617.shtml#.VHT3q4vF9R4","http://www.kutv.com/news/features/top-stories/stories/South-Jordan-police-give-more-details-in-shooting-death-of-1-man-59617.shtml#.VHT3q4vF9R4")</f>
        <v>http://www.kutv.com/news/features/top-stories/stories/South-Jordan-police-give-more-details-in-shooting-death-of-1-man-59617.shtml#.VHT3q4vF9R4</v>
      </c>
      <c r="R5618" s="33" t="s">
        <v>23</v>
      </c>
      <c r="S5618" s="33" t="s">
        <v>29</v>
      </c>
      <c r="T5618" s="1" t="s">
        <v>41840</v>
      </c>
      <c r="Z5618" s="33" t="s">
        <v>42968</v>
      </c>
      <c r="AA5618" s="33">
        <v>2048</v>
      </c>
    </row>
    <row r="5619" spans="1:27" ht="12" customHeight="1" x14ac:dyDescent="0.15">
      <c r="A5619" s="33" t="s">
        <v>5373</v>
      </c>
      <c r="B5619" s="33">
        <v>27</v>
      </c>
      <c r="C5619" s="33" t="s">
        <v>14</v>
      </c>
      <c r="D5619" s="33" t="s">
        <v>42</v>
      </c>
      <c r="E5619" s="33" t="s">
        <v>5374</v>
      </c>
      <c r="F5619" s="67">
        <v>41965</v>
      </c>
      <c r="G5619" s="33" t="s">
        <v>5375</v>
      </c>
      <c r="H5619" s="33" t="s">
        <v>5376</v>
      </c>
      <c r="I5619" s="33" t="s">
        <v>39</v>
      </c>
      <c r="J5619" s="33" t="s">
        <v>5377</v>
      </c>
      <c r="K5619" s="33" t="s">
        <v>59</v>
      </c>
      <c r="L5619" s="33" t="s">
        <v>5378</v>
      </c>
      <c r="M5619" s="33" t="s">
        <v>21</v>
      </c>
      <c r="N5619" s="33" t="s">
        <v>5379</v>
      </c>
      <c r="O5619" s="33" t="s">
        <v>950</v>
      </c>
      <c r="P5619" s="33" t="s">
        <v>30089</v>
      </c>
      <c r="Q5619" s="40" t="s">
        <v>5380</v>
      </c>
      <c r="R5619" s="33" t="s">
        <v>94</v>
      </c>
      <c r="S5619" s="33" t="s">
        <v>22</v>
      </c>
      <c r="T5619" s="1" t="s">
        <v>26578</v>
      </c>
      <c r="Z5619" s="33" t="s">
        <v>42968</v>
      </c>
      <c r="AA5619" s="33">
        <v>2046</v>
      </c>
    </row>
    <row r="5620" spans="1:27" ht="12" customHeight="1" x14ac:dyDescent="0.15">
      <c r="A5620" s="33" t="s">
        <v>5395</v>
      </c>
      <c r="B5620" s="33">
        <v>53</v>
      </c>
      <c r="C5620" s="33" t="s">
        <v>14</v>
      </c>
      <c r="D5620" s="33" t="s">
        <v>31</v>
      </c>
      <c r="E5620" s="33" t="s">
        <v>5396</v>
      </c>
      <c r="F5620" s="67">
        <v>41965</v>
      </c>
      <c r="G5620" s="33" t="s">
        <v>5397</v>
      </c>
      <c r="H5620" s="33" t="s">
        <v>3212</v>
      </c>
      <c r="I5620" s="33" t="s">
        <v>56</v>
      </c>
      <c r="J5620" s="33" t="s">
        <v>3213</v>
      </c>
      <c r="K5620" s="33" t="s">
        <v>3214</v>
      </c>
      <c r="L5620" s="33" t="s">
        <v>5398</v>
      </c>
      <c r="M5620" s="33" t="s">
        <v>21</v>
      </c>
      <c r="N5620" s="33" t="s">
        <v>5399</v>
      </c>
      <c r="O5620" s="33" t="s">
        <v>372</v>
      </c>
      <c r="P5620" s="33" t="s">
        <v>30089</v>
      </c>
      <c r="Q5620" s="40" t="s">
        <v>5400</v>
      </c>
      <c r="R5620" s="33" t="s">
        <v>94</v>
      </c>
      <c r="S5620" s="33" t="s">
        <v>22</v>
      </c>
      <c r="T5620" s="1" t="s">
        <v>26781</v>
      </c>
      <c r="Z5620" s="33" t="s">
        <v>42966</v>
      </c>
      <c r="AA5620" s="33">
        <v>2045</v>
      </c>
    </row>
    <row r="5621" spans="1:27" ht="12" customHeight="1" x14ac:dyDescent="0.15">
      <c r="A5621" s="33" t="s">
        <v>5388</v>
      </c>
      <c r="B5621" s="33">
        <v>40</v>
      </c>
      <c r="C5621" s="33" t="s">
        <v>103</v>
      </c>
      <c r="D5621" s="33" t="s">
        <v>31</v>
      </c>
      <c r="E5621" s="33" t="s">
        <v>5389</v>
      </c>
      <c r="F5621" s="67">
        <v>41965</v>
      </c>
      <c r="G5621" s="33" t="s">
        <v>5390</v>
      </c>
      <c r="H5621" s="33" t="s">
        <v>5391</v>
      </c>
      <c r="I5621" s="33" t="s">
        <v>56</v>
      </c>
      <c r="J5621" s="33" t="s">
        <v>5392</v>
      </c>
      <c r="K5621" s="33" t="s">
        <v>1179</v>
      </c>
      <c r="L5621" s="33" t="s">
        <v>36793</v>
      </c>
      <c r="M5621" s="33" t="s">
        <v>21</v>
      </c>
      <c r="N5621" s="33" t="s">
        <v>5393</v>
      </c>
      <c r="O5621" s="33" t="s">
        <v>950</v>
      </c>
      <c r="P5621" s="33" t="s">
        <v>30089</v>
      </c>
      <c r="Q5621" s="40" t="s">
        <v>5394</v>
      </c>
      <c r="R5621" s="33" t="s">
        <v>94</v>
      </c>
      <c r="S5621" s="33" t="s">
        <v>22</v>
      </c>
      <c r="T5621" s="1" t="s">
        <v>26781</v>
      </c>
      <c r="Y5621" s="33" t="s">
        <v>42476</v>
      </c>
      <c r="Z5621" s="33" t="s">
        <v>42968</v>
      </c>
      <c r="AA5621" s="33">
        <v>2043</v>
      </c>
    </row>
    <row r="5622" spans="1:27" ht="12" customHeight="1" x14ac:dyDescent="0.15">
      <c r="A5622" s="33" t="s">
        <v>5367</v>
      </c>
      <c r="B5622" s="33">
        <v>12</v>
      </c>
      <c r="C5622" s="33" t="s">
        <v>14</v>
      </c>
      <c r="D5622" s="33" t="s">
        <v>79</v>
      </c>
      <c r="E5622" s="33" t="s">
        <v>5368</v>
      </c>
      <c r="F5622" s="67">
        <v>41965</v>
      </c>
      <c r="G5622" s="33" t="s">
        <v>5369</v>
      </c>
      <c r="H5622" s="33" t="s">
        <v>924</v>
      </c>
      <c r="I5622" s="33" t="s">
        <v>63</v>
      </c>
      <c r="J5622" s="33" t="s">
        <v>5370</v>
      </c>
      <c r="K5622" s="33" t="s">
        <v>95</v>
      </c>
      <c r="L5622" s="33" t="s">
        <v>29641</v>
      </c>
      <c r="M5622" s="33" t="s">
        <v>21</v>
      </c>
      <c r="N5622" s="33" t="s">
        <v>5371</v>
      </c>
      <c r="O5622" s="33" t="s">
        <v>372</v>
      </c>
      <c r="P5622" s="33" t="s">
        <v>30089</v>
      </c>
      <c r="Q5622" s="40" t="s">
        <v>5372</v>
      </c>
      <c r="R5622" s="33" t="s">
        <v>94</v>
      </c>
      <c r="S5622" s="33" t="s">
        <v>12</v>
      </c>
      <c r="T5622" s="33" t="s">
        <v>29425</v>
      </c>
      <c r="Z5622" s="33" t="s">
        <v>42966</v>
      </c>
      <c r="AA5622" s="33">
        <v>2047</v>
      </c>
    </row>
    <row r="5623" spans="1:27" ht="12" customHeight="1" x14ac:dyDescent="0.15">
      <c r="A5623" s="33" t="s">
        <v>5409</v>
      </c>
      <c r="B5623" s="33">
        <v>18</v>
      </c>
      <c r="C5623" s="33" t="s">
        <v>14</v>
      </c>
      <c r="D5623" s="33" t="s">
        <v>42</v>
      </c>
      <c r="E5623" s="33" t="s">
        <v>5410</v>
      </c>
      <c r="F5623" s="67">
        <v>41964</v>
      </c>
      <c r="G5623" s="33" t="s">
        <v>5411</v>
      </c>
      <c r="H5623" s="33" t="s">
        <v>451</v>
      </c>
      <c r="I5623" s="33" t="s">
        <v>39</v>
      </c>
      <c r="J5623" s="33" t="s">
        <v>5412</v>
      </c>
      <c r="K5623" s="33" t="s">
        <v>92</v>
      </c>
      <c r="L5623" s="33" t="s">
        <v>452</v>
      </c>
      <c r="M5623" s="33" t="s">
        <v>21</v>
      </c>
      <c r="N5623" s="33" t="s">
        <v>5413</v>
      </c>
      <c r="O5623" s="33" t="s">
        <v>950</v>
      </c>
      <c r="P5623" s="33" t="s">
        <v>30089</v>
      </c>
      <c r="Q5623" s="40" t="s">
        <v>5414</v>
      </c>
      <c r="R5623" s="33" t="s">
        <v>94</v>
      </c>
      <c r="S5623" s="33" t="s">
        <v>22</v>
      </c>
      <c r="T5623" s="1" t="s">
        <v>26774</v>
      </c>
      <c r="Z5623" s="33" t="s">
        <v>42966</v>
      </c>
      <c r="AA5623" s="33">
        <v>2042</v>
      </c>
    </row>
    <row r="5624" spans="1:27" ht="12" customHeight="1" x14ac:dyDescent="0.15">
      <c r="A5624" s="33" t="s">
        <v>5421</v>
      </c>
      <c r="B5624" s="33">
        <v>28</v>
      </c>
      <c r="C5624" s="33" t="s">
        <v>14</v>
      </c>
      <c r="D5624" s="33" t="s">
        <v>79</v>
      </c>
      <c r="E5624" s="33" t="s">
        <v>5422</v>
      </c>
      <c r="F5624" s="67">
        <v>41963</v>
      </c>
      <c r="G5624" s="33" t="s">
        <v>5423</v>
      </c>
      <c r="H5624" s="33" t="s">
        <v>1599</v>
      </c>
      <c r="I5624" s="33" t="s">
        <v>395</v>
      </c>
      <c r="J5624" s="33" t="s">
        <v>5424</v>
      </c>
      <c r="K5624" s="33" t="s">
        <v>1601</v>
      </c>
      <c r="L5624" s="33" t="s">
        <v>539</v>
      </c>
      <c r="M5624" s="33" t="s">
        <v>21</v>
      </c>
      <c r="N5624" s="33" t="s">
        <v>5425</v>
      </c>
      <c r="O5624" s="33" t="s">
        <v>27776</v>
      </c>
      <c r="P5624" s="33" t="s">
        <v>19027</v>
      </c>
      <c r="Q5624" s="40" t="s">
        <v>5426</v>
      </c>
      <c r="R5624" s="33" t="s">
        <v>94</v>
      </c>
      <c r="S5624" s="33" t="s">
        <v>12</v>
      </c>
      <c r="T5624" s="54" t="s">
        <v>29705</v>
      </c>
      <c r="Z5624" s="33" t="s">
        <v>42966</v>
      </c>
      <c r="AA5624" s="33">
        <v>2041</v>
      </c>
    </row>
    <row r="5625" spans="1:27" ht="12" customHeight="1" x14ac:dyDescent="0.15">
      <c r="A5625" s="33" t="s">
        <v>5415</v>
      </c>
      <c r="B5625" s="33">
        <v>31</v>
      </c>
      <c r="C5625" s="33" t="s">
        <v>14</v>
      </c>
      <c r="D5625" s="33" t="s">
        <v>79</v>
      </c>
      <c r="F5625" s="67">
        <v>41963</v>
      </c>
      <c r="G5625" s="33" t="s">
        <v>5416</v>
      </c>
      <c r="H5625" s="33" t="s">
        <v>3212</v>
      </c>
      <c r="I5625" s="33" t="s">
        <v>56</v>
      </c>
      <c r="J5625" s="33" t="s">
        <v>5417</v>
      </c>
      <c r="K5625" s="33" t="s">
        <v>3214</v>
      </c>
      <c r="L5625" s="33" t="s">
        <v>5418</v>
      </c>
      <c r="M5625" s="33" t="s">
        <v>21</v>
      </c>
      <c r="N5625" s="33" t="s">
        <v>5419</v>
      </c>
      <c r="O5625" s="33" t="s">
        <v>372</v>
      </c>
      <c r="P5625" s="33" t="s">
        <v>30089</v>
      </c>
      <c r="Q5625" s="40" t="s">
        <v>5420</v>
      </c>
      <c r="R5625" s="33" t="s">
        <v>94</v>
      </c>
      <c r="S5625" s="33" t="s">
        <v>22</v>
      </c>
      <c r="T5625" s="1" t="s">
        <v>26781</v>
      </c>
      <c r="Z5625" s="33" t="e">
        <v>#N/A</v>
      </c>
      <c r="AA5625" s="33">
        <v>2039</v>
      </c>
    </row>
    <row r="5626" spans="1:27" ht="12" customHeight="1" x14ac:dyDescent="0.15">
      <c r="A5626" s="33" t="s">
        <v>5436</v>
      </c>
      <c r="B5626" s="33">
        <v>29</v>
      </c>
      <c r="C5626" s="33" t="s">
        <v>103</v>
      </c>
      <c r="D5626" s="33" t="s">
        <v>31</v>
      </c>
      <c r="E5626" s="33" t="s">
        <v>5437</v>
      </c>
      <c r="F5626" s="67">
        <v>41963</v>
      </c>
      <c r="G5626" s="33" t="s">
        <v>5438</v>
      </c>
      <c r="H5626" s="33" t="s">
        <v>304</v>
      </c>
      <c r="I5626" s="33" t="s">
        <v>106</v>
      </c>
      <c r="J5626" s="33" t="s">
        <v>5439</v>
      </c>
      <c r="K5626" s="33" t="s">
        <v>107</v>
      </c>
      <c r="L5626" s="33" t="s">
        <v>1291</v>
      </c>
      <c r="M5626" s="33" t="s">
        <v>21</v>
      </c>
      <c r="N5626" s="33" t="s">
        <v>5440</v>
      </c>
      <c r="O5626" s="33" t="s">
        <v>372</v>
      </c>
      <c r="P5626" s="33" t="s">
        <v>30089</v>
      </c>
      <c r="Q5626" s="40" t="s">
        <v>5441</v>
      </c>
      <c r="R5626" s="33" t="s">
        <v>512</v>
      </c>
      <c r="S5626" s="33" t="s">
        <v>22</v>
      </c>
      <c r="T5626" s="1" t="s">
        <v>26781</v>
      </c>
      <c r="Z5626" s="33" t="s">
        <v>42966</v>
      </c>
      <c r="AA5626" s="33">
        <v>2038</v>
      </c>
    </row>
    <row r="5627" spans="1:27" ht="12" customHeight="1" x14ac:dyDescent="0.15">
      <c r="A5627" s="33" t="s">
        <v>5427</v>
      </c>
      <c r="B5627" s="33">
        <v>35</v>
      </c>
      <c r="C5627" s="33" t="s">
        <v>14</v>
      </c>
      <c r="D5627" s="33" t="s">
        <v>31</v>
      </c>
      <c r="E5627" s="33" t="s">
        <v>5428</v>
      </c>
      <c r="F5627" s="67">
        <v>41963</v>
      </c>
      <c r="G5627" s="33" t="s">
        <v>5429</v>
      </c>
      <c r="H5627" s="33" t="s">
        <v>5430</v>
      </c>
      <c r="I5627" s="33" t="s">
        <v>19</v>
      </c>
      <c r="J5627" s="33" t="s">
        <v>5431</v>
      </c>
      <c r="K5627" s="33" t="s">
        <v>5432</v>
      </c>
      <c r="L5627" s="33" t="s">
        <v>5433</v>
      </c>
      <c r="M5627" s="33" t="s">
        <v>21</v>
      </c>
      <c r="N5627" s="33" t="s">
        <v>5434</v>
      </c>
      <c r="O5627" s="33" t="s">
        <v>507</v>
      </c>
      <c r="P5627" s="33" t="s">
        <v>30089</v>
      </c>
      <c r="Q5627" s="40" t="s">
        <v>5435</v>
      </c>
      <c r="R5627" s="33" t="s">
        <v>23</v>
      </c>
      <c r="S5627" s="33" t="s">
        <v>22</v>
      </c>
      <c r="T5627" s="1" t="s">
        <v>26781</v>
      </c>
      <c r="Z5627" s="33" t="s">
        <v>42966</v>
      </c>
      <c r="AA5627" s="33">
        <v>2040</v>
      </c>
    </row>
    <row r="5628" spans="1:27" ht="12" customHeight="1" x14ac:dyDescent="0.15">
      <c r="A5628" s="33" t="s">
        <v>5448</v>
      </c>
      <c r="B5628" s="33">
        <v>41</v>
      </c>
      <c r="C5628" s="33" t="s">
        <v>14</v>
      </c>
      <c r="D5628" s="33" t="s">
        <v>31</v>
      </c>
      <c r="E5628" s="33" t="s">
        <v>5449</v>
      </c>
      <c r="F5628" s="67">
        <v>41962</v>
      </c>
      <c r="G5628" s="33" t="s">
        <v>5450</v>
      </c>
      <c r="H5628" s="33" t="s">
        <v>5451</v>
      </c>
      <c r="I5628" s="33" t="s">
        <v>402</v>
      </c>
      <c r="J5628" s="33" t="s">
        <v>5452</v>
      </c>
      <c r="K5628" s="33" t="s">
        <v>5453</v>
      </c>
      <c r="L5628" s="33" t="s">
        <v>5454</v>
      </c>
      <c r="M5628" s="33" t="s">
        <v>21</v>
      </c>
      <c r="N5628" s="33" t="s">
        <v>5455</v>
      </c>
      <c r="O5628" s="33" t="s">
        <v>950</v>
      </c>
      <c r="P5628" s="33" t="s">
        <v>30089</v>
      </c>
      <c r="Q5628" s="40" t="s">
        <v>5456</v>
      </c>
      <c r="R5628" s="33" t="s">
        <v>94</v>
      </c>
      <c r="S5628" s="33" t="s">
        <v>22</v>
      </c>
      <c r="T5628" s="1" t="s">
        <v>26781</v>
      </c>
      <c r="Z5628" s="33" t="s">
        <v>42967</v>
      </c>
      <c r="AA5628" s="33">
        <v>2036</v>
      </c>
    </row>
    <row r="5629" spans="1:27" ht="12" customHeight="1" x14ac:dyDescent="0.15">
      <c r="A5629" s="33" t="s">
        <v>5442</v>
      </c>
      <c r="B5629" s="33">
        <v>29</v>
      </c>
      <c r="C5629" s="33" t="s">
        <v>103</v>
      </c>
      <c r="D5629" s="33" t="s">
        <v>79</v>
      </c>
      <c r="E5629" s="33" t="s">
        <v>5443</v>
      </c>
      <c r="F5629" s="67">
        <v>41962</v>
      </c>
      <c r="G5629" s="33" t="s">
        <v>5444</v>
      </c>
      <c r="H5629" s="33" t="s">
        <v>1116</v>
      </c>
      <c r="I5629" s="33" t="s">
        <v>298</v>
      </c>
      <c r="J5629" s="33" t="s">
        <v>5445</v>
      </c>
      <c r="K5629" s="33" t="s">
        <v>1117</v>
      </c>
      <c r="L5629" s="33" t="s">
        <v>1118</v>
      </c>
      <c r="M5629" s="33" t="s">
        <v>21</v>
      </c>
      <c r="N5629" s="33" t="s">
        <v>5446</v>
      </c>
      <c r="O5629" s="33" t="s">
        <v>26741</v>
      </c>
      <c r="P5629" s="33" t="s">
        <v>26742</v>
      </c>
      <c r="Q5629" s="40" t="s">
        <v>5447</v>
      </c>
      <c r="R5629" s="33" t="s">
        <v>23</v>
      </c>
      <c r="S5629" s="33" t="s">
        <v>12</v>
      </c>
      <c r="T5629" s="54" t="s">
        <v>29705</v>
      </c>
      <c r="Y5629" s="33" t="s">
        <v>42476</v>
      </c>
      <c r="Z5629" s="33" t="s">
        <v>42968</v>
      </c>
      <c r="AA5629" s="33">
        <v>2037</v>
      </c>
    </row>
    <row r="5630" spans="1:27" ht="12" customHeight="1" x14ac:dyDescent="0.15">
      <c r="A5630" s="33" t="s">
        <v>5463</v>
      </c>
      <c r="B5630" s="33">
        <v>34</v>
      </c>
      <c r="C5630" s="33" t="s">
        <v>14</v>
      </c>
      <c r="D5630" s="33" t="s">
        <v>31</v>
      </c>
      <c r="F5630" s="67">
        <v>41961</v>
      </c>
      <c r="G5630" s="33" t="s">
        <v>5464</v>
      </c>
      <c r="H5630" s="33" t="s">
        <v>5465</v>
      </c>
      <c r="I5630" s="33" t="s">
        <v>56</v>
      </c>
      <c r="J5630" s="33" t="s">
        <v>5466</v>
      </c>
      <c r="K5630" s="33" t="s">
        <v>2152</v>
      </c>
      <c r="L5630" s="33" t="s">
        <v>8931</v>
      </c>
      <c r="M5630" s="33" t="s">
        <v>21</v>
      </c>
      <c r="N5630" s="33" t="s">
        <v>5467</v>
      </c>
      <c r="O5630" s="33" t="s">
        <v>950</v>
      </c>
      <c r="P5630" s="33" t="s">
        <v>30089</v>
      </c>
      <c r="Q5630" s="40" t="s">
        <v>5468</v>
      </c>
      <c r="R5630" s="33" t="s">
        <v>94</v>
      </c>
      <c r="S5630" s="33" t="s">
        <v>22</v>
      </c>
      <c r="T5630" s="1" t="s">
        <v>26774</v>
      </c>
      <c r="Z5630" s="33" t="s">
        <v>42968</v>
      </c>
      <c r="AA5630" s="33">
        <v>2035</v>
      </c>
    </row>
    <row r="5631" spans="1:27" ht="12" customHeight="1" x14ac:dyDescent="0.15">
      <c r="A5631" s="33" t="s">
        <v>5457</v>
      </c>
      <c r="B5631" s="33">
        <v>34</v>
      </c>
      <c r="C5631" s="33" t="s">
        <v>14</v>
      </c>
      <c r="D5631" s="33" t="s">
        <v>42</v>
      </c>
      <c r="E5631" s="33" t="s">
        <v>5458</v>
      </c>
      <c r="F5631" s="67">
        <v>41961</v>
      </c>
      <c r="G5631" s="33" t="s">
        <v>5459</v>
      </c>
      <c r="H5631" s="33" t="s">
        <v>728</v>
      </c>
      <c r="I5631" s="33" t="s">
        <v>39</v>
      </c>
      <c r="J5631" s="33" t="s">
        <v>5460</v>
      </c>
      <c r="K5631" s="33" t="s">
        <v>728</v>
      </c>
      <c r="L5631" s="33" t="s">
        <v>5461</v>
      </c>
      <c r="M5631" s="33" t="s">
        <v>21</v>
      </c>
      <c r="N5631" s="33" t="s">
        <v>36794</v>
      </c>
      <c r="O5631" s="33" t="s">
        <v>950</v>
      </c>
      <c r="P5631" s="33" t="s">
        <v>30089</v>
      </c>
      <c r="Q5631" s="40" t="s">
        <v>5462</v>
      </c>
      <c r="R5631" s="33" t="s">
        <v>94</v>
      </c>
      <c r="S5631" s="33" t="s">
        <v>22</v>
      </c>
      <c r="T5631" s="1" t="s">
        <v>26781</v>
      </c>
      <c r="Z5631" s="33" t="s">
        <v>42968</v>
      </c>
      <c r="AA5631" s="33">
        <v>2033</v>
      </c>
    </row>
    <row r="5632" spans="1:27" ht="12" customHeight="1" x14ac:dyDescent="0.15">
      <c r="A5632" s="33" t="s">
        <v>5469</v>
      </c>
      <c r="B5632" s="33">
        <v>45</v>
      </c>
      <c r="C5632" s="33" t="s">
        <v>14</v>
      </c>
      <c r="D5632" s="33" t="s">
        <v>31</v>
      </c>
      <c r="E5632" s="33" t="s">
        <v>5470</v>
      </c>
      <c r="F5632" s="67">
        <v>41961</v>
      </c>
      <c r="G5632" s="33" t="s">
        <v>5471</v>
      </c>
      <c r="H5632" s="33" t="s">
        <v>5472</v>
      </c>
      <c r="I5632" s="33" t="s">
        <v>338</v>
      </c>
      <c r="J5632" s="33" t="s">
        <v>5473</v>
      </c>
      <c r="K5632" s="33" t="s">
        <v>2907</v>
      </c>
      <c r="L5632" s="33" t="s">
        <v>5474</v>
      </c>
      <c r="M5632" s="33" t="s">
        <v>21</v>
      </c>
      <c r="N5632" s="33" t="s">
        <v>5475</v>
      </c>
      <c r="O5632" s="33" t="s">
        <v>950</v>
      </c>
      <c r="P5632" s="33" t="s">
        <v>30089</v>
      </c>
      <c r="Q5632" s="40" t="str">
        <f>HYPERLINK("http://www.wral.com/family-man-who-shot-fayetteville-officer-suffered-from-mental-illness/14200793/","http://www.wral.com/family-man-who-shot-fayetteville-officer-suffered-from-mental-illness/14200793/")</f>
        <v>http://www.wral.com/family-man-who-shot-fayetteville-officer-suffered-from-mental-illness/14200793/</v>
      </c>
      <c r="R5632" s="33" t="s">
        <v>512</v>
      </c>
      <c r="S5632" s="33" t="s">
        <v>22</v>
      </c>
      <c r="T5632" s="1" t="s">
        <v>26781</v>
      </c>
      <c r="Z5632" s="33" t="s">
        <v>42968</v>
      </c>
      <c r="AA5632" s="33">
        <v>2034</v>
      </c>
    </row>
    <row r="5633" spans="1:31" ht="12" customHeight="1" x14ac:dyDescent="0.15">
      <c r="A5633" s="33" t="s">
        <v>5477</v>
      </c>
      <c r="B5633" s="33">
        <v>36</v>
      </c>
      <c r="C5633" s="33" t="s">
        <v>14</v>
      </c>
      <c r="D5633" s="33" t="s">
        <v>31</v>
      </c>
      <c r="F5633" s="67">
        <v>41960</v>
      </c>
      <c r="G5633" s="33" t="s">
        <v>5478</v>
      </c>
      <c r="H5633" s="33" t="s">
        <v>5479</v>
      </c>
      <c r="I5633" s="33" t="s">
        <v>75</v>
      </c>
      <c r="J5633" s="33" t="s">
        <v>5480</v>
      </c>
      <c r="K5633" s="33" t="s">
        <v>5481</v>
      </c>
      <c r="L5633" s="33" t="s">
        <v>5482</v>
      </c>
      <c r="M5633" s="33" t="s">
        <v>21</v>
      </c>
      <c r="N5633" s="33" t="s">
        <v>5483</v>
      </c>
      <c r="O5633" s="33" t="s">
        <v>372</v>
      </c>
      <c r="P5633" s="33" t="s">
        <v>30089</v>
      </c>
      <c r="Q5633" s="40" t="str">
        <f>HYPERLINK("http://www.mcall.com/news/breaking/mc-d-phillipsburg-officer-involved-shooting-suspect-dies-20141118-story.html","http://www.mcall.com/news/breaking/mc-d-phillipsburg-officer-involved-shooting-suspect-dies-20141118-story.html")</f>
        <v>http://www.mcall.com/news/breaking/mc-d-phillipsburg-officer-involved-shooting-suspect-dies-20141118-story.html</v>
      </c>
      <c r="R5633" s="33" t="s">
        <v>512</v>
      </c>
      <c r="S5633" s="33" t="s">
        <v>22</v>
      </c>
      <c r="T5633" s="1" t="s">
        <v>26774</v>
      </c>
      <c r="Z5633" s="33" t="s">
        <v>42968</v>
      </c>
      <c r="AA5633" s="33">
        <v>2032</v>
      </c>
    </row>
    <row r="5634" spans="1:31" ht="12" customHeight="1" x14ac:dyDescent="0.15">
      <c r="A5634" s="33" t="s">
        <v>5515</v>
      </c>
      <c r="B5634" s="33">
        <v>37</v>
      </c>
      <c r="C5634" s="33" t="s">
        <v>14</v>
      </c>
      <c r="D5634" s="33" t="s">
        <v>31</v>
      </c>
      <c r="E5634" s="33" t="s">
        <v>5516</v>
      </c>
      <c r="F5634" s="67">
        <v>41959</v>
      </c>
      <c r="G5634" s="33" t="s">
        <v>5517</v>
      </c>
      <c r="H5634" s="33" t="s">
        <v>5518</v>
      </c>
      <c r="I5634" s="33" t="s">
        <v>106</v>
      </c>
      <c r="J5634" s="33" t="s">
        <v>5519</v>
      </c>
      <c r="K5634" s="33" t="s">
        <v>5520</v>
      </c>
      <c r="L5634" s="33" t="s">
        <v>36932</v>
      </c>
      <c r="M5634" s="33" t="s">
        <v>21</v>
      </c>
      <c r="N5634" s="33" t="s">
        <v>5521</v>
      </c>
      <c r="O5634" s="33" t="s">
        <v>372</v>
      </c>
      <c r="P5634" s="33" t="s">
        <v>30089</v>
      </c>
      <c r="Q5634" s="40" t="s">
        <v>5522</v>
      </c>
      <c r="R5634" s="33" t="s">
        <v>94</v>
      </c>
      <c r="S5634" s="33" t="s">
        <v>22</v>
      </c>
      <c r="T5634" s="1" t="s">
        <v>26781</v>
      </c>
      <c r="Z5634" s="33" t="s">
        <v>42968</v>
      </c>
      <c r="AA5634" s="33">
        <v>2025</v>
      </c>
    </row>
    <row r="5635" spans="1:31" ht="12" customHeight="1" x14ac:dyDescent="0.15">
      <c r="A5635" s="33" t="s">
        <v>5491</v>
      </c>
      <c r="B5635" s="33">
        <v>26</v>
      </c>
      <c r="C5635" s="33" t="s">
        <v>14</v>
      </c>
      <c r="D5635" s="33" t="s">
        <v>42</v>
      </c>
      <c r="E5635" s="33" t="s">
        <v>5492</v>
      </c>
      <c r="F5635" s="67">
        <v>41959</v>
      </c>
      <c r="G5635" s="33" t="s">
        <v>5493</v>
      </c>
      <c r="H5635" s="33" t="s">
        <v>5494</v>
      </c>
      <c r="I5635" s="33" t="s">
        <v>39</v>
      </c>
      <c r="J5635" s="33" t="s">
        <v>5495</v>
      </c>
      <c r="K5635" s="33" t="s">
        <v>92</v>
      </c>
      <c r="L5635" s="33" t="s">
        <v>386</v>
      </c>
      <c r="M5635" s="33" t="s">
        <v>21</v>
      </c>
      <c r="N5635" s="33" t="s">
        <v>5496</v>
      </c>
      <c r="O5635" s="33" t="s">
        <v>950</v>
      </c>
      <c r="P5635" s="33" t="s">
        <v>30089</v>
      </c>
      <c r="Q5635" s="40" t="s">
        <v>5497</v>
      </c>
      <c r="R5635" s="33" t="s">
        <v>94</v>
      </c>
      <c r="S5635" s="33" t="s">
        <v>12</v>
      </c>
      <c r="T5635" s="33" t="s">
        <v>29425</v>
      </c>
      <c r="Z5635" s="33" t="s">
        <v>42966</v>
      </c>
      <c r="AA5635" s="33">
        <v>2030</v>
      </c>
    </row>
    <row r="5636" spans="1:31" ht="12" customHeight="1" x14ac:dyDescent="0.15">
      <c r="A5636" s="33" t="s">
        <v>5498</v>
      </c>
      <c r="B5636" s="33">
        <v>57</v>
      </c>
      <c r="C5636" s="33" t="s">
        <v>14</v>
      </c>
      <c r="D5636" s="33" t="s">
        <v>42</v>
      </c>
      <c r="E5636" s="33" t="s">
        <v>5499</v>
      </c>
      <c r="F5636" s="67">
        <v>41959</v>
      </c>
      <c r="G5636" s="33" t="s">
        <v>5493</v>
      </c>
      <c r="H5636" s="33" t="s">
        <v>5494</v>
      </c>
      <c r="I5636" s="33" t="s">
        <v>39</v>
      </c>
      <c r="J5636" s="33" t="s">
        <v>5495</v>
      </c>
      <c r="K5636" s="33" t="s">
        <v>92</v>
      </c>
      <c r="L5636" s="33" t="s">
        <v>386</v>
      </c>
      <c r="M5636" s="33" t="s">
        <v>21</v>
      </c>
      <c r="N5636" s="33" t="s">
        <v>5496</v>
      </c>
      <c r="O5636" s="33" t="s">
        <v>950</v>
      </c>
      <c r="P5636" s="33" t="s">
        <v>30089</v>
      </c>
      <c r="Q5636" s="40" t="s">
        <v>5497</v>
      </c>
      <c r="R5636" s="33" t="s">
        <v>94</v>
      </c>
      <c r="S5636" s="33" t="s">
        <v>12</v>
      </c>
      <c r="T5636" s="33" t="s">
        <v>29425</v>
      </c>
      <c r="Z5636" s="33" t="s">
        <v>42966</v>
      </c>
      <c r="AA5636" s="33">
        <v>2031</v>
      </c>
    </row>
    <row r="5637" spans="1:31" ht="12" customHeight="1" x14ac:dyDescent="0.15">
      <c r="A5637" s="33" t="s">
        <v>5484</v>
      </c>
      <c r="B5637" s="33">
        <v>37</v>
      </c>
      <c r="C5637" s="33" t="s">
        <v>14</v>
      </c>
      <c r="D5637" s="33" t="s">
        <v>79</v>
      </c>
      <c r="F5637" s="67">
        <v>41959</v>
      </c>
      <c r="G5637" s="33" t="s">
        <v>5485</v>
      </c>
      <c r="H5637" s="33" t="s">
        <v>5486</v>
      </c>
      <c r="I5637" s="33" t="s">
        <v>282</v>
      </c>
      <c r="J5637" s="33" t="s">
        <v>5487</v>
      </c>
      <c r="K5637" s="33" t="s">
        <v>3187</v>
      </c>
      <c r="L5637" s="33" t="s">
        <v>5488</v>
      </c>
      <c r="M5637" s="33" t="s">
        <v>21</v>
      </c>
      <c r="N5637" s="33" t="s">
        <v>5489</v>
      </c>
      <c r="O5637" s="33" t="s">
        <v>950</v>
      </c>
      <c r="P5637" s="33" t="s">
        <v>30089</v>
      </c>
      <c r="Q5637" s="40" t="s">
        <v>5490</v>
      </c>
      <c r="R5637" s="33" t="s">
        <v>94</v>
      </c>
      <c r="S5637" s="33" t="s">
        <v>22</v>
      </c>
      <c r="T5637" s="1" t="s">
        <v>26781</v>
      </c>
      <c r="Z5637" s="33" t="s">
        <v>42967</v>
      </c>
      <c r="AA5637" s="33">
        <v>2026</v>
      </c>
    </row>
    <row r="5638" spans="1:31" ht="12" customHeight="1" x14ac:dyDescent="0.15">
      <c r="A5638" s="33" t="s">
        <v>5500</v>
      </c>
      <c r="B5638" s="33">
        <v>46</v>
      </c>
      <c r="C5638" s="33" t="s">
        <v>103</v>
      </c>
      <c r="D5638" s="33" t="s">
        <v>31</v>
      </c>
      <c r="E5638" s="33" t="s">
        <v>5501</v>
      </c>
      <c r="F5638" s="67">
        <v>41959</v>
      </c>
      <c r="G5638" s="33" t="s">
        <v>5502</v>
      </c>
      <c r="H5638" s="33" t="s">
        <v>5503</v>
      </c>
      <c r="I5638" s="33" t="s">
        <v>56</v>
      </c>
      <c r="J5638" s="33" t="s">
        <v>5504</v>
      </c>
      <c r="K5638" s="33" t="s">
        <v>5505</v>
      </c>
      <c r="L5638" s="33" t="s">
        <v>5506</v>
      </c>
      <c r="M5638" s="33" t="s">
        <v>21</v>
      </c>
      <c r="N5638" s="33" t="s">
        <v>5507</v>
      </c>
      <c r="O5638" s="33" t="s">
        <v>950</v>
      </c>
      <c r="P5638" s="33" t="s">
        <v>30089</v>
      </c>
      <c r="Q5638" s="40" t="s">
        <v>5508</v>
      </c>
      <c r="R5638" s="33" t="s">
        <v>94</v>
      </c>
      <c r="S5638" s="33" t="s">
        <v>22</v>
      </c>
      <c r="T5638" s="33" t="s">
        <v>27803</v>
      </c>
      <c r="Z5638" s="33" t="s">
        <v>42968</v>
      </c>
      <c r="AA5638" s="33">
        <v>2029</v>
      </c>
      <c r="AE5638" s="33"/>
    </row>
    <row r="5639" spans="1:31" ht="12" customHeight="1" x14ac:dyDescent="0.15">
      <c r="A5639" s="33" t="s">
        <v>5523</v>
      </c>
      <c r="B5639" s="33">
        <v>40</v>
      </c>
      <c r="C5639" s="33" t="s">
        <v>14</v>
      </c>
      <c r="D5639" s="33" t="s">
        <v>31</v>
      </c>
      <c r="E5639" s="33" t="s">
        <v>5524</v>
      </c>
      <c r="F5639" s="67">
        <v>41959</v>
      </c>
      <c r="G5639" s="33" t="s">
        <v>5525</v>
      </c>
      <c r="H5639" s="33" t="s">
        <v>994</v>
      </c>
      <c r="I5639" s="33" t="s">
        <v>63</v>
      </c>
      <c r="J5639" s="33" t="s">
        <v>5526</v>
      </c>
      <c r="K5639" s="33" t="s">
        <v>995</v>
      </c>
      <c r="L5639" s="33" t="s">
        <v>5527</v>
      </c>
      <c r="M5639" s="33" t="s">
        <v>21</v>
      </c>
      <c r="N5639" s="33" t="s">
        <v>5528</v>
      </c>
      <c r="O5639" s="33" t="s">
        <v>507</v>
      </c>
      <c r="P5639" s="33" t="s">
        <v>30089</v>
      </c>
      <c r="Q5639" s="40" t="s">
        <v>5529</v>
      </c>
      <c r="R5639" s="33" t="s">
        <v>94</v>
      </c>
      <c r="S5639" s="33" t="s">
        <v>22</v>
      </c>
      <c r="T5639" s="1" t="s">
        <v>26781</v>
      </c>
      <c r="Z5639" s="33" t="s">
        <v>42966</v>
      </c>
      <c r="AA5639" s="33">
        <v>2028</v>
      </c>
    </row>
    <row r="5640" spans="1:31" ht="12" customHeight="1" x14ac:dyDescent="0.15">
      <c r="A5640" s="33" t="s">
        <v>5509</v>
      </c>
      <c r="B5640" s="33">
        <v>42</v>
      </c>
      <c r="C5640" s="33" t="s">
        <v>14</v>
      </c>
      <c r="D5640" s="33" t="s">
        <v>31</v>
      </c>
      <c r="E5640" s="33" t="s">
        <v>5510</v>
      </c>
      <c r="F5640" s="67">
        <v>41959</v>
      </c>
      <c r="G5640" s="33" t="s">
        <v>5511</v>
      </c>
      <c r="H5640" s="33" t="s">
        <v>270</v>
      </c>
      <c r="I5640" s="33" t="s">
        <v>294</v>
      </c>
      <c r="J5640" s="33" t="s">
        <v>5512</v>
      </c>
      <c r="K5640" s="33" t="s">
        <v>1117</v>
      </c>
      <c r="L5640" s="33" t="s">
        <v>3101</v>
      </c>
      <c r="M5640" s="33" t="s">
        <v>21</v>
      </c>
      <c r="N5640" s="33" t="s">
        <v>5513</v>
      </c>
      <c r="O5640" s="33" t="s">
        <v>950</v>
      </c>
      <c r="P5640" s="33" t="s">
        <v>30089</v>
      </c>
      <c r="Q5640" s="40" t="s">
        <v>5514</v>
      </c>
      <c r="R5640" s="33" t="s">
        <v>94</v>
      </c>
      <c r="S5640" s="33" t="s">
        <v>22</v>
      </c>
      <c r="T5640" s="1" t="s">
        <v>26781</v>
      </c>
      <c r="Z5640" s="33" t="s">
        <v>42967</v>
      </c>
      <c r="AA5640" s="33">
        <v>2027</v>
      </c>
    </row>
    <row r="5641" spans="1:31" ht="12" customHeight="1" x14ac:dyDescent="0.15">
      <c r="A5641" s="33" t="s">
        <v>5530</v>
      </c>
      <c r="B5641" s="33">
        <v>33</v>
      </c>
      <c r="C5641" s="33" t="s">
        <v>14</v>
      </c>
      <c r="D5641" s="33" t="s">
        <v>42</v>
      </c>
      <c r="F5641" s="67">
        <v>41958</v>
      </c>
      <c r="G5641" s="33" t="s">
        <v>5531</v>
      </c>
      <c r="H5641" s="33" t="s">
        <v>1428</v>
      </c>
      <c r="I5641" s="33" t="s">
        <v>106</v>
      </c>
      <c r="J5641" s="33" t="s">
        <v>5532</v>
      </c>
      <c r="K5641" s="33" t="s">
        <v>1429</v>
      </c>
      <c r="L5641" s="33" t="s">
        <v>5533</v>
      </c>
      <c r="M5641" s="33" t="s">
        <v>21</v>
      </c>
      <c r="N5641" s="33" t="s">
        <v>5534</v>
      </c>
      <c r="O5641" s="33" t="s">
        <v>372</v>
      </c>
      <c r="P5641" s="33" t="s">
        <v>30089</v>
      </c>
      <c r="Q5641" s="40" t="s">
        <v>5535</v>
      </c>
      <c r="R5641" s="33" t="s">
        <v>94</v>
      </c>
      <c r="S5641" s="33" t="s">
        <v>29</v>
      </c>
      <c r="T5641" s="33" t="s">
        <v>41840</v>
      </c>
      <c r="Z5641" s="33" t="s">
        <v>42968</v>
      </c>
      <c r="AA5641" s="33">
        <v>2024</v>
      </c>
    </row>
    <row r="5642" spans="1:31" ht="12" customHeight="1" x14ac:dyDescent="0.15">
      <c r="A5642" s="33" t="s">
        <v>5536</v>
      </c>
      <c r="B5642" s="33">
        <v>20</v>
      </c>
      <c r="C5642" s="33" t="s">
        <v>14</v>
      </c>
      <c r="D5642" s="33" t="s">
        <v>15</v>
      </c>
      <c r="E5642" s="33" t="s">
        <v>5537</v>
      </c>
      <c r="F5642" s="67">
        <v>41957</v>
      </c>
      <c r="G5642" s="33" t="s">
        <v>5538</v>
      </c>
      <c r="H5642" s="33" t="s">
        <v>5539</v>
      </c>
      <c r="I5642" s="33" t="s">
        <v>409</v>
      </c>
      <c r="J5642" s="33" t="s">
        <v>5540</v>
      </c>
      <c r="K5642" s="33" t="s">
        <v>5541</v>
      </c>
      <c r="L5642" s="33" t="s">
        <v>36795</v>
      </c>
      <c r="M5642" s="33" t="s">
        <v>21</v>
      </c>
      <c r="N5642" s="33" t="s">
        <v>5542</v>
      </c>
      <c r="O5642" s="33" t="s">
        <v>372</v>
      </c>
      <c r="P5642" s="33" t="s">
        <v>30089</v>
      </c>
      <c r="Q5642" s="40" t="s">
        <v>5543</v>
      </c>
      <c r="R5642" s="33" t="s">
        <v>94</v>
      </c>
      <c r="S5642" s="33" t="s">
        <v>22</v>
      </c>
      <c r="T5642" s="1" t="s">
        <v>26781</v>
      </c>
      <c r="Z5642" s="33" t="s">
        <v>42967</v>
      </c>
      <c r="AA5642" s="33">
        <v>2021</v>
      </c>
    </row>
    <row r="5643" spans="1:31" ht="12" customHeight="1" x14ac:dyDescent="0.15">
      <c r="A5643" s="33" t="s">
        <v>5551</v>
      </c>
      <c r="B5643" s="33">
        <v>41</v>
      </c>
      <c r="C5643" s="33" t="s">
        <v>14</v>
      </c>
      <c r="D5643" s="33" t="s">
        <v>31</v>
      </c>
      <c r="E5643" s="33" t="s">
        <v>5552</v>
      </c>
      <c r="F5643" s="67">
        <v>41957</v>
      </c>
      <c r="G5643" s="33" t="s">
        <v>5553</v>
      </c>
      <c r="H5643" s="33" t="s">
        <v>3494</v>
      </c>
      <c r="I5643" s="33" t="s">
        <v>206</v>
      </c>
      <c r="J5643" s="33" t="s">
        <v>3495</v>
      </c>
      <c r="K5643" s="33" t="s">
        <v>3496</v>
      </c>
      <c r="L5643" s="33" t="s">
        <v>5554</v>
      </c>
      <c r="M5643" s="33" t="s">
        <v>21</v>
      </c>
      <c r="N5643" s="33" t="s">
        <v>5555</v>
      </c>
      <c r="O5643" s="33" t="s">
        <v>372</v>
      </c>
      <c r="P5643" s="33" t="s">
        <v>30089</v>
      </c>
      <c r="Q5643" s="40" t="s">
        <v>5556</v>
      </c>
      <c r="R5643" s="33" t="s">
        <v>94</v>
      </c>
      <c r="S5643" s="33" t="s">
        <v>351</v>
      </c>
      <c r="T5643" s="1" t="s">
        <v>26867</v>
      </c>
      <c r="Z5643" s="33" t="s">
        <v>42968</v>
      </c>
      <c r="AA5643" s="33">
        <v>2023</v>
      </c>
    </row>
    <row r="5644" spans="1:31" ht="12" customHeight="1" x14ac:dyDescent="0.15">
      <c r="A5644" s="33" t="s">
        <v>5544</v>
      </c>
      <c r="B5644" s="33">
        <v>35</v>
      </c>
      <c r="C5644" s="33" t="s">
        <v>14</v>
      </c>
      <c r="D5644" s="33" t="s">
        <v>42</v>
      </c>
      <c r="F5644" s="67">
        <v>41957</v>
      </c>
      <c r="G5644" s="33" t="s">
        <v>5545</v>
      </c>
      <c r="H5644" s="33" t="s">
        <v>5546</v>
      </c>
      <c r="I5644" s="33" t="s">
        <v>39</v>
      </c>
      <c r="J5644" s="33" t="s">
        <v>5547</v>
      </c>
      <c r="K5644" s="33" t="s">
        <v>143</v>
      </c>
      <c r="L5644" s="33" t="s">
        <v>5548</v>
      </c>
      <c r="M5644" s="33" t="s">
        <v>21</v>
      </c>
      <c r="N5644" s="33" t="s">
        <v>5549</v>
      </c>
      <c r="O5644" s="33" t="s">
        <v>507</v>
      </c>
      <c r="P5644" s="33" t="s">
        <v>30089</v>
      </c>
      <c r="Q5644" s="40" t="s">
        <v>5550</v>
      </c>
      <c r="R5644" s="33" t="s">
        <v>512</v>
      </c>
      <c r="S5644" s="33" t="s">
        <v>22</v>
      </c>
      <c r="T5644" s="33" t="s">
        <v>26774</v>
      </c>
      <c r="Z5644" s="33" t="s">
        <v>42968</v>
      </c>
      <c r="AA5644" s="33">
        <v>2022</v>
      </c>
      <c r="AE5644" s="33"/>
    </row>
    <row r="5645" spans="1:31" ht="12" customHeight="1" x14ac:dyDescent="0.15">
      <c r="A5645" s="33" t="s">
        <v>5557</v>
      </c>
      <c r="B5645" s="33">
        <v>33</v>
      </c>
      <c r="C5645" s="33" t="s">
        <v>103</v>
      </c>
      <c r="D5645" s="33" t="s">
        <v>31</v>
      </c>
      <c r="E5645" s="33" t="s">
        <v>5558</v>
      </c>
      <c r="F5645" s="67">
        <v>41957</v>
      </c>
      <c r="G5645" s="33" t="s">
        <v>5559</v>
      </c>
      <c r="H5645" s="33" t="s">
        <v>5560</v>
      </c>
      <c r="I5645" s="33" t="s">
        <v>409</v>
      </c>
      <c r="J5645" s="33" t="s">
        <v>5561</v>
      </c>
      <c r="K5645" s="33" t="s">
        <v>5562</v>
      </c>
      <c r="L5645" s="33" t="s">
        <v>5563</v>
      </c>
      <c r="M5645" s="33" t="s">
        <v>21</v>
      </c>
      <c r="N5645" s="33" t="s">
        <v>5564</v>
      </c>
      <c r="O5645" s="33" t="s">
        <v>950</v>
      </c>
      <c r="P5645" s="33" t="s">
        <v>30089</v>
      </c>
      <c r="Q5645" s="40" t="str">
        <f>HYPERLINK("http://www.weau.com/home/headlines/Female-suspect-killed-in-Boyceville-officer-involved-shooting-282832071.html","http://www.weau.com/home/headlines/Female-suspect-killed-in-Boyceville-officer-involved-shooting-282832071.html")</f>
        <v>http://www.weau.com/home/headlines/Female-suspect-killed-in-Boyceville-officer-involved-shooting-282832071.html</v>
      </c>
      <c r="R5645" s="33" t="s">
        <v>94</v>
      </c>
      <c r="S5645" s="33" t="s">
        <v>22</v>
      </c>
      <c r="T5645" s="1" t="s">
        <v>26781</v>
      </c>
      <c r="Z5645" s="33" t="s">
        <v>42967</v>
      </c>
      <c r="AA5645" s="33">
        <v>2020</v>
      </c>
    </row>
    <row r="5646" spans="1:31" ht="12" customHeight="1" x14ac:dyDescent="0.15">
      <c r="A5646" s="33" t="s">
        <v>5572</v>
      </c>
      <c r="B5646" s="33">
        <v>31</v>
      </c>
      <c r="C5646" s="33" t="s">
        <v>14</v>
      </c>
      <c r="D5646" s="33" t="s">
        <v>79</v>
      </c>
      <c r="E5646" s="33" t="s">
        <v>5573</v>
      </c>
      <c r="F5646" s="67">
        <v>41956</v>
      </c>
      <c r="G5646" s="33" t="s">
        <v>5574</v>
      </c>
      <c r="H5646" s="33" t="s">
        <v>1956</v>
      </c>
      <c r="I5646" s="33" t="s">
        <v>75</v>
      </c>
      <c r="J5646" s="33" t="s">
        <v>5575</v>
      </c>
      <c r="K5646" s="33" t="s">
        <v>2675</v>
      </c>
      <c r="L5646" s="33" t="s">
        <v>1958</v>
      </c>
      <c r="M5646" s="33" t="s">
        <v>21</v>
      </c>
      <c r="N5646" s="33" t="s">
        <v>5576</v>
      </c>
      <c r="P5646" s="33" t="s">
        <v>30089</v>
      </c>
      <c r="Q5646" s="40" t="s">
        <v>5577</v>
      </c>
      <c r="R5646" s="33" t="s">
        <v>94</v>
      </c>
      <c r="S5646" s="33" t="s">
        <v>22</v>
      </c>
      <c r="T5646" s="1" t="s">
        <v>26781</v>
      </c>
      <c r="Z5646" s="33" t="s">
        <v>42966</v>
      </c>
      <c r="AA5646" s="33">
        <v>2014</v>
      </c>
    </row>
    <row r="5647" spans="1:31" ht="12" customHeight="1" x14ac:dyDescent="0.15">
      <c r="A5647" s="33" t="s">
        <v>5565</v>
      </c>
      <c r="B5647" s="33">
        <v>37</v>
      </c>
      <c r="C5647" s="33" t="s">
        <v>103</v>
      </c>
      <c r="D5647" s="33" t="s">
        <v>79</v>
      </c>
      <c r="E5647" s="33" t="s">
        <v>5566</v>
      </c>
      <c r="F5647" s="67">
        <v>41956</v>
      </c>
      <c r="G5647" s="33" t="s">
        <v>5567</v>
      </c>
      <c r="H5647" s="33" t="s">
        <v>924</v>
      </c>
      <c r="I5647" s="33" t="s">
        <v>63</v>
      </c>
      <c r="J5647" s="33" t="s">
        <v>5568</v>
      </c>
      <c r="K5647" s="33" t="s">
        <v>95</v>
      </c>
      <c r="L5647" s="33" t="s">
        <v>29641</v>
      </c>
      <c r="M5647" s="33" t="s">
        <v>5569</v>
      </c>
      <c r="N5647" s="33" t="s">
        <v>5570</v>
      </c>
      <c r="O5647" s="33" t="s">
        <v>950</v>
      </c>
      <c r="P5647" s="33" t="s">
        <v>30089</v>
      </c>
      <c r="Q5647" s="40" t="s">
        <v>5571</v>
      </c>
      <c r="R5647" s="33" t="s">
        <v>512</v>
      </c>
      <c r="S5647" s="33" t="s">
        <v>12</v>
      </c>
      <c r="T5647" s="54" t="s">
        <v>29705</v>
      </c>
      <c r="Z5647" s="33" t="s">
        <v>42966</v>
      </c>
      <c r="AA5647" s="33">
        <v>2019</v>
      </c>
    </row>
    <row r="5648" spans="1:31" ht="12" customHeight="1" x14ac:dyDescent="0.15">
      <c r="A5648" s="33" t="s">
        <v>5589</v>
      </c>
      <c r="B5648" s="33">
        <v>33</v>
      </c>
      <c r="C5648" s="33" t="s">
        <v>14</v>
      </c>
      <c r="D5648" s="33" t="s">
        <v>31</v>
      </c>
      <c r="E5648" s="33" t="s">
        <v>5590</v>
      </c>
      <c r="F5648" s="67">
        <v>41956</v>
      </c>
      <c r="G5648" s="33" t="s">
        <v>5591</v>
      </c>
      <c r="H5648" s="33" t="s">
        <v>994</v>
      </c>
      <c r="I5648" s="33" t="s">
        <v>63</v>
      </c>
      <c r="J5648" s="33" t="s">
        <v>5592</v>
      </c>
      <c r="K5648" s="33" t="s">
        <v>995</v>
      </c>
      <c r="L5648" s="33" t="s">
        <v>5593</v>
      </c>
      <c r="M5648" s="33" t="s">
        <v>21</v>
      </c>
      <c r="N5648" s="33" t="s">
        <v>5594</v>
      </c>
      <c r="P5648" s="33" t="s">
        <v>30089</v>
      </c>
      <c r="Q5648" s="40" t="s">
        <v>5595</v>
      </c>
      <c r="R5648" s="33" t="s">
        <v>94</v>
      </c>
      <c r="S5648" s="33" t="s">
        <v>22</v>
      </c>
      <c r="T5648" s="1" t="s">
        <v>26774</v>
      </c>
      <c r="Z5648" s="33" t="s">
        <v>42968</v>
      </c>
      <c r="AA5648" s="33">
        <v>2017</v>
      </c>
    </row>
    <row r="5649" spans="1:31" ht="12" customHeight="1" x14ac:dyDescent="0.15">
      <c r="A5649" s="33" t="s">
        <v>5596</v>
      </c>
      <c r="B5649" s="33">
        <v>29</v>
      </c>
      <c r="C5649" s="33" t="s">
        <v>14</v>
      </c>
      <c r="D5649" s="33" t="s">
        <v>31</v>
      </c>
      <c r="E5649" s="33" t="s">
        <v>5597</v>
      </c>
      <c r="F5649" s="67">
        <v>41956</v>
      </c>
      <c r="G5649" s="33" t="s">
        <v>5598</v>
      </c>
      <c r="H5649" s="33" t="s">
        <v>359</v>
      </c>
      <c r="I5649" s="33" t="s">
        <v>298</v>
      </c>
      <c r="J5649" s="33" t="s">
        <v>5599</v>
      </c>
      <c r="K5649" s="33" t="s">
        <v>2476</v>
      </c>
      <c r="L5649" s="33" t="s">
        <v>2477</v>
      </c>
      <c r="M5649" s="33" t="s">
        <v>21</v>
      </c>
      <c r="N5649" s="33" t="s">
        <v>5600</v>
      </c>
      <c r="P5649" s="33" t="s">
        <v>30089</v>
      </c>
      <c r="Q5649" s="40" t="str">
        <f>HYPERLINK("http://www.local8now.com/home/headlines/Shooting-investigation-in-South-Knox-County-282637501.html","http://www.local8now.com/home/headlines/Shooting-investigation-in-South-Knox-County-282637501.html")</f>
        <v>http://www.local8now.com/home/headlines/Shooting-investigation-in-South-Knox-County-282637501.html</v>
      </c>
      <c r="R5649" s="33" t="s">
        <v>94</v>
      </c>
      <c r="S5649" s="33" t="s">
        <v>22</v>
      </c>
      <c r="T5649" s="1" t="s">
        <v>26781</v>
      </c>
      <c r="Z5649" s="33" t="s">
        <v>42968</v>
      </c>
      <c r="AA5649" s="33">
        <v>2016</v>
      </c>
    </row>
    <row r="5650" spans="1:31" ht="12" customHeight="1" x14ac:dyDescent="0.15">
      <c r="A5650" s="33" t="s">
        <v>5584</v>
      </c>
      <c r="B5650" s="33">
        <v>35</v>
      </c>
      <c r="C5650" s="33" t="s">
        <v>14</v>
      </c>
      <c r="D5650" s="33" t="s">
        <v>42</v>
      </c>
      <c r="F5650" s="67">
        <v>41956</v>
      </c>
      <c r="G5650" s="33" t="s">
        <v>5585</v>
      </c>
      <c r="H5650" s="33" t="s">
        <v>288</v>
      </c>
      <c r="I5650" s="33" t="s">
        <v>39</v>
      </c>
      <c r="J5650" s="33" t="s">
        <v>5586</v>
      </c>
      <c r="K5650" s="33" t="s">
        <v>288</v>
      </c>
      <c r="L5650" s="33" t="s">
        <v>3983</v>
      </c>
      <c r="M5650" s="33" t="s">
        <v>21</v>
      </c>
      <c r="N5650" s="33" t="s">
        <v>5587</v>
      </c>
      <c r="P5650" s="33" t="s">
        <v>30089</v>
      </c>
      <c r="Q5650" s="40" t="s">
        <v>5588</v>
      </c>
      <c r="R5650" s="33" t="s">
        <v>94</v>
      </c>
      <c r="S5650" s="33" t="s">
        <v>22</v>
      </c>
      <c r="T5650" s="1" t="s">
        <v>26781</v>
      </c>
      <c r="Z5650" s="33" t="s">
        <v>42968</v>
      </c>
      <c r="AA5650" s="33">
        <v>2015</v>
      </c>
    </row>
    <row r="5651" spans="1:31" ht="12" customHeight="1" x14ac:dyDescent="0.15">
      <c r="A5651" s="33" t="s">
        <v>5578</v>
      </c>
      <c r="B5651" s="33">
        <v>22</v>
      </c>
      <c r="C5651" s="33" t="s">
        <v>14</v>
      </c>
      <c r="D5651" s="33" t="s">
        <v>42</v>
      </c>
      <c r="E5651" s="33" t="s">
        <v>5579</v>
      </c>
      <c r="F5651" s="67">
        <v>41956</v>
      </c>
      <c r="G5651" s="33" t="s">
        <v>5580</v>
      </c>
      <c r="H5651" s="33" t="s">
        <v>631</v>
      </c>
      <c r="I5651" s="33" t="s">
        <v>39</v>
      </c>
      <c r="J5651" s="33" t="s">
        <v>5581</v>
      </c>
      <c r="K5651" s="33" t="s">
        <v>632</v>
      </c>
      <c r="L5651" s="33" t="s">
        <v>633</v>
      </c>
      <c r="M5651" s="33" t="s">
        <v>21</v>
      </c>
      <c r="N5651" s="33" t="s">
        <v>5582</v>
      </c>
      <c r="O5651" s="33" t="s">
        <v>950</v>
      </c>
      <c r="P5651" s="33" t="s">
        <v>30089</v>
      </c>
      <c r="Q5651" s="40" t="s">
        <v>5583</v>
      </c>
      <c r="R5651" s="33" t="s">
        <v>94</v>
      </c>
      <c r="S5651" s="33" t="s">
        <v>12</v>
      </c>
      <c r="T5651" s="54" t="s">
        <v>29705</v>
      </c>
      <c r="Z5651" s="33" t="s">
        <v>42968</v>
      </c>
      <c r="AA5651" s="33">
        <v>2018</v>
      </c>
    </row>
    <row r="5652" spans="1:31" ht="12" customHeight="1" x14ac:dyDescent="0.15">
      <c r="A5652" s="33" t="s">
        <v>5601</v>
      </c>
      <c r="B5652" s="33">
        <v>26</v>
      </c>
      <c r="C5652" s="33" t="s">
        <v>14</v>
      </c>
      <c r="D5652" s="33" t="s">
        <v>42</v>
      </c>
      <c r="F5652" s="67">
        <v>41955</v>
      </c>
      <c r="G5652" s="33" t="s">
        <v>5602</v>
      </c>
      <c r="H5652" s="33" t="s">
        <v>5603</v>
      </c>
      <c r="I5652" s="33" t="s">
        <v>39</v>
      </c>
      <c r="J5652" s="33" t="s">
        <v>5604</v>
      </c>
      <c r="K5652" s="33" t="s">
        <v>4146</v>
      </c>
      <c r="L5652" s="33" t="s">
        <v>5605</v>
      </c>
      <c r="M5652" s="33" t="s">
        <v>21</v>
      </c>
      <c r="N5652" s="33" t="s">
        <v>5606</v>
      </c>
      <c r="P5652" s="33" t="s">
        <v>30089</v>
      </c>
      <c r="Q5652" s="40" t="s">
        <v>5607</v>
      </c>
      <c r="R5652" s="33" t="s">
        <v>94</v>
      </c>
      <c r="S5652" s="33" t="s">
        <v>351</v>
      </c>
      <c r="T5652" s="1" t="s">
        <v>26867</v>
      </c>
      <c r="Z5652" s="33" t="s">
        <v>42968</v>
      </c>
      <c r="AA5652" s="33">
        <v>2013</v>
      </c>
    </row>
    <row r="5653" spans="1:31" ht="12" customHeight="1" x14ac:dyDescent="0.15">
      <c r="A5653" s="33" t="s">
        <v>5615</v>
      </c>
      <c r="B5653" s="33">
        <v>26</v>
      </c>
      <c r="C5653" s="33" t="s">
        <v>14</v>
      </c>
      <c r="D5653" s="33" t="s">
        <v>31</v>
      </c>
      <c r="E5653" s="33" t="s">
        <v>5616</v>
      </c>
      <c r="F5653" s="67">
        <v>41954</v>
      </c>
      <c r="G5653" s="33" t="s">
        <v>5617</v>
      </c>
      <c r="H5653" s="33" t="s">
        <v>603</v>
      </c>
      <c r="I5653" s="33" t="s">
        <v>88</v>
      </c>
      <c r="J5653" s="33" t="s">
        <v>5618</v>
      </c>
      <c r="K5653" s="33" t="s">
        <v>5619</v>
      </c>
      <c r="L5653" s="33" t="s">
        <v>2186</v>
      </c>
      <c r="M5653" s="33" t="s">
        <v>21</v>
      </c>
      <c r="N5653" s="33" t="s">
        <v>5620</v>
      </c>
      <c r="P5653" s="33" t="s">
        <v>30089</v>
      </c>
      <c r="Q5653" s="40" t="s">
        <v>5621</v>
      </c>
      <c r="R5653" s="33" t="s">
        <v>94</v>
      </c>
      <c r="S5653" s="33" t="s">
        <v>22</v>
      </c>
      <c r="T5653" s="1" t="s">
        <v>26774</v>
      </c>
      <c r="Z5653" s="33" t="s">
        <v>42967</v>
      </c>
      <c r="AA5653" s="33">
        <v>2011</v>
      </c>
    </row>
    <row r="5654" spans="1:31" ht="12" customHeight="1" x14ac:dyDescent="0.15">
      <c r="A5654" s="33" t="s">
        <v>5622</v>
      </c>
      <c r="B5654" s="33">
        <v>52</v>
      </c>
      <c r="C5654" s="33" t="s">
        <v>14</v>
      </c>
      <c r="D5654" s="33" t="s">
        <v>31</v>
      </c>
      <c r="F5654" s="67">
        <v>41954</v>
      </c>
      <c r="G5654" s="33" t="s">
        <v>5623</v>
      </c>
      <c r="H5654" s="33" t="s">
        <v>5624</v>
      </c>
      <c r="I5654" s="33" t="s">
        <v>39</v>
      </c>
      <c r="J5654" s="33" t="s">
        <v>5625</v>
      </c>
      <c r="K5654" s="33" t="s">
        <v>4269</v>
      </c>
      <c r="L5654" s="33" t="s">
        <v>5626</v>
      </c>
      <c r="M5654" s="33" t="s">
        <v>21</v>
      </c>
      <c r="N5654" s="33" t="s">
        <v>5627</v>
      </c>
      <c r="O5654" s="33" t="s">
        <v>372</v>
      </c>
      <c r="P5654" s="33" t="s">
        <v>30089</v>
      </c>
      <c r="Q5654" s="40" t="s">
        <v>5628</v>
      </c>
      <c r="R5654" s="33" t="s">
        <v>94</v>
      </c>
      <c r="S5654" s="33" t="s">
        <v>22</v>
      </c>
      <c r="T5654" s="1" t="s">
        <v>26781</v>
      </c>
      <c r="Z5654" s="33" t="s">
        <v>42968</v>
      </c>
      <c r="AA5654" s="33">
        <v>2009</v>
      </c>
    </row>
    <row r="5655" spans="1:31" ht="12" customHeight="1" x14ac:dyDescent="0.15">
      <c r="A5655" s="33" t="s">
        <v>5629</v>
      </c>
      <c r="B5655" s="33">
        <v>38</v>
      </c>
      <c r="C5655" s="33" t="s">
        <v>14</v>
      </c>
      <c r="D5655" s="33" t="s">
        <v>31</v>
      </c>
      <c r="E5655" s="33" t="s">
        <v>5630</v>
      </c>
      <c r="F5655" s="67">
        <v>41954</v>
      </c>
      <c r="G5655" s="33" t="s">
        <v>5631</v>
      </c>
      <c r="H5655" s="33" t="s">
        <v>5040</v>
      </c>
      <c r="I5655" s="33" t="s">
        <v>39</v>
      </c>
      <c r="J5655" s="33" t="s">
        <v>5632</v>
      </c>
      <c r="K5655" s="33" t="s">
        <v>728</v>
      </c>
      <c r="L5655" s="33" t="s">
        <v>729</v>
      </c>
      <c r="M5655" s="33" t="s">
        <v>21</v>
      </c>
      <c r="N5655" s="33" t="s">
        <v>5633</v>
      </c>
      <c r="P5655" s="33" t="s">
        <v>30089</v>
      </c>
      <c r="Q5655" s="40" t="s">
        <v>5634</v>
      </c>
      <c r="R5655" s="33" t="s">
        <v>94</v>
      </c>
      <c r="S5655" s="33" t="s">
        <v>12</v>
      </c>
      <c r="T5655" s="54" t="s">
        <v>29705</v>
      </c>
      <c r="Z5655" s="33" t="s">
        <v>42968</v>
      </c>
      <c r="AA5655" s="33">
        <v>2012</v>
      </c>
    </row>
    <row r="5656" spans="1:31" ht="12" customHeight="1" x14ac:dyDescent="0.15">
      <c r="A5656" s="33" t="s">
        <v>5608</v>
      </c>
      <c r="B5656" s="33">
        <v>31</v>
      </c>
      <c r="C5656" s="33" t="s">
        <v>14</v>
      </c>
      <c r="D5656" s="33" t="s">
        <v>15</v>
      </c>
      <c r="F5656" s="67">
        <v>41954</v>
      </c>
      <c r="G5656" s="33" t="s">
        <v>5609</v>
      </c>
      <c r="H5656" s="33" t="s">
        <v>5610</v>
      </c>
      <c r="I5656" s="33" t="s">
        <v>56</v>
      </c>
      <c r="J5656" s="33" t="s">
        <v>5611</v>
      </c>
      <c r="K5656" s="33" t="s">
        <v>590</v>
      </c>
      <c r="L5656" s="33" t="s">
        <v>5612</v>
      </c>
      <c r="M5656" s="33" t="s">
        <v>21</v>
      </c>
      <c r="N5656" s="33" t="s">
        <v>5613</v>
      </c>
      <c r="O5656" s="33" t="s">
        <v>950</v>
      </c>
      <c r="P5656" s="33" t="s">
        <v>30089</v>
      </c>
      <c r="Q5656" s="40" t="s">
        <v>5614</v>
      </c>
      <c r="R5656" s="33" t="s">
        <v>94</v>
      </c>
      <c r="S5656" s="33" t="s">
        <v>22</v>
      </c>
      <c r="T5656" s="33" t="s">
        <v>26774</v>
      </c>
      <c r="Z5656" s="33" t="s">
        <v>42968</v>
      </c>
      <c r="AA5656" s="33">
        <v>2010</v>
      </c>
      <c r="AE5656" s="33"/>
    </row>
    <row r="5657" spans="1:31" ht="12" customHeight="1" x14ac:dyDescent="0.15">
      <c r="A5657" s="33" t="s">
        <v>5636</v>
      </c>
      <c r="B5657" s="33">
        <v>38</v>
      </c>
      <c r="C5657" s="33" t="s">
        <v>14</v>
      </c>
      <c r="D5657" s="33" t="s">
        <v>15</v>
      </c>
      <c r="E5657" s="33" t="s">
        <v>5637</v>
      </c>
      <c r="F5657" s="67">
        <v>41952</v>
      </c>
      <c r="G5657" s="33" t="s">
        <v>5638</v>
      </c>
      <c r="H5657" s="33" t="s">
        <v>5639</v>
      </c>
      <c r="I5657" s="33" t="s">
        <v>67</v>
      </c>
      <c r="J5657" s="33" t="s">
        <v>5640</v>
      </c>
      <c r="K5657" s="33" t="s">
        <v>266</v>
      </c>
      <c r="L5657" s="33" t="s">
        <v>5641</v>
      </c>
      <c r="M5657" s="33" t="s">
        <v>21</v>
      </c>
      <c r="N5657" s="33" t="s">
        <v>5642</v>
      </c>
      <c r="O5657" s="33" t="s">
        <v>950</v>
      </c>
      <c r="P5657" s="33" t="s">
        <v>30089</v>
      </c>
      <c r="Q5657" s="40" t="s">
        <v>5643</v>
      </c>
      <c r="R5657" s="33" t="s">
        <v>94</v>
      </c>
      <c r="S5657" s="33" t="s">
        <v>351</v>
      </c>
      <c r="T5657" s="1" t="s">
        <v>26867</v>
      </c>
      <c r="Z5657" s="33" t="s">
        <v>42968</v>
      </c>
      <c r="AA5657" s="33">
        <v>2008</v>
      </c>
    </row>
    <row r="5658" spans="1:31" ht="12" customHeight="1" x14ac:dyDescent="0.15">
      <c r="A5658" s="33" t="s">
        <v>5665</v>
      </c>
      <c r="B5658" s="33">
        <v>34</v>
      </c>
      <c r="C5658" s="33" t="s">
        <v>14</v>
      </c>
      <c r="D5658" s="33" t="s">
        <v>42</v>
      </c>
      <c r="F5658" s="67">
        <v>41952</v>
      </c>
      <c r="G5658" s="33" t="s">
        <v>5666</v>
      </c>
      <c r="H5658" s="33" t="s">
        <v>92</v>
      </c>
      <c r="I5658" s="33" t="s">
        <v>39</v>
      </c>
      <c r="J5658" s="33" t="s">
        <v>5667</v>
      </c>
      <c r="K5658" s="33" t="s">
        <v>92</v>
      </c>
      <c r="L5658" s="33" t="s">
        <v>93</v>
      </c>
      <c r="M5658" s="33" t="s">
        <v>21</v>
      </c>
      <c r="N5658" s="33" t="s">
        <v>5668</v>
      </c>
      <c r="O5658" s="33" t="s">
        <v>950</v>
      </c>
      <c r="P5658" s="33" t="s">
        <v>30089</v>
      </c>
      <c r="Q5658" s="40" t="s">
        <v>5669</v>
      </c>
      <c r="R5658" s="33" t="s">
        <v>94</v>
      </c>
      <c r="S5658" s="33" t="s">
        <v>22</v>
      </c>
      <c r="T5658" s="1" t="s">
        <v>26781</v>
      </c>
      <c r="Z5658" s="33" t="s">
        <v>42966</v>
      </c>
      <c r="AA5658" s="33">
        <v>2004</v>
      </c>
    </row>
    <row r="5659" spans="1:31" ht="12" customHeight="1" x14ac:dyDescent="0.15">
      <c r="A5659" s="33" t="s">
        <v>5653</v>
      </c>
      <c r="B5659" s="33">
        <v>22</v>
      </c>
      <c r="C5659" s="33" t="s">
        <v>14</v>
      </c>
      <c r="D5659" s="33" t="s">
        <v>42</v>
      </c>
      <c r="E5659" s="33" t="s">
        <v>5654</v>
      </c>
      <c r="F5659" s="67">
        <v>41952</v>
      </c>
      <c r="G5659" s="33" t="s">
        <v>5655</v>
      </c>
      <c r="H5659" s="33" t="s">
        <v>5656</v>
      </c>
      <c r="I5659" s="33" t="s">
        <v>39</v>
      </c>
      <c r="J5659" s="33" t="s">
        <v>5657</v>
      </c>
      <c r="K5659" s="33" t="s">
        <v>92</v>
      </c>
      <c r="L5659" s="33" t="s">
        <v>93</v>
      </c>
      <c r="M5659" s="33" t="s">
        <v>21</v>
      </c>
      <c r="N5659" s="33" t="s">
        <v>36796</v>
      </c>
      <c r="O5659" s="33" t="s">
        <v>950</v>
      </c>
      <c r="P5659" s="33" t="s">
        <v>30089</v>
      </c>
      <c r="Q5659" s="40" t="s">
        <v>5658</v>
      </c>
      <c r="R5659" s="33" t="s">
        <v>512</v>
      </c>
      <c r="S5659" s="33" t="s">
        <v>22</v>
      </c>
      <c r="T5659" s="1" t="s">
        <v>26774</v>
      </c>
      <c r="Z5659" s="33" t="s">
        <v>42966</v>
      </c>
      <c r="AA5659" s="33">
        <v>2006</v>
      </c>
    </row>
    <row r="5660" spans="1:31" ht="12" customHeight="1" x14ac:dyDescent="0.15">
      <c r="A5660" s="33" t="s">
        <v>5671</v>
      </c>
      <c r="B5660" s="33">
        <v>56</v>
      </c>
      <c r="C5660" s="33" t="s">
        <v>14</v>
      </c>
      <c r="D5660" s="33" t="s">
        <v>31</v>
      </c>
      <c r="F5660" s="67">
        <v>41952</v>
      </c>
      <c r="G5660" s="33" t="s">
        <v>5672</v>
      </c>
      <c r="H5660" s="33" t="s">
        <v>5673</v>
      </c>
      <c r="I5660" s="33" t="s">
        <v>39</v>
      </c>
      <c r="J5660" s="33" t="s">
        <v>5674</v>
      </c>
      <c r="K5660" s="33" t="s">
        <v>1179</v>
      </c>
      <c r="L5660" s="33" t="s">
        <v>1180</v>
      </c>
      <c r="M5660" s="33" t="s">
        <v>21</v>
      </c>
      <c r="N5660" s="33" t="s">
        <v>5675</v>
      </c>
      <c r="O5660" s="33" t="s">
        <v>372</v>
      </c>
      <c r="P5660" s="33" t="s">
        <v>30089</v>
      </c>
      <c r="Q5660" s="40" t="s">
        <v>5676</v>
      </c>
      <c r="R5660" s="33" t="s">
        <v>94</v>
      </c>
      <c r="S5660" s="33" t="s">
        <v>22</v>
      </c>
      <c r="T5660" s="1" t="s">
        <v>26774</v>
      </c>
      <c r="Z5660" s="33" t="s">
        <v>42967</v>
      </c>
      <c r="AA5660" s="33">
        <v>2007</v>
      </c>
    </row>
    <row r="5661" spans="1:31" ht="12" customHeight="1" x14ac:dyDescent="0.15">
      <c r="A5661" s="33" t="s">
        <v>5644</v>
      </c>
      <c r="B5661" s="33">
        <v>40</v>
      </c>
      <c r="C5661" s="33" t="s">
        <v>103</v>
      </c>
      <c r="D5661" s="33" t="s">
        <v>79</v>
      </c>
      <c r="E5661" s="33" t="s">
        <v>5645</v>
      </c>
      <c r="F5661" s="67">
        <v>41952</v>
      </c>
      <c r="G5661" s="33" t="s">
        <v>5646</v>
      </c>
      <c r="H5661" s="33" t="s">
        <v>5647</v>
      </c>
      <c r="I5661" s="33" t="s">
        <v>51</v>
      </c>
      <c r="J5661" s="33" t="s">
        <v>5648</v>
      </c>
      <c r="K5661" s="33" t="s">
        <v>5649</v>
      </c>
      <c r="L5661" s="33" t="s">
        <v>5650</v>
      </c>
      <c r="M5661" s="33" t="s">
        <v>21</v>
      </c>
      <c r="N5661" s="33" t="s">
        <v>5651</v>
      </c>
      <c r="O5661" s="33" t="s">
        <v>372</v>
      </c>
      <c r="P5661" s="33" t="s">
        <v>30089</v>
      </c>
      <c r="Q5661" s="40" t="s">
        <v>5652</v>
      </c>
      <c r="R5661" s="33" t="s">
        <v>23</v>
      </c>
      <c r="S5661" s="33" t="s">
        <v>22</v>
      </c>
      <c r="T5661" s="1" t="s">
        <v>26774</v>
      </c>
      <c r="Z5661" s="33" t="s">
        <v>42968</v>
      </c>
      <c r="AA5661" s="33">
        <v>2005</v>
      </c>
    </row>
    <row r="5662" spans="1:31" ht="12" customHeight="1" x14ac:dyDescent="0.15">
      <c r="A5662" s="33" t="s">
        <v>5659</v>
      </c>
      <c r="B5662" s="33">
        <v>31</v>
      </c>
      <c r="C5662" s="33" t="s">
        <v>14</v>
      </c>
      <c r="D5662" s="33" t="s">
        <v>42</v>
      </c>
      <c r="E5662" s="33" t="s">
        <v>5660</v>
      </c>
      <c r="F5662" s="67">
        <v>41952</v>
      </c>
      <c r="G5662" s="33" t="s">
        <v>5661</v>
      </c>
      <c r="H5662" s="33" t="s">
        <v>1212</v>
      </c>
      <c r="I5662" s="33" t="s">
        <v>192</v>
      </c>
      <c r="J5662" s="33" t="s">
        <v>5662</v>
      </c>
      <c r="K5662" s="33" t="s">
        <v>1212</v>
      </c>
      <c r="L5662" s="33" t="s">
        <v>1213</v>
      </c>
      <c r="M5662" s="33" t="s">
        <v>21</v>
      </c>
      <c r="N5662" s="33" t="s">
        <v>5663</v>
      </c>
      <c r="O5662" s="33" t="s">
        <v>950</v>
      </c>
      <c r="P5662" s="33" t="s">
        <v>30089</v>
      </c>
      <c r="Q5662" s="40" t="s">
        <v>5664</v>
      </c>
      <c r="R5662" s="33" t="s">
        <v>23</v>
      </c>
      <c r="S5662" s="33" t="s">
        <v>22</v>
      </c>
      <c r="T5662" s="1" t="s">
        <v>26781</v>
      </c>
      <c r="Z5662" s="33" t="s">
        <v>42966</v>
      </c>
      <c r="AA5662" s="33">
        <v>2003</v>
      </c>
    </row>
    <row r="5663" spans="1:31" ht="12" customHeight="1" x14ac:dyDescent="0.15">
      <c r="A5663" s="33" t="s">
        <v>5690</v>
      </c>
      <c r="B5663" s="33">
        <v>27</v>
      </c>
      <c r="C5663" s="33" t="s">
        <v>14</v>
      </c>
      <c r="D5663" s="33" t="s">
        <v>31</v>
      </c>
      <c r="E5663" s="33" t="s">
        <v>5691</v>
      </c>
      <c r="F5663" s="67">
        <v>41951</v>
      </c>
      <c r="G5663" s="33" t="s">
        <v>5692</v>
      </c>
      <c r="H5663" s="33" t="s">
        <v>5693</v>
      </c>
      <c r="I5663" s="33" t="s">
        <v>51</v>
      </c>
      <c r="J5663" s="33" t="s">
        <v>5694</v>
      </c>
      <c r="K5663" s="33" t="s">
        <v>1057</v>
      </c>
      <c r="L5663" s="33" t="s">
        <v>5695</v>
      </c>
      <c r="M5663" s="33" t="s">
        <v>21</v>
      </c>
      <c r="N5663" s="33" t="s">
        <v>5696</v>
      </c>
      <c r="O5663" s="33" t="s">
        <v>950</v>
      </c>
      <c r="P5663" s="33" t="s">
        <v>30089</v>
      </c>
      <c r="Q5663" s="40" t="s">
        <v>5697</v>
      </c>
      <c r="R5663" s="33" t="s">
        <v>512</v>
      </c>
      <c r="S5663" s="33" t="s">
        <v>22</v>
      </c>
      <c r="T5663" s="1" t="s">
        <v>26774</v>
      </c>
      <c r="Z5663" s="33" t="s">
        <v>42968</v>
      </c>
      <c r="AA5663" s="33">
        <v>2000</v>
      </c>
    </row>
    <row r="5664" spans="1:31" ht="12" customHeight="1" x14ac:dyDescent="0.15">
      <c r="A5664" s="33" t="s">
        <v>5678</v>
      </c>
      <c r="B5664" s="33">
        <v>50</v>
      </c>
      <c r="C5664" s="33" t="s">
        <v>14</v>
      </c>
      <c r="D5664" s="33" t="s">
        <v>79</v>
      </c>
      <c r="F5664" s="67">
        <v>41951</v>
      </c>
      <c r="G5664" s="33" t="s">
        <v>5679</v>
      </c>
      <c r="H5664" s="33" t="s">
        <v>401</v>
      </c>
      <c r="I5664" s="33" t="s">
        <v>337</v>
      </c>
      <c r="J5664" s="33" t="s">
        <v>5680</v>
      </c>
      <c r="K5664" s="33" t="s">
        <v>554</v>
      </c>
      <c r="L5664" s="33" t="s">
        <v>42466</v>
      </c>
      <c r="M5664" s="33" t="s">
        <v>21</v>
      </c>
      <c r="N5664" s="33" t="s">
        <v>5681</v>
      </c>
      <c r="O5664" s="33" t="s">
        <v>372</v>
      </c>
      <c r="P5664" s="33" t="s">
        <v>30089</v>
      </c>
      <c r="Q5664" s="40" t="s">
        <v>5682</v>
      </c>
      <c r="R5664" s="33" t="s">
        <v>23</v>
      </c>
      <c r="S5664" s="33" t="s">
        <v>22</v>
      </c>
      <c r="T5664" s="1" t="s">
        <v>26593</v>
      </c>
      <c r="Z5664" s="33" t="s">
        <v>42966</v>
      </c>
      <c r="AA5664" s="33">
        <v>2001</v>
      </c>
    </row>
    <row r="5665" spans="1:31" ht="12" customHeight="1" x14ac:dyDescent="0.15">
      <c r="A5665" s="33" t="s">
        <v>5698</v>
      </c>
      <c r="B5665" s="33">
        <v>34</v>
      </c>
      <c r="C5665" s="33" t="s">
        <v>14</v>
      </c>
      <c r="D5665" s="33" t="s">
        <v>31</v>
      </c>
      <c r="E5665" s="33" t="s">
        <v>5699</v>
      </c>
      <c r="F5665" s="67">
        <v>41951</v>
      </c>
      <c r="G5665" s="33" t="s">
        <v>5700</v>
      </c>
      <c r="H5665" s="33" t="s">
        <v>1027</v>
      </c>
      <c r="I5665" s="33" t="s">
        <v>367</v>
      </c>
      <c r="J5665" s="33" t="s">
        <v>5701</v>
      </c>
      <c r="K5665" s="33" t="s">
        <v>1028</v>
      </c>
      <c r="L5665" s="33" t="s">
        <v>1029</v>
      </c>
      <c r="M5665" s="33" t="s">
        <v>21</v>
      </c>
      <c r="N5665" s="33" t="s">
        <v>36797</v>
      </c>
      <c r="P5665" s="33" t="s">
        <v>30089</v>
      </c>
      <c r="Q5665" s="40" t="s">
        <v>5702</v>
      </c>
      <c r="R5665" s="33" t="s">
        <v>94</v>
      </c>
      <c r="S5665" s="33" t="s">
        <v>22</v>
      </c>
      <c r="T5665" s="1" t="s">
        <v>26781</v>
      </c>
      <c r="Z5665" s="33" t="s">
        <v>42966</v>
      </c>
      <c r="AA5665" s="33">
        <v>1999</v>
      </c>
    </row>
    <row r="5666" spans="1:31" ht="12" customHeight="1" x14ac:dyDescent="0.15">
      <c r="A5666" s="33" t="s">
        <v>5703</v>
      </c>
      <c r="B5666" s="33">
        <v>27</v>
      </c>
      <c r="C5666" s="33" t="s">
        <v>14</v>
      </c>
      <c r="D5666" s="33" t="s">
        <v>31</v>
      </c>
      <c r="F5666" s="67">
        <v>41951</v>
      </c>
      <c r="G5666" s="33" t="s">
        <v>5704</v>
      </c>
      <c r="H5666" s="33" t="s">
        <v>727</v>
      </c>
      <c r="I5666" s="33" t="s">
        <v>39</v>
      </c>
      <c r="J5666" s="33" t="s">
        <v>2614</v>
      </c>
      <c r="K5666" s="33" t="s">
        <v>728</v>
      </c>
      <c r="L5666" s="33" t="s">
        <v>4359</v>
      </c>
      <c r="M5666" s="33" t="s">
        <v>21</v>
      </c>
      <c r="N5666" s="33" t="s">
        <v>5705</v>
      </c>
      <c r="O5666" s="33" t="s">
        <v>26743</v>
      </c>
      <c r="P5666" s="33" t="s">
        <v>26737</v>
      </c>
      <c r="Q5666" s="40" t="s">
        <v>5706</v>
      </c>
      <c r="R5666" s="33" t="s">
        <v>94</v>
      </c>
      <c r="S5666" s="33" t="s">
        <v>12</v>
      </c>
      <c r="T5666" s="1" t="s">
        <v>29705</v>
      </c>
      <c r="Z5666" s="33" t="s">
        <v>42968</v>
      </c>
      <c r="AA5666" s="33">
        <v>2002</v>
      </c>
    </row>
    <row r="5667" spans="1:31" ht="12" customHeight="1" x14ac:dyDescent="0.15">
      <c r="A5667" s="33" t="s">
        <v>5683</v>
      </c>
      <c r="B5667" s="33">
        <v>52</v>
      </c>
      <c r="C5667" s="33" t="s">
        <v>103</v>
      </c>
      <c r="D5667" s="33" t="s">
        <v>128</v>
      </c>
      <c r="F5667" s="67">
        <v>41951</v>
      </c>
      <c r="G5667" s="33" t="s">
        <v>5684</v>
      </c>
      <c r="H5667" s="33" t="s">
        <v>476</v>
      </c>
      <c r="I5667" s="33" t="s">
        <v>132</v>
      </c>
      <c r="J5667" s="33" t="s">
        <v>5685</v>
      </c>
      <c r="K5667" s="33" t="s">
        <v>5686</v>
      </c>
      <c r="L5667" s="33" t="s">
        <v>5687</v>
      </c>
      <c r="M5667" s="33" t="s">
        <v>21</v>
      </c>
      <c r="N5667" s="33" t="s">
        <v>5688</v>
      </c>
      <c r="O5667" s="33" t="s">
        <v>507</v>
      </c>
      <c r="P5667" s="33" t="s">
        <v>30089</v>
      </c>
      <c r="Q5667" s="40" t="s">
        <v>5689</v>
      </c>
      <c r="R5667" s="33" t="s">
        <v>904</v>
      </c>
      <c r="S5667" s="33" t="s">
        <v>22</v>
      </c>
      <c r="T5667" s="1" t="s">
        <v>26781</v>
      </c>
      <c r="Z5667" s="33" t="s">
        <v>42967</v>
      </c>
      <c r="AA5667" s="33">
        <v>1998</v>
      </c>
    </row>
    <row r="5668" spans="1:31" ht="12" customHeight="1" x14ac:dyDescent="0.15">
      <c r="A5668" s="33" t="s">
        <v>5707</v>
      </c>
      <c r="B5668" s="33">
        <v>57</v>
      </c>
      <c r="C5668" s="33" t="s">
        <v>14</v>
      </c>
      <c r="D5668" s="33" t="s">
        <v>31</v>
      </c>
      <c r="F5668" s="67">
        <v>41950</v>
      </c>
      <c r="G5668" s="33" t="s">
        <v>5708</v>
      </c>
      <c r="H5668" s="33" t="s">
        <v>870</v>
      </c>
      <c r="I5668" s="33" t="s">
        <v>67</v>
      </c>
      <c r="J5668" s="33" t="s">
        <v>5709</v>
      </c>
      <c r="K5668" s="33" t="s">
        <v>68</v>
      </c>
      <c r="L5668" s="33" t="s">
        <v>5710</v>
      </c>
      <c r="M5668" s="33" t="s">
        <v>21</v>
      </c>
      <c r="N5668" s="33" t="s">
        <v>5711</v>
      </c>
      <c r="O5668" s="33" t="s">
        <v>950</v>
      </c>
      <c r="P5668" s="33" t="s">
        <v>30089</v>
      </c>
      <c r="Q5668" s="40" t="s">
        <v>5712</v>
      </c>
      <c r="R5668" s="33" t="s">
        <v>94</v>
      </c>
      <c r="S5668" s="33" t="s">
        <v>22</v>
      </c>
      <c r="T5668" s="1" t="s">
        <v>26774</v>
      </c>
      <c r="Z5668" s="33" t="s">
        <v>42968</v>
      </c>
      <c r="AA5668" s="33">
        <v>1997</v>
      </c>
    </row>
    <row r="5669" spans="1:31" ht="12" customHeight="1" x14ac:dyDescent="0.15">
      <c r="A5669" s="33" t="s">
        <v>5719</v>
      </c>
      <c r="B5669" s="33">
        <v>36</v>
      </c>
      <c r="C5669" s="33" t="s">
        <v>14</v>
      </c>
      <c r="D5669" s="33" t="s">
        <v>31</v>
      </c>
      <c r="E5669" s="33" t="s">
        <v>5720</v>
      </c>
      <c r="F5669" s="67">
        <v>41949</v>
      </c>
      <c r="G5669" s="33" t="s">
        <v>5721</v>
      </c>
      <c r="H5669" s="33" t="s">
        <v>5722</v>
      </c>
      <c r="I5669" s="33" t="s">
        <v>39</v>
      </c>
      <c r="J5669" s="33" t="s">
        <v>5723</v>
      </c>
      <c r="K5669" s="33" t="s">
        <v>92</v>
      </c>
      <c r="L5669" s="33" t="s">
        <v>386</v>
      </c>
      <c r="M5669" s="33" t="s">
        <v>21</v>
      </c>
      <c r="N5669" s="33" t="s">
        <v>36799</v>
      </c>
      <c r="O5669" s="33" t="s">
        <v>950</v>
      </c>
      <c r="P5669" s="33" t="s">
        <v>30089</v>
      </c>
      <c r="Q5669" s="40" t="s">
        <v>5724</v>
      </c>
      <c r="R5669" s="33" t="s">
        <v>512</v>
      </c>
      <c r="S5669" s="33" t="s">
        <v>22</v>
      </c>
      <c r="T5669" s="1" t="s">
        <v>26781</v>
      </c>
      <c r="Z5669" s="33" t="s">
        <v>42968</v>
      </c>
      <c r="AA5669" s="33">
        <v>1995</v>
      </c>
    </row>
    <row r="5670" spans="1:31" ht="12" customHeight="1" x14ac:dyDescent="0.15">
      <c r="A5670" s="33" t="s">
        <v>5725</v>
      </c>
      <c r="B5670" s="33">
        <v>26</v>
      </c>
      <c r="C5670" s="33" t="s">
        <v>14</v>
      </c>
      <c r="D5670" s="33" t="s">
        <v>31</v>
      </c>
      <c r="F5670" s="67">
        <v>41949</v>
      </c>
      <c r="G5670" s="33" t="s">
        <v>5726</v>
      </c>
      <c r="H5670" s="33" t="s">
        <v>5727</v>
      </c>
      <c r="I5670" s="33" t="s">
        <v>735</v>
      </c>
      <c r="J5670" s="33">
        <v>83338</v>
      </c>
      <c r="K5670" s="33" t="s">
        <v>5727</v>
      </c>
      <c r="L5670" s="33" t="s">
        <v>36798</v>
      </c>
      <c r="M5670" s="33" t="s">
        <v>21</v>
      </c>
      <c r="N5670" s="33" t="s">
        <v>5728</v>
      </c>
      <c r="P5670" s="33" t="s">
        <v>30089</v>
      </c>
      <c r="Q5670" s="40" t="str">
        <f>HYPERLINK("http://magicvalley.com/news/local/crime-and-courts/update-man-fatally-shot-by-jerome-county-deputies-identified/article_4355b3bd-44b7-5e74-8937-16ad1d7d96cc.html","http://magicvalley.com/news/local/crime-and-courts/update-man-fatally-shot-by-jerome-county-deputies-identified/article_4355b3bd-44b7-5e74-8937-16ad1d7d96cc.html")</f>
        <v>http://magicvalley.com/news/local/crime-and-courts/update-man-fatally-shot-by-jerome-county-deputies-identified/article_4355b3bd-44b7-5e74-8937-16ad1d7d96cc.html</v>
      </c>
      <c r="R5670" s="33" t="s">
        <v>23</v>
      </c>
      <c r="S5670" s="33" t="s">
        <v>22</v>
      </c>
      <c r="T5670" s="1" t="s">
        <v>26781</v>
      </c>
      <c r="Z5670" s="33" t="s">
        <v>42967</v>
      </c>
      <c r="AA5670" s="33">
        <v>1994</v>
      </c>
    </row>
    <row r="5671" spans="1:31" ht="12" customHeight="1" x14ac:dyDescent="0.15">
      <c r="A5671" s="33" t="s">
        <v>5713</v>
      </c>
      <c r="B5671" s="33">
        <v>20</v>
      </c>
      <c r="C5671" s="33" t="s">
        <v>14</v>
      </c>
      <c r="D5671" s="33" t="s">
        <v>79</v>
      </c>
      <c r="E5671" s="33" t="s">
        <v>5714</v>
      </c>
      <c r="F5671" s="67">
        <v>41949</v>
      </c>
      <c r="G5671" s="33" t="s">
        <v>5715</v>
      </c>
      <c r="H5671" s="33" t="s">
        <v>404</v>
      </c>
      <c r="I5671" s="33" t="s">
        <v>298</v>
      </c>
      <c r="J5671" s="33" t="s">
        <v>5716</v>
      </c>
      <c r="K5671" s="33" t="s">
        <v>2014</v>
      </c>
      <c r="L5671" s="33" t="s">
        <v>5717</v>
      </c>
      <c r="M5671" s="33" t="s">
        <v>21</v>
      </c>
      <c r="N5671" s="33" t="s">
        <v>5718</v>
      </c>
      <c r="O5671" s="33" t="s">
        <v>372</v>
      </c>
      <c r="P5671" s="33" t="s">
        <v>30089</v>
      </c>
      <c r="Q5671" s="40" t="str">
        <f>HYPERLINK("http://www.jacksonsun.com/story/news/local/2014/11/11/parents-man-shot-officer-speak-tbi-investigate/18836355/","http://www.jacksonsun.com/story/news/local/2014/11/11/parents-man-shot-officer-speak-tbi-investigate/18836355/")</f>
        <v>http://www.jacksonsun.com/story/news/local/2014/11/11/parents-man-shot-officer-speak-tbi-investigate/18836355/</v>
      </c>
      <c r="R5671" s="33" t="s">
        <v>23</v>
      </c>
      <c r="S5671" s="33" t="s">
        <v>22</v>
      </c>
      <c r="T5671" s="1" t="s">
        <v>26576</v>
      </c>
      <c r="Z5671" s="33" t="s">
        <v>42966</v>
      </c>
      <c r="AA5671" s="33">
        <v>1996</v>
      </c>
    </row>
    <row r="5672" spans="1:31" ht="12" customHeight="1" x14ac:dyDescent="0.15">
      <c r="A5672" s="33" t="s">
        <v>5729</v>
      </c>
      <c r="B5672" s="33">
        <v>33</v>
      </c>
      <c r="C5672" s="33" t="s">
        <v>14</v>
      </c>
      <c r="D5672" s="33" t="s">
        <v>24</v>
      </c>
      <c r="F5672" s="67">
        <v>41948</v>
      </c>
      <c r="G5672" s="33" t="s">
        <v>5730</v>
      </c>
      <c r="H5672" s="33" t="s">
        <v>1506</v>
      </c>
      <c r="I5672" s="33" t="s">
        <v>250</v>
      </c>
      <c r="J5672" s="33" t="s">
        <v>5731</v>
      </c>
      <c r="K5672" s="33" t="s">
        <v>5732</v>
      </c>
      <c r="L5672" s="33" t="s">
        <v>5733</v>
      </c>
      <c r="M5672" s="33" t="s">
        <v>21</v>
      </c>
      <c r="N5672" s="33" t="s">
        <v>5734</v>
      </c>
      <c r="O5672" s="33" t="s">
        <v>4311</v>
      </c>
      <c r="P5672" s="33" t="s">
        <v>30089</v>
      </c>
      <c r="Q5672" s="40" t="str">
        <f>HYPERLINK("http://www.rgj.com/story/news/crime/2014/11/05/police-officer-involved-shooting-near-unr/18563353/","http://www.rgj.com/story/news/crime/2014/11/05/police-officer-involved-shooting-near-unr/18563353/")</f>
        <v>http://www.rgj.com/story/news/crime/2014/11/05/police-officer-involved-shooting-near-unr/18563353/</v>
      </c>
      <c r="R5672" s="33" t="s">
        <v>94</v>
      </c>
      <c r="S5672" s="33" t="s">
        <v>29</v>
      </c>
      <c r="T5672" s="1" t="s">
        <v>41840</v>
      </c>
      <c r="Z5672" s="33" t="s">
        <v>42968</v>
      </c>
      <c r="AA5672" s="33">
        <v>1992</v>
      </c>
    </row>
    <row r="5673" spans="1:31" ht="12" customHeight="1" x14ac:dyDescent="0.15">
      <c r="A5673" s="33" t="s">
        <v>5735</v>
      </c>
      <c r="B5673" s="33">
        <v>27</v>
      </c>
      <c r="C5673" s="33" t="s">
        <v>14</v>
      </c>
      <c r="D5673" s="33" t="s">
        <v>31</v>
      </c>
      <c r="E5673" s="33" t="str">
        <f>HYPERLINK("https://www.facebook.com/groups/387178151407408/","https://www.facebook.com/groups/387178151407408/")</f>
        <v>https://www.facebook.com/groups/387178151407408/</v>
      </c>
      <c r="F5673" s="67">
        <v>41948</v>
      </c>
      <c r="G5673" s="33" t="s">
        <v>5736</v>
      </c>
      <c r="H5673" s="33" t="s">
        <v>5737</v>
      </c>
      <c r="I5673" s="33" t="s">
        <v>282</v>
      </c>
      <c r="J5673" s="33">
        <v>98908</v>
      </c>
      <c r="K5673" s="33" t="s">
        <v>5737</v>
      </c>
      <c r="L5673" s="33" t="s">
        <v>5738</v>
      </c>
      <c r="M5673" s="33" t="s">
        <v>21</v>
      </c>
      <c r="N5673" s="33" t="s">
        <v>5739</v>
      </c>
      <c r="P5673" s="33" t="s">
        <v>30089</v>
      </c>
      <c r="Q5673" s="40" t="str">
        <f>HYPERLINK("http://www.yakimaherald.com/news/latestlocalnews/2632541-8/man-fatally-shot-by-yakima-county-deputy","http://www.yakimaherald.com/news/latestlocalnews/2632541-8/man-fatally-shot-by-yakima-county-deputy")</f>
        <v>http://www.yakimaherald.com/news/latestlocalnews/2632541-8/man-fatally-shot-by-yakima-county-deputy</v>
      </c>
      <c r="R5673" s="33" t="s">
        <v>94</v>
      </c>
      <c r="S5673" s="33" t="s">
        <v>351</v>
      </c>
      <c r="T5673" s="1" t="s">
        <v>42983</v>
      </c>
      <c r="Z5673" s="33" t="s">
        <v>42968</v>
      </c>
      <c r="AA5673" s="33">
        <v>1993</v>
      </c>
    </row>
    <row r="5674" spans="1:31" ht="12" customHeight="1" x14ac:dyDescent="0.15">
      <c r="A5674" s="33" t="s">
        <v>5740</v>
      </c>
      <c r="B5674" s="33">
        <v>64</v>
      </c>
      <c r="C5674" s="33" t="s">
        <v>14</v>
      </c>
      <c r="D5674" s="33" t="s">
        <v>24</v>
      </c>
      <c r="F5674" s="67">
        <v>41947</v>
      </c>
      <c r="G5674" s="33" t="s">
        <v>5741</v>
      </c>
      <c r="H5674" s="33" t="s">
        <v>5742</v>
      </c>
      <c r="I5674" s="33" t="s">
        <v>63</v>
      </c>
      <c r="J5674" s="33">
        <v>45645</v>
      </c>
      <c r="K5674" s="33" t="s">
        <v>1924</v>
      </c>
      <c r="L5674" s="33" t="s">
        <v>320</v>
      </c>
      <c r="M5674" s="33" t="s">
        <v>21</v>
      </c>
      <c r="N5674" s="33" t="s">
        <v>5743</v>
      </c>
      <c r="O5674" s="33" t="s">
        <v>507</v>
      </c>
      <c r="P5674" s="33" t="s">
        <v>30089</v>
      </c>
      <c r="Q5674" s="40" t="str">
        <f>HYPERLINK("http://www.wsaz.com/home/headlines/Officers-Shoot-and-Kill-Suspect-During-Drug-Raid-in-Lawrence-County-Ohiog---281476761.html","http://www.wsaz.com/home/headlines/Officers-Shoot-and-Kill-Suspect-During-Drug-Raid-in-Lawrence-County-Ohiog---281476761.html")</f>
        <v>http://www.wsaz.com/home/headlines/Officers-Shoot-and-Kill-Suspect-During-Drug-Raid-in-Lawrence-County-Ohiog---281476761.html</v>
      </c>
      <c r="R5674" s="33" t="s">
        <v>23</v>
      </c>
      <c r="S5674" s="33" t="s">
        <v>22</v>
      </c>
      <c r="T5674" s="1" t="s">
        <v>26576</v>
      </c>
      <c r="Z5674" s="33" t="s">
        <v>42967</v>
      </c>
      <c r="AA5674" s="33">
        <v>1991</v>
      </c>
    </row>
    <row r="5675" spans="1:31" ht="12" customHeight="1" x14ac:dyDescent="0.15">
      <c r="A5675" s="33" t="s">
        <v>5763</v>
      </c>
      <c r="B5675" s="33">
        <v>28</v>
      </c>
      <c r="C5675" s="33" t="s">
        <v>14</v>
      </c>
      <c r="D5675" s="33" t="s">
        <v>31</v>
      </c>
      <c r="E5675" s="33" t="s">
        <v>5764</v>
      </c>
      <c r="F5675" s="67">
        <v>41946</v>
      </c>
      <c r="G5675" s="33" t="s">
        <v>5765</v>
      </c>
      <c r="H5675" s="33" t="s">
        <v>5766</v>
      </c>
      <c r="I5675" s="33" t="s">
        <v>88</v>
      </c>
      <c r="J5675" s="33" t="s">
        <v>5767</v>
      </c>
      <c r="K5675" s="33" t="s">
        <v>5768</v>
      </c>
      <c r="L5675" s="33" t="s">
        <v>5769</v>
      </c>
      <c r="M5675" s="33" t="s">
        <v>21</v>
      </c>
      <c r="N5675" s="33" t="s">
        <v>5770</v>
      </c>
      <c r="O5675" s="33" t="s">
        <v>507</v>
      </c>
      <c r="P5675" s="33" t="s">
        <v>30089</v>
      </c>
      <c r="Q5675" s="40" t="s">
        <v>5771</v>
      </c>
      <c r="R5675" s="33" t="s">
        <v>904</v>
      </c>
      <c r="S5675" s="33" t="s">
        <v>29</v>
      </c>
      <c r="T5675" s="33" t="s">
        <v>41840</v>
      </c>
      <c r="Z5675" s="33" t="s">
        <v>42967</v>
      </c>
      <c r="AA5675" s="33">
        <v>1989</v>
      </c>
      <c r="AE5675" s="33"/>
    </row>
    <row r="5676" spans="1:31" ht="12" customHeight="1" x14ac:dyDescent="0.15">
      <c r="A5676" s="33" t="s">
        <v>711</v>
      </c>
      <c r="B5676" s="33">
        <v>27</v>
      </c>
      <c r="C5676" s="33" t="s">
        <v>14</v>
      </c>
      <c r="D5676" s="33" t="s">
        <v>79</v>
      </c>
      <c r="E5676" s="33" t="s">
        <v>5751</v>
      </c>
      <c r="F5676" s="67">
        <v>41946</v>
      </c>
      <c r="G5676" s="33" t="s">
        <v>5752</v>
      </c>
      <c r="H5676" s="33" t="s">
        <v>5753</v>
      </c>
      <c r="I5676" s="33" t="s">
        <v>38</v>
      </c>
      <c r="J5676" s="33" t="s">
        <v>5754</v>
      </c>
      <c r="K5676" s="33" t="s">
        <v>1179</v>
      </c>
      <c r="L5676" s="33" t="s">
        <v>5755</v>
      </c>
      <c r="M5676" s="33" t="s">
        <v>21</v>
      </c>
      <c r="N5676" s="33" t="s">
        <v>5756</v>
      </c>
      <c r="O5676" s="33" t="s">
        <v>507</v>
      </c>
      <c r="P5676" s="33" t="s">
        <v>30089</v>
      </c>
      <c r="Q5676" s="40" t="s">
        <v>5757</v>
      </c>
      <c r="R5676" s="33" t="s">
        <v>94</v>
      </c>
      <c r="S5676" s="33" t="s">
        <v>22</v>
      </c>
      <c r="T5676" s="1" t="s">
        <v>26781</v>
      </c>
      <c r="Z5676" s="33" t="s">
        <v>42968</v>
      </c>
      <c r="AA5676" s="33">
        <v>1987</v>
      </c>
    </row>
    <row r="5677" spans="1:31" ht="12" customHeight="1" x14ac:dyDescent="0.15">
      <c r="A5677" s="33" t="s">
        <v>5744</v>
      </c>
      <c r="B5677" s="33">
        <v>29</v>
      </c>
      <c r="C5677" s="33" t="s">
        <v>14</v>
      </c>
      <c r="D5677" s="33" t="s">
        <v>79</v>
      </c>
      <c r="E5677" s="33" t="s">
        <v>5745</v>
      </c>
      <c r="F5677" s="67">
        <v>41946</v>
      </c>
      <c r="G5677" s="33" t="s">
        <v>5746</v>
      </c>
      <c r="H5677" s="33" t="s">
        <v>187</v>
      </c>
      <c r="I5677" s="33" t="s">
        <v>63</v>
      </c>
      <c r="J5677" s="33" t="s">
        <v>5747</v>
      </c>
      <c r="K5677" s="33" t="s">
        <v>3180</v>
      </c>
      <c r="L5677" s="33" t="s">
        <v>5748</v>
      </c>
      <c r="M5677" s="33" t="s">
        <v>21</v>
      </c>
      <c r="N5677" s="33" t="s">
        <v>5749</v>
      </c>
      <c r="O5677" s="33" t="s">
        <v>372</v>
      </c>
      <c r="P5677" s="33" t="s">
        <v>30089</v>
      </c>
      <c r="Q5677" s="40" t="s">
        <v>5750</v>
      </c>
      <c r="R5677" s="33" t="s">
        <v>94</v>
      </c>
      <c r="S5677" s="33" t="s">
        <v>12</v>
      </c>
      <c r="T5677" s="33" t="s">
        <v>29705</v>
      </c>
      <c r="Z5677" s="33" t="s">
        <v>42966</v>
      </c>
      <c r="AA5677" s="33">
        <v>1988</v>
      </c>
      <c r="AE5677" s="33"/>
    </row>
    <row r="5678" spans="1:31" ht="12" customHeight="1" x14ac:dyDescent="0.15">
      <c r="A5678" s="33" t="s">
        <v>3002</v>
      </c>
      <c r="B5678" s="33" t="s">
        <v>23</v>
      </c>
      <c r="C5678" s="33" t="s">
        <v>23</v>
      </c>
      <c r="D5678" s="33" t="s">
        <v>24</v>
      </c>
      <c r="F5678" s="67">
        <v>41946</v>
      </c>
      <c r="G5678" s="33" t="s">
        <v>5758</v>
      </c>
      <c r="H5678" s="33" t="s">
        <v>5759</v>
      </c>
      <c r="I5678" s="33" t="s">
        <v>56</v>
      </c>
      <c r="J5678" s="33">
        <v>33169</v>
      </c>
      <c r="K5678" s="33" t="s">
        <v>148</v>
      </c>
      <c r="L5678" s="33" t="s">
        <v>149</v>
      </c>
      <c r="M5678" s="33" t="s">
        <v>21</v>
      </c>
      <c r="N5678" s="33" t="s">
        <v>5760</v>
      </c>
      <c r="P5678" s="33" t="s">
        <v>30089</v>
      </c>
      <c r="Q5678" s="40" t="s">
        <v>5761</v>
      </c>
      <c r="R5678" s="33" t="s">
        <v>23</v>
      </c>
      <c r="S5678" s="33" t="s">
        <v>29</v>
      </c>
      <c r="T5678" s="1" t="s">
        <v>41840</v>
      </c>
      <c r="Z5678" s="33" t="s">
        <v>42968</v>
      </c>
      <c r="AA5678" s="33">
        <v>1990</v>
      </c>
    </row>
    <row r="5679" spans="1:31" ht="12" customHeight="1" x14ac:dyDescent="0.15">
      <c r="A5679" s="33" t="s">
        <v>5780</v>
      </c>
      <c r="B5679" s="33">
        <v>20</v>
      </c>
      <c r="C5679" s="33" t="s">
        <v>14</v>
      </c>
      <c r="D5679" s="33" t="s">
        <v>42</v>
      </c>
      <c r="F5679" s="67">
        <v>41945</v>
      </c>
      <c r="G5679" s="33" t="s">
        <v>5781</v>
      </c>
      <c r="H5679" s="33" t="s">
        <v>5782</v>
      </c>
      <c r="I5679" s="33" t="s">
        <v>39</v>
      </c>
      <c r="J5679" s="33" t="s">
        <v>5783</v>
      </c>
      <c r="K5679" s="33" t="s">
        <v>728</v>
      </c>
      <c r="L5679" s="33" t="s">
        <v>5784</v>
      </c>
      <c r="M5679" s="33" t="s">
        <v>21</v>
      </c>
      <c r="N5679" s="33" t="s">
        <v>5785</v>
      </c>
      <c r="O5679" s="33" t="s">
        <v>372</v>
      </c>
      <c r="P5679" s="33" t="s">
        <v>30089</v>
      </c>
      <c r="Q5679" s="40" t="s">
        <v>5786</v>
      </c>
      <c r="R5679" s="33" t="s">
        <v>23</v>
      </c>
      <c r="S5679" s="33" t="s">
        <v>22</v>
      </c>
      <c r="T5679" s="1" t="s">
        <v>26781</v>
      </c>
      <c r="Z5679" s="33" t="s">
        <v>42968</v>
      </c>
      <c r="AA5679" s="33">
        <v>1984</v>
      </c>
    </row>
    <row r="5680" spans="1:31" ht="12" customHeight="1" x14ac:dyDescent="0.15">
      <c r="A5680" s="33" t="s">
        <v>5787</v>
      </c>
      <c r="B5680" s="33">
        <v>28</v>
      </c>
      <c r="C5680" s="33" t="s">
        <v>14</v>
      </c>
      <c r="D5680" s="33" t="s">
        <v>31</v>
      </c>
      <c r="F5680" s="67">
        <v>41945</v>
      </c>
      <c r="G5680" s="33" t="s">
        <v>5788</v>
      </c>
      <c r="H5680" s="33" t="s">
        <v>5789</v>
      </c>
      <c r="I5680" s="33" t="s">
        <v>402</v>
      </c>
      <c r="J5680" s="33">
        <v>64744</v>
      </c>
      <c r="K5680" s="33" t="s">
        <v>5790</v>
      </c>
      <c r="L5680" s="33" t="s">
        <v>5791</v>
      </c>
      <c r="M5680" s="33" t="s">
        <v>21</v>
      </c>
      <c r="N5680" s="33" t="s">
        <v>5792</v>
      </c>
      <c r="P5680" s="33" t="s">
        <v>30089</v>
      </c>
      <c r="Q5680" s="40" t="str">
        <f>HYPERLINK("http://www.kshb.com/news/crime/deputy-fatally-shot-in-cedar-county","http://www.kshb.com/news/crime/deputy-fatally-shot-in-cedar-county")</f>
        <v>http://www.kshb.com/news/crime/deputy-fatally-shot-in-cedar-county</v>
      </c>
      <c r="R5680" s="33" t="s">
        <v>23</v>
      </c>
      <c r="S5680" s="33" t="s">
        <v>22</v>
      </c>
      <c r="T5680" s="1" t="s">
        <v>26781</v>
      </c>
      <c r="Z5680" s="33" t="s">
        <v>42967</v>
      </c>
      <c r="AA5680" s="33">
        <v>1985</v>
      </c>
    </row>
    <row r="5681" spans="1:27" ht="12" customHeight="1" x14ac:dyDescent="0.15">
      <c r="A5681" s="33" t="s">
        <v>5772</v>
      </c>
      <c r="B5681" s="33">
        <v>68</v>
      </c>
      <c r="C5681" s="33" t="s">
        <v>14</v>
      </c>
      <c r="D5681" s="33" t="s">
        <v>79</v>
      </c>
      <c r="E5681" s="33" t="s">
        <v>5773</v>
      </c>
      <c r="F5681" s="67">
        <v>41945</v>
      </c>
      <c r="G5681" s="33" t="s">
        <v>5774</v>
      </c>
      <c r="H5681" s="33" t="s">
        <v>5775</v>
      </c>
      <c r="I5681" s="33" t="s">
        <v>122</v>
      </c>
      <c r="J5681" s="33" t="s">
        <v>5776</v>
      </c>
      <c r="K5681" s="33" t="s">
        <v>3291</v>
      </c>
      <c r="L5681" s="33" t="s">
        <v>5777</v>
      </c>
      <c r="M5681" s="33" t="s">
        <v>363</v>
      </c>
      <c r="N5681" s="33" t="s">
        <v>5778</v>
      </c>
      <c r="O5681" s="33" t="s">
        <v>372</v>
      </c>
      <c r="P5681" s="33" t="s">
        <v>30089</v>
      </c>
      <c r="Q5681" s="40" t="s">
        <v>5779</v>
      </c>
      <c r="R5681" s="33" t="s">
        <v>512</v>
      </c>
      <c r="S5681" s="33" t="s">
        <v>22</v>
      </c>
      <c r="T5681" s="1" t="s">
        <v>43018</v>
      </c>
      <c r="Z5681" s="33" t="s">
        <v>42968</v>
      </c>
      <c r="AA5681" s="33">
        <v>1986</v>
      </c>
    </row>
    <row r="5682" spans="1:27" ht="12" customHeight="1" x14ac:dyDescent="0.15">
      <c r="A5682" s="33" t="s">
        <v>5811</v>
      </c>
      <c r="B5682" s="33">
        <v>62</v>
      </c>
      <c r="C5682" s="33" t="s">
        <v>14</v>
      </c>
      <c r="D5682" s="33" t="s">
        <v>31</v>
      </c>
      <c r="F5682" s="67">
        <v>41944</v>
      </c>
      <c r="G5682" s="33" t="s">
        <v>5812</v>
      </c>
      <c r="H5682" s="33" t="s">
        <v>451</v>
      </c>
      <c r="I5682" s="33" t="s">
        <v>39</v>
      </c>
      <c r="J5682" s="33" t="s">
        <v>5813</v>
      </c>
      <c r="K5682" s="33" t="s">
        <v>92</v>
      </c>
      <c r="L5682" s="33" t="s">
        <v>452</v>
      </c>
      <c r="M5682" s="33" t="s">
        <v>21</v>
      </c>
      <c r="N5682" s="33" t="s">
        <v>5814</v>
      </c>
      <c r="O5682" s="33" t="s">
        <v>372</v>
      </c>
      <c r="P5682" s="33" t="s">
        <v>30089</v>
      </c>
      <c r="Q5682" s="40" t="s">
        <v>5815</v>
      </c>
      <c r="R5682" s="33" t="s">
        <v>512</v>
      </c>
      <c r="S5682" s="33" t="s">
        <v>22</v>
      </c>
      <c r="T5682" s="1" t="s">
        <v>43017</v>
      </c>
      <c r="Z5682" s="33" t="s">
        <v>42966</v>
      </c>
      <c r="AA5682" s="33">
        <v>1981</v>
      </c>
    </row>
    <row r="5683" spans="1:27" ht="12" customHeight="1" x14ac:dyDescent="0.15">
      <c r="A5683" s="33" t="s">
        <v>5804</v>
      </c>
      <c r="B5683" s="33">
        <v>43</v>
      </c>
      <c r="C5683" s="33" t="s">
        <v>14</v>
      </c>
      <c r="D5683" s="33" t="s">
        <v>31</v>
      </c>
      <c r="E5683" s="33" t="s">
        <v>5805</v>
      </c>
      <c r="F5683" s="67">
        <v>41944</v>
      </c>
      <c r="G5683" s="33" t="s">
        <v>5806</v>
      </c>
      <c r="H5683" s="33" t="s">
        <v>2411</v>
      </c>
      <c r="I5683" s="33" t="s">
        <v>39</v>
      </c>
      <c r="J5683" s="33" t="s">
        <v>5807</v>
      </c>
      <c r="K5683" s="33" t="s">
        <v>998</v>
      </c>
      <c r="L5683" s="33" t="s">
        <v>5808</v>
      </c>
      <c r="M5683" s="33" t="s">
        <v>21</v>
      </c>
      <c r="N5683" s="33" t="s">
        <v>5809</v>
      </c>
      <c r="O5683" s="33" t="s">
        <v>372</v>
      </c>
      <c r="P5683" s="33" t="s">
        <v>30089</v>
      </c>
      <c r="Q5683" s="40" t="s">
        <v>5810</v>
      </c>
      <c r="R5683" s="33" t="s">
        <v>94</v>
      </c>
      <c r="S5683" s="33" t="s">
        <v>22</v>
      </c>
      <c r="T5683" s="1" t="s">
        <v>26774</v>
      </c>
      <c r="Z5683" s="33" t="s">
        <v>42968</v>
      </c>
      <c r="AA5683" s="33">
        <v>1980</v>
      </c>
    </row>
    <row r="5684" spans="1:27" ht="12" customHeight="1" x14ac:dyDescent="0.15">
      <c r="A5684" s="33" t="s">
        <v>5793</v>
      </c>
      <c r="B5684" s="33">
        <v>22</v>
      </c>
      <c r="C5684" s="33" t="s">
        <v>14</v>
      </c>
      <c r="D5684" s="33" t="s">
        <v>79</v>
      </c>
      <c r="F5684" s="67">
        <v>41944</v>
      </c>
      <c r="G5684" s="33" t="s">
        <v>5794</v>
      </c>
      <c r="H5684" s="33" t="s">
        <v>607</v>
      </c>
      <c r="I5684" s="33" t="s">
        <v>250</v>
      </c>
      <c r="J5684" s="33" t="s">
        <v>5795</v>
      </c>
      <c r="K5684" s="33" t="s">
        <v>527</v>
      </c>
      <c r="L5684" s="33" t="s">
        <v>5796</v>
      </c>
      <c r="M5684" s="33" t="s">
        <v>21</v>
      </c>
      <c r="N5684" s="33" t="s">
        <v>5797</v>
      </c>
      <c r="O5684" s="33" t="s">
        <v>372</v>
      </c>
      <c r="P5684" s="33" t="s">
        <v>30089</v>
      </c>
      <c r="Q5684" s="40" t="s">
        <v>5798</v>
      </c>
      <c r="R5684" s="33" t="s">
        <v>23</v>
      </c>
      <c r="S5684" s="33" t="s">
        <v>12</v>
      </c>
      <c r="T5684" s="33" t="s">
        <v>29425</v>
      </c>
      <c r="Z5684" s="33" t="s">
        <v>42966</v>
      </c>
      <c r="AA5684" s="33">
        <v>1982</v>
      </c>
    </row>
    <row r="5685" spans="1:27" ht="12" customHeight="1" x14ac:dyDescent="0.15">
      <c r="A5685" s="33" t="s">
        <v>5799</v>
      </c>
      <c r="B5685" s="33">
        <v>49</v>
      </c>
      <c r="C5685" s="33" t="s">
        <v>14</v>
      </c>
      <c r="D5685" s="33" t="s">
        <v>42</v>
      </c>
      <c r="E5685" s="33" t="s">
        <v>5800</v>
      </c>
      <c r="F5685" s="67">
        <v>41944</v>
      </c>
      <c r="G5685" s="33" t="s">
        <v>5801</v>
      </c>
      <c r="H5685" s="33" t="s">
        <v>518</v>
      </c>
      <c r="I5685" s="33" t="s">
        <v>112</v>
      </c>
      <c r="J5685" s="33" t="s">
        <v>5802</v>
      </c>
      <c r="K5685" s="33" t="s">
        <v>519</v>
      </c>
      <c r="L5685" s="33" t="s">
        <v>520</v>
      </c>
      <c r="M5685" s="33" t="s">
        <v>21</v>
      </c>
      <c r="N5685" s="33" t="s">
        <v>5803</v>
      </c>
      <c r="O5685" s="33" t="s">
        <v>372</v>
      </c>
      <c r="P5685" s="33" t="s">
        <v>30089</v>
      </c>
      <c r="Q5685" s="40" t="str">
        <f>HYPERLINK("http://www.tucsonnewsnow.com/story/27187359/bicyclist-fatally-struck-by-police-officer-in-unmarked-vehicle","http://www.tucsonnewsnow.com/story/27187359/bicyclist-fatally-struck-by-police-officer-in-unmarked-vehicle")</f>
        <v>http://www.tucsonnewsnow.com/story/27187359/bicyclist-fatally-struck-by-police-officer-in-unmarked-vehicle</v>
      </c>
      <c r="R5685" s="33" t="s">
        <v>94</v>
      </c>
      <c r="S5685" s="33" t="s">
        <v>12</v>
      </c>
      <c r="T5685" s="1" t="s">
        <v>29705</v>
      </c>
      <c r="Z5685" s="33" t="s">
        <v>42968</v>
      </c>
      <c r="AA5685" s="33">
        <v>1983</v>
      </c>
    </row>
    <row r="5686" spans="1:27" ht="12" customHeight="1" x14ac:dyDescent="0.15">
      <c r="A5686" s="33" t="s">
        <v>5816</v>
      </c>
      <c r="B5686" s="33">
        <v>35</v>
      </c>
      <c r="C5686" s="33" t="s">
        <v>14</v>
      </c>
      <c r="D5686" s="33" t="s">
        <v>42</v>
      </c>
      <c r="F5686" s="67">
        <v>41943</v>
      </c>
      <c r="G5686" s="33" t="s">
        <v>5817</v>
      </c>
      <c r="H5686" s="33" t="s">
        <v>5818</v>
      </c>
      <c r="I5686" s="33" t="s">
        <v>39</v>
      </c>
      <c r="J5686" s="33" t="s">
        <v>5819</v>
      </c>
      <c r="K5686" s="33" t="s">
        <v>59</v>
      </c>
      <c r="L5686" s="33" t="s">
        <v>5820</v>
      </c>
      <c r="M5686" s="33" t="s">
        <v>363</v>
      </c>
      <c r="N5686" s="33" t="s">
        <v>5821</v>
      </c>
      <c r="O5686" s="33" t="s">
        <v>372</v>
      </c>
      <c r="P5686" s="33" t="s">
        <v>30089</v>
      </c>
      <c r="Q5686" s="40" t="s">
        <v>5822</v>
      </c>
      <c r="R5686" s="33" t="s">
        <v>94</v>
      </c>
      <c r="S5686" s="33" t="s">
        <v>22</v>
      </c>
      <c r="T5686" s="1" t="s">
        <v>42996</v>
      </c>
      <c r="Z5686" s="33" t="s">
        <v>42968</v>
      </c>
      <c r="AA5686" s="33">
        <v>1979</v>
      </c>
    </row>
    <row r="5687" spans="1:27" ht="12" customHeight="1" x14ac:dyDescent="0.15">
      <c r="A5687" s="33" t="s">
        <v>5823</v>
      </c>
      <c r="B5687" s="33">
        <v>54</v>
      </c>
      <c r="C5687" s="33" t="s">
        <v>14</v>
      </c>
      <c r="D5687" s="33" t="s">
        <v>31</v>
      </c>
      <c r="E5687" s="33" t="s">
        <v>5824</v>
      </c>
      <c r="F5687" s="67">
        <v>41942</v>
      </c>
      <c r="G5687" s="33" t="s">
        <v>5825</v>
      </c>
      <c r="H5687" s="33" t="s">
        <v>1027</v>
      </c>
      <c r="I5687" s="33" t="s">
        <v>367</v>
      </c>
      <c r="J5687" s="33" t="s">
        <v>3608</v>
      </c>
      <c r="K5687" s="33" t="s">
        <v>1028</v>
      </c>
      <c r="L5687" s="33" t="s">
        <v>1029</v>
      </c>
      <c r="M5687" s="33" t="s">
        <v>21</v>
      </c>
      <c r="N5687" s="33" t="s">
        <v>5826</v>
      </c>
      <c r="O5687" s="33" t="s">
        <v>372</v>
      </c>
      <c r="P5687" s="33" t="s">
        <v>30089</v>
      </c>
      <c r="Q5687" s="40" t="s">
        <v>5827</v>
      </c>
      <c r="R5687" s="33" t="s">
        <v>94</v>
      </c>
      <c r="S5687" s="33" t="s">
        <v>22</v>
      </c>
      <c r="T5687" s="1" t="s">
        <v>26781</v>
      </c>
      <c r="Z5687" s="33" t="s">
        <v>42966</v>
      </c>
      <c r="AA5687" s="33">
        <v>1978</v>
      </c>
    </row>
    <row r="5688" spans="1:27" ht="12" customHeight="1" x14ac:dyDescent="0.15">
      <c r="A5688" s="33" t="s">
        <v>5828</v>
      </c>
      <c r="B5688" s="33">
        <v>26</v>
      </c>
      <c r="C5688" s="33" t="s">
        <v>14</v>
      </c>
      <c r="D5688" s="33" t="s">
        <v>31</v>
      </c>
      <c r="E5688" s="33" t="s">
        <v>5829</v>
      </c>
      <c r="F5688" s="67">
        <v>41941</v>
      </c>
      <c r="G5688" s="33" t="s">
        <v>5830</v>
      </c>
      <c r="H5688" s="33" t="s">
        <v>5831</v>
      </c>
      <c r="I5688" s="33" t="s">
        <v>19</v>
      </c>
      <c r="J5688" s="33" t="s">
        <v>5832</v>
      </c>
      <c r="K5688" s="33" t="s">
        <v>5831</v>
      </c>
      <c r="L5688" s="33" t="s">
        <v>5833</v>
      </c>
      <c r="M5688" s="33" t="s">
        <v>21</v>
      </c>
      <c r="N5688" s="33" t="s">
        <v>5834</v>
      </c>
      <c r="O5688" s="33" t="s">
        <v>950</v>
      </c>
      <c r="P5688" s="33" t="s">
        <v>30089</v>
      </c>
      <c r="Q5688" s="40" t="s">
        <v>5835</v>
      </c>
      <c r="R5688" s="33" t="s">
        <v>512</v>
      </c>
      <c r="S5688" s="33" t="s">
        <v>29</v>
      </c>
      <c r="T5688" s="1" t="s">
        <v>41840</v>
      </c>
      <c r="Z5688" s="33" t="s">
        <v>42968</v>
      </c>
      <c r="AA5688" s="33">
        <v>1977</v>
      </c>
    </row>
    <row r="5689" spans="1:27" ht="12" customHeight="1" x14ac:dyDescent="0.15">
      <c r="A5689" s="33" t="s">
        <v>5871</v>
      </c>
      <c r="B5689" s="33">
        <v>29</v>
      </c>
      <c r="C5689" s="33" t="s">
        <v>14</v>
      </c>
      <c r="D5689" s="33" t="s">
        <v>31</v>
      </c>
      <c r="E5689" s="33" t="s">
        <v>5872</v>
      </c>
      <c r="F5689" s="67">
        <v>41940</v>
      </c>
      <c r="G5689" s="33" t="s">
        <v>5873</v>
      </c>
      <c r="H5689" s="33" t="s">
        <v>911</v>
      </c>
      <c r="I5689" s="33" t="s">
        <v>178</v>
      </c>
      <c r="J5689" s="33" t="s">
        <v>5874</v>
      </c>
      <c r="K5689" s="33" t="s">
        <v>5875</v>
      </c>
      <c r="L5689" s="33" t="s">
        <v>5876</v>
      </c>
      <c r="M5689" s="33" t="s">
        <v>21</v>
      </c>
      <c r="N5689" s="33" t="s">
        <v>36800</v>
      </c>
      <c r="O5689" s="33" t="s">
        <v>26740</v>
      </c>
      <c r="P5689" s="33" t="s">
        <v>26746</v>
      </c>
      <c r="Q5689" s="40" t="s">
        <v>5877</v>
      </c>
      <c r="R5689" s="33" t="s">
        <v>94</v>
      </c>
      <c r="S5689" s="33" t="s">
        <v>22</v>
      </c>
      <c r="T5689" s="1" t="s">
        <v>26781</v>
      </c>
      <c r="Y5689" s="33" t="s">
        <v>42476</v>
      </c>
      <c r="Z5689" s="33" t="s">
        <v>42968</v>
      </c>
      <c r="AA5689" s="33">
        <v>1972</v>
      </c>
    </row>
    <row r="5690" spans="1:27" ht="12" customHeight="1" x14ac:dyDescent="0.15">
      <c r="A5690" s="33" t="s">
        <v>5846</v>
      </c>
      <c r="B5690" s="33">
        <v>22</v>
      </c>
      <c r="C5690" s="33" t="s">
        <v>14</v>
      </c>
      <c r="D5690" s="33" t="s">
        <v>42</v>
      </c>
      <c r="E5690" s="33" t="s">
        <v>5847</v>
      </c>
      <c r="F5690" s="67">
        <v>41940</v>
      </c>
      <c r="G5690" s="33" t="s">
        <v>5848</v>
      </c>
      <c r="H5690" s="33" t="s">
        <v>584</v>
      </c>
      <c r="I5690" s="33" t="s">
        <v>112</v>
      </c>
      <c r="J5690" s="33" t="s">
        <v>5849</v>
      </c>
      <c r="K5690" s="33" t="s">
        <v>585</v>
      </c>
      <c r="L5690" s="33" t="s">
        <v>1765</v>
      </c>
      <c r="M5690" s="33" t="s">
        <v>21</v>
      </c>
      <c r="N5690" s="33" t="s">
        <v>5850</v>
      </c>
      <c r="O5690" s="33" t="s">
        <v>372</v>
      </c>
      <c r="P5690" s="33" t="s">
        <v>30089</v>
      </c>
      <c r="Q5690" s="40" t="s">
        <v>5851</v>
      </c>
      <c r="R5690" s="33" t="s">
        <v>94</v>
      </c>
      <c r="S5690" s="33" t="s">
        <v>29</v>
      </c>
      <c r="T5690" s="33" t="s">
        <v>41840</v>
      </c>
      <c r="Z5690" s="33" t="s">
        <v>42968</v>
      </c>
      <c r="AA5690" s="33">
        <v>1976</v>
      </c>
    </row>
    <row r="5691" spans="1:27" ht="12" customHeight="1" x14ac:dyDescent="0.15">
      <c r="A5691" s="33" t="s">
        <v>5852</v>
      </c>
      <c r="B5691" s="33">
        <v>49</v>
      </c>
      <c r="C5691" s="33" t="s">
        <v>14</v>
      </c>
      <c r="D5691" s="33" t="s">
        <v>24</v>
      </c>
      <c r="F5691" s="67">
        <v>41940</v>
      </c>
      <c r="G5691" s="33" t="s">
        <v>5853</v>
      </c>
      <c r="H5691" s="33" t="s">
        <v>5854</v>
      </c>
      <c r="I5691" s="33" t="s">
        <v>39</v>
      </c>
      <c r="J5691" s="33" t="s">
        <v>5855</v>
      </c>
      <c r="K5691" s="33" t="s">
        <v>3145</v>
      </c>
      <c r="L5691" s="33" t="s">
        <v>5856</v>
      </c>
      <c r="M5691" s="33" t="s">
        <v>21</v>
      </c>
      <c r="N5691" s="33" t="s">
        <v>5857</v>
      </c>
      <c r="O5691" s="33" t="s">
        <v>372</v>
      </c>
      <c r="P5691" s="33" t="s">
        <v>30089</v>
      </c>
      <c r="Q5691" s="40" t="s">
        <v>5858</v>
      </c>
      <c r="R5691" s="33" t="s">
        <v>904</v>
      </c>
      <c r="S5691" s="33" t="s">
        <v>22</v>
      </c>
      <c r="T5691" s="1" t="s">
        <v>26781</v>
      </c>
      <c r="Z5691" s="33" t="s">
        <v>42968</v>
      </c>
      <c r="AA5691" s="33">
        <v>1973</v>
      </c>
    </row>
    <row r="5692" spans="1:27" ht="12" customHeight="1" x14ac:dyDescent="0.15">
      <c r="A5692" s="33" t="s">
        <v>5837</v>
      </c>
      <c r="B5692" s="33">
        <v>24</v>
      </c>
      <c r="C5692" s="33" t="s">
        <v>14</v>
      </c>
      <c r="D5692" s="33" t="s">
        <v>79</v>
      </c>
      <c r="E5692" s="33" t="s">
        <v>5838</v>
      </c>
      <c r="F5692" s="67">
        <v>41940</v>
      </c>
      <c r="G5692" s="33" t="s">
        <v>5839</v>
      </c>
      <c r="H5692" s="33" t="s">
        <v>5840</v>
      </c>
      <c r="I5692" s="33" t="s">
        <v>56</v>
      </c>
      <c r="J5692" s="33" t="s">
        <v>5841</v>
      </c>
      <c r="K5692" s="33" t="s">
        <v>5842</v>
      </c>
      <c r="L5692" s="33" t="s">
        <v>5843</v>
      </c>
      <c r="M5692" s="33" t="s">
        <v>21</v>
      </c>
      <c r="N5692" s="33" t="s">
        <v>5844</v>
      </c>
      <c r="O5692" s="33" t="s">
        <v>507</v>
      </c>
      <c r="P5692" s="33" t="s">
        <v>30089</v>
      </c>
      <c r="Q5692" s="40" t="s">
        <v>5845</v>
      </c>
      <c r="R5692" s="33" t="s">
        <v>512</v>
      </c>
      <c r="S5692" s="33" t="s">
        <v>12</v>
      </c>
      <c r="T5692" s="54" t="s">
        <v>29705</v>
      </c>
      <c r="Z5692" s="33" t="s">
        <v>42968</v>
      </c>
      <c r="AA5692" s="33">
        <v>1975</v>
      </c>
    </row>
    <row r="5693" spans="1:27" ht="12" customHeight="1" x14ac:dyDescent="0.15">
      <c r="A5693" s="33" t="s">
        <v>5859</v>
      </c>
      <c r="B5693" s="33">
        <v>37</v>
      </c>
      <c r="C5693" s="33" t="s">
        <v>14</v>
      </c>
      <c r="D5693" s="33" t="s">
        <v>31</v>
      </c>
      <c r="E5693" s="33" t="s">
        <v>5860</v>
      </c>
      <c r="F5693" s="67">
        <v>41940</v>
      </c>
      <c r="G5693" s="33" t="s">
        <v>5861</v>
      </c>
      <c r="H5693" s="33" t="s">
        <v>4849</v>
      </c>
      <c r="I5693" s="33" t="s">
        <v>225</v>
      </c>
      <c r="J5693" s="33" t="s">
        <v>5862</v>
      </c>
      <c r="K5693" s="33" t="s">
        <v>4849</v>
      </c>
      <c r="L5693" s="33" t="s">
        <v>5863</v>
      </c>
      <c r="M5693" s="33" t="s">
        <v>21</v>
      </c>
      <c r="N5693" s="33" t="s">
        <v>5864</v>
      </c>
      <c r="O5693" s="33" t="s">
        <v>507</v>
      </c>
      <c r="P5693" s="33" t="s">
        <v>30089</v>
      </c>
      <c r="Q5693" s="40" t="str">
        <f>HYPERLINK("http://www.wdbj7.com/news/local/lynchburg-bedford/deputy-involved-in-bedford-county-shooting/29390802","http://www.wdbj7.com/news/local/lynchburg-bedford/deputy-involved-in-bedford-county-shooting/29390802")</f>
        <v>http://www.wdbj7.com/news/local/lynchburg-bedford/deputy-involved-in-bedford-county-shooting/29390802</v>
      </c>
      <c r="R5693" s="33" t="s">
        <v>94</v>
      </c>
      <c r="S5693" s="33" t="s">
        <v>22</v>
      </c>
      <c r="T5693" s="1" t="s">
        <v>42992</v>
      </c>
      <c r="Z5693" s="33" t="s">
        <v>42967</v>
      </c>
      <c r="AA5693" s="33">
        <v>1971</v>
      </c>
    </row>
    <row r="5694" spans="1:27" ht="12" customHeight="1" x14ac:dyDescent="0.15">
      <c r="A5694" s="33" t="s">
        <v>5865</v>
      </c>
      <c r="B5694" s="33">
        <v>38</v>
      </c>
      <c r="C5694" s="33" t="s">
        <v>14</v>
      </c>
      <c r="D5694" s="33" t="s">
        <v>31</v>
      </c>
      <c r="E5694" s="33" t="s">
        <v>5866</v>
      </c>
      <c r="F5694" s="67">
        <v>41940</v>
      </c>
      <c r="G5694" s="33" t="s">
        <v>5867</v>
      </c>
      <c r="H5694" s="33" t="s">
        <v>834</v>
      </c>
      <c r="I5694" s="33" t="s">
        <v>294</v>
      </c>
      <c r="J5694" s="33" t="s">
        <v>5868</v>
      </c>
      <c r="K5694" s="33" t="s">
        <v>1659</v>
      </c>
      <c r="L5694" s="33" t="s">
        <v>835</v>
      </c>
      <c r="M5694" s="33" t="s">
        <v>21</v>
      </c>
      <c r="N5694" s="33" t="s">
        <v>5869</v>
      </c>
      <c r="O5694" s="33" t="s">
        <v>950</v>
      </c>
      <c r="P5694" s="33" t="s">
        <v>30089</v>
      </c>
      <c r="Q5694" s="40" t="s">
        <v>5870</v>
      </c>
      <c r="R5694" s="33" t="s">
        <v>94</v>
      </c>
      <c r="S5694" s="33" t="s">
        <v>22</v>
      </c>
      <c r="T5694" s="1" t="s">
        <v>26781</v>
      </c>
      <c r="Z5694" s="33" t="s">
        <v>42968</v>
      </c>
      <c r="AA5694" s="33">
        <v>1974</v>
      </c>
    </row>
    <row r="5695" spans="1:27" ht="12" customHeight="1" x14ac:dyDescent="0.15">
      <c r="A5695" s="33" t="s">
        <v>5880</v>
      </c>
      <c r="B5695" s="33">
        <v>28</v>
      </c>
      <c r="C5695" s="33" t="s">
        <v>14</v>
      </c>
      <c r="D5695" s="33" t="s">
        <v>42</v>
      </c>
      <c r="F5695" s="67">
        <v>41939</v>
      </c>
      <c r="G5695" s="33" t="s">
        <v>5881</v>
      </c>
      <c r="H5695" s="33" t="s">
        <v>5882</v>
      </c>
      <c r="I5695" s="33" t="s">
        <v>39</v>
      </c>
      <c r="J5695" s="33">
        <v>90723</v>
      </c>
      <c r="K5695" s="33" t="s">
        <v>92</v>
      </c>
      <c r="L5695" s="33" t="s">
        <v>386</v>
      </c>
      <c r="M5695" s="33" t="s">
        <v>21</v>
      </c>
      <c r="N5695" s="33" t="s">
        <v>5883</v>
      </c>
      <c r="P5695" s="33" t="s">
        <v>30089</v>
      </c>
      <c r="Q5695" s="40" t="s">
        <v>5884</v>
      </c>
      <c r="R5695" s="33" t="s">
        <v>23</v>
      </c>
      <c r="S5695" s="33" t="s">
        <v>12</v>
      </c>
      <c r="T5695" s="54" t="s">
        <v>29705</v>
      </c>
      <c r="Z5695" s="33" t="s">
        <v>42966</v>
      </c>
      <c r="AA5695" s="33">
        <v>1967</v>
      </c>
    </row>
    <row r="5696" spans="1:27" ht="12" customHeight="1" x14ac:dyDescent="0.15">
      <c r="A5696" s="33" t="s">
        <v>5892</v>
      </c>
      <c r="B5696" s="33">
        <v>41</v>
      </c>
      <c r="C5696" s="33" t="s">
        <v>14</v>
      </c>
      <c r="D5696" s="33" t="s">
        <v>31</v>
      </c>
      <c r="F5696" s="67">
        <v>41939</v>
      </c>
      <c r="G5696" s="33" t="s">
        <v>5893</v>
      </c>
      <c r="H5696" s="33" t="s">
        <v>5894</v>
      </c>
      <c r="I5696" s="33" t="s">
        <v>338</v>
      </c>
      <c r="J5696" s="33" t="s">
        <v>5895</v>
      </c>
      <c r="K5696" s="33" t="s">
        <v>5896</v>
      </c>
      <c r="L5696" s="33" t="s">
        <v>5897</v>
      </c>
      <c r="M5696" s="33" t="s">
        <v>21</v>
      </c>
      <c r="N5696" s="33" t="s">
        <v>5898</v>
      </c>
      <c r="O5696" s="33" t="s">
        <v>372</v>
      </c>
      <c r="P5696" s="33" t="s">
        <v>30089</v>
      </c>
      <c r="Q5696" s="40" t="s">
        <v>5899</v>
      </c>
      <c r="R5696" s="33" t="s">
        <v>512</v>
      </c>
      <c r="S5696" s="33" t="s">
        <v>12</v>
      </c>
      <c r="T5696" s="54" t="s">
        <v>29705</v>
      </c>
      <c r="Z5696" s="33" t="s">
        <v>42967</v>
      </c>
      <c r="AA5696" s="33">
        <v>1968</v>
      </c>
    </row>
    <row r="5697" spans="1:31" ht="12" customHeight="1" x14ac:dyDescent="0.15">
      <c r="A5697" s="33" t="s">
        <v>5885</v>
      </c>
      <c r="B5697" s="33">
        <v>30</v>
      </c>
      <c r="C5697" s="33" t="s">
        <v>14</v>
      </c>
      <c r="D5697" s="33" t="s">
        <v>31</v>
      </c>
      <c r="F5697" s="67">
        <v>41939</v>
      </c>
      <c r="G5697" s="33" t="s">
        <v>5886</v>
      </c>
      <c r="H5697" s="33" t="s">
        <v>5887</v>
      </c>
      <c r="I5697" s="33" t="s">
        <v>56</v>
      </c>
      <c r="J5697" s="33" t="s">
        <v>5888</v>
      </c>
      <c r="K5697" s="33" t="s">
        <v>1052</v>
      </c>
      <c r="L5697" s="33" t="s">
        <v>5889</v>
      </c>
      <c r="M5697" s="33" t="s">
        <v>363</v>
      </c>
      <c r="N5697" s="33" t="s">
        <v>5890</v>
      </c>
      <c r="O5697" s="33" t="s">
        <v>372</v>
      </c>
      <c r="P5697" s="33" t="s">
        <v>30089</v>
      </c>
      <c r="Q5697" s="40" t="s">
        <v>5891</v>
      </c>
      <c r="R5697" s="33" t="s">
        <v>512</v>
      </c>
      <c r="S5697" s="33" t="s">
        <v>29</v>
      </c>
      <c r="T5697" s="33" t="s">
        <v>41840</v>
      </c>
      <c r="Z5697" s="33" t="s">
        <v>42966</v>
      </c>
      <c r="AA5697" s="33">
        <v>1969</v>
      </c>
    </row>
    <row r="5698" spans="1:31" ht="12" customHeight="1" x14ac:dyDescent="0.15">
      <c r="A5698" s="33" t="s">
        <v>5900</v>
      </c>
      <c r="B5698" s="33">
        <v>44</v>
      </c>
      <c r="C5698" s="33" t="s">
        <v>14</v>
      </c>
      <c r="D5698" s="33" t="s">
        <v>31</v>
      </c>
      <c r="F5698" s="67">
        <v>41939</v>
      </c>
      <c r="G5698" s="33" t="s">
        <v>5901</v>
      </c>
      <c r="H5698" s="33" t="s">
        <v>5902</v>
      </c>
      <c r="I5698" s="33" t="s">
        <v>56</v>
      </c>
      <c r="J5698" s="33">
        <v>33012</v>
      </c>
      <c r="K5698" s="33" t="s">
        <v>148</v>
      </c>
      <c r="L5698" s="33" t="s">
        <v>5903</v>
      </c>
      <c r="M5698" s="33" t="s">
        <v>21</v>
      </c>
      <c r="N5698" s="33" t="s">
        <v>5904</v>
      </c>
      <c r="P5698" s="33" t="s">
        <v>30089</v>
      </c>
      <c r="Q5698" s="40" t="str">
        <f>HYPERLINK("http://www.wsvn.com/story/27025232/1-dead-in-hialeah-police-involved-shooting","http://www.wsvn.com/story/27025232/1-dead-in-hialeah-police-involved-shooting")</f>
        <v>http://www.wsvn.com/story/27025232/1-dead-in-hialeah-police-involved-shooting</v>
      </c>
      <c r="R5698" s="33" t="s">
        <v>23</v>
      </c>
      <c r="S5698" s="33" t="s">
        <v>22</v>
      </c>
      <c r="T5698" s="1" t="s">
        <v>26576</v>
      </c>
      <c r="Z5698" s="33" t="s">
        <v>42966</v>
      </c>
      <c r="AA5698" s="33">
        <v>1970</v>
      </c>
    </row>
    <row r="5699" spans="1:31" ht="12" customHeight="1" x14ac:dyDescent="0.15">
      <c r="A5699" s="33" t="s">
        <v>5910</v>
      </c>
      <c r="B5699" s="33">
        <v>18</v>
      </c>
      <c r="C5699" s="33" t="s">
        <v>14</v>
      </c>
      <c r="D5699" s="33" t="s">
        <v>31</v>
      </c>
      <c r="E5699" s="33" t="s">
        <v>5911</v>
      </c>
      <c r="F5699" s="67">
        <v>41938</v>
      </c>
      <c r="G5699" s="33" t="s">
        <v>5912</v>
      </c>
      <c r="H5699" s="33" t="s">
        <v>635</v>
      </c>
      <c r="I5699" s="33" t="s">
        <v>337</v>
      </c>
      <c r="J5699" s="33" t="s">
        <v>5913</v>
      </c>
      <c r="K5699" s="33" t="s">
        <v>636</v>
      </c>
      <c r="L5699" s="33" t="s">
        <v>637</v>
      </c>
      <c r="M5699" s="33" t="s">
        <v>21</v>
      </c>
      <c r="N5699" s="33" t="s">
        <v>5914</v>
      </c>
      <c r="O5699" s="33" t="s">
        <v>372</v>
      </c>
      <c r="P5699" s="33" t="s">
        <v>30089</v>
      </c>
      <c r="Q5699" s="40" t="s">
        <v>5915</v>
      </c>
      <c r="R5699" s="33" t="s">
        <v>512</v>
      </c>
      <c r="S5699" s="33" t="s">
        <v>22</v>
      </c>
      <c r="T5699" s="1" t="s">
        <v>26781</v>
      </c>
      <c r="Z5699" s="33" t="s">
        <v>42966</v>
      </c>
      <c r="AA5699" s="33">
        <v>1965</v>
      </c>
    </row>
    <row r="5700" spans="1:31" ht="12" customHeight="1" x14ac:dyDescent="0.15">
      <c r="A5700" s="33" t="s">
        <v>5905</v>
      </c>
      <c r="B5700" s="33">
        <v>29</v>
      </c>
      <c r="C5700" s="33" t="s">
        <v>14</v>
      </c>
      <c r="D5700" s="33" t="s">
        <v>79</v>
      </c>
      <c r="F5700" s="67">
        <v>41938</v>
      </c>
      <c r="G5700" s="33" t="s">
        <v>5906</v>
      </c>
      <c r="H5700" s="33" t="s">
        <v>700</v>
      </c>
      <c r="I5700" s="33" t="s">
        <v>395</v>
      </c>
      <c r="J5700" s="33" t="s">
        <v>5907</v>
      </c>
      <c r="K5700" s="33" t="s">
        <v>700</v>
      </c>
      <c r="L5700" s="33" t="s">
        <v>539</v>
      </c>
      <c r="M5700" s="33" t="s">
        <v>21</v>
      </c>
      <c r="N5700" s="33" t="s">
        <v>5908</v>
      </c>
      <c r="O5700" s="33" t="s">
        <v>950</v>
      </c>
      <c r="P5700" s="33" t="s">
        <v>30089</v>
      </c>
      <c r="Q5700" s="40" t="s">
        <v>5909</v>
      </c>
      <c r="R5700" s="33" t="s">
        <v>23</v>
      </c>
      <c r="S5700" s="33" t="s">
        <v>22</v>
      </c>
      <c r="T5700" s="1" t="s">
        <v>26774</v>
      </c>
      <c r="Z5700" s="33" t="s">
        <v>42966</v>
      </c>
      <c r="AA5700" s="33">
        <v>1966</v>
      </c>
    </row>
    <row r="5701" spans="1:31" ht="12" customHeight="1" x14ac:dyDescent="0.15">
      <c r="A5701" s="33" t="s">
        <v>5940</v>
      </c>
      <c r="B5701" s="33">
        <v>27</v>
      </c>
      <c r="C5701" s="33" t="s">
        <v>14</v>
      </c>
      <c r="D5701" s="33" t="s">
        <v>31</v>
      </c>
      <c r="F5701" s="67">
        <v>41937</v>
      </c>
      <c r="G5701" s="33" t="s">
        <v>5941</v>
      </c>
      <c r="H5701" s="33" t="s">
        <v>5942</v>
      </c>
      <c r="I5701" s="33" t="s">
        <v>39</v>
      </c>
      <c r="J5701" s="33" t="s">
        <v>5943</v>
      </c>
      <c r="K5701" s="33" t="s">
        <v>998</v>
      </c>
      <c r="L5701" s="33" t="s">
        <v>5944</v>
      </c>
      <c r="M5701" s="33" t="s">
        <v>21</v>
      </c>
      <c r="N5701" s="33" t="s">
        <v>5945</v>
      </c>
      <c r="O5701" s="33" t="s">
        <v>372</v>
      </c>
      <c r="P5701" s="33" t="s">
        <v>30089</v>
      </c>
      <c r="Q5701" s="40" t="s">
        <v>5946</v>
      </c>
      <c r="R5701" s="33" t="s">
        <v>94</v>
      </c>
      <c r="S5701" s="33" t="s">
        <v>22</v>
      </c>
      <c r="T5701" s="1" t="s">
        <v>26781</v>
      </c>
      <c r="Z5701" s="33" t="s">
        <v>42966</v>
      </c>
      <c r="AA5701" s="33">
        <v>1963</v>
      </c>
    </row>
    <row r="5702" spans="1:31" ht="12" customHeight="1" x14ac:dyDescent="0.15">
      <c r="A5702" s="33" t="s">
        <v>5916</v>
      </c>
      <c r="B5702" s="33">
        <v>29</v>
      </c>
      <c r="C5702" s="33" t="s">
        <v>14</v>
      </c>
      <c r="D5702" s="33" t="s">
        <v>79</v>
      </c>
      <c r="F5702" s="67">
        <v>41937</v>
      </c>
      <c r="G5702" s="33" t="s">
        <v>5917</v>
      </c>
      <c r="H5702" s="33" t="s">
        <v>5918</v>
      </c>
      <c r="I5702" s="33" t="s">
        <v>38</v>
      </c>
      <c r="J5702" s="33" t="s">
        <v>5919</v>
      </c>
      <c r="K5702" s="33" t="s">
        <v>82</v>
      </c>
      <c r="L5702" s="33" t="s">
        <v>5920</v>
      </c>
      <c r="M5702" s="33" t="s">
        <v>21</v>
      </c>
      <c r="N5702" s="33" t="s">
        <v>5921</v>
      </c>
      <c r="O5702" s="33" t="s">
        <v>507</v>
      </c>
      <c r="P5702" s="33" t="s">
        <v>30089</v>
      </c>
      <c r="Q5702" s="40" t="s">
        <v>5922</v>
      </c>
      <c r="R5702" s="33" t="s">
        <v>94</v>
      </c>
      <c r="S5702" s="33" t="s">
        <v>22</v>
      </c>
      <c r="T5702" s="1" t="s">
        <v>26781</v>
      </c>
      <c r="Z5702" s="33" t="s">
        <v>42968</v>
      </c>
      <c r="AA5702" s="33">
        <v>1961</v>
      </c>
    </row>
    <row r="5703" spans="1:31" ht="12" customHeight="1" x14ac:dyDescent="0.15">
      <c r="A5703" s="33" t="s">
        <v>5924</v>
      </c>
      <c r="B5703" s="33">
        <v>39</v>
      </c>
      <c r="C5703" s="33" t="s">
        <v>14</v>
      </c>
      <c r="D5703" s="33" t="s">
        <v>42</v>
      </c>
      <c r="E5703" s="33" t="s">
        <v>5925</v>
      </c>
      <c r="F5703" s="67">
        <v>41937</v>
      </c>
      <c r="G5703" s="33" t="s">
        <v>5926</v>
      </c>
      <c r="H5703" s="33" t="s">
        <v>5927</v>
      </c>
      <c r="I5703" s="33" t="s">
        <v>221</v>
      </c>
      <c r="J5703" s="33" t="s">
        <v>5928</v>
      </c>
      <c r="K5703" s="33" t="s">
        <v>564</v>
      </c>
      <c r="L5703" s="33" t="s">
        <v>5929</v>
      </c>
      <c r="M5703" s="33" t="s">
        <v>21</v>
      </c>
      <c r="N5703" s="33" t="s">
        <v>5930</v>
      </c>
      <c r="O5703" s="33" t="s">
        <v>507</v>
      </c>
      <c r="P5703" s="33" t="s">
        <v>30089</v>
      </c>
      <c r="Q5703" s="40" t="s">
        <v>4830</v>
      </c>
      <c r="R5703" s="33" t="s">
        <v>512</v>
      </c>
      <c r="S5703" s="33" t="s">
        <v>22</v>
      </c>
      <c r="T5703" s="1" t="s">
        <v>26774</v>
      </c>
      <c r="Z5703" s="33" t="s">
        <v>42968</v>
      </c>
      <c r="AA5703" s="33">
        <v>1964</v>
      </c>
    </row>
    <row r="5704" spans="1:31" ht="12" customHeight="1" x14ac:dyDescent="0.15">
      <c r="A5704" s="33" t="s">
        <v>5931</v>
      </c>
      <c r="B5704" s="33">
        <v>27</v>
      </c>
      <c r="C5704" s="33" t="s">
        <v>14</v>
      </c>
      <c r="D5704" s="33" t="s">
        <v>31</v>
      </c>
      <c r="E5704" s="33" t="s">
        <v>5932</v>
      </c>
      <c r="F5704" s="67">
        <v>41937</v>
      </c>
      <c r="G5704" s="33" t="s">
        <v>5933</v>
      </c>
      <c r="H5704" s="33" t="s">
        <v>5934</v>
      </c>
      <c r="I5704" s="33" t="s">
        <v>918</v>
      </c>
      <c r="J5704" s="33" t="s">
        <v>5935</v>
      </c>
      <c r="K5704" s="33" t="s">
        <v>5936</v>
      </c>
      <c r="L5704" s="33" t="s">
        <v>5937</v>
      </c>
      <c r="M5704" s="33" t="s">
        <v>21</v>
      </c>
      <c r="N5704" s="33" t="s">
        <v>5938</v>
      </c>
      <c r="O5704" s="33" t="s">
        <v>372</v>
      </c>
      <c r="P5704" s="33" t="s">
        <v>30089</v>
      </c>
      <c r="Q5704" s="40" t="s">
        <v>5939</v>
      </c>
      <c r="R5704" s="33" t="s">
        <v>94</v>
      </c>
      <c r="S5704" s="33" t="s">
        <v>22</v>
      </c>
      <c r="T5704" s="1" t="s">
        <v>26781</v>
      </c>
      <c r="Z5704" s="33" t="s">
        <v>42966</v>
      </c>
      <c r="AA5704" s="33">
        <v>1962</v>
      </c>
    </row>
    <row r="5705" spans="1:31" ht="12" customHeight="1" x14ac:dyDescent="0.15">
      <c r="A5705" s="33" t="s">
        <v>5972</v>
      </c>
      <c r="B5705" s="33">
        <v>34</v>
      </c>
      <c r="C5705" s="33" t="s">
        <v>14</v>
      </c>
      <c r="D5705" s="33" t="s">
        <v>31</v>
      </c>
      <c r="E5705" s="33" t="s">
        <v>5973</v>
      </c>
      <c r="F5705" s="67">
        <v>41936</v>
      </c>
      <c r="G5705" s="33" t="s">
        <v>5974</v>
      </c>
      <c r="H5705" s="33" t="s">
        <v>5975</v>
      </c>
      <c r="I5705" s="33" t="s">
        <v>56</v>
      </c>
      <c r="J5705" s="33" t="s">
        <v>5976</v>
      </c>
      <c r="K5705" s="33" t="s">
        <v>3571</v>
      </c>
      <c r="L5705" s="33" t="s">
        <v>5977</v>
      </c>
      <c r="M5705" s="33" t="s">
        <v>21</v>
      </c>
      <c r="N5705" s="33" t="s">
        <v>5978</v>
      </c>
      <c r="O5705" s="33" t="s">
        <v>507</v>
      </c>
      <c r="P5705" s="33" t="s">
        <v>30089</v>
      </c>
      <c r="Q5705" s="40" t="s">
        <v>5979</v>
      </c>
      <c r="R5705" s="33" t="s">
        <v>94</v>
      </c>
      <c r="S5705" s="33" t="s">
        <v>22</v>
      </c>
      <c r="T5705" s="1" t="s">
        <v>26774</v>
      </c>
      <c r="Z5705" s="33" t="s">
        <v>42968</v>
      </c>
      <c r="AA5705" s="33">
        <v>1959</v>
      </c>
    </row>
    <row r="5706" spans="1:31" ht="12" customHeight="1" x14ac:dyDescent="0.15">
      <c r="A5706" s="33" t="s">
        <v>5947</v>
      </c>
      <c r="B5706" s="33">
        <v>38</v>
      </c>
      <c r="C5706" s="33" t="s">
        <v>14</v>
      </c>
      <c r="D5706" s="33" t="s">
        <v>79</v>
      </c>
      <c r="F5706" s="67">
        <v>41936</v>
      </c>
      <c r="G5706" s="33" t="s">
        <v>5948</v>
      </c>
      <c r="H5706" s="33" t="s">
        <v>5472</v>
      </c>
      <c r="I5706" s="33" t="s">
        <v>338</v>
      </c>
      <c r="J5706" s="33">
        <v>28314</v>
      </c>
      <c r="K5706" s="33" t="s">
        <v>2907</v>
      </c>
      <c r="L5706" s="33" t="s">
        <v>5949</v>
      </c>
      <c r="M5706" s="33" t="s">
        <v>21</v>
      </c>
      <c r="N5706" s="33" t="s">
        <v>5950</v>
      </c>
      <c r="P5706" s="33" t="s">
        <v>30089</v>
      </c>
      <c r="Q5706" s="40" t="str">
        <f>HYPERLINK("http://www.fayobserver.com/news/local/man-shot-killed-when-cumberland-county-deputies-try-to-serve/article_f253b5ae-7298-5362-8caf-84520ea48f26.html","http://www.fayobserver.com/news/local/man-shot-killed-when-cumberland-county-deputies-try-to-serve/article_f253b5ae-7298-5362-8caf-84520ea48f26.html")</f>
        <v>http://www.fayobserver.com/news/local/man-shot-killed-when-cumberland-county-deputies-try-to-serve/article_f253b5ae-7298-5362-8caf-84520ea48f26.html</v>
      </c>
      <c r="R5706" s="33" t="s">
        <v>23</v>
      </c>
      <c r="S5706" s="33" t="s">
        <v>22</v>
      </c>
      <c r="T5706" s="1" t="s">
        <v>26774</v>
      </c>
      <c r="Z5706" s="33" t="s">
        <v>42968</v>
      </c>
      <c r="AA5706" s="33">
        <v>1958</v>
      </c>
    </row>
    <row r="5707" spans="1:31" ht="12" customHeight="1" x14ac:dyDescent="0.15">
      <c r="A5707" s="33" t="s">
        <v>5962</v>
      </c>
      <c r="B5707" s="33">
        <v>39</v>
      </c>
      <c r="C5707" s="33" t="s">
        <v>14</v>
      </c>
      <c r="D5707" s="33" t="s">
        <v>31</v>
      </c>
      <c r="E5707" s="33" t="s">
        <v>5963</v>
      </c>
      <c r="F5707" s="67">
        <v>41936</v>
      </c>
      <c r="G5707" s="33" t="s">
        <v>5964</v>
      </c>
      <c r="H5707" s="33" t="s">
        <v>5965</v>
      </c>
      <c r="I5707" s="33" t="s">
        <v>376</v>
      </c>
      <c r="J5707" s="33" t="s">
        <v>5966</v>
      </c>
      <c r="K5707" s="33" t="s">
        <v>5967</v>
      </c>
      <c r="L5707" s="33" t="s">
        <v>5968</v>
      </c>
      <c r="M5707" s="33" t="s">
        <v>5969</v>
      </c>
      <c r="N5707" s="33" t="s">
        <v>5970</v>
      </c>
      <c r="O5707" s="33" t="s">
        <v>372</v>
      </c>
      <c r="P5707" s="33" t="s">
        <v>30089</v>
      </c>
      <c r="Q5707" s="40" t="s">
        <v>5971</v>
      </c>
      <c r="R5707" s="33" t="s">
        <v>904</v>
      </c>
      <c r="S5707" s="33" t="s">
        <v>22</v>
      </c>
      <c r="T5707" s="1" t="s">
        <v>26774</v>
      </c>
      <c r="Z5707" s="33" t="s">
        <v>42968</v>
      </c>
      <c r="AA5707" s="33">
        <v>1960</v>
      </c>
    </row>
    <row r="5708" spans="1:31" ht="12" customHeight="1" x14ac:dyDescent="0.15">
      <c r="A5708" s="33" t="s">
        <v>5980</v>
      </c>
      <c r="B5708" s="33">
        <v>36</v>
      </c>
      <c r="C5708" s="33" t="s">
        <v>14</v>
      </c>
      <c r="D5708" s="33" t="s">
        <v>31</v>
      </c>
      <c r="E5708" s="33" t="s">
        <v>5981</v>
      </c>
      <c r="F5708" s="67">
        <v>41936</v>
      </c>
      <c r="G5708" s="33" t="s">
        <v>5982</v>
      </c>
      <c r="H5708" s="33" t="s">
        <v>5983</v>
      </c>
      <c r="I5708" s="33" t="s">
        <v>19</v>
      </c>
      <c r="J5708" s="33" t="s">
        <v>5984</v>
      </c>
      <c r="K5708" s="33" t="s">
        <v>5985</v>
      </c>
      <c r="L5708" s="33" t="s">
        <v>5986</v>
      </c>
      <c r="M5708" s="33" t="s">
        <v>21</v>
      </c>
      <c r="N5708" s="33" t="s">
        <v>5987</v>
      </c>
      <c r="O5708" s="33" t="s">
        <v>372</v>
      </c>
      <c r="P5708" s="33" t="s">
        <v>30089</v>
      </c>
      <c r="Q5708" s="40" t="s">
        <v>5988</v>
      </c>
      <c r="R5708" s="33" t="s">
        <v>94</v>
      </c>
      <c r="S5708" s="33" t="s">
        <v>22</v>
      </c>
      <c r="T5708" s="33" t="s">
        <v>26781</v>
      </c>
      <c r="Z5708" s="33" t="s">
        <v>42967</v>
      </c>
      <c r="AA5708" s="33">
        <v>1957</v>
      </c>
      <c r="AE5708" s="33"/>
    </row>
    <row r="5709" spans="1:31" ht="12" customHeight="1" x14ac:dyDescent="0.15">
      <c r="A5709" s="33" t="s">
        <v>5951</v>
      </c>
      <c r="B5709" s="33">
        <v>23</v>
      </c>
      <c r="C5709" s="33" t="s">
        <v>14</v>
      </c>
      <c r="D5709" s="33" t="s">
        <v>42</v>
      </c>
      <c r="F5709" s="67">
        <v>41936</v>
      </c>
      <c r="G5709" s="33" t="s">
        <v>5952</v>
      </c>
      <c r="H5709" s="33" t="s">
        <v>518</v>
      </c>
      <c r="I5709" s="33" t="s">
        <v>112</v>
      </c>
      <c r="J5709" s="33" t="s">
        <v>5953</v>
      </c>
      <c r="K5709" s="33" t="s">
        <v>519</v>
      </c>
      <c r="L5709" s="33" t="s">
        <v>4359</v>
      </c>
      <c r="M5709" s="33" t="s">
        <v>21</v>
      </c>
      <c r="N5709" s="33" t="s">
        <v>5954</v>
      </c>
      <c r="O5709" s="33" t="s">
        <v>950</v>
      </c>
      <c r="P5709" s="33" t="s">
        <v>30089</v>
      </c>
      <c r="Q5709" s="40" t="str">
        <f>HYPERLINK("http://www.tucsonsentinel.com/local/report/102914_bp_shooting/update-man-fatally-shot-by-border-patrol-identified/","http://www.tucsonsentinel.com/local/report/102914_bp_shooting/update-man-fatally-shot-by-border-patrol-identified/")</f>
        <v>http://www.tucsonsentinel.com/local/report/102914_bp_shooting/update-man-fatally-shot-by-border-patrol-identified/</v>
      </c>
      <c r="R5709" s="33" t="s">
        <v>94</v>
      </c>
      <c r="S5709" s="33" t="s">
        <v>22</v>
      </c>
      <c r="T5709" s="1" t="s">
        <v>26781</v>
      </c>
      <c r="Z5709" s="33" t="s">
        <v>42968</v>
      </c>
      <c r="AA5709" s="33">
        <v>1956</v>
      </c>
    </row>
    <row r="5710" spans="1:31" ht="12" customHeight="1" x14ac:dyDescent="0.15">
      <c r="A5710" s="33" t="s">
        <v>6015</v>
      </c>
      <c r="B5710" s="33">
        <v>25</v>
      </c>
      <c r="C5710" s="33" t="s">
        <v>14</v>
      </c>
      <c r="D5710" s="33" t="s">
        <v>42</v>
      </c>
      <c r="E5710" s="33" t="s">
        <v>6016</v>
      </c>
      <c r="F5710" s="67">
        <v>41935</v>
      </c>
      <c r="G5710" s="33" t="s">
        <v>6017</v>
      </c>
      <c r="H5710" s="33" t="s">
        <v>6018</v>
      </c>
      <c r="I5710" s="33" t="s">
        <v>40</v>
      </c>
      <c r="J5710" s="33" t="s">
        <v>6019</v>
      </c>
      <c r="K5710" s="33" t="s">
        <v>6020</v>
      </c>
      <c r="L5710" s="33" t="s">
        <v>6021</v>
      </c>
      <c r="M5710" s="33" t="s">
        <v>21</v>
      </c>
      <c r="N5710" s="33" t="s">
        <v>36801</v>
      </c>
      <c r="O5710" s="33" t="s">
        <v>950</v>
      </c>
      <c r="P5710" s="33" t="s">
        <v>30089</v>
      </c>
      <c r="Q5710" s="40" t="s">
        <v>6022</v>
      </c>
      <c r="R5710" s="33" t="s">
        <v>94</v>
      </c>
      <c r="S5710" s="33" t="s">
        <v>22</v>
      </c>
      <c r="T5710" s="1" t="s">
        <v>26781</v>
      </c>
      <c r="Z5710" s="33" t="s">
        <v>42968</v>
      </c>
      <c r="AA5710" s="33">
        <v>1951</v>
      </c>
    </row>
    <row r="5711" spans="1:31" ht="12" customHeight="1" x14ac:dyDescent="0.15">
      <c r="A5711" s="33" t="s">
        <v>5989</v>
      </c>
      <c r="B5711" s="33">
        <v>25</v>
      </c>
      <c r="C5711" s="33" t="s">
        <v>14</v>
      </c>
      <c r="D5711" s="33" t="s">
        <v>15</v>
      </c>
      <c r="F5711" s="67">
        <v>41935</v>
      </c>
      <c r="G5711" s="33" t="s">
        <v>5990</v>
      </c>
      <c r="H5711" s="33" t="s">
        <v>5991</v>
      </c>
      <c r="I5711" s="33" t="s">
        <v>250</v>
      </c>
      <c r="J5711" s="33" t="s">
        <v>5992</v>
      </c>
      <c r="K5711" s="33" t="s">
        <v>527</v>
      </c>
      <c r="L5711" s="33" t="s">
        <v>897</v>
      </c>
      <c r="M5711" s="33" t="s">
        <v>21</v>
      </c>
      <c r="N5711" s="33" t="s">
        <v>5993</v>
      </c>
      <c r="O5711" s="33" t="s">
        <v>372</v>
      </c>
      <c r="P5711" s="33" t="s">
        <v>30089</v>
      </c>
      <c r="Q5711" s="40" t="s">
        <v>5994</v>
      </c>
      <c r="R5711" s="33" t="s">
        <v>512</v>
      </c>
      <c r="S5711" s="33" t="s">
        <v>351</v>
      </c>
      <c r="T5711" s="1" t="s">
        <v>26867</v>
      </c>
      <c r="Z5711" s="33" t="e">
        <v>#N/A</v>
      </c>
      <c r="AA5711" s="33">
        <v>1955</v>
      </c>
    </row>
    <row r="5712" spans="1:31" ht="12" customHeight="1" x14ac:dyDescent="0.15">
      <c r="A5712" s="33" t="s">
        <v>6007</v>
      </c>
      <c r="B5712" s="33">
        <v>43</v>
      </c>
      <c r="C5712" s="33" t="s">
        <v>14</v>
      </c>
      <c r="D5712" s="33" t="s">
        <v>42</v>
      </c>
      <c r="E5712" s="33" t="s">
        <v>6008</v>
      </c>
      <c r="F5712" s="67">
        <v>41935</v>
      </c>
      <c r="G5712" s="33" t="s">
        <v>6009</v>
      </c>
      <c r="H5712" s="33" t="s">
        <v>6010</v>
      </c>
      <c r="I5712" s="33" t="s">
        <v>112</v>
      </c>
      <c r="J5712" s="33" t="s">
        <v>6011</v>
      </c>
      <c r="K5712" s="33" t="s">
        <v>585</v>
      </c>
      <c r="L5712" s="33" t="s">
        <v>6012</v>
      </c>
      <c r="M5712" s="33" t="s">
        <v>21</v>
      </c>
      <c r="N5712" s="33" t="s">
        <v>6013</v>
      </c>
      <c r="O5712" s="33" t="s">
        <v>950</v>
      </c>
      <c r="P5712" s="33" t="s">
        <v>30089</v>
      </c>
      <c r="Q5712" s="40" t="s">
        <v>6014</v>
      </c>
      <c r="R5712" s="33" t="s">
        <v>904</v>
      </c>
      <c r="S5712" s="33" t="s">
        <v>22</v>
      </c>
      <c r="T5712" s="1" t="s">
        <v>26593</v>
      </c>
      <c r="Z5712" s="33" t="s">
        <v>42968</v>
      </c>
      <c r="AA5712" s="33">
        <v>1953</v>
      </c>
    </row>
    <row r="5713" spans="1:27" ht="12" customHeight="1" x14ac:dyDescent="0.15">
      <c r="A5713" s="33" t="s">
        <v>6003</v>
      </c>
      <c r="B5713" s="33">
        <v>32</v>
      </c>
      <c r="C5713" s="33" t="s">
        <v>14</v>
      </c>
      <c r="D5713" s="33" t="s">
        <v>79</v>
      </c>
      <c r="E5713" s="33" t="s">
        <v>6004</v>
      </c>
      <c r="F5713" s="67">
        <v>41935</v>
      </c>
      <c r="G5713" s="33" t="s">
        <v>6005</v>
      </c>
      <c r="H5713" s="33" t="s">
        <v>700</v>
      </c>
      <c r="I5713" s="33" t="s">
        <v>395</v>
      </c>
      <c r="J5713" s="33" t="s">
        <v>2473</v>
      </c>
      <c r="K5713" s="33" t="s">
        <v>2474</v>
      </c>
      <c r="L5713" s="33" t="s">
        <v>539</v>
      </c>
      <c r="M5713" s="33" t="s">
        <v>21</v>
      </c>
      <c r="N5713" s="33" t="s">
        <v>6006</v>
      </c>
      <c r="O5713" s="33" t="s">
        <v>950</v>
      </c>
      <c r="P5713" s="33" t="s">
        <v>30089</v>
      </c>
      <c r="Q5713" s="40" t="str">
        <f>HYPERLINK("http://www.nydailynews.com/new-york/nyc-crime/police-shoots-kills-man-ax-queens-article-1.1984914","http://www.nydailynews.com/new-york/nyc-crime/police-shoots-kills-man-ax-queens-article-1.1984914")</f>
        <v>http://www.nydailynews.com/new-york/nyc-crime/police-shoots-kills-man-ax-queens-article-1.1984914</v>
      </c>
      <c r="R5713" s="33" t="s">
        <v>94</v>
      </c>
      <c r="S5713" s="33" t="s">
        <v>22</v>
      </c>
      <c r="T5713" s="1" t="s">
        <v>26585</v>
      </c>
      <c r="Z5713" s="33" t="s">
        <v>42966</v>
      </c>
      <c r="AA5713" s="33">
        <v>1952</v>
      </c>
    </row>
    <row r="5714" spans="1:27" ht="12" customHeight="1" x14ac:dyDescent="0.15">
      <c r="A5714" s="33" t="s">
        <v>5995</v>
      </c>
      <c r="B5714" s="33">
        <v>38</v>
      </c>
      <c r="C5714" s="33" t="s">
        <v>14</v>
      </c>
      <c r="D5714" s="33" t="s">
        <v>79</v>
      </c>
      <c r="F5714" s="67">
        <v>41935</v>
      </c>
      <c r="G5714" s="33" t="s">
        <v>5996</v>
      </c>
      <c r="H5714" s="33" t="s">
        <v>5997</v>
      </c>
      <c r="I5714" s="33" t="s">
        <v>46</v>
      </c>
      <c r="J5714" s="33" t="s">
        <v>5998</v>
      </c>
      <c r="K5714" s="33" t="s">
        <v>5999</v>
      </c>
      <c r="L5714" s="33" t="s">
        <v>6000</v>
      </c>
      <c r="M5714" s="33" t="s">
        <v>21</v>
      </c>
      <c r="N5714" s="33" t="s">
        <v>6001</v>
      </c>
      <c r="O5714" s="33" t="s">
        <v>950</v>
      </c>
      <c r="P5714" s="33" t="s">
        <v>30089</v>
      </c>
      <c r="Q5714" s="40" t="s">
        <v>6002</v>
      </c>
      <c r="R5714" s="33" t="s">
        <v>904</v>
      </c>
      <c r="S5714" s="33" t="s">
        <v>12</v>
      </c>
      <c r="T5714" s="54" t="s">
        <v>29705</v>
      </c>
      <c r="Z5714" s="33" t="s">
        <v>42968</v>
      </c>
      <c r="AA5714" s="33">
        <v>1954</v>
      </c>
    </row>
    <row r="5715" spans="1:27" ht="12" customHeight="1" x14ac:dyDescent="0.15">
      <c r="A5715" s="33" t="s">
        <v>6023</v>
      </c>
      <c r="B5715" s="33">
        <v>27</v>
      </c>
      <c r="C5715" s="33" t="s">
        <v>14</v>
      </c>
      <c r="D5715" s="33" t="s">
        <v>42</v>
      </c>
      <c r="E5715" s="33" t="s">
        <v>6024</v>
      </c>
      <c r="F5715" s="67">
        <v>41934</v>
      </c>
      <c r="G5715" s="33" t="s">
        <v>6025</v>
      </c>
      <c r="H5715" s="33" t="s">
        <v>1122</v>
      </c>
      <c r="I5715" s="33" t="s">
        <v>67</v>
      </c>
      <c r="J5715" s="33" t="s">
        <v>6026</v>
      </c>
      <c r="K5715" s="33" t="s">
        <v>1123</v>
      </c>
      <c r="L5715" s="33" t="s">
        <v>1124</v>
      </c>
      <c r="M5715" s="33" t="s">
        <v>21</v>
      </c>
      <c r="N5715" s="33" t="s">
        <v>6027</v>
      </c>
      <c r="O5715" s="33" t="s">
        <v>950</v>
      </c>
      <c r="P5715" s="33" t="s">
        <v>30089</v>
      </c>
      <c r="Q5715" s="40" t="s">
        <v>6028</v>
      </c>
      <c r="R5715" s="33" t="s">
        <v>94</v>
      </c>
      <c r="S5715" s="33" t="s">
        <v>22</v>
      </c>
      <c r="T5715" s="1" t="s">
        <v>42992</v>
      </c>
      <c r="Z5715" s="33" t="s">
        <v>42968</v>
      </c>
      <c r="AA5715" s="33">
        <v>1950</v>
      </c>
    </row>
    <row r="5716" spans="1:27" ht="12" customHeight="1" x14ac:dyDescent="0.15">
      <c r="A5716" s="33" t="s">
        <v>6030</v>
      </c>
      <c r="B5716" s="33">
        <v>35</v>
      </c>
      <c r="C5716" s="33" t="s">
        <v>14</v>
      </c>
      <c r="D5716" s="33" t="s">
        <v>42</v>
      </c>
      <c r="F5716" s="67">
        <v>41933</v>
      </c>
      <c r="G5716" s="33" t="s">
        <v>6031</v>
      </c>
      <c r="H5716" s="33" t="s">
        <v>6032</v>
      </c>
      <c r="I5716" s="33" t="s">
        <v>221</v>
      </c>
      <c r="J5716" s="33" t="s">
        <v>6033</v>
      </c>
      <c r="K5716" s="33" t="s">
        <v>1356</v>
      </c>
      <c r="L5716" s="33" t="s">
        <v>6034</v>
      </c>
      <c r="M5716" s="33" t="s">
        <v>21</v>
      </c>
      <c r="N5716" s="33" t="s">
        <v>6035</v>
      </c>
      <c r="P5716" s="33" t="s">
        <v>30089</v>
      </c>
      <c r="Q5716" s="40" t="s">
        <v>6036</v>
      </c>
      <c r="R5716" s="33" t="s">
        <v>512</v>
      </c>
      <c r="S5716" s="33" t="s">
        <v>29</v>
      </c>
      <c r="T5716" s="33" t="s">
        <v>41840</v>
      </c>
      <c r="Z5716" s="33" t="s">
        <v>42968</v>
      </c>
      <c r="AA5716" s="33">
        <v>1949</v>
      </c>
    </row>
    <row r="5717" spans="1:27" ht="12" customHeight="1" x14ac:dyDescent="0.15">
      <c r="A5717" s="33" t="s">
        <v>6037</v>
      </c>
      <c r="B5717" s="33">
        <v>17</v>
      </c>
      <c r="C5717" s="33" t="s">
        <v>14</v>
      </c>
      <c r="D5717" s="33" t="s">
        <v>79</v>
      </c>
      <c r="F5717" s="67">
        <v>41932</v>
      </c>
      <c r="G5717" s="33" t="s">
        <v>6038</v>
      </c>
      <c r="H5717" s="33" t="s">
        <v>81</v>
      </c>
      <c r="I5717" s="33" t="s">
        <v>38</v>
      </c>
      <c r="J5717" s="33" t="s">
        <v>6039</v>
      </c>
      <c r="K5717" s="33" t="s">
        <v>82</v>
      </c>
      <c r="L5717" s="33" t="s">
        <v>83</v>
      </c>
      <c r="M5717" s="33" t="s">
        <v>21</v>
      </c>
      <c r="N5717" s="33" t="s">
        <v>6040</v>
      </c>
      <c r="O5717" s="33" t="s">
        <v>25753</v>
      </c>
      <c r="P5717" s="33" t="s">
        <v>1084</v>
      </c>
      <c r="Q5717" s="40" t="s">
        <v>6041</v>
      </c>
      <c r="R5717" s="33" t="s">
        <v>94</v>
      </c>
      <c r="S5717" s="33" t="s">
        <v>22</v>
      </c>
      <c r="T5717" s="1" t="s">
        <v>26774</v>
      </c>
      <c r="Z5717" s="33" t="s">
        <v>42966</v>
      </c>
      <c r="AA5717" s="33">
        <v>1946</v>
      </c>
    </row>
    <row r="5718" spans="1:27" ht="12" customHeight="1" x14ac:dyDescent="0.15">
      <c r="A5718" s="33" t="s">
        <v>6049</v>
      </c>
      <c r="B5718" s="33">
        <v>22</v>
      </c>
      <c r="C5718" s="33" t="s">
        <v>14</v>
      </c>
      <c r="D5718" s="33" t="s">
        <v>42</v>
      </c>
      <c r="F5718" s="67">
        <v>41932</v>
      </c>
      <c r="G5718" s="33" t="s">
        <v>6050</v>
      </c>
      <c r="H5718" s="33" t="s">
        <v>801</v>
      </c>
      <c r="I5718" s="33" t="s">
        <v>67</v>
      </c>
      <c r="J5718" s="33" t="s">
        <v>6051</v>
      </c>
      <c r="K5718" s="33" t="s">
        <v>801</v>
      </c>
      <c r="L5718" s="33" t="s">
        <v>802</v>
      </c>
      <c r="M5718" s="33" t="s">
        <v>21</v>
      </c>
      <c r="N5718" s="33" t="s">
        <v>6052</v>
      </c>
      <c r="O5718" s="33" t="s">
        <v>950</v>
      </c>
      <c r="P5718" s="33" t="s">
        <v>30089</v>
      </c>
      <c r="Q5718" s="40" t="s">
        <v>6053</v>
      </c>
      <c r="R5718" s="33" t="s">
        <v>94</v>
      </c>
      <c r="S5718" s="33" t="s">
        <v>22</v>
      </c>
      <c r="T5718" s="1" t="s">
        <v>26781</v>
      </c>
      <c r="Z5718" s="33" t="s">
        <v>42968</v>
      </c>
      <c r="AA5718" s="33">
        <v>1944</v>
      </c>
    </row>
    <row r="5719" spans="1:27" ht="12" customHeight="1" x14ac:dyDescent="0.15">
      <c r="A5719" s="33" t="s">
        <v>6054</v>
      </c>
      <c r="B5719" s="33">
        <v>54</v>
      </c>
      <c r="C5719" s="33" t="s">
        <v>14</v>
      </c>
      <c r="D5719" s="33" t="s">
        <v>42</v>
      </c>
      <c r="F5719" s="67">
        <v>41932</v>
      </c>
      <c r="G5719" s="33" t="s">
        <v>6055</v>
      </c>
      <c r="H5719" s="33" t="s">
        <v>2814</v>
      </c>
      <c r="I5719" s="33" t="s">
        <v>56</v>
      </c>
      <c r="J5719" s="33" t="s">
        <v>6056</v>
      </c>
      <c r="K5719" s="33" t="s">
        <v>392</v>
      </c>
      <c r="L5719" s="33" t="s">
        <v>2816</v>
      </c>
      <c r="M5719" s="33" t="s">
        <v>21</v>
      </c>
      <c r="N5719" s="33" t="s">
        <v>6057</v>
      </c>
      <c r="O5719" s="33" t="s">
        <v>507</v>
      </c>
      <c r="P5719" s="33" t="s">
        <v>30089</v>
      </c>
      <c r="Q5719" s="40" t="s">
        <v>6058</v>
      </c>
      <c r="R5719" s="33" t="s">
        <v>94</v>
      </c>
      <c r="S5719" s="33" t="s">
        <v>22</v>
      </c>
      <c r="T5719" s="1" t="s">
        <v>26781</v>
      </c>
      <c r="Z5719" s="33" t="s">
        <v>42966</v>
      </c>
      <c r="AA5719" s="33">
        <v>1945</v>
      </c>
    </row>
    <row r="5720" spans="1:27" ht="12" customHeight="1" x14ac:dyDescent="0.15">
      <c r="A5720" s="33" t="s">
        <v>6059</v>
      </c>
      <c r="B5720" s="33">
        <v>54</v>
      </c>
      <c r="C5720" s="33" t="s">
        <v>14</v>
      </c>
      <c r="D5720" s="33" t="s">
        <v>24</v>
      </c>
      <c r="F5720" s="67">
        <v>41932</v>
      </c>
      <c r="G5720" s="33" t="s">
        <v>6060</v>
      </c>
      <c r="H5720" s="33" t="s">
        <v>6061</v>
      </c>
      <c r="I5720" s="33" t="s">
        <v>225</v>
      </c>
      <c r="J5720" s="33" t="s">
        <v>6062</v>
      </c>
      <c r="K5720" s="33" t="s">
        <v>6061</v>
      </c>
      <c r="L5720" s="33" t="s">
        <v>6063</v>
      </c>
      <c r="M5720" s="33" t="s">
        <v>21</v>
      </c>
      <c r="N5720" s="33" t="s">
        <v>6064</v>
      </c>
      <c r="O5720" s="33" t="s">
        <v>950</v>
      </c>
      <c r="P5720" s="33" t="s">
        <v>30089</v>
      </c>
      <c r="Q5720" s="40" t="s">
        <v>6065</v>
      </c>
      <c r="R5720" s="33" t="s">
        <v>23</v>
      </c>
      <c r="S5720" s="33" t="s">
        <v>29</v>
      </c>
      <c r="T5720" s="33" t="s">
        <v>41840</v>
      </c>
      <c r="Z5720" s="33" t="s">
        <v>42968</v>
      </c>
      <c r="AA5720" s="33">
        <v>1948</v>
      </c>
    </row>
    <row r="5721" spans="1:27" ht="12" customHeight="1" x14ac:dyDescent="0.15">
      <c r="A5721" s="33" t="s">
        <v>6042</v>
      </c>
      <c r="B5721" s="33">
        <v>29</v>
      </c>
      <c r="C5721" s="33" t="s">
        <v>14</v>
      </c>
      <c r="D5721" s="33" t="s">
        <v>42</v>
      </c>
      <c r="E5721" s="33" t="s">
        <v>6043</v>
      </c>
      <c r="F5721" s="67">
        <v>41932</v>
      </c>
      <c r="G5721" s="33" t="s">
        <v>6044</v>
      </c>
      <c r="H5721" s="33" t="s">
        <v>743</v>
      </c>
      <c r="I5721" s="33" t="s">
        <v>67</v>
      </c>
      <c r="J5721" s="33" t="s">
        <v>6045</v>
      </c>
      <c r="K5721" s="33" t="s">
        <v>744</v>
      </c>
      <c r="L5721" s="33" t="s">
        <v>6046</v>
      </c>
      <c r="M5721" s="33" t="s">
        <v>21</v>
      </c>
      <c r="N5721" s="33" t="s">
        <v>6047</v>
      </c>
      <c r="O5721" s="33" t="s">
        <v>507</v>
      </c>
      <c r="P5721" s="33" t="s">
        <v>30089</v>
      </c>
      <c r="Q5721" s="40" t="s">
        <v>6048</v>
      </c>
      <c r="R5721" s="33" t="s">
        <v>94</v>
      </c>
      <c r="S5721" s="33" t="s">
        <v>22</v>
      </c>
      <c r="T5721" s="1" t="s">
        <v>26774</v>
      </c>
      <c r="Z5721" s="33" t="s">
        <v>42967</v>
      </c>
      <c r="AA5721" s="33">
        <v>1947</v>
      </c>
    </row>
    <row r="5722" spans="1:27" ht="12" customHeight="1" x14ac:dyDescent="0.15">
      <c r="A5722" s="33" t="s">
        <v>6073</v>
      </c>
      <c r="B5722" s="33">
        <v>22</v>
      </c>
      <c r="C5722" s="33" t="s">
        <v>14</v>
      </c>
      <c r="D5722" s="33" t="s">
        <v>79</v>
      </c>
      <c r="F5722" s="67">
        <v>41930</v>
      </c>
      <c r="G5722" s="33" t="s">
        <v>6074</v>
      </c>
      <c r="H5722" s="33" t="s">
        <v>197</v>
      </c>
      <c r="I5722" s="33" t="s">
        <v>198</v>
      </c>
      <c r="J5722" s="33" t="s">
        <v>6075</v>
      </c>
      <c r="K5722" s="33" t="s">
        <v>392</v>
      </c>
      <c r="L5722" s="33" t="s">
        <v>199</v>
      </c>
      <c r="M5722" s="33" t="s">
        <v>21</v>
      </c>
      <c r="N5722" s="33" t="s">
        <v>6076</v>
      </c>
      <c r="O5722" s="33" t="s">
        <v>950</v>
      </c>
      <c r="P5722" s="33" t="s">
        <v>30089</v>
      </c>
      <c r="Q5722" s="40" t="s">
        <v>6077</v>
      </c>
      <c r="R5722" s="33" t="s">
        <v>94</v>
      </c>
      <c r="S5722" s="33" t="s">
        <v>22</v>
      </c>
      <c r="T5722" s="1" t="s">
        <v>26781</v>
      </c>
      <c r="Z5722" s="33" t="s">
        <v>42968</v>
      </c>
      <c r="AA5722" s="33">
        <v>1941</v>
      </c>
    </row>
    <row r="5723" spans="1:27" ht="12" customHeight="1" x14ac:dyDescent="0.15">
      <c r="A5723" s="33" t="s">
        <v>6066</v>
      </c>
      <c r="B5723" s="33">
        <v>44</v>
      </c>
      <c r="C5723" s="33" t="s">
        <v>14</v>
      </c>
      <c r="D5723" s="33" t="s">
        <v>79</v>
      </c>
      <c r="F5723" s="67">
        <v>41930</v>
      </c>
      <c r="G5723" s="33" t="s">
        <v>6067</v>
      </c>
      <c r="H5723" s="33" t="s">
        <v>6068</v>
      </c>
      <c r="I5723" s="33" t="s">
        <v>63</v>
      </c>
      <c r="J5723" s="33" t="s">
        <v>6069</v>
      </c>
      <c r="K5723" s="33" t="s">
        <v>95</v>
      </c>
      <c r="L5723" s="33" t="s">
        <v>6070</v>
      </c>
      <c r="M5723" s="33" t="s">
        <v>21</v>
      </c>
      <c r="N5723" s="33" t="s">
        <v>6071</v>
      </c>
      <c r="P5723" s="33" t="s">
        <v>30089</v>
      </c>
      <c r="Q5723" s="40" t="s">
        <v>6072</v>
      </c>
      <c r="R5723" s="33" t="s">
        <v>94</v>
      </c>
      <c r="S5723" s="33" t="s">
        <v>22</v>
      </c>
      <c r="T5723" s="1" t="s">
        <v>26774</v>
      </c>
      <c r="Z5723" s="33" t="s">
        <v>42968</v>
      </c>
      <c r="AA5723" s="33">
        <v>1943</v>
      </c>
    </row>
    <row r="5724" spans="1:27" ht="12" customHeight="1" x14ac:dyDescent="0.15">
      <c r="A5724" s="33" t="s">
        <v>6079</v>
      </c>
      <c r="B5724" s="33">
        <v>38</v>
      </c>
      <c r="C5724" s="33" t="s">
        <v>14</v>
      </c>
      <c r="D5724" s="33" t="s">
        <v>31</v>
      </c>
      <c r="E5724" s="33" t="s">
        <v>6080</v>
      </c>
      <c r="F5724" s="67">
        <v>41930</v>
      </c>
      <c r="G5724" s="33" t="s">
        <v>22170</v>
      </c>
      <c r="H5724" s="33" t="s">
        <v>6081</v>
      </c>
      <c r="I5724" s="33" t="s">
        <v>621</v>
      </c>
      <c r="J5724" s="33" t="s">
        <v>6082</v>
      </c>
      <c r="K5724" s="33" t="s">
        <v>1107</v>
      </c>
      <c r="L5724" s="33" t="s">
        <v>1108</v>
      </c>
      <c r="M5724" s="33" t="s">
        <v>21</v>
      </c>
      <c r="N5724" s="33" t="s">
        <v>6083</v>
      </c>
      <c r="O5724" s="33" t="s">
        <v>950</v>
      </c>
      <c r="P5724" s="33" t="s">
        <v>30089</v>
      </c>
      <c r="Q5724" s="40" t="s">
        <v>6084</v>
      </c>
      <c r="R5724" s="33" t="s">
        <v>94</v>
      </c>
      <c r="S5724" s="33" t="s">
        <v>22</v>
      </c>
      <c r="T5724" s="1" t="s">
        <v>26781</v>
      </c>
      <c r="Z5724" s="33" t="s">
        <v>42968</v>
      </c>
      <c r="AA5724" s="33">
        <v>1942</v>
      </c>
    </row>
    <row r="5725" spans="1:27" ht="12" customHeight="1" x14ac:dyDescent="0.15">
      <c r="A5725" s="33" t="s">
        <v>6093</v>
      </c>
      <c r="B5725" s="33">
        <v>75</v>
      </c>
      <c r="C5725" s="33" t="s">
        <v>14</v>
      </c>
      <c r="D5725" s="33" t="s">
        <v>31</v>
      </c>
      <c r="E5725" s="33" t="s">
        <v>6094</v>
      </c>
      <c r="F5725" s="67">
        <v>41929</v>
      </c>
      <c r="G5725" s="33" t="s">
        <v>6095</v>
      </c>
      <c r="H5725" s="33" t="s">
        <v>6096</v>
      </c>
      <c r="I5725" s="33" t="s">
        <v>918</v>
      </c>
      <c r="J5725" s="33" t="s">
        <v>6097</v>
      </c>
      <c r="K5725" s="33" t="s">
        <v>6098</v>
      </c>
      <c r="L5725" s="33" t="s">
        <v>36933</v>
      </c>
      <c r="M5725" s="33" t="s">
        <v>21</v>
      </c>
      <c r="N5725" s="33" t="s">
        <v>6099</v>
      </c>
      <c r="O5725" s="33" t="s">
        <v>372</v>
      </c>
      <c r="P5725" s="33" t="s">
        <v>30089</v>
      </c>
      <c r="Q5725" s="40" t="s">
        <v>6100</v>
      </c>
      <c r="R5725" s="33" t="s">
        <v>23</v>
      </c>
      <c r="S5725" s="33" t="s">
        <v>22</v>
      </c>
      <c r="T5725" s="1" t="s">
        <v>26781</v>
      </c>
      <c r="Z5725" s="33" t="s">
        <v>42967</v>
      </c>
      <c r="AA5725" s="33">
        <v>1938</v>
      </c>
    </row>
    <row r="5726" spans="1:27" ht="12" customHeight="1" x14ac:dyDescent="0.15">
      <c r="A5726" s="33" t="s">
        <v>6101</v>
      </c>
      <c r="B5726" s="33">
        <v>31</v>
      </c>
      <c r="C5726" s="33" t="s">
        <v>14</v>
      </c>
      <c r="D5726" s="33" t="s">
        <v>31</v>
      </c>
      <c r="E5726" s="33" t="s">
        <v>6102</v>
      </c>
      <c r="F5726" s="67">
        <v>41929</v>
      </c>
      <c r="G5726" s="33" t="s">
        <v>6103</v>
      </c>
      <c r="H5726" s="33" t="s">
        <v>4818</v>
      </c>
      <c r="I5726" s="33" t="s">
        <v>112</v>
      </c>
      <c r="J5726" s="33" t="s">
        <v>4819</v>
      </c>
      <c r="K5726" s="33" t="s">
        <v>585</v>
      </c>
      <c r="L5726" s="33" t="s">
        <v>167</v>
      </c>
      <c r="M5726" s="33" t="s">
        <v>21</v>
      </c>
      <c r="N5726" s="33" t="s">
        <v>6104</v>
      </c>
      <c r="O5726" s="33" t="s">
        <v>372</v>
      </c>
      <c r="P5726" s="33" t="s">
        <v>30089</v>
      </c>
      <c r="Q5726" s="40" t="s">
        <v>6105</v>
      </c>
      <c r="R5726" s="33" t="s">
        <v>23</v>
      </c>
      <c r="S5726" s="33" t="s">
        <v>29</v>
      </c>
      <c r="T5726" s="33" t="s">
        <v>41840</v>
      </c>
      <c r="Z5726" s="33" t="s">
        <v>42967</v>
      </c>
      <c r="AA5726" s="33">
        <v>1940</v>
      </c>
    </row>
    <row r="5727" spans="1:27" ht="12" customHeight="1" x14ac:dyDescent="0.15">
      <c r="A5727" s="33" t="s">
        <v>6085</v>
      </c>
      <c r="B5727" s="33">
        <v>28</v>
      </c>
      <c r="C5727" s="33" t="s">
        <v>14</v>
      </c>
      <c r="D5727" s="33" t="s">
        <v>79</v>
      </c>
      <c r="E5727" s="33" t="s">
        <v>6086</v>
      </c>
      <c r="F5727" s="67">
        <v>41929</v>
      </c>
      <c r="G5727" s="33" t="s">
        <v>6087</v>
      </c>
      <c r="H5727" s="33" t="s">
        <v>6088</v>
      </c>
      <c r="I5727" s="33" t="s">
        <v>88</v>
      </c>
      <c r="J5727" s="33" t="s">
        <v>6089</v>
      </c>
      <c r="K5727" s="33" t="s">
        <v>1659</v>
      </c>
      <c r="L5727" s="33" t="s">
        <v>6090</v>
      </c>
      <c r="M5727" s="33" t="s">
        <v>21</v>
      </c>
      <c r="N5727" s="33" t="s">
        <v>6091</v>
      </c>
      <c r="O5727" s="33" t="s">
        <v>950</v>
      </c>
      <c r="P5727" s="33" t="s">
        <v>30089</v>
      </c>
      <c r="Q5727" s="40" t="s">
        <v>6092</v>
      </c>
      <c r="R5727" s="33" t="s">
        <v>94</v>
      </c>
      <c r="S5727" s="33" t="s">
        <v>12</v>
      </c>
      <c r="T5727" s="54" t="s">
        <v>29705</v>
      </c>
      <c r="Z5727" s="33" t="s">
        <v>42967</v>
      </c>
      <c r="AA5727" s="33">
        <v>1939</v>
      </c>
    </row>
    <row r="5728" spans="1:27" ht="12" customHeight="1" x14ac:dyDescent="0.15">
      <c r="A5728" s="33" t="s">
        <v>6116</v>
      </c>
      <c r="B5728" s="33">
        <v>36</v>
      </c>
      <c r="C5728" s="33" t="s">
        <v>14</v>
      </c>
      <c r="D5728" s="33" t="s">
        <v>31</v>
      </c>
      <c r="F5728" s="67">
        <v>41925</v>
      </c>
      <c r="G5728" s="33" t="s">
        <v>6117</v>
      </c>
      <c r="H5728" s="33" t="s">
        <v>6118</v>
      </c>
      <c r="I5728" s="33" t="s">
        <v>367</v>
      </c>
      <c r="J5728" s="33" t="s">
        <v>6119</v>
      </c>
      <c r="K5728" s="33" t="s">
        <v>6120</v>
      </c>
      <c r="L5728" s="33" t="s">
        <v>6121</v>
      </c>
      <c r="M5728" s="33" t="s">
        <v>21</v>
      </c>
      <c r="N5728" s="33" t="s">
        <v>6122</v>
      </c>
      <c r="O5728" s="33" t="s">
        <v>507</v>
      </c>
      <c r="P5728" s="33" t="s">
        <v>30089</v>
      </c>
      <c r="Q5728" s="40" t="s">
        <v>6123</v>
      </c>
      <c r="R5728" s="33" t="s">
        <v>94</v>
      </c>
      <c r="S5728" s="33" t="s">
        <v>22</v>
      </c>
      <c r="T5728" s="1" t="s">
        <v>26781</v>
      </c>
      <c r="Z5728" s="33" t="s">
        <v>42967</v>
      </c>
      <c r="AA5728" s="33">
        <v>1935</v>
      </c>
    </row>
    <row r="5729" spans="1:27" ht="12" customHeight="1" x14ac:dyDescent="0.15">
      <c r="A5729" s="33" t="s">
        <v>6108</v>
      </c>
      <c r="B5729" s="33">
        <v>36</v>
      </c>
      <c r="C5729" s="33" t="s">
        <v>14</v>
      </c>
      <c r="D5729" s="33" t="s">
        <v>42</v>
      </c>
      <c r="F5729" s="67">
        <v>41925</v>
      </c>
      <c r="G5729" s="33" t="s">
        <v>6109</v>
      </c>
      <c r="H5729" s="33" t="s">
        <v>6110</v>
      </c>
      <c r="I5729" s="33" t="s">
        <v>67</v>
      </c>
      <c r="J5729" s="33" t="s">
        <v>6111</v>
      </c>
      <c r="K5729" s="33" t="s">
        <v>6112</v>
      </c>
      <c r="L5729" s="33" t="s">
        <v>6113</v>
      </c>
      <c r="M5729" s="33" t="s">
        <v>21</v>
      </c>
      <c r="N5729" s="33" t="s">
        <v>6114</v>
      </c>
      <c r="O5729" s="33" t="s">
        <v>950</v>
      </c>
      <c r="P5729" s="33" t="s">
        <v>30089</v>
      </c>
      <c r="Q5729" s="40" t="s">
        <v>6115</v>
      </c>
      <c r="R5729" s="33" t="s">
        <v>94</v>
      </c>
      <c r="S5729" s="33" t="s">
        <v>22</v>
      </c>
      <c r="T5729" s="1" t="s">
        <v>26774</v>
      </c>
      <c r="Z5729" s="33" t="s">
        <v>42967</v>
      </c>
      <c r="AA5729" s="33">
        <v>1937</v>
      </c>
    </row>
    <row r="5730" spans="1:27" ht="12" customHeight="1" x14ac:dyDescent="0.15">
      <c r="A5730" s="33" t="s">
        <v>6124</v>
      </c>
      <c r="B5730" s="33">
        <v>35</v>
      </c>
      <c r="C5730" s="33" t="s">
        <v>14</v>
      </c>
      <c r="D5730" s="33" t="s">
        <v>31</v>
      </c>
      <c r="E5730" s="33" t="s">
        <v>6125</v>
      </c>
      <c r="F5730" s="67">
        <v>41925</v>
      </c>
      <c r="G5730" s="33" t="s">
        <v>6126</v>
      </c>
      <c r="H5730" s="33" t="s">
        <v>392</v>
      </c>
      <c r="I5730" s="33" t="s">
        <v>67</v>
      </c>
      <c r="J5730" s="33" t="s">
        <v>6127</v>
      </c>
      <c r="K5730" s="33" t="s">
        <v>6128</v>
      </c>
      <c r="L5730" s="33" t="s">
        <v>5161</v>
      </c>
      <c r="M5730" s="33" t="s">
        <v>21</v>
      </c>
      <c r="N5730" s="33" t="s">
        <v>6129</v>
      </c>
      <c r="O5730" s="33" t="s">
        <v>950</v>
      </c>
      <c r="P5730" s="33" t="s">
        <v>30089</v>
      </c>
      <c r="Q5730" s="40" t="s">
        <v>6130</v>
      </c>
      <c r="R5730" s="33" t="s">
        <v>94</v>
      </c>
      <c r="S5730" s="33" t="s">
        <v>22</v>
      </c>
      <c r="T5730" s="1" t="s">
        <v>26781</v>
      </c>
      <c r="Z5730" s="33" t="s">
        <v>42967</v>
      </c>
      <c r="AA5730" s="33">
        <v>1936</v>
      </c>
    </row>
    <row r="5731" spans="1:27" ht="12" customHeight="1" x14ac:dyDescent="0.15">
      <c r="A5731" s="33" t="s">
        <v>6131</v>
      </c>
      <c r="B5731" s="33">
        <v>25</v>
      </c>
      <c r="C5731" s="33" t="s">
        <v>14</v>
      </c>
      <c r="D5731" s="33" t="s">
        <v>79</v>
      </c>
      <c r="F5731" s="67">
        <v>41924</v>
      </c>
      <c r="G5731" s="33" t="s">
        <v>6132</v>
      </c>
      <c r="H5731" s="33" t="s">
        <v>81</v>
      </c>
      <c r="I5731" s="33" t="s">
        <v>38</v>
      </c>
      <c r="J5731" s="33" t="s">
        <v>6133</v>
      </c>
      <c r="K5731" s="33" t="s">
        <v>82</v>
      </c>
      <c r="L5731" s="33" t="s">
        <v>83</v>
      </c>
      <c r="M5731" s="33" t="s">
        <v>21</v>
      </c>
      <c r="N5731" s="33" t="s">
        <v>6134</v>
      </c>
      <c r="O5731" s="33" t="s">
        <v>950</v>
      </c>
      <c r="P5731" s="33" t="s">
        <v>30089</v>
      </c>
      <c r="Q5731" s="40" t="s">
        <v>6135</v>
      </c>
      <c r="R5731" s="33" t="s">
        <v>94</v>
      </c>
      <c r="S5731" s="33" t="s">
        <v>29</v>
      </c>
      <c r="T5731" s="33" t="s">
        <v>41840</v>
      </c>
      <c r="Z5731" s="33" t="s">
        <v>42966</v>
      </c>
      <c r="AA5731" s="33">
        <v>1934</v>
      </c>
    </row>
    <row r="5732" spans="1:27" ht="12" customHeight="1" x14ac:dyDescent="0.15">
      <c r="A5732" s="33" t="s">
        <v>6151</v>
      </c>
      <c r="B5732" s="33">
        <v>52</v>
      </c>
      <c r="C5732" s="33" t="s">
        <v>14</v>
      </c>
      <c r="D5732" s="33" t="s">
        <v>31</v>
      </c>
      <c r="F5732" s="67">
        <v>41924</v>
      </c>
      <c r="G5732" s="33" t="s">
        <v>6152</v>
      </c>
      <c r="H5732" s="33" t="s">
        <v>6153</v>
      </c>
      <c r="I5732" s="33" t="s">
        <v>4034</v>
      </c>
      <c r="J5732" s="33" t="s">
        <v>6154</v>
      </c>
      <c r="K5732" s="33" t="s">
        <v>4036</v>
      </c>
      <c r="L5732" s="33" t="s">
        <v>4037</v>
      </c>
      <c r="M5732" s="33" t="s">
        <v>21</v>
      </c>
      <c r="N5732" s="33" t="s">
        <v>36802</v>
      </c>
      <c r="O5732" s="33" t="s">
        <v>950</v>
      </c>
      <c r="P5732" s="33" t="s">
        <v>30089</v>
      </c>
      <c r="Q5732" s="40" t="s">
        <v>6155</v>
      </c>
      <c r="R5732" s="33" t="s">
        <v>94</v>
      </c>
      <c r="S5732" s="33" t="s">
        <v>29</v>
      </c>
      <c r="T5732" s="1" t="s">
        <v>41840</v>
      </c>
      <c r="Z5732" s="33" t="s">
        <v>42967</v>
      </c>
      <c r="AA5732" s="33">
        <v>1933</v>
      </c>
    </row>
    <row r="5733" spans="1:27" ht="12" customHeight="1" x14ac:dyDescent="0.15">
      <c r="A5733" s="33" t="s">
        <v>6142</v>
      </c>
      <c r="B5733" s="33">
        <v>27</v>
      </c>
      <c r="C5733" s="33" t="s">
        <v>14</v>
      </c>
      <c r="D5733" s="33" t="s">
        <v>42</v>
      </c>
      <c r="E5733" s="33" t="s">
        <v>6143</v>
      </c>
      <c r="F5733" s="67">
        <v>41924</v>
      </c>
      <c r="G5733" s="33" t="s">
        <v>6144</v>
      </c>
      <c r="H5733" s="33" t="s">
        <v>6145</v>
      </c>
      <c r="I5733" s="33" t="s">
        <v>192</v>
      </c>
      <c r="J5733" s="33" t="s">
        <v>6146</v>
      </c>
      <c r="K5733" s="33" t="s">
        <v>6147</v>
      </c>
      <c r="L5733" s="33" t="s">
        <v>6148</v>
      </c>
      <c r="M5733" s="33" t="s">
        <v>21</v>
      </c>
      <c r="N5733" s="33" t="s">
        <v>6149</v>
      </c>
      <c r="O5733" s="33" t="s">
        <v>26737</v>
      </c>
      <c r="P5733" s="33" t="s">
        <v>26738</v>
      </c>
      <c r="Q5733" s="40" t="s">
        <v>6150</v>
      </c>
      <c r="R5733" s="33" t="s">
        <v>94</v>
      </c>
      <c r="S5733" s="33" t="s">
        <v>12</v>
      </c>
      <c r="T5733" s="54" t="s">
        <v>29705</v>
      </c>
      <c r="Z5733" s="33" t="s">
        <v>42967</v>
      </c>
      <c r="AA5733" s="33">
        <v>1932</v>
      </c>
    </row>
    <row r="5734" spans="1:27" ht="12" customHeight="1" x14ac:dyDescent="0.15">
      <c r="A5734" s="33" t="s">
        <v>6136</v>
      </c>
      <c r="B5734" s="33">
        <v>20</v>
      </c>
      <c r="C5734" s="33" t="s">
        <v>14</v>
      </c>
      <c r="D5734" s="33" t="s">
        <v>79</v>
      </c>
      <c r="E5734" s="33" t="s">
        <v>6137</v>
      </c>
      <c r="F5734" s="67">
        <v>41924</v>
      </c>
      <c r="G5734" s="33" t="s">
        <v>6138</v>
      </c>
      <c r="H5734" s="33" t="s">
        <v>1463</v>
      </c>
      <c r="I5734" s="33" t="s">
        <v>56</v>
      </c>
      <c r="J5734" s="33" t="s">
        <v>6139</v>
      </c>
      <c r="K5734" s="33" t="s">
        <v>590</v>
      </c>
      <c r="L5734" s="33" t="s">
        <v>1465</v>
      </c>
      <c r="M5734" s="33" t="s">
        <v>21</v>
      </c>
      <c r="N5734" s="33" t="s">
        <v>6140</v>
      </c>
      <c r="O5734" s="33" t="s">
        <v>950</v>
      </c>
      <c r="P5734" s="33" t="s">
        <v>30089</v>
      </c>
      <c r="Q5734" s="40" t="s">
        <v>6141</v>
      </c>
      <c r="R5734" s="33" t="s">
        <v>94</v>
      </c>
      <c r="S5734" s="33" t="s">
        <v>22</v>
      </c>
      <c r="T5734" s="1" t="s">
        <v>26781</v>
      </c>
      <c r="Z5734" s="33" t="s">
        <v>42966</v>
      </c>
      <c r="AA5734" s="33">
        <v>1931</v>
      </c>
    </row>
    <row r="5735" spans="1:27" ht="12" customHeight="1" x14ac:dyDescent="0.15">
      <c r="A5735" s="33" t="s">
        <v>6159</v>
      </c>
      <c r="B5735" s="33">
        <v>40</v>
      </c>
      <c r="C5735" s="33" t="s">
        <v>14</v>
      </c>
      <c r="D5735" s="33" t="s">
        <v>24</v>
      </c>
      <c r="F5735" s="67">
        <v>41923</v>
      </c>
      <c r="G5735" s="33" t="s">
        <v>6160</v>
      </c>
      <c r="H5735" s="33" t="s">
        <v>401</v>
      </c>
      <c r="I5735" s="33" t="s">
        <v>402</v>
      </c>
      <c r="J5735" s="33" t="s">
        <v>6161</v>
      </c>
      <c r="K5735" s="33" t="s">
        <v>3117</v>
      </c>
      <c r="L5735" s="33" t="s">
        <v>405</v>
      </c>
      <c r="M5735" s="33" t="s">
        <v>21</v>
      </c>
      <c r="N5735" s="33" t="s">
        <v>6162</v>
      </c>
      <c r="O5735" s="33" t="s">
        <v>372</v>
      </c>
      <c r="P5735" s="33" t="s">
        <v>30089</v>
      </c>
      <c r="Q5735" s="40" t="s">
        <v>6163</v>
      </c>
      <c r="R5735" s="33" t="s">
        <v>512</v>
      </c>
      <c r="S5735" s="33" t="s">
        <v>22</v>
      </c>
      <c r="T5735" s="1" t="s">
        <v>26781</v>
      </c>
      <c r="Z5735" s="33" t="s">
        <v>42966</v>
      </c>
      <c r="AA5735" s="33">
        <v>1929</v>
      </c>
    </row>
    <row r="5736" spans="1:27" ht="12" customHeight="1" x14ac:dyDescent="0.15">
      <c r="A5736" s="33" t="s">
        <v>6164</v>
      </c>
      <c r="B5736" s="33">
        <v>33</v>
      </c>
      <c r="C5736" s="33" t="s">
        <v>14</v>
      </c>
      <c r="D5736" s="33" t="s">
        <v>31</v>
      </c>
      <c r="F5736" s="67">
        <v>41923</v>
      </c>
      <c r="G5736" s="33" t="s">
        <v>6165</v>
      </c>
      <c r="H5736" s="33" t="s">
        <v>870</v>
      </c>
      <c r="I5736" s="33" t="s">
        <v>67</v>
      </c>
      <c r="J5736" s="33" t="s">
        <v>6166</v>
      </c>
      <c r="K5736" s="33" t="s">
        <v>68</v>
      </c>
      <c r="L5736" s="33" t="s">
        <v>871</v>
      </c>
      <c r="M5736" s="33" t="s">
        <v>21</v>
      </c>
      <c r="N5736" s="33" t="s">
        <v>36803</v>
      </c>
      <c r="O5736" s="33" t="s">
        <v>950</v>
      </c>
      <c r="P5736" s="33" t="s">
        <v>30089</v>
      </c>
      <c r="Q5736" s="40" t="s">
        <v>6167</v>
      </c>
      <c r="R5736" s="33" t="s">
        <v>94</v>
      </c>
      <c r="S5736" s="33" t="s">
        <v>22</v>
      </c>
      <c r="T5736" s="1" t="s">
        <v>26576</v>
      </c>
      <c r="Z5736" s="33" t="s">
        <v>42968</v>
      </c>
      <c r="AA5736" s="33">
        <v>1930</v>
      </c>
    </row>
    <row r="5737" spans="1:27" ht="12" customHeight="1" x14ac:dyDescent="0.15">
      <c r="A5737" s="33" t="s">
        <v>6176</v>
      </c>
      <c r="B5737" s="33">
        <v>40</v>
      </c>
      <c r="C5737" s="33" t="s">
        <v>14</v>
      </c>
      <c r="D5737" s="33" t="s">
        <v>31</v>
      </c>
      <c r="E5737" s="33" t="s">
        <v>6177</v>
      </c>
      <c r="F5737" s="67">
        <v>41922</v>
      </c>
      <c r="G5737" s="33" t="s">
        <v>6178</v>
      </c>
      <c r="H5737" s="33" t="s">
        <v>518</v>
      </c>
      <c r="I5737" s="33" t="s">
        <v>112</v>
      </c>
      <c r="J5737" s="33" t="s">
        <v>6179</v>
      </c>
      <c r="K5737" s="33" t="s">
        <v>519</v>
      </c>
      <c r="L5737" s="33" t="s">
        <v>6180</v>
      </c>
      <c r="M5737" s="33" t="s">
        <v>21</v>
      </c>
      <c r="N5737" s="33" t="s">
        <v>6181</v>
      </c>
      <c r="O5737" s="33" t="s">
        <v>950</v>
      </c>
      <c r="P5737" s="33" t="s">
        <v>30089</v>
      </c>
      <c r="Q5737" s="40" t="s">
        <v>6182</v>
      </c>
      <c r="R5737" s="33" t="s">
        <v>94</v>
      </c>
      <c r="S5737" s="33" t="s">
        <v>22</v>
      </c>
      <c r="T5737" s="1" t="s">
        <v>26781</v>
      </c>
      <c r="Z5737" s="33" t="s">
        <v>42968</v>
      </c>
      <c r="AA5737" s="33">
        <v>1926</v>
      </c>
    </row>
    <row r="5738" spans="1:27" ht="12" customHeight="1" x14ac:dyDescent="0.15">
      <c r="A5738" s="33" t="s">
        <v>6173</v>
      </c>
      <c r="B5738" s="33">
        <v>20</v>
      </c>
      <c r="C5738" s="33" t="s">
        <v>14</v>
      </c>
      <c r="D5738" s="33" t="s">
        <v>79</v>
      </c>
      <c r="E5738" s="33" t="s">
        <v>6174</v>
      </c>
      <c r="F5738" s="67">
        <v>41922</v>
      </c>
      <c r="G5738" s="33" t="s">
        <v>6170</v>
      </c>
      <c r="H5738" s="33" t="s">
        <v>1202</v>
      </c>
      <c r="I5738" s="33" t="s">
        <v>63</v>
      </c>
      <c r="J5738" s="33" t="s">
        <v>4248</v>
      </c>
      <c r="K5738" s="33" t="s">
        <v>1203</v>
      </c>
      <c r="L5738" s="33" t="s">
        <v>11441</v>
      </c>
      <c r="M5738" s="33" t="s">
        <v>21</v>
      </c>
      <c r="N5738" s="33" t="s">
        <v>6175</v>
      </c>
      <c r="O5738" s="33" t="s">
        <v>950</v>
      </c>
      <c r="P5738" s="33" t="s">
        <v>30089</v>
      </c>
      <c r="Q5738" s="40" t="s">
        <v>6172</v>
      </c>
      <c r="R5738" s="33" t="s">
        <v>94</v>
      </c>
      <c r="S5738" s="33" t="s">
        <v>29</v>
      </c>
      <c r="T5738" s="1" t="s">
        <v>41840</v>
      </c>
      <c r="Z5738" s="33" t="s">
        <v>42966</v>
      </c>
      <c r="AA5738" s="33">
        <v>1927</v>
      </c>
    </row>
    <row r="5739" spans="1:27" ht="12" customHeight="1" x14ac:dyDescent="0.15">
      <c r="A5739" s="33" t="s">
        <v>6168</v>
      </c>
      <c r="B5739" s="33">
        <v>18</v>
      </c>
      <c r="C5739" s="33" t="s">
        <v>14</v>
      </c>
      <c r="D5739" s="33" t="s">
        <v>79</v>
      </c>
      <c r="E5739" s="33" t="s">
        <v>6169</v>
      </c>
      <c r="F5739" s="67">
        <v>41922</v>
      </c>
      <c r="G5739" s="33" t="s">
        <v>6170</v>
      </c>
      <c r="H5739" s="33" t="s">
        <v>1202</v>
      </c>
      <c r="I5739" s="33" t="s">
        <v>63</v>
      </c>
      <c r="J5739" s="33" t="s">
        <v>4248</v>
      </c>
      <c r="K5739" s="33" t="s">
        <v>1203</v>
      </c>
      <c r="L5739" s="33" t="s">
        <v>11441</v>
      </c>
      <c r="M5739" s="33" t="s">
        <v>21</v>
      </c>
      <c r="N5739" s="33" t="s">
        <v>6171</v>
      </c>
      <c r="O5739" s="33" t="s">
        <v>950</v>
      </c>
      <c r="P5739" s="33" t="s">
        <v>30089</v>
      </c>
      <c r="Q5739" s="40" t="s">
        <v>6172</v>
      </c>
      <c r="R5739" s="33" t="s">
        <v>94</v>
      </c>
      <c r="S5739" s="33" t="s">
        <v>29</v>
      </c>
      <c r="T5739" s="1" t="s">
        <v>41840</v>
      </c>
      <c r="Z5739" s="33" t="s">
        <v>42966</v>
      </c>
      <c r="AA5739" s="33">
        <v>1928</v>
      </c>
    </row>
    <row r="5740" spans="1:27" ht="12" customHeight="1" x14ac:dyDescent="0.15">
      <c r="A5740" s="33" t="s">
        <v>6183</v>
      </c>
      <c r="B5740" s="33">
        <v>39</v>
      </c>
      <c r="C5740" s="33" t="s">
        <v>14</v>
      </c>
      <c r="D5740" s="33" t="s">
        <v>79</v>
      </c>
      <c r="E5740" s="33" t="s">
        <v>6184</v>
      </c>
      <c r="F5740" s="67">
        <v>41921</v>
      </c>
      <c r="G5740" s="33" t="s">
        <v>6185</v>
      </c>
      <c r="H5740" s="33" t="s">
        <v>974</v>
      </c>
      <c r="I5740" s="33" t="s">
        <v>160</v>
      </c>
      <c r="J5740" s="33" t="s">
        <v>6186</v>
      </c>
      <c r="K5740" s="33" t="s">
        <v>1218</v>
      </c>
      <c r="L5740" s="33" t="s">
        <v>806</v>
      </c>
      <c r="M5740" s="33" t="s">
        <v>21</v>
      </c>
      <c r="N5740" s="33" t="s">
        <v>36804</v>
      </c>
      <c r="O5740" s="33" t="s">
        <v>950</v>
      </c>
      <c r="P5740" s="33" t="s">
        <v>30089</v>
      </c>
      <c r="Q5740" s="40" t="s">
        <v>6187</v>
      </c>
      <c r="R5740" s="33" t="s">
        <v>94</v>
      </c>
      <c r="S5740" s="33" t="s">
        <v>22</v>
      </c>
      <c r="T5740" s="1" t="s">
        <v>26781</v>
      </c>
      <c r="Y5740" s="33" t="s">
        <v>42476</v>
      </c>
      <c r="Z5740" s="33" t="s">
        <v>42968</v>
      </c>
      <c r="AA5740" s="33">
        <v>1924</v>
      </c>
    </row>
    <row r="5741" spans="1:27" ht="12" customHeight="1" x14ac:dyDescent="0.15">
      <c r="A5741" s="33" t="s">
        <v>6188</v>
      </c>
      <c r="B5741" s="33">
        <v>51</v>
      </c>
      <c r="C5741" s="33" t="s">
        <v>14</v>
      </c>
      <c r="D5741" s="33" t="s">
        <v>31</v>
      </c>
      <c r="E5741" s="33" t="s">
        <v>6189</v>
      </c>
      <c r="F5741" s="67">
        <v>41921</v>
      </c>
      <c r="G5741" s="33" t="s">
        <v>6190</v>
      </c>
      <c r="H5741" s="33" t="s">
        <v>6191</v>
      </c>
      <c r="I5741" s="33" t="s">
        <v>122</v>
      </c>
      <c r="J5741" s="33" t="s">
        <v>6192</v>
      </c>
      <c r="K5741" s="33" t="s">
        <v>1009</v>
      </c>
      <c r="L5741" s="33" t="s">
        <v>6193</v>
      </c>
      <c r="M5741" s="33" t="s">
        <v>21</v>
      </c>
      <c r="N5741" s="33" t="s">
        <v>6194</v>
      </c>
      <c r="O5741" s="33" t="s">
        <v>372</v>
      </c>
      <c r="P5741" s="33" t="s">
        <v>30089</v>
      </c>
      <c r="Q5741" s="40" t="s">
        <v>6195</v>
      </c>
      <c r="R5741" s="33" t="s">
        <v>94</v>
      </c>
      <c r="S5741" s="33" t="s">
        <v>22</v>
      </c>
      <c r="T5741" s="1" t="s">
        <v>26781</v>
      </c>
      <c r="Z5741" s="33" t="s">
        <v>42966</v>
      </c>
      <c r="AA5741" s="33">
        <v>1925</v>
      </c>
    </row>
    <row r="5742" spans="1:27" ht="12" customHeight="1" x14ac:dyDescent="0.15">
      <c r="A5742" s="33" t="s">
        <v>6202</v>
      </c>
      <c r="B5742" s="33">
        <v>20</v>
      </c>
      <c r="C5742" s="33" t="s">
        <v>14</v>
      </c>
      <c r="D5742" s="33" t="s">
        <v>42</v>
      </c>
      <c r="F5742" s="67">
        <v>41920</v>
      </c>
      <c r="G5742" s="33" t="s">
        <v>6203</v>
      </c>
      <c r="H5742" s="33" t="s">
        <v>1705</v>
      </c>
      <c r="I5742" s="33" t="s">
        <v>75</v>
      </c>
      <c r="J5742" s="33" t="s">
        <v>6204</v>
      </c>
      <c r="K5742" s="33" t="s">
        <v>1705</v>
      </c>
      <c r="L5742" s="33" t="s">
        <v>6205</v>
      </c>
      <c r="M5742" s="33" t="s">
        <v>21</v>
      </c>
      <c r="N5742" s="33" t="s">
        <v>6206</v>
      </c>
      <c r="O5742" s="33" t="s">
        <v>507</v>
      </c>
      <c r="P5742" s="33" t="s">
        <v>30089</v>
      </c>
      <c r="Q5742" s="40" t="s">
        <v>6207</v>
      </c>
      <c r="R5742" s="33" t="s">
        <v>94</v>
      </c>
      <c r="S5742" s="33" t="s">
        <v>351</v>
      </c>
      <c r="T5742" s="1" t="s">
        <v>42983</v>
      </c>
      <c r="Z5742" s="33" t="s">
        <v>42968</v>
      </c>
      <c r="AA5742" s="33">
        <v>1923</v>
      </c>
    </row>
    <row r="5743" spans="1:27" ht="12" customHeight="1" x14ac:dyDescent="0.15">
      <c r="A5743" s="33" t="s">
        <v>6208</v>
      </c>
      <c r="B5743" s="33">
        <v>41</v>
      </c>
      <c r="C5743" s="33" t="s">
        <v>14</v>
      </c>
      <c r="D5743" s="33" t="s">
        <v>885</v>
      </c>
      <c r="F5743" s="67">
        <v>41920</v>
      </c>
      <c r="G5743" s="33" t="s">
        <v>6209</v>
      </c>
      <c r="H5743" s="33" t="s">
        <v>401</v>
      </c>
      <c r="I5743" s="33" t="s">
        <v>402</v>
      </c>
      <c r="J5743" s="33" t="s">
        <v>6210</v>
      </c>
      <c r="K5743" s="33" t="s">
        <v>6211</v>
      </c>
      <c r="L5743" s="33" t="s">
        <v>405</v>
      </c>
      <c r="M5743" s="33" t="s">
        <v>21</v>
      </c>
      <c r="N5743" s="33" t="s">
        <v>6212</v>
      </c>
      <c r="O5743" s="33" t="s">
        <v>372</v>
      </c>
      <c r="P5743" s="33" t="s">
        <v>30089</v>
      </c>
      <c r="Q5743" s="40" t="s">
        <v>6213</v>
      </c>
      <c r="R5743" s="33" t="s">
        <v>23</v>
      </c>
      <c r="S5743" s="33" t="s">
        <v>22</v>
      </c>
      <c r="T5743" s="1" t="s">
        <v>28239</v>
      </c>
      <c r="Z5743" s="33" t="s">
        <v>42968</v>
      </c>
      <c r="AA5743" s="33">
        <v>1921</v>
      </c>
    </row>
    <row r="5744" spans="1:27" ht="12" customHeight="1" x14ac:dyDescent="0.15">
      <c r="A5744" s="33" t="s">
        <v>6214</v>
      </c>
      <c r="B5744" s="33">
        <v>35</v>
      </c>
      <c r="C5744" s="33" t="s">
        <v>14</v>
      </c>
      <c r="D5744" s="33" t="s">
        <v>31</v>
      </c>
      <c r="E5744" s="33" t="s">
        <v>6215</v>
      </c>
      <c r="F5744" s="67">
        <v>41920</v>
      </c>
      <c r="G5744" s="33" t="s">
        <v>6216</v>
      </c>
      <c r="H5744" s="33" t="s">
        <v>2307</v>
      </c>
      <c r="I5744" s="33" t="s">
        <v>367</v>
      </c>
      <c r="J5744" s="33" t="s">
        <v>6217</v>
      </c>
      <c r="K5744" s="33" t="s">
        <v>2307</v>
      </c>
      <c r="L5744" s="33" t="s">
        <v>3108</v>
      </c>
      <c r="M5744" s="33" t="s">
        <v>21</v>
      </c>
      <c r="N5744" s="33" t="s">
        <v>6218</v>
      </c>
      <c r="O5744" s="33" t="s">
        <v>950</v>
      </c>
      <c r="P5744" s="33" t="s">
        <v>30089</v>
      </c>
      <c r="Q5744" s="40" t="s">
        <v>6219</v>
      </c>
      <c r="R5744" s="33" t="s">
        <v>94</v>
      </c>
      <c r="S5744" s="33" t="s">
        <v>22</v>
      </c>
      <c r="T5744" s="1" t="s">
        <v>26781</v>
      </c>
      <c r="Z5744" s="33" t="s">
        <v>42966</v>
      </c>
      <c r="AA5744" s="33">
        <v>1920</v>
      </c>
    </row>
    <row r="5745" spans="1:31" ht="12" customHeight="1" x14ac:dyDescent="0.15">
      <c r="A5745" s="33" t="s">
        <v>6196</v>
      </c>
      <c r="B5745" s="33">
        <v>18</v>
      </c>
      <c r="C5745" s="33" t="s">
        <v>14</v>
      </c>
      <c r="D5745" s="33" t="s">
        <v>79</v>
      </c>
      <c r="E5745" s="33" t="s">
        <v>6197</v>
      </c>
      <c r="F5745" s="67">
        <v>41920</v>
      </c>
      <c r="G5745" s="33" t="s">
        <v>6198</v>
      </c>
      <c r="H5745" s="33" t="s">
        <v>661</v>
      </c>
      <c r="I5745" s="33" t="s">
        <v>402</v>
      </c>
      <c r="J5745" s="33" t="s">
        <v>6199</v>
      </c>
      <c r="K5745" s="33" t="s">
        <v>661</v>
      </c>
      <c r="L5745" s="33" t="s">
        <v>4162</v>
      </c>
      <c r="M5745" s="33" t="s">
        <v>21</v>
      </c>
      <c r="N5745" s="33" t="s">
        <v>6200</v>
      </c>
      <c r="O5745" s="33" t="s">
        <v>507</v>
      </c>
      <c r="P5745" s="33" t="s">
        <v>30089</v>
      </c>
      <c r="Q5745" s="40" t="s">
        <v>6201</v>
      </c>
      <c r="R5745" s="33" t="s">
        <v>94</v>
      </c>
      <c r="S5745" s="33" t="s">
        <v>29</v>
      </c>
      <c r="T5745" s="33" t="s">
        <v>41840</v>
      </c>
      <c r="Y5745" s="33" t="s">
        <v>42476</v>
      </c>
      <c r="Z5745" s="33" t="s">
        <v>42966</v>
      </c>
      <c r="AA5745" s="33">
        <v>1922</v>
      </c>
    </row>
    <row r="5746" spans="1:31" ht="12" customHeight="1" x14ac:dyDescent="0.15">
      <c r="A5746" s="33" t="s">
        <v>6220</v>
      </c>
      <c r="B5746" s="33">
        <v>34</v>
      </c>
      <c r="C5746" s="33" t="s">
        <v>14</v>
      </c>
      <c r="D5746" s="33" t="s">
        <v>79</v>
      </c>
      <c r="E5746" s="33" t="s">
        <v>6221</v>
      </c>
      <c r="F5746" s="67">
        <v>41919</v>
      </c>
      <c r="G5746" s="33" t="s">
        <v>6222</v>
      </c>
      <c r="H5746" s="33" t="s">
        <v>2012</v>
      </c>
      <c r="I5746" s="33" t="s">
        <v>88</v>
      </c>
      <c r="J5746" s="33" t="s">
        <v>6223</v>
      </c>
      <c r="K5746" s="33" t="s">
        <v>2014</v>
      </c>
      <c r="L5746" s="33" t="s">
        <v>2015</v>
      </c>
      <c r="M5746" s="33" t="s">
        <v>21</v>
      </c>
      <c r="N5746" s="33" t="s">
        <v>6224</v>
      </c>
      <c r="O5746" s="33" t="s">
        <v>372</v>
      </c>
      <c r="P5746" s="33" t="s">
        <v>30089</v>
      </c>
      <c r="Q5746" s="40" t="str">
        <f>HYPERLINK("http://www.al.com/news/huntsville/index.ssf/2014/10/officer-involved_shooting_at_m.html#incart_2box","http://www.al.com/news/huntsville/index.ssf/2014/10/officer-involved_shooting_at_m.html#incart_2box")</f>
        <v>http://www.al.com/news/huntsville/index.ssf/2014/10/officer-involved_shooting_at_m.html#incart_2box</v>
      </c>
      <c r="R5746" s="33" t="s">
        <v>23</v>
      </c>
      <c r="S5746" s="33" t="s">
        <v>22</v>
      </c>
      <c r="T5746" s="1" t="s">
        <v>26774</v>
      </c>
      <c r="Z5746" s="33" t="s">
        <v>42966</v>
      </c>
      <c r="AA5746" s="33">
        <v>1918</v>
      </c>
    </row>
    <row r="5747" spans="1:31" ht="12" customHeight="1" x14ac:dyDescent="0.15">
      <c r="A5747" s="33" t="s">
        <v>6238</v>
      </c>
      <c r="B5747" s="33">
        <v>36</v>
      </c>
      <c r="C5747" s="33" t="s">
        <v>14</v>
      </c>
      <c r="D5747" s="33" t="s">
        <v>42</v>
      </c>
      <c r="F5747" s="67">
        <v>41919</v>
      </c>
      <c r="G5747" s="33" t="s">
        <v>6239</v>
      </c>
      <c r="H5747" s="33" t="s">
        <v>674</v>
      </c>
      <c r="I5747" s="33" t="s">
        <v>67</v>
      </c>
      <c r="J5747" s="33" t="s">
        <v>6240</v>
      </c>
      <c r="K5747" s="33" t="s">
        <v>515</v>
      </c>
      <c r="L5747" s="33" t="s">
        <v>675</v>
      </c>
      <c r="M5747" s="33" t="s">
        <v>21</v>
      </c>
      <c r="N5747" s="33" t="s">
        <v>6241</v>
      </c>
      <c r="O5747" s="33" t="s">
        <v>950</v>
      </c>
      <c r="P5747" s="33" t="s">
        <v>30089</v>
      </c>
      <c r="Q5747" s="40" t="s">
        <v>6242</v>
      </c>
      <c r="R5747" s="33" t="s">
        <v>94</v>
      </c>
      <c r="S5747" s="33" t="s">
        <v>22</v>
      </c>
      <c r="T5747" s="1" t="s">
        <v>26781</v>
      </c>
      <c r="Z5747" s="33" t="s">
        <v>42966</v>
      </c>
      <c r="AA5747" s="33">
        <v>1917</v>
      </c>
    </row>
    <row r="5748" spans="1:31" ht="12" customHeight="1" x14ac:dyDescent="0.15">
      <c r="A5748" s="33" t="s">
        <v>6228</v>
      </c>
      <c r="B5748" s="33">
        <v>29</v>
      </c>
      <c r="C5748" s="33" t="s">
        <v>14</v>
      </c>
      <c r="D5748" s="33" t="s">
        <v>79</v>
      </c>
      <c r="E5748" s="33" t="s">
        <v>6229</v>
      </c>
      <c r="F5748" s="67">
        <v>41919</v>
      </c>
      <c r="G5748" s="33" t="s">
        <v>6230</v>
      </c>
      <c r="H5748" s="33" t="s">
        <v>249</v>
      </c>
      <c r="I5748" s="33" t="s">
        <v>250</v>
      </c>
      <c r="J5748" s="33" t="s">
        <v>6231</v>
      </c>
      <c r="K5748" s="33" t="s">
        <v>527</v>
      </c>
      <c r="L5748" s="33" t="s">
        <v>251</v>
      </c>
      <c r="M5748" s="33" t="s">
        <v>21</v>
      </c>
      <c r="N5748" s="33" t="s">
        <v>6232</v>
      </c>
      <c r="O5748" s="33" t="s">
        <v>950</v>
      </c>
      <c r="P5748" s="33" t="s">
        <v>30089</v>
      </c>
      <c r="Q5748" s="40" t="str">
        <f>HYPERLINK("http://www.jrn.com/ktnv/news/Family-speaks-out-after-man-killed-by-police-in-shootout-278597311.html","http://www.jrn.com/ktnv/news/Family-speaks-out-after-man-killed-by-police-in-shootout-278597311.html")</f>
        <v>http://www.jrn.com/ktnv/news/Family-speaks-out-after-man-killed-by-police-in-shootout-278597311.html</v>
      </c>
      <c r="R5748" s="33" t="s">
        <v>94</v>
      </c>
      <c r="S5748" s="33" t="s">
        <v>22</v>
      </c>
      <c r="T5748" s="1" t="s">
        <v>26781</v>
      </c>
      <c r="Z5748" s="33" t="s">
        <v>42968</v>
      </c>
      <c r="AA5748" s="33">
        <v>1915</v>
      </c>
    </row>
    <row r="5749" spans="1:31" ht="12" customHeight="1" x14ac:dyDescent="0.15">
      <c r="A5749" s="33" t="s">
        <v>36806</v>
      </c>
      <c r="B5749" s="33">
        <v>26</v>
      </c>
      <c r="C5749" s="33" t="s">
        <v>14</v>
      </c>
      <c r="D5749" s="33" t="s">
        <v>79</v>
      </c>
      <c r="E5749" s="33" t="s">
        <v>6233</v>
      </c>
      <c r="F5749" s="67">
        <v>41919</v>
      </c>
      <c r="G5749" s="33" t="s">
        <v>6234</v>
      </c>
      <c r="H5749" s="33" t="s">
        <v>886</v>
      </c>
      <c r="I5749" s="33" t="s">
        <v>39</v>
      </c>
      <c r="J5749" s="33" t="s">
        <v>6235</v>
      </c>
      <c r="K5749" s="33" t="s">
        <v>886</v>
      </c>
      <c r="L5749" s="33" t="s">
        <v>887</v>
      </c>
      <c r="M5749" s="33" t="s">
        <v>21</v>
      </c>
      <c r="N5749" s="33" t="s">
        <v>6236</v>
      </c>
      <c r="O5749" s="33" t="s">
        <v>950</v>
      </c>
      <c r="P5749" s="33" t="s">
        <v>30089</v>
      </c>
      <c r="Q5749" s="40" t="s">
        <v>6237</v>
      </c>
      <c r="R5749" s="33" t="s">
        <v>94</v>
      </c>
      <c r="S5749" s="33" t="s">
        <v>22</v>
      </c>
      <c r="T5749" s="1" t="s">
        <v>26781</v>
      </c>
      <c r="Z5749" s="33" t="s">
        <v>42966</v>
      </c>
      <c r="AA5749" s="33">
        <v>1916</v>
      </c>
    </row>
    <row r="5750" spans="1:31" ht="12" customHeight="1" x14ac:dyDescent="0.15">
      <c r="A5750" s="33" t="s">
        <v>6225</v>
      </c>
      <c r="B5750" s="33">
        <v>37</v>
      </c>
      <c r="C5750" s="33" t="s">
        <v>103</v>
      </c>
      <c r="D5750" s="33" t="s">
        <v>79</v>
      </c>
      <c r="E5750" s="33" t="str">
        <f>HYPERLINK("http://bloximages.chicago2.vip.townnews.com/wacotrib.com/content/tncms/assets/v3/editorial/d/8f/d8f5c52a-c474-5323-bbcf-9da3b5d574a5/543498624ad06.image.jpg","http://bloximages.chicago2.vip.townnews.com/wacotrib.com/content/tncms/assets/v3/editorial/d/8f/d8f5c52a-c474-5323-bbcf-9da3b5d574a5/543498624ad06.image.jpg")</f>
        <v>http://bloximages.chicago2.vip.townnews.com/wacotrib.com/content/tncms/assets/v3/editorial/d/8f/d8f5c52a-c474-5323-bbcf-9da3b5d574a5/543498624ad06.image.jpg</v>
      </c>
      <c r="F5750" s="67">
        <v>41919</v>
      </c>
      <c r="G5750" s="33" t="s">
        <v>6226</v>
      </c>
      <c r="H5750" s="33" t="s">
        <v>743</v>
      </c>
      <c r="I5750" s="33" t="s">
        <v>67</v>
      </c>
      <c r="J5750" s="33">
        <v>76705</v>
      </c>
      <c r="K5750" s="33" t="s">
        <v>744</v>
      </c>
      <c r="L5750" s="33" t="s">
        <v>36805</v>
      </c>
      <c r="M5750" s="33" t="s">
        <v>363</v>
      </c>
      <c r="N5750" s="33" t="s">
        <v>6227</v>
      </c>
      <c r="O5750" s="33" t="s">
        <v>507</v>
      </c>
      <c r="P5750" s="33" t="s">
        <v>30089</v>
      </c>
      <c r="Q5750" s="40" t="str">
        <f>HYPERLINK("http://www.wacotrib.com/news/courts_and_trials/woman-dies-in-mclennan-county-jail/article_295a2448-47f5-565b-b08b-7d0104877301.html","http://www.wacotrib.com/news/courts_and_trials/woman-dies-in-mclennan-county-jail/article_295a2448-47f5-565b-b08b-7d0104877301.html")</f>
        <v>http://www.wacotrib.com/news/courts_and_trials/woman-dies-in-mclennan-county-jail/article_295a2448-47f5-565b-b08b-7d0104877301.html</v>
      </c>
      <c r="R5750" s="33" t="s">
        <v>904</v>
      </c>
      <c r="S5750" s="33" t="s">
        <v>12</v>
      </c>
      <c r="T5750" s="54" t="s">
        <v>29705</v>
      </c>
      <c r="Z5750" s="33" t="s">
        <v>42967</v>
      </c>
      <c r="AA5750" s="33">
        <v>1919</v>
      </c>
    </row>
    <row r="5751" spans="1:31" ht="12" customHeight="1" x14ac:dyDescent="0.15">
      <c r="A5751" s="33" t="s">
        <v>6243</v>
      </c>
      <c r="B5751" s="33">
        <v>65</v>
      </c>
      <c r="C5751" s="33" t="s">
        <v>14</v>
      </c>
      <c r="D5751" s="33" t="s">
        <v>79</v>
      </c>
      <c r="E5751" s="33" t="s">
        <v>6244</v>
      </c>
      <c r="F5751" s="67">
        <v>41918</v>
      </c>
      <c r="G5751" s="33" t="s">
        <v>6245</v>
      </c>
      <c r="H5751" s="33" t="s">
        <v>584</v>
      </c>
      <c r="I5751" s="33" t="s">
        <v>112</v>
      </c>
      <c r="J5751" s="33" t="s">
        <v>5670</v>
      </c>
      <c r="K5751" s="33" t="s">
        <v>585</v>
      </c>
      <c r="L5751" s="33" t="s">
        <v>586</v>
      </c>
      <c r="M5751" s="33" t="s">
        <v>363</v>
      </c>
      <c r="N5751" s="33" t="s">
        <v>6246</v>
      </c>
      <c r="O5751" s="33" t="s">
        <v>950</v>
      </c>
      <c r="P5751" s="33" t="s">
        <v>30089</v>
      </c>
      <c r="Q5751" s="40" t="s">
        <v>6247</v>
      </c>
      <c r="R5751" s="33" t="s">
        <v>94</v>
      </c>
      <c r="S5751" s="33" t="s">
        <v>12</v>
      </c>
      <c r="T5751" s="54" t="s">
        <v>29705</v>
      </c>
      <c r="Z5751" s="33" t="s">
        <v>42966</v>
      </c>
      <c r="AA5751" s="33">
        <v>1914</v>
      </c>
    </row>
    <row r="5752" spans="1:31" ht="12" customHeight="1" x14ac:dyDescent="0.15">
      <c r="A5752" s="33" t="s">
        <v>6248</v>
      </c>
      <c r="B5752" s="33">
        <v>27</v>
      </c>
      <c r="C5752" s="33" t="s">
        <v>14</v>
      </c>
      <c r="D5752" s="33" t="s">
        <v>42</v>
      </c>
      <c r="E5752" s="33" t="s">
        <v>6249</v>
      </c>
      <c r="F5752" s="67">
        <v>41917</v>
      </c>
      <c r="G5752" s="33" t="s">
        <v>6250</v>
      </c>
      <c r="H5752" s="33" t="s">
        <v>1096</v>
      </c>
      <c r="I5752" s="33" t="s">
        <v>192</v>
      </c>
      <c r="J5752" s="33" t="s">
        <v>6251</v>
      </c>
      <c r="K5752" s="33" t="s">
        <v>510</v>
      </c>
      <c r="L5752" s="33" t="s">
        <v>22924</v>
      </c>
      <c r="M5752" s="33" t="s">
        <v>21</v>
      </c>
      <c r="N5752" s="33" t="s">
        <v>6252</v>
      </c>
      <c r="O5752" s="33" t="s">
        <v>507</v>
      </c>
      <c r="P5752" s="33" t="s">
        <v>30089</v>
      </c>
      <c r="Q5752" s="40" t="s">
        <v>6253</v>
      </c>
      <c r="R5752" s="33" t="s">
        <v>94</v>
      </c>
      <c r="S5752" s="33" t="s">
        <v>22</v>
      </c>
      <c r="T5752" s="1" t="s">
        <v>26781</v>
      </c>
      <c r="Z5752" s="33" t="s">
        <v>42968</v>
      </c>
      <c r="AA5752" s="33">
        <v>1913</v>
      </c>
    </row>
    <row r="5753" spans="1:31" ht="12" customHeight="1" x14ac:dyDescent="0.15">
      <c r="A5753" s="33" t="s">
        <v>6265</v>
      </c>
      <c r="B5753" s="33">
        <v>29</v>
      </c>
      <c r="C5753" s="33" t="s">
        <v>14</v>
      </c>
      <c r="D5753" s="33" t="s">
        <v>42</v>
      </c>
      <c r="E5753" s="33" t="s">
        <v>6266</v>
      </c>
      <c r="F5753" s="67">
        <v>41916</v>
      </c>
      <c r="G5753" s="33" t="s">
        <v>22171</v>
      </c>
      <c r="H5753" s="33" t="s">
        <v>92</v>
      </c>
      <c r="I5753" s="33" t="s">
        <v>39</v>
      </c>
      <c r="J5753" s="33" t="s">
        <v>3045</v>
      </c>
      <c r="K5753" s="33" t="s">
        <v>92</v>
      </c>
      <c r="L5753" s="33" t="s">
        <v>93</v>
      </c>
      <c r="M5753" s="33" t="s">
        <v>6267</v>
      </c>
      <c r="N5753" s="33" t="s">
        <v>6268</v>
      </c>
      <c r="O5753" s="33" t="s">
        <v>23</v>
      </c>
      <c r="P5753" s="33" t="s">
        <v>30089</v>
      </c>
      <c r="Q5753" s="40" t="s">
        <v>6269</v>
      </c>
      <c r="R5753" s="33" t="s">
        <v>23</v>
      </c>
      <c r="S5753" s="33" t="s">
        <v>22</v>
      </c>
      <c r="T5753" s="1" t="s">
        <v>26774</v>
      </c>
      <c r="Z5753" s="33" t="s">
        <v>42966</v>
      </c>
      <c r="AA5753" s="33">
        <v>1911</v>
      </c>
    </row>
    <row r="5754" spans="1:31" ht="12" customHeight="1" x14ac:dyDescent="0.15">
      <c r="A5754" s="33" t="s">
        <v>6254</v>
      </c>
      <c r="B5754" s="33">
        <v>31</v>
      </c>
      <c r="C5754" s="33" t="s">
        <v>14</v>
      </c>
      <c r="D5754" s="33" t="s">
        <v>79</v>
      </c>
      <c r="E5754" s="33" t="s">
        <v>6255</v>
      </c>
      <c r="F5754" s="67">
        <v>41916</v>
      </c>
      <c r="G5754" s="33" t="s">
        <v>6256</v>
      </c>
      <c r="H5754" s="33" t="s">
        <v>6257</v>
      </c>
      <c r="I5754" s="33" t="s">
        <v>35</v>
      </c>
      <c r="J5754" s="33" t="s">
        <v>6258</v>
      </c>
      <c r="K5754" s="33" t="s">
        <v>6257</v>
      </c>
      <c r="L5754" s="33" t="s">
        <v>6259</v>
      </c>
      <c r="M5754" s="33" t="s">
        <v>363</v>
      </c>
      <c r="N5754" s="33" t="s">
        <v>6260</v>
      </c>
      <c r="O5754" s="33" t="s">
        <v>507</v>
      </c>
      <c r="P5754" s="33" t="s">
        <v>30089</v>
      </c>
      <c r="Q5754" s="40" t="s">
        <v>6261</v>
      </c>
      <c r="R5754" s="33" t="s">
        <v>23</v>
      </c>
      <c r="S5754" s="33" t="s">
        <v>12</v>
      </c>
      <c r="T5754" s="54" t="s">
        <v>29705</v>
      </c>
      <c r="Z5754" s="33" t="s">
        <v>42966</v>
      </c>
      <c r="AA5754" s="33">
        <v>1912</v>
      </c>
    </row>
    <row r="5755" spans="1:31" ht="12" customHeight="1" x14ac:dyDescent="0.15">
      <c r="A5755" s="33" t="s">
        <v>6262</v>
      </c>
      <c r="B5755" s="33">
        <v>36</v>
      </c>
      <c r="C5755" s="33" t="s">
        <v>14</v>
      </c>
      <c r="D5755" s="33" t="s">
        <v>79</v>
      </c>
      <c r="F5755" s="67">
        <v>41916</v>
      </c>
      <c r="G5755" s="33" t="s">
        <v>6263</v>
      </c>
      <c r="H5755" s="33" t="s">
        <v>107</v>
      </c>
      <c r="I5755" s="33" t="s">
        <v>3357</v>
      </c>
      <c r="J5755" s="33" t="s">
        <v>6264</v>
      </c>
      <c r="K5755" s="33" t="s">
        <v>3359</v>
      </c>
      <c r="L5755" s="33" t="s">
        <v>17581</v>
      </c>
      <c r="M5755" s="33" t="s">
        <v>21</v>
      </c>
      <c r="N5755" s="33" t="s">
        <v>36807</v>
      </c>
      <c r="O5755" s="33" t="s">
        <v>950</v>
      </c>
      <c r="P5755" s="33" t="s">
        <v>30089</v>
      </c>
      <c r="Q5755" s="40" t="str">
        <f>HYPERLINK("http://www.washingtonpost.com/local/man-shot-and-killed-by-officers-trying-to-serve-a-warrant-in-southeast-dc/2014/10/05/b755dfea-4c9b-11e4-aa5e-7153e466a02d_story.html","http://www.washingtonpost.com/local/man-shot-and-killed-by-officers-trying-to-serve-a-warrant-in-southeast-dc/2014/10/05/b755dfea-4c9b-11e4-aa5e-7153e466a02d_story.html")</f>
        <v>http://www.washingtonpost.com/local/man-shot-and-killed-by-officers-trying-to-serve-a-warrant-in-southeast-dc/2014/10/05/b755dfea-4c9b-11e4-aa5e-7153e466a02d_story.html</v>
      </c>
      <c r="R5755" s="33" t="s">
        <v>94</v>
      </c>
      <c r="S5755" s="33" t="s">
        <v>22</v>
      </c>
      <c r="T5755" s="1" t="s">
        <v>26781</v>
      </c>
      <c r="Z5755" s="33" t="s">
        <v>42966</v>
      </c>
      <c r="AA5755" s="33">
        <v>1910</v>
      </c>
    </row>
    <row r="5756" spans="1:31" ht="12" customHeight="1" x14ac:dyDescent="0.15">
      <c r="A5756" s="33" t="s">
        <v>6275</v>
      </c>
      <c r="B5756" s="33">
        <v>28</v>
      </c>
      <c r="C5756" s="33" t="s">
        <v>14</v>
      </c>
      <c r="D5756" s="33" t="s">
        <v>31</v>
      </c>
      <c r="F5756" s="67">
        <v>41915</v>
      </c>
      <c r="G5756" s="33" t="s">
        <v>6276</v>
      </c>
      <c r="H5756" s="33" t="s">
        <v>700</v>
      </c>
      <c r="I5756" s="33" t="s">
        <v>395</v>
      </c>
      <c r="J5756" s="33" t="s">
        <v>1600</v>
      </c>
      <c r="K5756" s="33" t="s">
        <v>1601</v>
      </c>
      <c r="L5756" s="33" t="s">
        <v>539</v>
      </c>
      <c r="M5756" s="33" t="s">
        <v>21</v>
      </c>
      <c r="N5756" s="33" t="s">
        <v>6277</v>
      </c>
      <c r="O5756" s="33" t="s">
        <v>950</v>
      </c>
      <c r="P5756" s="33" t="s">
        <v>30089</v>
      </c>
      <c r="Q5756" s="40" t="s">
        <v>6278</v>
      </c>
      <c r="R5756" s="33" t="s">
        <v>512</v>
      </c>
      <c r="S5756" s="33" t="s">
        <v>22</v>
      </c>
      <c r="T5756" s="1" t="s">
        <v>26774</v>
      </c>
      <c r="Z5756" s="33" t="s">
        <v>42966</v>
      </c>
      <c r="AA5756" s="33">
        <v>1908</v>
      </c>
    </row>
    <row r="5757" spans="1:31" ht="12" customHeight="1" x14ac:dyDescent="0.15">
      <c r="A5757" s="33" t="s">
        <v>6270</v>
      </c>
      <c r="B5757" s="33">
        <v>48</v>
      </c>
      <c r="C5757" s="33" t="s">
        <v>14</v>
      </c>
      <c r="D5757" s="33" t="s">
        <v>24</v>
      </c>
      <c r="F5757" s="67">
        <v>41915</v>
      </c>
      <c r="G5757" s="33" t="s">
        <v>6271</v>
      </c>
      <c r="H5757" s="33" t="s">
        <v>288</v>
      </c>
      <c r="I5757" s="33" t="s">
        <v>39</v>
      </c>
      <c r="J5757" s="33" t="s">
        <v>6272</v>
      </c>
      <c r="K5757" s="33" t="s">
        <v>288</v>
      </c>
      <c r="L5757" s="33" t="s">
        <v>3983</v>
      </c>
      <c r="M5757" s="33" t="s">
        <v>21</v>
      </c>
      <c r="N5757" s="33" t="s">
        <v>6273</v>
      </c>
      <c r="O5757" s="33" t="s">
        <v>950</v>
      </c>
      <c r="P5757" s="33" t="s">
        <v>30089</v>
      </c>
      <c r="Q5757" s="40" t="s">
        <v>6274</v>
      </c>
      <c r="R5757" s="33" t="s">
        <v>94</v>
      </c>
      <c r="S5757" s="33" t="s">
        <v>22</v>
      </c>
      <c r="T5757" s="33" t="s">
        <v>27803</v>
      </c>
      <c r="Z5757" s="33" t="s">
        <v>42968</v>
      </c>
      <c r="AA5757" s="33">
        <v>1909</v>
      </c>
      <c r="AE5757" s="33"/>
    </row>
    <row r="5758" spans="1:31" ht="12" customHeight="1" x14ac:dyDescent="0.15">
      <c r="A5758" s="33" t="s">
        <v>6280</v>
      </c>
      <c r="B5758" s="33">
        <v>19</v>
      </c>
      <c r="C5758" s="33" t="s">
        <v>14</v>
      </c>
      <c r="D5758" s="33" t="s">
        <v>79</v>
      </c>
      <c r="E5758" s="33" t="str">
        <f>HYPERLINK("http://www.gannett-cdn.com/-mm-/90407faa708f948b3bc41ed885ae0b6dbee7db9f/c=0-743-2448-2587&amp;r=x383&amp;c=540x380/local/-/media/WXIA/None/2014/10/03/1412363614000-photo-2-.JPG","http://www.gannett-cdn.com/-mm-/90407faa708f948b3bc41ed885ae0b6dbee7db9f/c=0-743-2448-2587&amp;r=x383&amp;c=540x380/local/-/media/WXIA/None/2014/10/03/1412363614000-photo-2-.JPG")</f>
        <v>http://www.gannett-cdn.com/-mm-/90407faa708f948b3bc41ed885ae0b6dbee7db9f/c=0-743-2448-2587&amp;r=x383&amp;c=540x380/local/-/media/WXIA/None/2014/10/03/1412363614000-photo-2-.JPG</v>
      </c>
      <c r="F5758" s="67">
        <v>41914</v>
      </c>
      <c r="G5758" s="33" t="s">
        <v>6281</v>
      </c>
      <c r="H5758" s="33" t="s">
        <v>974</v>
      </c>
      <c r="I5758" s="33" t="s">
        <v>160</v>
      </c>
      <c r="J5758" s="33">
        <v>30032</v>
      </c>
      <c r="K5758" s="33" t="s">
        <v>805</v>
      </c>
      <c r="L5758" s="33" t="s">
        <v>806</v>
      </c>
      <c r="M5758" s="33" t="s">
        <v>21</v>
      </c>
      <c r="N5758" s="33" t="s">
        <v>6282</v>
      </c>
      <c r="P5758" s="33" t="s">
        <v>30089</v>
      </c>
      <c r="Q5758" s="40" t="s">
        <v>6283</v>
      </c>
      <c r="R5758" s="33" t="s">
        <v>94</v>
      </c>
      <c r="S5758" s="33" t="s">
        <v>22</v>
      </c>
      <c r="T5758" s="33" t="s">
        <v>26781</v>
      </c>
      <c r="Z5758" s="33" t="s">
        <v>42968</v>
      </c>
      <c r="AA5758" s="33">
        <v>1906</v>
      </c>
      <c r="AE5758" s="33"/>
    </row>
    <row r="5759" spans="1:31" ht="12" customHeight="1" x14ac:dyDescent="0.15">
      <c r="A5759" s="33" t="s">
        <v>6284</v>
      </c>
      <c r="B5759" s="33">
        <v>69</v>
      </c>
      <c r="C5759" s="33" t="s">
        <v>14</v>
      </c>
      <c r="D5759" s="33" t="s">
        <v>24</v>
      </c>
      <c r="F5759" s="67">
        <v>41914</v>
      </c>
      <c r="G5759" s="33" t="s">
        <v>6285</v>
      </c>
      <c r="H5759" s="33" t="s">
        <v>6286</v>
      </c>
      <c r="I5759" s="33" t="s">
        <v>225</v>
      </c>
      <c r="J5759" s="33" t="s">
        <v>6287</v>
      </c>
      <c r="K5759" s="33" t="s">
        <v>995</v>
      </c>
      <c r="L5759" s="33" t="s">
        <v>3061</v>
      </c>
      <c r="M5759" s="33" t="s">
        <v>21</v>
      </c>
      <c r="N5759" s="33" t="s">
        <v>6288</v>
      </c>
      <c r="O5759" s="33" t="s">
        <v>4311</v>
      </c>
      <c r="P5759" s="33" t="s">
        <v>30089</v>
      </c>
      <c r="Q5759" s="40" t="s">
        <v>6289</v>
      </c>
      <c r="R5759" s="33" t="s">
        <v>94</v>
      </c>
      <c r="S5759" s="33" t="s">
        <v>22</v>
      </c>
      <c r="T5759" s="1" t="s">
        <v>26781</v>
      </c>
      <c r="Z5759" s="33" t="s">
        <v>42966</v>
      </c>
      <c r="AA5759" s="33">
        <v>1907</v>
      </c>
    </row>
    <row r="5760" spans="1:31" ht="12" customHeight="1" x14ac:dyDescent="0.15">
      <c r="A5760" s="33" t="s">
        <v>6295</v>
      </c>
      <c r="B5760" s="33">
        <v>33</v>
      </c>
      <c r="C5760" s="33" t="s">
        <v>14</v>
      </c>
      <c r="D5760" s="33" t="s">
        <v>42</v>
      </c>
      <c r="F5760" s="67">
        <v>41913</v>
      </c>
      <c r="G5760" s="33" t="s">
        <v>6296</v>
      </c>
      <c r="H5760" s="33" t="s">
        <v>2663</v>
      </c>
      <c r="I5760" s="33" t="s">
        <v>39</v>
      </c>
      <c r="J5760" s="33" t="s">
        <v>6297</v>
      </c>
      <c r="K5760" s="33" t="s">
        <v>288</v>
      </c>
      <c r="L5760" s="33" t="s">
        <v>289</v>
      </c>
      <c r="M5760" s="33" t="s">
        <v>21</v>
      </c>
      <c r="N5760" s="33" t="s">
        <v>6298</v>
      </c>
      <c r="O5760" s="33" t="s">
        <v>4311</v>
      </c>
      <c r="P5760" s="33" t="s">
        <v>30089</v>
      </c>
      <c r="Q5760" s="40" t="s">
        <v>6299</v>
      </c>
      <c r="R5760" s="33" t="s">
        <v>94</v>
      </c>
      <c r="S5760" s="33" t="s">
        <v>22</v>
      </c>
      <c r="T5760" s="1" t="s">
        <v>26781</v>
      </c>
      <c r="Z5760" s="33" t="s">
        <v>42966</v>
      </c>
      <c r="AA5760" s="33">
        <v>1904</v>
      </c>
    </row>
    <row r="5761" spans="1:31" ht="12" customHeight="1" x14ac:dyDescent="0.15">
      <c r="A5761" s="33" t="s">
        <v>6300</v>
      </c>
      <c r="B5761" s="33">
        <v>34</v>
      </c>
      <c r="C5761" s="33" t="s">
        <v>14</v>
      </c>
      <c r="D5761" s="33" t="s">
        <v>31</v>
      </c>
      <c r="F5761" s="67">
        <v>41913</v>
      </c>
      <c r="G5761" s="33" t="s">
        <v>6301</v>
      </c>
      <c r="H5761" s="33" t="s">
        <v>674</v>
      </c>
      <c r="I5761" s="33" t="s">
        <v>67</v>
      </c>
      <c r="J5761" s="33" t="s">
        <v>6302</v>
      </c>
      <c r="K5761" s="33" t="s">
        <v>515</v>
      </c>
      <c r="L5761" s="33" t="s">
        <v>675</v>
      </c>
      <c r="M5761" s="33" t="s">
        <v>21</v>
      </c>
      <c r="N5761" s="33" t="s">
        <v>6303</v>
      </c>
      <c r="O5761" s="33" t="s">
        <v>4311</v>
      </c>
      <c r="P5761" s="33" t="s">
        <v>30089</v>
      </c>
      <c r="Q5761" s="40" t="s">
        <v>6304</v>
      </c>
      <c r="R5761" s="33" t="s">
        <v>94</v>
      </c>
      <c r="S5761" s="33" t="s">
        <v>22</v>
      </c>
      <c r="T5761" s="1" t="s">
        <v>26781</v>
      </c>
      <c r="Z5761" s="33" t="s">
        <v>42968</v>
      </c>
      <c r="AA5761" s="33">
        <v>1905</v>
      </c>
    </row>
    <row r="5762" spans="1:31" ht="12" customHeight="1" x14ac:dyDescent="0.15">
      <c r="A5762" s="33" t="s">
        <v>6290</v>
      </c>
      <c r="B5762" s="33">
        <v>39</v>
      </c>
      <c r="C5762" s="33" t="s">
        <v>103</v>
      </c>
      <c r="D5762" s="33" t="s">
        <v>79</v>
      </c>
      <c r="E5762" s="33" t="s">
        <v>6291</v>
      </c>
      <c r="F5762" s="67">
        <v>41913</v>
      </c>
      <c r="G5762" s="33" t="s">
        <v>6292</v>
      </c>
      <c r="H5762" s="33" t="s">
        <v>834</v>
      </c>
      <c r="I5762" s="33" t="s">
        <v>294</v>
      </c>
      <c r="J5762" s="33" t="s">
        <v>6293</v>
      </c>
      <c r="K5762" s="33" t="s">
        <v>1659</v>
      </c>
      <c r="L5762" s="33" t="s">
        <v>835</v>
      </c>
      <c r="M5762" s="33" t="s">
        <v>21</v>
      </c>
      <c r="N5762" s="33" t="s">
        <v>6294</v>
      </c>
      <c r="O5762" s="33" t="s">
        <v>4311</v>
      </c>
      <c r="P5762" s="33" t="s">
        <v>30089</v>
      </c>
      <c r="Q5762" s="40" t="str">
        <f>HYPERLINK("http://www.wlky.com/news/woman-shot-by-lmpd-officers-in-swat-situation-dies/28371462","http://www.wlky.com/news/woman-shot-by-lmpd-officers-in-swat-situation-dies/28371462")</f>
        <v>http://www.wlky.com/news/woman-shot-by-lmpd-officers-in-swat-situation-dies/28371462</v>
      </c>
      <c r="R5762" s="33" t="s">
        <v>94</v>
      </c>
      <c r="S5762" s="33" t="s">
        <v>22</v>
      </c>
      <c r="T5762" s="1" t="s">
        <v>26781</v>
      </c>
      <c r="Z5762" s="33" t="s">
        <v>42968</v>
      </c>
      <c r="AA5762" s="33">
        <v>1903</v>
      </c>
    </row>
    <row r="5763" spans="1:31" ht="12" customHeight="1" x14ac:dyDescent="0.15">
      <c r="A5763" s="33" t="s">
        <v>6333</v>
      </c>
      <c r="B5763" s="33">
        <v>26</v>
      </c>
      <c r="C5763" s="33" t="s">
        <v>14</v>
      </c>
      <c r="D5763" s="33" t="s">
        <v>31</v>
      </c>
      <c r="E5763" s="33" t="s">
        <v>6334</v>
      </c>
      <c r="F5763" s="67">
        <v>41912</v>
      </c>
      <c r="G5763" s="33" t="s">
        <v>6335</v>
      </c>
      <c r="H5763" s="33" t="s">
        <v>6336</v>
      </c>
      <c r="I5763" s="33" t="s">
        <v>376</v>
      </c>
      <c r="J5763" s="33" t="s">
        <v>6337</v>
      </c>
      <c r="K5763" s="33" t="s">
        <v>995</v>
      </c>
      <c r="L5763" s="33" t="s">
        <v>8484</v>
      </c>
      <c r="M5763" s="33" t="s">
        <v>21</v>
      </c>
      <c r="N5763" s="33" t="s">
        <v>6338</v>
      </c>
      <c r="O5763" s="33" t="s">
        <v>3109</v>
      </c>
      <c r="P5763" s="33" t="s">
        <v>30089</v>
      </c>
      <c r="Q5763" s="40" t="s">
        <v>6339</v>
      </c>
      <c r="R5763" s="33" t="s">
        <v>94</v>
      </c>
      <c r="S5763" s="33" t="s">
        <v>29</v>
      </c>
      <c r="T5763" s="1" t="s">
        <v>41840</v>
      </c>
      <c r="Z5763" s="33" t="s">
        <v>42968</v>
      </c>
      <c r="AA5763" s="33">
        <v>1902</v>
      </c>
    </row>
    <row r="5764" spans="1:31" ht="12" customHeight="1" x14ac:dyDescent="0.15">
      <c r="A5764" s="33" t="s">
        <v>6327</v>
      </c>
      <c r="B5764" s="33">
        <v>40</v>
      </c>
      <c r="C5764" s="33" t="s">
        <v>14</v>
      </c>
      <c r="D5764" s="33" t="s">
        <v>31</v>
      </c>
      <c r="E5764" s="33" t="s">
        <v>6328</v>
      </c>
      <c r="F5764" s="67">
        <v>41912</v>
      </c>
      <c r="G5764" s="33" t="s">
        <v>6329</v>
      </c>
      <c r="H5764" s="33" t="s">
        <v>1233</v>
      </c>
      <c r="I5764" s="33" t="s">
        <v>1020</v>
      </c>
      <c r="J5764" s="33" t="s">
        <v>6330</v>
      </c>
      <c r="K5764" s="33" t="s">
        <v>1234</v>
      </c>
      <c r="L5764" s="33" t="s">
        <v>1235</v>
      </c>
      <c r="M5764" s="33" t="s">
        <v>21</v>
      </c>
      <c r="N5764" s="33" t="s">
        <v>6331</v>
      </c>
      <c r="O5764" s="33" t="s">
        <v>4311</v>
      </c>
      <c r="P5764" s="33" t="s">
        <v>30089</v>
      </c>
      <c r="Q5764" s="40" t="s">
        <v>6332</v>
      </c>
      <c r="R5764" s="33" t="s">
        <v>94</v>
      </c>
      <c r="S5764" s="33" t="s">
        <v>22</v>
      </c>
      <c r="T5764" s="1" t="s">
        <v>26781</v>
      </c>
      <c r="Z5764" s="33" t="s">
        <v>42966</v>
      </c>
      <c r="AA5764" s="33">
        <v>1898</v>
      </c>
    </row>
    <row r="5765" spans="1:31" ht="12" customHeight="1" x14ac:dyDescent="0.15">
      <c r="A5765" s="33" t="s">
        <v>6313</v>
      </c>
      <c r="B5765" s="33">
        <v>20</v>
      </c>
      <c r="C5765" s="33" t="s">
        <v>14</v>
      </c>
      <c r="D5765" s="33" t="s">
        <v>79</v>
      </c>
      <c r="E5765" s="33" t="s">
        <v>6314</v>
      </c>
      <c r="F5765" s="67">
        <v>41912</v>
      </c>
      <c r="G5765" s="33" t="s">
        <v>6315</v>
      </c>
      <c r="H5765" s="33" t="s">
        <v>6316</v>
      </c>
      <c r="I5765" s="33" t="s">
        <v>160</v>
      </c>
      <c r="J5765" s="33" t="s">
        <v>6317</v>
      </c>
      <c r="K5765" s="33" t="s">
        <v>1281</v>
      </c>
      <c r="L5765" s="33" t="s">
        <v>6318</v>
      </c>
      <c r="M5765" s="33" t="s">
        <v>21</v>
      </c>
      <c r="N5765" s="33" t="s">
        <v>6319</v>
      </c>
      <c r="O5765" s="33" t="s">
        <v>4311</v>
      </c>
      <c r="P5765" s="33" t="s">
        <v>30089</v>
      </c>
      <c r="Q5765" s="40" t="s">
        <v>6320</v>
      </c>
      <c r="R5765" s="33" t="s">
        <v>94</v>
      </c>
      <c r="S5765" s="33" t="s">
        <v>29</v>
      </c>
      <c r="T5765" s="1" t="s">
        <v>41840</v>
      </c>
      <c r="Z5765" s="33" t="s">
        <v>42968</v>
      </c>
      <c r="AA5765" s="33">
        <v>1901</v>
      </c>
    </row>
    <row r="5766" spans="1:31" ht="12" customHeight="1" x14ac:dyDescent="0.15">
      <c r="A5766" s="33" t="s">
        <v>6321</v>
      </c>
      <c r="B5766" s="33">
        <v>32</v>
      </c>
      <c r="C5766" s="33" t="s">
        <v>14</v>
      </c>
      <c r="D5766" s="33" t="s">
        <v>31</v>
      </c>
      <c r="E5766" s="33" t="s">
        <v>6322</v>
      </c>
      <c r="F5766" s="67">
        <v>41912</v>
      </c>
      <c r="G5766" s="33" t="s">
        <v>6323</v>
      </c>
      <c r="H5766" s="33" t="s">
        <v>6324</v>
      </c>
      <c r="I5766" s="33" t="s">
        <v>67</v>
      </c>
      <c r="J5766" s="33" t="s">
        <v>6325</v>
      </c>
      <c r="K5766" s="33" t="s">
        <v>4843</v>
      </c>
      <c r="L5766" s="33" t="s">
        <v>675</v>
      </c>
      <c r="M5766" s="33" t="s">
        <v>21</v>
      </c>
      <c r="N5766" s="33" t="s">
        <v>6326</v>
      </c>
      <c r="O5766" s="33" t="s">
        <v>4311</v>
      </c>
      <c r="P5766" s="33" t="s">
        <v>30089</v>
      </c>
      <c r="Q5766" s="40" t="str">
        <f>HYPERLINK("http://www.houstontx.gov/police/nr/2014/oct/nr141001-3.htm","http://www.houstontx.gov/police/nr/2014/oct/nr141001-3.htm")</f>
        <v>http://www.houstontx.gov/police/nr/2014/oct/nr141001-3.htm</v>
      </c>
      <c r="R5766" s="33" t="s">
        <v>94</v>
      </c>
      <c r="S5766" s="33" t="s">
        <v>22</v>
      </c>
      <c r="T5766" s="1" t="s">
        <v>26781</v>
      </c>
      <c r="Z5766" s="33" t="s">
        <v>42968</v>
      </c>
      <c r="AA5766" s="33">
        <v>1899</v>
      </c>
    </row>
    <row r="5767" spans="1:31" ht="12" customHeight="1" x14ac:dyDescent="0.15">
      <c r="A5767" s="33" t="s">
        <v>6305</v>
      </c>
      <c r="B5767" s="33">
        <v>38</v>
      </c>
      <c r="C5767" s="33" t="s">
        <v>14</v>
      </c>
      <c r="D5767" s="33" t="s">
        <v>79</v>
      </c>
      <c r="E5767" s="33" t="s">
        <v>6306</v>
      </c>
      <c r="F5767" s="67">
        <v>41912</v>
      </c>
      <c r="G5767" s="33" t="s">
        <v>6307</v>
      </c>
      <c r="H5767" s="33" t="s">
        <v>6308</v>
      </c>
      <c r="I5767" s="33" t="s">
        <v>56</v>
      </c>
      <c r="J5767" s="33" t="s">
        <v>6309</v>
      </c>
      <c r="K5767" s="33" t="s">
        <v>1052</v>
      </c>
      <c r="L5767" s="33" t="s">
        <v>6310</v>
      </c>
      <c r="M5767" s="33" t="s">
        <v>21</v>
      </c>
      <c r="N5767" s="33" t="s">
        <v>6311</v>
      </c>
      <c r="O5767" s="33" t="s">
        <v>4311</v>
      </c>
      <c r="P5767" s="33" t="s">
        <v>30089</v>
      </c>
      <c r="Q5767" s="40" t="s">
        <v>6312</v>
      </c>
      <c r="R5767" s="33" t="s">
        <v>512</v>
      </c>
      <c r="S5767" s="33" t="s">
        <v>12</v>
      </c>
      <c r="T5767" s="33" t="s">
        <v>26774</v>
      </c>
      <c r="Z5767" s="33" t="s">
        <v>42966</v>
      </c>
      <c r="AA5767" s="33">
        <v>1900</v>
      </c>
      <c r="AE5767" s="33"/>
    </row>
    <row r="5768" spans="1:31" ht="12" customHeight="1" x14ac:dyDescent="0.15">
      <c r="A5768" s="33" t="s">
        <v>6346</v>
      </c>
      <c r="B5768" s="33">
        <v>47</v>
      </c>
      <c r="C5768" s="33" t="s">
        <v>14</v>
      </c>
      <c r="D5768" s="33" t="s">
        <v>42</v>
      </c>
      <c r="F5768" s="67">
        <v>41911</v>
      </c>
      <c r="G5768" s="33" t="s">
        <v>6342</v>
      </c>
      <c r="H5768" s="33" t="s">
        <v>700</v>
      </c>
      <c r="I5768" s="33" t="s">
        <v>395</v>
      </c>
      <c r="J5768" s="33" t="s">
        <v>6343</v>
      </c>
      <c r="K5768" s="33" t="s">
        <v>700</v>
      </c>
      <c r="L5768" s="33" t="s">
        <v>539</v>
      </c>
      <c r="M5768" s="33" t="s">
        <v>21</v>
      </c>
      <c r="N5768" s="33" t="s">
        <v>6347</v>
      </c>
      <c r="O5768" s="33" t="s">
        <v>4311</v>
      </c>
      <c r="P5768" s="33" t="s">
        <v>30089</v>
      </c>
      <c r="Q5768" s="40" t="s">
        <v>6345</v>
      </c>
      <c r="R5768" s="33" t="s">
        <v>94</v>
      </c>
      <c r="S5768" s="33" t="s">
        <v>22</v>
      </c>
      <c r="T5768" s="1" t="s">
        <v>26774</v>
      </c>
      <c r="Z5768" s="33" t="s">
        <v>42966</v>
      </c>
      <c r="AA5768" s="33">
        <v>1896</v>
      </c>
    </row>
    <row r="5769" spans="1:31" ht="12" customHeight="1" x14ac:dyDescent="0.15">
      <c r="A5769" s="33" t="s">
        <v>6340</v>
      </c>
      <c r="B5769" s="33">
        <v>51</v>
      </c>
      <c r="C5769" s="33" t="s">
        <v>14</v>
      </c>
      <c r="D5769" s="33" t="s">
        <v>42</v>
      </c>
      <c r="E5769" s="33" t="s">
        <v>6341</v>
      </c>
      <c r="F5769" s="67">
        <v>41911</v>
      </c>
      <c r="G5769" s="33" t="s">
        <v>6342</v>
      </c>
      <c r="H5769" s="33" t="s">
        <v>700</v>
      </c>
      <c r="I5769" s="33" t="s">
        <v>395</v>
      </c>
      <c r="J5769" s="33" t="s">
        <v>6343</v>
      </c>
      <c r="K5769" s="33" t="s">
        <v>700</v>
      </c>
      <c r="L5769" s="33" t="s">
        <v>539</v>
      </c>
      <c r="M5769" s="33" t="s">
        <v>21</v>
      </c>
      <c r="N5769" s="33" t="s">
        <v>6344</v>
      </c>
      <c r="O5769" s="33" t="s">
        <v>4311</v>
      </c>
      <c r="P5769" s="33" t="s">
        <v>30089</v>
      </c>
      <c r="Q5769" s="40" t="s">
        <v>6345</v>
      </c>
      <c r="R5769" s="33" t="s">
        <v>94</v>
      </c>
      <c r="S5769" s="33" t="s">
        <v>12</v>
      </c>
      <c r="T5769" s="54" t="s">
        <v>29705</v>
      </c>
      <c r="Z5769" s="33" t="s">
        <v>42966</v>
      </c>
      <c r="AA5769" s="33">
        <v>1897</v>
      </c>
    </row>
    <row r="5770" spans="1:31" ht="12" customHeight="1" x14ac:dyDescent="0.15">
      <c r="A5770" s="33" t="s">
        <v>6348</v>
      </c>
      <c r="B5770" s="33">
        <v>26</v>
      </c>
      <c r="C5770" s="33" t="s">
        <v>14</v>
      </c>
      <c r="D5770" s="33" t="s">
        <v>79</v>
      </c>
      <c r="E5770" s="33" t="s">
        <v>6349</v>
      </c>
      <c r="F5770" s="67">
        <v>41910</v>
      </c>
      <c r="G5770" s="33" t="s">
        <v>6350</v>
      </c>
      <c r="H5770" s="33" t="s">
        <v>2915</v>
      </c>
      <c r="I5770" s="33" t="s">
        <v>67</v>
      </c>
      <c r="J5770" s="33" t="s">
        <v>6351</v>
      </c>
      <c r="K5770" s="33" t="s">
        <v>1076</v>
      </c>
      <c r="L5770" s="33" t="s">
        <v>1077</v>
      </c>
      <c r="M5770" s="33" t="s">
        <v>363</v>
      </c>
      <c r="N5770" s="33" t="s">
        <v>6352</v>
      </c>
      <c r="O5770" s="33" t="s">
        <v>507</v>
      </c>
      <c r="P5770" s="33" t="s">
        <v>30089</v>
      </c>
      <c r="Q5770" s="40" t="s">
        <v>19036</v>
      </c>
      <c r="R5770" s="33" t="s">
        <v>94</v>
      </c>
      <c r="S5770" s="33" t="s">
        <v>12</v>
      </c>
      <c r="T5770" s="54" t="s">
        <v>29705</v>
      </c>
      <c r="Z5770" s="33" t="s">
        <v>42967</v>
      </c>
      <c r="AA5770" s="33">
        <v>1894</v>
      </c>
    </row>
    <row r="5771" spans="1:31" ht="12" customHeight="1" x14ac:dyDescent="0.15">
      <c r="A5771" s="33" t="s">
        <v>6353</v>
      </c>
      <c r="B5771" s="33">
        <v>26</v>
      </c>
      <c r="C5771" s="33" t="s">
        <v>14</v>
      </c>
      <c r="D5771" s="33" t="s">
        <v>24</v>
      </c>
      <c r="F5771" s="67">
        <v>41910</v>
      </c>
      <c r="G5771" s="33" t="s">
        <v>6354</v>
      </c>
      <c r="H5771" s="33" t="s">
        <v>6355</v>
      </c>
      <c r="I5771" s="33" t="s">
        <v>342</v>
      </c>
      <c r="J5771" s="33" t="s">
        <v>6356</v>
      </c>
      <c r="K5771" s="33" t="s">
        <v>4697</v>
      </c>
      <c r="L5771" s="33" t="s">
        <v>6357</v>
      </c>
      <c r="M5771" s="33" t="s">
        <v>351</v>
      </c>
      <c r="N5771" s="33" t="s">
        <v>6358</v>
      </c>
      <c r="O5771" s="33" t="s">
        <v>4311</v>
      </c>
      <c r="P5771" s="33" t="s">
        <v>30089</v>
      </c>
      <c r="Q5771" s="40" t="s">
        <v>6359</v>
      </c>
      <c r="R5771" s="33" t="s">
        <v>94</v>
      </c>
      <c r="S5771" s="33" t="s">
        <v>351</v>
      </c>
      <c r="T5771" s="33" t="s">
        <v>26867</v>
      </c>
      <c r="Z5771" s="33" t="s">
        <v>42967</v>
      </c>
      <c r="AA5771" s="33">
        <v>1895</v>
      </c>
    </row>
    <row r="5772" spans="1:31" ht="12" customHeight="1" x14ac:dyDescent="0.15">
      <c r="A5772" s="33" t="s">
        <v>6371</v>
      </c>
      <c r="B5772" s="33">
        <v>34</v>
      </c>
      <c r="C5772" s="33" t="s">
        <v>14</v>
      </c>
      <c r="D5772" s="33" t="s">
        <v>31</v>
      </c>
      <c r="F5772" s="67">
        <v>41909</v>
      </c>
      <c r="G5772" s="33" t="s">
        <v>6372</v>
      </c>
      <c r="H5772" s="33" t="s">
        <v>375</v>
      </c>
      <c r="I5772" s="33" t="s">
        <v>4034</v>
      </c>
      <c r="J5772" s="33" t="s">
        <v>6373</v>
      </c>
      <c r="K5772" s="33" t="s">
        <v>6374</v>
      </c>
      <c r="L5772" s="33" t="s">
        <v>4037</v>
      </c>
      <c r="M5772" s="33" t="s">
        <v>21</v>
      </c>
      <c r="N5772" s="33" t="s">
        <v>6375</v>
      </c>
      <c r="O5772" s="33" t="s">
        <v>950</v>
      </c>
      <c r="P5772" s="33" t="s">
        <v>30089</v>
      </c>
      <c r="Q5772" s="40" t="s">
        <v>6376</v>
      </c>
      <c r="R5772" s="33" t="s">
        <v>94</v>
      </c>
      <c r="S5772" s="33" t="s">
        <v>22</v>
      </c>
      <c r="T5772" s="1" t="s">
        <v>26774</v>
      </c>
      <c r="Z5772" s="33" t="s">
        <v>42967</v>
      </c>
      <c r="AA5772" s="33">
        <v>1891</v>
      </c>
    </row>
    <row r="5773" spans="1:31" ht="12" customHeight="1" x14ac:dyDescent="0.15">
      <c r="A5773" s="33" t="s">
        <v>6360</v>
      </c>
      <c r="B5773" s="33">
        <v>38</v>
      </c>
      <c r="C5773" s="33" t="s">
        <v>14</v>
      </c>
      <c r="D5773" s="33" t="s">
        <v>79</v>
      </c>
      <c r="E5773" s="33" t="s">
        <v>6361</v>
      </c>
      <c r="F5773" s="67">
        <v>41909</v>
      </c>
      <c r="G5773" s="33" t="s">
        <v>6362</v>
      </c>
      <c r="H5773" s="33" t="s">
        <v>401</v>
      </c>
      <c r="I5773" s="33" t="s">
        <v>402</v>
      </c>
      <c r="J5773" s="33" t="s">
        <v>6363</v>
      </c>
      <c r="K5773" s="33" t="s">
        <v>404</v>
      </c>
      <c r="L5773" s="33" t="s">
        <v>405</v>
      </c>
      <c r="M5773" s="33" t="s">
        <v>363</v>
      </c>
      <c r="N5773" s="33" t="s">
        <v>6364</v>
      </c>
      <c r="O5773" s="33" t="s">
        <v>950</v>
      </c>
      <c r="P5773" s="33" t="s">
        <v>30089</v>
      </c>
      <c r="Q5773" s="40" t="s">
        <v>6365</v>
      </c>
      <c r="R5773" s="33" t="s">
        <v>904</v>
      </c>
      <c r="S5773" s="33" t="s">
        <v>12</v>
      </c>
      <c r="T5773" s="54" t="s">
        <v>29705</v>
      </c>
      <c r="Z5773" s="33" t="s">
        <v>42968</v>
      </c>
      <c r="AA5773" s="33">
        <v>1892</v>
      </c>
    </row>
    <row r="5774" spans="1:31" ht="12" customHeight="1" x14ac:dyDescent="0.15">
      <c r="A5774" s="33" t="s">
        <v>3002</v>
      </c>
      <c r="B5774" s="33" t="s">
        <v>23</v>
      </c>
      <c r="C5774" s="33" t="s">
        <v>14</v>
      </c>
      <c r="D5774" s="33" t="s">
        <v>24</v>
      </c>
      <c r="F5774" s="67">
        <v>41909</v>
      </c>
      <c r="G5774" s="33" t="s">
        <v>6366</v>
      </c>
      <c r="H5774" s="33" t="s">
        <v>1148</v>
      </c>
      <c r="I5774" s="33" t="s">
        <v>56</v>
      </c>
      <c r="J5774" s="33" t="s">
        <v>6367</v>
      </c>
      <c r="K5774" s="33" t="s">
        <v>148</v>
      </c>
      <c r="L5774" s="33" t="s">
        <v>6368</v>
      </c>
      <c r="M5774" s="33" t="s">
        <v>21</v>
      </c>
      <c r="N5774" s="33" t="s">
        <v>6369</v>
      </c>
      <c r="O5774" s="33" t="s">
        <v>4311</v>
      </c>
      <c r="P5774" s="33" t="s">
        <v>30089</v>
      </c>
      <c r="Q5774" s="40" t="s">
        <v>6370</v>
      </c>
      <c r="R5774" s="33" t="s">
        <v>94</v>
      </c>
      <c r="S5774" s="33" t="s">
        <v>22</v>
      </c>
      <c r="T5774" s="1" t="s">
        <v>26781</v>
      </c>
      <c r="Z5774" s="33" t="s">
        <v>42968</v>
      </c>
      <c r="AA5774" s="33">
        <v>1890</v>
      </c>
    </row>
    <row r="5775" spans="1:31" ht="12" customHeight="1" x14ac:dyDescent="0.15">
      <c r="A5775" s="33" t="s">
        <v>6377</v>
      </c>
      <c r="B5775" s="33">
        <v>18</v>
      </c>
      <c r="C5775" s="33" t="s">
        <v>14</v>
      </c>
      <c r="D5775" s="33" t="s">
        <v>31</v>
      </c>
      <c r="E5775" s="33" t="s">
        <v>6378</v>
      </c>
      <c r="F5775" s="67">
        <v>41909</v>
      </c>
      <c r="G5775" s="33" t="s">
        <v>6379</v>
      </c>
      <c r="H5775" s="33" t="s">
        <v>6380</v>
      </c>
      <c r="I5775" s="33" t="s">
        <v>298</v>
      </c>
      <c r="J5775" s="33" t="s">
        <v>6381</v>
      </c>
      <c r="K5775" s="33" t="s">
        <v>2014</v>
      </c>
      <c r="L5775" s="33" t="s">
        <v>6382</v>
      </c>
      <c r="M5775" s="33" t="s">
        <v>21</v>
      </c>
      <c r="N5775" s="33" t="s">
        <v>6383</v>
      </c>
      <c r="O5775" s="33" t="s">
        <v>372</v>
      </c>
      <c r="P5775" s="33" t="s">
        <v>30089</v>
      </c>
      <c r="Q5775" s="40" t="s">
        <v>6384</v>
      </c>
      <c r="R5775" s="33" t="s">
        <v>94</v>
      </c>
      <c r="S5775" s="33" t="s">
        <v>351</v>
      </c>
      <c r="T5775" s="1" t="s">
        <v>42983</v>
      </c>
      <c r="Z5775" s="33" t="s">
        <v>42967</v>
      </c>
      <c r="AA5775" s="33">
        <v>1893</v>
      </c>
    </row>
    <row r="5776" spans="1:31" ht="12" customHeight="1" x14ac:dyDescent="0.15">
      <c r="A5776" s="33" t="s">
        <v>6385</v>
      </c>
      <c r="B5776" s="33">
        <v>25</v>
      </c>
      <c r="C5776" s="33" t="s">
        <v>14</v>
      </c>
      <c r="D5776" s="33" t="s">
        <v>31</v>
      </c>
      <c r="E5776" s="33" t="s">
        <v>6386</v>
      </c>
      <c r="F5776" s="67">
        <v>41908</v>
      </c>
      <c r="G5776" s="33" t="s">
        <v>6387</v>
      </c>
      <c r="H5776" s="33" t="s">
        <v>6388</v>
      </c>
      <c r="I5776" s="33" t="s">
        <v>63</v>
      </c>
      <c r="J5776" s="33" t="s">
        <v>6389</v>
      </c>
      <c r="K5776" s="33" t="s">
        <v>1185</v>
      </c>
      <c r="L5776" s="33" t="s">
        <v>36934</v>
      </c>
      <c r="M5776" s="33" t="s">
        <v>21</v>
      </c>
      <c r="N5776" s="33" t="s">
        <v>6390</v>
      </c>
      <c r="O5776" s="33" t="s">
        <v>372</v>
      </c>
      <c r="P5776" s="33" t="s">
        <v>30089</v>
      </c>
      <c r="Q5776" s="40" t="s">
        <v>6391</v>
      </c>
      <c r="R5776" s="33" t="s">
        <v>94</v>
      </c>
      <c r="S5776" s="33" t="s">
        <v>22</v>
      </c>
      <c r="T5776" s="1" t="s">
        <v>26781</v>
      </c>
      <c r="Z5776" s="33" t="s">
        <v>42968</v>
      </c>
      <c r="AA5776" s="33">
        <v>1888</v>
      </c>
    </row>
    <row r="5777" spans="1:27" ht="12" customHeight="1" x14ac:dyDescent="0.15">
      <c r="A5777" s="33" t="s">
        <v>6392</v>
      </c>
      <c r="B5777" s="33">
        <v>34</v>
      </c>
      <c r="C5777" s="33" t="s">
        <v>14</v>
      </c>
      <c r="D5777" s="33" t="s">
        <v>31</v>
      </c>
      <c r="F5777" s="67">
        <v>41908</v>
      </c>
      <c r="G5777" s="33" t="s">
        <v>6393</v>
      </c>
      <c r="H5777" s="33" t="s">
        <v>6394</v>
      </c>
      <c r="I5777" s="33" t="s">
        <v>67</v>
      </c>
      <c r="J5777" s="33" t="s">
        <v>6395</v>
      </c>
      <c r="K5777" s="33" t="s">
        <v>6396</v>
      </c>
      <c r="L5777" s="33" t="s">
        <v>6397</v>
      </c>
      <c r="M5777" s="33" t="s">
        <v>21</v>
      </c>
      <c r="N5777" s="33" t="s">
        <v>6398</v>
      </c>
      <c r="O5777" s="33" t="s">
        <v>950</v>
      </c>
      <c r="P5777" s="33" t="s">
        <v>30089</v>
      </c>
      <c r="Q5777" s="40" t="s">
        <v>6399</v>
      </c>
      <c r="R5777" s="33" t="s">
        <v>94</v>
      </c>
      <c r="S5777" s="33" t="s">
        <v>22</v>
      </c>
      <c r="T5777" s="33" t="s">
        <v>26781</v>
      </c>
      <c r="Z5777" s="33" t="s">
        <v>42967</v>
      </c>
      <c r="AA5777" s="33">
        <v>1889</v>
      </c>
    </row>
    <row r="5778" spans="1:27" ht="12" customHeight="1" x14ac:dyDescent="0.15">
      <c r="A5778" s="33" t="s">
        <v>6400</v>
      </c>
      <c r="B5778" s="33">
        <v>34</v>
      </c>
      <c r="C5778" s="33" t="s">
        <v>14</v>
      </c>
      <c r="D5778" s="33" t="s">
        <v>42</v>
      </c>
      <c r="F5778" s="67">
        <v>41907</v>
      </c>
      <c r="G5778" s="33" t="s">
        <v>6401</v>
      </c>
      <c r="H5778" s="33" t="s">
        <v>886</v>
      </c>
      <c r="I5778" s="33" t="s">
        <v>39</v>
      </c>
      <c r="J5778" s="33" t="s">
        <v>6402</v>
      </c>
      <c r="K5778" s="33" t="s">
        <v>886</v>
      </c>
      <c r="L5778" s="33" t="s">
        <v>887</v>
      </c>
      <c r="M5778" s="33" t="s">
        <v>21</v>
      </c>
      <c r="N5778" s="33" t="s">
        <v>6403</v>
      </c>
      <c r="O5778" s="33" t="s">
        <v>372</v>
      </c>
      <c r="P5778" s="33" t="s">
        <v>30089</v>
      </c>
      <c r="Q5778" s="40" t="s">
        <v>6404</v>
      </c>
      <c r="R5778" s="33" t="s">
        <v>94</v>
      </c>
      <c r="S5778" s="33" t="s">
        <v>22</v>
      </c>
      <c r="T5778" s="1" t="s">
        <v>26781</v>
      </c>
      <c r="Z5778" s="33" t="s">
        <v>42966</v>
      </c>
      <c r="AA5778" s="33">
        <v>1886</v>
      </c>
    </row>
    <row r="5779" spans="1:27" ht="12" customHeight="1" x14ac:dyDescent="0.15">
      <c r="A5779" s="33" t="s">
        <v>6405</v>
      </c>
      <c r="B5779" s="33">
        <v>59</v>
      </c>
      <c r="C5779" s="33" t="s">
        <v>14</v>
      </c>
      <c r="D5779" s="33" t="s">
        <v>31</v>
      </c>
      <c r="E5779" s="33" t="s">
        <v>6406</v>
      </c>
      <c r="F5779" s="67">
        <v>41907</v>
      </c>
      <c r="G5779" s="33" t="s">
        <v>6407</v>
      </c>
      <c r="H5779" s="33" t="s">
        <v>3253</v>
      </c>
      <c r="I5779" s="33" t="s">
        <v>160</v>
      </c>
      <c r="J5779" s="33" t="s">
        <v>6408</v>
      </c>
      <c r="K5779" s="33" t="s">
        <v>6409</v>
      </c>
      <c r="L5779" s="33" t="s">
        <v>6410</v>
      </c>
      <c r="M5779" s="33" t="s">
        <v>21</v>
      </c>
      <c r="N5779" s="33" t="s">
        <v>36808</v>
      </c>
      <c r="O5779" s="33" t="s">
        <v>4311</v>
      </c>
      <c r="P5779" s="33" t="s">
        <v>30089</v>
      </c>
      <c r="Q5779" s="40" t="s">
        <v>6411</v>
      </c>
      <c r="R5779" s="33" t="s">
        <v>94</v>
      </c>
      <c r="S5779" s="33" t="s">
        <v>22</v>
      </c>
      <c r="T5779" s="1" t="s">
        <v>26781</v>
      </c>
      <c r="Z5779" s="33" t="s">
        <v>42967</v>
      </c>
      <c r="AA5779" s="33">
        <v>1887</v>
      </c>
    </row>
    <row r="5780" spans="1:27" ht="12" customHeight="1" x14ac:dyDescent="0.15">
      <c r="A5780" s="33" t="s">
        <v>6412</v>
      </c>
      <c r="B5780" s="33">
        <v>50</v>
      </c>
      <c r="C5780" s="33" t="s">
        <v>14</v>
      </c>
      <c r="D5780" s="33" t="s">
        <v>79</v>
      </c>
      <c r="E5780" s="33" t="s">
        <v>6413</v>
      </c>
      <c r="F5780" s="67">
        <v>41906</v>
      </c>
      <c r="G5780" s="33" t="s">
        <v>6414</v>
      </c>
      <c r="H5780" s="33" t="s">
        <v>6415</v>
      </c>
      <c r="I5780" s="33" t="s">
        <v>19</v>
      </c>
      <c r="J5780" s="33" t="s">
        <v>6416</v>
      </c>
      <c r="K5780" s="33" t="s">
        <v>6417</v>
      </c>
      <c r="L5780" s="33" t="s">
        <v>6418</v>
      </c>
      <c r="M5780" s="33" t="s">
        <v>21</v>
      </c>
      <c r="N5780" s="33" t="s">
        <v>6419</v>
      </c>
      <c r="O5780" s="33" t="s">
        <v>4311</v>
      </c>
      <c r="P5780" s="33" t="s">
        <v>30089</v>
      </c>
      <c r="Q5780" s="40" t="s">
        <v>6420</v>
      </c>
      <c r="R5780" s="33" t="s">
        <v>94</v>
      </c>
      <c r="S5780" s="33" t="s">
        <v>22</v>
      </c>
      <c r="T5780" s="1" t="s">
        <v>26781</v>
      </c>
      <c r="Z5780" s="33" t="s">
        <v>42968</v>
      </c>
      <c r="AA5780" s="33">
        <v>1884</v>
      </c>
    </row>
    <row r="5781" spans="1:27" ht="12" customHeight="1" x14ac:dyDescent="0.15">
      <c r="A5781" s="33" t="s">
        <v>6421</v>
      </c>
      <c r="B5781" s="33">
        <v>25</v>
      </c>
      <c r="C5781" s="33" t="s">
        <v>14</v>
      </c>
      <c r="D5781" s="33" t="s">
        <v>31</v>
      </c>
      <c r="E5781" s="33" t="s">
        <v>6422</v>
      </c>
      <c r="F5781" s="67">
        <v>41906</v>
      </c>
      <c r="G5781" s="33" t="s">
        <v>6423</v>
      </c>
      <c r="H5781" s="33" t="s">
        <v>4016</v>
      </c>
      <c r="I5781" s="33" t="s">
        <v>282</v>
      </c>
      <c r="J5781" s="33" t="s">
        <v>4017</v>
      </c>
      <c r="K5781" s="33" t="s">
        <v>782</v>
      </c>
      <c r="L5781" s="33" t="s">
        <v>4018</v>
      </c>
      <c r="M5781" s="33" t="s">
        <v>21</v>
      </c>
      <c r="N5781" s="33" t="s">
        <v>6424</v>
      </c>
      <c r="O5781" s="33" t="s">
        <v>950</v>
      </c>
      <c r="P5781" s="33" t="s">
        <v>30089</v>
      </c>
      <c r="Q5781" s="40" t="s">
        <v>6425</v>
      </c>
      <c r="R5781" s="33" t="s">
        <v>94</v>
      </c>
      <c r="S5781" s="33" t="s">
        <v>22</v>
      </c>
      <c r="T5781" s="1" t="s">
        <v>26781</v>
      </c>
      <c r="Z5781" s="33" t="s">
        <v>42968</v>
      </c>
      <c r="AA5781" s="33">
        <v>1885</v>
      </c>
    </row>
    <row r="5782" spans="1:27" ht="12" customHeight="1" x14ac:dyDescent="0.15">
      <c r="A5782" s="33" t="s">
        <v>6430</v>
      </c>
      <c r="B5782" s="33">
        <v>14</v>
      </c>
      <c r="C5782" s="33" t="s">
        <v>14</v>
      </c>
      <c r="D5782" s="33" t="s">
        <v>79</v>
      </c>
      <c r="E5782" s="33" t="s">
        <v>6431</v>
      </c>
      <c r="F5782" s="67">
        <v>41905</v>
      </c>
      <c r="G5782" s="33" t="s">
        <v>6432</v>
      </c>
      <c r="H5782" s="33" t="s">
        <v>941</v>
      </c>
      <c r="I5782" s="33" t="s">
        <v>19</v>
      </c>
      <c r="J5782" s="33" t="s">
        <v>6433</v>
      </c>
      <c r="K5782" s="33" t="s">
        <v>942</v>
      </c>
      <c r="L5782" s="33" t="s">
        <v>6434</v>
      </c>
      <c r="M5782" s="33" t="s">
        <v>21</v>
      </c>
      <c r="N5782" s="33" t="s">
        <v>19037</v>
      </c>
      <c r="O5782" s="33" t="s">
        <v>507</v>
      </c>
      <c r="P5782" s="33" t="s">
        <v>30089</v>
      </c>
      <c r="Q5782" s="40" t="s">
        <v>19038</v>
      </c>
      <c r="R5782" s="33" t="s">
        <v>94</v>
      </c>
      <c r="S5782" s="33" t="s">
        <v>12</v>
      </c>
      <c r="T5782" s="33" t="s">
        <v>29425</v>
      </c>
      <c r="Z5782" s="33" t="s">
        <v>42968</v>
      </c>
      <c r="AA5782" s="33">
        <v>1881</v>
      </c>
    </row>
    <row r="5783" spans="1:27" ht="12" customHeight="1" x14ac:dyDescent="0.15">
      <c r="A5783" s="33" t="s">
        <v>6435</v>
      </c>
      <c r="B5783" s="33">
        <v>54</v>
      </c>
      <c r="C5783" s="33" t="s">
        <v>14</v>
      </c>
      <c r="D5783" s="33" t="s">
        <v>31</v>
      </c>
      <c r="E5783" s="33" t="s">
        <v>6436</v>
      </c>
      <c r="F5783" s="67">
        <v>41905</v>
      </c>
      <c r="G5783" s="33" t="s">
        <v>6437</v>
      </c>
      <c r="H5783" s="33" t="s">
        <v>6438</v>
      </c>
      <c r="I5783" s="33" t="s">
        <v>342</v>
      </c>
      <c r="J5783" s="33" t="s">
        <v>6439</v>
      </c>
      <c r="K5783" s="33" t="s">
        <v>6440</v>
      </c>
      <c r="L5783" s="33" t="s">
        <v>6441</v>
      </c>
      <c r="M5783" s="33" t="s">
        <v>21</v>
      </c>
      <c r="N5783" s="33" t="s">
        <v>6442</v>
      </c>
      <c r="O5783" s="33" t="s">
        <v>372</v>
      </c>
      <c r="P5783" s="33" t="s">
        <v>30089</v>
      </c>
      <c r="Q5783" s="40" t="s">
        <v>6443</v>
      </c>
      <c r="R5783" s="33" t="s">
        <v>904</v>
      </c>
      <c r="S5783" s="33" t="s">
        <v>22</v>
      </c>
      <c r="T5783" s="1" t="s">
        <v>26576</v>
      </c>
      <c r="Z5783" s="33" t="s">
        <v>42966</v>
      </c>
      <c r="AA5783" s="33">
        <v>1883</v>
      </c>
    </row>
    <row r="5784" spans="1:27" ht="12" customHeight="1" x14ac:dyDescent="0.15">
      <c r="A5784" s="33" t="s">
        <v>6458</v>
      </c>
      <c r="B5784" s="33">
        <v>32</v>
      </c>
      <c r="C5784" s="33" t="s">
        <v>14</v>
      </c>
      <c r="D5784" s="33" t="s">
        <v>31</v>
      </c>
      <c r="E5784" s="33" t="s">
        <v>6459</v>
      </c>
      <c r="F5784" s="67">
        <v>41905</v>
      </c>
      <c r="G5784" s="33" t="s">
        <v>6460</v>
      </c>
      <c r="H5784" s="33" t="s">
        <v>6461</v>
      </c>
      <c r="I5784" s="33" t="s">
        <v>198</v>
      </c>
      <c r="J5784" s="33" t="s">
        <v>6462</v>
      </c>
      <c r="K5784" s="33" t="s">
        <v>6461</v>
      </c>
      <c r="L5784" s="33" t="s">
        <v>6463</v>
      </c>
      <c r="M5784" s="33" t="s">
        <v>21</v>
      </c>
      <c r="N5784" s="33" t="s">
        <v>36809</v>
      </c>
      <c r="O5784" s="33" t="s">
        <v>372</v>
      </c>
      <c r="P5784" s="33" t="s">
        <v>30089</v>
      </c>
      <c r="Q5784" s="40" t="str">
        <f>HYPERLINK("http://www.elkharttruth.com/news/crime-fire-courts/2014/09/29/Joseph-Adam-Lee-died-from-multiple-gunshot-wounds-shooting-investigation-continues.html","http://www.elkharttruth.com/news/crime-fire-courts/2014/09/29/Joseph-Adam-Lee-died-from-multiple-gunshot-wounds-shooting-investigation-continues.html")</f>
        <v>http://www.elkharttruth.com/news/crime-fire-courts/2014/09/29/Joseph-Adam-Lee-died-from-multiple-gunshot-wounds-shooting-investigation-continues.html</v>
      </c>
      <c r="R5784" s="33" t="s">
        <v>94</v>
      </c>
      <c r="S5784" s="33" t="s">
        <v>22</v>
      </c>
      <c r="T5784" s="1" t="s">
        <v>26781</v>
      </c>
      <c r="Z5784" s="33" t="s">
        <v>42966</v>
      </c>
      <c r="AA5784" s="33">
        <v>1880</v>
      </c>
    </row>
    <row r="5785" spans="1:27" ht="12" customHeight="1" x14ac:dyDescent="0.15">
      <c r="A5785" s="33" t="s">
        <v>6451</v>
      </c>
      <c r="B5785" s="33">
        <v>57</v>
      </c>
      <c r="C5785" s="33" t="s">
        <v>14</v>
      </c>
      <c r="D5785" s="33" t="s">
        <v>31</v>
      </c>
      <c r="E5785" s="33" t="s">
        <v>6452</v>
      </c>
      <c r="F5785" s="67">
        <v>41905</v>
      </c>
      <c r="G5785" s="33" t="s">
        <v>6453</v>
      </c>
      <c r="H5785" s="33" t="s">
        <v>6454</v>
      </c>
      <c r="I5785" s="33" t="s">
        <v>26</v>
      </c>
      <c r="J5785" s="33" t="s">
        <v>6455</v>
      </c>
      <c r="K5785" s="33" t="s">
        <v>4889</v>
      </c>
      <c r="L5785" s="33" t="s">
        <v>43036</v>
      </c>
      <c r="M5785" s="33" t="s">
        <v>21</v>
      </c>
      <c r="N5785" s="33" t="s">
        <v>6456</v>
      </c>
      <c r="O5785" s="33" t="s">
        <v>4311</v>
      </c>
      <c r="P5785" s="33" t="s">
        <v>30089</v>
      </c>
      <c r="Q5785" s="40" t="s">
        <v>6457</v>
      </c>
      <c r="R5785" s="33" t="s">
        <v>512</v>
      </c>
      <c r="S5785" s="33" t="s">
        <v>22</v>
      </c>
      <c r="T5785" s="1" t="s">
        <v>26781</v>
      </c>
      <c r="Z5785" s="33" t="s">
        <v>42968</v>
      </c>
      <c r="AA5785" s="33">
        <v>1879</v>
      </c>
    </row>
    <row r="5786" spans="1:27" ht="12" customHeight="1" x14ac:dyDescent="0.15">
      <c r="A5786" s="33" t="s">
        <v>6426</v>
      </c>
      <c r="B5786" s="33">
        <v>28</v>
      </c>
      <c r="C5786" s="33" t="s">
        <v>14</v>
      </c>
      <c r="D5786" s="33" t="s">
        <v>79</v>
      </c>
      <c r="F5786" s="67">
        <v>41905</v>
      </c>
      <c r="G5786" s="33" t="s">
        <v>6427</v>
      </c>
      <c r="H5786" s="33" t="s">
        <v>834</v>
      </c>
      <c r="I5786" s="33" t="s">
        <v>294</v>
      </c>
      <c r="J5786" s="33" t="s">
        <v>1658</v>
      </c>
      <c r="K5786" s="33" t="s">
        <v>1659</v>
      </c>
      <c r="L5786" s="33" t="s">
        <v>835</v>
      </c>
      <c r="M5786" s="33" t="s">
        <v>21</v>
      </c>
      <c r="N5786" s="33" t="s">
        <v>6428</v>
      </c>
      <c r="O5786" s="33" t="s">
        <v>372</v>
      </c>
      <c r="P5786" s="33" t="s">
        <v>30089</v>
      </c>
      <c r="Q5786" s="40" t="s">
        <v>6429</v>
      </c>
      <c r="R5786" s="33" t="s">
        <v>94</v>
      </c>
      <c r="S5786" s="33" t="s">
        <v>22</v>
      </c>
      <c r="T5786" s="1" t="s">
        <v>26781</v>
      </c>
      <c r="Z5786" s="33" t="s">
        <v>42966</v>
      </c>
      <c r="AA5786" s="33">
        <v>1878</v>
      </c>
    </row>
    <row r="5787" spans="1:27" ht="12" customHeight="1" x14ac:dyDescent="0.15">
      <c r="A5787" s="33" t="s">
        <v>6445</v>
      </c>
      <c r="B5787" s="33">
        <v>23</v>
      </c>
      <c r="C5787" s="33" t="s">
        <v>14</v>
      </c>
      <c r="D5787" s="33" t="s">
        <v>31</v>
      </c>
      <c r="E5787" s="33" t="s">
        <v>6446</v>
      </c>
      <c r="F5787" s="67">
        <v>41905</v>
      </c>
      <c r="G5787" s="33" t="s">
        <v>6447</v>
      </c>
      <c r="H5787" s="33" t="s">
        <v>266</v>
      </c>
      <c r="I5787" s="33" t="s">
        <v>67</v>
      </c>
      <c r="J5787" s="33" t="s">
        <v>6448</v>
      </c>
      <c r="K5787" s="33" t="s">
        <v>266</v>
      </c>
      <c r="L5787" s="33" t="s">
        <v>6449</v>
      </c>
      <c r="M5787" s="33" t="s">
        <v>5157</v>
      </c>
      <c r="N5787" s="33" t="s">
        <v>6450</v>
      </c>
      <c r="O5787" s="33" t="s">
        <v>950</v>
      </c>
      <c r="P5787" s="33" t="s">
        <v>30089</v>
      </c>
      <c r="Q5787" s="40" t="str">
        <f>HYPERLINK("http://www.wfaa.com/story/news/crime/2014/09/23/man-death-police-custody-pepper-spray-dallas-university-park-police/16100715/","http://www.wfaa.com/story/news/crime/2014/09/23/man-death-police-custody-pepper-spray-dallas-university-park-police/16100715/")</f>
        <v>http://www.wfaa.com/story/news/crime/2014/09/23/man-death-police-custody-pepper-spray-dallas-university-park-police/16100715/</v>
      </c>
      <c r="R5787" s="33" t="s">
        <v>94</v>
      </c>
      <c r="S5787" s="33" t="s">
        <v>12</v>
      </c>
      <c r="T5787" s="54" t="s">
        <v>29705</v>
      </c>
      <c r="Z5787" s="33" t="s">
        <v>42968</v>
      </c>
      <c r="AA5787" s="33">
        <v>1882</v>
      </c>
    </row>
    <row r="5788" spans="1:27" ht="12" customHeight="1" x14ac:dyDescent="0.15">
      <c r="A5788" s="33" t="s">
        <v>6464</v>
      </c>
      <c r="B5788" s="33">
        <v>36</v>
      </c>
      <c r="C5788" s="33" t="s">
        <v>14</v>
      </c>
      <c r="D5788" s="33" t="s">
        <v>42</v>
      </c>
      <c r="E5788" s="33" t="s">
        <v>6465</v>
      </c>
      <c r="F5788" s="67">
        <v>41904</v>
      </c>
      <c r="G5788" s="33" t="s">
        <v>6466</v>
      </c>
      <c r="H5788" s="33" t="s">
        <v>183</v>
      </c>
      <c r="I5788" s="33" t="s">
        <v>39</v>
      </c>
      <c r="J5788" s="33" t="s">
        <v>6467</v>
      </c>
      <c r="K5788" s="33" t="s">
        <v>183</v>
      </c>
      <c r="L5788" s="33" t="s">
        <v>184</v>
      </c>
      <c r="M5788" s="33" t="s">
        <v>21</v>
      </c>
      <c r="N5788" s="33" t="s">
        <v>6468</v>
      </c>
      <c r="O5788" s="33" t="s">
        <v>507</v>
      </c>
      <c r="P5788" s="33" t="s">
        <v>30089</v>
      </c>
      <c r="Q5788" s="40" t="s">
        <v>6469</v>
      </c>
      <c r="R5788" s="33" t="s">
        <v>512</v>
      </c>
      <c r="S5788" s="33" t="s">
        <v>22</v>
      </c>
      <c r="T5788" s="1" t="s">
        <v>43016</v>
      </c>
      <c r="Z5788" s="33" t="s">
        <v>42968</v>
      </c>
      <c r="AA5788" s="33">
        <v>1876</v>
      </c>
    </row>
    <row r="5789" spans="1:27" ht="12" customHeight="1" x14ac:dyDescent="0.15">
      <c r="A5789" s="33" t="s">
        <v>6470</v>
      </c>
      <c r="B5789" s="33">
        <v>39</v>
      </c>
      <c r="C5789" s="33" t="s">
        <v>14</v>
      </c>
      <c r="D5789" s="33" t="s">
        <v>31</v>
      </c>
      <c r="E5789" s="33" t="s">
        <v>6471</v>
      </c>
      <c r="F5789" s="67">
        <v>41904</v>
      </c>
      <c r="G5789" s="33" t="s">
        <v>6472</v>
      </c>
      <c r="H5789" s="33" t="s">
        <v>2401</v>
      </c>
      <c r="I5789" s="33" t="s">
        <v>63</v>
      </c>
      <c r="J5789" s="33" t="s">
        <v>6473</v>
      </c>
      <c r="K5789" s="33" t="s">
        <v>2402</v>
      </c>
      <c r="L5789" s="33" t="s">
        <v>2403</v>
      </c>
      <c r="M5789" s="33" t="s">
        <v>21</v>
      </c>
      <c r="N5789" s="33" t="s">
        <v>6474</v>
      </c>
      <c r="O5789" s="33" t="s">
        <v>507</v>
      </c>
      <c r="P5789" s="33" t="s">
        <v>30089</v>
      </c>
      <c r="Q5789" s="40" t="s">
        <v>6475</v>
      </c>
      <c r="R5789" s="33" t="s">
        <v>94</v>
      </c>
      <c r="S5789" s="33" t="s">
        <v>29</v>
      </c>
      <c r="T5789" s="33" t="s">
        <v>41840</v>
      </c>
      <c r="Z5789" s="33" t="s">
        <v>42967</v>
      </c>
      <c r="AA5789" s="33">
        <v>1877</v>
      </c>
    </row>
    <row r="5790" spans="1:27" ht="12" customHeight="1" x14ac:dyDescent="0.15">
      <c r="A5790" s="33" t="s">
        <v>6476</v>
      </c>
      <c r="B5790" s="33">
        <v>29</v>
      </c>
      <c r="C5790" s="33" t="s">
        <v>14</v>
      </c>
      <c r="D5790" s="33" t="s">
        <v>42</v>
      </c>
      <c r="F5790" s="67">
        <v>41903</v>
      </c>
      <c r="G5790" s="33" t="s">
        <v>6477</v>
      </c>
      <c r="H5790" s="33" t="s">
        <v>1908</v>
      </c>
      <c r="I5790" s="33" t="s">
        <v>106</v>
      </c>
      <c r="J5790" s="33" t="s">
        <v>6478</v>
      </c>
      <c r="K5790" s="33" t="s">
        <v>1435</v>
      </c>
      <c r="L5790" s="33" t="s">
        <v>6479</v>
      </c>
      <c r="M5790" s="33" t="s">
        <v>21</v>
      </c>
      <c r="N5790" s="33" t="s">
        <v>6480</v>
      </c>
      <c r="O5790" s="33" t="s">
        <v>950</v>
      </c>
      <c r="P5790" s="33" t="s">
        <v>30089</v>
      </c>
      <c r="Q5790" s="40" t="s">
        <v>6481</v>
      </c>
      <c r="R5790" s="33" t="s">
        <v>94</v>
      </c>
      <c r="S5790" s="33" t="s">
        <v>22</v>
      </c>
      <c r="T5790" s="1" t="s">
        <v>26781</v>
      </c>
      <c r="Z5790" s="33" t="s">
        <v>42968</v>
      </c>
      <c r="AA5790" s="33">
        <v>1874</v>
      </c>
    </row>
    <row r="5791" spans="1:27" ht="12" customHeight="1" x14ac:dyDescent="0.15">
      <c r="A5791" s="33" t="s">
        <v>6482</v>
      </c>
      <c r="B5791" s="33">
        <v>43</v>
      </c>
      <c r="C5791" s="33" t="s">
        <v>14</v>
      </c>
      <c r="D5791" s="33" t="s">
        <v>31</v>
      </c>
      <c r="F5791" s="67">
        <v>41903</v>
      </c>
      <c r="G5791" s="33" t="s">
        <v>6483</v>
      </c>
      <c r="H5791" s="33" t="s">
        <v>1751</v>
      </c>
      <c r="I5791" s="33" t="s">
        <v>39</v>
      </c>
      <c r="J5791" s="33" t="s">
        <v>6484</v>
      </c>
      <c r="K5791" s="33" t="s">
        <v>998</v>
      </c>
      <c r="L5791" s="33" t="s">
        <v>1753</v>
      </c>
      <c r="M5791" s="33" t="s">
        <v>21</v>
      </c>
      <c r="N5791" s="33" t="s">
        <v>6485</v>
      </c>
      <c r="O5791" s="33" t="s">
        <v>950</v>
      </c>
      <c r="P5791" s="33" t="s">
        <v>30089</v>
      </c>
      <c r="Q5791" s="40" t="s">
        <v>6486</v>
      </c>
      <c r="R5791" s="33" t="s">
        <v>94</v>
      </c>
      <c r="S5791" s="33" t="s">
        <v>22</v>
      </c>
      <c r="T5791" s="1" t="s">
        <v>26781</v>
      </c>
      <c r="Z5791" s="33" t="s">
        <v>42968</v>
      </c>
      <c r="AA5791" s="33">
        <v>1875</v>
      </c>
    </row>
    <row r="5792" spans="1:27" ht="12" customHeight="1" x14ac:dyDescent="0.15">
      <c r="A5792" s="33" t="s">
        <v>6502</v>
      </c>
      <c r="B5792" s="33">
        <v>52</v>
      </c>
      <c r="C5792" s="33" t="s">
        <v>14</v>
      </c>
      <c r="D5792" s="33" t="s">
        <v>31</v>
      </c>
      <c r="E5792" s="33" t="s">
        <v>6503</v>
      </c>
      <c r="F5792" s="67">
        <v>41902</v>
      </c>
      <c r="G5792" s="33" t="s">
        <v>6504</v>
      </c>
      <c r="H5792" s="33" t="s">
        <v>6505</v>
      </c>
      <c r="I5792" s="33" t="s">
        <v>56</v>
      </c>
      <c r="J5792" s="33" t="s">
        <v>6506</v>
      </c>
      <c r="K5792" s="33" t="s">
        <v>3571</v>
      </c>
      <c r="L5792" s="33" t="s">
        <v>242</v>
      </c>
      <c r="M5792" s="33" t="s">
        <v>21</v>
      </c>
      <c r="N5792" s="33" t="s">
        <v>6507</v>
      </c>
      <c r="O5792" s="33" t="s">
        <v>950</v>
      </c>
      <c r="P5792" s="33" t="s">
        <v>30089</v>
      </c>
      <c r="Q5792" s="40" t="s">
        <v>6508</v>
      </c>
      <c r="R5792" s="33" t="s">
        <v>94</v>
      </c>
      <c r="S5792" s="33" t="s">
        <v>22</v>
      </c>
      <c r="T5792" s="1" t="s">
        <v>26781</v>
      </c>
      <c r="Z5792" s="33" t="s">
        <v>42968</v>
      </c>
      <c r="AA5792" s="33">
        <v>1871</v>
      </c>
    </row>
    <row r="5793" spans="1:31" ht="12" customHeight="1" x14ac:dyDescent="0.15">
      <c r="A5793" s="33" t="s">
        <v>6487</v>
      </c>
      <c r="B5793" s="33">
        <v>43</v>
      </c>
      <c r="C5793" s="33" t="s">
        <v>14</v>
      </c>
      <c r="D5793" s="33" t="s">
        <v>31</v>
      </c>
      <c r="F5793" s="67">
        <v>41902</v>
      </c>
      <c r="G5793" s="33" t="s">
        <v>6488</v>
      </c>
      <c r="H5793" s="33" t="s">
        <v>6489</v>
      </c>
      <c r="I5793" s="33" t="s">
        <v>395</v>
      </c>
      <c r="J5793" s="33" t="s">
        <v>6490</v>
      </c>
      <c r="K5793" s="33" t="s">
        <v>6491</v>
      </c>
      <c r="L5793" s="33" t="s">
        <v>6492</v>
      </c>
      <c r="M5793" s="33" t="s">
        <v>363</v>
      </c>
      <c r="N5793" s="33" t="s">
        <v>6493</v>
      </c>
      <c r="O5793" s="33" t="s">
        <v>950</v>
      </c>
      <c r="P5793" s="33" t="s">
        <v>30089</v>
      </c>
      <c r="Q5793" s="40" t="s">
        <v>6494</v>
      </c>
      <c r="R5793" s="33" t="s">
        <v>23</v>
      </c>
      <c r="S5793" s="33" t="s">
        <v>12</v>
      </c>
      <c r="T5793" s="54" t="s">
        <v>29705</v>
      </c>
      <c r="Z5793" s="33" t="s">
        <v>42968</v>
      </c>
      <c r="AA5793" s="33">
        <v>1872</v>
      </c>
    </row>
    <row r="5794" spans="1:31" ht="12" customHeight="1" x14ac:dyDescent="0.15">
      <c r="A5794" s="33" t="s">
        <v>6495</v>
      </c>
      <c r="B5794" s="33">
        <v>49</v>
      </c>
      <c r="C5794" s="33" t="s">
        <v>103</v>
      </c>
      <c r="D5794" s="33" t="s">
        <v>31</v>
      </c>
      <c r="E5794" s="33" t="s">
        <v>6496</v>
      </c>
      <c r="F5794" s="67">
        <v>41902</v>
      </c>
      <c r="G5794" s="33" t="s">
        <v>6497</v>
      </c>
      <c r="H5794" s="33" t="s">
        <v>6498</v>
      </c>
      <c r="I5794" s="33" t="s">
        <v>56</v>
      </c>
      <c r="J5794" s="33" t="s">
        <v>6499</v>
      </c>
      <c r="K5794" s="33" t="s">
        <v>5505</v>
      </c>
      <c r="L5794" s="33" t="s">
        <v>5506</v>
      </c>
      <c r="M5794" s="33" t="s">
        <v>21</v>
      </c>
      <c r="N5794" s="33" t="s">
        <v>6500</v>
      </c>
      <c r="O5794" s="33" t="s">
        <v>4311</v>
      </c>
      <c r="P5794" s="33" t="s">
        <v>30089</v>
      </c>
      <c r="Q5794" s="40" t="s">
        <v>6501</v>
      </c>
      <c r="R5794" s="33" t="s">
        <v>512</v>
      </c>
      <c r="S5794" s="33" t="s">
        <v>22</v>
      </c>
      <c r="T5794" s="1" t="s">
        <v>26576</v>
      </c>
      <c r="Z5794" s="33" t="s">
        <v>42968</v>
      </c>
      <c r="AA5794" s="33">
        <v>1873</v>
      </c>
    </row>
    <row r="5795" spans="1:31" ht="12" customHeight="1" x14ac:dyDescent="0.15">
      <c r="A5795" s="33" t="s">
        <v>730</v>
      </c>
      <c r="B5795" s="33">
        <v>33</v>
      </c>
      <c r="C5795" s="33" t="s">
        <v>14</v>
      </c>
      <c r="D5795" s="33" t="s">
        <v>15</v>
      </c>
      <c r="E5795" s="33" t="s">
        <v>6509</v>
      </c>
      <c r="F5795" s="67">
        <v>41901</v>
      </c>
      <c r="G5795" s="33" t="s">
        <v>6510</v>
      </c>
      <c r="H5795" s="33" t="s">
        <v>911</v>
      </c>
      <c r="I5795" s="33" t="s">
        <v>178</v>
      </c>
      <c r="J5795" s="33" t="s">
        <v>6511</v>
      </c>
      <c r="K5795" s="33" t="s">
        <v>5875</v>
      </c>
      <c r="L5795" s="33" t="s">
        <v>6512</v>
      </c>
      <c r="M5795" s="33" t="s">
        <v>21</v>
      </c>
      <c r="N5795" s="33" t="s">
        <v>6513</v>
      </c>
      <c r="O5795" s="33" t="s">
        <v>950</v>
      </c>
      <c r="P5795" s="33" t="s">
        <v>30089</v>
      </c>
      <c r="Q5795" s="40" t="str">
        <f>HYPERLINK("http://www.demingheadlight.com/deming-news/ci_26572049/pursuit-through-luna-county-ends-stand-off-las","http://www.demingheadlight.com/deming-news/ci_26572049/pursuit-through-luna-county-ends-stand-off-las")</f>
        <v>http://www.demingheadlight.com/deming-news/ci_26572049/pursuit-through-luna-county-ends-stand-off-las</v>
      </c>
      <c r="R5795" s="33" t="s">
        <v>94</v>
      </c>
      <c r="S5795" s="33" t="s">
        <v>22</v>
      </c>
      <c r="T5795" s="1" t="s">
        <v>26781</v>
      </c>
      <c r="Z5795" s="33" t="s">
        <v>42966</v>
      </c>
      <c r="AA5795" s="33">
        <v>1868</v>
      </c>
    </row>
    <row r="5796" spans="1:31" ht="12" customHeight="1" x14ac:dyDescent="0.15">
      <c r="A5796" s="33" t="s">
        <v>6521</v>
      </c>
      <c r="B5796" s="33">
        <v>18</v>
      </c>
      <c r="C5796" s="33" t="s">
        <v>14</v>
      </c>
      <c r="D5796" s="33" t="s">
        <v>31</v>
      </c>
      <c r="F5796" s="67">
        <v>41901</v>
      </c>
      <c r="G5796" s="33" t="s">
        <v>6522</v>
      </c>
      <c r="H5796" s="33" t="s">
        <v>6523</v>
      </c>
      <c r="I5796" s="33" t="s">
        <v>160</v>
      </c>
      <c r="J5796" s="33" t="s">
        <v>6524</v>
      </c>
      <c r="K5796" s="33" t="s">
        <v>1736</v>
      </c>
      <c r="L5796" s="33" t="s">
        <v>36810</v>
      </c>
      <c r="M5796" s="33" t="s">
        <v>21</v>
      </c>
      <c r="N5796" s="33" t="s">
        <v>6525</v>
      </c>
      <c r="O5796" s="33" t="s">
        <v>950</v>
      </c>
      <c r="P5796" s="33" t="s">
        <v>30089</v>
      </c>
      <c r="Q5796" s="40" t="str">
        <f>HYPERLINK("http://www.northwestgeorgianews.com/polkfishwrap/news/local/authorities--year-old-levi-weaver-shot-killed-by-polk/article_b26d6dba-408c-11e4-ba96-0017a43b2370.html","http://www.northwestgeorgianews.com/polkfishwrap/news/local/authorities--year-old-levi-weaver-shot-killed-by-polk/article_b26d6dba-408c-11e4-ba96-0017a43b2370.html")</f>
        <v>http://www.northwestgeorgianews.com/polkfishwrap/news/local/authorities--year-old-levi-weaver-shot-killed-by-polk/article_b26d6dba-408c-11e4-ba96-0017a43b2370.html</v>
      </c>
      <c r="R5796" s="33" t="s">
        <v>23</v>
      </c>
      <c r="S5796" s="33" t="s">
        <v>22</v>
      </c>
      <c r="T5796" s="1" t="s">
        <v>40847</v>
      </c>
      <c r="Z5796" s="33" t="s">
        <v>42967</v>
      </c>
      <c r="AA5796" s="33">
        <v>1867</v>
      </c>
    </row>
    <row r="5797" spans="1:31" ht="12" customHeight="1" x14ac:dyDescent="0.15">
      <c r="A5797" s="33" t="s">
        <v>6514</v>
      </c>
      <c r="B5797" s="33">
        <v>66</v>
      </c>
      <c r="C5797" s="33" t="s">
        <v>14</v>
      </c>
      <c r="D5797" s="33" t="s">
        <v>24</v>
      </c>
      <c r="F5797" s="67">
        <v>41901</v>
      </c>
      <c r="G5797" s="33" t="s">
        <v>6515</v>
      </c>
      <c r="H5797" s="33" t="s">
        <v>6516</v>
      </c>
      <c r="I5797" s="33" t="s">
        <v>112</v>
      </c>
      <c r="J5797" s="33" t="s">
        <v>6517</v>
      </c>
      <c r="K5797" s="33" t="s">
        <v>6518</v>
      </c>
      <c r="L5797" s="33" t="s">
        <v>17584</v>
      </c>
      <c r="M5797" s="33" t="s">
        <v>21</v>
      </c>
      <c r="N5797" s="33" t="s">
        <v>6519</v>
      </c>
      <c r="O5797" s="33" t="s">
        <v>950</v>
      </c>
      <c r="P5797" s="33" t="s">
        <v>30089</v>
      </c>
      <c r="Q5797" s="40" t="s">
        <v>6520</v>
      </c>
      <c r="R5797" s="33" t="s">
        <v>94</v>
      </c>
      <c r="S5797" s="33" t="s">
        <v>22</v>
      </c>
      <c r="T5797" s="33" t="s">
        <v>43002</v>
      </c>
      <c r="Z5797" s="33" t="s">
        <v>42967</v>
      </c>
      <c r="AA5797" s="33">
        <v>1869</v>
      </c>
      <c r="AE5797" s="33"/>
    </row>
    <row r="5798" spans="1:31" ht="12" customHeight="1" x14ac:dyDescent="0.15">
      <c r="A5798" s="33" t="s">
        <v>6526</v>
      </c>
      <c r="B5798" s="33">
        <v>49</v>
      </c>
      <c r="C5798" s="33" t="s">
        <v>14</v>
      </c>
      <c r="D5798" s="33" t="s">
        <v>31</v>
      </c>
      <c r="E5798" s="33" t="s">
        <v>6527</v>
      </c>
      <c r="F5798" s="67">
        <v>41901</v>
      </c>
      <c r="G5798" s="33" t="s">
        <v>6528</v>
      </c>
      <c r="H5798" s="33" t="s">
        <v>6529</v>
      </c>
      <c r="I5798" s="33" t="s">
        <v>122</v>
      </c>
      <c r="J5798" s="33">
        <v>55811</v>
      </c>
      <c r="K5798" s="33" t="s">
        <v>661</v>
      </c>
      <c r="L5798" s="33" t="s">
        <v>6530</v>
      </c>
      <c r="M5798" s="33" t="s">
        <v>363</v>
      </c>
      <c r="N5798" s="33" t="s">
        <v>6531</v>
      </c>
      <c r="P5798" s="33" t="s">
        <v>30089</v>
      </c>
      <c r="Q5798" s="40" t="str">
        <f>HYPERLINK("http://www.twincities.com/localnews/ci_26675527/hermantown-man-dies-after-police-use-taser","http://www.twincities.com/localnews/ci_26675527/hermantown-man-dies-after-police-use-taser")</f>
        <v>http://www.twincities.com/localnews/ci_26675527/hermantown-man-dies-after-police-use-taser</v>
      </c>
      <c r="R5798" s="33" t="s">
        <v>512</v>
      </c>
      <c r="S5798" s="33" t="s">
        <v>29</v>
      </c>
      <c r="T5798" s="33" t="s">
        <v>41840</v>
      </c>
      <c r="Z5798" s="33" t="s">
        <v>42968</v>
      </c>
      <c r="AA5798" s="33">
        <v>1870</v>
      </c>
    </row>
    <row r="5799" spans="1:31" ht="12" customHeight="1" x14ac:dyDescent="0.15">
      <c r="A5799" s="33" t="s">
        <v>6538</v>
      </c>
      <c r="B5799" s="33">
        <v>29</v>
      </c>
      <c r="C5799" s="33" t="s">
        <v>14</v>
      </c>
      <c r="D5799" s="33" t="s">
        <v>79</v>
      </c>
      <c r="E5799" s="33" t="s">
        <v>6539</v>
      </c>
      <c r="F5799" s="67">
        <v>41900</v>
      </c>
      <c r="G5799" s="33" t="s">
        <v>6540</v>
      </c>
      <c r="H5799" s="33" t="s">
        <v>4747</v>
      </c>
      <c r="I5799" s="33" t="s">
        <v>160</v>
      </c>
      <c r="J5799" s="33" t="s">
        <v>6541</v>
      </c>
      <c r="K5799" s="33" t="s">
        <v>3428</v>
      </c>
      <c r="L5799" s="33" t="s">
        <v>6542</v>
      </c>
      <c r="M5799" s="33" t="s">
        <v>21</v>
      </c>
      <c r="N5799" s="33" t="s">
        <v>36811</v>
      </c>
      <c r="O5799" s="33" t="s">
        <v>372</v>
      </c>
      <c r="P5799" s="33" t="s">
        <v>30089</v>
      </c>
      <c r="Q5799" s="40" t="str">
        <f>HYPERLINK("http://www.ajc.com/news/news/man-fatally-shot-by-police-on-savannah-street/nhP97/","http://www.ajc.com/news/news/man-fatally-shot-by-police-on-savannah-street/nhP97/")</f>
        <v>http://www.ajc.com/news/news/man-fatally-shot-by-police-on-savannah-street/nhP97/</v>
      </c>
      <c r="R5799" s="33" t="s">
        <v>23</v>
      </c>
      <c r="S5799" s="33" t="s">
        <v>29</v>
      </c>
      <c r="T5799" s="33" t="s">
        <v>41840</v>
      </c>
      <c r="Z5799" s="33" t="s">
        <v>42966</v>
      </c>
      <c r="AA5799" s="33">
        <v>1866</v>
      </c>
    </row>
    <row r="5800" spans="1:31" ht="12" customHeight="1" x14ac:dyDescent="0.15">
      <c r="A5800" s="33" t="s">
        <v>6543</v>
      </c>
      <c r="B5800" s="33">
        <v>40</v>
      </c>
      <c r="C5800" s="33" t="s">
        <v>14</v>
      </c>
      <c r="D5800" s="33" t="s">
        <v>31</v>
      </c>
      <c r="E5800" s="33" t="s">
        <v>6544</v>
      </c>
      <c r="F5800" s="67">
        <v>41900</v>
      </c>
      <c r="G5800" s="33" t="s">
        <v>6545</v>
      </c>
      <c r="H5800" s="33" t="s">
        <v>6546</v>
      </c>
      <c r="I5800" s="33" t="s">
        <v>298</v>
      </c>
      <c r="J5800" s="33" t="s">
        <v>6547</v>
      </c>
      <c r="K5800" s="33" t="s">
        <v>6548</v>
      </c>
      <c r="L5800" s="33" t="s">
        <v>43051</v>
      </c>
      <c r="M5800" s="33" t="s">
        <v>21</v>
      </c>
      <c r="N5800" s="33" t="s">
        <v>6549</v>
      </c>
      <c r="O5800" s="33" t="s">
        <v>4311</v>
      </c>
      <c r="P5800" s="33" t="s">
        <v>30089</v>
      </c>
      <c r="Q5800" s="40" t="s">
        <v>6550</v>
      </c>
      <c r="R5800" s="33" t="s">
        <v>94</v>
      </c>
      <c r="S5800" s="33" t="s">
        <v>22</v>
      </c>
      <c r="T5800" s="1" t="s">
        <v>26781</v>
      </c>
      <c r="Z5800" s="33" t="s">
        <v>42967</v>
      </c>
      <c r="AA5800" s="33">
        <v>1865</v>
      </c>
    </row>
    <row r="5801" spans="1:31" ht="12" customHeight="1" x14ac:dyDescent="0.15">
      <c r="A5801" s="33" t="s">
        <v>6532</v>
      </c>
      <c r="B5801" s="33">
        <v>42</v>
      </c>
      <c r="C5801" s="33" t="s">
        <v>14</v>
      </c>
      <c r="D5801" s="33" t="s">
        <v>79</v>
      </c>
      <c r="E5801" s="33" t="s">
        <v>6533</v>
      </c>
      <c r="F5801" s="67">
        <v>41900</v>
      </c>
      <c r="G5801" s="33" t="s">
        <v>6534</v>
      </c>
      <c r="H5801" s="33" t="s">
        <v>2583</v>
      </c>
      <c r="I5801" s="33" t="s">
        <v>402</v>
      </c>
      <c r="J5801" s="33" t="s">
        <v>2584</v>
      </c>
      <c r="K5801" s="33" t="s">
        <v>661</v>
      </c>
      <c r="L5801" s="33" t="s">
        <v>6535</v>
      </c>
      <c r="M5801" s="33" t="s">
        <v>21</v>
      </c>
      <c r="N5801" s="33" t="s">
        <v>6536</v>
      </c>
      <c r="O5801" s="33" t="s">
        <v>4311</v>
      </c>
      <c r="P5801" s="33" t="s">
        <v>30089</v>
      </c>
      <c r="Q5801" s="40" t="s">
        <v>6537</v>
      </c>
      <c r="R5801" s="33" t="s">
        <v>94</v>
      </c>
      <c r="S5801" s="33" t="s">
        <v>22</v>
      </c>
      <c r="T5801" s="1" t="s">
        <v>26781</v>
      </c>
      <c r="Z5801" s="33" t="s">
        <v>42968</v>
      </c>
      <c r="AA5801" s="33">
        <v>1864</v>
      </c>
    </row>
    <row r="5802" spans="1:31" ht="12" customHeight="1" x14ac:dyDescent="0.15">
      <c r="A5802" s="33" t="s">
        <v>6557</v>
      </c>
      <c r="B5802" s="33">
        <v>22</v>
      </c>
      <c r="C5802" s="33" t="s">
        <v>14</v>
      </c>
      <c r="D5802" s="33" t="s">
        <v>31</v>
      </c>
      <c r="E5802" s="33" t="s">
        <v>6558</v>
      </c>
      <c r="F5802" s="67">
        <v>41899</v>
      </c>
      <c r="G5802" s="33" t="s">
        <v>6559</v>
      </c>
      <c r="H5802" s="33" t="s">
        <v>6560</v>
      </c>
      <c r="I5802" s="33" t="s">
        <v>39</v>
      </c>
      <c r="J5802" s="33" t="s">
        <v>6561</v>
      </c>
      <c r="K5802" s="33" t="s">
        <v>4965</v>
      </c>
      <c r="L5802" s="33" t="s">
        <v>6562</v>
      </c>
      <c r="M5802" s="33" t="s">
        <v>21</v>
      </c>
      <c r="N5802" s="33" t="s">
        <v>6563</v>
      </c>
      <c r="O5802" s="33" t="s">
        <v>372</v>
      </c>
      <c r="P5802" s="33" t="s">
        <v>30089</v>
      </c>
      <c r="Q5802" s="40" t="s">
        <v>6564</v>
      </c>
      <c r="R5802" s="33" t="s">
        <v>94</v>
      </c>
      <c r="S5802" s="33" t="s">
        <v>22</v>
      </c>
      <c r="T5802" s="1" t="s">
        <v>26781</v>
      </c>
      <c r="Z5802" s="33" t="s">
        <v>42968</v>
      </c>
      <c r="AA5802" s="33">
        <v>1862</v>
      </c>
    </row>
    <row r="5803" spans="1:31" ht="12" customHeight="1" x14ac:dyDescent="0.15">
      <c r="A5803" s="33" t="s">
        <v>6551</v>
      </c>
      <c r="B5803" s="33">
        <v>41</v>
      </c>
      <c r="C5803" s="33" t="s">
        <v>14</v>
      </c>
      <c r="D5803" s="33" t="s">
        <v>31</v>
      </c>
      <c r="E5803" s="33" t="s">
        <v>6552</v>
      </c>
      <c r="F5803" s="67">
        <v>41899</v>
      </c>
      <c r="G5803" s="33" t="s">
        <v>6553</v>
      </c>
      <c r="H5803" s="33" t="s">
        <v>1734</v>
      </c>
      <c r="I5803" s="33" t="s">
        <v>342</v>
      </c>
      <c r="J5803" s="33" t="s">
        <v>6554</v>
      </c>
      <c r="K5803" s="33" t="s">
        <v>1736</v>
      </c>
      <c r="L5803" s="33" t="s">
        <v>1737</v>
      </c>
      <c r="M5803" s="33" t="s">
        <v>21</v>
      </c>
      <c r="N5803" s="33" t="s">
        <v>6555</v>
      </c>
      <c r="O5803" s="33" t="s">
        <v>4311</v>
      </c>
      <c r="P5803" s="33" t="s">
        <v>30089</v>
      </c>
      <c r="Q5803" s="40" t="s">
        <v>6556</v>
      </c>
      <c r="R5803" s="33" t="s">
        <v>94</v>
      </c>
      <c r="S5803" s="33" t="s">
        <v>22</v>
      </c>
      <c r="T5803" s="1" t="s">
        <v>42984</v>
      </c>
      <c r="Z5803" s="33" t="s">
        <v>42968</v>
      </c>
      <c r="AA5803" s="33">
        <v>1863</v>
      </c>
    </row>
    <row r="5804" spans="1:31" ht="12" customHeight="1" x14ac:dyDescent="0.15">
      <c r="A5804" s="33" t="s">
        <v>6572</v>
      </c>
      <c r="B5804" s="33">
        <v>21</v>
      </c>
      <c r="C5804" s="33" t="s">
        <v>14</v>
      </c>
      <c r="D5804" s="33" t="s">
        <v>42</v>
      </c>
      <c r="E5804" s="33" t="s">
        <v>6573</v>
      </c>
      <c r="F5804" s="67">
        <v>41898</v>
      </c>
      <c r="G5804" s="33" t="s">
        <v>6574</v>
      </c>
      <c r="H5804" s="33" t="s">
        <v>183</v>
      </c>
      <c r="I5804" s="33" t="s">
        <v>39</v>
      </c>
      <c r="J5804" s="33" t="s">
        <v>6575</v>
      </c>
      <c r="K5804" s="33" t="s">
        <v>183</v>
      </c>
      <c r="L5804" s="33" t="s">
        <v>184</v>
      </c>
      <c r="M5804" s="33" t="s">
        <v>21</v>
      </c>
      <c r="N5804" s="33" t="s">
        <v>6576</v>
      </c>
      <c r="O5804" s="33" t="s">
        <v>950</v>
      </c>
      <c r="P5804" s="33" t="s">
        <v>30089</v>
      </c>
      <c r="Q5804" s="40" t="s">
        <v>19039</v>
      </c>
      <c r="R5804" s="33" t="s">
        <v>94</v>
      </c>
      <c r="S5804" s="33" t="s">
        <v>12</v>
      </c>
      <c r="T5804" s="54" t="s">
        <v>29705</v>
      </c>
      <c r="Z5804" s="33" t="s">
        <v>42966</v>
      </c>
      <c r="AA5804" s="33">
        <v>1859</v>
      </c>
    </row>
    <row r="5805" spans="1:31" ht="12" customHeight="1" x14ac:dyDescent="0.15">
      <c r="A5805" s="33" t="s">
        <v>6577</v>
      </c>
      <c r="B5805" s="33">
        <v>40</v>
      </c>
      <c r="C5805" s="33" t="s">
        <v>14</v>
      </c>
      <c r="D5805" s="33" t="s">
        <v>31</v>
      </c>
      <c r="E5805" s="33" t="s">
        <v>6578</v>
      </c>
      <c r="F5805" s="67">
        <v>41898</v>
      </c>
      <c r="G5805" s="33" t="s">
        <v>6579</v>
      </c>
      <c r="H5805" s="33" t="s">
        <v>6580</v>
      </c>
      <c r="I5805" s="33" t="s">
        <v>621</v>
      </c>
      <c r="J5805" s="33" t="s">
        <v>6581</v>
      </c>
      <c r="K5805" s="33" t="s">
        <v>5276</v>
      </c>
      <c r="L5805" s="33" t="s">
        <v>6582</v>
      </c>
      <c r="M5805" s="33" t="s">
        <v>21</v>
      </c>
      <c r="N5805" s="33" t="s">
        <v>6583</v>
      </c>
      <c r="O5805" s="33" t="s">
        <v>4311</v>
      </c>
      <c r="P5805" s="33" t="s">
        <v>30089</v>
      </c>
      <c r="Q5805" s="40" t="s">
        <v>6584</v>
      </c>
      <c r="R5805" s="33" t="s">
        <v>94</v>
      </c>
      <c r="S5805" s="33" t="s">
        <v>22</v>
      </c>
      <c r="T5805" s="1" t="s">
        <v>26576</v>
      </c>
      <c r="Z5805" s="33" t="s">
        <v>42967</v>
      </c>
      <c r="AA5805" s="33">
        <v>1860</v>
      </c>
    </row>
    <row r="5806" spans="1:31" ht="12" customHeight="1" x14ac:dyDescent="0.15">
      <c r="A5806" s="33" t="s">
        <v>6565</v>
      </c>
      <c r="B5806" s="33">
        <v>23</v>
      </c>
      <c r="C5806" s="33" t="s">
        <v>14</v>
      </c>
      <c r="D5806" s="33" t="s">
        <v>79</v>
      </c>
      <c r="E5806" s="33" t="s">
        <v>6566</v>
      </c>
      <c r="F5806" s="67">
        <v>41898</v>
      </c>
      <c r="G5806" s="33" t="s">
        <v>6567</v>
      </c>
      <c r="H5806" s="33" t="s">
        <v>6568</v>
      </c>
      <c r="I5806" s="33" t="s">
        <v>75</v>
      </c>
      <c r="J5806" s="33" t="s">
        <v>6569</v>
      </c>
      <c r="K5806" s="33" t="s">
        <v>1705</v>
      </c>
      <c r="L5806" s="33" t="s">
        <v>36935</v>
      </c>
      <c r="M5806" s="33" t="s">
        <v>21</v>
      </c>
      <c r="N5806" s="33" t="s">
        <v>6570</v>
      </c>
      <c r="O5806" s="33" t="s">
        <v>4311</v>
      </c>
      <c r="P5806" s="33" t="s">
        <v>30089</v>
      </c>
      <c r="Q5806" s="40" t="s">
        <v>6571</v>
      </c>
      <c r="R5806" s="33" t="s">
        <v>94</v>
      </c>
      <c r="S5806" s="33" t="s">
        <v>351</v>
      </c>
      <c r="T5806" s="1" t="s">
        <v>26867</v>
      </c>
      <c r="Z5806" s="33" t="s">
        <v>42968</v>
      </c>
      <c r="AA5806" s="33">
        <v>1861</v>
      </c>
    </row>
    <row r="5807" spans="1:31" ht="12" customHeight="1" x14ac:dyDescent="0.15">
      <c r="A5807" s="33" t="s">
        <v>6585</v>
      </c>
      <c r="B5807" s="33">
        <v>23</v>
      </c>
      <c r="C5807" s="33" t="s">
        <v>14</v>
      </c>
      <c r="D5807" s="33" t="s">
        <v>79</v>
      </c>
      <c r="E5807" s="33" t="s">
        <v>6586</v>
      </c>
      <c r="F5807" s="67">
        <v>41897</v>
      </c>
      <c r="G5807" s="33" t="s">
        <v>6587</v>
      </c>
      <c r="H5807" s="33" t="s">
        <v>6588</v>
      </c>
      <c r="I5807" s="33" t="s">
        <v>309</v>
      </c>
      <c r="J5807" s="33" t="s">
        <v>6589</v>
      </c>
      <c r="K5807" s="33" t="s">
        <v>6590</v>
      </c>
      <c r="L5807" s="33" t="s">
        <v>6591</v>
      </c>
      <c r="M5807" s="33" t="s">
        <v>21</v>
      </c>
      <c r="N5807" s="33" t="s">
        <v>6592</v>
      </c>
      <c r="O5807" s="33" t="s">
        <v>4311</v>
      </c>
      <c r="P5807" s="33" t="s">
        <v>30089</v>
      </c>
      <c r="Q5807" s="40" t="s">
        <v>6593</v>
      </c>
      <c r="R5807" s="33" t="s">
        <v>23</v>
      </c>
      <c r="S5807" s="33" t="s">
        <v>22</v>
      </c>
      <c r="T5807" s="1" t="s">
        <v>26774</v>
      </c>
      <c r="Z5807" s="33" t="e">
        <v>#N/A</v>
      </c>
      <c r="AA5807" s="33">
        <v>1858</v>
      </c>
    </row>
    <row r="5808" spans="1:31" ht="12" customHeight="1" x14ac:dyDescent="0.15">
      <c r="A5808" s="33" t="s">
        <v>6594</v>
      </c>
      <c r="B5808" s="33">
        <v>26</v>
      </c>
      <c r="C5808" s="33" t="s">
        <v>14</v>
      </c>
      <c r="D5808" s="33" t="s">
        <v>79</v>
      </c>
      <c r="E5808" s="33" t="s">
        <v>6595</v>
      </c>
      <c r="F5808" s="67">
        <v>41897</v>
      </c>
      <c r="G5808" s="33" t="s">
        <v>6596</v>
      </c>
      <c r="H5808" s="33" t="s">
        <v>6597</v>
      </c>
      <c r="I5808" s="33" t="s">
        <v>282</v>
      </c>
      <c r="J5808" s="33" t="s">
        <v>6598</v>
      </c>
      <c r="K5808" s="33" t="s">
        <v>6599</v>
      </c>
      <c r="L5808" s="33" t="s">
        <v>6600</v>
      </c>
      <c r="M5808" s="33" t="s">
        <v>21</v>
      </c>
      <c r="N5808" s="33" t="s">
        <v>6601</v>
      </c>
      <c r="O5808" s="33" t="s">
        <v>4311</v>
      </c>
      <c r="P5808" s="33" t="s">
        <v>30089</v>
      </c>
      <c r="Q5808" s="40" t="s">
        <v>6602</v>
      </c>
      <c r="R5808" s="33" t="s">
        <v>512</v>
      </c>
      <c r="S5808" s="33" t="s">
        <v>22</v>
      </c>
      <c r="T5808" s="1" t="s">
        <v>26781</v>
      </c>
      <c r="Z5808" s="33" t="s">
        <v>42968</v>
      </c>
      <c r="AA5808" s="33">
        <v>1857</v>
      </c>
    </row>
    <row r="5809" spans="1:31" ht="12" customHeight="1" x14ac:dyDescent="0.15">
      <c r="A5809" s="33" t="s">
        <v>6607</v>
      </c>
      <c r="B5809" s="33">
        <v>24</v>
      </c>
      <c r="C5809" s="33" t="s">
        <v>14</v>
      </c>
      <c r="D5809" s="33" t="s">
        <v>42</v>
      </c>
      <c r="E5809" s="33" t="s">
        <v>6608</v>
      </c>
      <c r="F5809" s="67">
        <v>41896</v>
      </c>
      <c r="G5809" s="33" t="s">
        <v>6609</v>
      </c>
      <c r="H5809" s="33" t="s">
        <v>818</v>
      </c>
      <c r="I5809" s="33" t="s">
        <v>39</v>
      </c>
      <c r="J5809" s="33" t="s">
        <v>6610</v>
      </c>
      <c r="K5809" s="33" t="s">
        <v>4146</v>
      </c>
      <c r="L5809" s="33" t="s">
        <v>17582</v>
      </c>
      <c r="M5809" s="33" t="s">
        <v>21</v>
      </c>
      <c r="N5809" s="33" t="s">
        <v>6611</v>
      </c>
      <c r="O5809" s="33" t="s">
        <v>950</v>
      </c>
      <c r="P5809" s="33" t="s">
        <v>30089</v>
      </c>
      <c r="Q5809" s="40" t="s">
        <v>6612</v>
      </c>
      <c r="R5809" s="33" t="s">
        <v>904</v>
      </c>
      <c r="S5809" s="33" t="s">
        <v>29</v>
      </c>
      <c r="T5809" s="33" t="s">
        <v>41840</v>
      </c>
      <c r="Z5809" s="33" t="s">
        <v>42966</v>
      </c>
      <c r="AA5809" s="33">
        <v>1856</v>
      </c>
      <c r="AE5809" s="33"/>
    </row>
    <row r="5810" spans="1:31" ht="12" customHeight="1" x14ac:dyDescent="0.15">
      <c r="A5810" s="33" t="s">
        <v>3424</v>
      </c>
      <c r="B5810" s="33">
        <v>37</v>
      </c>
      <c r="C5810" s="33" t="s">
        <v>14</v>
      </c>
      <c r="D5810" s="33" t="s">
        <v>31</v>
      </c>
      <c r="F5810" s="67">
        <v>41896</v>
      </c>
      <c r="G5810" s="33" t="s">
        <v>6615</v>
      </c>
      <c r="H5810" s="33" t="s">
        <v>504</v>
      </c>
      <c r="I5810" s="33" t="s">
        <v>63</v>
      </c>
      <c r="J5810" s="33" t="s">
        <v>6616</v>
      </c>
      <c r="K5810" s="33" t="s">
        <v>505</v>
      </c>
      <c r="L5810" s="33" t="s">
        <v>506</v>
      </c>
      <c r="M5810" s="33" t="s">
        <v>21</v>
      </c>
      <c r="N5810" s="33" t="s">
        <v>6617</v>
      </c>
      <c r="O5810" s="33" t="s">
        <v>507</v>
      </c>
      <c r="P5810" s="33" t="s">
        <v>30089</v>
      </c>
      <c r="Q5810" s="40" t="s">
        <v>6618</v>
      </c>
      <c r="R5810" s="33" t="s">
        <v>512</v>
      </c>
      <c r="S5810" s="33" t="s">
        <v>22</v>
      </c>
      <c r="T5810" s="1" t="s">
        <v>26781</v>
      </c>
      <c r="Z5810" s="33" t="s">
        <v>42966</v>
      </c>
      <c r="AA5810" s="33">
        <v>1854</v>
      </c>
    </row>
    <row r="5811" spans="1:31" ht="12" customHeight="1" x14ac:dyDescent="0.15">
      <c r="A5811" s="33" t="s">
        <v>6603</v>
      </c>
      <c r="B5811" s="33">
        <v>36</v>
      </c>
      <c r="C5811" s="33" t="s">
        <v>14</v>
      </c>
      <c r="D5811" s="33" t="s">
        <v>79</v>
      </c>
      <c r="F5811" s="67">
        <v>41896</v>
      </c>
      <c r="G5811" s="33" t="s">
        <v>6604</v>
      </c>
      <c r="H5811" s="33" t="s">
        <v>5840</v>
      </c>
      <c r="I5811" s="33" t="s">
        <v>19</v>
      </c>
      <c r="J5811" s="33" t="s">
        <v>6605</v>
      </c>
      <c r="K5811" s="33" t="s">
        <v>1659</v>
      </c>
      <c r="L5811" s="33" t="s">
        <v>980</v>
      </c>
      <c r="M5811" s="33" t="s">
        <v>21</v>
      </c>
      <c r="N5811" s="33" t="s">
        <v>6606</v>
      </c>
      <c r="O5811" s="33" t="s">
        <v>507</v>
      </c>
      <c r="P5811" s="33" t="s">
        <v>30089</v>
      </c>
      <c r="Q5811" s="40" t="str">
        <f>HYPERLINK("http://www.wwltv.com/story/news/local/orleans/2014/09/15/officer-shot-on-duty-in-good-spirits/15700815/","http://www.wwltv.com/story/news/local/orleans/2014/09/15/officer-shot-on-duty-in-good-spirits/15700815/")</f>
        <v>http://www.wwltv.com/story/news/local/orleans/2014/09/15/officer-shot-on-duty-in-good-spirits/15700815/</v>
      </c>
      <c r="R5811" s="33" t="s">
        <v>94</v>
      </c>
      <c r="S5811" s="33" t="s">
        <v>22</v>
      </c>
      <c r="T5811" s="33" t="s">
        <v>26781</v>
      </c>
      <c r="Z5811" s="33" t="s">
        <v>42968</v>
      </c>
      <c r="AA5811" s="33">
        <v>1855</v>
      </c>
    </row>
    <row r="5812" spans="1:31" ht="12" customHeight="1" x14ac:dyDescent="0.15">
      <c r="A5812" s="33" t="s">
        <v>6619</v>
      </c>
      <c r="B5812" s="33">
        <v>47</v>
      </c>
      <c r="C5812" s="33" t="s">
        <v>14</v>
      </c>
      <c r="D5812" s="33" t="s">
        <v>79</v>
      </c>
      <c r="E5812" s="33" t="str">
        <f>HYPERLINK("http://www.copblock.org/wp-content/uploads/2014/09/ricky-deangelo-hinkle-jefferson-county-alabama-copblock.png","http://www.copblock.org/wp-content/uploads/2014/09/ricky-deangelo-hinkle-jefferson-county-alabama-copblock.png")</f>
        <v>http://www.copblock.org/wp-content/uploads/2014/09/ricky-deangelo-hinkle-jefferson-county-alabama-copblock.png</v>
      </c>
      <c r="F5812" s="67">
        <v>41895</v>
      </c>
      <c r="G5812" s="33" t="s">
        <v>6620</v>
      </c>
      <c r="H5812" s="33" t="s">
        <v>3809</v>
      </c>
      <c r="I5812" s="33" t="s">
        <v>88</v>
      </c>
      <c r="J5812" s="33">
        <v>35203</v>
      </c>
      <c r="K5812" s="33" t="s">
        <v>1659</v>
      </c>
      <c r="L5812" s="33" t="s">
        <v>1579</v>
      </c>
      <c r="M5812" s="33" t="s">
        <v>363</v>
      </c>
      <c r="N5812" s="33" t="s">
        <v>6621</v>
      </c>
      <c r="O5812" s="33" t="s">
        <v>950</v>
      </c>
      <c r="P5812" s="33" t="s">
        <v>30089</v>
      </c>
      <c r="Q5812" s="40" t="str">
        <f>HYPERLINK("http://www.al.com/news/birmingham/index.ssf/2014/09/jefferson_county_inmate_dies_a.html","http://www.al.com/news/birmingham/index.ssf/2014/09/jefferson_county_inmate_dies_a.html")</f>
        <v>http://www.al.com/news/birmingham/index.ssf/2014/09/jefferson_county_inmate_dies_a.html</v>
      </c>
      <c r="R5812" s="33" t="s">
        <v>23</v>
      </c>
      <c r="S5812" s="33" t="s">
        <v>12</v>
      </c>
      <c r="T5812" s="54" t="s">
        <v>29705</v>
      </c>
      <c r="Z5812" s="33" t="s">
        <v>42966</v>
      </c>
      <c r="AA5812" s="33">
        <v>1853</v>
      </c>
    </row>
    <row r="5813" spans="1:31" ht="12" customHeight="1" x14ac:dyDescent="0.15">
      <c r="A5813" s="33" t="s">
        <v>6627</v>
      </c>
      <c r="B5813" s="33">
        <v>43</v>
      </c>
      <c r="C5813" s="33" t="s">
        <v>14</v>
      </c>
      <c r="D5813" s="33" t="s">
        <v>31</v>
      </c>
      <c r="E5813" s="33" t="s">
        <v>6628</v>
      </c>
      <c r="F5813" s="67">
        <v>41895</v>
      </c>
      <c r="G5813" s="33" t="s">
        <v>6629</v>
      </c>
      <c r="H5813" s="33" t="s">
        <v>6630</v>
      </c>
      <c r="I5813" s="33" t="s">
        <v>298</v>
      </c>
      <c r="J5813" s="33" t="s">
        <v>6631</v>
      </c>
      <c r="K5813" s="33" t="s">
        <v>5050</v>
      </c>
      <c r="L5813" s="33" t="s">
        <v>6632</v>
      </c>
      <c r="M5813" s="33" t="s">
        <v>21</v>
      </c>
      <c r="N5813" s="33" t="s">
        <v>6633</v>
      </c>
      <c r="O5813" s="33" t="s">
        <v>507</v>
      </c>
      <c r="P5813" s="33" t="s">
        <v>30089</v>
      </c>
      <c r="Q5813" s="40" t="s">
        <v>6634</v>
      </c>
      <c r="R5813" s="33" t="s">
        <v>94</v>
      </c>
      <c r="S5813" s="33" t="s">
        <v>12</v>
      </c>
      <c r="T5813" s="54" t="s">
        <v>29705</v>
      </c>
      <c r="Z5813" s="33" t="s">
        <v>42968</v>
      </c>
      <c r="AA5813" s="33">
        <v>1852</v>
      </c>
    </row>
    <row r="5814" spans="1:31" ht="12" customHeight="1" x14ac:dyDescent="0.15">
      <c r="A5814" s="33" t="s">
        <v>6622</v>
      </c>
      <c r="B5814" s="33">
        <v>29</v>
      </c>
      <c r="C5814" s="33" t="s">
        <v>14</v>
      </c>
      <c r="D5814" s="33" t="s">
        <v>31</v>
      </c>
      <c r="E5814" s="33" t="s">
        <v>6623</v>
      </c>
      <c r="F5814" s="67">
        <v>41895</v>
      </c>
      <c r="G5814" s="33" t="s">
        <v>6624</v>
      </c>
      <c r="H5814" s="33" t="s">
        <v>947</v>
      </c>
      <c r="I5814" s="33" t="s">
        <v>294</v>
      </c>
      <c r="J5814" s="33" t="s">
        <v>6625</v>
      </c>
      <c r="K5814" s="33" t="s">
        <v>1415</v>
      </c>
      <c r="L5814" s="33" t="s">
        <v>14279</v>
      </c>
      <c r="M5814" s="33" t="s">
        <v>21</v>
      </c>
      <c r="N5814" s="33" t="s">
        <v>6626</v>
      </c>
      <c r="O5814" s="33" t="s">
        <v>950</v>
      </c>
      <c r="P5814" s="33" t="s">
        <v>30089</v>
      </c>
      <c r="Q5814" s="40" t="str">
        <f>HYPERLINK("http://www.wkyt.com/home/headlines/Police-dealing-with-developing-situation-in-Madison-County-275029661.html","http://www.wkyt.com/home/headlines/Police-dealing-with-developing-situation-in-Madison-County-275029661.html")</f>
        <v>http://www.wkyt.com/home/headlines/Police-dealing-with-developing-situation-in-Madison-County-275029661.html</v>
      </c>
      <c r="R5814" s="33" t="s">
        <v>94</v>
      </c>
      <c r="S5814" s="33" t="s">
        <v>22</v>
      </c>
      <c r="T5814" s="33" t="s">
        <v>26781</v>
      </c>
      <c r="Z5814" s="33" t="s">
        <v>42966</v>
      </c>
      <c r="AA5814" s="33">
        <v>1851</v>
      </c>
      <c r="AE5814" s="33"/>
    </row>
    <row r="5815" spans="1:31" ht="12" customHeight="1" x14ac:dyDescent="0.15">
      <c r="A5815" s="33" t="s">
        <v>6649</v>
      </c>
      <c r="B5815" s="33">
        <v>33</v>
      </c>
      <c r="C5815" s="33" t="s">
        <v>14</v>
      </c>
      <c r="D5815" s="33" t="s">
        <v>31</v>
      </c>
      <c r="E5815" s="33" t="s">
        <v>6650</v>
      </c>
      <c r="F5815" s="67">
        <v>41894</v>
      </c>
      <c r="G5815" s="33" t="s">
        <v>6651</v>
      </c>
      <c r="H5815" s="33" t="s">
        <v>6652</v>
      </c>
      <c r="I5815" s="33" t="s">
        <v>67</v>
      </c>
      <c r="J5815" s="33" t="s">
        <v>6653</v>
      </c>
      <c r="K5815" s="33" t="s">
        <v>6654</v>
      </c>
      <c r="L5815" s="33" t="s">
        <v>6655</v>
      </c>
      <c r="M5815" s="33" t="s">
        <v>21</v>
      </c>
      <c r="N5815" s="33" t="s">
        <v>6656</v>
      </c>
      <c r="O5815" s="33" t="s">
        <v>950</v>
      </c>
      <c r="P5815" s="33" t="s">
        <v>30089</v>
      </c>
      <c r="Q5815" s="40" t="s">
        <v>6657</v>
      </c>
      <c r="R5815" s="33" t="s">
        <v>512</v>
      </c>
      <c r="S5815" s="33" t="s">
        <v>22</v>
      </c>
      <c r="T5815" s="1" t="s">
        <v>26781</v>
      </c>
      <c r="Z5815" s="33" t="s">
        <v>42968</v>
      </c>
      <c r="AA5815" s="33">
        <v>1848</v>
      </c>
    </row>
    <row r="5816" spans="1:31" ht="12" customHeight="1" x14ac:dyDescent="0.15">
      <c r="A5816" s="33" t="s">
        <v>6635</v>
      </c>
      <c r="B5816" s="33">
        <v>22</v>
      </c>
      <c r="C5816" s="33" t="s">
        <v>14</v>
      </c>
      <c r="D5816" s="33" t="s">
        <v>79</v>
      </c>
      <c r="E5816" s="33" t="s">
        <v>6636</v>
      </c>
      <c r="F5816" s="67">
        <v>41894</v>
      </c>
      <c r="G5816" s="33" t="s">
        <v>6637</v>
      </c>
      <c r="H5816" s="33" t="s">
        <v>6638</v>
      </c>
      <c r="I5816" s="33" t="s">
        <v>221</v>
      </c>
      <c r="J5816" s="33" t="s">
        <v>6639</v>
      </c>
      <c r="K5816" s="33" t="s">
        <v>547</v>
      </c>
      <c r="L5816" s="33" t="s">
        <v>6640</v>
      </c>
      <c r="M5816" s="33" t="s">
        <v>21</v>
      </c>
      <c r="N5816" s="33" t="s">
        <v>6641</v>
      </c>
      <c r="O5816" s="33" t="s">
        <v>372</v>
      </c>
      <c r="P5816" s="33" t="s">
        <v>30089</v>
      </c>
      <c r="Q5816" s="40" t="s">
        <v>6642</v>
      </c>
      <c r="R5816" s="33" t="s">
        <v>94</v>
      </c>
      <c r="S5816" s="33" t="s">
        <v>12</v>
      </c>
      <c r="T5816" s="33" t="s">
        <v>43026</v>
      </c>
      <c r="Z5816" s="33" t="s">
        <v>42968</v>
      </c>
      <c r="AA5816" s="33">
        <v>1849</v>
      </c>
    </row>
    <row r="5817" spans="1:31" ht="12" customHeight="1" x14ac:dyDescent="0.15">
      <c r="A5817" s="33" t="s">
        <v>6643</v>
      </c>
      <c r="B5817" s="33">
        <v>33</v>
      </c>
      <c r="C5817" s="33" t="s">
        <v>14</v>
      </c>
      <c r="D5817" s="33" t="s">
        <v>79</v>
      </c>
      <c r="E5817" s="33" t="s">
        <v>6644</v>
      </c>
      <c r="F5817" s="67">
        <v>41894</v>
      </c>
      <c r="G5817" s="33" t="s">
        <v>6645</v>
      </c>
      <c r="H5817" s="33" t="s">
        <v>359</v>
      </c>
      <c r="I5817" s="33" t="s">
        <v>298</v>
      </c>
      <c r="J5817" s="33" t="s">
        <v>6646</v>
      </c>
      <c r="K5817" s="33" t="s">
        <v>2476</v>
      </c>
      <c r="L5817" s="33" t="s">
        <v>2477</v>
      </c>
      <c r="M5817" s="33" t="s">
        <v>21</v>
      </c>
      <c r="N5817" s="33" t="s">
        <v>6647</v>
      </c>
      <c r="O5817" s="33" t="s">
        <v>950</v>
      </c>
      <c r="P5817" s="33" t="s">
        <v>30089</v>
      </c>
      <c r="Q5817" s="40" t="s">
        <v>6648</v>
      </c>
      <c r="R5817" s="33" t="s">
        <v>94</v>
      </c>
      <c r="S5817" s="33" t="s">
        <v>351</v>
      </c>
      <c r="T5817" s="1" t="s">
        <v>42983</v>
      </c>
      <c r="Z5817" s="33" t="s">
        <v>42968</v>
      </c>
      <c r="AA5817" s="33">
        <v>1850</v>
      </c>
    </row>
    <row r="5818" spans="1:31" ht="12" customHeight="1" x14ac:dyDescent="0.15">
      <c r="A5818" s="33" t="s">
        <v>6673</v>
      </c>
      <c r="B5818" s="33">
        <v>40</v>
      </c>
      <c r="C5818" s="33" t="s">
        <v>14</v>
      </c>
      <c r="D5818" s="33" t="s">
        <v>31</v>
      </c>
      <c r="E5818" s="33" t="s">
        <v>6674</v>
      </c>
      <c r="F5818" s="67">
        <v>41893</v>
      </c>
      <c r="G5818" s="33" t="s">
        <v>6675</v>
      </c>
      <c r="H5818" s="33" t="s">
        <v>6676</v>
      </c>
      <c r="I5818" s="33" t="s">
        <v>67</v>
      </c>
      <c r="J5818" s="33" t="s">
        <v>2649</v>
      </c>
      <c r="K5818" s="33" t="s">
        <v>515</v>
      </c>
      <c r="L5818" s="33" t="s">
        <v>5161</v>
      </c>
      <c r="M5818" s="33" t="s">
        <v>21</v>
      </c>
      <c r="N5818" s="33" t="s">
        <v>6677</v>
      </c>
      <c r="O5818" s="33" t="s">
        <v>950</v>
      </c>
      <c r="P5818" s="33" t="s">
        <v>30089</v>
      </c>
      <c r="Q5818" s="40" t="s">
        <v>6678</v>
      </c>
      <c r="R5818" s="33" t="s">
        <v>94</v>
      </c>
      <c r="S5818" s="33" t="s">
        <v>22</v>
      </c>
      <c r="T5818" s="1" t="s">
        <v>26781</v>
      </c>
      <c r="Z5818" s="33" t="s">
        <v>42968</v>
      </c>
      <c r="AA5818" s="33">
        <v>1847</v>
      </c>
    </row>
    <row r="5819" spans="1:31" ht="12" customHeight="1" x14ac:dyDescent="0.15">
      <c r="A5819" s="33" t="s">
        <v>6658</v>
      </c>
      <c r="B5819" s="33">
        <v>54</v>
      </c>
      <c r="C5819" s="33" t="s">
        <v>14</v>
      </c>
      <c r="D5819" s="33" t="s">
        <v>31</v>
      </c>
      <c r="F5819" s="67">
        <v>41893</v>
      </c>
      <c r="G5819" s="33" t="s">
        <v>6659</v>
      </c>
      <c r="H5819" s="33" t="s">
        <v>6660</v>
      </c>
      <c r="I5819" s="33" t="s">
        <v>67</v>
      </c>
      <c r="J5819" s="33" t="s">
        <v>6661</v>
      </c>
      <c r="K5819" s="33" t="s">
        <v>6662</v>
      </c>
      <c r="L5819" s="33" t="s">
        <v>6663</v>
      </c>
      <c r="M5819" s="33" t="s">
        <v>21</v>
      </c>
      <c r="N5819" s="33" t="s">
        <v>6664</v>
      </c>
      <c r="O5819" s="33" t="s">
        <v>4311</v>
      </c>
      <c r="P5819" s="33" t="s">
        <v>30089</v>
      </c>
      <c r="Q5819" s="40" t="s">
        <v>6665</v>
      </c>
      <c r="R5819" s="33" t="s">
        <v>94</v>
      </c>
      <c r="S5819" s="33" t="s">
        <v>22</v>
      </c>
      <c r="T5819" s="1" t="s">
        <v>26781</v>
      </c>
      <c r="Z5819" s="33" t="s">
        <v>42968</v>
      </c>
      <c r="AA5819" s="33">
        <v>1846</v>
      </c>
    </row>
    <row r="5820" spans="1:31" ht="12" customHeight="1" x14ac:dyDescent="0.15">
      <c r="A5820" s="33" t="s">
        <v>6666</v>
      </c>
      <c r="B5820" s="33">
        <v>37</v>
      </c>
      <c r="C5820" s="33" t="s">
        <v>14</v>
      </c>
      <c r="D5820" s="33" t="s">
        <v>31</v>
      </c>
      <c r="E5820" s="33" t="s">
        <v>6667</v>
      </c>
      <c r="F5820" s="67">
        <v>41893</v>
      </c>
      <c r="G5820" s="33" t="s">
        <v>6668</v>
      </c>
      <c r="H5820" s="33" t="s">
        <v>6669</v>
      </c>
      <c r="I5820" s="33" t="s">
        <v>221</v>
      </c>
      <c r="J5820" s="33" t="s">
        <v>6670</v>
      </c>
      <c r="K5820" s="33" t="s">
        <v>107</v>
      </c>
      <c r="L5820" s="33" t="s">
        <v>6671</v>
      </c>
      <c r="M5820" s="33" t="s">
        <v>21</v>
      </c>
      <c r="N5820" s="33" t="s">
        <v>6672</v>
      </c>
      <c r="O5820" s="33" t="s">
        <v>507</v>
      </c>
      <c r="P5820" s="33" t="s">
        <v>30089</v>
      </c>
      <c r="Q5820" s="40" t="s">
        <v>4830</v>
      </c>
      <c r="R5820" s="33" t="s">
        <v>94</v>
      </c>
      <c r="S5820" s="33" t="s">
        <v>22</v>
      </c>
      <c r="T5820" s="1" t="s">
        <v>26781</v>
      </c>
      <c r="Z5820" s="33" t="s">
        <v>42968</v>
      </c>
      <c r="AA5820" s="33">
        <v>1845</v>
      </c>
    </row>
    <row r="5821" spans="1:31" ht="12" customHeight="1" x14ac:dyDescent="0.15">
      <c r="A5821" s="33" t="s">
        <v>6679</v>
      </c>
      <c r="B5821" s="33">
        <v>20</v>
      </c>
      <c r="C5821" s="33" t="s">
        <v>14</v>
      </c>
      <c r="D5821" s="33" t="s">
        <v>79</v>
      </c>
      <c r="F5821" s="67">
        <v>41891</v>
      </c>
      <c r="G5821" s="33" t="s">
        <v>6680</v>
      </c>
      <c r="H5821" s="33" t="s">
        <v>1309</v>
      </c>
      <c r="I5821" s="33" t="s">
        <v>75</v>
      </c>
      <c r="J5821" s="33" t="s">
        <v>6681</v>
      </c>
      <c r="K5821" s="33" t="s">
        <v>1310</v>
      </c>
      <c r="L5821" s="33" t="s">
        <v>1311</v>
      </c>
      <c r="M5821" s="33" t="s">
        <v>21</v>
      </c>
      <c r="N5821" s="33" t="s">
        <v>6682</v>
      </c>
      <c r="O5821" s="33" t="s">
        <v>950</v>
      </c>
      <c r="P5821" s="33" t="s">
        <v>30089</v>
      </c>
      <c r="Q5821" s="40" t="s">
        <v>6683</v>
      </c>
      <c r="R5821" s="33" t="s">
        <v>94</v>
      </c>
      <c r="S5821" s="33" t="s">
        <v>22</v>
      </c>
      <c r="T5821" s="1" t="s">
        <v>26781</v>
      </c>
      <c r="Z5821" s="33" t="s">
        <v>42966</v>
      </c>
      <c r="AA5821" s="33">
        <v>1843</v>
      </c>
    </row>
    <row r="5822" spans="1:31" ht="12" customHeight="1" x14ac:dyDescent="0.15">
      <c r="A5822" s="33" t="s">
        <v>6684</v>
      </c>
      <c r="B5822" s="33">
        <v>38</v>
      </c>
      <c r="C5822" s="33" t="s">
        <v>14</v>
      </c>
      <c r="D5822" s="33" t="s">
        <v>31</v>
      </c>
      <c r="E5822" s="33" t="s">
        <v>6685</v>
      </c>
      <c r="F5822" s="67">
        <v>41891</v>
      </c>
      <c r="G5822" s="33" t="s">
        <v>6686</v>
      </c>
      <c r="H5822" s="33" t="s">
        <v>1355</v>
      </c>
      <c r="I5822" s="33" t="s">
        <v>221</v>
      </c>
      <c r="J5822" s="33" t="s">
        <v>6687</v>
      </c>
      <c r="K5822" s="33" t="s">
        <v>1356</v>
      </c>
      <c r="L5822" s="33" t="s">
        <v>6688</v>
      </c>
      <c r="M5822" s="33" t="s">
        <v>21</v>
      </c>
      <c r="N5822" s="33" t="s">
        <v>6689</v>
      </c>
      <c r="O5822" s="33" t="s">
        <v>4311</v>
      </c>
      <c r="P5822" s="33" t="s">
        <v>30089</v>
      </c>
      <c r="Q5822" s="40" t="s">
        <v>6690</v>
      </c>
      <c r="R5822" s="33" t="s">
        <v>94</v>
      </c>
      <c r="S5822" s="33" t="s">
        <v>22</v>
      </c>
      <c r="T5822" s="1" t="s">
        <v>26781</v>
      </c>
      <c r="Z5822" s="33" t="s">
        <v>42968</v>
      </c>
      <c r="AA5822" s="33">
        <v>1844</v>
      </c>
    </row>
    <row r="5823" spans="1:31" ht="12" customHeight="1" x14ac:dyDescent="0.15">
      <c r="A5823" s="33" t="s">
        <v>6716</v>
      </c>
      <c r="B5823" s="33">
        <v>35</v>
      </c>
      <c r="C5823" s="33" t="s">
        <v>14</v>
      </c>
      <c r="D5823" s="33" t="s">
        <v>31</v>
      </c>
      <c r="F5823" s="67">
        <v>41890</v>
      </c>
      <c r="G5823" s="33" t="s">
        <v>6717</v>
      </c>
      <c r="H5823" s="33" t="s">
        <v>266</v>
      </c>
      <c r="I5823" s="33" t="s">
        <v>67</v>
      </c>
      <c r="J5823" s="33" t="s">
        <v>6718</v>
      </c>
      <c r="K5823" s="33" t="s">
        <v>266</v>
      </c>
      <c r="L5823" s="33" t="s">
        <v>267</v>
      </c>
      <c r="M5823" s="33" t="s">
        <v>21</v>
      </c>
      <c r="N5823" s="33" t="s">
        <v>6719</v>
      </c>
      <c r="O5823" s="33" t="s">
        <v>4311</v>
      </c>
      <c r="P5823" s="33" t="s">
        <v>30089</v>
      </c>
      <c r="Q5823" s="40" t="s">
        <v>6720</v>
      </c>
      <c r="R5823" s="33" t="s">
        <v>94</v>
      </c>
      <c r="S5823" s="33" t="s">
        <v>351</v>
      </c>
      <c r="T5823" s="1" t="s">
        <v>26867</v>
      </c>
      <c r="Z5823" s="33" t="s">
        <v>42968</v>
      </c>
      <c r="AA5823" s="33">
        <v>1841</v>
      </c>
    </row>
    <row r="5824" spans="1:31" ht="12" customHeight="1" x14ac:dyDescent="0.15">
      <c r="A5824" s="33" t="s">
        <v>6691</v>
      </c>
      <c r="B5824" s="33">
        <v>50</v>
      </c>
      <c r="C5824" s="33" t="s">
        <v>14</v>
      </c>
      <c r="D5824" s="33" t="s">
        <v>79</v>
      </c>
      <c r="F5824" s="67">
        <v>41890</v>
      </c>
      <c r="G5824" s="33" t="s">
        <v>6692</v>
      </c>
      <c r="H5824" s="33" t="s">
        <v>92</v>
      </c>
      <c r="I5824" s="33" t="s">
        <v>39</v>
      </c>
      <c r="J5824" s="33" t="s">
        <v>3045</v>
      </c>
      <c r="K5824" s="33" t="s">
        <v>92</v>
      </c>
      <c r="L5824" s="33" t="s">
        <v>93</v>
      </c>
      <c r="M5824" s="33" t="s">
        <v>21</v>
      </c>
      <c r="N5824" s="33" t="s">
        <v>6693</v>
      </c>
      <c r="O5824" s="33" t="s">
        <v>950</v>
      </c>
      <c r="P5824" s="33" t="s">
        <v>30089</v>
      </c>
      <c r="Q5824" s="40" t="s">
        <v>6694</v>
      </c>
      <c r="R5824" s="33" t="s">
        <v>94</v>
      </c>
      <c r="S5824" s="33" t="s">
        <v>22</v>
      </c>
      <c r="T5824" s="1" t="s">
        <v>26781</v>
      </c>
      <c r="Z5824" s="33" t="s">
        <v>42966</v>
      </c>
      <c r="AA5824" s="33">
        <v>1837</v>
      </c>
    </row>
    <row r="5825" spans="1:31" ht="12" customHeight="1" x14ac:dyDescent="0.15">
      <c r="A5825" s="33" t="s">
        <v>6721</v>
      </c>
      <c r="B5825" s="33">
        <v>24</v>
      </c>
      <c r="C5825" s="33" t="s">
        <v>14</v>
      </c>
      <c r="D5825" s="33" t="s">
        <v>31</v>
      </c>
      <c r="E5825" s="33" t="s">
        <v>6722</v>
      </c>
      <c r="F5825" s="67">
        <v>41890</v>
      </c>
      <c r="G5825" s="33" t="s">
        <v>6723</v>
      </c>
      <c r="H5825" s="33" t="s">
        <v>1227</v>
      </c>
      <c r="I5825" s="33" t="s">
        <v>67</v>
      </c>
      <c r="J5825" s="33" t="s">
        <v>6724</v>
      </c>
      <c r="K5825" s="33" t="s">
        <v>1228</v>
      </c>
      <c r="L5825" s="33" t="s">
        <v>1229</v>
      </c>
      <c r="M5825" s="33" t="s">
        <v>21</v>
      </c>
      <c r="N5825" s="33" t="s">
        <v>6725</v>
      </c>
      <c r="O5825" s="33" t="s">
        <v>4311</v>
      </c>
      <c r="P5825" s="33" t="s">
        <v>30089</v>
      </c>
      <c r="Q5825" s="40" t="s">
        <v>6726</v>
      </c>
      <c r="R5825" s="33" t="s">
        <v>94</v>
      </c>
      <c r="S5825" s="33" t="s">
        <v>22</v>
      </c>
      <c r="T5825" s="1" t="s">
        <v>26781</v>
      </c>
      <c r="Z5825" s="33" t="s">
        <v>42968</v>
      </c>
      <c r="AA5825" s="33">
        <v>1839</v>
      </c>
    </row>
    <row r="5826" spans="1:31" ht="12" customHeight="1" x14ac:dyDescent="0.15">
      <c r="A5826" s="33" t="s">
        <v>6709</v>
      </c>
      <c r="B5826" s="33">
        <v>38</v>
      </c>
      <c r="C5826" s="33" t="s">
        <v>14</v>
      </c>
      <c r="D5826" s="33" t="s">
        <v>31</v>
      </c>
      <c r="E5826" s="33" t="s">
        <v>6710</v>
      </c>
      <c r="F5826" s="67">
        <v>41890</v>
      </c>
      <c r="G5826" s="33" t="s">
        <v>6711</v>
      </c>
      <c r="H5826" s="33" t="s">
        <v>2064</v>
      </c>
      <c r="I5826" s="33" t="s">
        <v>26</v>
      </c>
      <c r="J5826" s="33" t="s">
        <v>6712</v>
      </c>
      <c r="K5826" s="33" t="s">
        <v>2064</v>
      </c>
      <c r="L5826" s="33" t="s">
        <v>6713</v>
      </c>
      <c r="M5826" s="33" t="s">
        <v>21</v>
      </c>
      <c r="N5826" s="33" t="s">
        <v>6714</v>
      </c>
      <c r="O5826" s="33" t="s">
        <v>950</v>
      </c>
      <c r="P5826" s="33" t="s">
        <v>30089</v>
      </c>
      <c r="Q5826" s="40" t="s">
        <v>6715</v>
      </c>
      <c r="R5826" s="33" t="s">
        <v>904</v>
      </c>
      <c r="S5826" s="33" t="s">
        <v>22</v>
      </c>
      <c r="T5826" s="33" t="s">
        <v>26781</v>
      </c>
      <c r="Z5826" s="33" t="s">
        <v>42968</v>
      </c>
      <c r="AA5826" s="33">
        <v>1838</v>
      </c>
      <c r="AE5826" s="33"/>
    </row>
    <row r="5827" spans="1:31" ht="12" customHeight="1" x14ac:dyDescent="0.15">
      <c r="A5827" s="33" t="s">
        <v>6695</v>
      </c>
      <c r="B5827" s="33">
        <v>45</v>
      </c>
      <c r="C5827" s="33" t="s">
        <v>14</v>
      </c>
      <c r="D5827" s="33" t="s">
        <v>42</v>
      </c>
      <c r="F5827" s="67">
        <v>41890</v>
      </c>
      <c r="G5827" s="33" t="s">
        <v>6696</v>
      </c>
      <c r="H5827" s="33" t="s">
        <v>6697</v>
      </c>
      <c r="I5827" s="33" t="s">
        <v>67</v>
      </c>
      <c r="J5827" s="33" t="s">
        <v>6698</v>
      </c>
      <c r="K5827" s="33" t="s">
        <v>6699</v>
      </c>
      <c r="L5827" s="33" t="s">
        <v>6700</v>
      </c>
      <c r="M5827" s="33" t="s">
        <v>21</v>
      </c>
      <c r="N5827" s="33" t="s">
        <v>6701</v>
      </c>
      <c r="O5827" s="33" t="s">
        <v>950</v>
      </c>
      <c r="P5827" s="33" t="s">
        <v>30089</v>
      </c>
      <c r="Q5827" s="40" t="s">
        <v>6702</v>
      </c>
      <c r="R5827" s="33" t="s">
        <v>94</v>
      </c>
      <c r="S5827" s="33" t="s">
        <v>22</v>
      </c>
      <c r="T5827" s="1" t="s">
        <v>35257</v>
      </c>
      <c r="Z5827" s="33" t="s">
        <v>42967</v>
      </c>
      <c r="AA5827" s="33">
        <v>1842</v>
      </c>
    </row>
    <row r="5828" spans="1:31" ht="12" customHeight="1" x14ac:dyDescent="0.15">
      <c r="A5828" s="33" t="s">
        <v>6703</v>
      </c>
      <c r="B5828" s="33">
        <v>40</v>
      </c>
      <c r="C5828" s="33" t="s">
        <v>14</v>
      </c>
      <c r="D5828" s="33" t="s">
        <v>31</v>
      </c>
      <c r="E5828" s="33" t="s">
        <v>6704</v>
      </c>
      <c r="F5828" s="67">
        <v>41890</v>
      </c>
      <c r="G5828" s="33" t="s">
        <v>6705</v>
      </c>
      <c r="H5828" s="33" t="s">
        <v>2886</v>
      </c>
      <c r="I5828" s="33" t="s">
        <v>19</v>
      </c>
      <c r="J5828" s="33" t="s">
        <v>2887</v>
      </c>
      <c r="K5828" s="33" t="s">
        <v>2888</v>
      </c>
      <c r="L5828" s="33" t="s">
        <v>6706</v>
      </c>
      <c r="M5828" s="33" t="s">
        <v>21</v>
      </c>
      <c r="N5828" s="33" t="s">
        <v>6707</v>
      </c>
      <c r="O5828" s="33" t="s">
        <v>507</v>
      </c>
      <c r="P5828" s="33" t="s">
        <v>30089</v>
      </c>
      <c r="Q5828" s="40" t="s">
        <v>6708</v>
      </c>
      <c r="R5828" s="33" t="s">
        <v>904</v>
      </c>
      <c r="S5828" s="33" t="s">
        <v>22</v>
      </c>
      <c r="T5828" s="1" t="s">
        <v>26593</v>
      </c>
      <c r="Z5828" s="33" t="s">
        <v>42967</v>
      </c>
      <c r="AA5828" s="33">
        <v>1840</v>
      </c>
    </row>
    <row r="5829" spans="1:31" ht="12" customHeight="1" x14ac:dyDescent="0.15">
      <c r="A5829" s="33" t="s">
        <v>6727</v>
      </c>
      <c r="B5829" s="33">
        <v>50</v>
      </c>
      <c r="C5829" s="33" t="s">
        <v>14</v>
      </c>
      <c r="D5829" s="33" t="s">
        <v>31</v>
      </c>
      <c r="E5829" s="33" t="s">
        <v>6728</v>
      </c>
      <c r="F5829" s="67">
        <v>41889</v>
      </c>
      <c r="G5829" s="33" t="s">
        <v>6729</v>
      </c>
      <c r="H5829" s="33" t="s">
        <v>6730</v>
      </c>
      <c r="I5829" s="33" t="s">
        <v>56</v>
      </c>
      <c r="J5829" s="33" t="s">
        <v>2047</v>
      </c>
      <c r="K5829" s="33" t="s">
        <v>1052</v>
      </c>
      <c r="L5829" s="33" t="s">
        <v>6731</v>
      </c>
      <c r="M5829" s="33" t="s">
        <v>21</v>
      </c>
      <c r="N5829" s="33" t="s">
        <v>6732</v>
      </c>
      <c r="O5829" s="33" t="s">
        <v>950</v>
      </c>
      <c r="P5829" s="33" t="s">
        <v>30089</v>
      </c>
      <c r="Q5829" s="40" t="s">
        <v>6733</v>
      </c>
      <c r="R5829" s="33" t="s">
        <v>904</v>
      </c>
      <c r="S5829" s="33" t="s">
        <v>22</v>
      </c>
      <c r="T5829" s="1" t="s">
        <v>26781</v>
      </c>
      <c r="Z5829" s="33" t="s">
        <v>42968</v>
      </c>
      <c r="AA5829" s="33">
        <v>1836</v>
      </c>
    </row>
    <row r="5830" spans="1:31" ht="12" customHeight="1" x14ac:dyDescent="0.15">
      <c r="A5830" s="33" t="s">
        <v>6734</v>
      </c>
      <c r="B5830" s="33">
        <v>43</v>
      </c>
      <c r="C5830" s="33" t="s">
        <v>14</v>
      </c>
      <c r="D5830" s="33" t="s">
        <v>31</v>
      </c>
      <c r="E5830" s="33" t="s">
        <v>6735</v>
      </c>
      <c r="F5830" s="67">
        <v>41888</v>
      </c>
      <c r="G5830" s="33" t="s">
        <v>6736</v>
      </c>
      <c r="H5830" s="33" t="s">
        <v>2230</v>
      </c>
      <c r="I5830" s="33" t="s">
        <v>56</v>
      </c>
      <c r="J5830" s="33" t="s">
        <v>6737</v>
      </c>
      <c r="K5830" s="33" t="s">
        <v>2230</v>
      </c>
      <c r="L5830" s="33" t="s">
        <v>5035</v>
      </c>
      <c r="M5830" s="33" t="s">
        <v>21</v>
      </c>
      <c r="N5830" s="33" t="s">
        <v>6738</v>
      </c>
      <c r="O5830" s="33" t="s">
        <v>950</v>
      </c>
      <c r="P5830" s="33" t="s">
        <v>30089</v>
      </c>
      <c r="Q5830" s="40" t="s">
        <v>6739</v>
      </c>
      <c r="R5830" s="33" t="s">
        <v>23</v>
      </c>
      <c r="S5830" s="33" t="s">
        <v>22</v>
      </c>
      <c r="T5830" s="1" t="s">
        <v>26576</v>
      </c>
      <c r="Z5830" s="33" t="s">
        <v>42968</v>
      </c>
      <c r="AA5830" s="33">
        <v>1835</v>
      </c>
    </row>
    <row r="5831" spans="1:31" ht="12" customHeight="1" x14ac:dyDescent="0.15">
      <c r="A5831" s="33" t="s">
        <v>6740</v>
      </c>
      <c r="B5831" s="33">
        <v>23</v>
      </c>
      <c r="C5831" s="33" t="s">
        <v>14</v>
      </c>
      <c r="D5831" s="33" t="s">
        <v>31</v>
      </c>
      <c r="E5831" s="33" t="s">
        <v>6741</v>
      </c>
      <c r="F5831" s="67">
        <v>41887</v>
      </c>
      <c r="G5831" s="33" t="s">
        <v>6742</v>
      </c>
      <c r="H5831" s="33" t="s">
        <v>994</v>
      </c>
      <c r="I5831" s="33" t="s">
        <v>298</v>
      </c>
      <c r="J5831" s="33" t="s">
        <v>6743</v>
      </c>
      <c r="K5831" s="33" t="s">
        <v>6744</v>
      </c>
      <c r="L5831" s="33" t="s">
        <v>6745</v>
      </c>
      <c r="M5831" s="33" t="s">
        <v>21</v>
      </c>
      <c r="N5831" s="33" t="s">
        <v>6746</v>
      </c>
      <c r="O5831" s="33" t="s">
        <v>950</v>
      </c>
      <c r="P5831" s="33" t="s">
        <v>30089</v>
      </c>
      <c r="Q5831" s="40" t="s">
        <v>6747</v>
      </c>
      <c r="R5831" s="33" t="s">
        <v>23</v>
      </c>
      <c r="S5831" s="33" t="s">
        <v>22</v>
      </c>
      <c r="T5831" s="33" t="s">
        <v>26781</v>
      </c>
      <c r="Z5831" s="33" t="s">
        <v>42967</v>
      </c>
      <c r="AA5831" s="33">
        <v>1834</v>
      </c>
      <c r="AE5831" s="33"/>
    </row>
    <row r="5832" spans="1:31" ht="12" customHeight="1" x14ac:dyDescent="0.15">
      <c r="A5832" s="33" t="s">
        <v>6749</v>
      </c>
      <c r="B5832" s="33">
        <v>19</v>
      </c>
      <c r="C5832" s="33" t="s">
        <v>103</v>
      </c>
      <c r="D5832" s="33" t="s">
        <v>42</v>
      </c>
      <c r="F5832" s="67">
        <v>41885</v>
      </c>
      <c r="G5832" s="33" t="s">
        <v>6750</v>
      </c>
      <c r="H5832" s="33" t="s">
        <v>1027</v>
      </c>
      <c r="I5832" s="33" t="s">
        <v>367</v>
      </c>
      <c r="J5832" s="33" t="s">
        <v>6751</v>
      </c>
      <c r="K5832" s="33" t="s">
        <v>1028</v>
      </c>
      <c r="L5832" s="33" t="s">
        <v>1029</v>
      </c>
      <c r="M5832" s="33" t="s">
        <v>21</v>
      </c>
      <c r="N5832" s="33" t="s">
        <v>6752</v>
      </c>
      <c r="O5832" s="33" t="s">
        <v>372</v>
      </c>
      <c r="P5832" s="33" t="s">
        <v>30089</v>
      </c>
      <c r="Q5832" s="40" t="s">
        <v>6753</v>
      </c>
      <c r="R5832" s="33" t="s">
        <v>94</v>
      </c>
      <c r="S5832" s="33" t="s">
        <v>351</v>
      </c>
      <c r="T5832" s="1" t="s">
        <v>26867</v>
      </c>
      <c r="Z5832" s="33" t="s">
        <v>42968</v>
      </c>
      <c r="AA5832" s="33">
        <v>1832</v>
      </c>
    </row>
    <row r="5833" spans="1:31" ht="12" customHeight="1" x14ac:dyDescent="0.15">
      <c r="A5833" s="33" t="s">
        <v>6759</v>
      </c>
      <c r="B5833" s="33">
        <v>43</v>
      </c>
      <c r="C5833" s="33" t="s">
        <v>14</v>
      </c>
      <c r="D5833" s="33" t="s">
        <v>31</v>
      </c>
      <c r="F5833" s="67">
        <v>41885</v>
      </c>
      <c r="G5833" s="33" t="s">
        <v>6760</v>
      </c>
      <c r="H5833" s="33" t="s">
        <v>1506</v>
      </c>
      <c r="I5833" s="33" t="s">
        <v>250</v>
      </c>
      <c r="J5833" s="33" t="s">
        <v>6761</v>
      </c>
      <c r="K5833" s="33" t="s">
        <v>5732</v>
      </c>
      <c r="L5833" s="33" t="s">
        <v>6762</v>
      </c>
      <c r="M5833" s="33" t="s">
        <v>21</v>
      </c>
      <c r="N5833" s="33" t="s">
        <v>6763</v>
      </c>
      <c r="O5833" s="33" t="s">
        <v>372</v>
      </c>
      <c r="P5833" s="33" t="s">
        <v>30089</v>
      </c>
      <c r="Q5833" s="40" t="str">
        <f>HYPERLINK("http://www.kolotv.com/home/headlines/Officer-Involved-Shooting-Shuts-Down-Sutro-and-So-273796761.html","http://www.kolotv.com/home/headlines/Officer-Involved-Shooting-Shuts-Down-Sutro-and-So-273796761.html")</f>
        <v>http://www.kolotv.com/home/headlines/Officer-Involved-Shooting-Shuts-Down-Sutro-and-So-273796761.html</v>
      </c>
      <c r="R5833" s="33" t="s">
        <v>23</v>
      </c>
      <c r="S5833" s="33" t="s">
        <v>29</v>
      </c>
      <c r="T5833" s="33" t="s">
        <v>41840</v>
      </c>
      <c r="Z5833" s="33" t="s">
        <v>42968</v>
      </c>
      <c r="AA5833" s="33">
        <v>1831</v>
      </c>
    </row>
    <row r="5834" spans="1:31" ht="12" customHeight="1" x14ac:dyDescent="0.15">
      <c r="A5834" s="33" t="s">
        <v>6754</v>
      </c>
      <c r="B5834" s="33">
        <v>58</v>
      </c>
      <c r="C5834" s="33" t="s">
        <v>14</v>
      </c>
      <c r="D5834" s="33" t="s">
        <v>24</v>
      </c>
      <c r="F5834" s="67">
        <v>41885</v>
      </c>
      <c r="G5834" s="33" t="s">
        <v>6755</v>
      </c>
      <c r="H5834" s="33" t="s">
        <v>518</v>
      </c>
      <c r="I5834" s="33" t="s">
        <v>112</v>
      </c>
      <c r="J5834" s="33" t="s">
        <v>6756</v>
      </c>
      <c r="K5834" s="33" t="s">
        <v>519</v>
      </c>
      <c r="L5834" s="33" t="s">
        <v>520</v>
      </c>
      <c r="M5834" s="33" t="s">
        <v>21</v>
      </c>
      <c r="N5834" s="33" t="s">
        <v>6757</v>
      </c>
      <c r="O5834" s="33" t="s">
        <v>950</v>
      </c>
      <c r="P5834" s="33" t="s">
        <v>30089</v>
      </c>
      <c r="Q5834" s="40" t="s">
        <v>6758</v>
      </c>
      <c r="R5834" s="33" t="s">
        <v>512</v>
      </c>
      <c r="S5834" s="33" t="s">
        <v>22</v>
      </c>
      <c r="T5834" s="1" t="s">
        <v>26781</v>
      </c>
      <c r="Z5834" s="33" t="s">
        <v>42966</v>
      </c>
      <c r="AA5834" s="33">
        <v>1830</v>
      </c>
    </row>
    <row r="5835" spans="1:31" ht="12" customHeight="1" x14ac:dyDescent="0.15">
      <c r="A5835" s="33" t="s">
        <v>6764</v>
      </c>
      <c r="B5835" s="33">
        <v>48</v>
      </c>
      <c r="C5835" s="33" t="s">
        <v>14</v>
      </c>
      <c r="D5835" s="33" t="s">
        <v>31</v>
      </c>
      <c r="E5835" s="33" t="s">
        <v>6765</v>
      </c>
      <c r="F5835" s="67">
        <v>41885</v>
      </c>
      <c r="G5835" s="33" t="s">
        <v>6766</v>
      </c>
      <c r="H5835" s="33" t="s">
        <v>720</v>
      </c>
      <c r="I5835" s="33" t="s">
        <v>63</v>
      </c>
      <c r="J5835" s="33" t="s">
        <v>6767</v>
      </c>
      <c r="K5835" s="33" t="s">
        <v>721</v>
      </c>
      <c r="L5835" s="33" t="s">
        <v>722</v>
      </c>
      <c r="M5835" s="33" t="s">
        <v>21</v>
      </c>
      <c r="N5835" s="33" t="s">
        <v>6768</v>
      </c>
      <c r="O5835" s="33" t="s">
        <v>507</v>
      </c>
      <c r="P5835" s="33" t="s">
        <v>30089</v>
      </c>
      <c r="Q5835" s="40" t="s">
        <v>6769</v>
      </c>
      <c r="R5835" s="33" t="s">
        <v>904</v>
      </c>
      <c r="S5835" s="33" t="s">
        <v>351</v>
      </c>
      <c r="T5835" s="1" t="s">
        <v>26867</v>
      </c>
      <c r="Z5835" s="33" t="s">
        <v>42968</v>
      </c>
      <c r="AA5835" s="33">
        <v>1833</v>
      </c>
    </row>
    <row r="5836" spans="1:31" ht="12" customHeight="1" x14ac:dyDescent="0.15">
      <c r="A5836" s="33" t="s">
        <v>6770</v>
      </c>
      <c r="B5836" s="33">
        <v>35</v>
      </c>
      <c r="C5836" s="33" t="s">
        <v>14</v>
      </c>
      <c r="D5836" s="33" t="s">
        <v>79</v>
      </c>
      <c r="E5836" s="33" t="s">
        <v>6771</v>
      </c>
      <c r="F5836" s="67">
        <v>41884</v>
      </c>
      <c r="G5836" s="33" t="s">
        <v>6772</v>
      </c>
      <c r="H5836" s="33" t="s">
        <v>924</v>
      </c>
      <c r="I5836" s="33" t="s">
        <v>63</v>
      </c>
      <c r="J5836" s="33" t="s">
        <v>6773</v>
      </c>
      <c r="K5836" s="33" t="s">
        <v>95</v>
      </c>
      <c r="L5836" s="33" t="s">
        <v>29641</v>
      </c>
      <c r="M5836" s="33" t="s">
        <v>21</v>
      </c>
      <c r="N5836" s="33" t="s">
        <v>6774</v>
      </c>
      <c r="O5836" s="33" t="s">
        <v>372</v>
      </c>
      <c r="P5836" s="33" t="s">
        <v>30089</v>
      </c>
      <c r="Q5836" s="40" t="str">
        <f>HYPERLINK("http://www.cleveland.com/metro/index.ssf/2014/09/man_shot_killed_by_cleveland_p.html","http://www.cleveland.com/metro/index.ssf/2014/09/man_shot_killed_by_cleveland_p.html")</f>
        <v>http://www.cleveland.com/metro/index.ssf/2014/09/man_shot_killed_by_cleveland_p.html</v>
      </c>
      <c r="R5836" s="33" t="s">
        <v>23</v>
      </c>
      <c r="S5836" s="33" t="s">
        <v>22</v>
      </c>
      <c r="T5836" s="1" t="s">
        <v>26781</v>
      </c>
      <c r="Z5836" s="33" t="s">
        <v>42966</v>
      </c>
      <c r="AA5836" s="33">
        <v>1828</v>
      </c>
    </row>
    <row r="5837" spans="1:31" ht="12" customHeight="1" x14ac:dyDescent="0.15">
      <c r="A5837" s="33" t="s">
        <v>6775</v>
      </c>
      <c r="B5837" s="33">
        <v>45</v>
      </c>
      <c r="C5837" s="33" t="s">
        <v>14</v>
      </c>
      <c r="D5837" s="33" t="s">
        <v>31</v>
      </c>
      <c r="E5837" s="33" t="s">
        <v>6776</v>
      </c>
      <c r="F5837" s="67">
        <v>41884</v>
      </c>
      <c r="G5837" s="33" t="s">
        <v>6777</v>
      </c>
      <c r="H5837" s="33" t="s">
        <v>2307</v>
      </c>
      <c r="I5837" s="33" t="s">
        <v>367</v>
      </c>
      <c r="J5837" s="33" t="s">
        <v>3817</v>
      </c>
      <c r="K5837" s="33" t="s">
        <v>2307</v>
      </c>
      <c r="L5837" s="33" t="s">
        <v>3108</v>
      </c>
      <c r="M5837" s="33" t="s">
        <v>21</v>
      </c>
      <c r="N5837" s="33" t="s">
        <v>6778</v>
      </c>
      <c r="O5837" s="33" t="s">
        <v>507</v>
      </c>
      <c r="P5837" s="33" t="s">
        <v>30089</v>
      </c>
      <c r="Q5837" s="40" t="s">
        <v>6779</v>
      </c>
      <c r="R5837" s="33" t="s">
        <v>512</v>
      </c>
      <c r="S5837" s="33" t="s">
        <v>22</v>
      </c>
      <c r="T5837" s="1" t="s">
        <v>26774</v>
      </c>
      <c r="Z5837" s="33" t="s">
        <v>42966</v>
      </c>
      <c r="AA5837" s="33">
        <v>1829</v>
      </c>
    </row>
    <row r="5838" spans="1:31" ht="12" customHeight="1" x14ac:dyDescent="0.15">
      <c r="A5838" s="33" t="s">
        <v>6788</v>
      </c>
      <c r="B5838" s="33">
        <v>55</v>
      </c>
      <c r="C5838" s="33" t="s">
        <v>14</v>
      </c>
      <c r="D5838" s="33" t="s">
        <v>31</v>
      </c>
      <c r="E5838" s="33" t="s">
        <v>6789</v>
      </c>
      <c r="F5838" s="67">
        <v>41883</v>
      </c>
      <c r="G5838" s="33" t="s">
        <v>6790</v>
      </c>
      <c r="H5838" s="33" t="s">
        <v>584</v>
      </c>
      <c r="I5838" s="33" t="s">
        <v>112</v>
      </c>
      <c r="J5838" s="33" t="s">
        <v>6791</v>
      </c>
      <c r="K5838" s="33" t="s">
        <v>585</v>
      </c>
      <c r="L5838" s="33" t="s">
        <v>586</v>
      </c>
      <c r="M5838" s="33" t="s">
        <v>21</v>
      </c>
      <c r="N5838" s="33" t="s">
        <v>6792</v>
      </c>
      <c r="O5838" s="33" t="s">
        <v>950</v>
      </c>
      <c r="P5838" s="33" t="s">
        <v>30089</v>
      </c>
      <c r="Q5838" s="40" t="s">
        <v>6793</v>
      </c>
      <c r="R5838" s="33" t="s">
        <v>23</v>
      </c>
      <c r="S5838" s="33" t="s">
        <v>22</v>
      </c>
      <c r="T5838" s="33" t="s">
        <v>26781</v>
      </c>
      <c r="Z5838" s="33" t="s">
        <v>42966</v>
      </c>
      <c r="AA5838" s="33">
        <v>1826</v>
      </c>
    </row>
    <row r="5839" spans="1:31" ht="12" customHeight="1" x14ac:dyDescent="0.15">
      <c r="A5839" s="33" t="s">
        <v>6780</v>
      </c>
      <c r="B5839" s="33">
        <v>45</v>
      </c>
      <c r="C5839" s="33" t="s">
        <v>14</v>
      </c>
      <c r="D5839" s="33" t="s">
        <v>42</v>
      </c>
      <c r="F5839" s="67">
        <v>41883</v>
      </c>
      <c r="G5839" s="33" t="s">
        <v>6781</v>
      </c>
      <c r="H5839" s="33" t="s">
        <v>6782</v>
      </c>
      <c r="I5839" s="33" t="s">
        <v>367</v>
      </c>
      <c r="J5839" s="33" t="s">
        <v>6783</v>
      </c>
      <c r="K5839" s="33" t="s">
        <v>6784</v>
      </c>
      <c r="L5839" s="33" t="s">
        <v>6785</v>
      </c>
      <c r="M5839" s="33" t="s">
        <v>21</v>
      </c>
      <c r="N5839" s="33" t="s">
        <v>6786</v>
      </c>
      <c r="O5839" s="33" t="s">
        <v>950</v>
      </c>
      <c r="P5839" s="33" t="s">
        <v>30089</v>
      </c>
      <c r="Q5839" s="40" t="s">
        <v>6787</v>
      </c>
      <c r="R5839" s="33" t="s">
        <v>94</v>
      </c>
      <c r="S5839" s="33" t="s">
        <v>29</v>
      </c>
      <c r="T5839" s="33" t="s">
        <v>41840</v>
      </c>
      <c r="Z5839" s="33" t="s">
        <v>42967</v>
      </c>
      <c r="AA5839" s="33">
        <v>1827</v>
      </c>
    </row>
    <row r="5840" spans="1:31" ht="12" customHeight="1" x14ac:dyDescent="0.15">
      <c r="A5840" s="33" t="s">
        <v>6805</v>
      </c>
      <c r="B5840" s="33">
        <v>52</v>
      </c>
      <c r="C5840" s="33" t="s">
        <v>14</v>
      </c>
      <c r="D5840" s="33" t="s">
        <v>31</v>
      </c>
      <c r="E5840" s="33" t="s">
        <v>6806</v>
      </c>
      <c r="F5840" s="67">
        <v>41882</v>
      </c>
      <c r="G5840" s="33" t="s">
        <v>6807</v>
      </c>
      <c r="H5840" s="33" t="s">
        <v>6808</v>
      </c>
      <c r="I5840" s="33" t="s">
        <v>67</v>
      </c>
      <c r="J5840" s="33" t="s">
        <v>6809</v>
      </c>
      <c r="K5840" s="33" t="s">
        <v>6810</v>
      </c>
      <c r="L5840" s="33" t="s">
        <v>6811</v>
      </c>
      <c r="M5840" s="33" t="s">
        <v>21</v>
      </c>
      <c r="N5840" s="33" t="s">
        <v>6812</v>
      </c>
      <c r="O5840" s="33" t="s">
        <v>507</v>
      </c>
      <c r="P5840" s="33" t="s">
        <v>30089</v>
      </c>
      <c r="Q5840" s="40" t="s">
        <v>6813</v>
      </c>
      <c r="R5840" s="33" t="s">
        <v>904</v>
      </c>
      <c r="S5840" s="33" t="s">
        <v>12</v>
      </c>
      <c r="T5840" s="1" t="s">
        <v>29705</v>
      </c>
      <c r="Z5840" s="33" t="s">
        <v>42967</v>
      </c>
      <c r="AA5840" s="33">
        <v>1824</v>
      </c>
    </row>
    <row r="5841" spans="1:27" ht="12" customHeight="1" x14ac:dyDescent="0.15">
      <c r="A5841" s="33" t="s">
        <v>6794</v>
      </c>
      <c r="B5841" s="33">
        <v>28</v>
      </c>
      <c r="C5841" s="33" t="s">
        <v>14</v>
      </c>
      <c r="D5841" s="33" t="s">
        <v>79</v>
      </c>
      <c r="E5841" s="33" t="s">
        <v>6795</v>
      </c>
      <c r="F5841" s="67">
        <v>41882</v>
      </c>
      <c r="G5841" s="33" t="s">
        <v>6796</v>
      </c>
      <c r="H5841" s="33" t="s">
        <v>401</v>
      </c>
      <c r="I5841" s="33" t="s">
        <v>402</v>
      </c>
      <c r="J5841" s="33" t="s">
        <v>6797</v>
      </c>
      <c r="K5841" s="33" t="s">
        <v>404</v>
      </c>
      <c r="L5841" s="33" t="s">
        <v>405</v>
      </c>
      <c r="M5841" s="33" t="s">
        <v>21</v>
      </c>
      <c r="N5841" s="33" t="s">
        <v>6798</v>
      </c>
      <c r="O5841" s="33" t="s">
        <v>372</v>
      </c>
      <c r="P5841" s="33" t="s">
        <v>30089</v>
      </c>
      <c r="Q5841" s="40" t="s">
        <v>6799</v>
      </c>
      <c r="R5841" s="33" t="s">
        <v>94</v>
      </c>
      <c r="S5841" s="33" t="s">
        <v>22</v>
      </c>
      <c r="T5841" s="1" t="s">
        <v>26781</v>
      </c>
      <c r="Z5841" s="33" t="s">
        <v>42966</v>
      </c>
      <c r="AA5841" s="33">
        <v>1822</v>
      </c>
    </row>
    <row r="5842" spans="1:27" ht="12" customHeight="1" x14ac:dyDescent="0.15">
      <c r="A5842" s="33" t="s">
        <v>6800</v>
      </c>
      <c r="B5842" s="33">
        <v>22</v>
      </c>
      <c r="C5842" s="33" t="s">
        <v>14</v>
      </c>
      <c r="D5842" s="33" t="s">
        <v>79</v>
      </c>
      <c r="E5842" s="33" t="s">
        <v>6801</v>
      </c>
      <c r="F5842" s="67">
        <v>41882</v>
      </c>
      <c r="G5842" s="33" t="s">
        <v>6802</v>
      </c>
      <c r="H5842" s="33" t="s">
        <v>700</v>
      </c>
      <c r="I5842" s="33" t="s">
        <v>395</v>
      </c>
      <c r="J5842" s="33" t="s">
        <v>6803</v>
      </c>
      <c r="K5842" s="33" t="s">
        <v>700</v>
      </c>
      <c r="L5842" s="33" t="s">
        <v>539</v>
      </c>
      <c r="M5842" s="33" t="s">
        <v>21</v>
      </c>
      <c r="N5842" s="33" t="s">
        <v>6804</v>
      </c>
      <c r="O5842" s="33" t="s">
        <v>950</v>
      </c>
      <c r="P5842" s="33" t="s">
        <v>30089</v>
      </c>
      <c r="Q5842" s="40" t="str">
        <f>HYPERLINK("http://nypost.com/2014/09/06/man-who-shot-nypd-cop-dies-after-surgery/","http://nypost.com/2014/09/06/man-who-shot-nypd-cop-dies-after-surgery/")</f>
        <v>http://nypost.com/2014/09/06/man-who-shot-nypd-cop-dies-after-surgery/</v>
      </c>
      <c r="R5842" s="33" t="s">
        <v>94</v>
      </c>
      <c r="S5842" s="33" t="s">
        <v>29</v>
      </c>
      <c r="T5842" s="1" t="s">
        <v>41840</v>
      </c>
      <c r="Z5842" s="33" t="s">
        <v>42966</v>
      </c>
      <c r="AA5842" s="33">
        <v>1825</v>
      </c>
    </row>
    <row r="5843" spans="1:27" ht="12" customHeight="1" x14ac:dyDescent="0.15">
      <c r="A5843" s="33" t="s">
        <v>6814</v>
      </c>
      <c r="B5843" s="33">
        <v>42</v>
      </c>
      <c r="C5843" s="33" t="s">
        <v>14</v>
      </c>
      <c r="D5843" s="33" t="s">
        <v>31</v>
      </c>
      <c r="F5843" s="67">
        <v>41882</v>
      </c>
      <c r="G5843" s="33" t="s">
        <v>6815</v>
      </c>
      <c r="H5843" s="33" t="s">
        <v>1506</v>
      </c>
      <c r="I5843" s="33" t="s">
        <v>250</v>
      </c>
      <c r="J5843" s="33" t="s">
        <v>6816</v>
      </c>
      <c r="K5843" s="33" t="s">
        <v>5732</v>
      </c>
      <c r="L5843" s="33" t="s">
        <v>6817</v>
      </c>
      <c r="M5843" s="33" t="s">
        <v>21</v>
      </c>
      <c r="N5843" s="33" t="s">
        <v>6818</v>
      </c>
      <c r="O5843" s="33" t="s">
        <v>372</v>
      </c>
      <c r="P5843" s="33" t="s">
        <v>30089</v>
      </c>
      <c r="Q5843" s="40" t="s">
        <v>6819</v>
      </c>
      <c r="R5843" s="33" t="s">
        <v>94</v>
      </c>
      <c r="S5843" s="33" t="s">
        <v>22</v>
      </c>
      <c r="T5843" s="1" t="s">
        <v>26781</v>
      </c>
      <c r="Z5843" s="33" t="s">
        <v>42968</v>
      </c>
      <c r="AA5843" s="33">
        <v>1823</v>
      </c>
    </row>
    <row r="5844" spans="1:27" ht="12" customHeight="1" x14ac:dyDescent="0.15">
      <c r="A5844" s="33" t="s">
        <v>6832</v>
      </c>
      <c r="B5844" s="33">
        <v>21</v>
      </c>
      <c r="C5844" s="33" t="s">
        <v>14</v>
      </c>
      <c r="D5844" s="33" t="s">
        <v>31</v>
      </c>
      <c r="F5844" s="67">
        <v>41881</v>
      </c>
      <c r="G5844" s="33" t="s">
        <v>6833</v>
      </c>
      <c r="H5844" s="33" t="s">
        <v>6834</v>
      </c>
      <c r="I5844" s="33" t="s">
        <v>621</v>
      </c>
      <c r="J5844" s="33" t="s">
        <v>6835</v>
      </c>
      <c r="K5844" s="33" t="s">
        <v>392</v>
      </c>
      <c r="L5844" s="33" t="s">
        <v>6836</v>
      </c>
      <c r="M5844" s="33" t="s">
        <v>21</v>
      </c>
      <c r="N5844" s="33" t="s">
        <v>6837</v>
      </c>
      <c r="O5844" s="33" t="s">
        <v>950</v>
      </c>
      <c r="P5844" s="33" t="s">
        <v>30089</v>
      </c>
      <c r="Q5844" s="40" t="s">
        <v>6838</v>
      </c>
      <c r="R5844" s="33" t="s">
        <v>94</v>
      </c>
      <c r="S5844" s="33" t="s">
        <v>22</v>
      </c>
      <c r="T5844" s="1" t="s">
        <v>26781</v>
      </c>
      <c r="Z5844" s="33" t="s">
        <v>42968</v>
      </c>
      <c r="AA5844" s="33">
        <v>1819</v>
      </c>
    </row>
    <row r="5845" spans="1:27" ht="12" customHeight="1" x14ac:dyDescent="0.15">
      <c r="A5845" s="33" t="s">
        <v>6839</v>
      </c>
      <c r="B5845" s="33">
        <v>51</v>
      </c>
      <c r="C5845" s="33" t="s">
        <v>14</v>
      </c>
      <c r="D5845" s="33" t="s">
        <v>31</v>
      </c>
      <c r="F5845" s="67">
        <v>41881</v>
      </c>
      <c r="G5845" s="33" t="s">
        <v>6840</v>
      </c>
      <c r="H5845" s="33" t="s">
        <v>1132</v>
      </c>
      <c r="I5845" s="33" t="s">
        <v>282</v>
      </c>
      <c r="J5845" s="33" t="s">
        <v>6841</v>
      </c>
      <c r="K5845" s="33" t="s">
        <v>1133</v>
      </c>
      <c r="L5845" s="33" t="s">
        <v>1134</v>
      </c>
      <c r="M5845" s="33" t="s">
        <v>21</v>
      </c>
      <c r="N5845" s="33" t="s">
        <v>6842</v>
      </c>
      <c r="O5845" s="33" t="s">
        <v>950</v>
      </c>
      <c r="P5845" s="33" t="s">
        <v>30089</v>
      </c>
      <c r="Q5845" s="40" t="str">
        <f>HYPERLINK("http://www.king5.com/story/news/local/seattle/2014/09/01/police-find-gun-arsenal-queen-anne-home-shooting/14946055/","http://www.king5.com/story/news/local/seattle/2014/09/01/police-find-gun-arsenal-queen-anne-home-shooting/14946055/")</f>
        <v>http://www.king5.com/story/news/local/seattle/2014/09/01/police-find-gun-arsenal-queen-anne-home-shooting/14946055/</v>
      </c>
      <c r="R5845" s="33" t="s">
        <v>94</v>
      </c>
      <c r="S5845" s="33" t="s">
        <v>22</v>
      </c>
      <c r="T5845" s="1" t="s">
        <v>26781</v>
      </c>
      <c r="Z5845" s="33" t="s">
        <v>42966</v>
      </c>
      <c r="AA5845" s="33">
        <v>1820</v>
      </c>
    </row>
    <row r="5846" spans="1:27" ht="12" customHeight="1" x14ac:dyDescent="0.15">
      <c r="A5846" s="33" t="s">
        <v>6824</v>
      </c>
      <c r="B5846" s="33">
        <v>71</v>
      </c>
      <c r="C5846" s="33" t="s">
        <v>14</v>
      </c>
      <c r="D5846" s="33" t="s">
        <v>31</v>
      </c>
      <c r="F5846" s="67">
        <v>41881</v>
      </c>
      <c r="G5846" s="33" t="s">
        <v>6825</v>
      </c>
      <c r="H5846" s="33" t="s">
        <v>6826</v>
      </c>
      <c r="I5846" s="33" t="s">
        <v>337</v>
      </c>
      <c r="J5846" s="33" t="s">
        <v>6827</v>
      </c>
      <c r="K5846" s="33" t="s">
        <v>6828</v>
      </c>
      <c r="L5846" s="33" t="s">
        <v>6829</v>
      </c>
      <c r="M5846" s="33" t="s">
        <v>21</v>
      </c>
      <c r="N5846" s="33" t="s">
        <v>6830</v>
      </c>
      <c r="O5846" s="33" t="s">
        <v>372</v>
      </c>
      <c r="P5846" s="33" t="s">
        <v>30089</v>
      </c>
      <c r="Q5846" s="40" t="s">
        <v>6831</v>
      </c>
      <c r="R5846" s="33" t="s">
        <v>94</v>
      </c>
      <c r="S5846" s="33" t="s">
        <v>22</v>
      </c>
      <c r="T5846" s="1" t="s">
        <v>26781</v>
      </c>
      <c r="Z5846" s="33" t="s">
        <v>42967</v>
      </c>
      <c r="AA5846" s="33">
        <v>1818</v>
      </c>
    </row>
    <row r="5847" spans="1:27" ht="12" customHeight="1" x14ac:dyDescent="0.15">
      <c r="A5847" s="33" t="s">
        <v>6820</v>
      </c>
      <c r="B5847" s="33">
        <v>30</v>
      </c>
      <c r="C5847" s="33" t="s">
        <v>14</v>
      </c>
      <c r="D5847" s="33" t="s">
        <v>42</v>
      </c>
      <c r="F5847" s="67">
        <v>41881</v>
      </c>
      <c r="G5847" s="33" t="s">
        <v>6821</v>
      </c>
      <c r="H5847" s="33" t="s">
        <v>3942</v>
      </c>
      <c r="I5847" s="33" t="s">
        <v>67</v>
      </c>
      <c r="J5847" s="33" t="s">
        <v>3943</v>
      </c>
      <c r="K5847" s="33" t="s">
        <v>3944</v>
      </c>
      <c r="L5847" s="33" t="s">
        <v>3945</v>
      </c>
      <c r="M5847" s="33" t="s">
        <v>21</v>
      </c>
      <c r="N5847" s="33" t="s">
        <v>6822</v>
      </c>
      <c r="O5847" s="33" t="s">
        <v>507</v>
      </c>
      <c r="P5847" s="33" t="s">
        <v>30089</v>
      </c>
      <c r="Q5847" s="40" t="s">
        <v>6823</v>
      </c>
      <c r="R5847" s="33" t="s">
        <v>94</v>
      </c>
      <c r="S5847" s="33" t="s">
        <v>12</v>
      </c>
      <c r="T5847" s="33" t="s">
        <v>29425</v>
      </c>
      <c r="Z5847" s="33" t="s">
        <v>42966</v>
      </c>
      <c r="AA5847" s="33">
        <v>1821</v>
      </c>
    </row>
    <row r="5848" spans="1:27" ht="12" customHeight="1" x14ac:dyDescent="0.15">
      <c r="A5848" s="33" t="s">
        <v>6849</v>
      </c>
      <c r="B5848" s="33">
        <v>45</v>
      </c>
      <c r="C5848" s="33" t="s">
        <v>14</v>
      </c>
      <c r="D5848" s="33" t="s">
        <v>42</v>
      </c>
      <c r="E5848" s="33" t="s">
        <v>6850</v>
      </c>
      <c r="F5848" s="67">
        <v>41880</v>
      </c>
      <c r="G5848" s="33" t="s">
        <v>6851</v>
      </c>
      <c r="H5848" s="33" t="s">
        <v>6852</v>
      </c>
      <c r="I5848" s="33" t="s">
        <v>67</v>
      </c>
      <c r="J5848" s="33" t="s">
        <v>6853</v>
      </c>
      <c r="K5848" s="33" t="s">
        <v>6128</v>
      </c>
      <c r="L5848" s="33" t="s">
        <v>6854</v>
      </c>
      <c r="M5848" s="33" t="s">
        <v>21</v>
      </c>
      <c r="N5848" s="33" t="s">
        <v>6855</v>
      </c>
      <c r="O5848" s="33" t="s">
        <v>950</v>
      </c>
      <c r="P5848" s="33" t="s">
        <v>30089</v>
      </c>
      <c r="Q5848" s="40" t="s">
        <v>6856</v>
      </c>
      <c r="R5848" s="33" t="s">
        <v>94</v>
      </c>
      <c r="S5848" s="33" t="s">
        <v>22</v>
      </c>
      <c r="T5848" s="1" t="s">
        <v>26585</v>
      </c>
      <c r="Z5848" s="33" t="s">
        <v>42966</v>
      </c>
      <c r="AA5848" s="33">
        <v>1815</v>
      </c>
    </row>
    <row r="5849" spans="1:27" ht="12" customHeight="1" x14ac:dyDescent="0.15">
      <c r="A5849" s="33" t="s">
        <v>6857</v>
      </c>
      <c r="B5849" s="33">
        <v>26</v>
      </c>
      <c r="C5849" s="33" t="s">
        <v>14</v>
      </c>
      <c r="D5849" s="33" t="s">
        <v>31</v>
      </c>
      <c r="E5849" s="33" t="s">
        <v>6858</v>
      </c>
      <c r="F5849" s="67">
        <v>41880</v>
      </c>
      <c r="G5849" s="33" t="s">
        <v>6859</v>
      </c>
      <c r="H5849" s="33" t="s">
        <v>6860</v>
      </c>
      <c r="I5849" s="33" t="s">
        <v>106</v>
      </c>
      <c r="J5849" s="33">
        <v>97801</v>
      </c>
      <c r="K5849" s="33" t="s">
        <v>6861</v>
      </c>
      <c r="L5849" s="33" t="s">
        <v>6862</v>
      </c>
      <c r="M5849" s="33" t="s">
        <v>21</v>
      </c>
      <c r="N5849" s="33" t="s">
        <v>6863</v>
      </c>
      <c r="P5849" s="33" t="s">
        <v>30089</v>
      </c>
      <c r="Q5849" s="40" t="s">
        <v>6864</v>
      </c>
      <c r="R5849" s="33" t="s">
        <v>23</v>
      </c>
      <c r="S5849" s="33" t="s">
        <v>29</v>
      </c>
      <c r="T5849" s="33" t="s">
        <v>41840</v>
      </c>
      <c r="Z5849" s="33" t="s">
        <v>42967</v>
      </c>
      <c r="AA5849" s="33">
        <v>1817</v>
      </c>
    </row>
    <row r="5850" spans="1:27" ht="12" customHeight="1" x14ac:dyDescent="0.15">
      <c r="A5850" s="33" t="s">
        <v>6865</v>
      </c>
      <c r="B5850" s="33">
        <v>44</v>
      </c>
      <c r="C5850" s="33" t="s">
        <v>14</v>
      </c>
      <c r="D5850" s="33" t="s">
        <v>31</v>
      </c>
      <c r="E5850" s="33" t="s">
        <v>6866</v>
      </c>
      <c r="F5850" s="67">
        <v>41880</v>
      </c>
      <c r="G5850" s="33" t="s">
        <v>6867</v>
      </c>
      <c r="H5850" s="33" t="s">
        <v>6868</v>
      </c>
      <c r="I5850" s="33" t="s">
        <v>112</v>
      </c>
      <c r="J5850" s="33" t="s">
        <v>6869</v>
      </c>
      <c r="K5850" s="33" t="s">
        <v>5363</v>
      </c>
      <c r="L5850" s="33" t="s">
        <v>36812</v>
      </c>
      <c r="M5850" s="33" t="s">
        <v>363</v>
      </c>
      <c r="N5850" s="33" t="s">
        <v>6870</v>
      </c>
      <c r="O5850" s="33" t="s">
        <v>950</v>
      </c>
      <c r="P5850" s="33" t="s">
        <v>30089</v>
      </c>
      <c r="Q5850" s="40" t="s">
        <v>6871</v>
      </c>
      <c r="R5850" s="33" t="s">
        <v>94</v>
      </c>
      <c r="S5850" s="33" t="s">
        <v>12</v>
      </c>
      <c r="T5850" s="54" t="s">
        <v>29705</v>
      </c>
      <c r="Z5850" s="33" t="s">
        <v>42967</v>
      </c>
      <c r="AA5850" s="33">
        <v>1816</v>
      </c>
    </row>
    <row r="5851" spans="1:27" ht="12" customHeight="1" x14ac:dyDescent="0.15">
      <c r="A5851" s="33" t="s">
        <v>6843</v>
      </c>
      <c r="B5851" s="33">
        <v>33</v>
      </c>
      <c r="C5851" s="33" t="s">
        <v>14</v>
      </c>
      <c r="D5851" s="33" t="s">
        <v>79</v>
      </c>
      <c r="E5851" s="33" t="s">
        <v>6844</v>
      </c>
      <c r="F5851" s="67">
        <v>41880</v>
      </c>
      <c r="G5851" s="33" t="s">
        <v>6845</v>
      </c>
      <c r="H5851" s="33" t="s">
        <v>997</v>
      </c>
      <c r="I5851" s="33" t="s">
        <v>56</v>
      </c>
      <c r="J5851" s="33" t="s">
        <v>6846</v>
      </c>
      <c r="K5851" s="33" t="s">
        <v>998</v>
      </c>
      <c r="L5851" s="33" t="s">
        <v>4077</v>
      </c>
      <c r="M5851" s="33" t="s">
        <v>21</v>
      </c>
      <c r="N5851" s="33" t="s">
        <v>6847</v>
      </c>
      <c r="O5851" s="33" t="s">
        <v>950</v>
      </c>
      <c r="P5851" s="33" t="s">
        <v>30089</v>
      </c>
      <c r="Q5851" s="40" t="s">
        <v>6848</v>
      </c>
      <c r="R5851" s="33" t="s">
        <v>94</v>
      </c>
      <c r="S5851" s="33" t="s">
        <v>22</v>
      </c>
      <c r="T5851" s="1" t="s">
        <v>26781</v>
      </c>
      <c r="Z5851" s="33" t="s">
        <v>42966</v>
      </c>
      <c r="AA5851" s="33">
        <v>1814</v>
      </c>
    </row>
    <row r="5852" spans="1:27" ht="12" customHeight="1" x14ac:dyDescent="0.15">
      <c r="A5852" s="33" t="s">
        <v>6890</v>
      </c>
      <c r="B5852" s="33">
        <v>31</v>
      </c>
      <c r="C5852" s="33" t="s">
        <v>14</v>
      </c>
      <c r="D5852" s="33" t="s">
        <v>31</v>
      </c>
      <c r="E5852" s="33" t="s">
        <v>6891</v>
      </c>
      <c r="F5852" s="67">
        <v>41879</v>
      </c>
      <c r="G5852" s="33" t="s">
        <v>6892</v>
      </c>
      <c r="H5852" s="33" t="s">
        <v>3277</v>
      </c>
      <c r="I5852" s="33" t="s">
        <v>56</v>
      </c>
      <c r="J5852" s="33" t="s">
        <v>6893</v>
      </c>
      <c r="K5852" s="33" t="s">
        <v>3279</v>
      </c>
      <c r="L5852" s="33" t="s">
        <v>6894</v>
      </c>
      <c r="M5852" s="33" t="s">
        <v>21</v>
      </c>
      <c r="N5852" s="33" t="s">
        <v>6895</v>
      </c>
      <c r="O5852" s="33" t="s">
        <v>950</v>
      </c>
      <c r="P5852" s="33" t="s">
        <v>30089</v>
      </c>
      <c r="Q5852" s="40" t="s">
        <v>6896</v>
      </c>
      <c r="R5852" s="33" t="s">
        <v>94</v>
      </c>
      <c r="S5852" s="33" t="s">
        <v>22</v>
      </c>
      <c r="T5852" s="1" t="s">
        <v>28239</v>
      </c>
      <c r="Z5852" s="33" t="s">
        <v>42968</v>
      </c>
      <c r="AA5852" s="33">
        <v>1813</v>
      </c>
    </row>
    <row r="5853" spans="1:27" ht="12" customHeight="1" x14ac:dyDescent="0.15">
      <c r="A5853" s="33" t="s">
        <v>6877</v>
      </c>
      <c r="B5853" s="33">
        <v>21</v>
      </c>
      <c r="C5853" s="33" t="s">
        <v>14</v>
      </c>
      <c r="D5853" s="33" t="s">
        <v>31</v>
      </c>
      <c r="E5853" s="33" t="s">
        <v>6878</v>
      </c>
      <c r="F5853" s="67">
        <v>41879</v>
      </c>
      <c r="G5853" s="33" t="s">
        <v>6879</v>
      </c>
      <c r="H5853" s="33" t="s">
        <v>3291</v>
      </c>
      <c r="I5853" s="33" t="s">
        <v>122</v>
      </c>
      <c r="J5853" s="33" t="s">
        <v>6880</v>
      </c>
      <c r="K5853" s="33" t="s">
        <v>2250</v>
      </c>
      <c r="L5853" s="33" t="s">
        <v>6881</v>
      </c>
      <c r="M5853" s="33" t="s">
        <v>21</v>
      </c>
      <c r="N5853" s="33" t="s">
        <v>6882</v>
      </c>
      <c r="O5853" s="33" t="s">
        <v>507</v>
      </c>
      <c r="P5853" s="33" t="s">
        <v>30089</v>
      </c>
      <c r="Q5853" s="40" t="str">
        <f>HYPERLINK("http://www.mprnews.org/story/2014/11/17/police-justified-in-ramsey-shooting","http://www.mprnews.org/story/2014/11/17/police-justified-in-ramsey-shooting")</f>
        <v>http://www.mprnews.org/story/2014/11/17/police-justified-in-ramsey-shooting</v>
      </c>
      <c r="R5853" s="33" t="s">
        <v>94</v>
      </c>
      <c r="S5853" s="33" t="s">
        <v>22</v>
      </c>
      <c r="T5853" s="1" t="s">
        <v>26781</v>
      </c>
      <c r="Z5853" s="33" t="s">
        <v>42968</v>
      </c>
      <c r="AA5853" s="33">
        <v>1810</v>
      </c>
    </row>
    <row r="5854" spans="1:27" ht="12" customHeight="1" x14ac:dyDescent="0.15">
      <c r="A5854" s="33" t="s">
        <v>6883</v>
      </c>
      <c r="B5854" s="33">
        <v>32</v>
      </c>
      <c r="C5854" s="33" t="s">
        <v>14</v>
      </c>
      <c r="D5854" s="33" t="s">
        <v>31</v>
      </c>
      <c r="F5854" s="67">
        <v>41879</v>
      </c>
      <c r="G5854" s="33" t="s">
        <v>6884</v>
      </c>
      <c r="H5854" s="33" t="s">
        <v>6885</v>
      </c>
      <c r="I5854" s="33" t="s">
        <v>39</v>
      </c>
      <c r="J5854" s="33" t="s">
        <v>6886</v>
      </c>
      <c r="K5854" s="33" t="s">
        <v>6887</v>
      </c>
      <c r="L5854" s="33" t="s">
        <v>6888</v>
      </c>
      <c r="M5854" s="33" t="s">
        <v>21</v>
      </c>
      <c r="N5854" s="33" t="s">
        <v>6889</v>
      </c>
      <c r="O5854" s="33" t="s">
        <v>372</v>
      </c>
      <c r="P5854" s="33" t="s">
        <v>30089</v>
      </c>
      <c r="Q5854" s="40" t="str">
        <f>HYPERLINK("http://www.redding.com/news/local-news/deputies-person-shot-on-fig-tree-lane","http://www.redding.com/news/local-news/deputies-person-shot-on-fig-tree-lane")</f>
        <v>http://www.redding.com/news/local-news/deputies-person-shot-on-fig-tree-lane</v>
      </c>
      <c r="R5854" s="33" t="s">
        <v>512</v>
      </c>
      <c r="S5854" s="33" t="s">
        <v>22</v>
      </c>
      <c r="T5854" s="1" t="s">
        <v>26781</v>
      </c>
      <c r="Z5854" s="33" t="s">
        <v>42966</v>
      </c>
      <c r="AA5854" s="33">
        <v>1811</v>
      </c>
    </row>
    <row r="5855" spans="1:27" ht="12" customHeight="1" x14ac:dyDescent="0.15">
      <c r="A5855" s="33" t="s">
        <v>6872</v>
      </c>
      <c r="B5855" s="33">
        <v>36</v>
      </c>
      <c r="C5855" s="33" t="s">
        <v>14</v>
      </c>
      <c r="D5855" s="33" t="s">
        <v>42</v>
      </c>
      <c r="F5855" s="67">
        <v>41879</v>
      </c>
      <c r="G5855" s="33" t="s">
        <v>6873</v>
      </c>
      <c r="H5855" s="33" t="s">
        <v>3289</v>
      </c>
      <c r="I5855" s="33" t="s">
        <v>122</v>
      </c>
      <c r="J5855" s="33" t="s">
        <v>6874</v>
      </c>
      <c r="K5855" s="33" t="s">
        <v>3291</v>
      </c>
      <c r="L5855" s="33" t="s">
        <v>4522</v>
      </c>
      <c r="M5855" s="33" t="s">
        <v>21</v>
      </c>
      <c r="N5855" s="33" t="s">
        <v>6875</v>
      </c>
      <c r="O5855" s="33" t="s">
        <v>372</v>
      </c>
      <c r="P5855" s="33" t="s">
        <v>30089</v>
      </c>
      <c r="Q5855" s="40" t="s">
        <v>6876</v>
      </c>
      <c r="R5855" s="33" t="s">
        <v>94</v>
      </c>
      <c r="S5855" s="33" t="s">
        <v>29</v>
      </c>
      <c r="T5855" s="1" t="s">
        <v>43015</v>
      </c>
      <c r="Z5855" s="33" t="s">
        <v>42966</v>
      </c>
      <c r="AA5855" s="33">
        <v>1812</v>
      </c>
    </row>
    <row r="5856" spans="1:27" ht="12" customHeight="1" x14ac:dyDescent="0.15">
      <c r="A5856" s="33" t="s">
        <v>6903</v>
      </c>
      <c r="B5856" s="33">
        <v>18</v>
      </c>
      <c r="C5856" s="33" t="s">
        <v>14</v>
      </c>
      <c r="D5856" s="33" t="s">
        <v>42</v>
      </c>
      <c r="E5856" s="33" t="s">
        <v>6904</v>
      </c>
      <c r="F5856" s="67">
        <v>41878</v>
      </c>
      <c r="G5856" s="33" t="s">
        <v>6905</v>
      </c>
      <c r="H5856" s="33" t="s">
        <v>266</v>
      </c>
      <c r="I5856" s="33" t="s">
        <v>67</v>
      </c>
      <c r="J5856" s="33" t="s">
        <v>6906</v>
      </c>
      <c r="K5856" s="33" t="s">
        <v>266</v>
      </c>
      <c r="L5856" s="33" t="s">
        <v>267</v>
      </c>
      <c r="M5856" s="33" t="s">
        <v>21</v>
      </c>
      <c r="N5856" s="33" t="s">
        <v>6907</v>
      </c>
      <c r="O5856" s="33" t="s">
        <v>950</v>
      </c>
      <c r="P5856" s="33" t="s">
        <v>30089</v>
      </c>
      <c r="Q5856" s="40" t="s">
        <v>6908</v>
      </c>
      <c r="R5856" s="33" t="s">
        <v>94</v>
      </c>
      <c r="S5856" s="33" t="s">
        <v>22</v>
      </c>
      <c r="T5856" s="1" t="s">
        <v>26781</v>
      </c>
      <c r="Y5856" s="33" t="s">
        <v>42476</v>
      </c>
      <c r="Z5856" s="33" t="s">
        <v>42966</v>
      </c>
      <c r="AA5856" s="33">
        <v>1806</v>
      </c>
    </row>
    <row r="5857" spans="1:27" ht="12" customHeight="1" x14ac:dyDescent="0.15">
      <c r="A5857" s="33" t="s">
        <v>6897</v>
      </c>
      <c r="B5857" s="33">
        <v>45</v>
      </c>
      <c r="C5857" s="33" t="s">
        <v>14</v>
      </c>
      <c r="D5857" s="33" t="s">
        <v>79</v>
      </c>
      <c r="F5857" s="67">
        <v>41878</v>
      </c>
      <c r="G5857" s="33" t="s">
        <v>6898</v>
      </c>
      <c r="H5857" s="33" t="s">
        <v>6899</v>
      </c>
      <c r="I5857" s="33" t="s">
        <v>39</v>
      </c>
      <c r="J5857" s="33" t="s">
        <v>6900</v>
      </c>
      <c r="K5857" s="33" t="s">
        <v>92</v>
      </c>
      <c r="L5857" s="33" t="s">
        <v>93</v>
      </c>
      <c r="M5857" s="33" t="s">
        <v>21</v>
      </c>
      <c r="N5857" s="33" t="s">
        <v>6901</v>
      </c>
      <c r="O5857" s="33" t="s">
        <v>507</v>
      </c>
      <c r="P5857" s="33" t="s">
        <v>30089</v>
      </c>
      <c r="Q5857" s="40" t="s">
        <v>6902</v>
      </c>
      <c r="R5857" s="33" t="s">
        <v>94</v>
      </c>
      <c r="S5857" s="33" t="s">
        <v>22</v>
      </c>
      <c r="T5857" s="1" t="s">
        <v>26781</v>
      </c>
      <c r="Z5857" s="33" t="s">
        <v>42966</v>
      </c>
      <c r="AA5857" s="33">
        <v>1805</v>
      </c>
    </row>
    <row r="5858" spans="1:27" ht="12" customHeight="1" x14ac:dyDescent="0.15">
      <c r="A5858" s="33" t="s">
        <v>6909</v>
      </c>
      <c r="B5858" s="33">
        <v>61</v>
      </c>
      <c r="C5858" s="33" t="s">
        <v>14</v>
      </c>
      <c r="D5858" s="33" t="s">
        <v>128</v>
      </c>
      <c r="E5858" s="33" t="s">
        <v>6910</v>
      </c>
      <c r="F5858" s="67">
        <v>41878</v>
      </c>
      <c r="G5858" s="33" t="s">
        <v>6911</v>
      </c>
      <c r="H5858" s="33" t="s">
        <v>6912</v>
      </c>
      <c r="I5858" s="33" t="s">
        <v>178</v>
      </c>
      <c r="J5858" s="33" t="s">
        <v>6913</v>
      </c>
      <c r="K5858" s="33" t="s">
        <v>5263</v>
      </c>
      <c r="L5858" s="33" t="s">
        <v>6914</v>
      </c>
      <c r="M5858" s="33" t="s">
        <v>21</v>
      </c>
      <c r="N5858" s="33" t="s">
        <v>6915</v>
      </c>
      <c r="O5858" s="33" t="s">
        <v>950</v>
      </c>
      <c r="P5858" s="33" t="s">
        <v>30089</v>
      </c>
      <c r="Q5858" s="40" t="s">
        <v>6916</v>
      </c>
      <c r="R5858" s="33" t="s">
        <v>94</v>
      </c>
      <c r="S5858" s="33" t="s">
        <v>29</v>
      </c>
      <c r="T5858" s="33" t="s">
        <v>41840</v>
      </c>
      <c r="Z5858" s="33" t="s">
        <v>42967</v>
      </c>
      <c r="AA5858" s="33">
        <v>1809</v>
      </c>
    </row>
    <row r="5859" spans="1:27" ht="12" customHeight="1" x14ac:dyDescent="0.15">
      <c r="A5859" s="33" t="s">
        <v>6917</v>
      </c>
      <c r="B5859" s="33">
        <v>54</v>
      </c>
      <c r="C5859" s="33" t="s">
        <v>14</v>
      </c>
      <c r="D5859" s="33" t="s">
        <v>24</v>
      </c>
      <c r="F5859" s="67">
        <v>41878</v>
      </c>
      <c r="G5859" s="33" t="s">
        <v>6918</v>
      </c>
      <c r="H5859" s="33" t="s">
        <v>6919</v>
      </c>
      <c r="I5859" s="33" t="s">
        <v>39</v>
      </c>
      <c r="J5859" s="33" t="s">
        <v>6920</v>
      </c>
      <c r="K5859" s="33" t="s">
        <v>6921</v>
      </c>
      <c r="L5859" s="33" t="s">
        <v>36383</v>
      </c>
      <c r="M5859" s="33" t="s">
        <v>21</v>
      </c>
      <c r="N5859" s="33" t="s">
        <v>6922</v>
      </c>
      <c r="O5859" s="33" t="s">
        <v>372</v>
      </c>
      <c r="P5859" s="33" t="s">
        <v>30089</v>
      </c>
      <c r="Q5859" s="40" t="s">
        <v>6923</v>
      </c>
      <c r="R5859" s="33" t="s">
        <v>512</v>
      </c>
      <c r="S5859" s="33" t="s">
        <v>22</v>
      </c>
      <c r="T5859" s="1" t="s">
        <v>26781</v>
      </c>
      <c r="Z5859" s="33" t="s">
        <v>42967</v>
      </c>
      <c r="AA5859" s="33">
        <v>1807</v>
      </c>
    </row>
    <row r="5860" spans="1:27" ht="12" customHeight="1" x14ac:dyDescent="0.15">
      <c r="A5860" s="33" t="s">
        <v>6924</v>
      </c>
      <c r="B5860" s="33">
        <v>48</v>
      </c>
      <c r="C5860" s="33" t="s">
        <v>14</v>
      </c>
      <c r="D5860" s="33" t="s">
        <v>31</v>
      </c>
      <c r="E5860" s="33" t="s">
        <v>6925</v>
      </c>
      <c r="F5860" s="67">
        <v>41878</v>
      </c>
      <c r="G5860" s="33" t="s">
        <v>6926</v>
      </c>
      <c r="H5860" s="33" t="s">
        <v>6927</v>
      </c>
      <c r="I5860" s="33" t="s">
        <v>19</v>
      </c>
      <c r="J5860" s="33" t="s">
        <v>6928</v>
      </c>
      <c r="K5860" s="33" t="s">
        <v>3744</v>
      </c>
      <c r="L5860" s="33" t="s">
        <v>6929</v>
      </c>
      <c r="M5860" s="33" t="s">
        <v>21</v>
      </c>
      <c r="N5860" s="33" t="s">
        <v>6930</v>
      </c>
      <c r="O5860" s="33" t="s">
        <v>950</v>
      </c>
      <c r="P5860" s="33" t="s">
        <v>30089</v>
      </c>
      <c r="Q5860" s="40" t="s">
        <v>6931</v>
      </c>
      <c r="R5860" s="33" t="s">
        <v>94</v>
      </c>
      <c r="S5860" s="33" t="s">
        <v>22</v>
      </c>
      <c r="T5860" s="1" t="s">
        <v>26781</v>
      </c>
      <c r="Z5860" s="33" t="s">
        <v>42968</v>
      </c>
      <c r="AA5860" s="33">
        <v>1808</v>
      </c>
    </row>
    <row r="5861" spans="1:27" ht="12" customHeight="1" x14ac:dyDescent="0.15">
      <c r="A5861" s="33" t="s">
        <v>6938</v>
      </c>
      <c r="B5861" s="33">
        <v>18</v>
      </c>
      <c r="C5861" s="33" t="s">
        <v>14</v>
      </c>
      <c r="D5861" s="33" t="s">
        <v>79</v>
      </c>
      <c r="E5861" s="33" t="s">
        <v>6939</v>
      </c>
      <c r="F5861" s="67">
        <v>41877</v>
      </c>
      <c r="G5861" s="33" t="s">
        <v>6940</v>
      </c>
      <c r="H5861" s="33" t="s">
        <v>81</v>
      </c>
      <c r="I5861" s="33" t="s">
        <v>38</v>
      </c>
      <c r="J5861" s="33" t="s">
        <v>6941</v>
      </c>
      <c r="K5861" s="33" t="s">
        <v>82</v>
      </c>
      <c r="L5861" s="33" t="s">
        <v>83</v>
      </c>
      <c r="M5861" s="33" t="s">
        <v>21</v>
      </c>
      <c r="N5861" s="33" t="s">
        <v>6942</v>
      </c>
      <c r="O5861" s="33" t="s">
        <v>372</v>
      </c>
      <c r="P5861" s="33" t="s">
        <v>30089</v>
      </c>
      <c r="Q5861" s="40" t="s">
        <v>6943</v>
      </c>
      <c r="R5861" s="33" t="s">
        <v>94</v>
      </c>
      <c r="S5861" s="33" t="s">
        <v>22</v>
      </c>
      <c r="T5861" s="1" t="s">
        <v>26781</v>
      </c>
      <c r="Z5861" s="33" t="s">
        <v>42966</v>
      </c>
      <c r="AA5861" s="33">
        <v>1801</v>
      </c>
    </row>
    <row r="5862" spans="1:27" ht="12" customHeight="1" x14ac:dyDescent="0.15">
      <c r="A5862" s="33" t="s">
        <v>6949</v>
      </c>
      <c r="B5862" s="33">
        <v>20</v>
      </c>
      <c r="C5862" s="33" t="s">
        <v>14</v>
      </c>
      <c r="D5862" s="33" t="s">
        <v>31</v>
      </c>
      <c r="E5862" s="33" t="s">
        <v>6950</v>
      </c>
      <c r="F5862" s="67">
        <v>41877</v>
      </c>
      <c r="G5862" s="33" t="s">
        <v>6951</v>
      </c>
      <c r="H5862" s="33" t="s">
        <v>6952</v>
      </c>
      <c r="I5862" s="33" t="s">
        <v>139</v>
      </c>
      <c r="J5862" s="33" t="s">
        <v>6953</v>
      </c>
      <c r="K5862" s="33" t="s">
        <v>3117</v>
      </c>
      <c r="L5862" s="33" t="s">
        <v>6954</v>
      </c>
      <c r="M5862" s="33" t="s">
        <v>21</v>
      </c>
      <c r="N5862" s="33" t="s">
        <v>6955</v>
      </c>
      <c r="O5862" s="33" t="s">
        <v>507</v>
      </c>
      <c r="P5862" s="33" t="s">
        <v>30089</v>
      </c>
      <c r="Q5862" s="40" t="s">
        <v>6956</v>
      </c>
      <c r="R5862" s="33" t="s">
        <v>23</v>
      </c>
      <c r="S5862" s="33" t="s">
        <v>22</v>
      </c>
      <c r="T5862" s="1" t="s">
        <v>26781</v>
      </c>
      <c r="Z5862" s="33" t="s">
        <v>42967</v>
      </c>
      <c r="AA5862" s="33">
        <v>1803</v>
      </c>
    </row>
    <row r="5863" spans="1:27" ht="12" customHeight="1" x14ac:dyDescent="0.15">
      <c r="A5863" s="33" t="s">
        <v>6944</v>
      </c>
      <c r="B5863" s="33">
        <v>38</v>
      </c>
      <c r="C5863" s="33" t="s">
        <v>14</v>
      </c>
      <c r="D5863" s="33" t="s">
        <v>31</v>
      </c>
      <c r="E5863" s="33" t="s">
        <v>6945</v>
      </c>
      <c r="F5863" s="67">
        <v>41877</v>
      </c>
      <c r="G5863" s="33" t="s">
        <v>6946</v>
      </c>
      <c r="H5863" s="33" t="s">
        <v>1522</v>
      </c>
      <c r="I5863" s="33" t="s">
        <v>432</v>
      </c>
      <c r="J5863" s="33" t="s">
        <v>6935</v>
      </c>
      <c r="K5863" s="33" t="s">
        <v>882</v>
      </c>
      <c r="L5863" s="33" t="s">
        <v>2101</v>
      </c>
      <c r="M5863" s="33" t="s">
        <v>21</v>
      </c>
      <c r="N5863" s="33" t="s">
        <v>6947</v>
      </c>
      <c r="O5863" s="33" t="s">
        <v>372</v>
      </c>
      <c r="P5863" s="33" t="s">
        <v>30089</v>
      </c>
      <c r="Q5863" s="40" t="s">
        <v>6948</v>
      </c>
      <c r="R5863" s="33" t="s">
        <v>94</v>
      </c>
      <c r="S5863" s="33" t="s">
        <v>22</v>
      </c>
      <c r="T5863" s="1" t="s">
        <v>26781</v>
      </c>
      <c r="Z5863" s="33" t="s">
        <v>42966</v>
      </c>
      <c r="AA5863" s="33">
        <v>1802</v>
      </c>
    </row>
    <row r="5864" spans="1:27" ht="12" customHeight="1" x14ac:dyDescent="0.15">
      <c r="A5864" s="33" t="s">
        <v>6932</v>
      </c>
      <c r="B5864" s="33">
        <v>32</v>
      </c>
      <c r="C5864" s="33" t="s">
        <v>14</v>
      </c>
      <c r="D5864" s="33" t="s">
        <v>79</v>
      </c>
      <c r="E5864" s="33" t="s">
        <v>6933</v>
      </c>
      <c r="F5864" s="67">
        <v>41877</v>
      </c>
      <c r="G5864" s="33" t="s">
        <v>6934</v>
      </c>
      <c r="H5864" s="33" t="s">
        <v>1522</v>
      </c>
      <c r="I5864" s="33" t="s">
        <v>432</v>
      </c>
      <c r="J5864" s="33" t="s">
        <v>6935</v>
      </c>
      <c r="K5864" s="33" t="s">
        <v>882</v>
      </c>
      <c r="L5864" s="33" t="s">
        <v>2101</v>
      </c>
      <c r="M5864" s="33" t="s">
        <v>21</v>
      </c>
      <c r="N5864" s="33" t="s">
        <v>6936</v>
      </c>
      <c r="O5864" s="33" t="s">
        <v>950</v>
      </c>
      <c r="P5864" s="33" t="s">
        <v>30089</v>
      </c>
      <c r="Q5864" s="40" t="s">
        <v>6937</v>
      </c>
      <c r="R5864" s="33" t="s">
        <v>23</v>
      </c>
      <c r="S5864" s="33" t="s">
        <v>12</v>
      </c>
      <c r="T5864" s="33" t="s">
        <v>29425</v>
      </c>
      <c r="Z5864" s="33" t="s">
        <v>42966</v>
      </c>
      <c r="AA5864" s="33">
        <v>1804</v>
      </c>
    </row>
    <row r="5865" spans="1:27" ht="12" customHeight="1" x14ac:dyDescent="0.15">
      <c r="A5865" s="33" t="s">
        <v>6957</v>
      </c>
      <c r="B5865" s="33">
        <v>20</v>
      </c>
      <c r="C5865" s="33" t="s">
        <v>14</v>
      </c>
      <c r="D5865" s="33" t="s">
        <v>79</v>
      </c>
      <c r="E5865" s="33" t="s">
        <v>6958</v>
      </c>
      <c r="F5865" s="67">
        <v>41876</v>
      </c>
      <c r="G5865" s="33" t="s">
        <v>6940</v>
      </c>
      <c r="H5865" s="33" t="s">
        <v>81</v>
      </c>
      <c r="I5865" s="33" t="s">
        <v>38</v>
      </c>
      <c r="J5865" s="33" t="s">
        <v>6941</v>
      </c>
      <c r="K5865" s="33" t="s">
        <v>82</v>
      </c>
      <c r="L5865" s="33" t="s">
        <v>83</v>
      </c>
      <c r="M5865" s="33" t="s">
        <v>21</v>
      </c>
      <c r="N5865" s="33" t="s">
        <v>6959</v>
      </c>
      <c r="O5865" s="33" t="s">
        <v>950</v>
      </c>
      <c r="P5865" s="33" t="s">
        <v>30089</v>
      </c>
      <c r="Q5865" s="40" t="s">
        <v>6960</v>
      </c>
      <c r="R5865" s="33" t="s">
        <v>94</v>
      </c>
      <c r="S5865" s="33" t="s">
        <v>22</v>
      </c>
      <c r="T5865" s="1" t="s">
        <v>26781</v>
      </c>
      <c r="Z5865" s="33" t="s">
        <v>42966</v>
      </c>
      <c r="AA5865" s="33">
        <v>1797</v>
      </c>
    </row>
    <row r="5866" spans="1:27" ht="12" customHeight="1" x14ac:dyDescent="0.15">
      <c r="A5866" s="33" t="s">
        <v>6961</v>
      </c>
      <c r="B5866" s="33">
        <v>29</v>
      </c>
      <c r="C5866" s="33" t="s">
        <v>14</v>
      </c>
      <c r="D5866" s="33" t="s">
        <v>79</v>
      </c>
      <c r="E5866" s="33" t="s">
        <v>6962</v>
      </c>
      <c r="F5866" s="67">
        <v>41876</v>
      </c>
      <c r="G5866" s="33" t="s">
        <v>6963</v>
      </c>
      <c r="H5866" s="33" t="s">
        <v>266</v>
      </c>
      <c r="I5866" s="33" t="s">
        <v>67</v>
      </c>
      <c r="J5866" s="33" t="s">
        <v>6964</v>
      </c>
      <c r="K5866" s="33" t="s">
        <v>266</v>
      </c>
      <c r="L5866" s="33" t="s">
        <v>267</v>
      </c>
      <c r="M5866" s="33" t="s">
        <v>21</v>
      </c>
      <c r="N5866" s="33" t="s">
        <v>6965</v>
      </c>
      <c r="O5866" s="33" t="s">
        <v>372</v>
      </c>
      <c r="P5866" s="33" t="s">
        <v>30089</v>
      </c>
      <c r="Q5866" s="40" t="s">
        <v>6966</v>
      </c>
      <c r="R5866" s="33" t="s">
        <v>94</v>
      </c>
      <c r="S5866" s="33" t="s">
        <v>22</v>
      </c>
      <c r="T5866" s="1" t="s">
        <v>26781</v>
      </c>
      <c r="Z5866" s="33" t="s">
        <v>42968</v>
      </c>
      <c r="AA5866" s="33">
        <v>1798</v>
      </c>
    </row>
    <row r="5867" spans="1:27" ht="12" customHeight="1" x14ac:dyDescent="0.15">
      <c r="A5867" s="33" t="s">
        <v>6974</v>
      </c>
      <c r="B5867" s="33">
        <v>29</v>
      </c>
      <c r="C5867" s="33" t="s">
        <v>14</v>
      </c>
      <c r="D5867" s="33" t="s">
        <v>31</v>
      </c>
      <c r="F5867" s="67">
        <v>41876</v>
      </c>
      <c r="G5867" s="33" t="s">
        <v>6975</v>
      </c>
      <c r="H5867" s="33" t="s">
        <v>2129</v>
      </c>
      <c r="I5867" s="33" t="s">
        <v>192</v>
      </c>
      <c r="J5867" s="33" t="s">
        <v>2130</v>
      </c>
      <c r="K5867" s="33" t="s">
        <v>1337</v>
      </c>
      <c r="L5867" s="33" t="s">
        <v>2131</v>
      </c>
      <c r="M5867" s="33" t="s">
        <v>21</v>
      </c>
      <c r="N5867" s="33" t="s">
        <v>6976</v>
      </c>
      <c r="O5867" s="33" t="s">
        <v>507</v>
      </c>
      <c r="P5867" s="33" t="s">
        <v>30089</v>
      </c>
      <c r="Q5867" s="40" t="s">
        <v>6977</v>
      </c>
      <c r="R5867" s="33" t="s">
        <v>94</v>
      </c>
      <c r="S5867" s="33" t="s">
        <v>22</v>
      </c>
      <c r="T5867" s="1" t="s">
        <v>26781</v>
      </c>
      <c r="Z5867" s="33" t="s">
        <v>42966</v>
      </c>
      <c r="AA5867" s="33">
        <v>1800</v>
      </c>
    </row>
    <row r="5868" spans="1:27" ht="12" customHeight="1" x14ac:dyDescent="0.15">
      <c r="A5868" s="33" t="s">
        <v>6967</v>
      </c>
      <c r="B5868" s="33">
        <v>51</v>
      </c>
      <c r="C5868" s="33" t="s">
        <v>14</v>
      </c>
      <c r="D5868" s="33" t="s">
        <v>42</v>
      </c>
      <c r="E5868" s="33" t="s">
        <v>6968</v>
      </c>
      <c r="F5868" s="67">
        <v>41876</v>
      </c>
      <c r="G5868" s="33" t="s">
        <v>6969</v>
      </c>
      <c r="H5868" s="33" t="s">
        <v>6078</v>
      </c>
      <c r="I5868" s="33" t="s">
        <v>67</v>
      </c>
      <c r="J5868" s="33" t="s">
        <v>6970</v>
      </c>
      <c r="K5868" s="33" t="s">
        <v>6078</v>
      </c>
      <c r="L5868" s="33" t="s">
        <v>6971</v>
      </c>
      <c r="M5868" s="33" t="s">
        <v>21</v>
      </c>
      <c r="N5868" s="33" t="s">
        <v>6972</v>
      </c>
      <c r="O5868" s="33" t="s">
        <v>950</v>
      </c>
      <c r="P5868" s="33" t="s">
        <v>30089</v>
      </c>
      <c r="Q5868" s="40" t="s">
        <v>6973</v>
      </c>
      <c r="R5868" s="33" t="s">
        <v>94</v>
      </c>
      <c r="S5868" s="33" t="s">
        <v>22</v>
      </c>
      <c r="T5868" s="1" t="s">
        <v>26781</v>
      </c>
      <c r="Z5868" s="33" t="s">
        <v>42968</v>
      </c>
      <c r="AA5868" s="33">
        <v>1799</v>
      </c>
    </row>
    <row r="5869" spans="1:27" ht="12" customHeight="1" x14ac:dyDescent="0.15">
      <c r="A5869" s="33" t="s">
        <v>6979</v>
      </c>
      <c r="B5869" s="33">
        <v>22</v>
      </c>
      <c r="C5869" s="33" t="s">
        <v>14</v>
      </c>
      <c r="D5869" s="33" t="s">
        <v>42</v>
      </c>
      <c r="E5869" s="33" t="s">
        <v>6980</v>
      </c>
      <c r="F5869" s="67">
        <v>41875</v>
      </c>
      <c r="G5869" s="33" t="s">
        <v>6981</v>
      </c>
      <c r="H5869" s="33" t="s">
        <v>1027</v>
      </c>
      <c r="I5869" s="33" t="s">
        <v>367</v>
      </c>
      <c r="J5869" s="33" t="s">
        <v>6982</v>
      </c>
      <c r="K5869" s="33" t="s">
        <v>1028</v>
      </c>
      <c r="L5869" s="33" t="s">
        <v>1029</v>
      </c>
      <c r="M5869" s="33" t="s">
        <v>21</v>
      </c>
      <c r="N5869" s="33" t="s">
        <v>6983</v>
      </c>
      <c r="O5869" s="33" t="s">
        <v>372</v>
      </c>
      <c r="P5869" s="33" t="s">
        <v>30089</v>
      </c>
      <c r="Q5869" s="40" t="s">
        <v>6984</v>
      </c>
      <c r="R5869" s="33" t="s">
        <v>94</v>
      </c>
      <c r="S5869" s="33" t="s">
        <v>22</v>
      </c>
      <c r="T5869" s="1" t="s">
        <v>26576</v>
      </c>
      <c r="Z5869" s="33" t="s">
        <v>42968</v>
      </c>
      <c r="AA5869" s="33">
        <v>1796</v>
      </c>
    </row>
    <row r="5870" spans="1:27" ht="12" customHeight="1" x14ac:dyDescent="0.15">
      <c r="A5870" s="33" t="s">
        <v>6990</v>
      </c>
      <c r="B5870" s="33">
        <v>41</v>
      </c>
      <c r="C5870" s="33" t="s">
        <v>14</v>
      </c>
      <c r="D5870" s="33" t="s">
        <v>31</v>
      </c>
      <c r="E5870" s="33" t="s">
        <v>6991</v>
      </c>
      <c r="F5870" s="67">
        <v>41875</v>
      </c>
      <c r="G5870" s="33" t="s">
        <v>6992</v>
      </c>
      <c r="H5870" s="33" t="s">
        <v>6993</v>
      </c>
      <c r="I5870" s="33" t="s">
        <v>56</v>
      </c>
      <c r="J5870" s="33" t="s">
        <v>6994</v>
      </c>
      <c r="K5870" s="33" t="s">
        <v>45</v>
      </c>
      <c r="L5870" s="33" t="s">
        <v>6995</v>
      </c>
      <c r="M5870" s="33" t="s">
        <v>363</v>
      </c>
      <c r="N5870" s="33" t="s">
        <v>6996</v>
      </c>
      <c r="O5870" s="33" t="s">
        <v>950</v>
      </c>
      <c r="P5870" s="33" t="s">
        <v>30089</v>
      </c>
      <c r="Q5870" s="40" t="s">
        <v>6997</v>
      </c>
      <c r="R5870" s="33" t="s">
        <v>94</v>
      </c>
      <c r="S5870" s="33" t="s">
        <v>12</v>
      </c>
      <c r="T5870" s="1" t="s">
        <v>29705</v>
      </c>
      <c r="Z5870" s="33" t="s">
        <v>42967</v>
      </c>
      <c r="AA5870" s="33">
        <v>1795</v>
      </c>
    </row>
    <row r="5871" spans="1:27" ht="12" customHeight="1" x14ac:dyDescent="0.15">
      <c r="A5871" s="33" t="s">
        <v>6985</v>
      </c>
      <c r="B5871" s="33">
        <v>52</v>
      </c>
      <c r="C5871" s="33" t="s">
        <v>14</v>
      </c>
      <c r="D5871" s="33" t="s">
        <v>31</v>
      </c>
      <c r="E5871" s="33" t="s">
        <v>6986</v>
      </c>
      <c r="F5871" s="67">
        <v>41875</v>
      </c>
      <c r="G5871" s="33" t="s">
        <v>6987</v>
      </c>
      <c r="H5871" s="33" t="s">
        <v>1880</v>
      </c>
      <c r="I5871" s="33" t="s">
        <v>106</v>
      </c>
      <c r="J5871" s="33" t="s">
        <v>3260</v>
      </c>
      <c r="K5871" s="33" t="s">
        <v>404</v>
      </c>
      <c r="L5871" s="33" t="s">
        <v>1882</v>
      </c>
      <c r="M5871" s="33" t="s">
        <v>21</v>
      </c>
      <c r="N5871" s="33" t="s">
        <v>6988</v>
      </c>
      <c r="O5871" s="33" t="s">
        <v>950</v>
      </c>
      <c r="P5871" s="33" t="s">
        <v>30089</v>
      </c>
      <c r="Q5871" s="40" t="s">
        <v>6989</v>
      </c>
      <c r="R5871" s="33" t="s">
        <v>512</v>
      </c>
      <c r="S5871" s="33" t="s">
        <v>22</v>
      </c>
      <c r="T5871" s="1" t="s">
        <v>26781</v>
      </c>
      <c r="Z5871" s="33" t="s">
        <v>42968</v>
      </c>
      <c r="AA5871" s="33">
        <v>1794</v>
      </c>
    </row>
    <row r="5872" spans="1:27" ht="12" customHeight="1" x14ac:dyDescent="0.15">
      <c r="A5872" s="33" t="s">
        <v>6998</v>
      </c>
      <c r="B5872" s="33">
        <v>31</v>
      </c>
      <c r="C5872" s="33" t="s">
        <v>14</v>
      </c>
      <c r="D5872" s="33" t="s">
        <v>31</v>
      </c>
      <c r="F5872" s="67">
        <v>41875</v>
      </c>
      <c r="G5872" s="33" t="s">
        <v>6999</v>
      </c>
      <c r="H5872" s="33" t="s">
        <v>7000</v>
      </c>
      <c r="I5872" s="33" t="s">
        <v>139</v>
      </c>
      <c r="J5872" s="33" t="s">
        <v>7001</v>
      </c>
      <c r="K5872" s="33" t="s">
        <v>7002</v>
      </c>
      <c r="L5872" s="33" t="s">
        <v>15594</v>
      </c>
      <c r="M5872" s="33" t="s">
        <v>21</v>
      </c>
      <c r="N5872" s="33" t="s">
        <v>7003</v>
      </c>
      <c r="O5872" s="33" t="s">
        <v>23</v>
      </c>
      <c r="P5872" s="33" t="s">
        <v>30089</v>
      </c>
      <c r="Q5872" s="40" t="s">
        <v>7004</v>
      </c>
      <c r="R5872" s="33" t="s">
        <v>94</v>
      </c>
      <c r="S5872" s="33" t="s">
        <v>22</v>
      </c>
      <c r="T5872" s="1" t="s">
        <v>26781</v>
      </c>
      <c r="Z5872" s="33" t="s">
        <v>42967</v>
      </c>
      <c r="AA5872" s="33">
        <v>1793</v>
      </c>
    </row>
    <row r="5873" spans="1:27" ht="12" customHeight="1" x14ac:dyDescent="0.15">
      <c r="A5873" s="33" t="s">
        <v>7019</v>
      </c>
      <c r="B5873" s="33">
        <v>39</v>
      </c>
      <c r="C5873" s="33" t="s">
        <v>14</v>
      </c>
      <c r="D5873" s="33" t="s">
        <v>42</v>
      </c>
      <c r="F5873" s="67">
        <v>41874</v>
      </c>
      <c r="G5873" s="33" t="s">
        <v>7020</v>
      </c>
      <c r="H5873" s="33" t="s">
        <v>584</v>
      </c>
      <c r="I5873" s="33" t="s">
        <v>112</v>
      </c>
      <c r="J5873" s="33" t="s">
        <v>4254</v>
      </c>
      <c r="K5873" s="33" t="s">
        <v>585</v>
      </c>
      <c r="L5873" s="33" t="s">
        <v>586</v>
      </c>
      <c r="M5873" s="33" t="s">
        <v>21</v>
      </c>
      <c r="N5873" s="33" t="s">
        <v>7021</v>
      </c>
      <c r="O5873" s="33" t="s">
        <v>950</v>
      </c>
      <c r="P5873" s="33" t="s">
        <v>30089</v>
      </c>
      <c r="Q5873" s="40" t="s">
        <v>7022</v>
      </c>
      <c r="R5873" s="33" t="s">
        <v>94</v>
      </c>
      <c r="S5873" s="33" t="s">
        <v>22</v>
      </c>
      <c r="T5873" s="1" t="s">
        <v>26781</v>
      </c>
      <c r="Z5873" s="33" t="s">
        <v>42968</v>
      </c>
      <c r="AA5873" s="33">
        <v>1789</v>
      </c>
    </row>
    <row r="5874" spans="1:27" ht="12" customHeight="1" x14ac:dyDescent="0.15">
      <c r="A5874" s="33" t="s">
        <v>7013</v>
      </c>
      <c r="B5874" s="33">
        <v>61</v>
      </c>
      <c r="C5874" s="33" t="s">
        <v>14</v>
      </c>
      <c r="D5874" s="33" t="s">
        <v>42</v>
      </c>
      <c r="F5874" s="67">
        <v>41874</v>
      </c>
      <c r="G5874" s="33" t="s">
        <v>7014</v>
      </c>
      <c r="H5874" s="33" t="s">
        <v>7015</v>
      </c>
      <c r="I5874" s="33" t="s">
        <v>46</v>
      </c>
      <c r="J5874" s="33" t="s">
        <v>7016</v>
      </c>
      <c r="K5874" s="33" t="s">
        <v>47</v>
      </c>
      <c r="L5874" s="33" t="s">
        <v>48</v>
      </c>
      <c r="M5874" s="33" t="s">
        <v>21</v>
      </c>
      <c r="N5874" s="33" t="s">
        <v>7017</v>
      </c>
      <c r="O5874" s="33" t="s">
        <v>950</v>
      </c>
      <c r="P5874" s="33" t="s">
        <v>30089</v>
      </c>
      <c r="Q5874" s="40" t="s">
        <v>7018</v>
      </c>
      <c r="R5874" s="33" t="s">
        <v>512</v>
      </c>
      <c r="S5874" s="33" t="s">
        <v>22</v>
      </c>
      <c r="T5874" s="1" t="s">
        <v>26774</v>
      </c>
      <c r="Z5874" s="33" t="s">
        <v>42968</v>
      </c>
      <c r="AA5874" s="33">
        <v>1792</v>
      </c>
    </row>
    <row r="5875" spans="1:27" ht="12" customHeight="1" x14ac:dyDescent="0.15">
      <c r="A5875" s="33" t="s">
        <v>7030</v>
      </c>
      <c r="B5875" s="33">
        <v>44</v>
      </c>
      <c r="C5875" s="33" t="s">
        <v>14</v>
      </c>
      <c r="D5875" s="33" t="s">
        <v>31</v>
      </c>
      <c r="F5875" s="67">
        <v>41874</v>
      </c>
      <c r="G5875" s="33" t="s">
        <v>7031</v>
      </c>
      <c r="H5875" s="33" t="s">
        <v>7032</v>
      </c>
      <c r="I5875" s="33" t="s">
        <v>67</v>
      </c>
      <c r="J5875" s="33" t="s">
        <v>7033</v>
      </c>
      <c r="K5875" s="33" t="s">
        <v>6699</v>
      </c>
      <c r="L5875" s="33" t="s">
        <v>7034</v>
      </c>
      <c r="M5875" s="33" t="s">
        <v>21</v>
      </c>
      <c r="N5875" s="33" t="s">
        <v>7035</v>
      </c>
      <c r="O5875" s="33" t="s">
        <v>950</v>
      </c>
      <c r="P5875" s="33" t="s">
        <v>30089</v>
      </c>
      <c r="Q5875" s="40" t="s">
        <v>7036</v>
      </c>
      <c r="R5875" s="33" t="s">
        <v>94</v>
      </c>
      <c r="S5875" s="33" t="s">
        <v>22</v>
      </c>
      <c r="T5875" s="33" t="s">
        <v>26781</v>
      </c>
      <c r="Z5875" s="33" t="s">
        <v>42967</v>
      </c>
      <c r="AA5875" s="33">
        <v>1791</v>
      </c>
    </row>
    <row r="5876" spans="1:27" ht="12" customHeight="1" x14ac:dyDescent="0.15">
      <c r="A5876" s="33" t="s">
        <v>7023</v>
      </c>
      <c r="B5876" s="33">
        <v>18</v>
      </c>
      <c r="C5876" s="33" t="s">
        <v>14</v>
      </c>
      <c r="D5876" s="33" t="s">
        <v>31</v>
      </c>
      <c r="E5876" s="33" t="s">
        <v>7024</v>
      </c>
      <c r="F5876" s="67">
        <v>41874</v>
      </c>
      <c r="G5876" s="33" t="s">
        <v>7025</v>
      </c>
      <c r="H5876" s="33" t="s">
        <v>7026</v>
      </c>
      <c r="I5876" s="33" t="s">
        <v>337</v>
      </c>
      <c r="J5876" s="33" t="s">
        <v>7027</v>
      </c>
      <c r="K5876" s="33" t="s">
        <v>1203</v>
      </c>
      <c r="L5876" s="33" t="s">
        <v>36952</v>
      </c>
      <c r="M5876" s="33" t="s">
        <v>21</v>
      </c>
      <c r="N5876" s="33" t="s">
        <v>7028</v>
      </c>
      <c r="O5876" s="33" t="s">
        <v>372</v>
      </c>
      <c r="P5876" s="33" t="s">
        <v>30089</v>
      </c>
      <c r="Q5876" s="40" t="s">
        <v>7029</v>
      </c>
      <c r="R5876" s="33" t="s">
        <v>512</v>
      </c>
      <c r="S5876" s="33" t="s">
        <v>22</v>
      </c>
      <c r="T5876" s="1" t="s">
        <v>26781</v>
      </c>
      <c r="Z5876" s="33" t="s">
        <v>42967</v>
      </c>
      <c r="AA5876" s="33">
        <v>1790</v>
      </c>
    </row>
    <row r="5877" spans="1:27" ht="12" customHeight="1" x14ac:dyDescent="0.15">
      <c r="A5877" s="33" t="s">
        <v>7005</v>
      </c>
      <c r="B5877" s="33">
        <v>39</v>
      </c>
      <c r="C5877" s="33" t="s">
        <v>14</v>
      </c>
      <c r="D5877" s="33" t="s">
        <v>79</v>
      </c>
      <c r="E5877" s="33" t="s">
        <v>7006</v>
      </c>
      <c r="F5877" s="67">
        <v>41874</v>
      </c>
      <c r="G5877" s="33" t="s">
        <v>7007</v>
      </c>
      <c r="H5877" s="33" t="s">
        <v>55</v>
      </c>
      <c r="I5877" s="33" t="s">
        <v>56</v>
      </c>
      <c r="J5877" s="33" t="s">
        <v>7008</v>
      </c>
      <c r="K5877" s="33" t="s">
        <v>4878</v>
      </c>
      <c r="L5877" s="33" t="s">
        <v>7009</v>
      </c>
      <c r="M5877" s="33" t="s">
        <v>21</v>
      </c>
      <c r="N5877" s="33" t="s">
        <v>7010</v>
      </c>
      <c r="O5877" s="33" t="s">
        <v>950</v>
      </c>
      <c r="P5877" s="33" t="s">
        <v>30089</v>
      </c>
      <c r="Q5877" s="40" t="s">
        <v>7011</v>
      </c>
      <c r="R5877" s="33" t="s">
        <v>94</v>
      </c>
      <c r="S5877" s="33" t="s">
        <v>22</v>
      </c>
      <c r="T5877" s="1" t="s">
        <v>26781</v>
      </c>
      <c r="Z5877" s="33" t="s">
        <v>42968</v>
      </c>
      <c r="AA5877" s="33">
        <v>1788</v>
      </c>
    </row>
    <row r="5878" spans="1:27" ht="12" customHeight="1" x14ac:dyDescent="0.15">
      <c r="A5878" s="33" t="s">
        <v>7044</v>
      </c>
      <c r="B5878" s="33">
        <v>38</v>
      </c>
      <c r="C5878" s="33" t="s">
        <v>14</v>
      </c>
      <c r="D5878" s="33" t="s">
        <v>42</v>
      </c>
      <c r="E5878" s="33" t="s">
        <v>7045</v>
      </c>
      <c r="F5878" s="67">
        <v>41873</v>
      </c>
      <c r="G5878" s="33" t="s">
        <v>7046</v>
      </c>
      <c r="H5878" s="33" t="s">
        <v>288</v>
      </c>
      <c r="I5878" s="33" t="s">
        <v>39</v>
      </c>
      <c r="J5878" s="33" t="s">
        <v>7047</v>
      </c>
      <c r="K5878" s="33" t="s">
        <v>288</v>
      </c>
      <c r="L5878" s="33" t="s">
        <v>3983</v>
      </c>
      <c r="M5878" s="33" t="s">
        <v>21</v>
      </c>
      <c r="N5878" s="33" t="s">
        <v>7048</v>
      </c>
      <c r="O5878" s="33" t="s">
        <v>372</v>
      </c>
      <c r="P5878" s="33" t="s">
        <v>30089</v>
      </c>
      <c r="Q5878" s="40" t="s">
        <v>7049</v>
      </c>
      <c r="R5878" s="33" t="s">
        <v>94</v>
      </c>
      <c r="S5878" s="33" t="s">
        <v>22</v>
      </c>
      <c r="T5878" s="1" t="s">
        <v>26781</v>
      </c>
      <c r="Z5878" s="33" t="s">
        <v>42966</v>
      </c>
      <c r="AA5878" s="33">
        <v>1786</v>
      </c>
    </row>
    <row r="5879" spans="1:27" ht="12" customHeight="1" x14ac:dyDescent="0.15">
      <c r="A5879" s="33" t="s">
        <v>7037</v>
      </c>
      <c r="B5879" s="33">
        <v>26</v>
      </c>
      <c r="C5879" s="33" t="s">
        <v>103</v>
      </c>
      <c r="D5879" s="33" t="s">
        <v>79</v>
      </c>
      <c r="E5879" s="33" t="s">
        <v>7038</v>
      </c>
      <c r="F5879" s="67">
        <v>41873</v>
      </c>
      <c r="G5879" s="33" t="s">
        <v>7039</v>
      </c>
      <c r="H5879" s="33" t="s">
        <v>7040</v>
      </c>
      <c r="I5879" s="33" t="s">
        <v>160</v>
      </c>
      <c r="J5879" s="33" t="s">
        <v>7041</v>
      </c>
      <c r="K5879" s="33" t="s">
        <v>1454</v>
      </c>
      <c r="L5879" s="33" t="s">
        <v>2356</v>
      </c>
      <c r="M5879" s="33" t="s">
        <v>21</v>
      </c>
      <c r="N5879" s="33" t="s">
        <v>7042</v>
      </c>
      <c r="O5879" s="33" t="s">
        <v>26747</v>
      </c>
      <c r="P5879" s="33" t="s">
        <v>26748</v>
      </c>
      <c r="Q5879" s="40" t="s">
        <v>7043</v>
      </c>
      <c r="R5879" s="33" t="s">
        <v>94</v>
      </c>
      <c r="S5879" s="33" t="s">
        <v>12</v>
      </c>
      <c r="T5879" s="54" t="s">
        <v>29705</v>
      </c>
      <c r="Y5879" s="33" t="s">
        <v>42476</v>
      </c>
      <c r="Z5879" s="33" t="s">
        <v>42968</v>
      </c>
      <c r="AA5879" s="33">
        <v>1787</v>
      </c>
    </row>
    <row r="5880" spans="1:27" ht="12" customHeight="1" x14ac:dyDescent="0.15">
      <c r="A5880" s="33" t="s">
        <v>7054</v>
      </c>
      <c r="B5880" s="33">
        <v>30</v>
      </c>
      <c r="C5880" s="33" t="s">
        <v>14</v>
      </c>
      <c r="D5880" s="33" t="s">
        <v>79</v>
      </c>
      <c r="E5880" s="33" t="s">
        <v>7055</v>
      </c>
      <c r="F5880" s="67">
        <v>41871</v>
      </c>
      <c r="G5880" s="33" t="s">
        <v>7056</v>
      </c>
      <c r="H5880" s="33" t="s">
        <v>7057</v>
      </c>
      <c r="I5880" s="33" t="s">
        <v>46</v>
      </c>
      <c r="J5880" s="33" t="s">
        <v>7058</v>
      </c>
      <c r="K5880" s="33" t="s">
        <v>1487</v>
      </c>
      <c r="L5880" s="33" t="s">
        <v>212</v>
      </c>
      <c r="M5880" s="33" t="s">
        <v>363</v>
      </c>
      <c r="N5880" s="33" t="s">
        <v>7059</v>
      </c>
      <c r="O5880" s="33" t="s">
        <v>950</v>
      </c>
      <c r="P5880" s="33" t="s">
        <v>30089</v>
      </c>
      <c r="Q5880" s="40" t="str">
        <f>HYPERLINK("http://www.baltimoresun.com/news/maryland/baltimore-county/bs-md-co-in-custody-death-20140821-story.html","http://www.baltimoresun.com/news/maryland/baltimore-county/bs-md-co-in-custody-death-20140821-story.html")</f>
        <v>http://www.baltimoresun.com/news/maryland/baltimore-county/bs-md-co-in-custody-death-20140821-story.html</v>
      </c>
      <c r="R5880" s="33" t="s">
        <v>904</v>
      </c>
      <c r="S5880" s="33" t="s">
        <v>12</v>
      </c>
      <c r="T5880" s="54" t="s">
        <v>29705</v>
      </c>
      <c r="Z5880" s="33" t="s">
        <v>42968</v>
      </c>
      <c r="AA5880" s="33">
        <v>1784</v>
      </c>
    </row>
    <row r="5881" spans="1:27" ht="12" customHeight="1" x14ac:dyDescent="0.15">
      <c r="A5881" s="33" t="s">
        <v>7060</v>
      </c>
      <c r="B5881" s="33">
        <v>25</v>
      </c>
      <c r="C5881" s="33" t="s">
        <v>14</v>
      </c>
      <c r="D5881" s="33" t="s">
        <v>42</v>
      </c>
      <c r="E5881" s="33" t="s">
        <v>7061</v>
      </c>
      <c r="F5881" s="67">
        <v>41871</v>
      </c>
      <c r="G5881" s="33" t="s">
        <v>7062</v>
      </c>
      <c r="H5881" s="33" t="s">
        <v>7063</v>
      </c>
      <c r="I5881" s="33" t="s">
        <v>19</v>
      </c>
      <c r="J5881" s="33" t="s">
        <v>7064</v>
      </c>
      <c r="K5881" s="33" t="s">
        <v>7065</v>
      </c>
      <c r="L5881" s="33" t="s">
        <v>19548</v>
      </c>
      <c r="M5881" s="33" t="s">
        <v>21</v>
      </c>
      <c r="N5881" s="33" t="s">
        <v>7066</v>
      </c>
      <c r="O5881" s="33" t="s">
        <v>950</v>
      </c>
      <c r="P5881" s="33" t="s">
        <v>30089</v>
      </c>
      <c r="Q5881" s="40" t="s">
        <v>7067</v>
      </c>
      <c r="R5881" s="33" t="s">
        <v>94</v>
      </c>
      <c r="S5881" s="33" t="s">
        <v>351</v>
      </c>
      <c r="T5881" s="1" t="s">
        <v>42983</v>
      </c>
      <c r="Z5881" s="33" t="s">
        <v>42967</v>
      </c>
      <c r="AA5881" s="33">
        <v>1785</v>
      </c>
    </row>
    <row r="5882" spans="1:27" ht="12" customHeight="1" x14ac:dyDescent="0.15">
      <c r="A5882" s="33" t="s">
        <v>7068</v>
      </c>
      <c r="B5882" s="33">
        <v>45</v>
      </c>
      <c r="C5882" s="33" t="s">
        <v>14</v>
      </c>
      <c r="D5882" s="33" t="s">
        <v>31</v>
      </c>
      <c r="F5882" s="67">
        <v>41871</v>
      </c>
      <c r="G5882" s="33" t="s">
        <v>7069</v>
      </c>
      <c r="H5882" s="33" t="s">
        <v>7015</v>
      </c>
      <c r="I5882" s="33" t="s">
        <v>46</v>
      </c>
      <c r="J5882" s="33" t="s">
        <v>7016</v>
      </c>
      <c r="K5882" s="33" t="s">
        <v>47</v>
      </c>
      <c r="L5882" s="33" t="s">
        <v>48</v>
      </c>
      <c r="M5882" s="33" t="s">
        <v>21</v>
      </c>
      <c r="N5882" s="33" t="s">
        <v>7070</v>
      </c>
      <c r="O5882" s="33" t="s">
        <v>950</v>
      </c>
      <c r="P5882" s="33" t="s">
        <v>30089</v>
      </c>
      <c r="Q5882" s="40" t="s">
        <v>7071</v>
      </c>
      <c r="R5882" s="33" t="s">
        <v>512</v>
      </c>
      <c r="S5882" s="33" t="s">
        <v>22</v>
      </c>
      <c r="T5882" s="1" t="s">
        <v>26774</v>
      </c>
      <c r="Z5882" s="33" t="s">
        <v>42968</v>
      </c>
      <c r="AA5882" s="33">
        <v>1783</v>
      </c>
    </row>
    <row r="5883" spans="1:27" ht="12" customHeight="1" x14ac:dyDescent="0.15">
      <c r="A5883" s="33" t="s">
        <v>7072</v>
      </c>
      <c r="B5883" s="33">
        <v>21</v>
      </c>
      <c r="C5883" s="33" t="s">
        <v>14</v>
      </c>
      <c r="D5883" s="33" t="s">
        <v>79</v>
      </c>
      <c r="E5883" s="33" t="s">
        <v>7073</v>
      </c>
      <c r="F5883" s="67">
        <v>41870</v>
      </c>
      <c r="G5883" s="33" t="s">
        <v>7074</v>
      </c>
      <c r="H5883" s="33" t="s">
        <v>81</v>
      </c>
      <c r="I5883" s="33" t="s">
        <v>38</v>
      </c>
      <c r="J5883" s="33" t="s">
        <v>7075</v>
      </c>
      <c r="K5883" s="33" t="s">
        <v>82</v>
      </c>
      <c r="L5883" s="33" t="s">
        <v>83</v>
      </c>
      <c r="M5883" s="33" t="s">
        <v>21</v>
      </c>
      <c r="N5883" s="33" t="s">
        <v>7076</v>
      </c>
      <c r="O5883" s="33" t="s">
        <v>950</v>
      </c>
      <c r="P5883" s="33" t="s">
        <v>30089</v>
      </c>
      <c r="Q5883" s="40" t="s">
        <v>7077</v>
      </c>
      <c r="R5883" s="33" t="s">
        <v>23</v>
      </c>
      <c r="S5883" s="33" t="s">
        <v>22</v>
      </c>
      <c r="T5883" s="1" t="s">
        <v>26781</v>
      </c>
      <c r="Z5883" s="33" t="s">
        <v>42968</v>
      </c>
      <c r="AA5883" s="33">
        <v>1778</v>
      </c>
    </row>
    <row r="5884" spans="1:27" ht="12" customHeight="1" x14ac:dyDescent="0.15">
      <c r="A5884" s="33" t="s">
        <v>7088</v>
      </c>
      <c r="B5884" s="33">
        <v>22</v>
      </c>
      <c r="C5884" s="33" t="s">
        <v>103</v>
      </c>
      <c r="D5884" s="33" t="s">
        <v>42</v>
      </c>
      <c r="E5884" s="33" t="s">
        <v>7089</v>
      </c>
      <c r="F5884" s="67">
        <v>41870</v>
      </c>
      <c r="G5884" s="33" t="s">
        <v>7090</v>
      </c>
      <c r="H5884" s="33" t="s">
        <v>997</v>
      </c>
      <c r="I5884" s="33" t="s">
        <v>56</v>
      </c>
      <c r="J5884" s="33" t="s">
        <v>7091</v>
      </c>
      <c r="K5884" s="33" t="s">
        <v>998</v>
      </c>
      <c r="L5884" s="33" t="s">
        <v>999</v>
      </c>
      <c r="M5884" s="33" t="s">
        <v>21</v>
      </c>
      <c r="N5884" s="33" t="s">
        <v>7092</v>
      </c>
      <c r="O5884" s="33" t="s">
        <v>507</v>
      </c>
      <c r="P5884" s="33" t="s">
        <v>30089</v>
      </c>
      <c r="Q5884" s="40" t="s">
        <v>7093</v>
      </c>
      <c r="R5884" s="33" t="s">
        <v>94</v>
      </c>
      <c r="S5884" s="33" t="s">
        <v>12</v>
      </c>
      <c r="T5884" s="54" t="s">
        <v>29705</v>
      </c>
      <c r="Z5884" s="33" t="s">
        <v>42966</v>
      </c>
      <c r="AA5884" s="33">
        <v>1782</v>
      </c>
    </row>
    <row r="5885" spans="1:27" ht="12" customHeight="1" x14ac:dyDescent="0.15">
      <c r="A5885" s="33" t="s">
        <v>7078</v>
      </c>
      <c r="B5885" s="33">
        <v>25</v>
      </c>
      <c r="C5885" s="33" t="s">
        <v>14</v>
      </c>
      <c r="D5885" s="33" t="s">
        <v>79</v>
      </c>
      <c r="E5885" s="33" t="s">
        <v>7079</v>
      </c>
      <c r="F5885" s="67">
        <v>41870</v>
      </c>
      <c r="G5885" s="33" t="s">
        <v>7080</v>
      </c>
      <c r="H5885" s="33" t="s">
        <v>661</v>
      </c>
      <c r="I5885" s="33" t="s">
        <v>402</v>
      </c>
      <c r="J5885" s="33" t="s">
        <v>7081</v>
      </c>
      <c r="K5885" s="33" t="s">
        <v>661</v>
      </c>
      <c r="L5885" s="33" t="s">
        <v>4162</v>
      </c>
      <c r="M5885" s="33" t="s">
        <v>21</v>
      </c>
      <c r="N5885" s="33" t="s">
        <v>7082</v>
      </c>
      <c r="O5885" s="33" t="s">
        <v>23</v>
      </c>
      <c r="P5885" s="33" t="s">
        <v>30089</v>
      </c>
      <c r="Q5885" s="40" t="s">
        <v>7083</v>
      </c>
      <c r="R5885" s="33" t="s">
        <v>512</v>
      </c>
      <c r="S5885" s="33" t="s">
        <v>22</v>
      </c>
      <c r="T5885" s="1" t="s">
        <v>26774</v>
      </c>
      <c r="Z5885" s="33" t="s">
        <v>42966</v>
      </c>
      <c r="AA5885" s="33">
        <v>1780</v>
      </c>
    </row>
    <row r="5886" spans="1:27" ht="12" customHeight="1" x14ac:dyDescent="0.15">
      <c r="A5886" s="33" t="s">
        <v>7094</v>
      </c>
      <c r="B5886" s="33">
        <v>40</v>
      </c>
      <c r="C5886" s="33" t="s">
        <v>14</v>
      </c>
      <c r="D5886" s="33" t="s">
        <v>31</v>
      </c>
      <c r="E5886" s="33" t="s">
        <v>7095</v>
      </c>
      <c r="F5886" s="67">
        <v>41870</v>
      </c>
      <c r="G5886" s="33" t="s">
        <v>7096</v>
      </c>
      <c r="H5886" s="33" t="s">
        <v>7097</v>
      </c>
      <c r="I5886" s="33" t="s">
        <v>337</v>
      </c>
      <c r="J5886" s="33">
        <v>67060</v>
      </c>
      <c r="K5886" s="33" t="s">
        <v>636</v>
      </c>
      <c r="L5886" s="33" t="s">
        <v>7098</v>
      </c>
      <c r="M5886" s="33" t="s">
        <v>21</v>
      </c>
      <c r="N5886" s="33" t="s">
        <v>7099</v>
      </c>
      <c r="O5886" s="33" t="s">
        <v>23</v>
      </c>
      <c r="P5886" s="33" t="s">
        <v>30089</v>
      </c>
      <c r="Q5886" s="40" t="s">
        <v>7100</v>
      </c>
      <c r="R5886" s="33" t="s">
        <v>23</v>
      </c>
      <c r="S5886" s="33" t="s">
        <v>22</v>
      </c>
      <c r="T5886" s="1" t="s">
        <v>26774</v>
      </c>
      <c r="Z5886" s="33" t="s">
        <v>42968</v>
      </c>
      <c r="AA5886" s="33">
        <v>1781</v>
      </c>
    </row>
    <row r="5887" spans="1:27" ht="12" customHeight="1" x14ac:dyDescent="0.15">
      <c r="A5887" s="33" t="s">
        <v>7084</v>
      </c>
      <c r="B5887" s="33">
        <v>29</v>
      </c>
      <c r="C5887" s="33" t="s">
        <v>14</v>
      </c>
      <c r="D5887" s="33" t="s">
        <v>79</v>
      </c>
      <c r="F5887" s="67">
        <v>41870</v>
      </c>
      <c r="G5887" s="33" t="s">
        <v>7085</v>
      </c>
      <c r="H5887" s="33" t="s">
        <v>1033</v>
      </c>
      <c r="I5887" s="33" t="s">
        <v>376</v>
      </c>
      <c r="J5887" s="33" t="s">
        <v>7086</v>
      </c>
      <c r="K5887" s="33" t="s">
        <v>1033</v>
      </c>
      <c r="L5887" s="33" t="s">
        <v>1034</v>
      </c>
      <c r="M5887" s="33" t="s">
        <v>21</v>
      </c>
      <c r="N5887" s="33" t="s">
        <v>7087</v>
      </c>
      <c r="O5887" s="33" t="s">
        <v>372</v>
      </c>
      <c r="P5887" s="33" t="s">
        <v>30089</v>
      </c>
      <c r="Q5887" s="40" t="str">
        <f>HYPERLINK("http://www.philly.com/philly/news/20140820_Cop_grazed_by_bullet__suspect_killed.html","http://www.philly.com/philly/news/20140820_Cop_grazed_by_bullet__suspect_killed.html")</f>
        <v>http://www.philly.com/philly/news/20140820_Cop_grazed_by_bullet__suspect_killed.html</v>
      </c>
      <c r="R5887" s="33" t="s">
        <v>94</v>
      </c>
      <c r="S5887" s="33" t="s">
        <v>22</v>
      </c>
      <c r="T5887" s="1" t="s">
        <v>26781</v>
      </c>
      <c r="Z5887" s="33" t="s">
        <v>42966</v>
      </c>
      <c r="AA5887" s="33">
        <v>1779</v>
      </c>
    </row>
    <row r="5888" spans="1:27" ht="12" customHeight="1" x14ac:dyDescent="0.15">
      <c r="A5888" s="33" t="s">
        <v>7101</v>
      </c>
      <c r="B5888" s="33">
        <v>28</v>
      </c>
      <c r="C5888" s="33" t="s">
        <v>103</v>
      </c>
      <c r="D5888" s="33" t="s">
        <v>31</v>
      </c>
      <c r="E5888" s="33" t="s">
        <v>7102</v>
      </c>
      <c r="F5888" s="67">
        <v>41870</v>
      </c>
      <c r="G5888" s="33" t="s">
        <v>7103</v>
      </c>
      <c r="H5888" s="33" t="s">
        <v>7104</v>
      </c>
      <c r="I5888" s="33" t="s">
        <v>298</v>
      </c>
      <c r="J5888" s="33" t="s">
        <v>7105</v>
      </c>
      <c r="K5888" s="33" t="s">
        <v>7106</v>
      </c>
      <c r="L5888" s="33" t="s">
        <v>36384</v>
      </c>
      <c r="M5888" s="33" t="s">
        <v>21</v>
      </c>
      <c r="N5888" s="33" t="s">
        <v>7107</v>
      </c>
      <c r="O5888" s="33" t="s">
        <v>950</v>
      </c>
      <c r="P5888" s="33" t="s">
        <v>30089</v>
      </c>
      <c r="Q5888" s="40" t="s">
        <v>7108</v>
      </c>
      <c r="R5888" s="33" t="s">
        <v>94</v>
      </c>
      <c r="S5888" s="33" t="s">
        <v>22</v>
      </c>
      <c r="T5888" s="1" t="s">
        <v>26781</v>
      </c>
      <c r="Z5888" s="33" t="s">
        <v>42967</v>
      </c>
      <c r="AA5888" s="33">
        <v>1777</v>
      </c>
    </row>
    <row r="5889" spans="1:27" ht="12" customHeight="1" x14ac:dyDescent="0.15">
      <c r="A5889" s="33" t="s">
        <v>7115</v>
      </c>
      <c r="B5889" s="33">
        <v>37</v>
      </c>
      <c r="C5889" s="33" t="s">
        <v>14</v>
      </c>
      <c r="D5889" s="33" t="s">
        <v>79</v>
      </c>
      <c r="E5889" s="33" t="s">
        <v>7116</v>
      </c>
      <c r="F5889" s="67">
        <v>41869</v>
      </c>
      <c r="G5889" s="33" t="s">
        <v>7117</v>
      </c>
      <c r="H5889" s="33" t="s">
        <v>92</v>
      </c>
      <c r="I5889" s="33" t="s">
        <v>39</v>
      </c>
      <c r="J5889" s="33" t="s">
        <v>3365</v>
      </c>
      <c r="K5889" s="33" t="s">
        <v>92</v>
      </c>
      <c r="L5889" s="33" t="s">
        <v>93</v>
      </c>
      <c r="M5889" s="33" t="s">
        <v>21</v>
      </c>
      <c r="N5889" s="33" t="s">
        <v>7118</v>
      </c>
      <c r="O5889" s="33" t="s">
        <v>950</v>
      </c>
      <c r="P5889" s="33" t="s">
        <v>30089</v>
      </c>
      <c r="Q5889" s="40" t="str">
        <f>HYPERLINK("http://homicide.latimes.com/post/andre-maurice-jones/","http://homicide.latimes.com/post/andre-maurice-jones/")</f>
        <v>http://homicide.latimes.com/post/andre-maurice-jones/</v>
      </c>
      <c r="R5889" s="33" t="s">
        <v>94</v>
      </c>
      <c r="S5889" s="33" t="s">
        <v>22</v>
      </c>
      <c r="T5889" s="1" t="s">
        <v>26781</v>
      </c>
      <c r="Z5889" s="33" t="s">
        <v>42966</v>
      </c>
      <c r="AA5889" s="33">
        <v>1774</v>
      </c>
    </row>
    <row r="5890" spans="1:27" ht="12" customHeight="1" x14ac:dyDescent="0.15">
      <c r="A5890" s="33" t="s">
        <v>7109</v>
      </c>
      <c r="B5890" s="33">
        <v>38</v>
      </c>
      <c r="C5890" s="33" t="s">
        <v>14</v>
      </c>
      <c r="D5890" s="33" t="s">
        <v>79</v>
      </c>
      <c r="F5890" s="67">
        <v>41869</v>
      </c>
      <c r="G5890" s="33" t="s">
        <v>7110</v>
      </c>
      <c r="H5890" s="33" t="s">
        <v>7111</v>
      </c>
      <c r="I5890" s="33" t="s">
        <v>39</v>
      </c>
      <c r="J5890" s="33" t="s">
        <v>7112</v>
      </c>
      <c r="K5890" s="33" t="s">
        <v>92</v>
      </c>
      <c r="L5890" s="33" t="s">
        <v>386</v>
      </c>
      <c r="M5890" s="33" t="s">
        <v>21</v>
      </c>
      <c r="N5890" s="33" t="s">
        <v>7113</v>
      </c>
      <c r="O5890" s="33" t="s">
        <v>950</v>
      </c>
      <c r="P5890" s="33" t="s">
        <v>30089</v>
      </c>
      <c r="Q5890" s="40" t="s">
        <v>7114</v>
      </c>
      <c r="R5890" s="33" t="s">
        <v>94</v>
      </c>
      <c r="S5890" s="33" t="s">
        <v>29</v>
      </c>
      <c r="T5890" s="1" t="s">
        <v>41840</v>
      </c>
      <c r="Z5890" s="33" t="s">
        <v>42966</v>
      </c>
      <c r="AA5890" s="33">
        <v>1776</v>
      </c>
    </row>
    <row r="5891" spans="1:27" ht="12" customHeight="1" x14ac:dyDescent="0.15">
      <c r="A5891" s="33" t="s">
        <v>7120</v>
      </c>
      <c r="B5891" s="33">
        <v>53</v>
      </c>
      <c r="C5891" s="33" t="s">
        <v>14</v>
      </c>
      <c r="D5891" s="33" t="s">
        <v>31</v>
      </c>
      <c r="F5891" s="67">
        <v>41869</v>
      </c>
      <c r="G5891" s="33" t="s">
        <v>7121</v>
      </c>
      <c r="H5891" s="33" t="s">
        <v>1779</v>
      </c>
      <c r="I5891" s="33" t="s">
        <v>39</v>
      </c>
      <c r="J5891" s="33" t="s">
        <v>7122</v>
      </c>
      <c r="K5891" s="33" t="s">
        <v>7123</v>
      </c>
      <c r="L5891" s="33" t="s">
        <v>1781</v>
      </c>
      <c r="M5891" s="33" t="s">
        <v>21</v>
      </c>
      <c r="N5891" s="33" t="s">
        <v>7124</v>
      </c>
      <c r="O5891" s="33" t="s">
        <v>507</v>
      </c>
      <c r="P5891" s="33" t="s">
        <v>30089</v>
      </c>
      <c r="Q5891" s="40" t="s">
        <v>7125</v>
      </c>
      <c r="R5891" s="33" t="s">
        <v>512</v>
      </c>
      <c r="S5891" s="33" t="s">
        <v>22</v>
      </c>
      <c r="T5891" s="1" t="s">
        <v>26774</v>
      </c>
      <c r="Z5891" s="33" t="s">
        <v>42968</v>
      </c>
      <c r="AA5891" s="33">
        <v>1775</v>
      </c>
    </row>
    <row r="5892" spans="1:27" ht="12" customHeight="1" x14ac:dyDescent="0.15">
      <c r="A5892" s="33" t="s">
        <v>7126</v>
      </c>
      <c r="B5892" s="33">
        <v>44</v>
      </c>
      <c r="C5892" s="33" t="s">
        <v>14</v>
      </c>
      <c r="D5892" s="33" t="s">
        <v>79</v>
      </c>
      <c r="F5892" s="67">
        <v>41868</v>
      </c>
      <c r="G5892" s="33" t="s">
        <v>7127</v>
      </c>
      <c r="H5892" s="33" t="s">
        <v>532</v>
      </c>
      <c r="I5892" s="33" t="s">
        <v>67</v>
      </c>
      <c r="J5892" s="33" t="s">
        <v>2781</v>
      </c>
      <c r="K5892" s="33" t="s">
        <v>533</v>
      </c>
      <c r="L5892" s="33" t="s">
        <v>534</v>
      </c>
      <c r="M5892" s="33" t="s">
        <v>363</v>
      </c>
      <c r="N5892" s="33" t="s">
        <v>7128</v>
      </c>
      <c r="O5892" s="33" t="s">
        <v>4311</v>
      </c>
      <c r="P5892" s="33" t="s">
        <v>30089</v>
      </c>
      <c r="Q5892" s="40" t="s">
        <v>7129</v>
      </c>
      <c r="R5892" s="33" t="s">
        <v>94</v>
      </c>
      <c r="S5892" s="33" t="s">
        <v>12</v>
      </c>
      <c r="T5892" s="54" t="s">
        <v>29705</v>
      </c>
      <c r="Z5892" s="33" t="s">
        <v>42968</v>
      </c>
      <c r="AA5892" s="33">
        <v>1773</v>
      </c>
    </row>
    <row r="5893" spans="1:27" ht="12" customHeight="1" x14ac:dyDescent="0.15">
      <c r="A5893" s="33" t="s">
        <v>7130</v>
      </c>
      <c r="B5893" s="33">
        <v>52</v>
      </c>
      <c r="C5893" s="33" t="s">
        <v>14</v>
      </c>
      <c r="D5893" s="33" t="s">
        <v>31</v>
      </c>
      <c r="E5893" s="33" t="s">
        <v>7131</v>
      </c>
      <c r="F5893" s="67">
        <v>41868</v>
      </c>
      <c r="G5893" s="33" t="s">
        <v>7132</v>
      </c>
      <c r="H5893" s="33" t="s">
        <v>7133</v>
      </c>
      <c r="I5893" s="33" t="s">
        <v>4034</v>
      </c>
      <c r="J5893" s="33" t="s">
        <v>7134</v>
      </c>
      <c r="K5893" s="33" t="s">
        <v>7135</v>
      </c>
      <c r="L5893" s="33" t="s">
        <v>4037</v>
      </c>
      <c r="M5893" s="33" t="s">
        <v>21</v>
      </c>
      <c r="N5893" s="33" t="s">
        <v>7136</v>
      </c>
      <c r="O5893" s="33" t="s">
        <v>950</v>
      </c>
      <c r="P5893" s="33" t="s">
        <v>30089</v>
      </c>
      <c r="Q5893" s="40" t="s">
        <v>7137</v>
      </c>
      <c r="R5893" s="33" t="s">
        <v>94</v>
      </c>
      <c r="S5893" s="33" t="s">
        <v>22</v>
      </c>
      <c r="T5893" s="1" t="s">
        <v>26781</v>
      </c>
      <c r="Z5893" s="33" t="s">
        <v>42967</v>
      </c>
      <c r="AA5893" s="33">
        <v>1772</v>
      </c>
    </row>
    <row r="5894" spans="1:27" ht="12" customHeight="1" x14ac:dyDescent="0.15">
      <c r="A5894" s="33" t="s">
        <v>7138</v>
      </c>
      <c r="B5894" s="33">
        <v>38</v>
      </c>
      <c r="C5894" s="33" t="s">
        <v>14</v>
      </c>
      <c r="D5894" s="33" t="s">
        <v>79</v>
      </c>
      <c r="F5894" s="67">
        <v>41867</v>
      </c>
      <c r="G5894" s="33" t="s">
        <v>7139</v>
      </c>
      <c r="H5894" s="33" t="s">
        <v>7140</v>
      </c>
      <c r="I5894" s="33" t="s">
        <v>46</v>
      </c>
      <c r="J5894" s="33" t="s">
        <v>7141</v>
      </c>
      <c r="K5894" s="33" t="s">
        <v>2210</v>
      </c>
      <c r="L5894" s="33" t="s">
        <v>7142</v>
      </c>
      <c r="M5894" s="33" t="s">
        <v>21</v>
      </c>
      <c r="N5894" s="33" t="s">
        <v>7143</v>
      </c>
      <c r="O5894" s="33" t="s">
        <v>950</v>
      </c>
      <c r="P5894" s="33" t="s">
        <v>30089</v>
      </c>
      <c r="Q5894" s="40" t="s">
        <v>7144</v>
      </c>
      <c r="R5894" s="33" t="s">
        <v>94</v>
      </c>
      <c r="S5894" s="33" t="s">
        <v>22</v>
      </c>
      <c r="T5894" s="1" t="s">
        <v>26781</v>
      </c>
      <c r="Z5894" s="33" t="s">
        <v>42968</v>
      </c>
      <c r="AA5894" s="33">
        <v>1771</v>
      </c>
    </row>
    <row r="5895" spans="1:27" ht="12" customHeight="1" x14ac:dyDescent="0.15">
      <c r="A5895" s="33" t="s">
        <v>7145</v>
      </c>
      <c r="B5895" s="33">
        <v>28</v>
      </c>
      <c r="C5895" s="33" t="s">
        <v>14</v>
      </c>
      <c r="D5895" s="33" t="s">
        <v>31</v>
      </c>
      <c r="E5895" s="33" t="s">
        <v>7146</v>
      </c>
      <c r="F5895" s="67">
        <v>41866</v>
      </c>
      <c r="G5895" s="33" t="s">
        <v>7147</v>
      </c>
      <c r="H5895" s="33" t="s">
        <v>359</v>
      </c>
      <c r="I5895" s="33" t="s">
        <v>298</v>
      </c>
      <c r="J5895" s="33" t="s">
        <v>7148</v>
      </c>
      <c r="K5895" s="33" t="s">
        <v>2476</v>
      </c>
      <c r="L5895" s="33" t="s">
        <v>7149</v>
      </c>
      <c r="M5895" s="33" t="s">
        <v>21</v>
      </c>
      <c r="N5895" s="33" t="s">
        <v>7150</v>
      </c>
      <c r="O5895" s="33" t="s">
        <v>950</v>
      </c>
      <c r="P5895" s="33" t="s">
        <v>30089</v>
      </c>
      <c r="Q5895" s="40" t="s">
        <v>7151</v>
      </c>
      <c r="R5895" s="33" t="s">
        <v>512</v>
      </c>
      <c r="S5895" s="33" t="s">
        <v>12</v>
      </c>
      <c r="T5895" s="54" t="s">
        <v>29705</v>
      </c>
      <c r="Z5895" s="33" t="s">
        <v>42968</v>
      </c>
      <c r="AA5895" s="33">
        <v>1770</v>
      </c>
    </row>
    <row r="5896" spans="1:27" ht="12" customHeight="1" x14ac:dyDescent="0.15">
      <c r="A5896" s="33" t="s">
        <v>7153</v>
      </c>
      <c r="B5896" s="33">
        <v>50</v>
      </c>
      <c r="C5896" s="33" t="s">
        <v>103</v>
      </c>
      <c r="D5896" s="33" t="s">
        <v>79</v>
      </c>
      <c r="E5896" s="33" t="s">
        <v>7154</v>
      </c>
      <c r="F5896" s="67">
        <v>41865</v>
      </c>
      <c r="G5896" s="33" t="s">
        <v>7155</v>
      </c>
      <c r="H5896" s="33" t="s">
        <v>584</v>
      </c>
      <c r="I5896" s="33" t="s">
        <v>112</v>
      </c>
      <c r="J5896" s="33" t="s">
        <v>7156</v>
      </c>
      <c r="K5896" s="33" t="s">
        <v>585</v>
      </c>
      <c r="L5896" s="33" t="s">
        <v>586</v>
      </c>
      <c r="M5896" s="33" t="s">
        <v>21</v>
      </c>
      <c r="N5896" s="33" t="s">
        <v>7157</v>
      </c>
      <c r="O5896" s="33" t="s">
        <v>372</v>
      </c>
      <c r="P5896" s="33" t="s">
        <v>30089</v>
      </c>
      <c r="Q5896" s="40" t="s">
        <v>7158</v>
      </c>
      <c r="R5896" s="33" t="s">
        <v>512</v>
      </c>
      <c r="S5896" s="33" t="s">
        <v>22</v>
      </c>
      <c r="T5896" s="1" t="s">
        <v>43014</v>
      </c>
      <c r="Z5896" s="33" t="s">
        <v>42966</v>
      </c>
      <c r="AA5896" s="33">
        <v>1767</v>
      </c>
    </row>
    <row r="5897" spans="1:27" ht="12" customHeight="1" x14ac:dyDescent="0.15">
      <c r="A5897" s="33" t="s">
        <v>7159</v>
      </c>
      <c r="B5897" s="33">
        <v>19</v>
      </c>
      <c r="C5897" s="33" t="s">
        <v>103</v>
      </c>
      <c r="D5897" s="33" t="s">
        <v>31</v>
      </c>
      <c r="E5897" s="33" t="s">
        <v>7160</v>
      </c>
      <c r="F5897" s="67">
        <v>41865</v>
      </c>
      <c r="G5897" s="33" t="s">
        <v>7161</v>
      </c>
      <c r="H5897" s="33" t="s">
        <v>560</v>
      </c>
      <c r="I5897" s="33" t="s">
        <v>39</v>
      </c>
      <c r="J5897" s="33" t="s">
        <v>7162</v>
      </c>
      <c r="K5897" s="33" t="s">
        <v>561</v>
      </c>
      <c r="L5897" s="33" t="s">
        <v>678</v>
      </c>
      <c r="M5897" s="33" t="s">
        <v>21</v>
      </c>
      <c r="N5897" s="33" t="s">
        <v>19206</v>
      </c>
      <c r="O5897" s="33" t="s">
        <v>950</v>
      </c>
      <c r="P5897" s="33" t="s">
        <v>30089</v>
      </c>
      <c r="Q5897" s="40" t="s">
        <v>7163</v>
      </c>
      <c r="R5897" s="33" t="s">
        <v>512</v>
      </c>
      <c r="S5897" s="1" t="s">
        <v>29</v>
      </c>
      <c r="T5897" s="33" t="s">
        <v>26617</v>
      </c>
      <c r="Z5897" s="33" t="s">
        <v>42966</v>
      </c>
      <c r="AA5897" s="33">
        <v>1768</v>
      </c>
    </row>
    <row r="5898" spans="1:27" ht="12" customHeight="1" x14ac:dyDescent="0.15">
      <c r="A5898" s="33" t="s">
        <v>7164</v>
      </c>
      <c r="B5898" s="33">
        <v>52</v>
      </c>
      <c r="C5898" s="33" t="s">
        <v>14</v>
      </c>
      <c r="D5898" s="33" t="s">
        <v>31</v>
      </c>
      <c r="E5898" s="33" t="s">
        <v>7165</v>
      </c>
      <c r="F5898" s="67">
        <v>41865</v>
      </c>
      <c r="G5898" s="33" t="s">
        <v>7166</v>
      </c>
      <c r="H5898" s="33" t="s">
        <v>1249</v>
      </c>
      <c r="I5898" s="33" t="s">
        <v>337</v>
      </c>
      <c r="J5898" s="33" t="s">
        <v>7167</v>
      </c>
      <c r="K5898" s="33" t="s">
        <v>2138</v>
      </c>
      <c r="L5898" s="33" t="s">
        <v>7168</v>
      </c>
      <c r="M5898" s="33" t="s">
        <v>21</v>
      </c>
      <c r="N5898" s="33" t="s">
        <v>7169</v>
      </c>
      <c r="O5898" s="33" t="s">
        <v>23</v>
      </c>
      <c r="P5898" s="33" t="s">
        <v>30089</v>
      </c>
      <c r="Q5898" s="40" t="s">
        <v>7170</v>
      </c>
      <c r="R5898" s="33" t="s">
        <v>23</v>
      </c>
      <c r="S5898" s="33" t="s">
        <v>22</v>
      </c>
      <c r="T5898" s="1" t="s">
        <v>26774</v>
      </c>
      <c r="Z5898" s="33" t="s">
        <v>42968</v>
      </c>
      <c r="AA5898" s="33">
        <v>1769</v>
      </c>
    </row>
    <row r="5899" spans="1:27" ht="12" customHeight="1" x14ac:dyDescent="0.15">
      <c r="A5899" s="33" t="s">
        <v>7192</v>
      </c>
      <c r="B5899" s="33">
        <v>61</v>
      </c>
      <c r="C5899" s="33" t="s">
        <v>14</v>
      </c>
      <c r="D5899" s="33" t="s">
        <v>31</v>
      </c>
      <c r="E5899" s="33" t="s">
        <v>7193</v>
      </c>
      <c r="F5899" s="67">
        <v>41864</v>
      </c>
      <c r="G5899" s="33" t="s">
        <v>7194</v>
      </c>
      <c r="H5899" s="33" t="s">
        <v>6438</v>
      </c>
      <c r="I5899" s="33" t="s">
        <v>342</v>
      </c>
      <c r="J5899" s="33" t="s">
        <v>6439</v>
      </c>
      <c r="K5899" s="33" t="s">
        <v>6440</v>
      </c>
      <c r="L5899" s="33" t="s">
        <v>6441</v>
      </c>
      <c r="M5899" s="33" t="s">
        <v>21</v>
      </c>
      <c r="N5899" s="33" t="s">
        <v>7195</v>
      </c>
      <c r="O5899" s="33" t="s">
        <v>23</v>
      </c>
      <c r="P5899" s="33" t="s">
        <v>30089</v>
      </c>
      <c r="Q5899" s="40" t="s">
        <v>7196</v>
      </c>
      <c r="R5899" s="33" t="s">
        <v>512</v>
      </c>
      <c r="S5899" s="33" t="s">
        <v>22</v>
      </c>
      <c r="T5899" s="1" t="s">
        <v>26774</v>
      </c>
      <c r="Z5899" s="33" t="s">
        <v>42966</v>
      </c>
      <c r="AA5899" s="33">
        <v>1765</v>
      </c>
    </row>
    <row r="5900" spans="1:27" ht="12" customHeight="1" x14ac:dyDescent="0.15">
      <c r="A5900" s="33" t="s">
        <v>7184</v>
      </c>
      <c r="B5900" s="33">
        <v>21</v>
      </c>
      <c r="C5900" s="33" t="s">
        <v>14</v>
      </c>
      <c r="D5900" s="33" t="s">
        <v>42</v>
      </c>
      <c r="F5900" s="67">
        <v>41864</v>
      </c>
      <c r="G5900" s="33" t="s">
        <v>7185</v>
      </c>
      <c r="H5900" s="33" t="s">
        <v>1592</v>
      </c>
      <c r="I5900" s="33" t="s">
        <v>192</v>
      </c>
      <c r="J5900" s="33" t="s">
        <v>1593</v>
      </c>
      <c r="K5900" s="33" t="s">
        <v>1594</v>
      </c>
      <c r="L5900" s="33" t="s">
        <v>1595</v>
      </c>
      <c r="M5900" s="33" t="s">
        <v>21</v>
      </c>
      <c r="N5900" s="33" t="s">
        <v>7186</v>
      </c>
      <c r="O5900" s="33" t="s">
        <v>950</v>
      </c>
      <c r="P5900" s="33" t="s">
        <v>30089</v>
      </c>
      <c r="Q5900" s="40" t="str">
        <f>HYPERLINK("http://www.9news.com/story/news/crime/2014/08/13/greeley-officer-involved-shoot-veteran-shoot-out-call/14006469/","http://www.9news.com/story/news/crime/2014/08/13/greeley-officer-involved-shoot-veteran-shoot-out-call/14006469/")</f>
        <v>http://www.9news.com/story/news/crime/2014/08/13/greeley-officer-involved-shoot-veteran-shoot-out-call/14006469/</v>
      </c>
      <c r="R5900" s="33" t="s">
        <v>512</v>
      </c>
      <c r="S5900" s="33" t="s">
        <v>29</v>
      </c>
      <c r="T5900" s="33" t="s">
        <v>41840</v>
      </c>
      <c r="Z5900" s="33" t="s">
        <v>42968</v>
      </c>
      <c r="AA5900" s="33">
        <v>1766</v>
      </c>
    </row>
    <row r="5901" spans="1:27" ht="12" customHeight="1" x14ac:dyDescent="0.15">
      <c r="A5901" s="33" t="s">
        <v>7197</v>
      </c>
      <c r="B5901" s="33">
        <v>35</v>
      </c>
      <c r="C5901" s="33" t="s">
        <v>14</v>
      </c>
      <c r="D5901" s="33" t="s">
        <v>31</v>
      </c>
      <c r="F5901" s="67">
        <v>41864</v>
      </c>
      <c r="G5901" s="33" t="s">
        <v>7198</v>
      </c>
      <c r="H5901" s="33" t="s">
        <v>87</v>
      </c>
      <c r="I5901" s="33" t="s">
        <v>88</v>
      </c>
      <c r="J5901" s="33" t="s">
        <v>7199</v>
      </c>
      <c r="K5901" s="33" t="s">
        <v>89</v>
      </c>
      <c r="L5901" s="33" t="s">
        <v>7200</v>
      </c>
      <c r="M5901" s="33" t="s">
        <v>21</v>
      </c>
      <c r="N5901" s="33" t="s">
        <v>7201</v>
      </c>
      <c r="O5901" s="33" t="s">
        <v>372</v>
      </c>
      <c r="P5901" s="33" t="s">
        <v>30089</v>
      </c>
      <c r="Q5901" s="40" t="s">
        <v>7202</v>
      </c>
      <c r="R5901" s="33" t="s">
        <v>512</v>
      </c>
      <c r="S5901" s="33" t="s">
        <v>22</v>
      </c>
      <c r="T5901" s="1" t="s">
        <v>26781</v>
      </c>
      <c r="Z5901" s="33" t="s">
        <v>42966</v>
      </c>
      <c r="AA5901" s="33">
        <v>1764</v>
      </c>
    </row>
    <row r="5902" spans="1:27" ht="12" customHeight="1" x14ac:dyDescent="0.15">
      <c r="A5902" s="33" t="s">
        <v>7178</v>
      </c>
      <c r="B5902" s="33">
        <v>40</v>
      </c>
      <c r="C5902" s="33" t="s">
        <v>14</v>
      </c>
      <c r="D5902" s="33" t="s">
        <v>42</v>
      </c>
      <c r="E5902" s="33" t="s">
        <v>7179</v>
      </c>
      <c r="F5902" s="67">
        <v>41864</v>
      </c>
      <c r="G5902" s="33" t="s">
        <v>7180</v>
      </c>
      <c r="H5902" s="33" t="s">
        <v>674</v>
      </c>
      <c r="I5902" s="33" t="s">
        <v>67</v>
      </c>
      <c r="J5902" s="33" t="s">
        <v>7181</v>
      </c>
      <c r="K5902" s="33" t="s">
        <v>515</v>
      </c>
      <c r="L5902" s="33" t="s">
        <v>675</v>
      </c>
      <c r="M5902" s="33" t="s">
        <v>21</v>
      </c>
      <c r="N5902" s="33" t="s">
        <v>7182</v>
      </c>
      <c r="P5902" s="33" t="s">
        <v>30089</v>
      </c>
      <c r="Q5902" s="40" t="s">
        <v>7183</v>
      </c>
      <c r="R5902" s="33" t="s">
        <v>904</v>
      </c>
      <c r="S5902" s="33" t="s">
        <v>22</v>
      </c>
      <c r="T5902" s="1" t="s">
        <v>26781</v>
      </c>
      <c r="Z5902" s="33" t="s">
        <v>42968</v>
      </c>
      <c r="AA5902" s="33">
        <v>1762</v>
      </c>
    </row>
    <row r="5903" spans="1:27" ht="12" customHeight="1" x14ac:dyDescent="0.15">
      <c r="A5903" s="33" t="s">
        <v>7187</v>
      </c>
      <c r="B5903" s="33">
        <v>30</v>
      </c>
      <c r="C5903" s="33" t="s">
        <v>14</v>
      </c>
      <c r="D5903" s="33" t="s">
        <v>42</v>
      </c>
      <c r="E5903" s="33" t="s">
        <v>7188</v>
      </c>
      <c r="F5903" s="67">
        <v>41864</v>
      </c>
      <c r="G5903" s="33" t="s">
        <v>7189</v>
      </c>
      <c r="H5903" s="33" t="s">
        <v>674</v>
      </c>
      <c r="I5903" s="33" t="s">
        <v>67</v>
      </c>
      <c r="J5903" s="33" t="s">
        <v>2690</v>
      </c>
      <c r="K5903" s="33" t="s">
        <v>515</v>
      </c>
      <c r="L5903" s="33" t="s">
        <v>675</v>
      </c>
      <c r="M5903" s="33" t="s">
        <v>21</v>
      </c>
      <c r="N5903" s="33" t="s">
        <v>7190</v>
      </c>
      <c r="O5903" s="33" t="s">
        <v>4311</v>
      </c>
      <c r="P5903" s="33" t="s">
        <v>30089</v>
      </c>
      <c r="Q5903" s="40" t="s">
        <v>7191</v>
      </c>
      <c r="R5903" s="33" t="s">
        <v>94</v>
      </c>
      <c r="S5903" s="33" t="s">
        <v>22</v>
      </c>
      <c r="T5903" s="1" t="s">
        <v>26781</v>
      </c>
      <c r="Z5903" s="33" t="s">
        <v>42966</v>
      </c>
      <c r="AA5903" s="33">
        <v>1763</v>
      </c>
    </row>
    <row r="5904" spans="1:27" ht="12" customHeight="1" x14ac:dyDescent="0.15">
      <c r="A5904" s="33" t="s">
        <v>7171</v>
      </c>
      <c r="B5904" s="33">
        <v>24</v>
      </c>
      <c r="C5904" s="33" t="s">
        <v>14</v>
      </c>
      <c r="D5904" s="33" t="s">
        <v>79</v>
      </c>
      <c r="E5904" s="33" t="s">
        <v>7172</v>
      </c>
      <c r="F5904" s="67">
        <v>41864</v>
      </c>
      <c r="G5904" s="33" t="s">
        <v>7173</v>
      </c>
      <c r="H5904" s="33" t="s">
        <v>7174</v>
      </c>
      <c r="I5904" s="33" t="s">
        <v>56</v>
      </c>
      <c r="J5904" s="33" t="s">
        <v>7175</v>
      </c>
      <c r="K5904" s="33" t="s">
        <v>7176</v>
      </c>
      <c r="L5904" s="33" t="s">
        <v>5161</v>
      </c>
      <c r="M5904" s="33" t="s">
        <v>21</v>
      </c>
      <c r="N5904" s="33" t="s">
        <v>7177</v>
      </c>
      <c r="O5904" s="33" t="s">
        <v>507</v>
      </c>
      <c r="P5904" s="33" t="s">
        <v>30089</v>
      </c>
      <c r="Q5904" s="40" t="s">
        <v>19043</v>
      </c>
      <c r="R5904" s="33" t="s">
        <v>94</v>
      </c>
      <c r="S5904" s="33" t="s">
        <v>12</v>
      </c>
      <c r="T5904" s="54" t="s">
        <v>43029</v>
      </c>
      <c r="Z5904" s="33" t="s">
        <v>42967</v>
      </c>
      <c r="AA5904" s="33">
        <v>1761</v>
      </c>
    </row>
    <row r="5905" spans="1:27" ht="12" customHeight="1" x14ac:dyDescent="0.15">
      <c r="A5905" s="33" t="s">
        <v>7218</v>
      </c>
      <c r="B5905" s="33">
        <v>30</v>
      </c>
      <c r="C5905" s="33" t="s">
        <v>14</v>
      </c>
      <c r="D5905" s="33" t="s">
        <v>128</v>
      </c>
      <c r="F5905" s="67">
        <v>41863</v>
      </c>
      <c r="G5905" s="33" t="s">
        <v>7219</v>
      </c>
      <c r="H5905" s="33" t="s">
        <v>1070</v>
      </c>
      <c r="I5905" s="33" t="s">
        <v>621</v>
      </c>
      <c r="J5905" s="33" t="s">
        <v>7220</v>
      </c>
      <c r="K5905" s="33" t="s">
        <v>7221</v>
      </c>
      <c r="L5905" s="33" t="s">
        <v>7222</v>
      </c>
      <c r="M5905" s="33" t="s">
        <v>21</v>
      </c>
      <c r="N5905" s="33" t="s">
        <v>7223</v>
      </c>
      <c r="O5905" s="33" t="s">
        <v>950</v>
      </c>
      <c r="P5905" s="33" t="s">
        <v>30089</v>
      </c>
      <c r="Q5905" s="40" t="str">
        <f>HYPERLINK("http://neshobademocrat.com/main.asp?SectionID=2&amp;SubSectionID=297&amp;ArticleID=33427","http://neshobademocrat.com/main.asp?SectionID=2&amp;SubSectionID=297&amp;ArticleID=33427")</f>
        <v>http://neshobademocrat.com/main.asp?SectionID=2&amp;SubSectionID=297&amp;ArticleID=33427</v>
      </c>
      <c r="R5905" s="33" t="s">
        <v>23</v>
      </c>
      <c r="S5905" s="33" t="s">
        <v>29</v>
      </c>
      <c r="T5905" s="1" t="s">
        <v>41840</v>
      </c>
      <c r="Z5905" s="33" t="s">
        <v>42967</v>
      </c>
      <c r="AA5905" s="33">
        <v>1760</v>
      </c>
    </row>
    <row r="5906" spans="1:27" ht="12" customHeight="1" x14ac:dyDescent="0.15">
      <c r="A5906" s="33" t="s">
        <v>7224</v>
      </c>
      <c r="B5906" s="33">
        <v>54</v>
      </c>
      <c r="C5906" s="33" t="s">
        <v>14</v>
      </c>
      <c r="D5906" s="33" t="s">
        <v>31</v>
      </c>
      <c r="F5906" s="67">
        <v>41863</v>
      </c>
      <c r="G5906" s="33" t="s">
        <v>7225</v>
      </c>
      <c r="H5906" s="33" t="s">
        <v>7226</v>
      </c>
      <c r="I5906" s="33" t="s">
        <v>51</v>
      </c>
      <c r="J5906" s="33" t="s">
        <v>7227</v>
      </c>
      <c r="K5906" s="33" t="s">
        <v>7228</v>
      </c>
      <c r="L5906" s="33" t="s">
        <v>7229</v>
      </c>
      <c r="M5906" s="33" t="s">
        <v>21</v>
      </c>
      <c r="N5906" s="33" t="s">
        <v>7230</v>
      </c>
      <c r="O5906" s="33" t="s">
        <v>507</v>
      </c>
      <c r="P5906" s="33" t="s">
        <v>30089</v>
      </c>
      <c r="Q5906" s="40" t="s">
        <v>7231</v>
      </c>
      <c r="R5906" s="33" t="s">
        <v>512</v>
      </c>
      <c r="S5906" s="33" t="s">
        <v>22</v>
      </c>
      <c r="T5906" s="1" t="s">
        <v>26781</v>
      </c>
      <c r="Z5906" s="33" t="s">
        <v>42967</v>
      </c>
      <c r="AA5906" s="33">
        <v>1758</v>
      </c>
    </row>
    <row r="5907" spans="1:27" ht="12" customHeight="1" x14ac:dyDescent="0.15">
      <c r="A5907" s="33" t="s">
        <v>7211</v>
      </c>
      <c r="B5907" s="33">
        <v>22</v>
      </c>
      <c r="C5907" s="33" t="s">
        <v>14</v>
      </c>
      <c r="D5907" s="33" t="s">
        <v>42</v>
      </c>
      <c r="E5907" s="33" t="s">
        <v>7212</v>
      </c>
      <c r="F5907" s="67">
        <v>41863</v>
      </c>
      <c r="G5907" s="33" t="s">
        <v>7213</v>
      </c>
      <c r="H5907" s="33" t="s">
        <v>7214</v>
      </c>
      <c r="I5907" s="33" t="s">
        <v>39</v>
      </c>
      <c r="J5907" s="33" t="s">
        <v>7215</v>
      </c>
      <c r="K5907" s="33" t="s">
        <v>92</v>
      </c>
      <c r="L5907" s="33" t="s">
        <v>93</v>
      </c>
      <c r="M5907" s="33" t="s">
        <v>21</v>
      </c>
      <c r="N5907" s="33" t="s">
        <v>7216</v>
      </c>
      <c r="O5907" s="33" t="s">
        <v>4311</v>
      </c>
      <c r="P5907" s="33" t="s">
        <v>30089</v>
      </c>
      <c r="Q5907" s="40" t="s">
        <v>7217</v>
      </c>
      <c r="R5907" s="33" t="s">
        <v>94</v>
      </c>
      <c r="S5907" s="33" t="s">
        <v>22</v>
      </c>
      <c r="T5907" s="1" t="s">
        <v>26781</v>
      </c>
      <c r="Z5907" s="33" t="s">
        <v>42966</v>
      </c>
      <c r="AA5907" s="33">
        <v>1757</v>
      </c>
    </row>
    <row r="5908" spans="1:27" ht="12" customHeight="1" x14ac:dyDescent="0.15">
      <c r="A5908" s="33" t="s">
        <v>7203</v>
      </c>
      <c r="B5908" s="33">
        <v>36</v>
      </c>
      <c r="C5908" s="33" t="s">
        <v>14</v>
      </c>
      <c r="D5908" s="33" t="s">
        <v>79</v>
      </c>
      <c r="E5908" s="33" t="s">
        <v>7204</v>
      </c>
      <c r="F5908" s="67">
        <v>41863</v>
      </c>
      <c r="G5908" s="33" t="s">
        <v>7205</v>
      </c>
      <c r="H5908" s="33" t="s">
        <v>7206</v>
      </c>
      <c r="I5908" s="33" t="s">
        <v>39</v>
      </c>
      <c r="J5908" s="33" t="s">
        <v>7207</v>
      </c>
      <c r="K5908" s="33" t="s">
        <v>288</v>
      </c>
      <c r="L5908" s="33" t="s">
        <v>7208</v>
      </c>
      <c r="M5908" s="33" t="s">
        <v>363</v>
      </c>
      <c r="N5908" s="33" t="s">
        <v>7209</v>
      </c>
      <c r="O5908" s="33" t="s">
        <v>950</v>
      </c>
      <c r="P5908" s="33" t="s">
        <v>30089</v>
      </c>
      <c r="Q5908" s="40" t="s">
        <v>7210</v>
      </c>
      <c r="R5908" s="33" t="s">
        <v>94</v>
      </c>
      <c r="S5908" s="33" t="s">
        <v>12</v>
      </c>
      <c r="T5908" s="54" t="s">
        <v>29705</v>
      </c>
      <c r="Z5908" s="33" t="s">
        <v>42968</v>
      </c>
      <c r="AA5908" s="33">
        <v>1759</v>
      </c>
    </row>
    <row r="5909" spans="1:27" ht="12" customHeight="1" x14ac:dyDescent="0.15">
      <c r="A5909" s="33" t="s">
        <v>7259</v>
      </c>
      <c r="B5909" s="33">
        <v>18</v>
      </c>
      <c r="C5909" s="33" t="s">
        <v>14</v>
      </c>
      <c r="D5909" s="33" t="s">
        <v>42</v>
      </c>
      <c r="F5909" s="67">
        <v>41862</v>
      </c>
      <c r="G5909" s="33" t="s">
        <v>7260</v>
      </c>
      <c r="H5909" s="33" t="s">
        <v>266</v>
      </c>
      <c r="I5909" s="33" t="s">
        <v>67</v>
      </c>
      <c r="J5909" s="33" t="s">
        <v>7261</v>
      </c>
      <c r="K5909" s="33" t="s">
        <v>266</v>
      </c>
      <c r="L5909" s="33" t="s">
        <v>267</v>
      </c>
      <c r="M5909" s="33" t="s">
        <v>21</v>
      </c>
      <c r="N5909" s="33" t="s">
        <v>7262</v>
      </c>
      <c r="O5909" s="33" t="s">
        <v>4311</v>
      </c>
      <c r="P5909" s="33" t="s">
        <v>30089</v>
      </c>
      <c r="Q5909" s="40" t="s">
        <v>7263</v>
      </c>
      <c r="R5909" s="33" t="s">
        <v>94</v>
      </c>
      <c r="S5909" s="33" t="s">
        <v>22</v>
      </c>
      <c r="T5909" s="1" t="s">
        <v>26774</v>
      </c>
      <c r="Z5909" s="33" t="s">
        <v>42968</v>
      </c>
      <c r="AA5909" s="33">
        <v>1753</v>
      </c>
    </row>
    <row r="5910" spans="1:27" ht="12" customHeight="1" x14ac:dyDescent="0.15">
      <c r="A5910" s="33" t="s">
        <v>7264</v>
      </c>
      <c r="B5910" s="33">
        <v>53</v>
      </c>
      <c r="C5910" s="33" t="s">
        <v>14</v>
      </c>
      <c r="D5910" s="33" t="s">
        <v>24</v>
      </c>
      <c r="F5910" s="67">
        <v>41862</v>
      </c>
      <c r="G5910" s="33" t="s">
        <v>7265</v>
      </c>
      <c r="H5910" s="33" t="s">
        <v>7266</v>
      </c>
      <c r="I5910" s="33" t="s">
        <v>19</v>
      </c>
      <c r="J5910" s="33" t="s">
        <v>7267</v>
      </c>
      <c r="K5910" s="33" t="s">
        <v>7268</v>
      </c>
      <c r="L5910" s="33" t="s">
        <v>7269</v>
      </c>
      <c r="M5910" s="33" t="s">
        <v>21</v>
      </c>
      <c r="N5910" s="33" t="s">
        <v>7270</v>
      </c>
      <c r="O5910" s="33" t="s">
        <v>950</v>
      </c>
      <c r="P5910" s="33" t="s">
        <v>30089</v>
      </c>
      <c r="Q5910" s="40" t="str">
        <f>HYPERLINK("http://kpel965.com/la-state-police-handling-shooting-involving-crowley-police-officers/","http://kpel965.com/la-state-police-handling-shooting-involving-crowley-police-officers/")</f>
        <v>http://kpel965.com/la-state-police-handling-shooting-involving-crowley-police-officers/</v>
      </c>
      <c r="R5910" s="33" t="s">
        <v>94</v>
      </c>
      <c r="S5910" s="33" t="s">
        <v>22</v>
      </c>
      <c r="T5910" s="1" t="s">
        <v>26781</v>
      </c>
      <c r="Z5910" s="33" t="s">
        <v>42967</v>
      </c>
      <c r="AA5910" s="33">
        <v>1752</v>
      </c>
    </row>
    <row r="5911" spans="1:27" ht="12" customHeight="1" x14ac:dyDescent="0.15">
      <c r="A5911" s="33" t="s">
        <v>7232</v>
      </c>
      <c r="B5911" s="33">
        <v>27</v>
      </c>
      <c r="C5911" s="33" t="s">
        <v>14</v>
      </c>
      <c r="D5911" s="33" t="s">
        <v>79</v>
      </c>
      <c r="E5911" s="33" t="str">
        <f>HYPERLINK("http://kbmt.images.worldnow.com/images/4452029_G.jpg","http://kbmt.images.worldnow.com/images/4452029_G.jpg")</f>
        <v>http://kbmt.images.worldnow.com/images/4452029_G.jpg</v>
      </c>
      <c r="F5911" s="67">
        <v>41862</v>
      </c>
      <c r="G5911" s="33" t="s">
        <v>7233</v>
      </c>
      <c r="H5911" s="33" t="s">
        <v>7234</v>
      </c>
      <c r="I5911" s="33" t="s">
        <v>67</v>
      </c>
      <c r="J5911" s="33">
        <v>77640</v>
      </c>
      <c r="K5911" s="33" t="s">
        <v>1659</v>
      </c>
      <c r="L5911" s="33" t="s">
        <v>7235</v>
      </c>
      <c r="M5911" s="33" t="s">
        <v>363</v>
      </c>
      <c r="N5911" s="33" t="s">
        <v>7236</v>
      </c>
      <c r="O5911" s="33" t="s">
        <v>372</v>
      </c>
      <c r="P5911" s="33" t="s">
        <v>30089</v>
      </c>
      <c r="Q5911" s="40" t="str">
        <f>HYPERLINK("http://www.12newsnow.com/story/26251863/family-seeks-answers-after-police-release-unconscious-man-who-died-moments-later","http://www.12newsnow.com/story/26251863/family-seeks-answers-after-police-release-unconscious-man-who-died-moments-later")</f>
        <v>http://www.12newsnow.com/story/26251863/family-seeks-answers-after-police-release-unconscious-man-who-died-moments-later</v>
      </c>
      <c r="R5911" s="33" t="s">
        <v>904</v>
      </c>
      <c r="S5911" s="33" t="s">
        <v>12</v>
      </c>
      <c r="T5911" s="54" t="s">
        <v>29705</v>
      </c>
      <c r="Z5911" s="33" t="s">
        <v>42966</v>
      </c>
      <c r="AA5911" s="33">
        <v>1756</v>
      </c>
    </row>
    <row r="5912" spans="1:27" ht="12" customHeight="1" x14ac:dyDescent="0.15">
      <c r="A5912" s="33" t="s">
        <v>7253</v>
      </c>
      <c r="B5912" s="33">
        <v>67</v>
      </c>
      <c r="C5912" s="33" t="s">
        <v>14</v>
      </c>
      <c r="D5912" s="33" t="s">
        <v>79</v>
      </c>
      <c r="E5912" s="33" t="s">
        <v>7254</v>
      </c>
      <c r="F5912" s="67">
        <v>41862</v>
      </c>
      <c r="G5912" s="33" t="s">
        <v>7255</v>
      </c>
      <c r="H5912" s="33" t="s">
        <v>1218</v>
      </c>
      <c r="I5912" s="33" t="s">
        <v>67</v>
      </c>
      <c r="J5912" s="33" t="s">
        <v>7256</v>
      </c>
      <c r="K5912" s="33" t="s">
        <v>5023</v>
      </c>
      <c r="L5912" s="33" t="s">
        <v>7257</v>
      </c>
      <c r="M5912" s="33" t="s">
        <v>21</v>
      </c>
      <c r="N5912" s="33" t="s">
        <v>7258</v>
      </c>
      <c r="O5912" s="33" t="s">
        <v>23</v>
      </c>
      <c r="P5912" s="33" t="s">
        <v>30089</v>
      </c>
      <c r="Q5912" s="40" t="str">
        <f>HYPERLINK("http://www.arklatexhomepage.com/story/d/story/man-killed-in-overnight-shooting-has-been-identifi/42931/M-T9-BnlDEKC3eIlvgv1Xg","http://www.arklatexhomepage.com/story/d/story/man-killed-in-overnight-shooting-has-been-identifi/42931/M-T9-BnlDEKC3eIlvgv1Xg")</f>
        <v>http://www.arklatexhomepage.com/story/d/story/man-killed-in-overnight-shooting-has-been-identifi/42931/M-T9-BnlDEKC3eIlvgv1Xg</v>
      </c>
      <c r="R5912" s="33" t="s">
        <v>23</v>
      </c>
      <c r="S5912" s="33" t="s">
        <v>22</v>
      </c>
      <c r="T5912" s="1" t="s">
        <v>26781</v>
      </c>
      <c r="Z5912" s="33" t="s">
        <v>42967</v>
      </c>
      <c r="AA5912" s="33">
        <v>1750</v>
      </c>
    </row>
    <row r="5913" spans="1:27" ht="12" customHeight="1" x14ac:dyDescent="0.15">
      <c r="A5913" s="33" t="s">
        <v>7237</v>
      </c>
      <c r="B5913" s="33">
        <v>25</v>
      </c>
      <c r="C5913" s="33" t="s">
        <v>14</v>
      </c>
      <c r="D5913" s="33" t="s">
        <v>79</v>
      </c>
      <c r="E5913" s="33" t="s">
        <v>7238</v>
      </c>
      <c r="F5913" s="67">
        <v>41862</v>
      </c>
      <c r="G5913" s="33" t="s">
        <v>7239</v>
      </c>
      <c r="H5913" s="33" t="s">
        <v>92</v>
      </c>
      <c r="I5913" s="33" t="s">
        <v>39</v>
      </c>
      <c r="J5913" s="33" t="s">
        <v>7240</v>
      </c>
      <c r="K5913" s="33" t="s">
        <v>92</v>
      </c>
      <c r="L5913" s="33" t="s">
        <v>93</v>
      </c>
      <c r="M5913" s="33" t="s">
        <v>21</v>
      </c>
      <c r="N5913" s="33" t="s">
        <v>7241</v>
      </c>
      <c r="O5913" s="33" t="s">
        <v>4311</v>
      </c>
      <c r="P5913" s="33" t="s">
        <v>30089</v>
      </c>
      <c r="Q5913" s="40" t="s">
        <v>7242</v>
      </c>
      <c r="R5913" s="33" t="s">
        <v>512</v>
      </c>
      <c r="S5913" s="33" t="s">
        <v>12</v>
      </c>
      <c r="T5913" s="54" t="s">
        <v>29705</v>
      </c>
      <c r="Z5913" s="33" t="s">
        <v>42966</v>
      </c>
      <c r="AA5913" s="33">
        <v>1754</v>
      </c>
    </row>
    <row r="5914" spans="1:27" ht="12" customHeight="1" x14ac:dyDescent="0.15">
      <c r="A5914" s="33" t="s">
        <v>7245</v>
      </c>
      <c r="B5914" s="33">
        <v>52</v>
      </c>
      <c r="C5914" s="33" t="s">
        <v>14</v>
      </c>
      <c r="D5914" s="33" t="s">
        <v>79</v>
      </c>
      <c r="E5914" s="33" t="s">
        <v>7246</v>
      </c>
      <c r="F5914" s="67">
        <v>41862</v>
      </c>
      <c r="G5914" s="33" t="s">
        <v>7247</v>
      </c>
      <c r="H5914" s="33" t="s">
        <v>7248</v>
      </c>
      <c r="I5914" s="33" t="s">
        <v>621</v>
      </c>
      <c r="J5914" s="33" t="s">
        <v>7249</v>
      </c>
      <c r="K5914" s="33" t="s">
        <v>2014</v>
      </c>
      <c r="L5914" s="33" t="s">
        <v>7250</v>
      </c>
      <c r="M5914" s="33" t="s">
        <v>21</v>
      </c>
      <c r="N5914" s="33" t="s">
        <v>7251</v>
      </c>
      <c r="O5914" s="33" t="s">
        <v>950</v>
      </c>
      <c r="P5914" s="33" t="s">
        <v>30089</v>
      </c>
      <c r="Q5914" s="40" t="s">
        <v>7252</v>
      </c>
      <c r="R5914" s="33" t="s">
        <v>94</v>
      </c>
      <c r="S5914" s="33" t="s">
        <v>22</v>
      </c>
      <c r="T5914" s="1" t="s">
        <v>26781</v>
      </c>
      <c r="Z5914" s="33" t="s">
        <v>42967</v>
      </c>
      <c r="AA5914" s="33">
        <v>1751</v>
      </c>
    </row>
    <row r="5915" spans="1:27" ht="12" customHeight="1" x14ac:dyDescent="0.15">
      <c r="A5915" s="33" t="s">
        <v>7271</v>
      </c>
      <c r="B5915" s="33">
        <v>26</v>
      </c>
      <c r="C5915" s="33" t="s">
        <v>14</v>
      </c>
      <c r="D5915" s="33" t="s">
        <v>31</v>
      </c>
      <c r="E5915" s="33" t="s">
        <v>7272</v>
      </c>
      <c r="F5915" s="67">
        <v>41862</v>
      </c>
      <c r="G5915" s="33" t="s">
        <v>7273</v>
      </c>
      <c r="H5915" s="33" t="s">
        <v>266</v>
      </c>
      <c r="I5915" s="33" t="s">
        <v>67</v>
      </c>
      <c r="J5915" s="33" t="s">
        <v>7274</v>
      </c>
      <c r="K5915" s="33" t="s">
        <v>266</v>
      </c>
      <c r="L5915" s="33" t="s">
        <v>267</v>
      </c>
      <c r="M5915" s="33" t="s">
        <v>21</v>
      </c>
      <c r="N5915" s="33" t="s">
        <v>7275</v>
      </c>
      <c r="O5915" s="33" t="s">
        <v>23</v>
      </c>
      <c r="P5915" s="33" t="s">
        <v>30089</v>
      </c>
      <c r="Q5915" s="40" t="s">
        <v>7276</v>
      </c>
      <c r="R5915" s="33" t="s">
        <v>512</v>
      </c>
      <c r="S5915" s="33" t="s">
        <v>12</v>
      </c>
      <c r="T5915" s="54" t="s">
        <v>29705</v>
      </c>
      <c r="Z5915" s="33" t="s">
        <v>42966</v>
      </c>
      <c r="AA5915" s="33">
        <v>1755</v>
      </c>
    </row>
    <row r="5916" spans="1:27" ht="12" customHeight="1" x14ac:dyDescent="0.15">
      <c r="A5916" s="33" t="s">
        <v>7278</v>
      </c>
      <c r="B5916" s="33">
        <v>45</v>
      </c>
      <c r="C5916" s="33" t="s">
        <v>14</v>
      </c>
      <c r="D5916" s="33" t="s">
        <v>31</v>
      </c>
      <c r="F5916" s="67">
        <v>41861</v>
      </c>
      <c r="G5916" s="33" t="s">
        <v>7279</v>
      </c>
      <c r="H5916" s="33" t="s">
        <v>7280</v>
      </c>
      <c r="I5916" s="33" t="s">
        <v>282</v>
      </c>
      <c r="J5916" s="33" t="s">
        <v>7281</v>
      </c>
      <c r="K5916" s="33" t="s">
        <v>1133</v>
      </c>
      <c r="L5916" s="33" t="s">
        <v>7282</v>
      </c>
      <c r="M5916" s="33" t="s">
        <v>21</v>
      </c>
      <c r="N5916" s="33" t="s">
        <v>7283</v>
      </c>
      <c r="O5916" s="33" t="s">
        <v>4311</v>
      </c>
      <c r="P5916" s="33" t="s">
        <v>30089</v>
      </c>
      <c r="Q5916" s="40" t="s">
        <v>7284</v>
      </c>
      <c r="R5916" s="33" t="s">
        <v>904</v>
      </c>
      <c r="S5916" s="33" t="s">
        <v>22</v>
      </c>
      <c r="T5916" s="1" t="s">
        <v>26781</v>
      </c>
      <c r="Z5916" s="33" t="s">
        <v>42968</v>
      </c>
      <c r="AA5916" s="33">
        <v>1747</v>
      </c>
    </row>
    <row r="5917" spans="1:27" ht="12" customHeight="1" x14ac:dyDescent="0.15">
      <c r="A5917" s="33" t="s">
        <v>7293</v>
      </c>
      <c r="B5917" s="33">
        <v>51</v>
      </c>
      <c r="C5917" s="33" t="s">
        <v>14</v>
      </c>
      <c r="D5917" s="33" t="s">
        <v>31</v>
      </c>
      <c r="E5917" s="33" t="s">
        <v>7294</v>
      </c>
      <c r="F5917" s="67">
        <v>41861</v>
      </c>
      <c r="G5917" s="33" t="s">
        <v>7287</v>
      </c>
      <c r="H5917" s="33" t="s">
        <v>7288</v>
      </c>
      <c r="I5917" s="33" t="s">
        <v>395</v>
      </c>
      <c r="J5917" s="33" t="s">
        <v>7289</v>
      </c>
      <c r="K5917" s="33" t="s">
        <v>4549</v>
      </c>
      <c r="L5917" s="33" t="s">
        <v>7290</v>
      </c>
      <c r="M5917" s="33" t="s">
        <v>21</v>
      </c>
      <c r="N5917" s="33" t="s">
        <v>7291</v>
      </c>
      <c r="O5917" s="33" t="s">
        <v>950</v>
      </c>
      <c r="P5917" s="33" t="s">
        <v>30089</v>
      </c>
      <c r="Q5917" s="40" t="s">
        <v>7292</v>
      </c>
      <c r="R5917" s="33" t="s">
        <v>23</v>
      </c>
      <c r="S5917" s="33" t="s">
        <v>12</v>
      </c>
      <c r="T5917" s="54" t="s">
        <v>29705</v>
      </c>
      <c r="Z5917" s="33" t="s">
        <v>42967</v>
      </c>
      <c r="AA5917" s="33">
        <v>1749</v>
      </c>
    </row>
    <row r="5918" spans="1:27" ht="12" customHeight="1" x14ac:dyDescent="0.15">
      <c r="A5918" s="33" t="s">
        <v>7285</v>
      </c>
      <c r="B5918" s="33">
        <v>49</v>
      </c>
      <c r="C5918" s="33" t="s">
        <v>103</v>
      </c>
      <c r="D5918" s="33" t="s">
        <v>31</v>
      </c>
      <c r="E5918" s="33" t="s">
        <v>7286</v>
      </c>
      <c r="F5918" s="67">
        <v>41861</v>
      </c>
      <c r="G5918" s="33" t="s">
        <v>7287</v>
      </c>
      <c r="H5918" s="33" t="s">
        <v>7288</v>
      </c>
      <c r="I5918" s="33" t="s">
        <v>395</v>
      </c>
      <c r="J5918" s="33" t="s">
        <v>7289</v>
      </c>
      <c r="K5918" s="33" t="s">
        <v>4549</v>
      </c>
      <c r="L5918" s="33" t="s">
        <v>7290</v>
      </c>
      <c r="M5918" s="33" t="s">
        <v>21</v>
      </c>
      <c r="N5918" s="33" t="s">
        <v>7291</v>
      </c>
      <c r="O5918" s="33" t="s">
        <v>950</v>
      </c>
      <c r="P5918" s="33" t="s">
        <v>30089</v>
      </c>
      <c r="Q5918" s="40" t="s">
        <v>7292</v>
      </c>
      <c r="R5918" s="33" t="s">
        <v>23</v>
      </c>
      <c r="S5918" s="33" t="s">
        <v>12</v>
      </c>
      <c r="T5918" s="54" t="s">
        <v>29705</v>
      </c>
      <c r="Z5918" s="33" t="s">
        <v>42967</v>
      </c>
      <c r="AA5918" s="33">
        <v>1748</v>
      </c>
    </row>
    <row r="5919" spans="1:27" ht="12" customHeight="1" x14ac:dyDescent="0.15">
      <c r="A5919" s="33" t="s">
        <v>7307</v>
      </c>
      <c r="B5919" s="33">
        <v>41</v>
      </c>
      <c r="C5919" s="33" t="s">
        <v>14</v>
      </c>
      <c r="D5919" s="33" t="s">
        <v>42</v>
      </c>
      <c r="F5919" s="67">
        <v>41860</v>
      </c>
      <c r="G5919" s="33" t="s">
        <v>7308</v>
      </c>
      <c r="H5919" s="33" t="s">
        <v>7309</v>
      </c>
      <c r="I5919" s="33" t="s">
        <v>39</v>
      </c>
      <c r="J5919" s="33" t="s">
        <v>7310</v>
      </c>
      <c r="K5919" s="33" t="s">
        <v>92</v>
      </c>
      <c r="L5919" s="33" t="s">
        <v>386</v>
      </c>
      <c r="M5919" s="33" t="s">
        <v>21</v>
      </c>
      <c r="N5919" s="33" t="s">
        <v>7311</v>
      </c>
      <c r="O5919" s="33" t="s">
        <v>950</v>
      </c>
      <c r="P5919" s="33" t="s">
        <v>30089</v>
      </c>
      <c r="Q5919" s="40" t="s">
        <v>7312</v>
      </c>
      <c r="R5919" s="33" t="s">
        <v>94</v>
      </c>
      <c r="S5919" s="33" t="s">
        <v>22</v>
      </c>
      <c r="T5919" s="1" t="s">
        <v>26781</v>
      </c>
      <c r="Z5919" s="33" t="s">
        <v>42966</v>
      </c>
      <c r="AA5919" s="33">
        <v>1742</v>
      </c>
    </row>
    <row r="5920" spans="1:27" ht="12" customHeight="1" x14ac:dyDescent="0.15">
      <c r="A5920" s="33" t="s">
        <v>7326</v>
      </c>
      <c r="B5920" s="33">
        <v>23</v>
      </c>
      <c r="C5920" s="33" t="s">
        <v>14</v>
      </c>
      <c r="D5920" s="33" t="s">
        <v>31</v>
      </c>
      <c r="E5920" s="33" t="s">
        <v>7327</v>
      </c>
      <c r="F5920" s="67">
        <v>41860</v>
      </c>
      <c r="G5920" s="33" t="s">
        <v>7328</v>
      </c>
      <c r="H5920" s="33" t="s">
        <v>7329</v>
      </c>
      <c r="I5920" s="33" t="s">
        <v>918</v>
      </c>
      <c r="J5920" s="33" t="s">
        <v>7330</v>
      </c>
      <c r="K5920" s="33" t="s">
        <v>7331</v>
      </c>
      <c r="L5920" s="33" t="s">
        <v>36813</v>
      </c>
      <c r="M5920" s="33" t="s">
        <v>21</v>
      </c>
      <c r="N5920" s="33" t="s">
        <v>7332</v>
      </c>
      <c r="O5920" s="33" t="s">
        <v>950</v>
      </c>
      <c r="P5920" s="33" t="s">
        <v>30089</v>
      </c>
      <c r="Q5920" s="40" t="s">
        <v>7333</v>
      </c>
      <c r="R5920" s="33" t="s">
        <v>94</v>
      </c>
      <c r="S5920" s="33" t="s">
        <v>22</v>
      </c>
      <c r="T5920" s="1" t="s">
        <v>26781</v>
      </c>
      <c r="Y5920" s="33" t="s">
        <v>42476</v>
      </c>
      <c r="Z5920" s="33" t="s">
        <v>42968</v>
      </c>
      <c r="AA5920" s="33">
        <v>1743</v>
      </c>
    </row>
    <row r="5921" spans="1:31" ht="12" customHeight="1" x14ac:dyDescent="0.15">
      <c r="A5921" s="33" t="s">
        <v>7300</v>
      </c>
      <c r="B5921" s="33">
        <v>18</v>
      </c>
      <c r="C5921" s="33" t="s">
        <v>14</v>
      </c>
      <c r="D5921" s="33" t="s">
        <v>79</v>
      </c>
      <c r="E5921" s="33" t="s">
        <v>7301</v>
      </c>
      <c r="F5921" s="67">
        <v>41860</v>
      </c>
      <c r="G5921" s="33" t="s">
        <v>7302</v>
      </c>
      <c r="H5921" s="33" t="s">
        <v>7303</v>
      </c>
      <c r="I5921" s="33" t="s">
        <v>402</v>
      </c>
      <c r="J5921" s="33" t="s">
        <v>2584</v>
      </c>
      <c r="K5921" s="33" t="s">
        <v>661</v>
      </c>
      <c r="L5921" s="33" t="s">
        <v>7304</v>
      </c>
      <c r="M5921" s="33" t="s">
        <v>21</v>
      </c>
      <c r="N5921" s="33" t="s">
        <v>7305</v>
      </c>
      <c r="O5921" s="33" t="s">
        <v>507</v>
      </c>
      <c r="P5921" s="33" t="s">
        <v>30089</v>
      </c>
      <c r="Q5921" s="40" t="s">
        <v>7306</v>
      </c>
      <c r="R5921" s="33" t="s">
        <v>94</v>
      </c>
      <c r="S5921" s="33" t="s">
        <v>12</v>
      </c>
      <c r="T5921" s="54" t="s">
        <v>29705</v>
      </c>
      <c r="Z5921" s="33" t="s">
        <v>42968</v>
      </c>
      <c r="AA5921" s="33">
        <v>1745</v>
      </c>
    </row>
    <row r="5922" spans="1:31" ht="12" customHeight="1" x14ac:dyDescent="0.15">
      <c r="A5922" s="33" t="s">
        <v>7295</v>
      </c>
      <c r="B5922" s="33">
        <v>22</v>
      </c>
      <c r="C5922" s="33" t="s">
        <v>14</v>
      </c>
      <c r="D5922" s="33" t="s">
        <v>79</v>
      </c>
      <c r="F5922" s="67">
        <v>41860</v>
      </c>
      <c r="G5922" s="33" t="s">
        <v>22172</v>
      </c>
      <c r="H5922" s="33" t="s">
        <v>7296</v>
      </c>
      <c r="I5922" s="33" t="s">
        <v>38</v>
      </c>
      <c r="J5922" s="33" t="s">
        <v>7297</v>
      </c>
      <c r="K5922" s="33" t="s">
        <v>82</v>
      </c>
      <c r="L5922" s="33" t="s">
        <v>83</v>
      </c>
      <c r="M5922" s="33" t="s">
        <v>21</v>
      </c>
      <c r="N5922" s="33" t="s">
        <v>7298</v>
      </c>
      <c r="O5922" s="33" t="s">
        <v>507</v>
      </c>
      <c r="P5922" s="33" t="s">
        <v>30089</v>
      </c>
      <c r="Q5922" s="40" t="s">
        <v>7299</v>
      </c>
      <c r="R5922" s="33" t="s">
        <v>23</v>
      </c>
      <c r="S5922" s="33" t="s">
        <v>22</v>
      </c>
      <c r="T5922" s="1" t="s">
        <v>26781</v>
      </c>
      <c r="Z5922" s="33" t="s">
        <v>42968</v>
      </c>
      <c r="AA5922" s="33">
        <v>1741</v>
      </c>
    </row>
    <row r="5923" spans="1:31" ht="12" customHeight="1" x14ac:dyDescent="0.15">
      <c r="A5923" s="33" t="s">
        <v>7313</v>
      </c>
      <c r="B5923" s="33">
        <v>20</v>
      </c>
      <c r="C5923" s="33" t="s">
        <v>14</v>
      </c>
      <c r="D5923" s="33" t="s">
        <v>31</v>
      </c>
      <c r="E5923" s="33" t="s">
        <v>7314</v>
      </c>
      <c r="F5923" s="67">
        <v>41860</v>
      </c>
      <c r="G5923" s="33" t="s">
        <v>7315</v>
      </c>
      <c r="H5923" s="33" t="s">
        <v>220</v>
      </c>
      <c r="I5923" s="33" t="s">
        <v>221</v>
      </c>
      <c r="J5923" s="33" t="s">
        <v>7316</v>
      </c>
      <c r="K5923" s="33" t="s">
        <v>564</v>
      </c>
      <c r="L5923" s="33" t="s">
        <v>222</v>
      </c>
      <c r="M5923" s="33" t="s">
        <v>21</v>
      </c>
      <c r="N5923" s="33" t="s">
        <v>7317</v>
      </c>
      <c r="O5923" s="33" t="s">
        <v>372</v>
      </c>
      <c r="P5923" s="33" t="s">
        <v>30089</v>
      </c>
      <c r="Q5923" s="40" t="s">
        <v>7318</v>
      </c>
      <c r="R5923" s="33" t="s">
        <v>94</v>
      </c>
      <c r="S5923" s="33" t="s">
        <v>12</v>
      </c>
      <c r="T5923" s="54" t="s">
        <v>29705</v>
      </c>
      <c r="Z5923" s="33" t="s">
        <v>42968</v>
      </c>
      <c r="AA5923" s="33">
        <v>1746</v>
      </c>
    </row>
    <row r="5924" spans="1:31" ht="12" customHeight="1" x14ac:dyDescent="0.15">
      <c r="A5924" s="33" t="s">
        <v>7319</v>
      </c>
      <c r="B5924" s="33">
        <v>40</v>
      </c>
      <c r="C5924" s="33" t="s">
        <v>14</v>
      </c>
      <c r="D5924" s="33" t="s">
        <v>31</v>
      </c>
      <c r="E5924" s="33" t="s">
        <v>7320</v>
      </c>
      <c r="F5924" s="67">
        <v>41860</v>
      </c>
      <c r="G5924" s="33" t="s">
        <v>7321</v>
      </c>
      <c r="H5924" s="33" t="s">
        <v>7322</v>
      </c>
      <c r="I5924" s="33" t="s">
        <v>376</v>
      </c>
      <c r="J5924" s="33" t="s">
        <v>7323</v>
      </c>
      <c r="K5924" s="33" t="s">
        <v>1499</v>
      </c>
      <c r="L5924" s="33" t="s">
        <v>8484</v>
      </c>
      <c r="M5924" s="33" t="s">
        <v>21</v>
      </c>
      <c r="N5924" s="33" t="s">
        <v>7324</v>
      </c>
      <c r="O5924" s="33" t="s">
        <v>950</v>
      </c>
      <c r="P5924" s="33" t="s">
        <v>30089</v>
      </c>
      <c r="Q5924" s="40" t="s">
        <v>7325</v>
      </c>
      <c r="R5924" s="33" t="s">
        <v>94</v>
      </c>
      <c r="S5924" s="33" t="s">
        <v>22</v>
      </c>
      <c r="T5924" s="1" t="s">
        <v>26774</v>
      </c>
      <c r="Z5924" s="33" t="s">
        <v>42967</v>
      </c>
      <c r="AA5924" s="33">
        <v>1744</v>
      </c>
    </row>
    <row r="5925" spans="1:31" ht="12" customHeight="1" x14ac:dyDescent="0.15">
      <c r="A5925" s="33" t="s">
        <v>7353</v>
      </c>
      <c r="B5925" s="33">
        <v>23</v>
      </c>
      <c r="C5925" s="33" t="s">
        <v>14</v>
      </c>
      <c r="D5925" s="33" t="s">
        <v>31</v>
      </c>
      <c r="E5925" s="33" t="s">
        <v>7354</v>
      </c>
      <c r="F5925" s="67">
        <v>41859</v>
      </c>
      <c r="G5925" s="33" t="s">
        <v>7355</v>
      </c>
      <c r="H5925" s="33" t="s">
        <v>550</v>
      </c>
      <c r="I5925" s="33" t="s">
        <v>67</v>
      </c>
      <c r="J5925" s="33" t="s">
        <v>7356</v>
      </c>
      <c r="K5925" s="33" t="s">
        <v>551</v>
      </c>
      <c r="L5925" s="33" t="s">
        <v>552</v>
      </c>
      <c r="M5925" s="33" t="s">
        <v>21</v>
      </c>
      <c r="N5925" s="33" t="s">
        <v>7357</v>
      </c>
      <c r="O5925" s="33" t="s">
        <v>372</v>
      </c>
      <c r="P5925" s="33" t="s">
        <v>30089</v>
      </c>
      <c r="Q5925" s="40" t="s">
        <v>7358</v>
      </c>
      <c r="R5925" s="33" t="s">
        <v>512</v>
      </c>
      <c r="S5925" s="33" t="s">
        <v>22</v>
      </c>
      <c r="T5925" s="1" t="s">
        <v>26781</v>
      </c>
      <c r="Z5925" s="33" t="s">
        <v>42966</v>
      </c>
      <c r="AA5925" s="33">
        <v>1738</v>
      </c>
    </row>
    <row r="5926" spans="1:31" ht="12" customHeight="1" x14ac:dyDescent="0.15">
      <c r="A5926" s="33" t="s">
        <v>7346</v>
      </c>
      <c r="B5926" s="33">
        <v>26</v>
      </c>
      <c r="C5926" s="33" t="s">
        <v>14</v>
      </c>
      <c r="D5926" s="33" t="s">
        <v>31</v>
      </c>
      <c r="E5926" s="33" t="s">
        <v>7347</v>
      </c>
      <c r="F5926" s="67">
        <v>41859</v>
      </c>
      <c r="G5926" s="33" t="s">
        <v>7348</v>
      </c>
      <c r="H5926" s="33" t="s">
        <v>1212</v>
      </c>
      <c r="I5926" s="33" t="s">
        <v>192</v>
      </c>
      <c r="J5926" s="33" t="s">
        <v>7349</v>
      </c>
      <c r="K5926" s="33" t="s">
        <v>1212</v>
      </c>
      <c r="L5926" s="33" t="s">
        <v>7350</v>
      </c>
      <c r="M5926" s="33" t="s">
        <v>21</v>
      </c>
      <c r="N5926" s="33" t="s">
        <v>7351</v>
      </c>
      <c r="O5926" s="33" t="s">
        <v>507</v>
      </c>
      <c r="P5926" s="33" t="s">
        <v>30089</v>
      </c>
      <c r="Q5926" s="40" t="s">
        <v>7352</v>
      </c>
      <c r="R5926" s="33" t="s">
        <v>94</v>
      </c>
      <c r="S5926" s="33" t="s">
        <v>22</v>
      </c>
      <c r="T5926" s="1" t="s">
        <v>26781</v>
      </c>
      <c r="Z5926" s="33" t="s">
        <v>42966</v>
      </c>
      <c r="AA5926" s="33">
        <v>1737</v>
      </c>
    </row>
    <row r="5927" spans="1:31" ht="12" customHeight="1" x14ac:dyDescent="0.15">
      <c r="A5927" s="33" t="s">
        <v>7334</v>
      </c>
      <c r="B5927" s="33">
        <v>38</v>
      </c>
      <c r="C5927" s="33" t="s">
        <v>14</v>
      </c>
      <c r="D5927" s="33" t="s">
        <v>42</v>
      </c>
      <c r="F5927" s="67">
        <v>41859</v>
      </c>
      <c r="G5927" s="33" t="s">
        <v>7335</v>
      </c>
      <c r="H5927" s="33" t="s">
        <v>7336</v>
      </c>
      <c r="I5927" s="33" t="s">
        <v>376</v>
      </c>
      <c r="J5927" s="33" t="s">
        <v>7337</v>
      </c>
      <c r="K5927" s="33" t="s">
        <v>7338</v>
      </c>
      <c r="L5927" s="33" t="s">
        <v>7339</v>
      </c>
      <c r="M5927" s="33" t="s">
        <v>363</v>
      </c>
      <c r="N5927" s="33" t="s">
        <v>7340</v>
      </c>
      <c r="O5927" s="33" t="s">
        <v>372</v>
      </c>
      <c r="P5927" s="33" t="s">
        <v>30089</v>
      </c>
      <c r="Q5927" s="40" t="s">
        <v>7341</v>
      </c>
      <c r="R5927" s="33" t="s">
        <v>94</v>
      </c>
      <c r="S5927" s="33" t="s">
        <v>12</v>
      </c>
      <c r="T5927" s="54" t="s">
        <v>29705</v>
      </c>
      <c r="Z5927" s="33" t="s">
        <v>42967</v>
      </c>
      <c r="AA5927" s="33">
        <v>1739</v>
      </c>
    </row>
    <row r="5928" spans="1:31" ht="12" customHeight="1" x14ac:dyDescent="0.15">
      <c r="A5928" s="33" t="s">
        <v>3002</v>
      </c>
      <c r="B5928" s="33">
        <v>31</v>
      </c>
      <c r="C5928" s="33" t="s">
        <v>14</v>
      </c>
      <c r="D5928" s="33" t="s">
        <v>24</v>
      </c>
      <c r="F5928" s="67">
        <v>41859</v>
      </c>
      <c r="G5928" s="33" t="s">
        <v>7342</v>
      </c>
      <c r="H5928" s="33" t="s">
        <v>415</v>
      </c>
      <c r="I5928" s="33" t="s">
        <v>51</v>
      </c>
      <c r="J5928" s="33" t="s">
        <v>7343</v>
      </c>
      <c r="K5928" s="33" t="s">
        <v>1057</v>
      </c>
      <c r="L5928" s="33" t="s">
        <v>2030</v>
      </c>
      <c r="M5928" s="33" t="s">
        <v>21</v>
      </c>
      <c r="N5928" s="33" t="s">
        <v>7344</v>
      </c>
      <c r="O5928" s="33" t="s">
        <v>950</v>
      </c>
      <c r="P5928" s="33" t="s">
        <v>30089</v>
      </c>
      <c r="Q5928" s="40" t="s">
        <v>7345</v>
      </c>
      <c r="R5928" s="33" t="s">
        <v>94</v>
      </c>
      <c r="S5928" s="33" t="s">
        <v>351</v>
      </c>
      <c r="T5928" s="1" t="s">
        <v>26867</v>
      </c>
      <c r="Z5928" s="33" t="s">
        <v>42966</v>
      </c>
      <c r="AA5928" s="33">
        <v>1740</v>
      </c>
    </row>
    <row r="5929" spans="1:31" ht="12" customHeight="1" x14ac:dyDescent="0.15">
      <c r="A5929" s="33" t="s">
        <v>7359</v>
      </c>
      <c r="B5929" s="33">
        <v>20</v>
      </c>
      <c r="C5929" s="33" t="s">
        <v>14</v>
      </c>
      <c r="D5929" s="33" t="s">
        <v>42</v>
      </c>
      <c r="F5929" s="67">
        <v>41858</v>
      </c>
      <c r="G5929" s="33" t="s">
        <v>7360</v>
      </c>
      <c r="H5929" s="33" t="s">
        <v>7361</v>
      </c>
      <c r="I5929" s="33" t="s">
        <v>39</v>
      </c>
      <c r="J5929" s="33" t="s">
        <v>7362</v>
      </c>
      <c r="K5929" s="33" t="s">
        <v>1537</v>
      </c>
      <c r="L5929" s="33" t="s">
        <v>7363</v>
      </c>
      <c r="M5929" s="33" t="s">
        <v>21</v>
      </c>
      <c r="N5929" s="33" t="s">
        <v>7364</v>
      </c>
      <c r="O5929" s="33" t="s">
        <v>950</v>
      </c>
      <c r="P5929" s="33" t="s">
        <v>30089</v>
      </c>
      <c r="Q5929" s="40" t="s">
        <v>7365</v>
      </c>
      <c r="R5929" s="33" t="s">
        <v>23</v>
      </c>
      <c r="S5929" s="33" t="s">
        <v>22</v>
      </c>
      <c r="T5929" s="33" t="s">
        <v>26774</v>
      </c>
      <c r="Z5929" s="33" t="s">
        <v>42968</v>
      </c>
      <c r="AA5929" s="33">
        <v>1736</v>
      </c>
      <c r="AE5929" s="33"/>
    </row>
    <row r="5930" spans="1:31" ht="12" customHeight="1" x14ac:dyDescent="0.15">
      <c r="A5930" s="33" t="s">
        <v>7372</v>
      </c>
      <c r="B5930" s="33">
        <v>51</v>
      </c>
      <c r="C5930" s="33" t="s">
        <v>14</v>
      </c>
      <c r="D5930" s="33" t="s">
        <v>42</v>
      </c>
      <c r="E5930" s="33" t="s">
        <v>7373</v>
      </c>
      <c r="F5930" s="67">
        <v>41857</v>
      </c>
      <c r="G5930" s="33" t="s">
        <v>7374</v>
      </c>
      <c r="H5930" s="33" t="s">
        <v>7375</v>
      </c>
      <c r="I5930" s="33" t="s">
        <v>814</v>
      </c>
      <c r="J5930" s="33" t="s">
        <v>7376</v>
      </c>
      <c r="K5930" s="33" t="s">
        <v>2196</v>
      </c>
      <c r="L5930" s="33" t="s">
        <v>3281</v>
      </c>
      <c r="M5930" s="33" t="s">
        <v>21</v>
      </c>
      <c r="N5930" s="33" t="s">
        <v>7377</v>
      </c>
      <c r="O5930" s="33" t="s">
        <v>950</v>
      </c>
      <c r="P5930" s="33" t="s">
        <v>30089</v>
      </c>
      <c r="Q5930" s="40" t="s">
        <v>7378</v>
      </c>
      <c r="R5930" s="33" t="s">
        <v>94</v>
      </c>
      <c r="S5930" s="33" t="s">
        <v>351</v>
      </c>
      <c r="T5930" s="1" t="s">
        <v>42983</v>
      </c>
      <c r="Z5930" s="33" t="s">
        <v>42968</v>
      </c>
      <c r="AA5930" s="33">
        <v>1735</v>
      </c>
    </row>
    <row r="5931" spans="1:31" ht="12" customHeight="1" x14ac:dyDescent="0.15">
      <c r="A5931" s="33" t="s">
        <v>7366</v>
      </c>
      <c r="B5931" s="33">
        <v>26</v>
      </c>
      <c r="C5931" s="33" t="s">
        <v>14</v>
      </c>
      <c r="D5931" s="33" t="s">
        <v>79</v>
      </c>
      <c r="E5931" s="33" t="s">
        <v>7367</v>
      </c>
      <c r="F5931" s="67">
        <v>41857</v>
      </c>
      <c r="G5931" s="33" t="s">
        <v>7368</v>
      </c>
      <c r="H5931" s="33" t="s">
        <v>631</v>
      </c>
      <c r="I5931" s="33" t="s">
        <v>39</v>
      </c>
      <c r="J5931" s="33" t="s">
        <v>7369</v>
      </c>
      <c r="K5931" s="33" t="s">
        <v>632</v>
      </c>
      <c r="L5931" s="33" t="s">
        <v>633</v>
      </c>
      <c r="M5931" s="33" t="s">
        <v>21</v>
      </c>
      <c r="N5931" s="33" t="s">
        <v>7370</v>
      </c>
      <c r="O5931" s="33" t="s">
        <v>507</v>
      </c>
      <c r="P5931" s="33" t="s">
        <v>30089</v>
      </c>
      <c r="Q5931" s="40" t="s">
        <v>7371</v>
      </c>
      <c r="R5931" s="33" t="s">
        <v>23</v>
      </c>
      <c r="S5931" s="33" t="s">
        <v>29</v>
      </c>
      <c r="T5931" s="33" t="s">
        <v>41840</v>
      </c>
      <c r="Z5931" s="33" t="s">
        <v>42968</v>
      </c>
      <c r="AA5931" s="33">
        <v>1734</v>
      </c>
    </row>
    <row r="5932" spans="1:31" ht="12" customHeight="1" x14ac:dyDescent="0.15">
      <c r="A5932" s="33" t="s">
        <v>7398</v>
      </c>
      <c r="B5932" s="33">
        <v>37</v>
      </c>
      <c r="C5932" s="33" t="s">
        <v>14</v>
      </c>
      <c r="D5932" s="33" t="s">
        <v>79</v>
      </c>
      <c r="F5932" s="67">
        <v>41856</v>
      </c>
      <c r="G5932" s="33" t="s">
        <v>7399</v>
      </c>
      <c r="H5932" s="33" t="s">
        <v>504</v>
      </c>
      <c r="I5932" s="33" t="s">
        <v>63</v>
      </c>
      <c r="J5932" s="33" t="s">
        <v>7400</v>
      </c>
      <c r="K5932" s="33" t="s">
        <v>505</v>
      </c>
      <c r="L5932" s="33" t="s">
        <v>506</v>
      </c>
      <c r="M5932" s="33" t="s">
        <v>21</v>
      </c>
      <c r="N5932" s="33" t="s">
        <v>7401</v>
      </c>
      <c r="O5932" s="33" t="s">
        <v>950</v>
      </c>
      <c r="P5932" s="33" t="s">
        <v>30089</v>
      </c>
      <c r="Q5932" s="40" t="str">
        <f>HYPERLINK("http://www.cincinnati.com/story/news/2014/08/05/cincinnati-police-officer-shoots-man-killed-traffic-stop/13611479/","http://www.cincinnati.com/story/news/2014/08/05/cincinnati-police-officer-shoots-man-killed-traffic-stop/13611479/")</f>
        <v>http://www.cincinnati.com/story/news/2014/08/05/cincinnati-police-officer-shoots-man-killed-traffic-stop/13611479/</v>
      </c>
      <c r="R5932" s="33" t="s">
        <v>94</v>
      </c>
      <c r="S5932" s="33" t="s">
        <v>22</v>
      </c>
      <c r="T5932" s="1" t="s">
        <v>26781</v>
      </c>
      <c r="Z5932" s="33" t="s">
        <v>42966</v>
      </c>
      <c r="AA5932" s="33">
        <v>1728</v>
      </c>
    </row>
    <row r="5933" spans="1:31" ht="12" customHeight="1" x14ac:dyDescent="0.15">
      <c r="A5933" s="33" t="s">
        <v>7384</v>
      </c>
      <c r="B5933" s="33">
        <v>22</v>
      </c>
      <c r="C5933" s="33" t="s">
        <v>14</v>
      </c>
      <c r="D5933" s="33" t="s">
        <v>79</v>
      </c>
      <c r="E5933" s="33" t="s">
        <v>7385</v>
      </c>
      <c r="F5933" s="67">
        <v>41856</v>
      </c>
      <c r="G5933" s="33" t="s">
        <v>7386</v>
      </c>
      <c r="H5933" s="33" t="s">
        <v>7387</v>
      </c>
      <c r="I5933" s="33" t="s">
        <v>63</v>
      </c>
      <c r="J5933" s="33" t="s">
        <v>7388</v>
      </c>
      <c r="K5933" s="33" t="s">
        <v>4549</v>
      </c>
      <c r="L5933" s="33" t="s">
        <v>7389</v>
      </c>
      <c r="M5933" s="33" t="s">
        <v>21</v>
      </c>
      <c r="N5933" s="33" t="s">
        <v>7390</v>
      </c>
      <c r="O5933" s="33" t="s">
        <v>507</v>
      </c>
      <c r="P5933" s="33" t="s">
        <v>30089</v>
      </c>
      <c r="Q5933" s="40" t="s">
        <v>7391</v>
      </c>
      <c r="R5933" s="33" t="s">
        <v>94</v>
      </c>
      <c r="S5933" s="33" t="s">
        <v>12</v>
      </c>
      <c r="T5933" s="33" t="s">
        <v>29425</v>
      </c>
      <c r="Z5933" s="33" t="s">
        <v>42968</v>
      </c>
      <c r="AA5933" s="33">
        <v>1730</v>
      </c>
    </row>
    <row r="5934" spans="1:31" ht="12" customHeight="1" x14ac:dyDescent="0.15">
      <c r="A5934" s="33" t="s">
        <v>7392</v>
      </c>
      <c r="B5934" s="33">
        <v>35</v>
      </c>
      <c r="C5934" s="33" t="s">
        <v>14</v>
      </c>
      <c r="D5934" s="33" t="s">
        <v>79</v>
      </c>
      <c r="E5934" s="33" t="s">
        <v>7393</v>
      </c>
      <c r="F5934" s="67">
        <v>41856</v>
      </c>
      <c r="G5934" s="33" t="s">
        <v>7394</v>
      </c>
      <c r="H5934" s="33" t="s">
        <v>7395</v>
      </c>
      <c r="I5934" s="33" t="s">
        <v>56</v>
      </c>
      <c r="J5934" s="33" t="s">
        <v>7396</v>
      </c>
      <c r="K5934" s="33" t="s">
        <v>148</v>
      </c>
      <c r="L5934" s="33" t="s">
        <v>149</v>
      </c>
      <c r="M5934" s="33" t="s">
        <v>21</v>
      </c>
      <c r="N5934" s="33" t="s">
        <v>7397</v>
      </c>
      <c r="O5934" s="33" t="s">
        <v>950</v>
      </c>
      <c r="P5934" s="33" t="s">
        <v>30089</v>
      </c>
      <c r="Q5934" s="40" t="str">
        <f>HYPERLINK("http://www.local10.com/news/1-killed-in-policeinvolved-shooting-in-miami-springs/26847256","http://www.local10.com/news/1-killed-in-policeinvolved-shooting-in-miami-springs/26847256")</f>
        <v>http://www.local10.com/news/1-killed-in-policeinvolved-shooting-in-miami-springs/26847256</v>
      </c>
      <c r="R5934" s="33" t="s">
        <v>23</v>
      </c>
      <c r="S5934" s="33" t="s">
        <v>12</v>
      </c>
      <c r="T5934" s="54" t="s">
        <v>29705</v>
      </c>
      <c r="Z5934" s="33" t="s">
        <v>42968</v>
      </c>
      <c r="AA5934" s="33">
        <v>1732</v>
      </c>
    </row>
    <row r="5935" spans="1:31" ht="12" customHeight="1" x14ac:dyDescent="0.15">
      <c r="A5935" s="33" t="s">
        <v>7407</v>
      </c>
      <c r="B5935" s="33">
        <v>40</v>
      </c>
      <c r="C5935" s="33" t="s">
        <v>14</v>
      </c>
      <c r="D5935" s="33" t="s">
        <v>24</v>
      </c>
      <c r="F5935" s="67">
        <v>41856</v>
      </c>
      <c r="G5935" s="33" t="s">
        <v>7408</v>
      </c>
      <c r="H5935" s="33" t="s">
        <v>2595</v>
      </c>
      <c r="I5935" s="33" t="s">
        <v>56</v>
      </c>
      <c r="J5935" s="33" t="s">
        <v>2596</v>
      </c>
      <c r="K5935" s="33" t="s">
        <v>2597</v>
      </c>
      <c r="L5935" s="33" t="s">
        <v>7409</v>
      </c>
      <c r="M5935" s="33" t="s">
        <v>21</v>
      </c>
      <c r="N5935" s="33" t="s">
        <v>7410</v>
      </c>
      <c r="O5935" s="33" t="s">
        <v>950</v>
      </c>
      <c r="P5935" s="33" t="s">
        <v>30089</v>
      </c>
      <c r="Q5935" s="40" t="str">
        <f>HYPERLINK("http://www.newsherald.com/news/crime-public-safety/man-shot-during-standoff-dies-1.357594","http://www.newsherald.com/news/crime-public-safety/man-shot-during-standoff-dies-1.357594")</f>
        <v>http://www.newsherald.com/news/crime-public-safety/man-shot-during-standoff-dies-1.357594</v>
      </c>
      <c r="R5935" s="33" t="s">
        <v>94</v>
      </c>
      <c r="S5935" s="33" t="s">
        <v>22</v>
      </c>
      <c r="T5935" s="1" t="s">
        <v>26781</v>
      </c>
      <c r="Z5935" s="33" t="s">
        <v>42966</v>
      </c>
      <c r="AA5935" s="33">
        <v>1729</v>
      </c>
    </row>
    <row r="5936" spans="1:31" ht="12" customHeight="1" x14ac:dyDescent="0.15">
      <c r="A5936" s="33" t="s">
        <v>7379</v>
      </c>
      <c r="B5936" s="33">
        <v>19</v>
      </c>
      <c r="C5936" s="33" t="s">
        <v>14</v>
      </c>
      <c r="D5936" s="33" t="s">
        <v>79</v>
      </c>
      <c r="E5936" s="33" t="s">
        <v>7380</v>
      </c>
      <c r="F5936" s="67">
        <v>41856</v>
      </c>
      <c r="G5936" s="33" t="s">
        <v>7381</v>
      </c>
      <c r="H5936" s="33" t="s">
        <v>2307</v>
      </c>
      <c r="I5936" s="33" t="s">
        <v>367</v>
      </c>
      <c r="J5936" s="33" t="s">
        <v>3817</v>
      </c>
      <c r="K5936" s="33" t="s">
        <v>2307</v>
      </c>
      <c r="L5936" s="33" t="s">
        <v>3108</v>
      </c>
      <c r="M5936" s="33" t="s">
        <v>21</v>
      </c>
      <c r="N5936" s="33" t="s">
        <v>7382</v>
      </c>
      <c r="O5936" s="33" t="s">
        <v>26749</v>
      </c>
      <c r="P5936" s="33" t="s">
        <v>26750</v>
      </c>
      <c r="Q5936" s="40" t="s">
        <v>7383</v>
      </c>
      <c r="R5936" s="33" t="s">
        <v>94</v>
      </c>
      <c r="S5936" s="33" t="s">
        <v>12</v>
      </c>
      <c r="T5936" s="54" t="s">
        <v>29705</v>
      </c>
      <c r="Y5936" s="33" t="s">
        <v>42476</v>
      </c>
      <c r="Z5936" s="33" t="s">
        <v>42966</v>
      </c>
      <c r="AA5936" s="33">
        <v>1731</v>
      </c>
    </row>
    <row r="5937" spans="1:27" ht="12" customHeight="1" x14ac:dyDescent="0.15">
      <c r="A5937" s="33" t="s">
        <v>7402</v>
      </c>
      <c r="B5937" s="33">
        <v>55</v>
      </c>
      <c r="C5937" s="33" t="s">
        <v>14</v>
      </c>
      <c r="D5937" s="33" t="s">
        <v>24</v>
      </c>
      <c r="F5937" s="67">
        <v>41856</v>
      </c>
      <c r="G5937" s="33" t="s">
        <v>7403</v>
      </c>
      <c r="H5937" s="33" t="s">
        <v>6020</v>
      </c>
      <c r="I5937" s="33" t="s">
        <v>225</v>
      </c>
      <c r="J5937" s="33" t="s">
        <v>7404</v>
      </c>
      <c r="K5937" s="33" t="s">
        <v>107</v>
      </c>
      <c r="L5937" s="33" t="s">
        <v>7405</v>
      </c>
      <c r="M5937" s="33" t="s">
        <v>21</v>
      </c>
      <c r="N5937" s="33" t="s">
        <v>36814</v>
      </c>
      <c r="O5937" s="33" t="s">
        <v>507</v>
      </c>
      <c r="P5937" s="33" t="s">
        <v>30089</v>
      </c>
      <c r="Q5937" s="40" t="s">
        <v>7406</v>
      </c>
      <c r="R5937" s="33" t="s">
        <v>23</v>
      </c>
      <c r="S5937" s="33" t="s">
        <v>22</v>
      </c>
      <c r="T5937" s="1" t="s">
        <v>26576</v>
      </c>
      <c r="Z5937" s="33" t="s">
        <v>42967</v>
      </c>
      <c r="AA5937" s="33">
        <v>1733</v>
      </c>
    </row>
    <row r="5938" spans="1:27" ht="12" customHeight="1" x14ac:dyDescent="0.15">
      <c r="A5938" s="33" t="s">
        <v>7412</v>
      </c>
      <c r="B5938" s="33">
        <v>28</v>
      </c>
      <c r="C5938" s="33" t="s">
        <v>14</v>
      </c>
      <c r="D5938" s="33" t="s">
        <v>42</v>
      </c>
      <c r="E5938" s="33" t="s">
        <v>7413</v>
      </c>
      <c r="F5938" s="67">
        <v>41855</v>
      </c>
      <c r="G5938" s="33" t="s">
        <v>7414</v>
      </c>
      <c r="H5938" s="33" t="s">
        <v>866</v>
      </c>
      <c r="I5938" s="33" t="s">
        <v>178</v>
      </c>
      <c r="J5938" s="33" t="s">
        <v>4978</v>
      </c>
      <c r="K5938" s="33" t="s">
        <v>433</v>
      </c>
      <c r="L5938" s="33" t="s">
        <v>7415</v>
      </c>
      <c r="M5938" s="33" t="s">
        <v>21</v>
      </c>
      <c r="N5938" s="33" t="s">
        <v>7416</v>
      </c>
      <c r="O5938" s="33" t="s">
        <v>950</v>
      </c>
      <c r="P5938" s="33" t="s">
        <v>30089</v>
      </c>
      <c r="Q5938" s="40" t="s">
        <v>7417</v>
      </c>
      <c r="R5938" s="33" t="s">
        <v>94</v>
      </c>
      <c r="S5938" s="33" t="s">
        <v>351</v>
      </c>
      <c r="T5938" s="1" t="s">
        <v>42983</v>
      </c>
      <c r="Z5938" s="33" t="s">
        <v>42968</v>
      </c>
      <c r="AA5938" s="33">
        <v>1727</v>
      </c>
    </row>
    <row r="5939" spans="1:27" ht="12" customHeight="1" x14ac:dyDescent="0.15">
      <c r="A5939" s="33" t="s">
        <v>7445</v>
      </c>
      <c r="B5939" s="33">
        <v>49</v>
      </c>
      <c r="C5939" s="33" t="s">
        <v>14</v>
      </c>
      <c r="D5939" s="33" t="s">
        <v>31</v>
      </c>
      <c r="E5939" s="33" t="s">
        <v>7446</v>
      </c>
      <c r="F5939" s="67">
        <v>41854</v>
      </c>
      <c r="G5939" s="33" t="s">
        <v>7447</v>
      </c>
      <c r="H5939" s="33" t="s">
        <v>7448</v>
      </c>
      <c r="I5939" s="33" t="s">
        <v>4034</v>
      </c>
      <c r="J5939" s="33" t="s">
        <v>7449</v>
      </c>
      <c r="K5939" s="33" t="s">
        <v>6374</v>
      </c>
      <c r="L5939" s="33" t="s">
        <v>4037</v>
      </c>
      <c r="M5939" s="33" t="s">
        <v>21</v>
      </c>
      <c r="N5939" s="33" t="s">
        <v>36815</v>
      </c>
      <c r="O5939" s="33" t="s">
        <v>950</v>
      </c>
      <c r="P5939" s="33" t="s">
        <v>30089</v>
      </c>
      <c r="Q5939" s="40" t="str">
        <f>HYPERLINK("http://bangordailynews.com/2014/08/04/news/penobscot/lagrange-man-49-killed-by-state-trooper-after-3-hour-standoff/","http://bangordailynews.com/2014/08/04/news/penobscot/lagrange-man-49-killed-by-state-trooper-after-3-hour-standoff/")</f>
        <v>http://bangordailynews.com/2014/08/04/news/penobscot/lagrange-man-49-killed-by-state-trooper-after-3-hour-standoff/</v>
      </c>
      <c r="R5939" s="33" t="s">
        <v>94</v>
      </c>
      <c r="S5939" s="33" t="s">
        <v>22</v>
      </c>
      <c r="T5939" s="1" t="s">
        <v>26576</v>
      </c>
      <c r="Z5939" s="33" t="s">
        <v>42967</v>
      </c>
      <c r="AA5939" s="33">
        <v>1726</v>
      </c>
    </row>
    <row r="5940" spans="1:27" ht="12" customHeight="1" x14ac:dyDescent="0.15">
      <c r="A5940" s="33" t="s">
        <v>7432</v>
      </c>
      <c r="B5940" s="33">
        <v>27</v>
      </c>
      <c r="C5940" s="33" t="s">
        <v>14</v>
      </c>
      <c r="D5940" s="33" t="s">
        <v>31</v>
      </c>
      <c r="E5940" s="33" t="s">
        <v>7433</v>
      </c>
      <c r="F5940" s="67">
        <v>41854</v>
      </c>
      <c r="G5940" s="33" t="s">
        <v>7434</v>
      </c>
      <c r="H5940" s="33" t="s">
        <v>7435</v>
      </c>
      <c r="I5940" s="33" t="s">
        <v>342</v>
      </c>
      <c r="J5940" s="33" t="s">
        <v>7436</v>
      </c>
      <c r="K5940" s="33" t="s">
        <v>5086</v>
      </c>
      <c r="L5940" s="33" t="s">
        <v>7437</v>
      </c>
      <c r="M5940" s="33" t="s">
        <v>21</v>
      </c>
      <c r="N5940" s="33" t="s">
        <v>7438</v>
      </c>
      <c r="O5940" s="33" t="s">
        <v>950</v>
      </c>
      <c r="P5940" s="33" t="s">
        <v>30089</v>
      </c>
      <c r="Q5940" s="40" t="s">
        <v>7439</v>
      </c>
      <c r="R5940" s="33" t="s">
        <v>94</v>
      </c>
      <c r="S5940" s="33" t="s">
        <v>22</v>
      </c>
      <c r="T5940" s="1" t="s">
        <v>26774</v>
      </c>
      <c r="Z5940" s="33" t="s">
        <v>42967</v>
      </c>
      <c r="AA5940" s="33">
        <v>1723</v>
      </c>
    </row>
    <row r="5941" spans="1:27" ht="12" customHeight="1" x14ac:dyDescent="0.15">
      <c r="A5941" s="33" t="s">
        <v>7440</v>
      </c>
      <c r="B5941" s="33">
        <v>49</v>
      </c>
      <c r="C5941" s="33" t="s">
        <v>14</v>
      </c>
      <c r="D5941" s="33" t="s">
        <v>31</v>
      </c>
      <c r="E5941" s="33" t="s">
        <v>7441</v>
      </c>
      <c r="F5941" s="67">
        <v>41854</v>
      </c>
      <c r="G5941" s="33" t="s">
        <v>7442</v>
      </c>
      <c r="H5941" s="33" t="s">
        <v>674</v>
      </c>
      <c r="I5941" s="33" t="s">
        <v>67</v>
      </c>
      <c r="J5941" s="33">
        <v>77041</v>
      </c>
      <c r="K5941" s="33" t="s">
        <v>515</v>
      </c>
      <c r="L5941" s="33" t="s">
        <v>516</v>
      </c>
      <c r="M5941" s="33" t="s">
        <v>21</v>
      </c>
      <c r="N5941" s="33" t="s">
        <v>7443</v>
      </c>
      <c r="O5941" s="33" t="s">
        <v>950</v>
      </c>
      <c r="P5941" s="33" t="s">
        <v>30089</v>
      </c>
      <c r="Q5941" s="40" t="s">
        <v>7444</v>
      </c>
      <c r="R5941" s="33" t="s">
        <v>23</v>
      </c>
      <c r="S5941" s="33" t="s">
        <v>22</v>
      </c>
      <c r="T5941" s="33" t="s">
        <v>26781</v>
      </c>
      <c r="Z5941" s="33" t="s">
        <v>42968</v>
      </c>
      <c r="AA5941" s="33">
        <v>1722</v>
      </c>
    </row>
    <row r="5942" spans="1:27" ht="12" customHeight="1" x14ac:dyDescent="0.15">
      <c r="A5942" s="33" t="s">
        <v>7418</v>
      </c>
      <c r="B5942" s="33">
        <v>20</v>
      </c>
      <c r="C5942" s="33" t="s">
        <v>14</v>
      </c>
      <c r="D5942" s="33" t="s">
        <v>15</v>
      </c>
      <c r="F5942" s="67">
        <v>41854</v>
      </c>
      <c r="G5942" s="33" t="s">
        <v>7419</v>
      </c>
      <c r="H5942" s="33" t="s">
        <v>3289</v>
      </c>
      <c r="I5942" s="33" t="s">
        <v>122</v>
      </c>
      <c r="J5942" s="33" t="s">
        <v>7420</v>
      </c>
      <c r="K5942" s="33" t="s">
        <v>3291</v>
      </c>
      <c r="L5942" s="33" t="s">
        <v>4522</v>
      </c>
      <c r="M5942" s="33" t="s">
        <v>21</v>
      </c>
      <c r="N5942" s="33" t="s">
        <v>7421</v>
      </c>
      <c r="O5942" s="33" t="s">
        <v>950</v>
      </c>
      <c r="P5942" s="33" t="s">
        <v>30089</v>
      </c>
      <c r="Q5942" s="40" t="s">
        <v>7422</v>
      </c>
      <c r="R5942" s="33" t="s">
        <v>94</v>
      </c>
      <c r="S5942" s="33" t="s">
        <v>22</v>
      </c>
      <c r="T5942" s="1" t="s">
        <v>26781</v>
      </c>
      <c r="Z5942" s="33" t="s">
        <v>42966</v>
      </c>
      <c r="AA5942" s="33">
        <v>1721</v>
      </c>
    </row>
    <row r="5943" spans="1:27" ht="12" customHeight="1" x14ac:dyDescent="0.15">
      <c r="A5943" s="33" t="s">
        <v>7427</v>
      </c>
      <c r="B5943" s="33">
        <v>42</v>
      </c>
      <c r="C5943" s="33" t="s">
        <v>103</v>
      </c>
      <c r="D5943" s="33" t="s">
        <v>42</v>
      </c>
      <c r="E5943" s="33" t="s">
        <v>7428</v>
      </c>
      <c r="F5943" s="67">
        <v>41854</v>
      </c>
      <c r="G5943" s="33" t="s">
        <v>7429</v>
      </c>
      <c r="H5943" s="33" t="s">
        <v>631</v>
      </c>
      <c r="I5943" s="33" t="s">
        <v>39</v>
      </c>
      <c r="J5943" s="33" t="s">
        <v>7369</v>
      </c>
      <c r="K5943" s="33" t="s">
        <v>632</v>
      </c>
      <c r="L5943" s="33" t="s">
        <v>693</v>
      </c>
      <c r="M5943" s="33" t="s">
        <v>21</v>
      </c>
      <c r="N5943" s="33" t="s">
        <v>7430</v>
      </c>
      <c r="P5943" s="33" t="s">
        <v>30089</v>
      </c>
      <c r="Q5943" s="40" t="s">
        <v>7431</v>
      </c>
      <c r="R5943" s="33" t="s">
        <v>23</v>
      </c>
      <c r="S5943" s="33" t="s">
        <v>12</v>
      </c>
      <c r="T5943" s="33" t="s">
        <v>29425</v>
      </c>
      <c r="Z5943" s="33" t="s">
        <v>42968</v>
      </c>
      <c r="AA5943" s="33">
        <v>1724</v>
      </c>
    </row>
    <row r="5944" spans="1:27" ht="12" customHeight="1" x14ac:dyDescent="0.15">
      <c r="A5944" s="33" t="s">
        <v>7423</v>
      </c>
      <c r="B5944" s="33">
        <v>23</v>
      </c>
      <c r="C5944" s="33" t="s">
        <v>14</v>
      </c>
      <c r="D5944" s="33" t="s">
        <v>79</v>
      </c>
      <c r="E5944" s="33" t="s">
        <v>7424</v>
      </c>
      <c r="F5944" s="67">
        <v>41854</v>
      </c>
      <c r="G5944" s="33" t="s">
        <v>7425</v>
      </c>
      <c r="H5944" s="33" t="s">
        <v>557</v>
      </c>
      <c r="I5944" s="33" t="s">
        <v>39</v>
      </c>
      <c r="J5944" s="33" t="s">
        <v>5133</v>
      </c>
      <c r="K5944" s="33" t="s">
        <v>558</v>
      </c>
      <c r="L5944" s="33" t="s">
        <v>230</v>
      </c>
      <c r="M5944" s="33" t="s">
        <v>21</v>
      </c>
      <c r="N5944" s="33" t="s">
        <v>7426</v>
      </c>
      <c r="O5944" s="33" t="s">
        <v>950</v>
      </c>
      <c r="P5944" s="33" t="s">
        <v>30089</v>
      </c>
      <c r="Q5944" s="40" t="s">
        <v>19044</v>
      </c>
      <c r="R5944" s="33" t="s">
        <v>94</v>
      </c>
      <c r="S5944" s="33" t="s">
        <v>12</v>
      </c>
      <c r="T5944" s="54" t="s">
        <v>29705</v>
      </c>
      <c r="Z5944" s="33" t="s">
        <v>42966</v>
      </c>
      <c r="AA5944" s="33">
        <v>1725</v>
      </c>
    </row>
    <row r="5945" spans="1:27" ht="12" customHeight="1" x14ac:dyDescent="0.15">
      <c r="A5945" s="33" t="s">
        <v>7455</v>
      </c>
      <c r="B5945" s="33">
        <v>24</v>
      </c>
      <c r="C5945" s="33" t="s">
        <v>14</v>
      </c>
      <c r="D5945" s="33" t="s">
        <v>42</v>
      </c>
      <c r="E5945" s="33" t="s">
        <v>7456</v>
      </c>
      <c r="F5945" s="67">
        <v>41853</v>
      </c>
      <c r="G5945" s="33" t="s">
        <v>7457</v>
      </c>
      <c r="H5945" s="33" t="s">
        <v>7458</v>
      </c>
      <c r="I5945" s="33" t="s">
        <v>39</v>
      </c>
      <c r="J5945" s="33" t="s">
        <v>7459</v>
      </c>
      <c r="K5945" s="33" t="s">
        <v>92</v>
      </c>
      <c r="L5945" s="33" t="s">
        <v>386</v>
      </c>
      <c r="M5945" s="33" t="s">
        <v>21</v>
      </c>
      <c r="N5945" s="33" t="s">
        <v>7460</v>
      </c>
      <c r="O5945" s="33" t="s">
        <v>950</v>
      </c>
      <c r="P5945" s="33" t="s">
        <v>30089</v>
      </c>
      <c r="Q5945" s="40" t="s">
        <v>7461</v>
      </c>
      <c r="R5945" s="33" t="s">
        <v>94</v>
      </c>
      <c r="S5945" s="33" t="s">
        <v>22</v>
      </c>
      <c r="T5945" s="1" t="s">
        <v>26781</v>
      </c>
      <c r="Z5945" s="33" t="s">
        <v>42968</v>
      </c>
      <c r="AA5945" s="33">
        <v>1716</v>
      </c>
    </row>
    <row r="5946" spans="1:27" ht="12" customHeight="1" x14ac:dyDescent="0.15">
      <c r="A5946" s="33" t="s">
        <v>7462</v>
      </c>
      <c r="B5946" s="33">
        <v>23</v>
      </c>
      <c r="C5946" s="33" t="s">
        <v>14</v>
      </c>
      <c r="D5946" s="33" t="s">
        <v>42</v>
      </c>
      <c r="F5946" s="67">
        <v>41853</v>
      </c>
      <c r="G5946" s="33" t="s">
        <v>7463</v>
      </c>
      <c r="H5946" s="33" t="s">
        <v>584</v>
      </c>
      <c r="I5946" s="33" t="s">
        <v>112</v>
      </c>
      <c r="J5946" s="33" t="s">
        <v>5670</v>
      </c>
      <c r="K5946" s="33" t="s">
        <v>585</v>
      </c>
      <c r="L5946" s="33" t="s">
        <v>586</v>
      </c>
      <c r="M5946" s="33" t="s">
        <v>21</v>
      </c>
      <c r="N5946" s="33" t="s">
        <v>7464</v>
      </c>
      <c r="O5946" s="33" t="s">
        <v>950</v>
      </c>
      <c r="P5946" s="33" t="s">
        <v>30089</v>
      </c>
      <c r="Q5946" s="40" t="s">
        <v>7465</v>
      </c>
      <c r="R5946" s="33" t="s">
        <v>94</v>
      </c>
      <c r="S5946" s="33" t="s">
        <v>22</v>
      </c>
      <c r="T5946" s="1" t="s">
        <v>26781</v>
      </c>
      <c r="Z5946" s="33" t="s">
        <v>42966</v>
      </c>
      <c r="AA5946" s="33">
        <v>1718</v>
      </c>
    </row>
    <row r="5947" spans="1:27" ht="12" customHeight="1" x14ac:dyDescent="0.15">
      <c r="A5947" s="33" t="s">
        <v>7466</v>
      </c>
      <c r="B5947" s="33">
        <v>28</v>
      </c>
      <c r="C5947" s="33" t="s">
        <v>14</v>
      </c>
      <c r="D5947" s="33" t="s">
        <v>42</v>
      </c>
      <c r="F5947" s="67">
        <v>41853</v>
      </c>
      <c r="G5947" s="33" t="s">
        <v>7467</v>
      </c>
      <c r="H5947" s="33" t="s">
        <v>7468</v>
      </c>
      <c r="I5947" s="33" t="s">
        <v>112</v>
      </c>
      <c r="J5947" s="33" t="s">
        <v>7469</v>
      </c>
      <c r="K5947" s="33" t="s">
        <v>7470</v>
      </c>
      <c r="L5947" s="33" t="s">
        <v>7471</v>
      </c>
      <c r="M5947" s="33" t="s">
        <v>21</v>
      </c>
      <c r="N5947" s="33" t="s">
        <v>7472</v>
      </c>
      <c r="O5947" s="33" t="s">
        <v>950</v>
      </c>
      <c r="P5947" s="33" t="s">
        <v>30089</v>
      </c>
      <c r="Q5947" s="40" t="s">
        <v>7473</v>
      </c>
      <c r="R5947" s="33" t="s">
        <v>23</v>
      </c>
      <c r="S5947" s="33" t="s">
        <v>22</v>
      </c>
      <c r="T5947" s="1" t="s">
        <v>26781</v>
      </c>
      <c r="Z5947" s="33" t="s">
        <v>42967</v>
      </c>
      <c r="AA5947" s="33">
        <v>1717</v>
      </c>
    </row>
    <row r="5948" spans="1:27" ht="12" customHeight="1" x14ac:dyDescent="0.15">
      <c r="A5948" s="33" t="s">
        <v>7450</v>
      </c>
      <c r="B5948" s="33">
        <v>37</v>
      </c>
      <c r="C5948" s="33" t="s">
        <v>14</v>
      </c>
      <c r="D5948" s="33" t="s">
        <v>42</v>
      </c>
      <c r="E5948" s="33" t="s">
        <v>7451</v>
      </c>
      <c r="F5948" s="67">
        <v>41853</v>
      </c>
      <c r="G5948" s="33" t="s">
        <v>7452</v>
      </c>
      <c r="H5948" s="33" t="s">
        <v>92</v>
      </c>
      <c r="I5948" s="33" t="s">
        <v>39</v>
      </c>
      <c r="J5948" s="33" t="s">
        <v>7240</v>
      </c>
      <c r="K5948" s="33" t="s">
        <v>92</v>
      </c>
      <c r="L5948" s="33" t="s">
        <v>93</v>
      </c>
      <c r="M5948" s="33" t="s">
        <v>2909</v>
      </c>
      <c r="N5948" s="33" t="s">
        <v>7453</v>
      </c>
      <c r="O5948" s="33" t="s">
        <v>372</v>
      </c>
      <c r="P5948" s="33" t="s">
        <v>30089</v>
      </c>
      <c r="Q5948" s="40" t="s">
        <v>7454</v>
      </c>
      <c r="R5948" s="33" t="s">
        <v>512</v>
      </c>
      <c r="S5948" s="33" t="s">
        <v>12</v>
      </c>
      <c r="T5948" s="54" t="s">
        <v>29705</v>
      </c>
      <c r="Z5948" s="33" t="s">
        <v>42966</v>
      </c>
      <c r="AA5948" s="33">
        <v>1720</v>
      </c>
    </row>
    <row r="5949" spans="1:27" ht="12" customHeight="1" x14ac:dyDescent="0.15">
      <c r="A5949" s="33" t="s">
        <v>7474</v>
      </c>
      <c r="B5949" s="33">
        <v>40</v>
      </c>
      <c r="C5949" s="33" t="s">
        <v>14</v>
      </c>
      <c r="D5949" s="33" t="s">
        <v>31</v>
      </c>
      <c r="F5949" s="67">
        <v>41853</v>
      </c>
      <c r="G5949" s="33" t="s">
        <v>7475</v>
      </c>
      <c r="H5949" s="33" t="s">
        <v>1645</v>
      </c>
      <c r="I5949" s="33" t="s">
        <v>39</v>
      </c>
      <c r="J5949" s="33" t="s">
        <v>7476</v>
      </c>
      <c r="K5949" s="33" t="s">
        <v>1647</v>
      </c>
      <c r="L5949" s="33" t="s">
        <v>897</v>
      </c>
      <c r="M5949" s="33" t="s">
        <v>21</v>
      </c>
      <c r="N5949" s="33" t="s">
        <v>7477</v>
      </c>
      <c r="O5949" s="33" t="s">
        <v>950</v>
      </c>
      <c r="P5949" s="33" t="s">
        <v>30089</v>
      </c>
      <c r="Q5949" s="40" t="s">
        <v>7478</v>
      </c>
      <c r="R5949" s="33" t="s">
        <v>94</v>
      </c>
      <c r="S5949" s="33" t="s">
        <v>22</v>
      </c>
      <c r="T5949" s="1" t="s">
        <v>26774</v>
      </c>
      <c r="Z5949" s="33" t="s">
        <v>42968</v>
      </c>
      <c r="AA5949" s="33">
        <v>1719</v>
      </c>
    </row>
    <row r="5950" spans="1:27" ht="12" customHeight="1" x14ac:dyDescent="0.15">
      <c r="A5950" s="33" t="s">
        <v>7492</v>
      </c>
      <c r="B5950" s="33">
        <v>54</v>
      </c>
      <c r="C5950" s="33" t="s">
        <v>14</v>
      </c>
      <c r="D5950" s="33" t="s">
        <v>42</v>
      </c>
      <c r="E5950" s="33" t="s">
        <v>7493</v>
      </c>
      <c r="F5950" s="67">
        <v>41852</v>
      </c>
      <c r="G5950" s="33" t="s">
        <v>7494</v>
      </c>
      <c r="H5950" s="33" t="s">
        <v>7458</v>
      </c>
      <c r="I5950" s="33" t="s">
        <v>39</v>
      </c>
      <c r="J5950" s="33" t="s">
        <v>7459</v>
      </c>
      <c r="K5950" s="33" t="s">
        <v>92</v>
      </c>
      <c r="L5950" s="33" t="s">
        <v>386</v>
      </c>
      <c r="M5950" s="33" t="s">
        <v>21</v>
      </c>
      <c r="N5950" s="33" t="s">
        <v>19040</v>
      </c>
      <c r="O5950" s="33" t="s">
        <v>950</v>
      </c>
      <c r="P5950" s="33" t="s">
        <v>30089</v>
      </c>
      <c r="Q5950" s="40" t="s">
        <v>7495</v>
      </c>
      <c r="R5950" s="33" t="s">
        <v>94</v>
      </c>
      <c r="S5950" s="33" t="s">
        <v>12</v>
      </c>
      <c r="T5950" s="54" t="s">
        <v>29705</v>
      </c>
      <c r="Z5950" s="33" t="s">
        <v>42968</v>
      </c>
      <c r="AA5950" s="33">
        <v>1714</v>
      </c>
    </row>
    <row r="5951" spans="1:27" ht="12" customHeight="1" x14ac:dyDescent="0.15">
      <c r="A5951" s="33" t="s">
        <v>7479</v>
      </c>
      <c r="B5951" s="33">
        <v>27</v>
      </c>
      <c r="C5951" s="33" t="s">
        <v>14</v>
      </c>
      <c r="D5951" s="33" t="s">
        <v>79</v>
      </c>
      <c r="F5951" s="67">
        <v>41852</v>
      </c>
      <c r="G5951" s="33" t="s">
        <v>7480</v>
      </c>
      <c r="H5951" s="33" t="s">
        <v>7481</v>
      </c>
      <c r="I5951" s="33" t="s">
        <v>160</v>
      </c>
      <c r="J5951" s="33" t="s">
        <v>7482</v>
      </c>
      <c r="K5951" s="33" t="s">
        <v>1454</v>
      </c>
      <c r="L5951" s="33" t="s">
        <v>7483</v>
      </c>
      <c r="M5951" s="33" t="s">
        <v>21</v>
      </c>
      <c r="N5951" s="33" t="s">
        <v>7484</v>
      </c>
      <c r="O5951" s="33" t="s">
        <v>950</v>
      </c>
      <c r="P5951" s="33" t="s">
        <v>30089</v>
      </c>
      <c r="Q5951" s="40" t="str">
        <f>HYPERLINK("http://www.ajc.com/news/news/police-investigating-shooting-in-east-point/ngsX4/","http://www.ajc.com/news/news/police-investigating-shooting-in-east-point/ngsX4/")</f>
        <v>http://www.ajc.com/news/news/police-investigating-shooting-in-east-point/ngsX4/</v>
      </c>
      <c r="R5951" s="33" t="s">
        <v>94</v>
      </c>
      <c r="S5951" s="33" t="s">
        <v>22</v>
      </c>
      <c r="T5951" s="1" t="s">
        <v>26781</v>
      </c>
      <c r="Z5951" s="33" t="s">
        <v>42968</v>
      </c>
      <c r="AA5951" s="33">
        <v>1712</v>
      </c>
    </row>
    <row r="5952" spans="1:27" ht="12" customHeight="1" x14ac:dyDescent="0.15">
      <c r="A5952" s="33" t="s">
        <v>7485</v>
      </c>
      <c r="B5952" s="33">
        <v>42</v>
      </c>
      <c r="C5952" s="33" t="s">
        <v>14</v>
      </c>
      <c r="D5952" s="33" t="s">
        <v>79</v>
      </c>
      <c r="F5952" s="67">
        <v>41852</v>
      </c>
      <c r="G5952" s="33" t="s">
        <v>7486</v>
      </c>
      <c r="H5952" s="33" t="s">
        <v>7487</v>
      </c>
      <c r="I5952" s="33" t="s">
        <v>75</v>
      </c>
      <c r="J5952" s="33" t="s">
        <v>7488</v>
      </c>
      <c r="K5952" s="33" t="s">
        <v>1406</v>
      </c>
      <c r="L5952" s="33" t="s">
        <v>7489</v>
      </c>
      <c r="M5952" s="33" t="s">
        <v>21</v>
      </c>
      <c r="N5952" s="33" t="s">
        <v>7490</v>
      </c>
      <c r="O5952" s="33" t="s">
        <v>950</v>
      </c>
      <c r="P5952" s="33" t="s">
        <v>30089</v>
      </c>
      <c r="Q5952" s="40" t="s">
        <v>7491</v>
      </c>
      <c r="R5952" s="33" t="s">
        <v>23</v>
      </c>
      <c r="S5952" s="33" t="s">
        <v>29</v>
      </c>
      <c r="T5952" s="33" t="s">
        <v>41840</v>
      </c>
      <c r="Z5952" s="33" t="s">
        <v>42968</v>
      </c>
      <c r="AA5952" s="33">
        <v>1715</v>
      </c>
    </row>
    <row r="5953" spans="1:27" ht="12" customHeight="1" x14ac:dyDescent="0.15">
      <c r="A5953" s="33" t="s">
        <v>3002</v>
      </c>
      <c r="B5953" s="33">
        <v>41</v>
      </c>
      <c r="C5953" s="33" t="s">
        <v>14</v>
      </c>
      <c r="D5953" s="33" t="s">
        <v>24</v>
      </c>
      <c r="F5953" s="67">
        <v>41852</v>
      </c>
      <c r="G5953" s="33" t="s">
        <v>7496</v>
      </c>
      <c r="H5953" s="33" t="s">
        <v>1033</v>
      </c>
      <c r="I5953" s="33" t="s">
        <v>376</v>
      </c>
      <c r="J5953" s="33" t="s">
        <v>7497</v>
      </c>
      <c r="K5953" s="33" t="s">
        <v>1033</v>
      </c>
      <c r="L5953" s="33" t="s">
        <v>1034</v>
      </c>
      <c r="M5953" s="33" t="s">
        <v>21</v>
      </c>
      <c r="N5953" s="33" t="s">
        <v>36816</v>
      </c>
      <c r="O5953" s="33" t="s">
        <v>950</v>
      </c>
      <c r="P5953" s="33" t="s">
        <v>30089</v>
      </c>
      <c r="Q5953" s="40" t="s">
        <v>7498</v>
      </c>
      <c r="R5953" s="33" t="s">
        <v>94</v>
      </c>
      <c r="S5953" s="33" t="s">
        <v>22</v>
      </c>
      <c r="T5953" s="1" t="s">
        <v>26781</v>
      </c>
      <c r="Z5953" s="33" t="s">
        <v>42966</v>
      </c>
      <c r="AA5953" s="33">
        <v>1713</v>
      </c>
    </row>
    <row r="5954" spans="1:27" ht="12" customHeight="1" x14ac:dyDescent="0.15">
      <c r="A5954" s="33" t="s">
        <v>7499</v>
      </c>
      <c r="B5954" s="33">
        <v>50</v>
      </c>
      <c r="C5954" s="33" t="s">
        <v>14</v>
      </c>
      <c r="D5954" s="33" t="s">
        <v>31</v>
      </c>
      <c r="E5954" s="33" t="s">
        <v>7500</v>
      </c>
      <c r="F5954" s="67">
        <v>41851</v>
      </c>
      <c r="G5954" s="33" t="s">
        <v>7501</v>
      </c>
      <c r="H5954" s="33" t="s">
        <v>532</v>
      </c>
      <c r="I5954" s="33" t="s">
        <v>67</v>
      </c>
      <c r="J5954" s="33" t="s">
        <v>7502</v>
      </c>
      <c r="K5954" s="33" t="s">
        <v>533</v>
      </c>
      <c r="L5954" s="33" t="s">
        <v>534</v>
      </c>
      <c r="M5954" s="33" t="s">
        <v>21</v>
      </c>
      <c r="N5954" s="33" t="s">
        <v>7503</v>
      </c>
      <c r="O5954" s="33" t="s">
        <v>950</v>
      </c>
      <c r="P5954" s="33" t="s">
        <v>30089</v>
      </c>
      <c r="Q5954" s="40" t="s">
        <v>7504</v>
      </c>
      <c r="R5954" s="33" t="s">
        <v>94</v>
      </c>
      <c r="S5954" s="33" t="s">
        <v>22</v>
      </c>
      <c r="T5954" s="1" t="s">
        <v>26781</v>
      </c>
      <c r="Z5954" s="33" t="s">
        <v>42966</v>
      </c>
      <c r="AA5954" s="33">
        <v>1711</v>
      </c>
    </row>
    <row r="5955" spans="1:27" ht="12" customHeight="1" x14ac:dyDescent="0.15">
      <c r="A5955" s="33" t="s">
        <v>7514</v>
      </c>
      <c r="B5955" s="33">
        <v>42</v>
      </c>
      <c r="C5955" s="33" t="s">
        <v>14</v>
      </c>
      <c r="D5955" s="33" t="s">
        <v>24</v>
      </c>
      <c r="F5955" s="67">
        <v>41850</v>
      </c>
      <c r="G5955" s="33" t="s">
        <v>7515</v>
      </c>
      <c r="H5955" s="33" t="s">
        <v>1132</v>
      </c>
      <c r="I5955" s="33" t="s">
        <v>282</v>
      </c>
      <c r="J5955" s="33" t="s">
        <v>7516</v>
      </c>
      <c r="K5955" s="33" t="s">
        <v>1133</v>
      </c>
      <c r="L5955" s="33" t="s">
        <v>1134</v>
      </c>
      <c r="M5955" s="33" t="s">
        <v>21</v>
      </c>
      <c r="N5955" s="33" t="s">
        <v>7517</v>
      </c>
      <c r="O5955" s="33" t="s">
        <v>23</v>
      </c>
      <c r="P5955" s="33" t="s">
        <v>30089</v>
      </c>
      <c r="Q5955" s="40" t="s">
        <v>7518</v>
      </c>
      <c r="R5955" s="33" t="s">
        <v>904</v>
      </c>
      <c r="S5955" s="33" t="s">
        <v>22</v>
      </c>
      <c r="T5955" s="1" t="s">
        <v>43013</v>
      </c>
      <c r="Z5955" s="33" t="s">
        <v>42966</v>
      </c>
      <c r="AA5955" s="33">
        <v>1707</v>
      </c>
    </row>
    <row r="5956" spans="1:27" ht="12" customHeight="1" x14ac:dyDescent="0.15">
      <c r="A5956" s="33" t="s">
        <v>7509</v>
      </c>
      <c r="B5956" s="33">
        <v>52</v>
      </c>
      <c r="C5956" s="33" t="s">
        <v>14</v>
      </c>
      <c r="D5956" s="33" t="s">
        <v>24</v>
      </c>
      <c r="F5956" s="67">
        <v>41850</v>
      </c>
      <c r="G5956" s="33" t="s">
        <v>7510</v>
      </c>
      <c r="H5956" s="33" t="s">
        <v>2196</v>
      </c>
      <c r="I5956" s="33" t="s">
        <v>814</v>
      </c>
      <c r="J5956" s="33" t="s">
        <v>7511</v>
      </c>
      <c r="K5956" s="33" t="s">
        <v>2196</v>
      </c>
      <c r="L5956" s="33" t="s">
        <v>3281</v>
      </c>
      <c r="M5956" s="33" t="s">
        <v>21</v>
      </c>
      <c r="N5956" s="33" t="s">
        <v>7512</v>
      </c>
      <c r="O5956" s="33" t="s">
        <v>372</v>
      </c>
      <c r="P5956" s="33" t="s">
        <v>30089</v>
      </c>
      <c r="Q5956" s="40" t="s">
        <v>7513</v>
      </c>
      <c r="R5956" s="33" t="s">
        <v>904</v>
      </c>
      <c r="S5956" s="33" t="s">
        <v>351</v>
      </c>
      <c r="T5956" s="1" t="s">
        <v>26867</v>
      </c>
      <c r="Z5956" s="33" t="s">
        <v>42966</v>
      </c>
      <c r="AA5956" s="33">
        <v>1709</v>
      </c>
    </row>
    <row r="5957" spans="1:27" ht="12" customHeight="1" x14ac:dyDescent="0.15">
      <c r="A5957" s="33" t="s">
        <v>7505</v>
      </c>
      <c r="B5957" s="33">
        <v>32</v>
      </c>
      <c r="C5957" s="33" t="s">
        <v>14</v>
      </c>
      <c r="D5957" s="33" t="s">
        <v>79</v>
      </c>
      <c r="F5957" s="67">
        <v>41850</v>
      </c>
      <c r="G5957" s="33" t="s">
        <v>7506</v>
      </c>
      <c r="H5957" s="33" t="s">
        <v>4849</v>
      </c>
      <c r="I5957" s="33" t="s">
        <v>225</v>
      </c>
      <c r="J5957" s="33" t="s">
        <v>5862</v>
      </c>
      <c r="K5957" s="33" t="s">
        <v>4849</v>
      </c>
      <c r="L5957" s="33" t="s">
        <v>5863</v>
      </c>
      <c r="M5957" s="33" t="s">
        <v>21</v>
      </c>
      <c r="N5957" s="33" t="s">
        <v>7507</v>
      </c>
      <c r="O5957" s="33" t="s">
        <v>507</v>
      </c>
      <c r="P5957" s="33" t="s">
        <v>30089</v>
      </c>
      <c r="Q5957" s="40" t="s">
        <v>7508</v>
      </c>
      <c r="R5957" s="33" t="s">
        <v>94</v>
      </c>
      <c r="S5957" s="33" t="s">
        <v>351</v>
      </c>
      <c r="T5957" s="1" t="s">
        <v>42983</v>
      </c>
      <c r="Z5957" s="33" t="s">
        <v>42967</v>
      </c>
      <c r="AA5957" s="33">
        <v>1710</v>
      </c>
    </row>
    <row r="5958" spans="1:27" ht="12" customHeight="1" x14ac:dyDescent="0.15">
      <c r="A5958" s="33" t="s">
        <v>7519</v>
      </c>
      <c r="B5958" s="33">
        <v>41</v>
      </c>
      <c r="C5958" s="33" t="s">
        <v>14</v>
      </c>
      <c r="D5958" s="33" t="s">
        <v>31</v>
      </c>
      <c r="E5958" s="33" t="s">
        <v>7520</v>
      </c>
      <c r="F5958" s="67">
        <v>41850</v>
      </c>
      <c r="G5958" s="33" t="s">
        <v>7521</v>
      </c>
      <c r="H5958" s="33" t="s">
        <v>5472</v>
      </c>
      <c r="I5958" s="33" t="s">
        <v>338</v>
      </c>
      <c r="J5958" s="33" t="s">
        <v>7522</v>
      </c>
      <c r="K5958" s="33" t="s">
        <v>2907</v>
      </c>
      <c r="L5958" s="33" t="s">
        <v>5949</v>
      </c>
      <c r="M5958" s="33" t="s">
        <v>21</v>
      </c>
      <c r="N5958" s="33" t="s">
        <v>7523</v>
      </c>
      <c r="O5958" s="33" t="s">
        <v>950</v>
      </c>
      <c r="P5958" s="33" t="s">
        <v>30089</v>
      </c>
      <c r="Q5958" s="40" t="s">
        <v>7524</v>
      </c>
      <c r="R5958" s="33" t="s">
        <v>23</v>
      </c>
      <c r="S5958" s="33" t="s">
        <v>22</v>
      </c>
      <c r="T5958" s="1" t="s">
        <v>26781</v>
      </c>
      <c r="Z5958" s="33" t="s">
        <v>42968</v>
      </c>
      <c r="AA5958" s="33">
        <v>1708</v>
      </c>
    </row>
    <row r="5959" spans="1:27" ht="12" customHeight="1" x14ac:dyDescent="0.15">
      <c r="A5959" s="33" t="s">
        <v>7538</v>
      </c>
      <c r="B5959" s="33">
        <v>25</v>
      </c>
      <c r="C5959" s="33" t="s">
        <v>14</v>
      </c>
      <c r="D5959" s="33" t="s">
        <v>31</v>
      </c>
      <c r="F5959" s="67">
        <v>41849</v>
      </c>
      <c r="G5959" s="33" t="s">
        <v>7539</v>
      </c>
      <c r="H5959" s="33" t="s">
        <v>7540</v>
      </c>
      <c r="I5959" s="33" t="s">
        <v>38</v>
      </c>
      <c r="J5959" s="33" t="s">
        <v>7541</v>
      </c>
      <c r="K5959" s="33" t="s">
        <v>3848</v>
      </c>
      <c r="L5959" s="33" t="s">
        <v>7542</v>
      </c>
      <c r="M5959" s="33" t="s">
        <v>21</v>
      </c>
      <c r="N5959" s="33" t="s">
        <v>7543</v>
      </c>
      <c r="O5959" s="33" t="s">
        <v>950</v>
      </c>
      <c r="P5959" s="33" t="s">
        <v>30089</v>
      </c>
      <c r="Q5959" s="40" t="s">
        <v>7544</v>
      </c>
      <c r="R5959" s="33" t="s">
        <v>23</v>
      </c>
      <c r="S5959" s="33" t="s">
        <v>22</v>
      </c>
      <c r="T5959" s="1" t="s">
        <v>26781</v>
      </c>
      <c r="Z5959" s="33" t="s">
        <v>42967</v>
      </c>
      <c r="AA5959" s="33">
        <v>1703</v>
      </c>
    </row>
    <row r="5960" spans="1:27" ht="12" customHeight="1" x14ac:dyDescent="0.15">
      <c r="A5960" s="33" t="s">
        <v>7545</v>
      </c>
      <c r="B5960" s="33">
        <v>26</v>
      </c>
      <c r="C5960" s="33" t="s">
        <v>14</v>
      </c>
      <c r="D5960" s="33" t="s">
        <v>31</v>
      </c>
      <c r="E5960" s="33" t="s">
        <v>7546</v>
      </c>
      <c r="F5960" s="67">
        <v>41849</v>
      </c>
      <c r="G5960" s="33" t="s">
        <v>7547</v>
      </c>
      <c r="H5960" s="33" t="s">
        <v>7548</v>
      </c>
      <c r="I5960" s="33" t="s">
        <v>1020</v>
      </c>
      <c r="J5960" s="33" t="s">
        <v>7549</v>
      </c>
      <c r="K5960" s="33" t="s">
        <v>1066</v>
      </c>
      <c r="L5960" s="33" t="s">
        <v>7550</v>
      </c>
      <c r="M5960" s="33" t="s">
        <v>21</v>
      </c>
      <c r="N5960" s="33" t="s">
        <v>7551</v>
      </c>
      <c r="O5960" s="33" t="s">
        <v>950</v>
      </c>
      <c r="P5960" s="33" t="s">
        <v>30089</v>
      </c>
      <c r="Q5960" s="40" t="s">
        <v>7552</v>
      </c>
      <c r="R5960" s="33" t="s">
        <v>94</v>
      </c>
      <c r="S5960" s="33" t="s">
        <v>22</v>
      </c>
      <c r="T5960" s="1" t="s">
        <v>26781</v>
      </c>
      <c r="Z5960" s="33" t="s">
        <v>42967</v>
      </c>
      <c r="AA5960" s="33">
        <v>1704</v>
      </c>
    </row>
    <row r="5961" spans="1:27" ht="12" customHeight="1" x14ac:dyDescent="0.15">
      <c r="A5961" s="33" t="s">
        <v>7525</v>
      </c>
      <c r="B5961" s="33">
        <v>51</v>
      </c>
      <c r="C5961" s="33" t="s">
        <v>14</v>
      </c>
      <c r="D5961" s="33" t="s">
        <v>42</v>
      </c>
      <c r="F5961" s="67">
        <v>41849</v>
      </c>
      <c r="G5961" s="33" t="s">
        <v>7526</v>
      </c>
      <c r="H5961" s="33" t="s">
        <v>1194</v>
      </c>
      <c r="I5961" s="33" t="s">
        <v>250</v>
      </c>
      <c r="J5961" s="33" t="s">
        <v>7527</v>
      </c>
      <c r="K5961" s="33" t="s">
        <v>527</v>
      </c>
      <c r="L5961" s="33" t="s">
        <v>1387</v>
      </c>
      <c r="M5961" s="33" t="s">
        <v>21</v>
      </c>
      <c r="N5961" s="33" t="s">
        <v>7528</v>
      </c>
      <c r="O5961" s="33" t="s">
        <v>950</v>
      </c>
      <c r="P5961" s="33" t="s">
        <v>30089</v>
      </c>
      <c r="Q5961" s="40" t="str">
        <f>HYPERLINK("http://www.8newsnow.com/story/26137424/breaking-news-police-investigate-officer-involved-shooting","http://www.8newsnow.com/story/26137424/breaking-news-police-investigate-officer-involved-shooting")</f>
        <v>http://www.8newsnow.com/story/26137424/breaking-news-police-investigate-officer-involved-shooting</v>
      </c>
      <c r="R5961" s="33" t="s">
        <v>94</v>
      </c>
      <c r="S5961" s="33" t="s">
        <v>22</v>
      </c>
      <c r="T5961" s="1" t="s">
        <v>26774</v>
      </c>
      <c r="Z5961" s="33" t="s">
        <v>42968</v>
      </c>
      <c r="AA5961" s="33">
        <v>1705</v>
      </c>
    </row>
    <row r="5962" spans="1:27" ht="12" customHeight="1" x14ac:dyDescent="0.15">
      <c r="A5962" s="33" t="s">
        <v>7529</v>
      </c>
      <c r="B5962" s="33">
        <v>36</v>
      </c>
      <c r="C5962" s="33" t="s">
        <v>14</v>
      </c>
      <c r="D5962" s="33" t="s">
        <v>42</v>
      </c>
      <c r="E5962" s="33" t="s">
        <v>7530</v>
      </c>
      <c r="F5962" s="67">
        <v>41849</v>
      </c>
      <c r="H5962" s="33" t="s">
        <v>7531</v>
      </c>
      <c r="I5962" s="33" t="s">
        <v>67</v>
      </c>
      <c r="J5962" s="33">
        <v>77024</v>
      </c>
      <c r="K5962" s="33" t="s">
        <v>515</v>
      </c>
      <c r="L5962" s="33" t="s">
        <v>7532</v>
      </c>
      <c r="M5962" s="33" t="s">
        <v>21</v>
      </c>
      <c r="N5962" s="33" t="s">
        <v>7533</v>
      </c>
      <c r="P5962" s="33" t="s">
        <v>30089</v>
      </c>
      <c r="Q5962" s="40" t="s">
        <v>7534</v>
      </c>
      <c r="R5962" s="33" t="s">
        <v>23</v>
      </c>
      <c r="S5962" s="33" t="s">
        <v>22</v>
      </c>
      <c r="T5962" s="1" t="s">
        <v>26781</v>
      </c>
      <c r="Z5962" s="33" t="s">
        <v>42966</v>
      </c>
      <c r="AA5962" s="33">
        <v>1701</v>
      </c>
    </row>
    <row r="5963" spans="1:27" ht="12" customHeight="1" x14ac:dyDescent="0.15">
      <c r="A5963" s="33" t="s">
        <v>7553</v>
      </c>
      <c r="B5963" s="33">
        <v>27</v>
      </c>
      <c r="C5963" s="33" t="s">
        <v>14</v>
      </c>
      <c r="D5963" s="33" t="s">
        <v>31</v>
      </c>
      <c r="E5963" s="33" t="s">
        <v>7554</v>
      </c>
      <c r="F5963" s="67">
        <v>41849</v>
      </c>
      <c r="G5963" s="33" t="s">
        <v>7555</v>
      </c>
      <c r="H5963" s="33" t="s">
        <v>607</v>
      </c>
      <c r="I5963" s="33" t="s">
        <v>250</v>
      </c>
      <c r="J5963" s="33" t="s">
        <v>7556</v>
      </c>
      <c r="K5963" s="33" t="s">
        <v>527</v>
      </c>
      <c r="L5963" s="33" t="s">
        <v>528</v>
      </c>
      <c r="M5963" s="33" t="s">
        <v>21</v>
      </c>
      <c r="N5963" s="33" t="s">
        <v>7557</v>
      </c>
      <c r="O5963" s="33" t="s">
        <v>950</v>
      </c>
      <c r="P5963" s="33" t="s">
        <v>30089</v>
      </c>
      <c r="Q5963" s="40" t="s">
        <v>7558</v>
      </c>
      <c r="R5963" s="33" t="s">
        <v>23</v>
      </c>
      <c r="S5963" s="33" t="s">
        <v>22</v>
      </c>
      <c r="T5963" s="1" t="s">
        <v>26781</v>
      </c>
      <c r="Z5963" s="33" t="s">
        <v>42966</v>
      </c>
      <c r="AA5963" s="33">
        <v>1702</v>
      </c>
    </row>
    <row r="5964" spans="1:27" ht="12" customHeight="1" x14ac:dyDescent="0.15">
      <c r="A5964" s="33" t="s">
        <v>7535</v>
      </c>
      <c r="B5964" s="33">
        <v>34</v>
      </c>
      <c r="C5964" s="33" t="s">
        <v>14</v>
      </c>
      <c r="D5964" s="33" t="s">
        <v>24</v>
      </c>
      <c r="F5964" s="67">
        <v>41849</v>
      </c>
      <c r="G5964" s="33" t="s">
        <v>7536</v>
      </c>
      <c r="H5964" s="33" t="s">
        <v>4016</v>
      </c>
      <c r="I5964" s="33" t="s">
        <v>282</v>
      </c>
      <c r="J5964" s="33" t="s">
        <v>4017</v>
      </c>
      <c r="K5964" s="33" t="s">
        <v>1203</v>
      </c>
      <c r="L5964" s="33" t="s">
        <v>4018</v>
      </c>
      <c r="M5964" s="33" t="s">
        <v>21</v>
      </c>
      <c r="N5964" s="33" t="s">
        <v>7537</v>
      </c>
      <c r="O5964" s="33" t="s">
        <v>950</v>
      </c>
      <c r="P5964" s="33" t="s">
        <v>30089</v>
      </c>
      <c r="Q5964" s="40" t="str">
        <f>HYPERLINK("http://www.tri-cityherald.com/2014/07/29/3083195_pasco-man-with-knife-killed-by.html?rh=1","http://www.tri-cityherald.com/2014/07/29/3083195_pasco-man-with-knife-killed-by.html?rh=1")</f>
        <v>http://www.tri-cityherald.com/2014/07/29/3083195_pasco-man-with-knife-killed-by.html?rh=1</v>
      </c>
      <c r="R5964" s="33" t="s">
        <v>23</v>
      </c>
      <c r="S5964" s="33" t="s">
        <v>22</v>
      </c>
      <c r="T5964" s="1" t="s">
        <v>26774</v>
      </c>
      <c r="Z5964" s="33" t="s">
        <v>42968</v>
      </c>
      <c r="AA5964" s="33">
        <v>1706</v>
      </c>
    </row>
    <row r="5965" spans="1:27" ht="12" customHeight="1" x14ac:dyDescent="0.15">
      <c r="A5965" s="33" t="s">
        <v>7559</v>
      </c>
      <c r="B5965" s="33">
        <v>53</v>
      </c>
      <c r="C5965" s="33" t="s">
        <v>14</v>
      </c>
      <c r="D5965" s="33" t="s">
        <v>79</v>
      </c>
      <c r="E5965" s="33" t="s">
        <v>7560</v>
      </c>
      <c r="F5965" s="67">
        <v>41848</v>
      </c>
      <c r="G5965" s="33" t="s">
        <v>7561</v>
      </c>
      <c r="H5965" s="33" t="s">
        <v>81</v>
      </c>
      <c r="I5965" s="33" t="s">
        <v>38</v>
      </c>
      <c r="J5965" s="33" t="s">
        <v>7562</v>
      </c>
      <c r="K5965" s="33" t="s">
        <v>82</v>
      </c>
      <c r="L5965" s="33" t="s">
        <v>83</v>
      </c>
      <c r="M5965" s="33" t="s">
        <v>21</v>
      </c>
      <c r="N5965" s="33" t="s">
        <v>7563</v>
      </c>
      <c r="O5965" s="33" t="s">
        <v>950</v>
      </c>
      <c r="P5965" s="33" t="s">
        <v>30089</v>
      </c>
      <c r="Q5965" s="40" t="s">
        <v>7564</v>
      </c>
      <c r="R5965" s="33" t="s">
        <v>23</v>
      </c>
      <c r="S5965" s="33" t="s">
        <v>29</v>
      </c>
      <c r="T5965" s="33" t="s">
        <v>41840</v>
      </c>
      <c r="Y5965" s="33" t="s">
        <v>42476</v>
      </c>
      <c r="Z5965" s="33" t="s">
        <v>42966</v>
      </c>
      <c r="AA5965" s="33">
        <v>1700</v>
      </c>
    </row>
    <row r="5966" spans="1:27" ht="12" customHeight="1" x14ac:dyDescent="0.15">
      <c r="A5966" s="33" t="s">
        <v>7572</v>
      </c>
      <c r="B5966" s="33">
        <v>32</v>
      </c>
      <c r="C5966" s="33" t="s">
        <v>14</v>
      </c>
      <c r="D5966" s="33" t="s">
        <v>31</v>
      </c>
      <c r="E5966" s="33" t="s">
        <v>7573</v>
      </c>
      <c r="F5966" s="67">
        <v>41848</v>
      </c>
      <c r="G5966" s="33" t="s">
        <v>7574</v>
      </c>
      <c r="H5966" s="33" t="s">
        <v>700</v>
      </c>
      <c r="I5966" s="33" t="s">
        <v>395</v>
      </c>
      <c r="J5966" s="33" t="s">
        <v>7575</v>
      </c>
      <c r="K5966" s="33" t="s">
        <v>700</v>
      </c>
      <c r="L5966" s="33" t="s">
        <v>539</v>
      </c>
      <c r="M5966" s="33" t="s">
        <v>21</v>
      </c>
      <c r="N5966" s="33" t="s">
        <v>7576</v>
      </c>
      <c r="O5966" s="33" t="s">
        <v>950</v>
      </c>
      <c r="P5966" s="33" t="s">
        <v>30089</v>
      </c>
      <c r="Q5966" s="40" t="s">
        <v>7577</v>
      </c>
      <c r="R5966" s="33" t="s">
        <v>23</v>
      </c>
      <c r="S5966" s="33" t="s">
        <v>22</v>
      </c>
      <c r="T5966" s="1" t="s">
        <v>26781</v>
      </c>
      <c r="Z5966" s="33" t="s">
        <v>42966</v>
      </c>
      <c r="AA5966" s="33">
        <v>1699</v>
      </c>
    </row>
    <row r="5967" spans="1:27" ht="12" customHeight="1" x14ac:dyDescent="0.15">
      <c r="A5967" s="33" t="s">
        <v>7565</v>
      </c>
      <c r="B5967" s="33">
        <v>27</v>
      </c>
      <c r="C5967" s="33" t="s">
        <v>14</v>
      </c>
      <c r="D5967" s="33" t="s">
        <v>79</v>
      </c>
      <c r="E5967" s="33" t="s">
        <v>7566</v>
      </c>
      <c r="F5967" s="67">
        <v>41848</v>
      </c>
      <c r="G5967" s="33" t="s">
        <v>7567</v>
      </c>
      <c r="H5967" s="33" t="s">
        <v>3040</v>
      </c>
      <c r="I5967" s="33" t="s">
        <v>26</v>
      </c>
      <c r="J5967" s="33" t="s">
        <v>7568</v>
      </c>
      <c r="K5967" s="33" t="s">
        <v>3040</v>
      </c>
      <c r="L5967" s="33" t="s">
        <v>7569</v>
      </c>
      <c r="M5967" s="33" t="s">
        <v>21</v>
      </c>
      <c r="N5967" s="33" t="s">
        <v>7570</v>
      </c>
      <c r="O5967" s="33" t="s">
        <v>950</v>
      </c>
      <c r="P5967" s="33" t="s">
        <v>30089</v>
      </c>
      <c r="Q5967" s="40" t="s">
        <v>7571</v>
      </c>
      <c r="R5967" s="33" t="s">
        <v>94</v>
      </c>
      <c r="S5967" s="33" t="s">
        <v>22</v>
      </c>
      <c r="T5967" s="1" t="s">
        <v>26781</v>
      </c>
      <c r="Z5967" s="33" t="s">
        <v>42968</v>
      </c>
      <c r="AA5967" s="33">
        <v>1698</v>
      </c>
    </row>
    <row r="5968" spans="1:27" ht="12" customHeight="1" x14ac:dyDescent="0.15">
      <c r="A5968" s="33" t="s">
        <v>7585</v>
      </c>
      <c r="B5968" s="33">
        <v>33</v>
      </c>
      <c r="C5968" s="33" t="s">
        <v>14</v>
      </c>
      <c r="D5968" s="33" t="s">
        <v>31</v>
      </c>
      <c r="E5968" s="33" t="s">
        <v>7586</v>
      </c>
      <c r="F5968" s="67">
        <v>41847</v>
      </c>
      <c r="G5968" s="33" t="s">
        <v>7587</v>
      </c>
      <c r="H5968" s="33" t="s">
        <v>7588</v>
      </c>
      <c r="I5968" s="33" t="s">
        <v>67</v>
      </c>
      <c r="J5968" s="33" t="s">
        <v>7589</v>
      </c>
      <c r="K5968" s="33" t="s">
        <v>7590</v>
      </c>
      <c r="L5968" s="33" t="s">
        <v>36817</v>
      </c>
      <c r="M5968" s="33" t="s">
        <v>21</v>
      </c>
      <c r="N5968" s="33" t="s">
        <v>7591</v>
      </c>
      <c r="O5968" s="33" t="s">
        <v>950</v>
      </c>
      <c r="P5968" s="33" t="s">
        <v>30089</v>
      </c>
      <c r="Q5968" s="40" t="s">
        <v>7592</v>
      </c>
      <c r="R5968" s="33" t="s">
        <v>94</v>
      </c>
      <c r="S5968" s="33" t="s">
        <v>29</v>
      </c>
      <c r="T5968" s="33" t="s">
        <v>41840</v>
      </c>
      <c r="Z5968" s="33" t="s">
        <v>42967</v>
      </c>
      <c r="AA5968" s="33">
        <v>1697</v>
      </c>
    </row>
    <row r="5969" spans="1:31" ht="12" customHeight="1" x14ac:dyDescent="0.15">
      <c r="A5969" s="33" t="s">
        <v>7580</v>
      </c>
      <c r="B5969" s="33">
        <v>45</v>
      </c>
      <c r="C5969" s="33" t="s">
        <v>14</v>
      </c>
      <c r="D5969" s="33" t="s">
        <v>31</v>
      </c>
      <c r="E5969" s="33" t="s">
        <v>7581</v>
      </c>
      <c r="F5969" s="67">
        <v>41847</v>
      </c>
      <c r="G5969" s="33" t="s">
        <v>7582</v>
      </c>
      <c r="H5969" s="33" t="s">
        <v>359</v>
      </c>
      <c r="I5969" s="33" t="s">
        <v>298</v>
      </c>
      <c r="J5969" s="33" t="s">
        <v>7583</v>
      </c>
      <c r="K5969" s="33" t="s">
        <v>2476</v>
      </c>
      <c r="L5969" s="33" t="s">
        <v>7149</v>
      </c>
      <c r="M5969" s="33" t="s">
        <v>21</v>
      </c>
      <c r="N5969" s="33" t="s">
        <v>7584</v>
      </c>
      <c r="O5969" s="33" t="s">
        <v>950</v>
      </c>
      <c r="P5969" s="33" t="s">
        <v>30089</v>
      </c>
      <c r="Q5969" s="40" t="str">
        <f>HYPERLINK("http://www.knoxnews.com/news/local-news/parolee-killed-in-fight-with-officer-had-a-syringe-narcotic-on-him_07147175","http://www.knoxnews.com/news/local-news/parolee-killed-in-fight-with-officer-had-a-syringe-narcotic-on-him_07147175")</f>
        <v>http://www.knoxnews.com/news/local-news/parolee-killed-in-fight-with-officer-had-a-syringe-narcotic-on-him_07147175</v>
      </c>
      <c r="R5969" s="33" t="s">
        <v>94</v>
      </c>
      <c r="S5969" s="33" t="s">
        <v>29</v>
      </c>
      <c r="T5969" s="33" t="s">
        <v>41840</v>
      </c>
      <c r="Z5969" s="33" t="s">
        <v>42968</v>
      </c>
      <c r="AA5969" s="33">
        <v>1696</v>
      </c>
      <c r="AE5969" s="33"/>
    </row>
    <row r="5970" spans="1:31" ht="12" customHeight="1" x14ac:dyDescent="0.15">
      <c r="A5970" s="33" t="s">
        <v>7601</v>
      </c>
      <c r="B5970" s="33">
        <v>95</v>
      </c>
      <c r="C5970" s="33" t="s">
        <v>14</v>
      </c>
      <c r="D5970" s="33" t="s">
        <v>31</v>
      </c>
      <c r="E5970" s="33" t="s">
        <v>7602</v>
      </c>
      <c r="F5970" s="67">
        <v>41846</v>
      </c>
      <c r="G5970" s="33" t="s">
        <v>7603</v>
      </c>
      <c r="H5970" s="33" t="s">
        <v>7604</v>
      </c>
      <c r="I5970" s="33" t="s">
        <v>38</v>
      </c>
      <c r="J5970" s="33" t="s">
        <v>7605</v>
      </c>
      <c r="K5970" s="33" t="s">
        <v>82</v>
      </c>
      <c r="L5970" s="33" t="s">
        <v>7606</v>
      </c>
      <c r="M5970" s="33" t="s">
        <v>7607</v>
      </c>
      <c r="N5970" s="33" t="s">
        <v>7608</v>
      </c>
      <c r="O5970" s="33" t="s">
        <v>7053</v>
      </c>
      <c r="P5970" s="33" t="s">
        <v>18576</v>
      </c>
      <c r="Q5970" s="40" t="s">
        <v>7609</v>
      </c>
      <c r="R5970" s="33" t="s">
        <v>23</v>
      </c>
      <c r="S5970" s="33" t="s">
        <v>22</v>
      </c>
      <c r="T5970" s="1" t="s">
        <v>43012</v>
      </c>
      <c r="Z5970" s="33" t="s">
        <v>42968</v>
      </c>
      <c r="AA5970" s="33">
        <v>1694</v>
      </c>
    </row>
    <row r="5971" spans="1:31" ht="12" customHeight="1" x14ac:dyDescent="0.15">
      <c r="A5971" s="33" t="s">
        <v>7593</v>
      </c>
      <c r="B5971" s="33">
        <v>37</v>
      </c>
      <c r="C5971" s="33" t="s">
        <v>14</v>
      </c>
      <c r="D5971" s="33" t="s">
        <v>79</v>
      </c>
      <c r="F5971" s="67">
        <v>41846</v>
      </c>
      <c r="G5971" s="33" t="s">
        <v>7594</v>
      </c>
      <c r="H5971" s="33" t="s">
        <v>7595</v>
      </c>
      <c r="I5971" s="33" t="s">
        <v>139</v>
      </c>
      <c r="J5971" s="33" t="s">
        <v>7596</v>
      </c>
      <c r="K5971" s="33" t="s">
        <v>7597</v>
      </c>
      <c r="L5971" s="33" t="s">
        <v>7598</v>
      </c>
      <c r="M5971" s="33" t="s">
        <v>21</v>
      </c>
      <c r="N5971" s="33" t="s">
        <v>7599</v>
      </c>
      <c r="O5971" s="33" t="s">
        <v>950</v>
      </c>
      <c r="P5971" s="33" t="s">
        <v>30089</v>
      </c>
      <c r="Q5971" s="40" t="s">
        <v>7600</v>
      </c>
      <c r="R5971" s="33" t="s">
        <v>23</v>
      </c>
      <c r="S5971" s="33" t="s">
        <v>22</v>
      </c>
      <c r="T5971" s="1" t="s">
        <v>26781</v>
      </c>
      <c r="Z5971" s="33" t="s">
        <v>42966</v>
      </c>
      <c r="AA5971" s="33">
        <v>1695</v>
      </c>
    </row>
    <row r="5972" spans="1:31" ht="12" customHeight="1" x14ac:dyDescent="0.15">
      <c r="A5972" s="33" t="s">
        <v>7610</v>
      </c>
      <c r="B5972" s="33">
        <v>33</v>
      </c>
      <c r="C5972" s="33" t="s">
        <v>14</v>
      </c>
      <c r="D5972" s="33" t="s">
        <v>42</v>
      </c>
      <c r="F5972" s="67">
        <v>41845</v>
      </c>
      <c r="G5972" s="33" t="s">
        <v>7611</v>
      </c>
      <c r="H5972" s="33" t="s">
        <v>5656</v>
      </c>
      <c r="I5972" s="33" t="s">
        <v>39</v>
      </c>
      <c r="J5972" s="33" t="s">
        <v>5657</v>
      </c>
      <c r="K5972" s="33" t="s">
        <v>92</v>
      </c>
      <c r="L5972" s="33" t="s">
        <v>93</v>
      </c>
      <c r="M5972" s="33" t="s">
        <v>21</v>
      </c>
      <c r="N5972" s="33" t="s">
        <v>19049</v>
      </c>
      <c r="O5972" s="33" t="s">
        <v>950</v>
      </c>
      <c r="P5972" s="33" t="s">
        <v>30089</v>
      </c>
      <c r="Q5972" s="40" t="s">
        <v>7612</v>
      </c>
      <c r="R5972" s="33" t="s">
        <v>94</v>
      </c>
      <c r="S5972" s="33" t="s">
        <v>29</v>
      </c>
      <c r="T5972" s="33" t="s">
        <v>41840</v>
      </c>
      <c r="Z5972" s="33" t="s">
        <v>42966</v>
      </c>
      <c r="AA5972" s="33">
        <v>1693</v>
      </c>
    </row>
    <row r="5973" spans="1:31" ht="12" customHeight="1" x14ac:dyDescent="0.15">
      <c r="A5973" s="33" t="s">
        <v>7614</v>
      </c>
      <c r="B5973" s="33">
        <v>31</v>
      </c>
      <c r="C5973" s="33" t="s">
        <v>14</v>
      </c>
      <c r="D5973" s="33" t="s">
        <v>31</v>
      </c>
      <c r="E5973" s="33" t="s">
        <v>7615</v>
      </c>
      <c r="F5973" s="67">
        <v>41845</v>
      </c>
      <c r="G5973" s="33" t="s">
        <v>7616</v>
      </c>
      <c r="H5973" s="33" t="s">
        <v>564</v>
      </c>
      <c r="I5973" s="33" t="s">
        <v>221</v>
      </c>
      <c r="J5973" s="33" t="s">
        <v>7617</v>
      </c>
      <c r="K5973" s="33" t="s">
        <v>564</v>
      </c>
      <c r="L5973" s="33" t="s">
        <v>7618</v>
      </c>
      <c r="M5973" s="33" t="s">
        <v>21</v>
      </c>
      <c r="N5973" s="33" t="s">
        <v>7619</v>
      </c>
      <c r="O5973" s="33" t="s">
        <v>507</v>
      </c>
      <c r="P5973" s="33" t="s">
        <v>30089</v>
      </c>
      <c r="Q5973" s="40" t="str">
        <f>HYPERLINK("http://www.sltrib.com/news/justice/1618808-155/officers-shot-lister-police-gill-gun","http://www.sltrib.com/news/justice/1618808-155/officers-shot-lister-police-gill-gun")</f>
        <v>http://www.sltrib.com/news/justice/1618808-155/officers-shot-lister-police-gill-gun</v>
      </c>
      <c r="R5973" s="33" t="s">
        <v>904</v>
      </c>
      <c r="S5973" s="33" t="s">
        <v>22</v>
      </c>
      <c r="T5973" s="1" t="s">
        <v>26781</v>
      </c>
      <c r="Z5973" s="33" t="s">
        <v>42968</v>
      </c>
      <c r="AA5973" s="33">
        <v>1692</v>
      </c>
    </row>
    <row r="5974" spans="1:31" ht="12" customHeight="1" x14ac:dyDescent="0.15">
      <c r="A5974" s="33" t="s">
        <v>7620</v>
      </c>
      <c r="B5974" s="33">
        <v>37</v>
      </c>
      <c r="C5974" s="33" t="s">
        <v>103</v>
      </c>
      <c r="D5974" s="33" t="s">
        <v>31</v>
      </c>
      <c r="F5974" s="67">
        <v>41844</v>
      </c>
      <c r="G5974" s="33" t="s">
        <v>7621</v>
      </c>
      <c r="H5974" s="33" t="s">
        <v>7622</v>
      </c>
      <c r="I5974" s="33" t="s">
        <v>160</v>
      </c>
      <c r="J5974" s="33" t="s">
        <v>7623</v>
      </c>
      <c r="K5974" s="33" t="s">
        <v>7624</v>
      </c>
      <c r="L5974" s="33" t="s">
        <v>7625</v>
      </c>
      <c r="M5974" s="33" t="s">
        <v>21</v>
      </c>
      <c r="N5974" s="33" t="s">
        <v>7626</v>
      </c>
      <c r="O5974" s="33" t="s">
        <v>950</v>
      </c>
      <c r="P5974" s="33" t="s">
        <v>30089</v>
      </c>
      <c r="Q5974" s="40" t="s">
        <v>7627</v>
      </c>
      <c r="R5974" s="33" t="s">
        <v>23</v>
      </c>
      <c r="S5974" s="33" t="s">
        <v>22</v>
      </c>
      <c r="T5974" s="1" t="s">
        <v>26576</v>
      </c>
      <c r="Z5974" s="33" t="s">
        <v>42968</v>
      </c>
      <c r="AA5974" s="33">
        <v>1691</v>
      </c>
    </row>
    <row r="5975" spans="1:31" ht="12" customHeight="1" x14ac:dyDescent="0.15">
      <c r="A5975" s="33" t="s">
        <v>7635</v>
      </c>
      <c r="B5975" s="33">
        <v>17</v>
      </c>
      <c r="C5975" s="33" t="s">
        <v>14</v>
      </c>
      <c r="D5975" s="33" t="s">
        <v>31</v>
      </c>
      <c r="E5975" s="33" t="s">
        <v>7636</v>
      </c>
      <c r="F5975" s="67">
        <v>41843</v>
      </c>
      <c r="G5975" s="33" t="s">
        <v>7637</v>
      </c>
      <c r="H5975" s="33" t="s">
        <v>7638</v>
      </c>
      <c r="I5975" s="33" t="s">
        <v>56</v>
      </c>
      <c r="J5975" s="33" t="s">
        <v>7639</v>
      </c>
      <c r="K5975" s="33" t="s">
        <v>7640</v>
      </c>
      <c r="L5975" s="33" t="s">
        <v>7641</v>
      </c>
      <c r="M5975" s="33" t="s">
        <v>351</v>
      </c>
      <c r="N5975" s="33" t="s">
        <v>7642</v>
      </c>
      <c r="O5975" s="33" t="s">
        <v>950</v>
      </c>
      <c r="P5975" s="33" t="s">
        <v>30089</v>
      </c>
      <c r="Q5975" s="40" t="s">
        <v>7643</v>
      </c>
      <c r="R5975" s="33" t="s">
        <v>94</v>
      </c>
      <c r="S5975" s="33" t="s">
        <v>351</v>
      </c>
      <c r="T5975" s="33" t="s">
        <v>26867</v>
      </c>
      <c r="Z5975" s="33" t="s">
        <v>42967</v>
      </c>
      <c r="AA5975" s="33">
        <v>1690</v>
      </c>
    </row>
    <row r="5976" spans="1:31" ht="12" customHeight="1" x14ac:dyDescent="0.15">
      <c r="A5976" s="33" t="s">
        <v>7628</v>
      </c>
      <c r="B5976" s="33">
        <v>29</v>
      </c>
      <c r="C5976" s="33" t="s">
        <v>14</v>
      </c>
      <c r="D5976" s="33" t="s">
        <v>79</v>
      </c>
      <c r="E5976" s="33" t="s">
        <v>7629</v>
      </c>
      <c r="F5976" s="67">
        <v>41843</v>
      </c>
      <c r="G5976" s="33" t="s">
        <v>7630</v>
      </c>
      <c r="H5976" s="33" t="s">
        <v>7631</v>
      </c>
      <c r="I5976" s="33" t="s">
        <v>56</v>
      </c>
      <c r="J5976" s="33" t="s">
        <v>7632</v>
      </c>
      <c r="K5976" s="33" t="s">
        <v>998</v>
      </c>
      <c r="L5976" s="33" t="s">
        <v>4077</v>
      </c>
      <c r="M5976" s="33" t="s">
        <v>21</v>
      </c>
      <c r="N5976" s="33" t="s">
        <v>7633</v>
      </c>
      <c r="O5976" s="33" t="s">
        <v>950</v>
      </c>
      <c r="P5976" s="33" t="s">
        <v>30089</v>
      </c>
      <c r="Q5976" s="40" t="s">
        <v>7634</v>
      </c>
      <c r="R5976" s="33" t="s">
        <v>94</v>
      </c>
      <c r="S5976" s="33" t="s">
        <v>22</v>
      </c>
      <c r="T5976" s="1" t="s">
        <v>26781</v>
      </c>
      <c r="Z5976" s="33" t="s">
        <v>42968</v>
      </c>
      <c r="AA5976" s="33">
        <v>1689</v>
      </c>
    </row>
    <row r="5977" spans="1:31" ht="12" customHeight="1" x14ac:dyDescent="0.15">
      <c r="A5977" s="33" t="s">
        <v>7658</v>
      </c>
      <c r="B5977" s="33">
        <v>19</v>
      </c>
      <c r="C5977" s="33" t="s">
        <v>14</v>
      </c>
      <c r="D5977" s="33" t="s">
        <v>79</v>
      </c>
      <c r="E5977" s="33" t="s">
        <v>7659</v>
      </c>
      <c r="F5977" s="67">
        <v>41842</v>
      </c>
      <c r="G5977" s="33" t="s">
        <v>7660</v>
      </c>
      <c r="H5977" s="33" t="s">
        <v>7661</v>
      </c>
      <c r="I5977" s="33" t="s">
        <v>46</v>
      </c>
      <c r="J5977" s="33" t="s">
        <v>7662</v>
      </c>
      <c r="K5977" s="33" t="s">
        <v>1487</v>
      </c>
      <c r="L5977" s="33" t="s">
        <v>212</v>
      </c>
      <c r="M5977" s="33" t="s">
        <v>21</v>
      </c>
      <c r="N5977" s="33" t="s">
        <v>7663</v>
      </c>
      <c r="O5977" s="33" t="s">
        <v>950</v>
      </c>
      <c r="P5977" s="33" t="s">
        <v>30089</v>
      </c>
      <c r="Q5977" s="40" t="s">
        <v>7664</v>
      </c>
      <c r="R5977" s="33" t="s">
        <v>94</v>
      </c>
      <c r="S5977" s="33" t="s">
        <v>12</v>
      </c>
      <c r="T5977" s="54" t="s">
        <v>29705</v>
      </c>
      <c r="Z5977" s="33" t="s">
        <v>42968</v>
      </c>
      <c r="AA5977" s="33">
        <v>1687</v>
      </c>
    </row>
    <row r="5978" spans="1:31" ht="12" customHeight="1" x14ac:dyDescent="0.15">
      <c r="A5978" s="33" t="s">
        <v>7665</v>
      </c>
      <c r="B5978" s="33">
        <v>29</v>
      </c>
      <c r="C5978" s="33" t="s">
        <v>14</v>
      </c>
      <c r="D5978" s="33" t="s">
        <v>42</v>
      </c>
      <c r="E5978" s="33" t="s">
        <v>7666</v>
      </c>
      <c r="F5978" s="67">
        <v>41842</v>
      </c>
      <c r="G5978" s="33" t="s">
        <v>7667</v>
      </c>
      <c r="H5978" s="33" t="s">
        <v>7668</v>
      </c>
      <c r="I5978" s="33" t="s">
        <v>67</v>
      </c>
      <c r="J5978" s="33" t="s">
        <v>7669</v>
      </c>
      <c r="K5978" s="33" t="s">
        <v>1304</v>
      </c>
      <c r="L5978" s="33" t="s">
        <v>36385</v>
      </c>
      <c r="M5978" s="33" t="s">
        <v>21</v>
      </c>
      <c r="N5978" s="33" t="s">
        <v>7670</v>
      </c>
      <c r="O5978" s="33" t="s">
        <v>950</v>
      </c>
      <c r="P5978" s="33" t="s">
        <v>30089</v>
      </c>
      <c r="Q5978" s="40" t="s">
        <v>7671</v>
      </c>
      <c r="R5978" s="33" t="s">
        <v>94</v>
      </c>
      <c r="S5978" s="33" t="s">
        <v>22</v>
      </c>
      <c r="T5978" s="1" t="s">
        <v>26781</v>
      </c>
      <c r="Z5978" s="33" t="s">
        <v>42967</v>
      </c>
      <c r="AA5978" s="33">
        <v>1683</v>
      </c>
    </row>
    <row r="5979" spans="1:31" ht="12" customHeight="1" x14ac:dyDescent="0.15">
      <c r="A5979" s="33" t="s">
        <v>7672</v>
      </c>
      <c r="B5979" s="33">
        <v>33</v>
      </c>
      <c r="C5979" s="33" t="s">
        <v>14</v>
      </c>
      <c r="D5979" s="33" t="s">
        <v>31</v>
      </c>
      <c r="E5979" s="33" t="s">
        <v>7673</v>
      </c>
      <c r="F5979" s="67">
        <v>41842</v>
      </c>
      <c r="G5979" s="33" t="s">
        <v>7674</v>
      </c>
      <c r="H5979" s="33" t="s">
        <v>866</v>
      </c>
      <c r="I5979" s="33" t="s">
        <v>178</v>
      </c>
      <c r="J5979" s="33" t="s">
        <v>7675</v>
      </c>
      <c r="K5979" s="33" t="s">
        <v>433</v>
      </c>
      <c r="L5979" s="33" t="s">
        <v>4562</v>
      </c>
      <c r="M5979" s="33" t="s">
        <v>21</v>
      </c>
      <c r="N5979" s="33" t="s">
        <v>7676</v>
      </c>
      <c r="O5979" s="33" t="s">
        <v>950</v>
      </c>
      <c r="P5979" s="33" t="s">
        <v>30089</v>
      </c>
      <c r="Q5979" s="40" t="str">
        <f>HYPERLINK("http://www.koat.com/news/apd-involved-in-shooting-near-eubank-central/27095580","http://www.koat.com/news/apd-involved-in-shooting-near-eubank-central/27095580")</f>
        <v>http://www.koat.com/news/apd-involved-in-shooting-near-eubank-central/27095580</v>
      </c>
      <c r="R5979" s="33" t="s">
        <v>94</v>
      </c>
      <c r="S5979" s="33" t="s">
        <v>22</v>
      </c>
      <c r="T5979" s="1" t="s">
        <v>26781</v>
      </c>
      <c r="Z5979" s="33" t="s">
        <v>42968</v>
      </c>
      <c r="AA5979" s="33">
        <v>1685</v>
      </c>
    </row>
    <row r="5980" spans="1:31" ht="12" customHeight="1" x14ac:dyDescent="0.15">
      <c r="A5980" s="33" t="s">
        <v>7644</v>
      </c>
      <c r="B5980" s="33">
        <v>29</v>
      </c>
      <c r="C5980" s="33" t="s">
        <v>14</v>
      </c>
      <c r="D5980" s="33" t="s">
        <v>79</v>
      </c>
      <c r="E5980" s="33" t="s">
        <v>7645</v>
      </c>
      <c r="F5980" s="67">
        <v>41842</v>
      </c>
      <c r="G5980" s="33" t="s">
        <v>7646</v>
      </c>
      <c r="H5980" s="33" t="s">
        <v>7647</v>
      </c>
      <c r="I5980" s="33" t="s">
        <v>160</v>
      </c>
      <c r="J5980" s="33" t="s">
        <v>7648</v>
      </c>
      <c r="K5980" s="33" t="s">
        <v>1046</v>
      </c>
      <c r="L5980" s="33" t="s">
        <v>7649</v>
      </c>
      <c r="M5980" s="33" t="s">
        <v>21</v>
      </c>
      <c r="N5980" s="33" t="s">
        <v>7650</v>
      </c>
      <c r="O5980" s="33" t="s">
        <v>372</v>
      </c>
      <c r="P5980" s="33" t="s">
        <v>30089</v>
      </c>
      <c r="Q5980" s="40" t="str">
        <f>HYPERLINK("http://www.northwestgeorgianews.com/rome/adairsville-officer-on-administrative-leave-after-fatal-shooting/article_7082a720-119e-11e4-8eb9-001a4bcf6878.html","http://www.northwestgeorgianews.com/rome/adairsville-officer-on-administrative-leave-after-fatal-shooting/article_7082a720-119e-11e4-8eb9-001a4bcf6878.html")</f>
        <v>http://www.northwestgeorgianews.com/rome/adairsville-officer-on-administrative-leave-after-fatal-shooting/article_7082a720-119e-11e4-8eb9-001a4bcf6878.html</v>
      </c>
      <c r="R5980" s="33" t="s">
        <v>94</v>
      </c>
      <c r="S5980" s="33" t="s">
        <v>351</v>
      </c>
      <c r="T5980" s="1" t="s">
        <v>42983</v>
      </c>
      <c r="Z5980" s="33" t="s">
        <v>42967</v>
      </c>
      <c r="AA5980" s="33">
        <v>1688</v>
      </c>
    </row>
    <row r="5981" spans="1:31" ht="12" customHeight="1" x14ac:dyDescent="0.15">
      <c r="A5981" s="33" t="s">
        <v>7651</v>
      </c>
      <c r="B5981" s="33">
        <v>37</v>
      </c>
      <c r="C5981" s="33" t="s">
        <v>14</v>
      </c>
      <c r="D5981" s="33" t="s">
        <v>79</v>
      </c>
      <c r="E5981" s="33" t="s">
        <v>7652</v>
      </c>
      <c r="F5981" s="67">
        <v>41842</v>
      </c>
      <c r="G5981" s="33" t="s">
        <v>7653</v>
      </c>
      <c r="H5981" s="33" t="s">
        <v>7654</v>
      </c>
      <c r="I5981" s="33" t="s">
        <v>26</v>
      </c>
      <c r="J5981" s="33" t="s">
        <v>7655</v>
      </c>
      <c r="K5981" s="33" t="s">
        <v>766</v>
      </c>
      <c r="L5981" s="33" t="s">
        <v>5161</v>
      </c>
      <c r="M5981" s="33" t="s">
        <v>21</v>
      </c>
      <c r="N5981" s="33" t="s">
        <v>7656</v>
      </c>
      <c r="O5981" s="33" t="s">
        <v>507</v>
      </c>
      <c r="P5981" s="33" t="s">
        <v>30089</v>
      </c>
      <c r="Q5981" s="40" t="s">
        <v>7657</v>
      </c>
      <c r="R5981" s="33" t="s">
        <v>94</v>
      </c>
      <c r="S5981" s="33" t="s">
        <v>22</v>
      </c>
      <c r="T5981" s="33" t="s">
        <v>26781</v>
      </c>
      <c r="Z5981" s="33" t="s">
        <v>42967</v>
      </c>
      <c r="AA5981" s="33">
        <v>1686</v>
      </c>
    </row>
    <row r="5982" spans="1:31" ht="12" customHeight="1" x14ac:dyDescent="0.15">
      <c r="A5982" s="33" t="s">
        <v>27513</v>
      </c>
      <c r="B5982" s="33">
        <v>25</v>
      </c>
      <c r="C5982" s="33" t="s">
        <v>14</v>
      </c>
      <c r="D5982" s="33" t="s">
        <v>31</v>
      </c>
      <c r="F5982" s="67">
        <v>41842</v>
      </c>
      <c r="G5982" s="33" t="s">
        <v>27514</v>
      </c>
      <c r="H5982" s="33" t="s">
        <v>7728</v>
      </c>
      <c r="I5982" s="33" t="s">
        <v>56</v>
      </c>
      <c r="J5982" s="33">
        <v>32619</v>
      </c>
      <c r="K5982" s="33" t="s">
        <v>27515</v>
      </c>
      <c r="L5982" s="33" t="s">
        <v>14451</v>
      </c>
      <c r="M5982" s="33" t="s">
        <v>21</v>
      </c>
      <c r="N5982" s="33" t="s">
        <v>27516</v>
      </c>
      <c r="O5982" s="33" t="s">
        <v>950</v>
      </c>
      <c r="P5982" s="33" t="s">
        <v>30089</v>
      </c>
      <c r="Q5982" s="40" t="s">
        <v>27517</v>
      </c>
      <c r="R5982" s="33" t="s">
        <v>512</v>
      </c>
      <c r="S5982" s="33" t="s">
        <v>22</v>
      </c>
      <c r="T5982" s="1" t="s">
        <v>26781</v>
      </c>
      <c r="Z5982" s="33" t="s">
        <v>42967</v>
      </c>
      <c r="AA5982" s="33">
        <v>1684</v>
      </c>
    </row>
    <row r="5983" spans="1:31" ht="12" customHeight="1" x14ac:dyDescent="0.15">
      <c r="A5983" s="33" t="s">
        <v>7677</v>
      </c>
      <c r="B5983" s="33">
        <v>54</v>
      </c>
      <c r="C5983" s="33" t="s">
        <v>14</v>
      </c>
      <c r="D5983" s="33" t="s">
        <v>79</v>
      </c>
      <c r="F5983" s="67">
        <v>41841</v>
      </c>
      <c r="G5983" s="33" t="s">
        <v>7678</v>
      </c>
      <c r="H5983" s="33" t="s">
        <v>2189</v>
      </c>
      <c r="I5983" s="33" t="s">
        <v>46</v>
      </c>
      <c r="J5983" s="33" t="s">
        <v>7679</v>
      </c>
      <c r="K5983" s="33" t="s">
        <v>995</v>
      </c>
      <c r="L5983" s="33" t="s">
        <v>2191</v>
      </c>
      <c r="M5983" s="33" t="s">
        <v>21</v>
      </c>
      <c r="N5983" s="33" t="s">
        <v>7680</v>
      </c>
      <c r="O5983" s="33" t="s">
        <v>950</v>
      </c>
      <c r="P5983" s="33" t="s">
        <v>30089</v>
      </c>
      <c r="Q5983" s="40" t="s">
        <v>7681</v>
      </c>
      <c r="R5983" s="33" t="s">
        <v>512</v>
      </c>
      <c r="S5983" s="33" t="s">
        <v>22</v>
      </c>
      <c r="T5983" s="1" t="s">
        <v>26774</v>
      </c>
      <c r="Z5983" s="33" t="s">
        <v>42968</v>
      </c>
      <c r="AA5983" s="33">
        <v>1682</v>
      </c>
    </row>
    <row r="5984" spans="1:31" ht="12" customHeight="1" x14ac:dyDescent="0.15">
      <c r="A5984" s="33" t="s">
        <v>7686</v>
      </c>
      <c r="B5984" s="33">
        <v>52</v>
      </c>
      <c r="C5984" s="33" t="s">
        <v>14</v>
      </c>
      <c r="D5984" s="33" t="s">
        <v>31</v>
      </c>
      <c r="F5984" s="67">
        <v>41840</v>
      </c>
      <c r="G5984" s="33" t="s">
        <v>7687</v>
      </c>
      <c r="H5984" s="33" t="s">
        <v>7688</v>
      </c>
      <c r="I5984" s="33" t="s">
        <v>88</v>
      </c>
      <c r="J5984" s="33" t="s">
        <v>7689</v>
      </c>
      <c r="K5984" s="33" t="s">
        <v>3400</v>
      </c>
      <c r="L5984" s="33" t="s">
        <v>7690</v>
      </c>
      <c r="M5984" s="33" t="s">
        <v>21</v>
      </c>
      <c r="N5984" s="33" t="s">
        <v>7691</v>
      </c>
      <c r="O5984" s="33" t="s">
        <v>35806</v>
      </c>
      <c r="P5984" s="33" t="s">
        <v>26737</v>
      </c>
      <c r="Q5984" s="40" t="s">
        <v>7692</v>
      </c>
      <c r="R5984" s="33" t="s">
        <v>94</v>
      </c>
      <c r="S5984" s="33" t="s">
        <v>12</v>
      </c>
      <c r="T5984" s="54" t="s">
        <v>29705</v>
      </c>
      <c r="Z5984" s="33" t="s">
        <v>42968</v>
      </c>
      <c r="AA5984" s="33">
        <v>1681</v>
      </c>
    </row>
    <row r="5985" spans="1:27" ht="12" customHeight="1" x14ac:dyDescent="0.15">
      <c r="A5985" s="33" t="s">
        <v>7682</v>
      </c>
      <c r="B5985" s="33">
        <v>28</v>
      </c>
      <c r="C5985" s="33" t="s">
        <v>14</v>
      </c>
      <c r="D5985" s="33" t="s">
        <v>31</v>
      </c>
      <c r="F5985" s="67">
        <v>41840</v>
      </c>
      <c r="G5985" s="33" t="s">
        <v>7683</v>
      </c>
      <c r="H5985" s="33" t="s">
        <v>2350</v>
      </c>
      <c r="I5985" s="33" t="s">
        <v>282</v>
      </c>
      <c r="J5985" s="33" t="s">
        <v>7684</v>
      </c>
      <c r="K5985" s="33" t="s">
        <v>1133</v>
      </c>
      <c r="L5985" s="33" t="s">
        <v>3181</v>
      </c>
      <c r="M5985" s="33" t="s">
        <v>21</v>
      </c>
      <c r="N5985" s="33" t="s">
        <v>7685</v>
      </c>
      <c r="O5985" s="33" t="s">
        <v>950</v>
      </c>
      <c r="P5985" s="33" t="s">
        <v>30089</v>
      </c>
      <c r="Q5985" s="40" t="str">
        <f>HYPERLINK("http://www.kentreporter.com/news/272307371.html","http://www.kentreporter.com/news/272307371.html#")</f>
        <v>http://www.kentreporter.com/news/272307371.html#</v>
      </c>
      <c r="R5985" s="33" t="s">
        <v>94</v>
      </c>
      <c r="S5985" s="33" t="s">
        <v>22</v>
      </c>
      <c r="T5985" s="1" t="s">
        <v>26781</v>
      </c>
      <c r="Z5985" s="33" t="s">
        <v>42968</v>
      </c>
      <c r="AA5985" s="33">
        <v>1680</v>
      </c>
    </row>
    <row r="5986" spans="1:27" ht="12" customHeight="1" x14ac:dyDescent="0.15">
      <c r="A5986" s="33" t="s">
        <v>7693</v>
      </c>
      <c r="B5986" s="33">
        <v>41</v>
      </c>
      <c r="C5986" s="33" t="s">
        <v>14</v>
      </c>
      <c r="D5986" s="33" t="s">
        <v>42</v>
      </c>
      <c r="F5986" s="67">
        <v>41839</v>
      </c>
      <c r="G5986" s="33" t="s">
        <v>7694</v>
      </c>
      <c r="H5986" s="33" t="s">
        <v>81</v>
      </c>
      <c r="I5986" s="33" t="s">
        <v>38</v>
      </c>
      <c r="J5986" s="33" t="s">
        <v>7695</v>
      </c>
      <c r="K5986" s="33" t="s">
        <v>82</v>
      </c>
      <c r="L5986" s="33" t="s">
        <v>83</v>
      </c>
      <c r="M5986" s="33" t="s">
        <v>363</v>
      </c>
      <c r="N5986" s="33" t="s">
        <v>7696</v>
      </c>
      <c r="O5986" s="33" t="s">
        <v>950</v>
      </c>
      <c r="P5986" s="33" t="s">
        <v>30089</v>
      </c>
      <c r="Q5986" s="40" t="s">
        <v>7697</v>
      </c>
      <c r="R5986" s="33" t="s">
        <v>94</v>
      </c>
      <c r="S5986" s="33" t="s">
        <v>12</v>
      </c>
      <c r="T5986" s="54" t="s">
        <v>29705</v>
      </c>
      <c r="Z5986" s="33" t="s">
        <v>42966</v>
      </c>
      <c r="AA5986" s="33">
        <v>1679</v>
      </c>
    </row>
    <row r="5987" spans="1:27" ht="12" customHeight="1" x14ac:dyDescent="0.15">
      <c r="A5987" s="33" t="s">
        <v>7702</v>
      </c>
      <c r="B5987" s="33">
        <v>5</v>
      </c>
      <c r="C5987" s="33" t="s">
        <v>103</v>
      </c>
      <c r="D5987" s="33" t="s">
        <v>31</v>
      </c>
      <c r="E5987" s="33" t="s">
        <v>7703</v>
      </c>
      <c r="F5987" s="67">
        <v>41838</v>
      </c>
      <c r="G5987" s="33" t="s">
        <v>7704</v>
      </c>
      <c r="H5987" s="33" t="s">
        <v>7705</v>
      </c>
      <c r="I5987" s="33" t="s">
        <v>337</v>
      </c>
      <c r="J5987" s="33" t="s">
        <v>7706</v>
      </c>
      <c r="K5987" s="33" t="s">
        <v>7705</v>
      </c>
      <c r="L5987" s="33" t="s">
        <v>7707</v>
      </c>
      <c r="M5987" s="33" t="s">
        <v>21</v>
      </c>
      <c r="N5987" s="33" t="s">
        <v>7708</v>
      </c>
      <c r="O5987" s="33" t="s">
        <v>950</v>
      </c>
      <c r="P5987" s="33" t="s">
        <v>30089</v>
      </c>
      <c r="Q5987" s="40" t="s">
        <v>7709</v>
      </c>
      <c r="R5987" s="33" t="s">
        <v>94</v>
      </c>
      <c r="S5987" s="33" t="s">
        <v>12</v>
      </c>
      <c r="T5987" s="54" t="s">
        <v>29705</v>
      </c>
      <c r="Z5987" s="33" t="s">
        <v>42968</v>
      </c>
      <c r="AA5987" s="33">
        <v>1678</v>
      </c>
    </row>
    <row r="5988" spans="1:27" ht="12" customHeight="1" x14ac:dyDescent="0.15">
      <c r="A5988" s="33" t="s">
        <v>7698</v>
      </c>
      <c r="B5988" s="33">
        <v>25</v>
      </c>
      <c r="C5988" s="33" t="s">
        <v>14</v>
      </c>
      <c r="D5988" s="33" t="s">
        <v>79</v>
      </c>
      <c r="E5988" s="33" t="s">
        <v>7699</v>
      </c>
      <c r="F5988" s="67">
        <v>41838</v>
      </c>
      <c r="G5988" s="33" t="s">
        <v>7700</v>
      </c>
      <c r="H5988" s="33" t="s">
        <v>3585</v>
      </c>
      <c r="I5988" s="33" t="s">
        <v>112</v>
      </c>
      <c r="J5988" s="33" t="s">
        <v>3586</v>
      </c>
      <c r="K5988" s="33" t="s">
        <v>585</v>
      </c>
      <c r="L5988" s="33" t="s">
        <v>3587</v>
      </c>
      <c r="M5988" s="33" t="s">
        <v>21</v>
      </c>
      <c r="N5988" s="33" t="s">
        <v>7701</v>
      </c>
      <c r="O5988" s="33" t="s">
        <v>950</v>
      </c>
      <c r="P5988" s="33" t="s">
        <v>30089</v>
      </c>
      <c r="Q5988" s="40" t="str">
        <f>HYPERLINK("http://www.azcentral.com/story/news/local/tempe/2014/07/20/tempe-officer-involved-shooting-jonathan-williams-dead/12922577/","http://www.azcentral.com/story/news/local/tempe/2014/07/20/tempe-officer-involved-shooting-jonathan-williams-dead/12922577/")</f>
        <v>http://www.azcentral.com/story/news/local/tempe/2014/07/20/tempe-officer-involved-shooting-jonathan-williams-dead/12922577/</v>
      </c>
      <c r="R5988" s="33" t="s">
        <v>94</v>
      </c>
      <c r="S5988" s="33" t="s">
        <v>22</v>
      </c>
      <c r="T5988" s="1" t="s">
        <v>26781</v>
      </c>
      <c r="Z5988" s="33" t="s">
        <v>42966</v>
      </c>
      <c r="AA5988" s="33">
        <v>1676</v>
      </c>
    </row>
    <row r="5989" spans="1:27" ht="12" customHeight="1" x14ac:dyDescent="0.15">
      <c r="A5989" s="33" t="s">
        <v>7710</v>
      </c>
      <c r="B5989" s="33">
        <v>34</v>
      </c>
      <c r="C5989" s="33" t="s">
        <v>14</v>
      </c>
      <c r="D5989" s="33" t="s">
        <v>31</v>
      </c>
      <c r="F5989" s="67">
        <v>41838</v>
      </c>
      <c r="G5989" s="33" t="s">
        <v>7711</v>
      </c>
      <c r="H5989" s="33" t="s">
        <v>249</v>
      </c>
      <c r="I5989" s="33" t="s">
        <v>250</v>
      </c>
      <c r="J5989" s="33" t="s">
        <v>7712</v>
      </c>
      <c r="K5989" s="33" t="s">
        <v>527</v>
      </c>
      <c r="L5989" s="33" t="s">
        <v>251</v>
      </c>
      <c r="M5989" s="33" t="s">
        <v>21</v>
      </c>
      <c r="N5989" s="33" t="s">
        <v>7713</v>
      </c>
      <c r="O5989" s="33" t="s">
        <v>950</v>
      </c>
      <c r="P5989" s="33" t="s">
        <v>30089</v>
      </c>
      <c r="Q5989" s="40" t="str">
        <f>HYPERLINK("http://www.fox5vegas.com/story/26071249/coroner-identifies-man-shot-by-nlv-police","http://www.fox5vegas.com/story/26071249/coroner-identifies-man-shot-by-nlv-police")</f>
        <v>http://www.fox5vegas.com/story/26071249/coroner-identifies-man-shot-by-nlv-police</v>
      </c>
      <c r="R5989" s="33" t="s">
        <v>94</v>
      </c>
      <c r="S5989" s="33" t="s">
        <v>12</v>
      </c>
      <c r="T5989" s="33" t="s">
        <v>29425</v>
      </c>
      <c r="Z5989" s="33" t="s">
        <v>42968</v>
      </c>
      <c r="AA5989" s="33">
        <v>1677</v>
      </c>
    </row>
    <row r="5990" spans="1:27" ht="12" customHeight="1" x14ac:dyDescent="0.15">
      <c r="A5990" s="33" t="s">
        <v>7724</v>
      </c>
      <c r="B5990" s="33">
        <v>49</v>
      </c>
      <c r="C5990" s="33" t="s">
        <v>14</v>
      </c>
      <c r="D5990" s="33" t="s">
        <v>24</v>
      </c>
      <c r="F5990" s="67">
        <v>41837</v>
      </c>
      <c r="G5990" s="33" t="s">
        <v>7725</v>
      </c>
      <c r="H5990" s="33" t="s">
        <v>7726</v>
      </c>
      <c r="I5990" s="33" t="s">
        <v>67</v>
      </c>
      <c r="J5990" s="33" t="s">
        <v>7727</v>
      </c>
      <c r="K5990" s="33" t="s">
        <v>7728</v>
      </c>
      <c r="L5990" s="33" t="s">
        <v>22870</v>
      </c>
      <c r="M5990" s="33" t="s">
        <v>21</v>
      </c>
      <c r="N5990" s="33" t="s">
        <v>36818</v>
      </c>
      <c r="O5990" s="33" t="s">
        <v>372</v>
      </c>
      <c r="P5990" s="33" t="s">
        <v>30089</v>
      </c>
      <c r="Q5990" s="40" t="s">
        <v>7729</v>
      </c>
      <c r="R5990" s="33" t="s">
        <v>512</v>
      </c>
      <c r="S5990" s="33" t="s">
        <v>22</v>
      </c>
      <c r="T5990" s="1" t="s">
        <v>26781</v>
      </c>
      <c r="Z5990" s="33" t="s">
        <v>42968</v>
      </c>
      <c r="AA5990" s="33">
        <v>1672</v>
      </c>
    </row>
    <row r="5991" spans="1:27" ht="12" customHeight="1" x14ac:dyDescent="0.15">
      <c r="A5991" s="33" t="s">
        <v>7730</v>
      </c>
      <c r="B5991" s="33">
        <v>71</v>
      </c>
      <c r="C5991" s="33" t="s">
        <v>14</v>
      </c>
      <c r="D5991" s="33" t="s">
        <v>31</v>
      </c>
      <c r="F5991" s="67">
        <v>41837</v>
      </c>
      <c r="G5991" s="33" t="s">
        <v>7731</v>
      </c>
      <c r="H5991" s="33" t="s">
        <v>4872</v>
      </c>
      <c r="I5991" s="33" t="s">
        <v>106</v>
      </c>
      <c r="J5991" s="33" t="s">
        <v>7732</v>
      </c>
      <c r="K5991" s="33" t="s">
        <v>882</v>
      </c>
      <c r="L5991" s="33" t="s">
        <v>7733</v>
      </c>
      <c r="M5991" s="33" t="s">
        <v>21</v>
      </c>
      <c r="N5991" s="33" t="s">
        <v>7734</v>
      </c>
      <c r="O5991" s="33" t="s">
        <v>950</v>
      </c>
      <c r="P5991" s="33" t="s">
        <v>30089</v>
      </c>
      <c r="Q5991" s="40" t="s">
        <v>7735</v>
      </c>
      <c r="R5991" s="33" t="s">
        <v>94</v>
      </c>
      <c r="S5991" s="33" t="s">
        <v>22</v>
      </c>
      <c r="T5991" s="1" t="s">
        <v>26781</v>
      </c>
      <c r="Z5991" s="33" t="s">
        <v>42967</v>
      </c>
      <c r="AA5991" s="33">
        <v>1673</v>
      </c>
    </row>
    <row r="5992" spans="1:27" ht="12" customHeight="1" x14ac:dyDescent="0.15">
      <c r="A5992" s="33" t="s">
        <v>7714</v>
      </c>
      <c r="B5992" s="33">
        <v>36</v>
      </c>
      <c r="C5992" s="33" t="s">
        <v>14</v>
      </c>
      <c r="D5992" s="33" t="s">
        <v>79</v>
      </c>
      <c r="F5992" s="67">
        <v>41837</v>
      </c>
      <c r="G5992" s="33" t="s">
        <v>7715</v>
      </c>
      <c r="H5992" s="33" t="s">
        <v>229</v>
      </c>
      <c r="I5992" s="33" t="s">
        <v>39</v>
      </c>
      <c r="J5992" s="33" t="s">
        <v>7716</v>
      </c>
      <c r="K5992" s="33" t="s">
        <v>558</v>
      </c>
      <c r="L5992" s="33" t="s">
        <v>230</v>
      </c>
      <c r="M5992" s="33" t="s">
        <v>21</v>
      </c>
      <c r="N5992" s="33" t="s">
        <v>7717</v>
      </c>
      <c r="O5992" s="33" t="s">
        <v>950</v>
      </c>
      <c r="P5992" s="33" t="s">
        <v>30089</v>
      </c>
      <c r="Q5992" s="40" t="s">
        <v>7718</v>
      </c>
      <c r="R5992" s="33" t="s">
        <v>23</v>
      </c>
      <c r="S5992" s="33" t="s">
        <v>351</v>
      </c>
      <c r="T5992" s="1" t="s">
        <v>42983</v>
      </c>
      <c r="Z5992" s="33" t="s">
        <v>42966</v>
      </c>
      <c r="AA5992" s="33">
        <v>1675</v>
      </c>
    </row>
    <row r="5993" spans="1:27" ht="12" customHeight="1" x14ac:dyDescent="0.15">
      <c r="A5993" s="33" t="s">
        <v>7719</v>
      </c>
      <c r="B5993" s="103">
        <v>43</v>
      </c>
      <c r="C5993" s="33" t="s">
        <v>14</v>
      </c>
      <c r="D5993" s="33" t="s">
        <v>79</v>
      </c>
      <c r="E5993" s="33" t="s">
        <v>7720</v>
      </c>
      <c r="F5993" s="67">
        <v>41837</v>
      </c>
      <c r="G5993" s="33" t="s">
        <v>7721</v>
      </c>
      <c r="H5993" s="33" t="s">
        <v>700</v>
      </c>
      <c r="I5993" s="33" t="s">
        <v>395</v>
      </c>
      <c r="J5993" s="33" t="s">
        <v>7722</v>
      </c>
      <c r="K5993" s="33" t="s">
        <v>700</v>
      </c>
      <c r="L5993" s="33" t="s">
        <v>539</v>
      </c>
      <c r="M5993" s="33" t="s">
        <v>11646</v>
      </c>
      <c r="N5993" s="33" t="s">
        <v>19041</v>
      </c>
      <c r="O5993" s="33" t="s">
        <v>507</v>
      </c>
      <c r="P5993" s="33" t="s">
        <v>30089</v>
      </c>
      <c r="Q5993" s="40" t="s">
        <v>7723</v>
      </c>
      <c r="R5993" s="33" t="s">
        <v>94</v>
      </c>
      <c r="S5993" s="33" t="s">
        <v>12</v>
      </c>
      <c r="T5993" s="54" t="s">
        <v>29705</v>
      </c>
      <c r="Z5993" s="33" t="s">
        <v>42966</v>
      </c>
      <c r="AA5993" s="33">
        <v>1674</v>
      </c>
    </row>
    <row r="5994" spans="1:27" ht="12" customHeight="1" x14ac:dyDescent="0.15">
      <c r="A5994" s="33" t="s">
        <v>7744</v>
      </c>
      <c r="B5994" s="33">
        <v>27</v>
      </c>
      <c r="C5994" s="33" t="s">
        <v>14</v>
      </c>
      <c r="D5994" s="33" t="s">
        <v>42</v>
      </c>
      <c r="E5994" s="33" t="s">
        <v>7745</v>
      </c>
      <c r="F5994" s="67">
        <v>41836</v>
      </c>
      <c r="G5994" s="33" t="s">
        <v>7746</v>
      </c>
      <c r="H5994" s="33" t="s">
        <v>1645</v>
      </c>
      <c r="I5994" s="33" t="s">
        <v>39</v>
      </c>
      <c r="J5994" s="33" t="s">
        <v>4259</v>
      </c>
      <c r="K5994" s="33" t="s">
        <v>1647</v>
      </c>
      <c r="L5994" s="33" t="s">
        <v>1648</v>
      </c>
      <c r="M5994" s="33" t="s">
        <v>21</v>
      </c>
      <c r="N5994" s="33" t="s">
        <v>7747</v>
      </c>
      <c r="O5994" s="33" t="s">
        <v>950</v>
      </c>
      <c r="P5994" s="33" t="s">
        <v>30089</v>
      </c>
      <c r="Q5994" s="40" t="s">
        <v>7748</v>
      </c>
      <c r="R5994" s="33" t="s">
        <v>94</v>
      </c>
      <c r="S5994" s="33" t="s">
        <v>29</v>
      </c>
      <c r="T5994" s="1" t="s">
        <v>41840</v>
      </c>
      <c r="Z5994" s="33" t="s">
        <v>42968</v>
      </c>
      <c r="AA5994" s="33">
        <v>1669</v>
      </c>
    </row>
    <row r="5995" spans="1:27" ht="12" customHeight="1" x14ac:dyDescent="0.15">
      <c r="A5995" s="33" t="s">
        <v>7749</v>
      </c>
      <c r="B5995" s="33">
        <v>30</v>
      </c>
      <c r="C5995" s="33" t="s">
        <v>14</v>
      </c>
      <c r="D5995" s="33" t="s">
        <v>42</v>
      </c>
      <c r="E5995" s="33" t="s">
        <v>7745</v>
      </c>
      <c r="F5995" s="67">
        <v>41836</v>
      </c>
      <c r="G5995" s="33" t="s">
        <v>7746</v>
      </c>
      <c r="H5995" s="33" t="s">
        <v>1645</v>
      </c>
      <c r="I5995" s="33" t="s">
        <v>39</v>
      </c>
      <c r="J5995" s="33" t="s">
        <v>4259</v>
      </c>
      <c r="K5995" s="33" t="s">
        <v>1647</v>
      </c>
      <c r="L5995" s="33" t="s">
        <v>1648</v>
      </c>
      <c r="M5995" s="33" t="s">
        <v>21</v>
      </c>
      <c r="N5995" s="33" t="s">
        <v>7747</v>
      </c>
      <c r="O5995" s="33" t="s">
        <v>950</v>
      </c>
      <c r="P5995" s="33" t="s">
        <v>30089</v>
      </c>
      <c r="Q5995" s="40" t="s">
        <v>7748</v>
      </c>
      <c r="R5995" s="33" t="s">
        <v>94</v>
      </c>
      <c r="S5995" s="33" t="s">
        <v>29</v>
      </c>
      <c r="T5995" s="1" t="s">
        <v>41840</v>
      </c>
      <c r="Z5995" s="33" t="s">
        <v>42968</v>
      </c>
      <c r="AA5995" s="33">
        <v>1670</v>
      </c>
    </row>
    <row r="5996" spans="1:27" ht="12" customHeight="1" x14ac:dyDescent="0.15">
      <c r="A5996" s="33" t="s">
        <v>7736</v>
      </c>
      <c r="B5996" s="33">
        <v>23</v>
      </c>
      <c r="C5996" s="33" t="s">
        <v>14</v>
      </c>
      <c r="D5996" s="33" t="s">
        <v>79</v>
      </c>
      <c r="F5996" s="67">
        <v>41836</v>
      </c>
      <c r="G5996" s="33" t="s">
        <v>7737</v>
      </c>
      <c r="H5996" s="33" t="s">
        <v>7738</v>
      </c>
      <c r="I5996" s="33" t="s">
        <v>51</v>
      </c>
      <c r="J5996" s="33" t="s">
        <v>7739</v>
      </c>
      <c r="K5996" s="33" t="s">
        <v>7740</v>
      </c>
      <c r="L5996" s="33" t="s">
        <v>7741</v>
      </c>
      <c r="M5996" s="33" t="s">
        <v>21</v>
      </c>
      <c r="N5996" s="33" t="s">
        <v>7742</v>
      </c>
      <c r="O5996" s="33" t="s">
        <v>950</v>
      </c>
      <c r="P5996" s="33" t="s">
        <v>30089</v>
      </c>
      <c r="Q5996" s="40" t="s">
        <v>7743</v>
      </c>
      <c r="R5996" s="33" t="s">
        <v>23</v>
      </c>
      <c r="S5996" s="33" t="s">
        <v>351</v>
      </c>
      <c r="T5996" s="1" t="s">
        <v>42983</v>
      </c>
      <c r="Z5996" s="33" t="s">
        <v>42966</v>
      </c>
      <c r="AA5996" s="33">
        <v>1671</v>
      </c>
    </row>
    <row r="5997" spans="1:27" ht="12" customHeight="1" x14ac:dyDescent="0.15">
      <c r="A5997" s="33" t="s">
        <v>7750</v>
      </c>
      <c r="B5997" s="33">
        <v>41</v>
      </c>
      <c r="C5997" s="33" t="s">
        <v>103</v>
      </c>
      <c r="D5997" s="33" t="s">
        <v>31</v>
      </c>
      <c r="E5997" s="33" t="s">
        <v>7751</v>
      </c>
      <c r="F5997" s="67">
        <v>41836</v>
      </c>
      <c r="G5997" s="33" t="s">
        <v>7752</v>
      </c>
      <c r="H5997" s="33" t="s">
        <v>1645</v>
      </c>
      <c r="I5997" s="33" t="s">
        <v>39</v>
      </c>
      <c r="J5997" s="33" t="s">
        <v>7753</v>
      </c>
      <c r="K5997" s="33" t="s">
        <v>1647</v>
      </c>
      <c r="L5997" s="33" t="s">
        <v>1648</v>
      </c>
      <c r="M5997" s="33" t="s">
        <v>21</v>
      </c>
      <c r="N5997" s="33" t="s">
        <v>7754</v>
      </c>
      <c r="O5997" s="33" t="s">
        <v>372</v>
      </c>
      <c r="P5997" s="33" t="s">
        <v>30089</v>
      </c>
      <c r="Q5997" s="40" t="s">
        <v>7755</v>
      </c>
      <c r="R5997" s="33" t="s">
        <v>94</v>
      </c>
      <c r="S5997" s="33" t="s">
        <v>12</v>
      </c>
      <c r="T5997" s="54" t="s">
        <v>29705</v>
      </c>
      <c r="Z5997" s="33" t="s">
        <v>42968</v>
      </c>
      <c r="AA5997" s="33">
        <v>1668</v>
      </c>
    </row>
    <row r="5998" spans="1:27" ht="12" customHeight="1" x14ac:dyDescent="0.15">
      <c r="A5998" s="33" t="s">
        <v>7756</v>
      </c>
      <c r="B5998" s="33">
        <v>24</v>
      </c>
      <c r="C5998" s="33" t="s">
        <v>14</v>
      </c>
      <c r="D5998" s="33" t="s">
        <v>31</v>
      </c>
      <c r="E5998" s="33" t="s">
        <v>7757</v>
      </c>
      <c r="F5998" s="67">
        <v>41835</v>
      </c>
      <c r="G5998" s="33" t="s">
        <v>7758</v>
      </c>
      <c r="H5998" s="33" t="s">
        <v>7759</v>
      </c>
      <c r="I5998" s="33" t="s">
        <v>298</v>
      </c>
      <c r="J5998" s="33" t="s">
        <v>7760</v>
      </c>
      <c r="K5998" s="33" t="s">
        <v>1117</v>
      </c>
      <c r="L5998" s="33" t="s">
        <v>7761</v>
      </c>
      <c r="M5998" s="33" t="s">
        <v>21</v>
      </c>
      <c r="N5998" s="33" t="s">
        <v>7762</v>
      </c>
      <c r="O5998" s="33" t="s">
        <v>950</v>
      </c>
      <c r="P5998" s="33" t="s">
        <v>30089</v>
      </c>
      <c r="Q5998" s="40" t="s">
        <v>7763</v>
      </c>
      <c r="R5998" s="33" t="s">
        <v>512</v>
      </c>
      <c r="S5998" s="33" t="s">
        <v>22</v>
      </c>
      <c r="T5998" s="1" t="s">
        <v>26781</v>
      </c>
      <c r="Z5998" s="33" t="s">
        <v>42968</v>
      </c>
      <c r="AA5998" s="33">
        <v>1667</v>
      </c>
    </row>
    <row r="5999" spans="1:27" ht="12" customHeight="1" x14ac:dyDescent="0.15">
      <c r="A5999" s="33" t="s">
        <v>7764</v>
      </c>
      <c r="B5999" s="33">
        <v>47</v>
      </c>
      <c r="C5999" s="33" t="s">
        <v>14</v>
      </c>
      <c r="D5999" s="33" t="s">
        <v>79</v>
      </c>
      <c r="E5999" s="33" t="s">
        <v>7765</v>
      </c>
      <c r="F5999" s="67">
        <v>41834</v>
      </c>
      <c r="G5999" s="33" t="s">
        <v>7766</v>
      </c>
      <c r="H5999" s="33" t="s">
        <v>183</v>
      </c>
      <c r="I5999" s="33" t="s">
        <v>39</v>
      </c>
      <c r="J5999" s="33" t="s">
        <v>6467</v>
      </c>
      <c r="K5999" s="33" t="s">
        <v>183</v>
      </c>
      <c r="L5999" s="33" t="s">
        <v>184</v>
      </c>
      <c r="M5999" s="33" t="s">
        <v>21</v>
      </c>
      <c r="N5999" s="33" t="s">
        <v>7767</v>
      </c>
      <c r="O5999" s="33" t="s">
        <v>950</v>
      </c>
      <c r="P5999" s="33" t="s">
        <v>30089</v>
      </c>
      <c r="Q5999" s="40" t="s">
        <v>7768</v>
      </c>
      <c r="R5999" s="33" t="s">
        <v>23</v>
      </c>
      <c r="S5999" s="33" t="s">
        <v>22</v>
      </c>
      <c r="T5999" s="1" t="s">
        <v>26774</v>
      </c>
      <c r="Z5999" s="33" t="s">
        <v>42968</v>
      </c>
      <c r="AA5999" s="33">
        <v>1665</v>
      </c>
    </row>
    <row r="6000" spans="1:27" ht="12" customHeight="1" x14ac:dyDescent="0.15">
      <c r="A6000" s="33" t="s">
        <v>7778</v>
      </c>
      <c r="B6000" s="33">
        <v>34</v>
      </c>
      <c r="C6000" s="33" t="s">
        <v>14</v>
      </c>
      <c r="D6000" s="33" t="s">
        <v>31</v>
      </c>
      <c r="E6000" s="33" t="s">
        <v>7779</v>
      </c>
      <c r="F6000" s="67">
        <v>41834</v>
      </c>
      <c r="G6000" s="33" t="s">
        <v>7780</v>
      </c>
      <c r="H6000" s="33" t="s">
        <v>7781</v>
      </c>
      <c r="I6000" s="33" t="s">
        <v>67</v>
      </c>
      <c r="J6000" s="33" t="s">
        <v>7782</v>
      </c>
      <c r="K6000" s="33" t="s">
        <v>635</v>
      </c>
      <c r="L6000" s="33" t="s">
        <v>7783</v>
      </c>
      <c r="M6000" s="33" t="s">
        <v>21</v>
      </c>
      <c r="N6000" s="33" t="s">
        <v>7784</v>
      </c>
      <c r="O6000" s="33" t="s">
        <v>950</v>
      </c>
      <c r="P6000" s="33" t="s">
        <v>30089</v>
      </c>
      <c r="Q6000" s="40" t="s">
        <v>7785</v>
      </c>
      <c r="R6000" s="33" t="s">
        <v>94</v>
      </c>
      <c r="S6000" s="33" t="s">
        <v>22</v>
      </c>
      <c r="T6000" s="1" t="s">
        <v>26781</v>
      </c>
      <c r="Z6000" s="33" t="s">
        <v>42968</v>
      </c>
      <c r="AA6000" s="33">
        <v>1664</v>
      </c>
    </row>
    <row r="6001" spans="1:27" ht="12" customHeight="1" x14ac:dyDescent="0.15">
      <c r="A6001" s="33" t="s">
        <v>7769</v>
      </c>
      <c r="B6001" s="33">
        <v>46</v>
      </c>
      <c r="C6001" s="33" t="s">
        <v>14</v>
      </c>
      <c r="D6001" s="33" t="s">
        <v>31</v>
      </c>
      <c r="E6001" s="33" t="s">
        <v>7770</v>
      </c>
      <c r="F6001" s="67">
        <v>41834</v>
      </c>
      <c r="G6001" s="33" t="s">
        <v>7771</v>
      </c>
      <c r="H6001" s="33" t="s">
        <v>7772</v>
      </c>
      <c r="I6001" s="33" t="s">
        <v>51</v>
      </c>
      <c r="J6001" s="33" t="s">
        <v>7773</v>
      </c>
      <c r="K6001" s="33" t="s">
        <v>7774</v>
      </c>
      <c r="L6001" s="33" t="s">
        <v>7775</v>
      </c>
      <c r="M6001" s="33" t="s">
        <v>21</v>
      </c>
      <c r="N6001" s="33" t="s">
        <v>7776</v>
      </c>
      <c r="O6001" s="33" t="s">
        <v>507</v>
      </c>
      <c r="P6001" s="33" t="s">
        <v>30089</v>
      </c>
      <c r="Q6001" s="40" t="s">
        <v>7777</v>
      </c>
      <c r="R6001" s="33" t="s">
        <v>904</v>
      </c>
      <c r="S6001" s="33" t="s">
        <v>12</v>
      </c>
      <c r="T6001" s="54" t="s">
        <v>29705</v>
      </c>
      <c r="Z6001" s="33" t="s">
        <v>42967</v>
      </c>
      <c r="AA6001" s="33">
        <v>1666</v>
      </c>
    </row>
    <row r="6002" spans="1:27" ht="12" customHeight="1" x14ac:dyDescent="0.15">
      <c r="A6002" s="33" t="s">
        <v>7786</v>
      </c>
      <c r="B6002" s="33">
        <v>21</v>
      </c>
      <c r="C6002" s="33" t="s">
        <v>14</v>
      </c>
      <c r="D6002" s="33" t="s">
        <v>15</v>
      </c>
      <c r="E6002" s="33" t="s">
        <v>7787</v>
      </c>
      <c r="F6002" s="67">
        <v>41833</v>
      </c>
      <c r="G6002" s="33" t="s">
        <v>7788</v>
      </c>
      <c r="H6002" s="33" t="s">
        <v>143</v>
      </c>
      <c r="I6002" s="33" t="s">
        <v>39</v>
      </c>
      <c r="J6002" s="33" t="s">
        <v>7789</v>
      </c>
      <c r="K6002" s="33" t="s">
        <v>143</v>
      </c>
      <c r="L6002" s="33" t="s">
        <v>144</v>
      </c>
      <c r="M6002" s="33" t="s">
        <v>21</v>
      </c>
      <c r="N6002" s="33" t="s">
        <v>7790</v>
      </c>
      <c r="O6002" s="33" t="s">
        <v>950</v>
      </c>
      <c r="P6002" s="33" t="s">
        <v>30089</v>
      </c>
      <c r="Q6002" s="40" t="s">
        <v>7791</v>
      </c>
      <c r="R6002" s="33" t="s">
        <v>512</v>
      </c>
      <c r="S6002" s="33" t="s">
        <v>22</v>
      </c>
      <c r="T6002" s="1" t="s">
        <v>43011</v>
      </c>
      <c r="Z6002" s="33" t="s">
        <v>42966</v>
      </c>
      <c r="AA6002" s="33">
        <v>1661</v>
      </c>
    </row>
    <row r="6003" spans="1:27" ht="12" customHeight="1" x14ac:dyDescent="0.15">
      <c r="A6003" s="33" t="s">
        <v>7800</v>
      </c>
      <c r="B6003" s="33">
        <v>46</v>
      </c>
      <c r="C6003" s="33" t="s">
        <v>14</v>
      </c>
      <c r="D6003" s="33" t="s">
        <v>24</v>
      </c>
      <c r="F6003" s="67">
        <v>41833</v>
      </c>
      <c r="G6003" s="33" t="s">
        <v>7801</v>
      </c>
      <c r="H6003" s="33" t="s">
        <v>571</v>
      </c>
      <c r="I6003" s="33" t="s">
        <v>338</v>
      </c>
      <c r="J6003" s="33" t="s">
        <v>7802</v>
      </c>
      <c r="K6003" s="33" t="s">
        <v>1194</v>
      </c>
      <c r="L6003" s="33" t="s">
        <v>36351</v>
      </c>
      <c r="M6003" s="33" t="s">
        <v>21</v>
      </c>
      <c r="N6003" s="33" t="s">
        <v>7803</v>
      </c>
      <c r="O6003" s="33" t="s">
        <v>950</v>
      </c>
      <c r="P6003" s="33" t="s">
        <v>30089</v>
      </c>
      <c r="Q6003" s="40" t="str">
        <f>HYPERLINK("http://www.citizen-times.com/story/news/crime/2014/07/14/hendersonville-police-shoot-kill-suspect/12640863/","http://www.citizen-times.com/story/news/crime/2014/07/14/hendersonville-police-shoot-kill-suspect/12640863/")</f>
        <v>http://www.citizen-times.com/story/news/crime/2014/07/14/hendersonville-police-shoot-kill-suspect/12640863/</v>
      </c>
      <c r="R6003" s="33" t="s">
        <v>94</v>
      </c>
      <c r="S6003" s="33" t="s">
        <v>22</v>
      </c>
      <c r="T6003" s="1" t="s">
        <v>26576</v>
      </c>
      <c r="Z6003" s="33" t="s">
        <v>42968</v>
      </c>
      <c r="AA6003" s="33">
        <v>1663</v>
      </c>
    </row>
    <row r="6004" spans="1:27" ht="12" customHeight="1" x14ac:dyDescent="0.15">
      <c r="A6004" s="33" t="s">
        <v>7813</v>
      </c>
      <c r="B6004" s="33">
        <v>26</v>
      </c>
      <c r="C6004" s="33" t="s">
        <v>14</v>
      </c>
      <c r="D6004" s="33" t="s">
        <v>31</v>
      </c>
      <c r="E6004" s="33" t="s">
        <v>7814</v>
      </c>
      <c r="F6004" s="67">
        <v>41833</v>
      </c>
      <c r="G6004" s="33" t="s">
        <v>7815</v>
      </c>
      <c r="H6004" s="33" t="s">
        <v>7816</v>
      </c>
      <c r="I6004" s="33" t="s">
        <v>112</v>
      </c>
      <c r="J6004" s="33" t="s">
        <v>7817</v>
      </c>
      <c r="K6004" s="33" t="s">
        <v>585</v>
      </c>
      <c r="L6004" s="33" t="s">
        <v>1765</v>
      </c>
      <c r="M6004" s="33" t="s">
        <v>21</v>
      </c>
      <c r="N6004" s="33" t="s">
        <v>7818</v>
      </c>
      <c r="O6004" s="33" t="s">
        <v>507</v>
      </c>
      <c r="P6004" s="33" t="s">
        <v>30089</v>
      </c>
      <c r="Q6004" s="40" t="s">
        <v>7819</v>
      </c>
      <c r="R6004" s="33" t="s">
        <v>512</v>
      </c>
      <c r="S6004" s="33" t="s">
        <v>12</v>
      </c>
      <c r="T6004" s="54" t="s">
        <v>29705</v>
      </c>
      <c r="Z6004" s="33" t="s">
        <v>42968</v>
      </c>
      <c r="AA6004" s="33">
        <v>1662</v>
      </c>
    </row>
    <row r="6005" spans="1:27" ht="12" customHeight="1" x14ac:dyDescent="0.15">
      <c r="A6005" s="33" t="s">
        <v>7804</v>
      </c>
      <c r="B6005" s="33">
        <v>55</v>
      </c>
      <c r="C6005" s="33" t="s">
        <v>14</v>
      </c>
      <c r="D6005" s="33" t="s">
        <v>24</v>
      </c>
      <c r="F6005" s="67">
        <v>41833</v>
      </c>
      <c r="G6005" s="33" t="s">
        <v>7805</v>
      </c>
      <c r="H6005" s="33" t="s">
        <v>7806</v>
      </c>
      <c r="I6005" s="33" t="s">
        <v>1020</v>
      </c>
      <c r="J6005" s="33" t="s">
        <v>7807</v>
      </c>
      <c r="K6005" s="33" t="s">
        <v>7808</v>
      </c>
      <c r="L6005" s="33" t="s">
        <v>7809</v>
      </c>
      <c r="M6005" s="33" t="s">
        <v>21</v>
      </c>
      <c r="N6005" s="33" t="s">
        <v>36819</v>
      </c>
      <c r="O6005" s="33" t="s">
        <v>950</v>
      </c>
      <c r="P6005" s="33" t="s">
        <v>30089</v>
      </c>
      <c r="Q6005" s="40" t="s">
        <v>7810</v>
      </c>
      <c r="R6005" s="33" t="s">
        <v>23</v>
      </c>
      <c r="S6005" s="33" t="s">
        <v>22</v>
      </c>
      <c r="T6005" s="1" t="s">
        <v>26781</v>
      </c>
      <c r="Z6005" s="33" t="s">
        <v>42967</v>
      </c>
      <c r="AA6005" s="33">
        <v>1660</v>
      </c>
    </row>
    <row r="6006" spans="1:27" ht="12" customHeight="1" x14ac:dyDescent="0.15">
      <c r="A6006" s="33" t="s">
        <v>7792</v>
      </c>
      <c r="B6006" s="33">
        <v>27</v>
      </c>
      <c r="C6006" s="33" t="s">
        <v>14</v>
      </c>
      <c r="D6006" s="33" t="s">
        <v>79</v>
      </c>
      <c r="E6006" s="33" t="s">
        <v>7793</v>
      </c>
      <c r="F6006" s="67">
        <v>41833</v>
      </c>
      <c r="G6006" s="33" t="s">
        <v>7794</v>
      </c>
      <c r="H6006" s="33" t="s">
        <v>7795</v>
      </c>
      <c r="I6006" s="33" t="s">
        <v>75</v>
      </c>
      <c r="J6006" s="33" t="s">
        <v>7796</v>
      </c>
      <c r="K6006" s="33" t="s">
        <v>2300</v>
      </c>
      <c r="L6006" s="33" t="s">
        <v>7797</v>
      </c>
      <c r="M6006" s="33" t="s">
        <v>21</v>
      </c>
      <c r="N6006" s="33" t="s">
        <v>7798</v>
      </c>
      <c r="O6006" s="33" t="s">
        <v>507</v>
      </c>
      <c r="P6006" s="33" t="s">
        <v>30089</v>
      </c>
      <c r="Q6006" s="40" t="s">
        <v>7799</v>
      </c>
      <c r="R6006" s="33" t="s">
        <v>94</v>
      </c>
      <c r="S6006" s="33" t="s">
        <v>22</v>
      </c>
      <c r="T6006" s="1" t="s">
        <v>26781</v>
      </c>
      <c r="Z6006" s="33" t="s">
        <v>42968</v>
      </c>
      <c r="AA6006" s="33">
        <v>1659</v>
      </c>
    </row>
    <row r="6007" spans="1:27" ht="12" customHeight="1" x14ac:dyDescent="0.15">
      <c r="A6007" s="33" t="s">
        <v>7833</v>
      </c>
      <c r="B6007" s="33">
        <v>33</v>
      </c>
      <c r="C6007" s="33" t="s">
        <v>14</v>
      </c>
      <c r="D6007" s="33" t="s">
        <v>31</v>
      </c>
      <c r="E6007" s="33" t="s">
        <v>7834</v>
      </c>
      <c r="F6007" s="67">
        <v>41832</v>
      </c>
      <c r="G6007" s="33" t="s">
        <v>7835</v>
      </c>
      <c r="H6007" s="33" t="s">
        <v>7836</v>
      </c>
      <c r="I6007" s="33" t="s">
        <v>19</v>
      </c>
      <c r="J6007" s="33" t="s">
        <v>7837</v>
      </c>
      <c r="K6007" s="33" t="s">
        <v>7838</v>
      </c>
      <c r="L6007" s="33" t="s">
        <v>7839</v>
      </c>
      <c r="M6007" s="33" t="s">
        <v>21</v>
      </c>
      <c r="N6007" s="33" t="s">
        <v>7840</v>
      </c>
      <c r="O6007" s="33" t="s">
        <v>950</v>
      </c>
      <c r="P6007" s="33" t="s">
        <v>30089</v>
      </c>
      <c r="Q6007" s="40" t="s">
        <v>7841</v>
      </c>
      <c r="R6007" s="33" t="s">
        <v>94</v>
      </c>
      <c r="S6007" s="33" t="s">
        <v>22</v>
      </c>
      <c r="T6007" s="1" t="s">
        <v>26781</v>
      </c>
      <c r="Z6007" s="33" t="s">
        <v>42968</v>
      </c>
      <c r="AA6007" s="33">
        <v>1656</v>
      </c>
    </row>
    <row r="6008" spans="1:27" ht="12" customHeight="1" x14ac:dyDescent="0.15">
      <c r="A6008" s="33" t="s">
        <v>7827</v>
      </c>
      <c r="B6008" s="33">
        <v>54</v>
      </c>
      <c r="C6008" s="33" t="s">
        <v>14</v>
      </c>
      <c r="D6008" s="33" t="s">
        <v>31</v>
      </c>
      <c r="F6008" s="67">
        <v>41832</v>
      </c>
      <c r="G6008" s="33" t="s">
        <v>7828</v>
      </c>
      <c r="H6008" s="33" t="s">
        <v>7829</v>
      </c>
      <c r="I6008" s="33" t="s">
        <v>56</v>
      </c>
      <c r="J6008" s="33" t="s">
        <v>7830</v>
      </c>
      <c r="K6008" s="33" t="s">
        <v>1179</v>
      </c>
      <c r="L6008" s="33" t="s">
        <v>36822</v>
      </c>
      <c r="M6008" s="33" t="s">
        <v>21</v>
      </c>
      <c r="N6008" s="33" t="s">
        <v>7831</v>
      </c>
      <c r="O6008" s="33" t="s">
        <v>950</v>
      </c>
      <c r="P6008" s="33" t="s">
        <v>30089</v>
      </c>
      <c r="Q6008" s="40" t="s">
        <v>7832</v>
      </c>
      <c r="R6008" s="33" t="s">
        <v>512</v>
      </c>
      <c r="S6008" s="33" t="s">
        <v>22</v>
      </c>
      <c r="T6008" s="1" t="s">
        <v>26781</v>
      </c>
      <c r="Z6008" s="33" t="s">
        <v>42968</v>
      </c>
      <c r="AA6008" s="33">
        <v>1657</v>
      </c>
    </row>
    <row r="6009" spans="1:27" ht="12" customHeight="1" x14ac:dyDescent="0.15">
      <c r="A6009" s="33" t="s">
        <v>7820</v>
      </c>
      <c r="B6009" s="33">
        <v>36</v>
      </c>
      <c r="C6009" s="33" t="s">
        <v>103</v>
      </c>
      <c r="D6009" s="33" t="s">
        <v>31</v>
      </c>
      <c r="E6009" s="33" t="s">
        <v>7821</v>
      </c>
      <c r="F6009" s="67">
        <v>41832</v>
      </c>
      <c r="G6009" s="33" t="s">
        <v>7822</v>
      </c>
      <c r="H6009" s="33" t="s">
        <v>7823</v>
      </c>
      <c r="I6009" s="33" t="s">
        <v>26</v>
      </c>
      <c r="J6009" s="33" t="s">
        <v>7824</v>
      </c>
      <c r="K6009" s="33" t="s">
        <v>7825</v>
      </c>
      <c r="L6009" s="33" t="s">
        <v>36820</v>
      </c>
      <c r="M6009" s="33" t="s">
        <v>21</v>
      </c>
      <c r="N6009" s="33" t="s">
        <v>36821</v>
      </c>
      <c r="O6009" s="33" t="s">
        <v>950</v>
      </c>
      <c r="P6009" s="33" t="s">
        <v>30089</v>
      </c>
      <c r="Q6009" s="40" t="s">
        <v>7826</v>
      </c>
      <c r="R6009" s="33" t="s">
        <v>23</v>
      </c>
      <c r="S6009" s="33" t="s">
        <v>22</v>
      </c>
      <c r="T6009" s="1" t="s">
        <v>26774</v>
      </c>
      <c r="Z6009" s="33" t="s">
        <v>42968</v>
      </c>
      <c r="AA6009" s="33">
        <v>1658</v>
      </c>
    </row>
    <row r="6010" spans="1:27" ht="12" customHeight="1" x14ac:dyDescent="0.15">
      <c r="A6010" s="33" t="s">
        <v>7850</v>
      </c>
      <c r="B6010" s="33">
        <v>41</v>
      </c>
      <c r="C6010" s="33" t="s">
        <v>14</v>
      </c>
      <c r="D6010" s="33" t="s">
        <v>31</v>
      </c>
      <c r="E6010" s="33" t="s">
        <v>7851</v>
      </c>
      <c r="F6010" s="67">
        <v>41831</v>
      </c>
      <c r="G6010" s="33" t="s">
        <v>7852</v>
      </c>
      <c r="H6010" s="33" t="s">
        <v>7853</v>
      </c>
      <c r="I6010" s="33" t="s">
        <v>67</v>
      </c>
      <c r="J6010" s="33" t="s">
        <v>7854</v>
      </c>
      <c r="K6010" s="33" t="s">
        <v>998</v>
      </c>
      <c r="L6010" s="33" t="s">
        <v>7855</v>
      </c>
      <c r="M6010" s="33" t="s">
        <v>21</v>
      </c>
      <c r="N6010" s="33" t="s">
        <v>7856</v>
      </c>
      <c r="O6010" s="33" t="s">
        <v>507</v>
      </c>
      <c r="P6010" s="33" t="s">
        <v>30089</v>
      </c>
      <c r="Q6010" s="40" t="str">
        <f>HYPERLINK("http://www.12newsnow.com/story/26796642/vidor-officers-cleared-by-grand-jury-will-return-to-work-friday","http://www.12newsnow.com/story/26796642/vidor-officers-cleared-by-grand-jury-will-return-to-work-friday")</f>
        <v>http://www.12newsnow.com/story/26796642/vidor-officers-cleared-by-grand-jury-will-return-to-work-friday</v>
      </c>
      <c r="R6010" s="33" t="s">
        <v>23</v>
      </c>
      <c r="S6010" s="33" t="s">
        <v>22</v>
      </c>
      <c r="T6010" s="33" t="s">
        <v>26774</v>
      </c>
      <c r="Z6010" s="33" t="s">
        <v>42967</v>
      </c>
      <c r="AA6010" s="33">
        <v>1655</v>
      </c>
    </row>
    <row r="6011" spans="1:27" ht="12" customHeight="1" x14ac:dyDescent="0.15">
      <c r="A6011" s="33" t="s">
        <v>7857</v>
      </c>
      <c r="B6011" s="33">
        <v>67</v>
      </c>
      <c r="C6011" s="33" t="s">
        <v>14</v>
      </c>
      <c r="D6011" s="33" t="s">
        <v>31</v>
      </c>
      <c r="F6011" s="67">
        <v>41831</v>
      </c>
      <c r="G6011" s="33" t="s">
        <v>7858</v>
      </c>
      <c r="H6011" s="33" t="s">
        <v>7859</v>
      </c>
      <c r="I6011" s="33" t="s">
        <v>294</v>
      </c>
      <c r="J6011" s="33" t="s">
        <v>7860</v>
      </c>
      <c r="K6011" s="33" t="s">
        <v>7861</v>
      </c>
      <c r="L6011" s="33" t="s">
        <v>7862</v>
      </c>
      <c r="M6011" s="33" t="s">
        <v>21</v>
      </c>
      <c r="N6011" s="33" t="s">
        <v>7863</v>
      </c>
      <c r="O6011" s="33" t="s">
        <v>507</v>
      </c>
      <c r="P6011" s="33" t="s">
        <v>30089</v>
      </c>
      <c r="Q6011" s="40" t="s">
        <v>7864</v>
      </c>
      <c r="R6011" s="33" t="s">
        <v>94</v>
      </c>
      <c r="S6011" s="33" t="s">
        <v>22</v>
      </c>
      <c r="T6011" s="1" t="s">
        <v>26781</v>
      </c>
      <c r="Z6011" s="33" t="s">
        <v>42967</v>
      </c>
      <c r="AA6011" s="33">
        <v>1654</v>
      </c>
    </row>
    <row r="6012" spans="1:27" ht="12" customHeight="1" x14ac:dyDescent="0.15">
      <c r="A6012" s="33" t="s">
        <v>7842</v>
      </c>
      <c r="B6012" s="33">
        <v>42</v>
      </c>
      <c r="C6012" s="33" t="s">
        <v>14</v>
      </c>
      <c r="D6012" s="33" t="s">
        <v>128</v>
      </c>
      <c r="E6012" s="33" t="s">
        <v>7843</v>
      </c>
      <c r="F6012" s="67">
        <v>41831</v>
      </c>
      <c r="G6012" s="33" t="s">
        <v>7844</v>
      </c>
      <c r="H6012" s="33" t="s">
        <v>7845</v>
      </c>
      <c r="I6012" s="33" t="s">
        <v>282</v>
      </c>
      <c r="J6012" s="33" t="s">
        <v>7846</v>
      </c>
      <c r="K6012" s="33" t="s">
        <v>5737</v>
      </c>
      <c r="L6012" s="33" t="s">
        <v>7847</v>
      </c>
      <c r="M6012" s="33" t="s">
        <v>21</v>
      </c>
      <c r="N6012" s="33" t="s">
        <v>7848</v>
      </c>
      <c r="O6012" s="33" t="s">
        <v>4311</v>
      </c>
      <c r="P6012" s="33" t="s">
        <v>30089</v>
      </c>
      <c r="Q6012" s="40" t="s">
        <v>7849</v>
      </c>
      <c r="R6012" s="33" t="s">
        <v>94</v>
      </c>
      <c r="S6012" s="33" t="s">
        <v>22</v>
      </c>
      <c r="T6012" s="1" t="s">
        <v>26781</v>
      </c>
      <c r="Z6012" s="33" t="s">
        <v>42967</v>
      </c>
      <c r="AA6012" s="33">
        <v>1653</v>
      </c>
    </row>
    <row r="6013" spans="1:27" ht="12" customHeight="1" x14ac:dyDescent="0.15">
      <c r="A6013" s="33" t="s">
        <v>7865</v>
      </c>
      <c r="B6013" s="33">
        <v>37</v>
      </c>
      <c r="C6013" s="33" t="s">
        <v>14</v>
      </c>
      <c r="D6013" s="33" t="s">
        <v>79</v>
      </c>
      <c r="E6013" s="33" t="s">
        <v>7866</v>
      </c>
      <c r="F6013" s="67">
        <v>41830</v>
      </c>
      <c r="G6013" s="33" t="s">
        <v>7867</v>
      </c>
      <c r="H6013" s="33" t="s">
        <v>1202</v>
      </c>
      <c r="I6013" s="33" t="s">
        <v>63</v>
      </c>
      <c r="J6013" s="33" t="s">
        <v>7868</v>
      </c>
      <c r="K6013" s="33" t="s">
        <v>1203</v>
      </c>
      <c r="L6013" s="33" t="s">
        <v>11441</v>
      </c>
      <c r="M6013" s="33" t="s">
        <v>21</v>
      </c>
      <c r="N6013" s="33" t="s">
        <v>7869</v>
      </c>
      <c r="O6013" s="33" t="s">
        <v>4311</v>
      </c>
      <c r="P6013" s="33" t="s">
        <v>30089</v>
      </c>
      <c r="Q6013" s="40" t="str">
        <f>HYPERLINK("http://www.10tv.com/content/stories/2014/07/10/columbus-ohio-probation-officer-among-2-people-shot-in-southeast-columbus.html","http://www.10tv.com/content/stories/2014/07/10/columbus-ohio-probation-officer-among-2-people-shot-in-southeast-columbus.html")</f>
        <v>http://www.10tv.com/content/stories/2014/07/10/columbus-ohio-probation-officer-among-2-people-shot-in-southeast-columbus.html</v>
      </c>
      <c r="R6013" s="33" t="s">
        <v>512</v>
      </c>
      <c r="S6013" s="33" t="s">
        <v>29</v>
      </c>
      <c r="T6013" s="33" t="s">
        <v>41840</v>
      </c>
      <c r="Z6013" s="33" t="s">
        <v>42968</v>
      </c>
      <c r="AA6013" s="33">
        <v>1652</v>
      </c>
    </row>
    <row r="6014" spans="1:27" ht="12" customHeight="1" x14ac:dyDescent="0.15">
      <c r="A6014" s="33" t="s">
        <v>7870</v>
      </c>
      <c r="B6014" s="33">
        <v>40</v>
      </c>
      <c r="C6014" s="33" t="s">
        <v>14</v>
      </c>
      <c r="D6014" s="33" t="s">
        <v>42</v>
      </c>
      <c r="E6014" s="33" t="s">
        <v>7871</v>
      </c>
      <c r="F6014" s="67">
        <v>41830</v>
      </c>
      <c r="G6014" s="33" t="s">
        <v>7872</v>
      </c>
      <c r="H6014" s="33" t="s">
        <v>5818</v>
      </c>
      <c r="I6014" s="33" t="s">
        <v>39</v>
      </c>
      <c r="J6014" s="33" t="s">
        <v>5819</v>
      </c>
      <c r="K6014" s="33" t="s">
        <v>59</v>
      </c>
      <c r="L6014" s="33" t="s">
        <v>5820</v>
      </c>
      <c r="M6014" s="33" t="s">
        <v>21</v>
      </c>
      <c r="N6014" s="33" t="s">
        <v>7873</v>
      </c>
      <c r="O6014" s="33" t="s">
        <v>4311</v>
      </c>
      <c r="P6014" s="33" t="s">
        <v>30089</v>
      </c>
      <c r="Q6014" s="40" t="s">
        <v>7874</v>
      </c>
      <c r="R6014" s="33" t="s">
        <v>94</v>
      </c>
      <c r="S6014" s="1" t="s">
        <v>12</v>
      </c>
      <c r="T6014" s="33" t="s">
        <v>43027</v>
      </c>
      <c r="Z6014" s="33" t="s">
        <v>42968</v>
      </c>
      <c r="AA6014" s="33">
        <v>1651</v>
      </c>
    </row>
    <row r="6015" spans="1:27" ht="12" customHeight="1" x14ac:dyDescent="0.15">
      <c r="A6015" s="33" t="s">
        <v>7897</v>
      </c>
      <c r="B6015" s="33">
        <v>37</v>
      </c>
      <c r="C6015" s="33" t="s">
        <v>14</v>
      </c>
      <c r="D6015" s="33" t="s">
        <v>31</v>
      </c>
      <c r="E6015" s="33" t="s">
        <v>7898</v>
      </c>
      <c r="F6015" s="67">
        <v>41829</v>
      </c>
      <c r="G6015" s="33" t="s">
        <v>7899</v>
      </c>
      <c r="H6015" s="33" t="s">
        <v>7900</v>
      </c>
      <c r="I6015" s="33" t="s">
        <v>56</v>
      </c>
      <c r="J6015" s="33" t="s">
        <v>7901</v>
      </c>
      <c r="K6015" s="33" t="s">
        <v>5086</v>
      </c>
      <c r="L6015" s="33" t="s">
        <v>7902</v>
      </c>
      <c r="M6015" s="33" t="s">
        <v>21</v>
      </c>
      <c r="N6015" s="33" t="s">
        <v>7903</v>
      </c>
      <c r="O6015" s="33" t="s">
        <v>3109</v>
      </c>
      <c r="P6015" s="33" t="s">
        <v>30089</v>
      </c>
      <c r="Q6015" s="40" t="s">
        <v>7904</v>
      </c>
      <c r="R6015" s="33" t="s">
        <v>94</v>
      </c>
      <c r="S6015" s="33" t="s">
        <v>22</v>
      </c>
      <c r="T6015" s="1" t="s">
        <v>26781</v>
      </c>
      <c r="Z6015" s="33" t="s">
        <v>42968</v>
      </c>
      <c r="AA6015" s="33">
        <v>1646</v>
      </c>
    </row>
    <row r="6016" spans="1:27" ht="12" customHeight="1" x14ac:dyDescent="0.15">
      <c r="A6016" s="33" t="s">
        <v>7875</v>
      </c>
      <c r="B6016" s="33">
        <v>53</v>
      </c>
      <c r="C6016" s="33" t="s">
        <v>14</v>
      </c>
      <c r="D6016" s="33" t="s">
        <v>79</v>
      </c>
      <c r="E6016" s="33" t="s">
        <v>7876</v>
      </c>
      <c r="F6016" s="67">
        <v>41829</v>
      </c>
      <c r="G6016" s="33" t="s">
        <v>7877</v>
      </c>
      <c r="H6016" s="33" t="s">
        <v>7878</v>
      </c>
      <c r="I6016" s="33" t="s">
        <v>67</v>
      </c>
      <c r="J6016" s="33" t="s">
        <v>7879</v>
      </c>
      <c r="K6016" s="33" t="s">
        <v>515</v>
      </c>
      <c r="L6016" s="33" t="s">
        <v>7880</v>
      </c>
      <c r="M6016" s="33" t="s">
        <v>21</v>
      </c>
      <c r="N6016" s="33" t="s">
        <v>7881</v>
      </c>
      <c r="O6016" s="33" t="s">
        <v>4311</v>
      </c>
      <c r="P6016" s="33" t="s">
        <v>30089</v>
      </c>
      <c r="Q6016" s="40" t="s">
        <v>7882</v>
      </c>
      <c r="R6016" s="33" t="s">
        <v>94</v>
      </c>
      <c r="S6016" s="33" t="s">
        <v>12</v>
      </c>
      <c r="T6016" s="54" t="s">
        <v>29705</v>
      </c>
      <c r="Y6016" s="33" t="s">
        <v>42476</v>
      </c>
      <c r="Z6016" s="33" t="s">
        <v>42968</v>
      </c>
      <c r="AA6016" s="33">
        <v>1650</v>
      </c>
    </row>
    <row r="6017" spans="1:27" ht="12" customHeight="1" x14ac:dyDescent="0.15">
      <c r="A6017" s="33" t="s">
        <v>7905</v>
      </c>
      <c r="B6017" s="33">
        <v>26</v>
      </c>
      <c r="C6017" s="33" t="s">
        <v>14</v>
      </c>
      <c r="D6017" s="33" t="s">
        <v>31</v>
      </c>
      <c r="E6017" s="33" t="s">
        <v>7906</v>
      </c>
      <c r="F6017" s="67">
        <v>41829</v>
      </c>
      <c r="G6017" s="33" t="s">
        <v>7907</v>
      </c>
      <c r="H6017" s="33" t="s">
        <v>7908</v>
      </c>
      <c r="I6017" s="33" t="s">
        <v>67</v>
      </c>
      <c r="J6017" s="33" t="s">
        <v>7909</v>
      </c>
      <c r="K6017" s="33" t="s">
        <v>1296</v>
      </c>
      <c r="L6017" s="33" t="s">
        <v>7910</v>
      </c>
      <c r="M6017" s="33" t="s">
        <v>21</v>
      </c>
      <c r="N6017" s="33" t="s">
        <v>7911</v>
      </c>
      <c r="O6017" s="33" t="s">
        <v>950</v>
      </c>
      <c r="P6017" s="33" t="s">
        <v>30089</v>
      </c>
      <c r="Q6017" s="40" t="s">
        <v>7912</v>
      </c>
      <c r="R6017" s="33" t="s">
        <v>94</v>
      </c>
      <c r="S6017" s="33" t="s">
        <v>22</v>
      </c>
      <c r="T6017" s="33" t="s">
        <v>26781</v>
      </c>
      <c r="Z6017" s="33" t="s">
        <v>42968</v>
      </c>
      <c r="AA6017" s="33">
        <v>1649</v>
      </c>
    </row>
    <row r="6018" spans="1:27" ht="12" customHeight="1" x14ac:dyDescent="0.15">
      <c r="A6018" s="33" t="s">
        <v>7883</v>
      </c>
      <c r="B6018" s="33">
        <v>49</v>
      </c>
      <c r="C6018" s="33" t="s">
        <v>14</v>
      </c>
      <c r="D6018" s="33" t="s">
        <v>31</v>
      </c>
      <c r="E6018" s="33" t="s">
        <v>7884</v>
      </c>
      <c r="F6018" s="67">
        <v>41829</v>
      </c>
      <c r="G6018" s="33" t="s">
        <v>7885</v>
      </c>
      <c r="H6018" s="33" t="s">
        <v>4016</v>
      </c>
      <c r="I6018" s="33" t="s">
        <v>282</v>
      </c>
      <c r="J6018" s="33" t="s">
        <v>4017</v>
      </c>
      <c r="K6018" s="33" t="s">
        <v>1203</v>
      </c>
      <c r="L6018" s="33" t="s">
        <v>7886</v>
      </c>
      <c r="M6018" s="33" t="s">
        <v>21</v>
      </c>
      <c r="N6018" s="33" t="s">
        <v>7887</v>
      </c>
      <c r="O6018" s="33" t="s">
        <v>950</v>
      </c>
      <c r="P6018" s="33" t="s">
        <v>30089</v>
      </c>
      <c r="Q6018" s="40" t="s">
        <v>7888</v>
      </c>
      <c r="R6018" s="33" t="s">
        <v>512</v>
      </c>
      <c r="S6018" s="33" t="s">
        <v>22</v>
      </c>
      <c r="T6018" s="1" t="s">
        <v>26781</v>
      </c>
      <c r="Z6018" s="33" t="s">
        <v>42968</v>
      </c>
      <c r="AA6018" s="33">
        <v>1647</v>
      </c>
    </row>
    <row r="6019" spans="1:27" ht="12" customHeight="1" x14ac:dyDescent="0.15">
      <c r="A6019" s="33" t="s">
        <v>7889</v>
      </c>
      <c r="B6019" s="33">
        <v>45</v>
      </c>
      <c r="C6019" s="33" t="s">
        <v>14</v>
      </c>
      <c r="D6019" s="33" t="s">
        <v>31</v>
      </c>
      <c r="E6019" s="33" t="s">
        <v>7890</v>
      </c>
      <c r="F6019" s="67">
        <v>41829</v>
      </c>
      <c r="G6019" s="33" t="s">
        <v>7891</v>
      </c>
      <c r="H6019" s="33" t="s">
        <v>7892</v>
      </c>
      <c r="I6019" s="33" t="s">
        <v>38</v>
      </c>
      <c r="J6019" s="33" t="s">
        <v>7893</v>
      </c>
      <c r="K6019" s="33" t="s">
        <v>2014</v>
      </c>
      <c r="L6019" s="33" t="s">
        <v>7894</v>
      </c>
      <c r="M6019" s="33" t="s">
        <v>21</v>
      </c>
      <c r="N6019" s="33" t="s">
        <v>7895</v>
      </c>
      <c r="O6019" s="33" t="s">
        <v>950</v>
      </c>
      <c r="P6019" s="33" t="s">
        <v>30089</v>
      </c>
      <c r="Q6019" s="40" t="s">
        <v>7896</v>
      </c>
      <c r="R6019" s="33" t="s">
        <v>23</v>
      </c>
      <c r="S6019" s="33" t="s">
        <v>22</v>
      </c>
      <c r="T6019" s="1" t="s">
        <v>26781</v>
      </c>
      <c r="Z6019" s="33" t="s">
        <v>42968</v>
      </c>
      <c r="AA6019" s="33">
        <v>1648</v>
      </c>
    </row>
    <row r="6020" spans="1:27" ht="12" customHeight="1" x14ac:dyDescent="0.15">
      <c r="A6020" s="33" t="s">
        <v>7913</v>
      </c>
      <c r="B6020" s="33">
        <v>35</v>
      </c>
      <c r="C6020" s="33" t="s">
        <v>103</v>
      </c>
      <c r="D6020" s="33" t="s">
        <v>128</v>
      </c>
      <c r="E6020" s="33" t="s">
        <v>7914</v>
      </c>
      <c r="F6020" s="67">
        <v>41828</v>
      </c>
      <c r="G6020" s="33" t="s">
        <v>7915</v>
      </c>
      <c r="H6020" s="33" t="s">
        <v>734</v>
      </c>
      <c r="I6020" s="33" t="s">
        <v>735</v>
      </c>
      <c r="J6020" s="33" t="s">
        <v>7916</v>
      </c>
      <c r="K6020" s="33" t="s">
        <v>736</v>
      </c>
      <c r="L6020" s="33" t="s">
        <v>7917</v>
      </c>
      <c r="M6020" s="33" t="s">
        <v>21</v>
      </c>
      <c r="N6020" s="33" t="s">
        <v>7918</v>
      </c>
      <c r="O6020" s="33" t="s">
        <v>507</v>
      </c>
      <c r="P6020" s="33" t="s">
        <v>30089</v>
      </c>
      <c r="Q6020" s="40" t="s">
        <v>7919</v>
      </c>
      <c r="R6020" s="33" t="s">
        <v>23</v>
      </c>
      <c r="S6020" s="33" t="s">
        <v>22</v>
      </c>
      <c r="T6020" s="1" t="s">
        <v>26774</v>
      </c>
      <c r="Z6020" s="33" t="s">
        <v>42967</v>
      </c>
      <c r="AA6020" s="33">
        <v>1645</v>
      </c>
    </row>
    <row r="6021" spans="1:27" ht="12" customHeight="1" x14ac:dyDescent="0.15">
      <c r="A6021" s="33" t="s">
        <v>7920</v>
      </c>
      <c r="B6021" s="33">
        <v>36</v>
      </c>
      <c r="C6021" s="33" t="s">
        <v>14</v>
      </c>
      <c r="D6021" s="33" t="s">
        <v>31</v>
      </c>
      <c r="F6021" s="67">
        <v>41827</v>
      </c>
      <c r="G6021" s="33" t="s">
        <v>7921</v>
      </c>
      <c r="H6021" s="33" t="s">
        <v>7922</v>
      </c>
      <c r="I6021" s="33" t="s">
        <v>106</v>
      </c>
      <c r="J6021" s="33" t="s">
        <v>7923</v>
      </c>
      <c r="K6021" s="33" t="s">
        <v>3919</v>
      </c>
      <c r="L6021" s="33" t="s">
        <v>3920</v>
      </c>
      <c r="M6021" s="33" t="s">
        <v>21</v>
      </c>
      <c r="N6021" s="33" t="s">
        <v>7924</v>
      </c>
      <c r="O6021" s="33" t="s">
        <v>950</v>
      </c>
      <c r="P6021" s="33" t="s">
        <v>30089</v>
      </c>
      <c r="Q6021" s="40" t="s">
        <v>7925</v>
      </c>
      <c r="R6021" s="33" t="s">
        <v>94</v>
      </c>
      <c r="S6021" s="33" t="s">
        <v>22</v>
      </c>
      <c r="T6021" s="1" t="s">
        <v>26781</v>
      </c>
      <c r="Z6021" s="33" t="s">
        <v>42967</v>
      </c>
      <c r="AA6021" s="33">
        <v>1644</v>
      </c>
    </row>
    <row r="6022" spans="1:27" ht="12" customHeight="1" x14ac:dyDescent="0.15">
      <c r="A6022" s="33" t="s">
        <v>7933</v>
      </c>
      <c r="B6022" s="103">
        <v>37</v>
      </c>
      <c r="C6022" s="33" t="s">
        <v>14</v>
      </c>
      <c r="D6022" s="33" t="s">
        <v>31</v>
      </c>
      <c r="E6022" s="33" t="s">
        <v>7934</v>
      </c>
      <c r="F6022" s="67">
        <v>41826</v>
      </c>
      <c r="G6022" s="33" t="s">
        <v>7935</v>
      </c>
      <c r="H6022" s="33" t="s">
        <v>7936</v>
      </c>
      <c r="I6022" s="33" t="s">
        <v>409</v>
      </c>
      <c r="J6022" s="33" t="s">
        <v>7937</v>
      </c>
      <c r="K6022" s="33" t="s">
        <v>7938</v>
      </c>
      <c r="L6022" s="33" t="s">
        <v>36823</v>
      </c>
      <c r="M6022" s="33" t="s">
        <v>21</v>
      </c>
      <c r="N6022" s="33" t="s">
        <v>7939</v>
      </c>
      <c r="O6022" s="33" t="s">
        <v>23</v>
      </c>
      <c r="P6022" s="33" t="s">
        <v>30089</v>
      </c>
      <c r="Q6022" s="40" t="str">
        <f>HYPERLINK("http://journaltimes.com/news/local/crime-and-courts/man-fatally-shot-by-police-identified/article_9983c98a-0620-11e4-8f7e-0019bb2963f4.html","http://journaltimes.com/news/local/crime-and-courts/man-fatally-shot-by-police-identified/article_9983c98a-0620-11e4-8f7e-0019bb2963f4.html")</f>
        <v>http://journaltimes.com/news/local/crime-and-courts/man-fatally-shot-by-police-identified/article_9983c98a-0620-11e4-8f7e-0019bb2963f4.html</v>
      </c>
      <c r="R6022" s="33" t="s">
        <v>512</v>
      </c>
      <c r="S6022" s="33" t="s">
        <v>22</v>
      </c>
      <c r="T6022" s="1" t="s">
        <v>26774</v>
      </c>
      <c r="Z6022" s="33" t="s">
        <v>42966</v>
      </c>
      <c r="AA6022" s="33">
        <v>1642</v>
      </c>
    </row>
    <row r="6023" spans="1:27" ht="12" customHeight="1" x14ac:dyDescent="0.15">
      <c r="A6023" s="33" t="s">
        <v>7926</v>
      </c>
      <c r="B6023" s="33">
        <v>29</v>
      </c>
      <c r="C6023" s="33" t="s">
        <v>14</v>
      </c>
      <c r="D6023" s="33" t="s">
        <v>24</v>
      </c>
      <c r="F6023" s="67">
        <v>41826</v>
      </c>
      <c r="G6023" s="33" t="s">
        <v>7927</v>
      </c>
      <c r="H6023" s="33" t="s">
        <v>7928</v>
      </c>
      <c r="I6023" s="33" t="s">
        <v>39</v>
      </c>
      <c r="J6023" s="33" t="s">
        <v>7929</v>
      </c>
      <c r="K6023" s="33" t="s">
        <v>558</v>
      </c>
      <c r="L6023" s="33" t="s">
        <v>7930</v>
      </c>
      <c r="M6023" s="33" t="s">
        <v>21</v>
      </c>
      <c r="N6023" s="33" t="s">
        <v>7931</v>
      </c>
      <c r="O6023" s="33" t="s">
        <v>950</v>
      </c>
      <c r="P6023" s="33" t="s">
        <v>30089</v>
      </c>
      <c r="Q6023" s="40" t="s">
        <v>7932</v>
      </c>
      <c r="R6023" s="33" t="s">
        <v>904</v>
      </c>
      <c r="S6023" s="33" t="s">
        <v>12</v>
      </c>
      <c r="T6023" s="54" t="s">
        <v>29705</v>
      </c>
      <c r="Z6023" s="33" t="s">
        <v>42966</v>
      </c>
      <c r="AA6023" s="33">
        <v>1643</v>
      </c>
    </row>
    <row r="6024" spans="1:27" ht="12" customHeight="1" x14ac:dyDescent="0.15">
      <c r="A6024" s="33" t="s">
        <v>7945</v>
      </c>
      <c r="B6024" s="33">
        <v>16</v>
      </c>
      <c r="C6024" s="33" t="s">
        <v>14</v>
      </c>
      <c r="D6024" s="33" t="s">
        <v>79</v>
      </c>
      <c r="E6024" s="33" t="s">
        <v>7946</v>
      </c>
      <c r="F6024" s="67">
        <v>41825</v>
      </c>
      <c r="G6024" s="33" t="s">
        <v>7947</v>
      </c>
      <c r="H6024" s="33" t="s">
        <v>81</v>
      </c>
      <c r="I6024" s="33" t="s">
        <v>38</v>
      </c>
      <c r="J6024" s="33" t="s">
        <v>7152</v>
      </c>
      <c r="K6024" s="33" t="s">
        <v>82</v>
      </c>
      <c r="L6024" s="33" t="s">
        <v>83</v>
      </c>
      <c r="M6024" s="33" t="s">
        <v>21</v>
      </c>
      <c r="N6024" s="33" t="s">
        <v>7948</v>
      </c>
      <c r="O6024" s="33" t="s">
        <v>950</v>
      </c>
      <c r="P6024" s="33" t="s">
        <v>30089</v>
      </c>
      <c r="Q6024" s="40" t="s">
        <v>7949</v>
      </c>
      <c r="R6024" s="33" t="s">
        <v>94</v>
      </c>
      <c r="S6024" s="33" t="s">
        <v>29</v>
      </c>
      <c r="T6024" s="33" t="s">
        <v>41840</v>
      </c>
      <c r="Z6024" s="33" t="s">
        <v>42966</v>
      </c>
      <c r="AA6024" s="33">
        <v>1641</v>
      </c>
    </row>
    <row r="6025" spans="1:27" ht="12" customHeight="1" x14ac:dyDescent="0.15">
      <c r="A6025" s="33" t="s">
        <v>7950</v>
      </c>
      <c r="B6025" s="33">
        <v>59</v>
      </c>
      <c r="C6025" s="33" t="s">
        <v>103</v>
      </c>
      <c r="D6025" s="33" t="s">
        <v>31</v>
      </c>
      <c r="F6025" s="67">
        <v>41825</v>
      </c>
      <c r="G6025" s="33" t="s">
        <v>7951</v>
      </c>
      <c r="H6025" s="33" t="s">
        <v>7952</v>
      </c>
      <c r="I6025" s="33" t="s">
        <v>342</v>
      </c>
      <c r="J6025" s="33" t="s">
        <v>7953</v>
      </c>
      <c r="K6025" s="33" t="s">
        <v>1736</v>
      </c>
      <c r="L6025" s="33" t="s">
        <v>7954</v>
      </c>
      <c r="M6025" s="33" t="s">
        <v>21</v>
      </c>
      <c r="N6025" s="33" t="s">
        <v>7955</v>
      </c>
      <c r="O6025" s="33" t="s">
        <v>507</v>
      </c>
      <c r="P6025" s="33" t="s">
        <v>30089</v>
      </c>
      <c r="Q6025" s="40" t="s">
        <v>7956</v>
      </c>
      <c r="R6025" s="33" t="s">
        <v>512</v>
      </c>
      <c r="S6025" s="33" t="s">
        <v>22</v>
      </c>
      <c r="T6025" s="1" t="s">
        <v>26781</v>
      </c>
      <c r="Z6025" s="33" t="s">
        <v>42968</v>
      </c>
      <c r="AA6025" s="33">
        <v>1638</v>
      </c>
    </row>
    <row r="6026" spans="1:27" ht="12" customHeight="1" x14ac:dyDescent="0.15">
      <c r="A6026" s="33" t="s">
        <v>7957</v>
      </c>
      <c r="B6026" s="33">
        <v>27</v>
      </c>
      <c r="C6026" s="33" t="s">
        <v>14</v>
      </c>
      <c r="D6026" s="33" t="s">
        <v>31</v>
      </c>
      <c r="E6026" s="33" t="s">
        <v>7958</v>
      </c>
      <c r="F6026" s="67">
        <v>41825</v>
      </c>
      <c r="G6026" s="33" t="s">
        <v>7959</v>
      </c>
      <c r="H6026" s="33" t="s">
        <v>4761</v>
      </c>
      <c r="I6026" s="33" t="s">
        <v>367</v>
      </c>
      <c r="J6026" s="33" t="s">
        <v>7960</v>
      </c>
      <c r="K6026" s="33" t="s">
        <v>924</v>
      </c>
      <c r="L6026" s="33" t="s">
        <v>17578</v>
      </c>
      <c r="M6026" s="33" t="s">
        <v>21</v>
      </c>
      <c r="N6026" s="33" t="s">
        <v>7961</v>
      </c>
      <c r="O6026" s="33" t="s">
        <v>950</v>
      </c>
      <c r="P6026" s="33" t="s">
        <v>30089</v>
      </c>
      <c r="Q6026" s="40" t="s">
        <v>7962</v>
      </c>
      <c r="R6026" s="33" t="s">
        <v>94</v>
      </c>
      <c r="S6026" s="33" t="s">
        <v>22</v>
      </c>
      <c r="T6026" s="1" t="s">
        <v>26781</v>
      </c>
      <c r="Z6026" s="33" t="s">
        <v>42968</v>
      </c>
      <c r="AA6026" s="33">
        <v>1639</v>
      </c>
    </row>
    <row r="6027" spans="1:27" ht="12" customHeight="1" x14ac:dyDescent="0.15">
      <c r="A6027" s="33" t="s">
        <v>7940</v>
      </c>
      <c r="B6027" s="33">
        <v>30</v>
      </c>
      <c r="C6027" s="33" t="s">
        <v>14</v>
      </c>
      <c r="D6027" s="33" t="s">
        <v>79</v>
      </c>
      <c r="E6027" s="33" t="s">
        <v>7941</v>
      </c>
      <c r="F6027" s="67">
        <v>41825</v>
      </c>
      <c r="G6027" s="33" t="s">
        <v>7942</v>
      </c>
      <c r="H6027" s="33" t="s">
        <v>7943</v>
      </c>
      <c r="I6027" s="33" t="s">
        <v>402</v>
      </c>
      <c r="J6027" s="33">
        <v>63121</v>
      </c>
      <c r="K6027" s="33" t="s">
        <v>661</v>
      </c>
      <c r="L6027" s="33" t="s">
        <v>7944</v>
      </c>
      <c r="M6027" s="33" t="s">
        <v>21</v>
      </c>
      <c r="N6027" s="33" t="s">
        <v>36824</v>
      </c>
      <c r="O6027" s="33" t="s">
        <v>507</v>
      </c>
      <c r="P6027" s="33" t="s">
        <v>30089</v>
      </c>
      <c r="Q6027" s="40" t="s">
        <v>19045</v>
      </c>
      <c r="R6027" s="33" t="s">
        <v>94</v>
      </c>
      <c r="S6027" s="33" t="s">
        <v>12</v>
      </c>
      <c r="T6027" s="54" t="s">
        <v>29705</v>
      </c>
      <c r="Z6027" s="33" t="s">
        <v>42968</v>
      </c>
      <c r="AA6027" s="33">
        <v>1640</v>
      </c>
    </row>
    <row r="6028" spans="1:27" ht="12" customHeight="1" x14ac:dyDescent="0.15">
      <c r="A6028" s="33" t="s">
        <v>7971</v>
      </c>
      <c r="B6028" s="103">
        <v>14</v>
      </c>
      <c r="C6028" s="33" t="s">
        <v>14</v>
      </c>
      <c r="D6028" s="33" t="s">
        <v>42</v>
      </c>
      <c r="E6028" s="33" t="s">
        <v>7972</v>
      </c>
      <c r="F6028" s="67">
        <v>41824</v>
      </c>
      <c r="G6028" s="33" t="s">
        <v>7973</v>
      </c>
      <c r="H6028" s="33" t="s">
        <v>81</v>
      </c>
      <c r="I6028" s="33" t="s">
        <v>38</v>
      </c>
      <c r="J6028" s="33" t="s">
        <v>7974</v>
      </c>
      <c r="K6028" s="33" t="s">
        <v>82</v>
      </c>
      <c r="L6028" s="33" t="s">
        <v>83</v>
      </c>
      <c r="M6028" s="33" t="s">
        <v>21</v>
      </c>
      <c r="N6028" s="33" t="s">
        <v>7975</v>
      </c>
      <c r="O6028" s="33" t="s">
        <v>23</v>
      </c>
      <c r="P6028" s="33" t="s">
        <v>30089</v>
      </c>
      <c r="Q6028" s="40" t="s">
        <v>7976</v>
      </c>
      <c r="R6028" s="33" t="s">
        <v>94</v>
      </c>
      <c r="S6028" s="33" t="s">
        <v>22</v>
      </c>
      <c r="T6028" s="1" t="s">
        <v>26781</v>
      </c>
      <c r="Z6028" s="33" t="s">
        <v>42966</v>
      </c>
      <c r="AA6028" s="33">
        <v>1636</v>
      </c>
    </row>
    <row r="6029" spans="1:27" ht="12" customHeight="1" x14ac:dyDescent="0.15">
      <c r="A6029" s="33" t="s">
        <v>7965</v>
      </c>
      <c r="B6029" s="103">
        <v>26</v>
      </c>
      <c r="C6029" s="33" t="s">
        <v>14</v>
      </c>
      <c r="D6029" s="33" t="s">
        <v>79</v>
      </c>
      <c r="E6029" s="33" t="s">
        <v>7966</v>
      </c>
      <c r="F6029" s="67">
        <v>41824</v>
      </c>
      <c r="G6029" s="33" t="s">
        <v>7967</v>
      </c>
      <c r="H6029" s="33" t="s">
        <v>635</v>
      </c>
      <c r="I6029" s="33" t="s">
        <v>337</v>
      </c>
      <c r="J6029" s="33" t="s">
        <v>7968</v>
      </c>
      <c r="K6029" s="33" t="s">
        <v>636</v>
      </c>
      <c r="L6029" s="33" t="s">
        <v>637</v>
      </c>
      <c r="M6029" s="33" t="s">
        <v>21</v>
      </c>
      <c r="N6029" s="33" t="s">
        <v>7969</v>
      </c>
      <c r="O6029" s="33" t="s">
        <v>23</v>
      </c>
      <c r="P6029" s="33" t="s">
        <v>30089</v>
      </c>
      <c r="Q6029" s="40" t="s">
        <v>7970</v>
      </c>
      <c r="R6029" s="33" t="s">
        <v>23</v>
      </c>
      <c r="S6029" s="33" t="s">
        <v>22</v>
      </c>
      <c r="T6029" s="1" t="s">
        <v>26774</v>
      </c>
      <c r="Z6029" s="33" t="s">
        <v>42968</v>
      </c>
      <c r="AA6029" s="33">
        <v>1637</v>
      </c>
    </row>
    <row r="6030" spans="1:27" ht="12" customHeight="1" x14ac:dyDescent="0.15">
      <c r="A6030" s="33" t="s">
        <v>7994</v>
      </c>
      <c r="B6030" s="33">
        <v>60</v>
      </c>
      <c r="C6030" s="33" t="s">
        <v>14</v>
      </c>
      <c r="D6030" s="33" t="s">
        <v>31</v>
      </c>
      <c r="F6030" s="67">
        <v>41823</v>
      </c>
      <c r="G6030" s="33" t="s">
        <v>7995</v>
      </c>
      <c r="H6030" s="33" t="s">
        <v>1786</v>
      </c>
      <c r="I6030" s="33" t="s">
        <v>160</v>
      </c>
      <c r="J6030" s="33" t="s">
        <v>3514</v>
      </c>
      <c r="K6030" s="33" t="s">
        <v>1454</v>
      </c>
      <c r="L6030" s="33" t="s">
        <v>2356</v>
      </c>
      <c r="M6030" s="33" t="s">
        <v>21</v>
      </c>
      <c r="N6030" s="33" t="s">
        <v>7996</v>
      </c>
      <c r="O6030" s="33" t="s">
        <v>950</v>
      </c>
      <c r="P6030" s="33" t="s">
        <v>30089</v>
      </c>
      <c r="Q6030" s="40" t="str">
        <f>HYPERLINK("http://www.ajc.com/news/news/officer-involved-shooting-in-se-atlanta/ngYcr/#__federated=1","http://www.ajc.com/news/news/officer-involved-shooting-in-se-atlanta/ngYcr/#__federated=1")</f>
        <v>http://www.ajc.com/news/news/officer-involved-shooting-in-se-atlanta/ngYcr/#__federated=1</v>
      </c>
      <c r="R6030" s="33" t="s">
        <v>512</v>
      </c>
      <c r="S6030" s="33" t="s">
        <v>22</v>
      </c>
      <c r="T6030" s="1" t="s">
        <v>42992</v>
      </c>
      <c r="Z6030" s="33" t="s">
        <v>42968</v>
      </c>
      <c r="AA6030" s="33">
        <v>1633</v>
      </c>
    </row>
    <row r="6031" spans="1:27" ht="12" customHeight="1" x14ac:dyDescent="0.15">
      <c r="A6031" s="33" t="s">
        <v>7983</v>
      </c>
      <c r="B6031" s="103">
        <v>20</v>
      </c>
      <c r="C6031" s="33" t="s">
        <v>14</v>
      </c>
      <c r="D6031" s="33" t="s">
        <v>42</v>
      </c>
      <c r="E6031" s="33" t="s">
        <v>7984</v>
      </c>
      <c r="F6031" s="67">
        <v>41823</v>
      </c>
      <c r="G6031" s="33" t="s">
        <v>7985</v>
      </c>
      <c r="H6031" s="33" t="s">
        <v>1212</v>
      </c>
      <c r="I6031" s="33" t="s">
        <v>192</v>
      </c>
      <c r="J6031" s="33" t="s">
        <v>7986</v>
      </c>
      <c r="K6031" s="33" t="s">
        <v>1212</v>
      </c>
      <c r="L6031" s="33" t="s">
        <v>1213</v>
      </c>
      <c r="M6031" s="33" t="s">
        <v>21</v>
      </c>
      <c r="N6031" s="33" t="s">
        <v>7987</v>
      </c>
      <c r="O6031" s="33" t="s">
        <v>23</v>
      </c>
      <c r="P6031" s="33" t="s">
        <v>30089</v>
      </c>
      <c r="Q6031" s="40" t="s">
        <v>7988</v>
      </c>
      <c r="R6031" s="33" t="s">
        <v>94</v>
      </c>
      <c r="S6031" s="33" t="s">
        <v>351</v>
      </c>
      <c r="T6031" s="1" t="s">
        <v>42983</v>
      </c>
      <c r="Z6031" s="33" t="s">
        <v>42966</v>
      </c>
      <c r="AA6031" s="33">
        <v>1635</v>
      </c>
    </row>
    <row r="6032" spans="1:27" ht="12" customHeight="1" x14ac:dyDescent="0.15">
      <c r="A6032" s="33" t="s">
        <v>7989</v>
      </c>
      <c r="B6032" s="33">
        <v>40</v>
      </c>
      <c r="C6032" s="33" t="s">
        <v>14</v>
      </c>
      <c r="D6032" s="33" t="s">
        <v>42</v>
      </c>
      <c r="F6032" s="67">
        <v>41823</v>
      </c>
      <c r="G6032" s="33" t="s">
        <v>7990</v>
      </c>
      <c r="H6032" s="33" t="s">
        <v>2046</v>
      </c>
      <c r="I6032" s="33" t="s">
        <v>56</v>
      </c>
      <c r="J6032" s="33" t="s">
        <v>7991</v>
      </c>
      <c r="K6032" s="33" t="s">
        <v>1052</v>
      </c>
      <c r="L6032" s="33" t="s">
        <v>4045</v>
      </c>
      <c r="M6032" s="33" t="s">
        <v>21</v>
      </c>
      <c r="N6032" s="33" t="s">
        <v>7992</v>
      </c>
      <c r="O6032" s="33" t="s">
        <v>950</v>
      </c>
      <c r="P6032" s="33" t="s">
        <v>30089</v>
      </c>
      <c r="Q6032" s="40" t="s">
        <v>7993</v>
      </c>
      <c r="R6032" s="33" t="s">
        <v>94</v>
      </c>
      <c r="S6032" s="33" t="s">
        <v>22</v>
      </c>
      <c r="T6032" s="1" t="s">
        <v>26781</v>
      </c>
      <c r="Y6032" s="33" t="s">
        <v>42476</v>
      </c>
      <c r="Z6032" s="33" t="s">
        <v>42966</v>
      </c>
      <c r="AA6032" s="33">
        <v>1634</v>
      </c>
    </row>
    <row r="6033" spans="1:31" ht="12" customHeight="1" x14ac:dyDescent="0.15">
      <c r="A6033" s="33" t="s">
        <v>8003</v>
      </c>
      <c r="B6033" s="33">
        <v>27</v>
      </c>
      <c r="C6033" s="33" t="s">
        <v>14</v>
      </c>
      <c r="D6033" s="33" t="s">
        <v>31</v>
      </c>
      <c r="E6033" s="33" t="s">
        <v>8004</v>
      </c>
      <c r="F6033" s="67">
        <v>41822</v>
      </c>
      <c r="G6033" s="33" t="s">
        <v>8005</v>
      </c>
      <c r="H6033" s="33" t="s">
        <v>866</v>
      </c>
      <c r="I6033" s="33" t="s">
        <v>178</v>
      </c>
      <c r="J6033" s="33" t="s">
        <v>4978</v>
      </c>
      <c r="K6033" s="33" t="s">
        <v>433</v>
      </c>
      <c r="L6033" s="33" t="s">
        <v>5161</v>
      </c>
      <c r="M6033" s="33" t="s">
        <v>21</v>
      </c>
      <c r="N6033" s="33" t="s">
        <v>8006</v>
      </c>
      <c r="O6033" s="33" t="s">
        <v>950</v>
      </c>
      <c r="P6033" s="33" t="s">
        <v>30089</v>
      </c>
      <c r="Q6033" s="40" t="s">
        <v>8007</v>
      </c>
      <c r="R6033" s="33" t="s">
        <v>904</v>
      </c>
      <c r="S6033" s="33" t="s">
        <v>12</v>
      </c>
      <c r="T6033" s="33" t="s">
        <v>29425</v>
      </c>
      <c r="Z6033" s="33" t="s">
        <v>42968</v>
      </c>
      <c r="AA6033" s="33">
        <v>1632</v>
      </c>
    </row>
    <row r="6034" spans="1:31" ht="12" customHeight="1" x14ac:dyDescent="0.15">
      <c r="A6034" s="33" t="s">
        <v>7997</v>
      </c>
      <c r="B6034" s="33">
        <v>32</v>
      </c>
      <c r="C6034" s="33" t="s">
        <v>14</v>
      </c>
      <c r="D6034" s="33" t="s">
        <v>42</v>
      </c>
      <c r="E6034" s="33" t="s">
        <v>7998</v>
      </c>
      <c r="F6034" s="67">
        <v>41822</v>
      </c>
      <c r="G6034" s="33" t="s">
        <v>7999</v>
      </c>
      <c r="H6034" s="33" t="s">
        <v>1212</v>
      </c>
      <c r="I6034" s="33" t="s">
        <v>192</v>
      </c>
      <c r="J6034" s="33" t="s">
        <v>8000</v>
      </c>
      <c r="K6034" s="33" t="s">
        <v>1212</v>
      </c>
      <c r="L6034" s="33" t="s">
        <v>1213</v>
      </c>
      <c r="M6034" s="33" t="s">
        <v>21</v>
      </c>
      <c r="N6034" s="33" t="s">
        <v>8001</v>
      </c>
      <c r="O6034" s="33" t="s">
        <v>507</v>
      </c>
      <c r="P6034" s="33" t="s">
        <v>30089</v>
      </c>
      <c r="Q6034" s="40" t="s">
        <v>8002</v>
      </c>
      <c r="R6034" s="33" t="s">
        <v>94</v>
      </c>
      <c r="S6034" s="33" t="s">
        <v>22</v>
      </c>
      <c r="T6034" s="1" t="s">
        <v>26781</v>
      </c>
      <c r="Z6034" s="33" t="s">
        <v>42966</v>
      </c>
      <c r="AA6034" s="33">
        <v>1631</v>
      </c>
    </row>
    <row r="6035" spans="1:31" ht="12" customHeight="1" x14ac:dyDescent="0.15">
      <c r="A6035" s="33" t="s">
        <v>8015</v>
      </c>
      <c r="B6035" s="33">
        <v>59</v>
      </c>
      <c r="C6035" s="33" t="s">
        <v>14</v>
      </c>
      <c r="D6035" s="33" t="s">
        <v>24</v>
      </c>
      <c r="F6035" s="67">
        <v>41821</v>
      </c>
      <c r="G6035" s="33" t="s">
        <v>8016</v>
      </c>
      <c r="H6035" s="33" t="s">
        <v>603</v>
      </c>
      <c r="I6035" s="33" t="s">
        <v>56</v>
      </c>
      <c r="J6035" s="33" t="s">
        <v>5337</v>
      </c>
      <c r="K6035" s="33" t="s">
        <v>604</v>
      </c>
      <c r="L6035" s="33" t="s">
        <v>605</v>
      </c>
      <c r="M6035" s="33" t="s">
        <v>21</v>
      </c>
      <c r="N6035" s="33" t="s">
        <v>8017</v>
      </c>
      <c r="O6035" s="33" t="s">
        <v>950</v>
      </c>
      <c r="P6035" s="33" t="s">
        <v>30089</v>
      </c>
      <c r="Q6035" s="40" t="s">
        <v>8018</v>
      </c>
      <c r="R6035" s="33" t="s">
        <v>23</v>
      </c>
      <c r="S6035" s="33" t="s">
        <v>22</v>
      </c>
      <c r="T6035" s="1" t="s">
        <v>26781</v>
      </c>
      <c r="Z6035" s="33" t="s">
        <v>42968</v>
      </c>
      <c r="AA6035" s="33">
        <v>1628</v>
      </c>
    </row>
    <row r="6036" spans="1:31" ht="12" customHeight="1" x14ac:dyDescent="0.15">
      <c r="A6036" s="33" t="s">
        <v>8019</v>
      </c>
      <c r="B6036" s="33">
        <v>36</v>
      </c>
      <c r="C6036" s="33" t="s">
        <v>14</v>
      </c>
      <c r="D6036" s="33" t="s">
        <v>31</v>
      </c>
      <c r="E6036" s="33" t="s">
        <v>8020</v>
      </c>
      <c r="F6036" s="67">
        <v>41821</v>
      </c>
      <c r="G6036" s="33" t="s">
        <v>8021</v>
      </c>
      <c r="H6036" s="33" t="s">
        <v>1132</v>
      </c>
      <c r="I6036" s="33" t="s">
        <v>282</v>
      </c>
      <c r="J6036" s="33" t="s">
        <v>8022</v>
      </c>
      <c r="K6036" s="33" t="s">
        <v>1133</v>
      </c>
      <c r="L6036" s="33" t="s">
        <v>1134</v>
      </c>
      <c r="M6036" s="33" t="s">
        <v>21</v>
      </c>
      <c r="N6036" s="33" t="s">
        <v>8023</v>
      </c>
      <c r="O6036" s="33" t="s">
        <v>950</v>
      </c>
      <c r="P6036" s="33" t="s">
        <v>30089</v>
      </c>
      <c r="Q6036" s="40" t="s">
        <v>8024</v>
      </c>
      <c r="R6036" s="33" t="s">
        <v>94</v>
      </c>
      <c r="S6036" s="33" t="s">
        <v>22</v>
      </c>
      <c r="T6036" s="1" t="s">
        <v>26781</v>
      </c>
      <c r="Z6036" s="33" t="s">
        <v>42966</v>
      </c>
      <c r="AA6036" s="33">
        <v>1629</v>
      </c>
    </row>
    <row r="6037" spans="1:31" ht="12" customHeight="1" x14ac:dyDescent="0.15">
      <c r="A6037" s="33" t="s">
        <v>8008</v>
      </c>
      <c r="B6037" s="33">
        <v>41</v>
      </c>
      <c r="C6037" s="33" t="s">
        <v>14</v>
      </c>
      <c r="D6037" s="33" t="s">
        <v>79</v>
      </c>
      <c r="E6037" s="33" t="s">
        <v>8009</v>
      </c>
      <c r="F6037" s="67">
        <v>41821</v>
      </c>
      <c r="G6037" s="33" t="s">
        <v>8010</v>
      </c>
      <c r="H6037" s="33" t="s">
        <v>8011</v>
      </c>
      <c r="I6037" s="33" t="s">
        <v>56</v>
      </c>
      <c r="J6037" s="33" t="s">
        <v>8012</v>
      </c>
      <c r="K6037" s="33" t="s">
        <v>4016</v>
      </c>
      <c r="L6037" s="33" t="s">
        <v>4955</v>
      </c>
      <c r="M6037" s="33" t="s">
        <v>21</v>
      </c>
      <c r="N6037" s="33" t="s">
        <v>8013</v>
      </c>
      <c r="O6037" s="33" t="s">
        <v>507</v>
      </c>
      <c r="P6037" s="33" t="s">
        <v>30089</v>
      </c>
      <c r="Q6037" s="40" t="s">
        <v>8014</v>
      </c>
      <c r="R6037" s="33" t="s">
        <v>94</v>
      </c>
      <c r="S6037" s="33" t="s">
        <v>12</v>
      </c>
      <c r="T6037" s="54" t="s">
        <v>29705</v>
      </c>
      <c r="Z6037" s="33" t="s">
        <v>42968</v>
      </c>
      <c r="AA6037" s="33">
        <v>1630</v>
      </c>
    </row>
    <row r="6038" spans="1:31" ht="12" customHeight="1" x14ac:dyDescent="0.15">
      <c r="A6038" s="33" t="s">
        <v>8025</v>
      </c>
      <c r="B6038" s="33">
        <v>23</v>
      </c>
      <c r="C6038" s="33" t="s">
        <v>14</v>
      </c>
      <c r="D6038" s="33" t="s">
        <v>42</v>
      </c>
      <c r="E6038" s="33" t="s">
        <v>8026</v>
      </c>
      <c r="F6038" s="67">
        <v>41820</v>
      </c>
      <c r="G6038" s="33" t="s">
        <v>8027</v>
      </c>
      <c r="H6038" s="33" t="s">
        <v>1132</v>
      </c>
      <c r="I6038" s="33" t="s">
        <v>282</v>
      </c>
      <c r="J6038" s="33" t="s">
        <v>8028</v>
      </c>
      <c r="K6038" s="33" t="s">
        <v>1133</v>
      </c>
      <c r="L6038" s="33" t="s">
        <v>1134</v>
      </c>
      <c r="M6038" s="33" t="s">
        <v>21</v>
      </c>
      <c r="N6038" s="33" t="s">
        <v>8029</v>
      </c>
      <c r="O6038" s="33" t="s">
        <v>507</v>
      </c>
      <c r="P6038" s="33" t="s">
        <v>30089</v>
      </c>
      <c r="Q6038" s="40" t="s">
        <v>8030</v>
      </c>
      <c r="R6038" s="33" t="s">
        <v>94</v>
      </c>
      <c r="S6038" s="33" t="s">
        <v>22</v>
      </c>
      <c r="T6038" s="1" t="s">
        <v>26781</v>
      </c>
      <c r="Z6038" s="33" t="s">
        <v>42966</v>
      </c>
      <c r="AA6038" s="33">
        <v>1627</v>
      </c>
    </row>
    <row r="6039" spans="1:31" ht="12" customHeight="1" x14ac:dyDescent="0.15">
      <c r="A6039" s="33" t="s">
        <v>8038</v>
      </c>
      <c r="B6039" s="33">
        <v>43</v>
      </c>
      <c r="C6039" s="33" t="s">
        <v>14</v>
      </c>
      <c r="D6039" s="33" t="s">
        <v>24</v>
      </c>
      <c r="F6039" s="67">
        <v>41819</v>
      </c>
      <c r="G6039" s="33" t="s">
        <v>8039</v>
      </c>
      <c r="H6039" s="33" t="s">
        <v>8040</v>
      </c>
      <c r="I6039" s="33" t="s">
        <v>282</v>
      </c>
      <c r="J6039" s="33" t="s">
        <v>8041</v>
      </c>
      <c r="K6039" s="33" t="s">
        <v>1441</v>
      </c>
      <c r="L6039" s="33" t="s">
        <v>8042</v>
      </c>
      <c r="M6039" s="33" t="s">
        <v>21</v>
      </c>
      <c r="N6039" s="33" t="s">
        <v>8043</v>
      </c>
      <c r="O6039" s="33" t="s">
        <v>950</v>
      </c>
      <c r="P6039" s="33" t="s">
        <v>30089</v>
      </c>
      <c r="Q6039" s="40" t="s">
        <v>8044</v>
      </c>
      <c r="R6039" s="33" t="s">
        <v>94</v>
      </c>
      <c r="S6039" s="33" t="s">
        <v>22</v>
      </c>
      <c r="T6039" s="1" t="s">
        <v>26781</v>
      </c>
      <c r="Z6039" s="33" t="s">
        <v>42967</v>
      </c>
      <c r="AA6039" s="33">
        <v>1625</v>
      </c>
    </row>
    <row r="6040" spans="1:31" ht="12" customHeight="1" x14ac:dyDescent="0.15">
      <c r="A6040" s="33" t="s">
        <v>8031</v>
      </c>
      <c r="B6040" s="33">
        <v>44</v>
      </c>
      <c r="C6040" s="33" t="s">
        <v>14</v>
      </c>
      <c r="D6040" s="33" t="s">
        <v>24</v>
      </c>
      <c r="F6040" s="67">
        <v>41819</v>
      </c>
      <c r="G6040" s="33" t="s">
        <v>8032</v>
      </c>
      <c r="H6040" s="33" t="s">
        <v>8033</v>
      </c>
      <c r="I6040" s="33" t="s">
        <v>75</v>
      </c>
      <c r="J6040" s="33" t="s">
        <v>8034</v>
      </c>
      <c r="K6040" s="33" t="s">
        <v>622</v>
      </c>
      <c r="L6040" s="33" t="s">
        <v>8035</v>
      </c>
      <c r="M6040" s="33" t="s">
        <v>21</v>
      </c>
      <c r="N6040" s="33" t="s">
        <v>8036</v>
      </c>
      <c r="O6040" s="33" t="s">
        <v>950</v>
      </c>
      <c r="P6040" s="33" t="s">
        <v>30089</v>
      </c>
      <c r="Q6040" s="40" t="s">
        <v>8037</v>
      </c>
      <c r="R6040" s="33" t="s">
        <v>23</v>
      </c>
      <c r="S6040" s="33" t="s">
        <v>22</v>
      </c>
      <c r="T6040" s="1" t="s">
        <v>26774</v>
      </c>
      <c r="Z6040" s="33" t="s">
        <v>42966</v>
      </c>
      <c r="AA6040" s="33">
        <v>1626</v>
      </c>
    </row>
    <row r="6041" spans="1:31" ht="12" customHeight="1" x14ac:dyDescent="0.15">
      <c r="A6041" s="33" t="s">
        <v>8046</v>
      </c>
      <c r="B6041" s="33">
        <v>40</v>
      </c>
      <c r="C6041" s="33" t="s">
        <v>14</v>
      </c>
      <c r="D6041" s="33" t="s">
        <v>79</v>
      </c>
      <c r="E6041" s="33" t="s">
        <v>8047</v>
      </c>
      <c r="F6041" s="67">
        <v>41817</v>
      </c>
      <c r="G6041" s="33" t="s">
        <v>8048</v>
      </c>
      <c r="H6041" s="33" t="s">
        <v>8049</v>
      </c>
      <c r="I6041" s="33" t="s">
        <v>39</v>
      </c>
      <c r="J6041" s="33" t="s">
        <v>8050</v>
      </c>
      <c r="K6041" s="33" t="s">
        <v>92</v>
      </c>
      <c r="L6041" s="33" t="s">
        <v>8051</v>
      </c>
      <c r="M6041" s="33" t="s">
        <v>21</v>
      </c>
      <c r="N6041" s="33" t="s">
        <v>8052</v>
      </c>
      <c r="O6041" s="33" t="s">
        <v>4311</v>
      </c>
      <c r="P6041" s="33" t="s">
        <v>30089</v>
      </c>
      <c r="Q6041" s="40" t="s">
        <v>8053</v>
      </c>
      <c r="R6041" s="33" t="s">
        <v>94</v>
      </c>
      <c r="S6041" s="33" t="s">
        <v>29</v>
      </c>
      <c r="T6041" s="33" t="s">
        <v>41840</v>
      </c>
      <c r="Z6041" s="33" t="s">
        <v>42966</v>
      </c>
      <c r="AA6041" s="33">
        <v>1624</v>
      </c>
    </row>
    <row r="6042" spans="1:31" ht="12" customHeight="1" x14ac:dyDescent="0.15">
      <c r="A6042" s="33" t="s">
        <v>8060</v>
      </c>
      <c r="B6042" s="33">
        <v>27</v>
      </c>
      <c r="C6042" s="33" t="s">
        <v>14</v>
      </c>
      <c r="D6042" s="33" t="s">
        <v>79</v>
      </c>
      <c r="E6042" s="33" t="s">
        <v>8061</v>
      </c>
      <c r="F6042" s="67">
        <v>41817</v>
      </c>
      <c r="G6042" s="33" t="s">
        <v>8062</v>
      </c>
      <c r="H6042" s="33" t="s">
        <v>8063</v>
      </c>
      <c r="I6042" s="33" t="s">
        <v>395</v>
      </c>
      <c r="J6042" s="33" t="s">
        <v>3092</v>
      </c>
      <c r="K6042" s="33" t="s">
        <v>1588</v>
      </c>
      <c r="L6042" s="33" t="s">
        <v>3093</v>
      </c>
      <c r="M6042" s="33" t="s">
        <v>21</v>
      </c>
      <c r="N6042" s="33" t="s">
        <v>8064</v>
      </c>
      <c r="O6042" s="33" t="s">
        <v>4311</v>
      </c>
      <c r="P6042" s="33" t="s">
        <v>30089</v>
      </c>
      <c r="Q6042" s="40" t="str">
        <f>HYPERLINK("http://www.nbcnewyork.com/news/local/Long-Island-Suffolk-County-Bay-Shore-Police-Involved-Shooting-Fatal-264868841.html","http://www.nbcnewyork.com/news/local/Long-Island-Suffolk-County-Bay-Shore-Police-Involved-Shooting-Fatal-264868841.html")</f>
        <v>http://www.nbcnewyork.com/news/local/Long-Island-Suffolk-County-Bay-Shore-Police-Involved-Shooting-Fatal-264868841.html</v>
      </c>
      <c r="R6042" s="33" t="s">
        <v>94</v>
      </c>
      <c r="S6042" s="33" t="s">
        <v>22</v>
      </c>
      <c r="T6042" s="1" t="s">
        <v>26781</v>
      </c>
      <c r="Z6042" s="33" t="s">
        <v>42968</v>
      </c>
      <c r="AA6042" s="33">
        <v>1620</v>
      </c>
    </row>
    <row r="6043" spans="1:31" ht="12" customHeight="1" x14ac:dyDescent="0.15">
      <c r="A6043" s="33" t="s">
        <v>8054</v>
      </c>
      <c r="B6043" s="33">
        <v>35</v>
      </c>
      <c r="C6043" s="33" t="s">
        <v>14</v>
      </c>
      <c r="D6043" s="33" t="s">
        <v>79</v>
      </c>
      <c r="E6043" s="33" t="s">
        <v>8055</v>
      </c>
      <c r="F6043" s="67">
        <v>41817</v>
      </c>
      <c r="G6043" s="33" t="s">
        <v>8056</v>
      </c>
      <c r="H6043" s="33" t="s">
        <v>1807</v>
      </c>
      <c r="I6043" s="33" t="s">
        <v>67</v>
      </c>
      <c r="J6043" s="33" t="s">
        <v>8057</v>
      </c>
      <c r="K6043" s="33" t="s">
        <v>1807</v>
      </c>
      <c r="L6043" s="33" t="s">
        <v>1809</v>
      </c>
      <c r="M6043" s="33" t="s">
        <v>21</v>
      </c>
      <c r="N6043" s="33" t="s">
        <v>8058</v>
      </c>
      <c r="O6043" s="33" t="s">
        <v>950</v>
      </c>
      <c r="P6043" s="33" t="s">
        <v>30089</v>
      </c>
      <c r="Q6043" s="40" t="s">
        <v>8059</v>
      </c>
      <c r="R6043" s="33" t="s">
        <v>94</v>
      </c>
      <c r="S6043" s="33" t="s">
        <v>22</v>
      </c>
      <c r="T6043" s="1" t="s">
        <v>26781</v>
      </c>
      <c r="Y6043" s="33" t="s">
        <v>42476</v>
      </c>
      <c r="Z6043" s="33" t="s">
        <v>42968</v>
      </c>
      <c r="AA6043" s="33">
        <v>1621</v>
      </c>
    </row>
    <row r="6044" spans="1:31" ht="12" customHeight="1" x14ac:dyDescent="0.15">
      <c r="A6044" s="33" t="s">
        <v>8065</v>
      </c>
      <c r="B6044" s="33">
        <v>32</v>
      </c>
      <c r="C6044" s="33" t="s">
        <v>14</v>
      </c>
      <c r="D6044" s="33" t="s">
        <v>31</v>
      </c>
      <c r="E6044" s="33" t="s">
        <v>8066</v>
      </c>
      <c r="F6044" s="67">
        <v>41817</v>
      </c>
      <c r="G6044" s="33" t="s">
        <v>8067</v>
      </c>
      <c r="H6044" s="33" t="s">
        <v>2324</v>
      </c>
      <c r="I6044" s="33" t="s">
        <v>282</v>
      </c>
      <c r="J6044" s="33" t="s">
        <v>8068</v>
      </c>
      <c r="K6044" s="33" t="s">
        <v>2325</v>
      </c>
      <c r="L6044" s="33" t="s">
        <v>8069</v>
      </c>
      <c r="M6044" s="33" t="s">
        <v>21</v>
      </c>
      <c r="N6044" s="33" t="s">
        <v>8070</v>
      </c>
      <c r="O6044" s="33" t="s">
        <v>507</v>
      </c>
      <c r="P6044" s="33" t="s">
        <v>30089</v>
      </c>
      <c r="Q6044" s="40" t="s">
        <v>8071</v>
      </c>
      <c r="R6044" s="33" t="s">
        <v>23</v>
      </c>
      <c r="S6044" s="33" t="s">
        <v>12</v>
      </c>
      <c r="T6044" s="33" t="s">
        <v>29425</v>
      </c>
      <c r="Z6044" s="33" t="s">
        <v>42968</v>
      </c>
      <c r="AA6044" s="33">
        <v>1623</v>
      </c>
      <c r="AE6044" s="33"/>
    </row>
    <row r="6045" spans="1:31" ht="12" customHeight="1" x14ac:dyDescent="0.15">
      <c r="A6045" s="33" t="s">
        <v>8072</v>
      </c>
      <c r="B6045" s="33">
        <v>56</v>
      </c>
      <c r="C6045" s="33" t="s">
        <v>14</v>
      </c>
      <c r="D6045" s="33" t="s">
        <v>31</v>
      </c>
      <c r="E6045" s="33" t="s">
        <v>8073</v>
      </c>
      <c r="F6045" s="67">
        <v>41817</v>
      </c>
      <c r="G6045" s="33" t="s">
        <v>8074</v>
      </c>
      <c r="H6045" s="33" t="s">
        <v>8075</v>
      </c>
      <c r="I6045" s="33" t="s">
        <v>225</v>
      </c>
      <c r="J6045" s="33" t="s">
        <v>8076</v>
      </c>
      <c r="K6045" s="33" t="s">
        <v>107</v>
      </c>
      <c r="L6045" s="33" t="s">
        <v>3061</v>
      </c>
      <c r="M6045" s="33" t="s">
        <v>21</v>
      </c>
      <c r="N6045" s="33" t="s">
        <v>8077</v>
      </c>
      <c r="O6045" s="33" t="s">
        <v>950</v>
      </c>
      <c r="P6045" s="33" t="s">
        <v>30089</v>
      </c>
      <c r="Q6045" s="40" t="str">
        <f>HYPERLINK("http://www.wcyb.com/news/shooting-investigated-in-damascus/26694690","http://www.wcyb.com/news/shooting-investigated-in-damascus/26694690")</f>
        <v>http://www.wcyb.com/news/shooting-investigated-in-damascus/26694690</v>
      </c>
      <c r="R6045" s="33" t="s">
        <v>94</v>
      </c>
      <c r="S6045" s="33" t="s">
        <v>22</v>
      </c>
      <c r="T6045" s="1" t="s">
        <v>26781</v>
      </c>
      <c r="Z6045" s="33" t="s">
        <v>42967</v>
      </c>
      <c r="AA6045" s="33">
        <v>1622</v>
      </c>
    </row>
    <row r="6046" spans="1:31" ht="12" customHeight="1" x14ac:dyDescent="0.15">
      <c r="A6046" s="33" t="s">
        <v>8078</v>
      </c>
      <c r="B6046" s="33">
        <v>33</v>
      </c>
      <c r="C6046" s="33" t="s">
        <v>14</v>
      </c>
      <c r="D6046" s="33" t="s">
        <v>79</v>
      </c>
      <c r="F6046" s="67">
        <v>41816</v>
      </c>
      <c r="G6046" s="33" t="s">
        <v>8079</v>
      </c>
      <c r="H6046" s="33" t="s">
        <v>266</v>
      </c>
      <c r="I6046" s="33" t="s">
        <v>67</v>
      </c>
      <c r="J6046" s="33" t="s">
        <v>8080</v>
      </c>
      <c r="K6046" s="33" t="s">
        <v>266</v>
      </c>
      <c r="L6046" s="33" t="s">
        <v>267</v>
      </c>
      <c r="M6046" s="33" t="s">
        <v>21</v>
      </c>
      <c r="N6046" s="33" t="s">
        <v>8081</v>
      </c>
      <c r="O6046" s="33" t="s">
        <v>950</v>
      </c>
      <c r="P6046" s="33" t="s">
        <v>30089</v>
      </c>
      <c r="Q6046" s="40" t="s">
        <v>8082</v>
      </c>
      <c r="R6046" s="33" t="s">
        <v>94</v>
      </c>
      <c r="S6046" s="33" t="s">
        <v>22</v>
      </c>
      <c r="T6046" s="1" t="s">
        <v>26781</v>
      </c>
      <c r="Z6046" s="33" t="s">
        <v>42966</v>
      </c>
      <c r="AA6046" s="33">
        <v>1616</v>
      </c>
    </row>
    <row r="6047" spans="1:31" ht="12" customHeight="1" x14ac:dyDescent="0.15">
      <c r="A6047" s="33" t="s">
        <v>8095</v>
      </c>
      <c r="B6047" s="33">
        <v>50</v>
      </c>
      <c r="C6047" s="33" t="s">
        <v>14</v>
      </c>
      <c r="D6047" s="33" t="s">
        <v>31</v>
      </c>
      <c r="E6047" s="33" t="s">
        <v>8096</v>
      </c>
      <c r="F6047" s="67">
        <v>41816</v>
      </c>
      <c r="G6047" s="33" t="s">
        <v>8097</v>
      </c>
      <c r="H6047" s="33" t="s">
        <v>8098</v>
      </c>
      <c r="I6047" s="33" t="s">
        <v>67</v>
      </c>
      <c r="J6047" s="33" t="s">
        <v>8099</v>
      </c>
      <c r="K6047" s="33" t="s">
        <v>8100</v>
      </c>
      <c r="L6047" s="33" t="s">
        <v>6655</v>
      </c>
      <c r="M6047" s="33" t="s">
        <v>21</v>
      </c>
      <c r="N6047" s="33" t="s">
        <v>8101</v>
      </c>
      <c r="O6047" s="33" t="s">
        <v>4311</v>
      </c>
      <c r="P6047" s="33" t="s">
        <v>30089</v>
      </c>
      <c r="Q6047" s="40" t="s">
        <v>8102</v>
      </c>
      <c r="R6047" s="33" t="s">
        <v>23</v>
      </c>
      <c r="S6047" s="33" t="s">
        <v>22</v>
      </c>
      <c r="T6047" s="1" t="s">
        <v>26781</v>
      </c>
      <c r="Z6047" s="33" t="s">
        <v>42967</v>
      </c>
      <c r="AA6047" s="33">
        <v>1617</v>
      </c>
    </row>
    <row r="6048" spans="1:31" ht="12" customHeight="1" x14ac:dyDescent="0.15">
      <c r="A6048" s="33" t="s">
        <v>8083</v>
      </c>
      <c r="B6048" s="33">
        <v>56</v>
      </c>
      <c r="C6048" s="33" t="s">
        <v>14</v>
      </c>
      <c r="D6048" s="33" t="s">
        <v>31</v>
      </c>
      <c r="F6048" s="67">
        <v>41816</v>
      </c>
      <c r="G6048" s="33" t="s">
        <v>8084</v>
      </c>
      <c r="H6048" s="33" t="s">
        <v>8085</v>
      </c>
      <c r="I6048" s="33" t="s">
        <v>40</v>
      </c>
      <c r="J6048" s="33" t="s">
        <v>8086</v>
      </c>
      <c r="K6048" s="33" t="s">
        <v>1588</v>
      </c>
      <c r="L6048" s="33" t="s">
        <v>8087</v>
      </c>
      <c r="M6048" s="33" t="s">
        <v>363</v>
      </c>
      <c r="N6048" s="33" t="s">
        <v>19042</v>
      </c>
      <c r="O6048" s="33" t="s">
        <v>372</v>
      </c>
      <c r="P6048" s="33" t="s">
        <v>30089</v>
      </c>
      <c r="Q6048" s="40" t="s">
        <v>8088</v>
      </c>
      <c r="R6048" s="33" t="s">
        <v>512</v>
      </c>
      <c r="S6048" s="33" t="s">
        <v>29</v>
      </c>
      <c r="T6048" s="33" t="s">
        <v>41840</v>
      </c>
      <c r="Z6048" s="33" t="s">
        <v>42966</v>
      </c>
      <c r="AA6048" s="33">
        <v>1619</v>
      </c>
    </row>
    <row r="6049" spans="1:31" ht="12" customHeight="1" x14ac:dyDescent="0.15">
      <c r="A6049" s="33" t="s">
        <v>8089</v>
      </c>
      <c r="B6049" s="33">
        <v>34</v>
      </c>
      <c r="C6049" s="33" t="s">
        <v>14</v>
      </c>
      <c r="D6049" s="33" t="s">
        <v>31</v>
      </c>
      <c r="F6049" s="67">
        <v>41816</v>
      </c>
      <c r="G6049" s="33" t="s">
        <v>8090</v>
      </c>
      <c r="H6049" s="33" t="s">
        <v>3846</v>
      </c>
      <c r="I6049" s="33" t="s">
        <v>40</v>
      </c>
      <c r="J6049" s="33" t="s">
        <v>8091</v>
      </c>
      <c r="K6049" s="33" t="s">
        <v>8092</v>
      </c>
      <c r="L6049" s="33" t="s">
        <v>3849</v>
      </c>
      <c r="M6049" s="33" t="s">
        <v>21</v>
      </c>
      <c r="N6049" s="33" t="s">
        <v>8093</v>
      </c>
      <c r="O6049" s="33" t="s">
        <v>950</v>
      </c>
      <c r="P6049" s="33" t="s">
        <v>30089</v>
      </c>
      <c r="Q6049" s="40" t="s">
        <v>8094</v>
      </c>
      <c r="R6049" s="33" t="s">
        <v>23</v>
      </c>
      <c r="S6049" s="33" t="s">
        <v>22</v>
      </c>
      <c r="T6049" s="1" t="s">
        <v>26774</v>
      </c>
      <c r="Z6049" s="33" t="s">
        <v>42966</v>
      </c>
      <c r="AA6049" s="33">
        <v>1618</v>
      </c>
    </row>
    <row r="6050" spans="1:31" ht="12" customHeight="1" x14ac:dyDescent="0.15">
      <c r="A6050" s="33" t="s">
        <v>8103</v>
      </c>
      <c r="B6050" s="33">
        <v>45</v>
      </c>
      <c r="C6050" s="33" t="s">
        <v>14</v>
      </c>
      <c r="D6050" s="33" t="s">
        <v>79</v>
      </c>
      <c r="F6050" s="67">
        <v>41815</v>
      </c>
      <c r="G6050" s="33" t="s">
        <v>8104</v>
      </c>
      <c r="H6050" s="33" t="s">
        <v>92</v>
      </c>
      <c r="I6050" s="33" t="s">
        <v>39</v>
      </c>
      <c r="J6050" s="33" t="s">
        <v>8105</v>
      </c>
      <c r="K6050" s="33" t="s">
        <v>92</v>
      </c>
      <c r="L6050" s="33" t="s">
        <v>93</v>
      </c>
      <c r="M6050" s="33" t="s">
        <v>21</v>
      </c>
      <c r="N6050" s="33" t="s">
        <v>8106</v>
      </c>
      <c r="O6050" s="33" t="s">
        <v>950</v>
      </c>
      <c r="P6050" s="33" t="s">
        <v>30089</v>
      </c>
      <c r="Q6050" s="40" t="s">
        <v>8107</v>
      </c>
      <c r="R6050" s="33" t="s">
        <v>94</v>
      </c>
      <c r="S6050" s="33" t="s">
        <v>22</v>
      </c>
      <c r="T6050" s="1" t="s">
        <v>26781</v>
      </c>
      <c r="Z6050" s="33" t="s">
        <v>42966</v>
      </c>
      <c r="AA6050" s="33">
        <v>1613</v>
      </c>
    </row>
    <row r="6051" spans="1:31" ht="12" customHeight="1" x14ac:dyDescent="0.15">
      <c r="A6051" s="33" t="s">
        <v>8108</v>
      </c>
      <c r="B6051" s="33">
        <v>29</v>
      </c>
      <c r="C6051" s="33" t="s">
        <v>14</v>
      </c>
      <c r="D6051" s="33" t="s">
        <v>79</v>
      </c>
      <c r="F6051" s="67">
        <v>41815</v>
      </c>
      <c r="G6051" s="33" t="s">
        <v>8109</v>
      </c>
      <c r="H6051" s="33" t="s">
        <v>6444</v>
      </c>
      <c r="I6051" s="33" t="s">
        <v>206</v>
      </c>
      <c r="J6051" s="33" t="s">
        <v>8110</v>
      </c>
      <c r="K6051" s="33" t="s">
        <v>2350</v>
      </c>
      <c r="L6051" s="33" t="s">
        <v>5554</v>
      </c>
      <c r="M6051" s="33" t="s">
        <v>21</v>
      </c>
      <c r="N6051" s="33" t="s">
        <v>8111</v>
      </c>
      <c r="O6051" s="33" t="s">
        <v>950</v>
      </c>
      <c r="P6051" s="33" t="s">
        <v>30089</v>
      </c>
      <c r="Q6051" s="40" t="s">
        <v>8112</v>
      </c>
      <c r="R6051" s="33" t="s">
        <v>94</v>
      </c>
      <c r="S6051" s="33" t="s">
        <v>22</v>
      </c>
      <c r="T6051" s="1" t="s">
        <v>26781</v>
      </c>
      <c r="Z6051" s="33" t="s">
        <v>42968</v>
      </c>
      <c r="AA6051" s="33">
        <v>1612</v>
      </c>
    </row>
    <row r="6052" spans="1:31" ht="12" customHeight="1" x14ac:dyDescent="0.15">
      <c r="A6052" s="33" t="s">
        <v>8119</v>
      </c>
      <c r="B6052" s="33">
        <v>29</v>
      </c>
      <c r="C6052" s="33" t="s">
        <v>14</v>
      </c>
      <c r="D6052" s="33" t="s">
        <v>31</v>
      </c>
      <c r="F6052" s="67">
        <v>41815</v>
      </c>
      <c r="G6052" s="33" t="s">
        <v>8120</v>
      </c>
      <c r="H6052" s="33" t="s">
        <v>4198</v>
      </c>
      <c r="I6052" s="33" t="s">
        <v>39</v>
      </c>
      <c r="J6052" s="33" t="s">
        <v>4199</v>
      </c>
      <c r="K6052" s="33" t="s">
        <v>288</v>
      </c>
      <c r="L6052" s="33" t="s">
        <v>386</v>
      </c>
      <c r="M6052" s="33" t="s">
        <v>21</v>
      </c>
      <c r="N6052" s="33" t="s">
        <v>8121</v>
      </c>
      <c r="O6052" s="33" t="s">
        <v>950</v>
      </c>
      <c r="P6052" s="33" t="s">
        <v>30089</v>
      </c>
      <c r="Q6052" s="40" t="s">
        <v>8122</v>
      </c>
      <c r="R6052" s="33" t="s">
        <v>94</v>
      </c>
      <c r="S6052" s="33" t="s">
        <v>22</v>
      </c>
      <c r="T6052" s="1" t="s">
        <v>26781</v>
      </c>
      <c r="Z6052" s="33" t="s">
        <v>42968</v>
      </c>
      <c r="AA6052" s="33">
        <v>1614</v>
      </c>
    </row>
    <row r="6053" spans="1:31" ht="12" customHeight="1" x14ac:dyDescent="0.15">
      <c r="A6053" s="33" t="s">
        <v>8113</v>
      </c>
      <c r="B6053" s="33">
        <v>49</v>
      </c>
      <c r="C6053" s="33" t="s">
        <v>103</v>
      </c>
      <c r="D6053" s="33" t="s">
        <v>31</v>
      </c>
      <c r="E6053" s="33" t="s">
        <v>8114</v>
      </c>
      <c r="F6053" s="67">
        <v>41815</v>
      </c>
      <c r="G6053" s="33" t="s">
        <v>8115</v>
      </c>
      <c r="H6053" s="33" t="s">
        <v>607</v>
      </c>
      <c r="I6053" s="33" t="s">
        <v>250</v>
      </c>
      <c r="J6053" s="33" t="s">
        <v>8116</v>
      </c>
      <c r="K6053" s="33" t="s">
        <v>527</v>
      </c>
      <c r="L6053" s="33" t="s">
        <v>528</v>
      </c>
      <c r="M6053" s="33" t="s">
        <v>21</v>
      </c>
      <c r="N6053" s="33" t="s">
        <v>8117</v>
      </c>
      <c r="O6053" s="33" t="s">
        <v>950</v>
      </c>
      <c r="P6053" s="33" t="s">
        <v>30089</v>
      </c>
      <c r="Q6053" s="40" t="s">
        <v>8118</v>
      </c>
      <c r="R6053" s="33" t="s">
        <v>23</v>
      </c>
      <c r="S6053" s="33" t="s">
        <v>22</v>
      </c>
      <c r="T6053" s="1" t="s">
        <v>26774</v>
      </c>
      <c r="Z6053" s="33" t="s">
        <v>42966</v>
      </c>
      <c r="AA6053" s="33">
        <v>1615</v>
      </c>
    </row>
    <row r="6054" spans="1:31" ht="12" customHeight="1" x14ac:dyDescent="0.15">
      <c r="A6054" s="33" t="s">
        <v>8134</v>
      </c>
      <c r="B6054" s="33">
        <v>80</v>
      </c>
      <c r="C6054" s="33" t="s">
        <v>14</v>
      </c>
      <c r="D6054" s="33" t="s">
        <v>31</v>
      </c>
      <c r="E6054" s="33" t="s">
        <v>8135</v>
      </c>
      <c r="F6054" s="67">
        <v>41814</v>
      </c>
      <c r="G6054" s="33" t="s">
        <v>8136</v>
      </c>
      <c r="H6054" s="33" t="s">
        <v>8137</v>
      </c>
      <c r="I6054" s="33" t="s">
        <v>67</v>
      </c>
      <c r="J6054" s="33" t="s">
        <v>8138</v>
      </c>
      <c r="K6054" s="33" t="s">
        <v>1659</v>
      </c>
      <c r="L6054" s="33" t="s">
        <v>8139</v>
      </c>
      <c r="M6054" s="33" t="s">
        <v>21</v>
      </c>
      <c r="N6054" s="33" t="s">
        <v>8140</v>
      </c>
      <c r="O6054" s="33" t="s">
        <v>507</v>
      </c>
      <c r="P6054" s="33" t="s">
        <v>30089</v>
      </c>
      <c r="Q6054" s="40" t="s">
        <v>8141</v>
      </c>
      <c r="R6054" s="33" t="s">
        <v>94</v>
      </c>
      <c r="S6054" s="33" t="s">
        <v>22</v>
      </c>
      <c r="T6054" s="1" t="s">
        <v>26781</v>
      </c>
      <c r="Z6054" s="33" t="s">
        <v>42966</v>
      </c>
      <c r="AA6054" s="33">
        <v>1610</v>
      </c>
    </row>
    <row r="6055" spans="1:31" ht="12" customHeight="1" x14ac:dyDescent="0.15">
      <c r="A6055" s="33" t="s">
        <v>8123</v>
      </c>
      <c r="B6055" s="33">
        <v>24</v>
      </c>
      <c r="C6055" s="33" t="s">
        <v>14</v>
      </c>
      <c r="D6055" s="33" t="s">
        <v>79</v>
      </c>
      <c r="E6055" s="33" t="s">
        <v>8124</v>
      </c>
      <c r="F6055" s="67">
        <v>41814</v>
      </c>
      <c r="G6055" s="33" t="s">
        <v>8125</v>
      </c>
      <c r="H6055" s="33" t="s">
        <v>4767</v>
      </c>
      <c r="I6055" s="33" t="s">
        <v>39</v>
      </c>
      <c r="J6055" s="33" t="s">
        <v>8126</v>
      </c>
      <c r="K6055" s="33" t="s">
        <v>92</v>
      </c>
      <c r="L6055" s="33" t="s">
        <v>386</v>
      </c>
      <c r="M6055" s="33" t="s">
        <v>21</v>
      </c>
      <c r="N6055" s="33" t="s">
        <v>8127</v>
      </c>
      <c r="O6055" s="33" t="s">
        <v>950</v>
      </c>
      <c r="P6055" s="33" t="s">
        <v>30089</v>
      </c>
      <c r="Q6055" s="40" t="s">
        <v>8128</v>
      </c>
      <c r="R6055" s="33" t="s">
        <v>904</v>
      </c>
      <c r="S6055" s="1" t="s">
        <v>22</v>
      </c>
      <c r="T6055" s="33" t="s">
        <v>26781</v>
      </c>
      <c r="Z6055" s="33" t="s">
        <v>42968</v>
      </c>
      <c r="AA6055" s="33">
        <v>1609</v>
      </c>
    </row>
    <row r="6056" spans="1:31" ht="12" customHeight="1" x14ac:dyDescent="0.15">
      <c r="A6056" s="33" t="s">
        <v>8129</v>
      </c>
      <c r="B6056" s="33">
        <v>20</v>
      </c>
      <c r="C6056" s="33" t="s">
        <v>14</v>
      </c>
      <c r="D6056" s="33" t="s">
        <v>79</v>
      </c>
      <c r="E6056" s="33" t="s">
        <v>8130</v>
      </c>
      <c r="F6056" s="67">
        <v>41814</v>
      </c>
      <c r="G6056" s="33" t="s">
        <v>8131</v>
      </c>
      <c r="H6056" s="33" t="s">
        <v>7795</v>
      </c>
      <c r="I6056" s="33" t="s">
        <v>75</v>
      </c>
      <c r="J6056" s="33" t="s">
        <v>8132</v>
      </c>
      <c r="K6056" s="33" t="s">
        <v>2300</v>
      </c>
      <c r="L6056" s="33" t="s">
        <v>7797</v>
      </c>
      <c r="M6056" s="33" t="s">
        <v>21</v>
      </c>
      <c r="N6056" s="33" t="s">
        <v>8133</v>
      </c>
      <c r="O6056" s="33" t="s">
        <v>950</v>
      </c>
      <c r="P6056" s="33" t="s">
        <v>30089</v>
      </c>
      <c r="Q6056" s="40" t="str">
        <f>HYPERLINK("http://www.nj.com/hudson/index.ssf/2014/06/authorities_release_identity_of_20-year-old_man_shot_by_police.html","http://www.nj.com/hudson/index.ssf/2014/06/authorities_release_identity_of_20-year-old_man_shot_by_police.html")</f>
        <v>http://www.nj.com/hudson/index.ssf/2014/06/authorities_release_identity_of_20-year-old_man_shot_by_police.html</v>
      </c>
      <c r="R6056" s="33" t="s">
        <v>94</v>
      </c>
      <c r="S6056" s="33" t="s">
        <v>12</v>
      </c>
      <c r="T6056" s="54" t="s">
        <v>29705</v>
      </c>
      <c r="Z6056" s="33" t="s">
        <v>42966</v>
      </c>
      <c r="AA6056" s="33">
        <v>1611</v>
      </c>
    </row>
    <row r="6057" spans="1:31" ht="12" customHeight="1" x14ac:dyDescent="0.15">
      <c r="A6057" s="33" t="s">
        <v>8142</v>
      </c>
      <c r="B6057" s="33">
        <v>45</v>
      </c>
      <c r="C6057" s="33" t="s">
        <v>14</v>
      </c>
      <c r="D6057" s="33" t="s">
        <v>79</v>
      </c>
      <c r="E6057" s="33" t="s">
        <v>8143</v>
      </c>
      <c r="F6057" s="67">
        <v>41812</v>
      </c>
      <c r="G6057" s="33" t="s">
        <v>8144</v>
      </c>
      <c r="H6057" s="33" t="s">
        <v>8145</v>
      </c>
      <c r="I6057" s="33" t="s">
        <v>67</v>
      </c>
      <c r="J6057" s="33" t="s">
        <v>8146</v>
      </c>
      <c r="K6057" s="33" t="s">
        <v>266</v>
      </c>
      <c r="L6057" s="33" t="s">
        <v>788</v>
      </c>
      <c r="M6057" s="33" t="s">
        <v>21</v>
      </c>
      <c r="N6057" s="33" t="s">
        <v>8147</v>
      </c>
      <c r="O6057" s="33" t="s">
        <v>4311</v>
      </c>
      <c r="P6057" s="33" t="s">
        <v>30089</v>
      </c>
      <c r="Q6057" s="40" t="s">
        <v>19046</v>
      </c>
      <c r="R6057" s="33" t="s">
        <v>94</v>
      </c>
      <c r="S6057" s="33" t="s">
        <v>12</v>
      </c>
      <c r="T6057" s="54" t="s">
        <v>29705</v>
      </c>
      <c r="Y6057" s="33" t="s">
        <v>42476</v>
      </c>
      <c r="Z6057" s="33" t="s">
        <v>42968</v>
      </c>
      <c r="AA6057" s="33">
        <v>1608</v>
      </c>
    </row>
    <row r="6058" spans="1:31" ht="12" customHeight="1" x14ac:dyDescent="0.15">
      <c r="A6058" s="33" t="s">
        <v>8148</v>
      </c>
      <c r="B6058" s="33">
        <v>45</v>
      </c>
      <c r="C6058" s="33" t="s">
        <v>14</v>
      </c>
      <c r="D6058" s="33" t="s">
        <v>31</v>
      </c>
      <c r="E6058" s="33" t="s">
        <v>8149</v>
      </c>
      <c r="F6058" s="67">
        <v>41812</v>
      </c>
      <c r="G6058" s="33" t="s">
        <v>8150</v>
      </c>
      <c r="H6058" s="33" t="s">
        <v>5923</v>
      </c>
      <c r="I6058" s="33" t="s">
        <v>338</v>
      </c>
      <c r="J6058" s="33" t="s">
        <v>8151</v>
      </c>
      <c r="K6058" s="33" t="s">
        <v>599</v>
      </c>
      <c r="L6058" s="33" t="s">
        <v>5635</v>
      </c>
      <c r="M6058" s="33" t="s">
        <v>21</v>
      </c>
      <c r="N6058" s="33" t="s">
        <v>8152</v>
      </c>
      <c r="O6058" s="33" t="s">
        <v>4311</v>
      </c>
      <c r="P6058" s="33" t="s">
        <v>30089</v>
      </c>
      <c r="Q6058" s="40" t="s">
        <v>8153</v>
      </c>
      <c r="R6058" s="33" t="s">
        <v>94</v>
      </c>
      <c r="S6058" s="33" t="s">
        <v>22</v>
      </c>
      <c r="T6058" s="1" t="s">
        <v>26781</v>
      </c>
      <c r="Z6058" s="33" t="s">
        <v>42968</v>
      </c>
      <c r="AA6058" s="33">
        <v>1607</v>
      </c>
    </row>
    <row r="6059" spans="1:31" ht="12" customHeight="1" x14ac:dyDescent="0.15">
      <c r="A6059" s="33" t="s">
        <v>8165</v>
      </c>
      <c r="B6059" s="33">
        <v>31</v>
      </c>
      <c r="C6059" s="33" t="s">
        <v>14</v>
      </c>
      <c r="D6059" s="33" t="s">
        <v>31</v>
      </c>
      <c r="E6059" s="33" t="s">
        <v>8166</v>
      </c>
      <c r="F6059" s="67">
        <v>41811</v>
      </c>
      <c r="G6059" s="33" t="s">
        <v>8167</v>
      </c>
      <c r="H6059" s="33" t="s">
        <v>8168</v>
      </c>
      <c r="I6059" s="33" t="s">
        <v>1605</v>
      </c>
      <c r="J6059" s="33" t="s">
        <v>8169</v>
      </c>
      <c r="K6059" s="33" t="s">
        <v>2114</v>
      </c>
      <c r="L6059" s="33" t="s">
        <v>7277</v>
      </c>
      <c r="M6059" s="33" t="s">
        <v>21</v>
      </c>
      <c r="N6059" s="33" t="s">
        <v>8170</v>
      </c>
      <c r="O6059" s="33" t="s">
        <v>507</v>
      </c>
      <c r="P6059" s="33" t="s">
        <v>30089</v>
      </c>
      <c r="Q6059" s="40" t="s">
        <v>8171</v>
      </c>
      <c r="R6059" s="33" t="s">
        <v>94</v>
      </c>
      <c r="S6059" s="33" t="s">
        <v>22</v>
      </c>
      <c r="T6059" s="1" t="s">
        <v>26781</v>
      </c>
      <c r="Z6059" s="33" t="s">
        <v>42968</v>
      </c>
      <c r="AA6059" s="33">
        <v>1605</v>
      </c>
    </row>
    <row r="6060" spans="1:31" ht="12" customHeight="1" x14ac:dyDescent="0.15">
      <c r="A6060" s="33" t="s">
        <v>8160</v>
      </c>
      <c r="B6060" s="33">
        <v>22</v>
      </c>
      <c r="C6060" s="33" t="s">
        <v>14</v>
      </c>
      <c r="D6060" s="33" t="s">
        <v>885</v>
      </c>
      <c r="E6060" s="33" t="s">
        <v>8161</v>
      </c>
      <c r="F6060" s="67">
        <v>41811</v>
      </c>
      <c r="G6060" s="33" t="s">
        <v>8162</v>
      </c>
      <c r="H6060" s="33" t="s">
        <v>387</v>
      </c>
      <c r="I6060" s="33" t="s">
        <v>39</v>
      </c>
      <c r="J6060" s="33" t="s">
        <v>7047</v>
      </c>
      <c r="K6060" s="33" t="s">
        <v>288</v>
      </c>
      <c r="L6060" s="33" t="s">
        <v>388</v>
      </c>
      <c r="M6060" s="33" t="s">
        <v>21</v>
      </c>
      <c r="N6060" s="33" t="s">
        <v>8163</v>
      </c>
      <c r="O6060" s="33" t="s">
        <v>23</v>
      </c>
      <c r="P6060" s="33" t="s">
        <v>30089</v>
      </c>
      <c r="Q6060" s="40" t="s">
        <v>8164</v>
      </c>
      <c r="R6060" s="33" t="s">
        <v>94</v>
      </c>
      <c r="S6060" s="33" t="s">
        <v>22</v>
      </c>
      <c r="T6060" s="1" t="s">
        <v>26781</v>
      </c>
      <c r="Z6060" s="33" t="s">
        <v>42966</v>
      </c>
      <c r="AA6060" s="33">
        <v>1602</v>
      </c>
    </row>
    <row r="6061" spans="1:31" ht="12" customHeight="1" x14ac:dyDescent="0.15">
      <c r="A6061" s="33" t="s">
        <v>8179</v>
      </c>
      <c r="B6061" s="33">
        <v>54</v>
      </c>
      <c r="C6061" s="33" t="s">
        <v>14</v>
      </c>
      <c r="D6061" s="33" t="s">
        <v>31</v>
      </c>
      <c r="F6061" s="67">
        <v>41811</v>
      </c>
      <c r="G6061" s="33" t="s">
        <v>8180</v>
      </c>
      <c r="H6061" s="33" t="s">
        <v>8181</v>
      </c>
      <c r="I6061" s="33" t="s">
        <v>51</v>
      </c>
      <c r="J6061" s="33" t="s">
        <v>8182</v>
      </c>
      <c r="K6061" s="33" t="s">
        <v>1041</v>
      </c>
      <c r="L6061" s="33" t="s">
        <v>8183</v>
      </c>
      <c r="M6061" s="33" t="s">
        <v>21</v>
      </c>
      <c r="N6061" s="33" t="s">
        <v>8184</v>
      </c>
      <c r="O6061" s="33" t="s">
        <v>372</v>
      </c>
      <c r="P6061" s="33" t="s">
        <v>30089</v>
      </c>
      <c r="Q6061" s="40" t="s">
        <v>8185</v>
      </c>
      <c r="R6061" s="33" t="s">
        <v>94</v>
      </c>
      <c r="S6061" s="33" t="s">
        <v>22</v>
      </c>
      <c r="T6061" s="1" t="s">
        <v>26781</v>
      </c>
      <c r="Z6061" s="33" t="s">
        <v>42968</v>
      </c>
      <c r="AA6061" s="33">
        <v>1604</v>
      </c>
    </row>
    <row r="6062" spans="1:31" ht="12" customHeight="1" x14ac:dyDescent="0.15">
      <c r="A6062" s="33" t="s">
        <v>8154</v>
      </c>
      <c r="B6062" s="33">
        <v>22</v>
      </c>
      <c r="C6062" s="33" t="s">
        <v>14</v>
      </c>
      <c r="D6062" s="33" t="s">
        <v>42</v>
      </c>
      <c r="E6062" s="33" t="s">
        <v>8155</v>
      </c>
      <c r="F6062" s="67">
        <v>41811</v>
      </c>
      <c r="G6062" s="33" t="s">
        <v>8156</v>
      </c>
      <c r="H6062" s="33" t="s">
        <v>1537</v>
      </c>
      <c r="I6062" s="33" t="s">
        <v>39</v>
      </c>
      <c r="J6062" s="33" t="s">
        <v>8157</v>
      </c>
      <c r="K6062" s="33" t="s">
        <v>1537</v>
      </c>
      <c r="L6062" s="33" t="s">
        <v>2166</v>
      </c>
      <c r="M6062" s="33" t="s">
        <v>21</v>
      </c>
      <c r="N6062" s="33" t="s">
        <v>8158</v>
      </c>
      <c r="O6062" s="33" t="s">
        <v>23</v>
      </c>
      <c r="P6062" s="33" t="s">
        <v>30089</v>
      </c>
      <c r="Q6062" s="40" t="s">
        <v>8159</v>
      </c>
      <c r="R6062" s="33" t="s">
        <v>904</v>
      </c>
      <c r="S6062" s="33" t="s">
        <v>22</v>
      </c>
      <c r="T6062" s="1" t="s">
        <v>26774</v>
      </c>
      <c r="Z6062" s="33" t="s">
        <v>42968</v>
      </c>
      <c r="AA6062" s="33">
        <v>1606</v>
      </c>
    </row>
    <row r="6063" spans="1:31" ht="12" customHeight="1" x14ac:dyDescent="0.15">
      <c r="A6063" s="33" t="s">
        <v>8172</v>
      </c>
      <c r="B6063" s="33">
        <v>35</v>
      </c>
      <c r="C6063" s="33" t="s">
        <v>14</v>
      </c>
      <c r="D6063" s="33" t="s">
        <v>31</v>
      </c>
      <c r="E6063" s="33" t="s">
        <v>8173</v>
      </c>
      <c r="F6063" s="67">
        <v>41811</v>
      </c>
      <c r="G6063" s="33" t="s">
        <v>8174</v>
      </c>
      <c r="H6063" s="33" t="s">
        <v>8175</v>
      </c>
      <c r="I6063" s="33" t="s">
        <v>294</v>
      </c>
      <c r="J6063" s="33" t="s">
        <v>8176</v>
      </c>
      <c r="K6063" s="33" t="s">
        <v>3538</v>
      </c>
      <c r="L6063" s="33" t="s">
        <v>3101</v>
      </c>
      <c r="M6063" s="33" t="s">
        <v>21</v>
      </c>
      <c r="N6063" s="33" t="s">
        <v>8177</v>
      </c>
      <c r="O6063" s="33" t="s">
        <v>950</v>
      </c>
      <c r="P6063" s="33" t="s">
        <v>30089</v>
      </c>
      <c r="Q6063" s="40" t="s">
        <v>8178</v>
      </c>
      <c r="R6063" s="33" t="s">
        <v>94</v>
      </c>
      <c r="S6063" s="33" t="s">
        <v>22</v>
      </c>
      <c r="T6063" s="1" t="s">
        <v>26781</v>
      </c>
      <c r="Z6063" s="33" t="s">
        <v>42968</v>
      </c>
      <c r="AA6063" s="33">
        <v>1603</v>
      </c>
    </row>
    <row r="6064" spans="1:31" ht="12" customHeight="1" x14ac:dyDescent="0.15">
      <c r="A6064" s="33" t="s">
        <v>3002</v>
      </c>
      <c r="B6064" s="33" t="s">
        <v>23</v>
      </c>
      <c r="C6064" s="33" t="s">
        <v>23</v>
      </c>
      <c r="D6064" s="33" t="s">
        <v>24</v>
      </c>
      <c r="F6064" s="67">
        <v>41810</v>
      </c>
      <c r="G6064" s="33" t="s">
        <v>8203</v>
      </c>
      <c r="H6064" s="33" t="s">
        <v>1669</v>
      </c>
      <c r="I6064" s="33" t="s">
        <v>160</v>
      </c>
      <c r="J6064" s="33" t="s">
        <v>8204</v>
      </c>
      <c r="K6064" s="33" t="s">
        <v>805</v>
      </c>
      <c r="L6064" s="33" t="s">
        <v>806</v>
      </c>
      <c r="M6064" s="33" t="s">
        <v>21</v>
      </c>
      <c r="N6064" s="33" t="s">
        <v>8205</v>
      </c>
      <c r="O6064" s="33" t="s">
        <v>950</v>
      </c>
      <c r="P6064" s="33" t="s">
        <v>30089</v>
      </c>
      <c r="Q6064" s="40" t="s">
        <v>8206</v>
      </c>
      <c r="R6064" s="33" t="s">
        <v>94</v>
      </c>
      <c r="S6064" s="33" t="s">
        <v>12</v>
      </c>
      <c r="T6064" s="33" t="s">
        <v>29425</v>
      </c>
      <c r="Z6064" s="33" t="s">
        <v>42968</v>
      </c>
      <c r="AA6064" s="33">
        <v>1601</v>
      </c>
      <c r="AE6064" s="33"/>
    </row>
    <row r="6065" spans="1:27" ht="12" customHeight="1" x14ac:dyDescent="0.15">
      <c r="A6065" s="33" t="s">
        <v>8191</v>
      </c>
      <c r="B6065" s="33">
        <v>19</v>
      </c>
      <c r="C6065" s="33" t="s">
        <v>14</v>
      </c>
      <c r="D6065" s="33" t="s">
        <v>79</v>
      </c>
      <c r="E6065" s="33" t="s">
        <v>8192</v>
      </c>
      <c r="F6065" s="67">
        <v>41810</v>
      </c>
      <c r="G6065" s="33" t="s">
        <v>8193</v>
      </c>
      <c r="H6065" s="33" t="s">
        <v>2064</v>
      </c>
      <c r="I6065" s="33" t="s">
        <v>26</v>
      </c>
      <c r="J6065" s="33" t="s">
        <v>8194</v>
      </c>
      <c r="K6065" s="33" t="s">
        <v>2064</v>
      </c>
      <c r="L6065" s="33" t="s">
        <v>8195</v>
      </c>
      <c r="M6065" s="33" t="s">
        <v>21</v>
      </c>
      <c r="N6065" s="33" t="s">
        <v>8196</v>
      </c>
      <c r="O6065" s="33" t="s">
        <v>950</v>
      </c>
      <c r="P6065" s="33" t="s">
        <v>30089</v>
      </c>
      <c r="Q6065" s="40" t="s">
        <v>8197</v>
      </c>
      <c r="R6065" s="33" t="s">
        <v>94</v>
      </c>
      <c r="S6065" s="33" t="s">
        <v>22</v>
      </c>
      <c r="T6065" s="1" t="s">
        <v>26781</v>
      </c>
      <c r="Z6065" s="33" t="s">
        <v>42966</v>
      </c>
      <c r="AA6065" s="33">
        <v>1596</v>
      </c>
    </row>
    <row r="6066" spans="1:27" ht="12" customHeight="1" x14ac:dyDescent="0.15">
      <c r="A6066" s="33" t="s">
        <v>8207</v>
      </c>
      <c r="B6066" s="33">
        <v>70</v>
      </c>
      <c r="C6066" s="33" t="s">
        <v>14</v>
      </c>
      <c r="D6066" s="33" t="s">
        <v>31</v>
      </c>
      <c r="E6066" s="33" t="s">
        <v>8208</v>
      </c>
      <c r="F6066" s="67">
        <v>41810</v>
      </c>
      <c r="G6066" s="33" t="s">
        <v>8209</v>
      </c>
      <c r="H6066" s="33" t="s">
        <v>505</v>
      </c>
      <c r="I6066" s="33" t="s">
        <v>67</v>
      </c>
      <c r="J6066" s="33" t="s">
        <v>8210</v>
      </c>
      <c r="K6066" s="33" t="s">
        <v>505</v>
      </c>
      <c r="L6066" s="33" t="s">
        <v>568</v>
      </c>
      <c r="M6066" s="33" t="s">
        <v>21</v>
      </c>
      <c r="N6066" s="33" t="s">
        <v>8211</v>
      </c>
      <c r="O6066" s="33" t="s">
        <v>950</v>
      </c>
      <c r="P6066" s="33" t="s">
        <v>30089</v>
      </c>
      <c r="Q6066" s="40" t="s">
        <v>8212</v>
      </c>
      <c r="R6066" s="33" t="s">
        <v>94</v>
      </c>
      <c r="S6066" s="33" t="s">
        <v>22</v>
      </c>
      <c r="T6066" s="33" t="s">
        <v>26781</v>
      </c>
      <c r="Z6066" s="33" t="s">
        <v>42967</v>
      </c>
      <c r="AA6066" s="33">
        <v>1598</v>
      </c>
    </row>
    <row r="6067" spans="1:27" ht="12" customHeight="1" x14ac:dyDescent="0.15">
      <c r="A6067" s="33" t="s">
        <v>8186</v>
      </c>
      <c r="B6067" s="33">
        <v>30</v>
      </c>
      <c r="C6067" s="33" t="s">
        <v>14</v>
      </c>
      <c r="D6067" s="33" t="s">
        <v>79</v>
      </c>
      <c r="E6067" s="33" t="s">
        <v>8187</v>
      </c>
      <c r="F6067" s="67">
        <v>41810</v>
      </c>
      <c r="G6067" s="33" t="s">
        <v>8188</v>
      </c>
      <c r="H6067" s="33" t="s">
        <v>2330</v>
      </c>
      <c r="I6067" s="33" t="s">
        <v>67</v>
      </c>
      <c r="J6067" s="33" t="s">
        <v>8189</v>
      </c>
      <c r="K6067" s="33" t="s">
        <v>266</v>
      </c>
      <c r="L6067" s="33" t="s">
        <v>2331</v>
      </c>
      <c r="M6067" s="33" t="s">
        <v>21</v>
      </c>
      <c r="N6067" s="33" t="s">
        <v>8190</v>
      </c>
      <c r="O6067" s="33" t="s">
        <v>23</v>
      </c>
      <c r="P6067" s="33" t="s">
        <v>30089</v>
      </c>
      <c r="Q6067" s="40" t="str">
        <f>HYPERLINK("http://www.myfoxdfw.com/story/25833600/suspect-killed-in-garland-officer-involved-shooting","http://www.myfoxdfw.com/story/25833600/suspect-killed-in-garland-officer-involved-shooting")</f>
        <v>http://www.myfoxdfw.com/story/25833600/suspect-killed-in-garland-officer-involved-shooting</v>
      </c>
      <c r="R6067" s="33" t="s">
        <v>23</v>
      </c>
      <c r="S6067" s="33" t="s">
        <v>22</v>
      </c>
      <c r="T6067" s="1" t="s">
        <v>26774</v>
      </c>
      <c r="Z6067" s="33" t="s">
        <v>42968</v>
      </c>
      <c r="AA6067" s="33">
        <v>1599</v>
      </c>
    </row>
    <row r="6068" spans="1:27" ht="12" customHeight="1" x14ac:dyDescent="0.15">
      <c r="A6068" s="33" t="s">
        <v>8213</v>
      </c>
      <c r="B6068" s="33">
        <v>32</v>
      </c>
      <c r="C6068" s="33" t="s">
        <v>14</v>
      </c>
      <c r="D6068" s="33" t="s">
        <v>31</v>
      </c>
      <c r="E6068" s="33" t="s">
        <v>8214</v>
      </c>
      <c r="F6068" s="67">
        <v>41810</v>
      </c>
      <c r="G6068" s="33" t="s">
        <v>8215</v>
      </c>
      <c r="H6068" s="33" t="s">
        <v>8216</v>
      </c>
      <c r="I6068" s="33" t="s">
        <v>432</v>
      </c>
      <c r="J6068" s="33" t="s">
        <v>8217</v>
      </c>
      <c r="K6068" s="33" t="s">
        <v>8218</v>
      </c>
      <c r="L6068" s="33" t="s">
        <v>8219</v>
      </c>
      <c r="M6068" s="33" t="s">
        <v>21</v>
      </c>
      <c r="N6068" s="33" t="s">
        <v>8220</v>
      </c>
      <c r="O6068" s="33" t="s">
        <v>507</v>
      </c>
      <c r="P6068" s="33" t="s">
        <v>30089</v>
      </c>
      <c r="Q6068" s="40" t="s">
        <v>8221</v>
      </c>
      <c r="R6068" s="33" t="s">
        <v>94</v>
      </c>
      <c r="S6068" s="33" t="s">
        <v>22</v>
      </c>
      <c r="T6068" s="1" t="s">
        <v>26781</v>
      </c>
      <c r="Z6068" s="33" t="s">
        <v>42967</v>
      </c>
      <c r="AA6068" s="33">
        <v>1597</v>
      </c>
    </row>
    <row r="6069" spans="1:27" ht="12" customHeight="1" x14ac:dyDescent="0.15">
      <c r="A6069" s="33" t="s">
        <v>8198</v>
      </c>
      <c r="B6069" s="33">
        <v>23</v>
      </c>
      <c r="C6069" s="33" t="s">
        <v>14</v>
      </c>
      <c r="D6069" s="33" t="s">
        <v>128</v>
      </c>
      <c r="E6069" s="33" t="s">
        <v>8199</v>
      </c>
      <c r="F6069" s="67">
        <v>41810</v>
      </c>
      <c r="G6069" s="33" t="s">
        <v>8200</v>
      </c>
      <c r="H6069" s="33" t="s">
        <v>6885</v>
      </c>
      <c r="I6069" s="33" t="s">
        <v>39</v>
      </c>
      <c r="J6069" s="33" t="s">
        <v>7579</v>
      </c>
      <c r="K6069" s="33" t="s">
        <v>6887</v>
      </c>
      <c r="L6069" s="33" t="s">
        <v>6888</v>
      </c>
      <c r="M6069" s="33" t="s">
        <v>21</v>
      </c>
      <c r="N6069" s="33" t="s">
        <v>8201</v>
      </c>
      <c r="O6069" s="33" t="s">
        <v>950</v>
      </c>
      <c r="P6069" s="33" t="s">
        <v>30089</v>
      </c>
      <c r="Q6069" s="40" t="s">
        <v>8202</v>
      </c>
      <c r="R6069" s="33" t="s">
        <v>512</v>
      </c>
      <c r="S6069" s="33" t="s">
        <v>22</v>
      </c>
      <c r="T6069" s="1" t="s">
        <v>26774</v>
      </c>
      <c r="Z6069" s="33" t="s">
        <v>42968</v>
      </c>
      <c r="AA6069" s="33">
        <v>1600</v>
      </c>
    </row>
    <row r="6070" spans="1:27" ht="12" customHeight="1" x14ac:dyDescent="0.15">
      <c r="A6070" s="33" t="s">
        <v>8252</v>
      </c>
      <c r="B6070" s="33">
        <v>36</v>
      </c>
      <c r="C6070" s="33" t="s">
        <v>14</v>
      </c>
      <c r="D6070" s="33" t="s">
        <v>31</v>
      </c>
      <c r="E6070" s="33" t="s">
        <v>8253</v>
      </c>
      <c r="F6070" s="67">
        <v>41809</v>
      </c>
      <c r="G6070" s="33" t="s">
        <v>8254</v>
      </c>
      <c r="H6070" s="33" t="s">
        <v>8255</v>
      </c>
      <c r="I6070" s="33" t="s">
        <v>282</v>
      </c>
      <c r="J6070" s="33" t="s">
        <v>8256</v>
      </c>
      <c r="K6070" s="33" t="s">
        <v>8257</v>
      </c>
      <c r="L6070" s="33" t="s">
        <v>8258</v>
      </c>
      <c r="M6070" s="33" t="s">
        <v>21</v>
      </c>
      <c r="N6070" s="33" t="s">
        <v>8259</v>
      </c>
      <c r="O6070" s="33" t="s">
        <v>507</v>
      </c>
      <c r="P6070" s="33" t="s">
        <v>30089</v>
      </c>
      <c r="Q6070" s="40" t="str">
        <f>HYPERLINK("http://blogs.seattletimes.com/today/2014/06/man-killed-by-port-orchard-police-identified/","http://blogs.seattletimes.com/today/2014/06/man-killed-by-port-orchard-police-identified/")</f>
        <v>http://blogs.seattletimes.com/today/2014/06/man-killed-by-port-orchard-police-identified/</v>
      </c>
      <c r="R6070" s="33" t="s">
        <v>94</v>
      </c>
      <c r="S6070" s="33" t="s">
        <v>22</v>
      </c>
      <c r="T6070" s="1" t="s">
        <v>26774</v>
      </c>
      <c r="Z6070" s="33" t="s">
        <v>42968</v>
      </c>
      <c r="AA6070" s="33">
        <v>1593</v>
      </c>
    </row>
    <row r="6071" spans="1:27" ht="12" customHeight="1" x14ac:dyDescent="0.15">
      <c r="A6071" s="33" t="s">
        <v>8222</v>
      </c>
      <c r="B6071" s="33">
        <v>53</v>
      </c>
      <c r="C6071" s="33" t="s">
        <v>14</v>
      </c>
      <c r="D6071" s="33" t="s">
        <v>79</v>
      </c>
      <c r="F6071" s="67">
        <v>41809</v>
      </c>
      <c r="G6071" s="33" t="s">
        <v>8223</v>
      </c>
      <c r="H6071" s="33" t="s">
        <v>8224</v>
      </c>
      <c r="I6071" s="33" t="s">
        <v>338</v>
      </c>
      <c r="J6071" s="33" t="s">
        <v>8225</v>
      </c>
      <c r="K6071" s="33" t="s">
        <v>2907</v>
      </c>
      <c r="L6071" s="33" t="s">
        <v>8226</v>
      </c>
      <c r="M6071" s="33" t="s">
        <v>21</v>
      </c>
      <c r="N6071" s="33" t="s">
        <v>8227</v>
      </c>
      <c r="O6071" s="33" t="s">
        <v>950</v>
      </c>
      <c r="P6071" s="33" t="s">
        <v>30089</v>
      </c>
      <c r="Q6071" s="40" t="s">
        <v>8228</v>
      </c>
      <c r="R6071" s="33" t="s">
        <v>23</v>
      </c>
      <c r="S6071" s="33" t="s">
        <v>22</v>
      </c>
      <c r="T6071" s="1" t="s">
        <v>26774</v>
      </c>
      <c r="Z6071" s="33" t="s">
        <v>42968</v>
      </c>
      <c r="AA6071" s="33">
        <v>1591</v>
      </c>
    </row>
    <row r="6072" spans="1:27" ht="12" customHeight="1" x14ac:dyDescent="0.15">
      <c r="A6072" s="33" t="s">
        <v>8245</v>
      </c>
      <c r="B6072" s="33">
        <v>32</v>
      </c>
      <c r="C6072" s="33" t="s">
        <v>14</v>
      </c>
      <c r="D6072" s="33" t="s">
        <v>31</v>
      </c>
      <c r="E6072" s="33" t="s">
        <v>8246</v>
      </c>
      <c r="F6072" s="67">
        <v>41809</v>
      </c>
      <c r="G6072" s="33" t="s">
        <v>8247</v>
      </c>
      <c r="H6072" s="33" t="s">
        <v>8248</v>
      </c>
      <c r="I6072" s="33" t="s">
        <v>26</v>
      </c>
      <c r="J6072" s="33" t="s">
        <v>8249</v>
      </c>
      <c r="K6072" s="33" t="s">
        <v>1015</v>
      </c>
      <c r="L6072" s="33" t="s">
        <v>1016</v>
      </c>
      <c r="M6072" s="33" t="s">
        <v>21</v>
      </c>
      <c r="N6072" s="33" t="s">
        <v>8250</v>
      </c>
      <c r="O6072" s="33" t="s">
        <v>4311</v>
      </c>
      <c r="P6072" s="33" t="s">
        <v>30089</v>
      </c>
      <c r="Q6072" s="40" t="s">
        <v>8251</v>
      </c>
      <c r="R6072" s="33" t="s">
        <v>94</v>
      </c>
      <c r="S6072" s="33" t="s">
        <v>29</v>
      </c>
      <c r="T6072" s="33" t="s">
        <v>41840</v>
      </c>
      <c r="Z6072" s="33" t="s">
        <v>42968</v>
      </c>
      <c r="AA6072" s="33">
        <v>1594</v>
      </c>
    </row>
    <row r="6073" spans="1:27" ht="12" customHeight="1" x14ac:dyDescent="0.15">
      <c r="A6073" s="33" t="s">
        <v>8229</v>
      </c>
      <c r="B6073" s="33">
        <v>17</v>
      </c>
      <c r="C6073" s="33" t="s">
        <v>14</v>
      </c>
      <c r="D6073" s="33" t="s">
        <v>42</v>
      </c>
      <c r="E6073" s="33" t="s">
        <v>8230</v>
      </c>
      <c r="F6073" s="67">
        <v>41809</v>
      </c>
      <c r="G6073" s="33" t="s">
        <v>8231</v>
      </c>
      <c r="H6073" s="33" t="s">
        <v>196</v>
      </c>
      <c r="I6073" s="33" t="s">
        <v>56</v>
      </c>
      <c r="J6073" s="33" t="s">
        <v>8232</v>
      </c>
      <c r="K6073" s="33" t="s">
        <v>148</v>
      </c>
      <c r="L6073" s="33" t="s">
        <v>8233</v>
      </c>
      <c r="M6073" s="33" t="s">
        <v>21</v>
      </c>
      <c r="N6073" s="33" t="s">
        <v>8234</v>
      </c>
      <c r="O6073" s="33" t="s">
        <v>4311</v>
      </c>
      <c r="P6073" s="33" t="s">
        <v>30089</v>
      </c>
      <c r="Q6073" s="40" t="s">
        <v>8235</v>
      </c>
      <c r="R6073" s="33" t="s">
        <v>94</v>
      </c>
      <c r="S6073" s="33" t="s">
        <v>351</v>
      </c>
      <c r="T6073" s="1" t="s">
        <v>42983</v>
      </c>
      <c r="Z6073" s="33" t="s">
        <v>42968</v>
      </c>
      <c r="AA6073" s="33">
        <v>1595</v>
      </c>
    </row>
    <row r="6074" spans="1:27" ht="12" customHeight="1" x14ac:dyDescent="0.15">
      <c r="A6074" s="33" t="s">
        <v>8236</v>
      </c>
      <c r="B6074" s="33">
        <v>45</v>
      </c>
      <c r="C6074" s="33" t="s">
        <v>14</v>
      </c>
      <c r="D6074" s="33" t="s">
        <v>42</v>
      </c>
      <c r="F6074" s="67">
        <v>41809</v>
      </c>
      <c r="G6074" s="33" t="s">
        <v>8237</v>
      </c>
      <c r="H6074" s="33" t="s">
        <v>532</v>
      </c>
      <c r="I6074" s="33" t="s">
        <v>67</v>
      </c>
      <c r="J6074" s="33" t="s">
        <v>8238</v>
      </c>
      <c r="K6074" s="33" t="s">
        <v>533</v>
      </c>
      <c r="L6074" s="33" t="s">
        <v>534</v>
      </c>
      <c r="M6074" s="33" t="s">
        <v>21</v>
      </c>
      <c r="N6074" s="33" t="s">
        <v>8239</v>
      </c>
      <c r="O6074" s="33" t="s">
        <v>4311</v>
      </c>
      <c r="P6074" s="33" t="s">
        <v>30089</v>
      </c>
      <c r="Q6074" s="40" t="s">
        <v>8240</v>
      </c>
      <c r="R6074" s="33" t="s">
        <v>94</v>
      </c>
      <c r="S6074" s="33" t="s">
        <v>22</v>
      </c>
      <c r="T6074" s="1" t="s">
        <v>26781</v>
      </c>
      <c r="Z6074" s="33" t="s">
        <v>42966</v>
      </c>
      <c r="AA6074" s="33">
        <v>1590</v>
      </c>
    </row>
    <row r="6075" spans="1:27" ht="12" customHeight="1" x14ac:dyDescent="0.15">
      <c r="A6075" s="33" t="s">
        <v>8241</v>
      </c>
      <c r="B6075" s="33">
        <v>37</v>
      </c>
      <c r="C6075" s="33" t="s">
        <v>14</v>
      </c>
      <c r="D6075" s="33" t="s">
        <v>31</v>
      </c>
      <c r="F6075" s="67">
        <v>41809</v>
      </c>
      <c r="G6075" s="33" t="s">
        <v>8242</v>
      </c>
      <c r="H6075" s="33" t="s">
        <v>1537</v>
      </c>
      <c r="I6075" s="33" t="s">
        <v>39</v>
      </c>
      <c r="J6075" s="33" t="s">
        <v>8157</v>
      </c>
      <c r="K6075" s="33" t="s">
        <v>1537</v>
      </c>
      <c r="L6075" s="33" t="s">
        <v>2166</v>
      </c>
      <c r="M6075" s="33" t="s">
        <v>21</v>
      </c>
      <c r="N6075" s="33" t="s">
        <v>8243</v>
      </c>
      <c r="O6075" s="33" t="s">
        <v>950</v>
      </c>
      <c r="P6075" s="33" t="s">
        <v>30089</v>
      </c>
      <c r="Q6075" s="40" t="s">
        <v>8244</v>
      </c>
      <c r="R6075" s="33" t="s">
        <v>94</v>
      </c>
      <c r="S6075" s="33" t="s">
        <v>22</v>
      </c>
      <c r="T6075" s="1" t="s">
        <v>26774</v>
      </c>
      <c r="Z6075" s="33" t="s">
        <v>42968</v>
      </c>
      <c r="AA6075" s="33">
        <v>1592</v>
      </c>
    </row>
    <row r="6076" spans="1:27" ht="12" customHeight="1" x14ac:dyDescent="0.15">
      <c r="A6076" s="33" t="s">
        <v>8260</v>
      </c>
      <c r="B6076" s="33">
        <v>21</v>
      </c>
      <c r="C6076" s="33" t="s">
        <v>14</v>
      </c>
      <c r="D6076" s="33" t="s">
        <v>79</v>
      </c>
      <c r="E6076" s="33" t="s">
        <v>8261</v>
      </c>
      <c r="F6076" s="67">
        <v>41808</v>
      </c>
      <c r="G6076" s="33" t="s">
        <v>8262</v>
      </c>
      <c r="H6076" s="33" t="s">
        <v>3855</v>
      </c>
      <c r="I6076" s="33" t="s">
        <v>338</v>
      </c>
      <c r="J6076" s="33" t="s">
        <v>8263</v>
      </c>
      <c r="K6076" s="33" t="s">
        <v>3857</v>
      </c>
      <c r="L6076" s="33" t="s">
        <v>3858</v>
      </c>
      <c r="M6076" s="33" t="s">
        <v>21</v>
      </c>
      <c r="N6076" s="33" t="s">
        <v>8264</v>
      </c>
      <c r="O6076" s="33" t="s">
        <v>950</v>
      </c>
      <c r="P6076" s="33" t="s">
        <v>30089</v>
      </c>
      <c r="Q6076" s="40" t="s">
        <v>8265</v>
      </c>
      <c r="R6076" s="33" t="s">
        <v>94</v>
      </c>
      <c r="S6076" s="33" t="s">
        <v>22</v>
      </c>
      <c r="T6076" s="1" t="s">
        <v>26781</v>
      </c>
      <c r="Z6076" s="33" t="s">
        <v>42966</v>
      </c>
      <c r="AA6076" s="33">
        <v>1589</v>
      </c>
    </row>
    <row r="6077" spans="1:27" ht="12" customHeight="1" x14ac:dyDescent="0.15">
      <c r="A6077" s="33" t="s">
        <v>8266</v>
      </c>
      <c r="B6077" s="33">
        <v>24</v>
      </c>
      <c r="C6077" s="33" t="s">
        <v>14</v>
      </c>
      <c r="D6077" s="33" t="s">
        <v>79</v>
      </c>
      <c r="E6077" s="33" t="s">
        <v>8267</v>
      </c>
      <c r="F6077" s="67">
        <v>41806</v>
      </c>
      <c r="G6077" s="33" t="s">
        <v>8268</v>
      </c>
      <c r="H6077" s="33" t="s">
        <v>2278</v>
      </c>
      <c r="I6077" s="33" t="s">
        <v>160</v>
      </c>
      <c r="J6077" s="33" t="s">
        <v>2279</v>
      </c>
      <c r="K6077" s="33" t="s">
        <v>1239</v>
      </c>
      <c r="L6077" s="33" t="s">
        <v>8269</v>
      </c>
      <c r="M6077" s="33" t="s">
        <v>21</v>
      </c>
      <c r="N6077" s="33" t="s">
        <v>8270</v>
      </c>
      <c r="O6077" s="33" t="s">
        <v>950</v>
      </c>
      <c r="P6077" s="33" t="s">
        <v>30089</v>
      </c>
      <c r="Q6077" s="40" t="s">
        <v>8271</v>
      </c>
      <c r="R6077" s="33" t="s">
        <v>94</v>
      </c>
      <c r="S6077" s="33" t="s">
        <v>22</v>
      </c>
      <c r="T6077" s="1" t="s">
        <v>26591</v>
      </c>
      <c r="Z6077" s="33" t="s">
        <v>42968</v>
      </c>
      <c r="AA6077" s="33">
        <v>1587</v>
      </c>
    </row>
    <row r="6078" spans="1:27" ht="12" customHeight="1" x14ac:dyDescent="0.15">
      <c r="A6078" s="33" t="s">
        <v>8272</v>
      </c>
      <c r="B6078" s="33">
        <v>35</v>
      </c>
      <c r="C6078" s="33" t="s">
        <v>14</v>
      </c>
      <c r="D6078" s="33" t="s">
        <v>31</v>
      </c>
      <c r="E6078" s="33" t="s">
        <v>8273</v>
      </c>
      <c r="F6078" s="67">
        <v>41806</v>
      </c>
      <c r="G6078" s="33" t="s">
        <v>8274</v>
      </c>
      <c r="H6078" s="33" t="s">
        <v>850</v>
      </c>
      <c r="I6078" s="33" t="s">
        <v>367</v>
      </c>
      <c r="J6078" s="33" t="s">
        <v>8275</v>
      </c>
      <c r="K6078" s="33" t="s">
        <v>8276</v>
      </c>
      <c r="L6078" s="33" t="s">
        <v>1904</v>
      </c>
      <c r="M6078" s="33" t="s">
        <v>21</v>
      </c>
      <c r="N6078" s="33" t="s">
        <v>8277</v>
      </c>
      <c r="O6078" s="33" t="s">
        <v>507</v>
      </c>
      <c r="P6078" s="33" t="s">
        <v>30089</v>
      </c>
      <c r="Q6078" s="40" t="s">
        <v>8278</v>
      </c>
      <c r="R6078" s="33" t="s">
        <v>904</v>
      </c>
      <c r="S6078" s="33" t="s">
        <v>22</v>
      </c>
      <c r="T6078" s="1" t="s">
        <v>26774</v>
      </c>
      <c r="Z6078" s="33" t="s">
        <v>42967</v>
      </c>
      <c r="AA6078" s="33">
        <v>1588</v>
      </c>
    </row>
    <row r="6079" spans="1:27" ht="12" customHeight="1" x14ac:dyDescent="0.15">
      <c r="A6079" s="33" t="s">
        <v>8279</v>
      </c>
      <c r="B6079" s="33">
        <v>30</v>
      </c>
      <c r="C6079" s="33" t="s">
        <v>14</v>
      </c>
      <c r="D6079" s="33" t="s">
        <v>79</v>
      </c>
      <c r="E6079" s="33" t="s">
        <v>8280</v>
      </c>
      <c r="F6079" s="67">
        <v>41805</v>
      </c>
      <c r="G6079" s="33" t="s">
        <v>8281</v>
      </c>
      <c r="H6079" s="33" t="s">
        <v>1487</v>
      </c>
      <c r="I6079" s="33" t="s">
        <v>46</v>
      </c>
      <c r="J6079" s="33" t="s">
        <v>8282</v>
      </c>
      <c r="K6079" s="33" t="s">
        <v>4324</v>
      </c>
      <c r="L6079" s="33" t="s">
        <v>2556</v>
      </c>
      <c r="M6079" s="33" t="s">
        <v>21</v>
      </c>
      <c r="N6079" s="33" t="s">
        <v>8283</v>
      </c>
      <c r="O6079" s="33" t="s">
        <v>1083</v>
      </c>
      <c r="P6079" s="33" t="s">
        <v>30089</v>
      </c>
      <c r="Q6079" s="40" t="s">
        <v>8284</v>
      </c>
      <c r="R6079" s="33" t="s">
        <v>94</v>
      </c>
      <c r="S6079" s="33" t="s">
        <v>22</v>
      </c>
      <c r="T6079" s="1" t="s">
        <v>26781</v>
      </c>
      <c r="Z6079" s="33" t="s">
        <v>42966</v>
      </c>
      <c r="AA6079" s="33">
        <v>1583</v>
      </c>
    </row>
    <row r="6080" spans="1:27" ht="12" customHeight="1" x14ac:dyDescent="0.15">
      <c r="A6080" s="33" t="s">
        <v>8289</v>
      </c>
      <c r="B6080" s="33">
        <v>34</v>
      </c>
      <c r="C6080" s="33" t="s">
        <v>14</v>
      </c>
      <c r="D6080" s="33" t="s">
        <v>31</v>
      </c>
      <c r="E6080" s="33" t="s">
        <v>8290</v>
      </c>
      <c r="F6080" s="67">
        <v>41805</v>
      </c>
      <c r="G6080" s="33" t="s">
        <v>8291</v>
      </c>
      <c r="H6080" s="33" t="s">
        <v>8292</v>
      </c>
      <c r="I6080" s="33" t="s">
        <v>56</v>
      </c>
      <c r="J6080" s="33" t="s">
        <v>8293</v>
      </c>
      <c r="K6080" s="33" t="s">
        <v>8294</v>
      </c>
      <c r="L6080" s="33" t="s">
        <v>8295</v>
      </c>
      <c r="M6080" s="33" t="s">
        <v>21</v>
      </c>
      <c r="N6080" s="33" t="s">
        <v>8296</v>
      </c>
      <c r="O6080" s="33" t="s">
        <v>950</v>
      </c>
      <c r="P6080" s="33" t="s">
        <v>30089</v>
      </c>
      <c r="Q6080" s="40" t="s">
        <v>8297</v>
      </c>
      <c r="R6080" s="33" t="s">
        <v>512</v>
      </c>
      <c r="S6080" s="33" t="s">
        <v>22</v>
      </c>
      <c r="T6080" s="1" t="s">
        <v>26774</v>
      </c>
      <c r="Z6080" s="33" t="s">
        <v>42968</v>
      </c>
      <c r="AA6080" s="33">
        <v>1585</v>
      </c>
    </row>
    <row r="6081" spans="1:31" ht="12" customHeight="1" x14ac:dyDescent="0.15">
      <c r="A6081" s="33" t="s">
        <v>8285</v>
      </c>
      <c r="B6081" s="33">
        <v>67</v>
      </c>
      <c r="C6081" s="33" t="s">
        <v>14</v>
      </c>
      <c r="D6081" s="33" t="s">
        <v>24</v>
      </c>
      <c r="F6081" s="67">
        <v>41805</v>
      </c>
      <c r="G6081" s="33" t="s">
        <v>8286</v>
      </c>
      <c r="H6081" s="33" t="s">
        <v>631</v>
      </c>
      <c r="I6081" s="33" t="s">
        <v>39</v>
      </c>
      <c r="J6081" s="33" t="s">
        <v>5581</v>
      </c>
      <c r="K6081" s="33" t="s">
        <v>632</v>
      </c>
      <c r="L6081" s="33" t="s">
        <v>693</v>
      </c>
      <c r="M6081" s="33" t="s">
        <v>21</v>
      </c>
      <c r="N6081" s="33" t="s">
        <v>8287</v>
      </c>
      <c r="O6081" s="33" t="s">
        <v>372</v>
      </c>
      <c r="P6081" s="33" t="s">
        <v>30089</v>
      </c>
      <c r="Q6081" s="40" t="s">
        <v>8288</v>
      </c>
      <c r="R6081" s="33" t="s">
        <v>512</v>
      </c>
      <c r="S6081" s="33" t="s">
        <v>22</v>
      </c>
      <c r="T6081" s="1" t="s">
        <v>26774</v>
      </c>
      <c r="Z6081" s="33" t="s">
        <v>42968</v>
      </c>
      <c r="AA6081" s="33">
        <v>1584</v>
      </c>
    </row>
    <row r="6082" spans="1:31" ht="12" customHeight="1" x14ac:dyDescent="0.15">
      <c r="A6082" s="33" t="s">
        <v>8298</v>
      </c>
      <c r="B6082" s="33">
        <v>33</v>
      </c>
      <c r="C6082" s="33" t="s">
        <v>14</v>
      </c>
      <c r="D6082" s="33" t="s">
        <v>31</v>
      </c>
      <c r="E6082" s="33" t="s">
        <v>8299</v>
      </c>
      <c r="F6082" s="67">
        <v>41805</v>
      </c>
      <c r="G6082" s="33" t="s">
        <v>8300</v>
      </c>
      <c r="H6082" s="33" t="s">
        <v>1132</v>
      </c>
      <c r="I6082" s="33" t="s">
        <v>282</v>
      </c>
      <c r="J6082" s="33" t="s">
        <v>8301</v>
      </c>
      <c r="K6082" s="33" t="s">
        <v>1133</v>
      </c>
      <c r="L6082" s="33" t="s">
        <v>8302</v>
      </c>
      <c r="M6082" s="33" t="s">
        <v>21</v>
      </c>
      <c r="N6082" s="33" t="s">
        <v>8303</v>
      </c>
      <c r="O6082" s="33" t="s">
        <v>950</v>
      </c>
      <c r="P6082" s="33" t="s">
        <v>30089</v>
      </c>
      <c r="Q6082" s="40" t="str">
        <f>HYPERLINK("http://www.wsp.wa.gov/information/releases/2014_archive/mr061714.htm","http://www.wsp.wa.gov/information/releases/2014_archive/mr061714.htm")</f>
        <v>http://www.wsp.wa.gov/information/releases/2014_archive/mr061714.htm</v>
      </c>
      <c r="R6082" s="33" t="s">
        <v>512</v>
      </c>
      <c r="S6082" s="33" t="s">
        <v>22</v>
      </c>
      <c r="T6082" s="1" t="s">
        <v>26774</v>
      </c>
      <c r="Z6082" s="33" t="e">
        <v>#N/A</v>
      </c>
      <c r="AA6082" s="33">
        <v>1586</v>
      </c>
    </row>
    <row r="6083" spans="1:31" ht="12" customHeight="1" x14ac:dyDescent="0.15">
      <c r="A6083" s="33" t="s">
        <v>8310</v>
      </c>
      <c r="B6083" s="33">
        <v>21</v>
      </c>
      <c r="C6083" s="33" t="s">
        <v>14</v>
      </c>
      <c r="D6083" s="33" t="s">
        <v>42</v>
      </c>
      <c r="F6083" s="67">
        <v>41804</v>
      </c>
      <c r="G6083" s="33" t="s">
        <v>8311</v>
      </c>
      <c r="H6083" s="33" t="s">
        <v>1592</v>
      </c>
      <c r="I6083" s="33" t="s">
        <v>192</v>
      </c>
      <c r="J6083" s="33" t="s">
        <v>1593</v>
      </c>
      <c r="K6083" s="33" t="s">
        <v>1594</v>
      </c>
      <c r="L6083" s="33" t="s">
        <v>1595</v>
      </c>
      <c r="M6083" s="33" t="s">
        <v>21</v>
      </c>
      <c r="N6083" s="33" t="s">
        <v>8312</v>
      </c>
      <c r="O6083" s="33" t="s">
        <v>507</v>
      </c>
      <c r="P6083" s="33" t="s">
        <v>30089</v>
      </c>
      <c r="Q6083" s="40" t="s">
        <v>8313</v>
      </c>
      <c r="R6083" s="33" t="s">
        <v>94</v>
      </c>
      <c r="S6083" s="33" t="s">
        <v>22</v>
      </c>
      <c r="T6083" s="1" t="s">
        <v>26781</v>
      </c>
      <c r="Z6083" s="33" t="s">
        <v>42968</v>
      </c>
      <c r="AA6083" s="33">
        <v>1580</v>
      </c>
    </row>
    <row r="6084" spans="1:31" ht="12" customHeight="1" x14ac:dyDescent="0.15">
      <c r="A6084" s="33" t="s">
        <v>8314</v>
      </c>
      <c r="B6084" s="33">
        <v>40</v>
      </c>
      <c r="C6084" s="33" t="s">
        <v>14</v>
      </c>
      <c r="D6084" s="33" t="s">
        <v>31</v>
      </c>
      <c r="F6084" s="67">
        <v>41804</v>
      </c>
      <c r="G6084" s="33" t="s">
        <v>8315</v>
      </c>
      <c r="H6084" s="33" t="s">
        <v>8316</v>
      </c>
      <c r="I6084" s="33" t="s">
        <v>38</v>
      </c>
      <c r="J6084" s="33" t="s">
        <v>8317</v>
      </c>
      <c r="K6084" s="33" t="s">
        <v>8318</v>
      </c>
      <c r="L6084" s="33" t="s">
        <v>377</v>
      </c>
      <c r="M6084" s="33" t="s">
        <v>21</v>
      </c>
      <c r="N6084" s="33" t="s">
        <v>8319</v>
      </c>
      <c r="O6084" s="33" t="s">
        <v>950</v>
      </c>
      <c r="P6084" s="33" t="s">
        <v>30089</v>
      </c>
      <c r="Q6084" s="40" t="s">
        <v>8320</v>
      </c>
      <c r="R6084" s="33" t="s">
        <v>23</v>
      </c>
      <c r="S6084" s="33" t="s">
        <v>22</v>
      </c>
      <c r="T6084" s="1" t="s">
        <v>26781</v>
      </c>
      <c r="Y6084" s="33" t="s">
        <v>42476</v>
      </c>
      <c r="Z6084" s="33" t="s">
        <v>42968</v>
      </c>
      <c r="AA6084" s="33">
        <v>1581</v>
      </c>
    </row>
    <row r="6085" spans="1:31" ht="12" customHeight="1" x14ac:dyDescent="0.15">
      <c r="A6085" s="33" t="s">
        <v>8304</v>
      </c>
      <c r="B6085" s="33">
        <v>38</v>
      </c>
      <c r="C6085" s="33" t="s">
        <v>14</v>
      </c>
      <c r="D6085" s="33" t="s">
        <v>79</v>
      </c>
      <c r="E6085" s="33" t="s">
        <v>8305</v>
      </c>
      <c r="F6085" s="67">
        <v>41804</v>
      </c>
      <c r="G6085" s="33" t="s">
        <v>8306</v>
      </c>
      <c r="H6085" s="33" t="s">
        <v>266</v>
      </c>
      <c r="I6085" s="33" t="s">
        <v>67</v>
      </c>
      <c r="J6085" s="33" t="s">
        <v>8307</v>
      </c>
      <c r="K6085" s="33" t="s">
        <v>266</v>
      </c>
      <c r="L6085" s="33" t="s">
        <v>267</v>
      </c>
      <c r="M6085" s="33" t="s">
        <v>21</v>
      </c>
      <c r="N6085" s="33" t="s">
        <v>8308</v>
      </c>
      <c r="O6085" s="33" t="s">
        <v>507</v>
      </c>
      <c r="P6085" s="33" t="s">
        <v>30089</v>
      </c>
      <c r="Q6085" s="40" t="s">
        <v>8309</v>
      </c>
      <c r="R6085" s="33" t="s">
        <v>512</v>
      </c>
      <c r="S6085" s="33" t="s">
        <v>29</v>
      </c>
      <c r="T6085" s="33" t="s">
        <v>41840</v>
      </c>
      <c r="Z6085" s="33" t="s">
        <v>42968</v>
      </c>
      <c r="AA6085" s="33">
        <v>1582</v>
      </c>
    </row>
    <row r="6086" spans="1:31" ht="12" customHeight="1" x14ac:dyDescent="0.15">
      <c r="A6086" s="33" t="s">
        <v>8330</v>
      </c>
      <c r="B6086" s="103">
        <v>40</v>
      </c>
      <c r="C6086" s="33" t="s">
        <v>14</v>
      </c>
      <c r="D6086" s="33" t="s">
        <v>31</v>
      </c>
      <c r="E6086" s="33" t="s">
        <v>8331</v>
      </c>
      <c r="F6086" s="67">
        <v>41803</v>
      </c>
      <c r="G6086" s="33" t="s">
        <v>8332</v>
      </c>
      <c r="H6086" s="33" t="s">
        <v>8333</v>
      </c>
      <c r="I6086" s="33" t="s">
        <v>250</v>
      </c>
      <c r="J6086" s="33" t="s">
        <v>8334</v>
      </c>
      <c r="K6086" s="33" t="s">
        <v>8335</v>
      </c>
      <c r="L6086" s="33" t="s">
        <v>36825</v>
      </c>
      <c r="M6086" s="33" t="s">
        <v>21</v>
      </c>
      <c r="N6086" s="33" t="s">
        <v>8336</v>
      </c>
      <c r="O6086" s="33" t="s">
        <v>23</v>
      </c>
      <c r="P6086" s="33" t="s">
        <v>30089</v>
      </c>
      <c r="Q6086" s="40" t="s">
        <v>8337</v>
      </c>
      <c r="R6086" s="33" t="s">
        <v>94</v>
      </c>
      <c r="S6086" s="33" t="s">
        <v>22</v>
      </c>
      <c r="T6086" s="1" t="s">
        <v>26781</v>
      </c>
      <c r="Z6086" s="33" t="s">
        <v>42967</v>
      </c>
      <c r="AA6086" s="33">
        <v>1579</v>
      </c>
    </row>
    <row r="6087" spans="1:31" ht="12" customHeight="1" x14ac:dyDescent="0.15">
      <c r="A6087" s="33" t="s">
        <v>8325</v>
      </c>
      <c r="B6087" s="33">
        <v>17</v>
      </c>
      <c r="C6087" s="33" t="s">
        <v>14</v>
      </c>
      <c r="D6087" s="33" t="s">
        <v>42</v>
      </c>
      <c r="F6087" s="67">
        <v>41803</v>
      </c>
      <c r="G6087" s="33" t="s">
        <v>8326</v>
      </c>
      <c r="H6087" s="33" t="s">
        <v>870</v>
      </c>
      <c r="I6087" s="33" t="s">
        <v>67</v>
      </c>
      <c r="J6087" s="33" t="s">
        <v>8327</v>
      </c>
      <c r="K6087" s="33" t="s">
        <v>68</v>
      </c>
      <c r="L6087" s="33" t="s">
        <v>871</v>
      </c>
      <c r="M6087" s="33" t="s">
        <v>21</v>
      </c>
      <c r="N6087" s="33" t="s">
        <v>8328</v>
      </c>
      <c r="O6087" s="33" t="s">
        <v>950</v>
      </c>
      <c r="P6087" s="33" t="s">
        <v>30089</v>
      </c>
      <c r="Q6087" s="40" t="s">
        <v>8329</v>
      </c>
      <c r="R6087" s="33" t="s">
        <v>94</v>
      </c>
      <c r="S6087" s="33" t="s">
        <v>22</v>
      </c>
      <c r="T6087" s="1" t="s">
        <v>26781</v>
      </c>
      <c r="Z6087" s="33" t="s">
        <v>42966</v>
      </c>
      <c r="AA6087" s="33">
        <v>1578</v>
      </c>
    </row>
    <row r="6088" spans="1:31" ht="12" customHeight="1" x14ac:dyDescent="0.15">
      <c r="A6088" s="33" t="s">
        <v>8321</v>
      </c>
      <c r="B6088" s="33">
        <v>61</v>
      </c>
      <c r="C6088" s="33" t="s">
        <v>14</v>
      </c>
      <c r="D6088" s="33" t="s">
        <v>79</v>
      </c>
      <c r="F6088" s="67">
        <v>41803</v>
      </c>
      <c r="G6088" s="33" t="s">
        <v>8322</v>
      </c>
      <c r="H6088" s="33" t="s">
        <v>3685</v>
      </c>
      <c r="I6088" s="33" t="s">
        <v>621</v>
      </c>
      <c r="J6088" s="33" t="s">
        <v>3686</v>
      </c>
      <c r="K6088" s="33" t="s">
        <v>3687</v>
      </c>
      <c r="L6088" s="33" t="s">
        <v>3688</v>
      </c>
      <c r="M6088" s="33" t="s">
        <v>21</v>
      </c>
      <c r="N6088" s="33" t="s">
        <v>8323</v>
      </c>
      <c r="O6088" s="33" t="s">
        <v>950</v>
      </c>
      <c r="P6088" s="33" t="s">
        <v>30089</v>
      </c>
      <c r="Q6088" s="40" t="s">
        <v>8324</v>
      </c>
      <c r="R6088" s="33" t="s">
        <v>94</v>
      </c>
      <c r="S6088" s="33" t="s">
        <v>22</v>
      </c>
      <c r="T6088" s="1" t="s">
        <v>26781</v>
      </c>
      <c r="Z6088" s="33" t="s">
        <v>42968</v>
      </c>
      <c r="AA6088" s="33">
        <v>1577</v>
      </c>
    </row>
    <row r="6089" spans="1:31" ht="12" customHeight="1" x14ac:dyDescent="0.15">
      <c r="A6089" s="33" t="s">
        <v>8345</v>
      </c>
      <c r="B6089" s="33">
        <v>38</v>
      </c>
      <c r="C6089" s="33" t="s">
        <v>14</v>
      </c>
      <c r="D6089" s="33" t="s">
        <v>31</v>
      </c>
      <c r="E6089" s="33" t="s">
        <v>8346</v>
      </c>
      <c r="F6089" s="67">
        <v>41802</v>
      </c>
      <c r="G6089" s="33" t="s">
        <v>8347</v>
      </c>
      <c r="H6089" s="33" t="s">
        <v>8348</v>
      </c>
      <c r="I6089" s="33" t="s">
        <v>106</v>
      </c>
      <c r="J6089" s="33" t="s">
        <v>8349</v>
      </c>
      <c r="K6089" s="33" t="s">
        <v>3919</v>
      </c>
      <c r="L6089" s="33" t="s">
        <v>8350</v>
      </c>
      <c r="M6089" s="33" t="s">
        <v>21</v>
      </c>
      <c r="N6089" s="33" t="s">
        <v>8351</v>
      </c>
      <c r="O6089" s="33" t="s">
        <v>950</v>
      </c>
      <c r="P6089" s="33" t="s">
        <v>30089</v>
      </c>
      <c r="Q6089" s="40" t="s">
        <v>8352</v>
      </c>
      <c r="R6089" s="33" t="s">
        <v>94</v>
      </c>
      <c r="S6089" s="33" t="s">
        <v>351</v>
      </c>
      <c r="T6089" s="33" t="s">
        <v>26867</v>
      </c>
      <c r="Z6089" s="33" t="s">
        <v>42968</v>
      </c>
      <c r="AA6089" s="33">
        <v>1576</v>
      </c>
      <c r="AE6089" s="33"/>
    </row>
    <row r="6090" spans="1:31" ht="12" customHeight="1" x14ac:dyDescent="0.15">
      <c r="A6090" s="33" t="s">
        <v>8360</v>
      </c>
      <c r="B6090" s="33">
        <v>58</v>
      </c>
      <c r="C6090" s="33" t="s">
        <v>14</v>
      </c>
      <c r="D6090" s="33" t="s">
        <v>31</v>
      </c>
      <c r="E6090" s="33" t="s">
        <v>8361</v>
      </c>
      <c r="F6090" s="67">
        <v>41802</v>
      </c>
      <c r="G6090" s="33" t="s">
        <v>8362</v>
      </c>
      <c r="H6090" s="33" t="s">
        <v>1998</v>
      </c>
      <c r="I6090" s="33" t="s">
        <v>19</v>
      </c>
      <c r="J6090" s="33" t="s">
        <v>1999</v>
      </c>
      <c r="K6090" s="33" t="s">
        <v>2000</v>
      </c>
      <c r="L6090" s="33" t="s">
        <v>8363</v>
      </c>
      <c r="M6090" s="33" t="s">
        <v>21</v>
      </c>
      <c r="N6090" s="33" t="s">
        <v>8364</v>
      </c>
      <c r="O6090" s="33" t="s">
        <v>507</v>
      </c>
      <c r="P6090" s="33" t="s">
        <v>30089</v>
      </c>
      <c r="Q6090" s="40" t="s">
        <v>8365</v>
      </c>
      <c r="R6090" s="33" t="s">
        <v>23</v>
      </c>
      <c r="S6090" s="33" t="s">
        <v>22</v>
      </c>
      <c r="T6090" s="1" t="s">
        <v>26781</v>
      </c>
      <c r="Z6090" s="33" t="s">
        <v>42968</v>
      </c>
      <c r="AA6090" s="33">
        <v>1574</v>
      </c>
    </row>
    <row r="6091" spans="1:31" ht="12" customHeight="1" x14ac:dyDescent="0.15">
      <c r="A6091" s="33" t="s">
        <v>8339</v>
      </c>
      <c r="B6091" s="33">
        <v>23</v>
      </c>
      <c r="C6091" s="33" t="s">
        <v>14</v>
      </c>
      <c r="D6091" s="33" t="s">
        <v>31</v>
      </c>
      <c r="E6091" s="33" t="s">
        <v>8340</v>
      </c>
      <c r="F6091" s="67">
        <v>41802</v>
      </c>
      <c r="G6091" s="33" t="s">
        <v>8341</v>
      </c>
      <c r="H6091" s="33" t="s">
        <v>1459</v>
      </c>
      <c r="I6091" s="33" t="s">
        <v>106</v>
      </c>
      <c r="J6091" s="33" t="s">
        <v>8342</v>
      </c>
      <c r="K6091" s="33" t="s">
        <v>1461</v>
      </c>
      <c r="L6091" s="33" t="s">
        <v>16039</v>
      </c>
      <c r="M6091" s="33" t="s">
        <v>21</v>
      </c>
      <c r="N6091" s="33" t="s">
        <v>8343</v>
      </c>
      <c r="O6091" s="33" t="s">
        <v>507</v>
      </c>
      <c r="P6091" s="33" t="s">
        <v>30089</v>
      </c>
      <c r="Q6091" s="40" t="s">
        <v>8344</v>
      </c>
      <c r="R6091" s="33" t="s">
        <v>512</v>
      </c>
      <c r="S6091" s="33" t="s">
        <v>22</v>
      </c>
      <c r="T6091" s="1" t="s">
        <v>26589</v>
      </c>
      <c r="Z6091" s="33" t="s">
        <v>42968</v>
      </c>
      <c r="AA6091" s="33">
        <v>1573</v>
      </c>
    </row>
    <row r="6092" spans="1:31" ht="12" customHeight="1" x14ac:dyDescent="0.15">
      <c r="A6092" s="33" t="s">
        <v>8353</v>
      </c>
      <c r="B6092" s="33">
        <v>18</v>
      </c>
      <c r="C6092" s="33" t="s">
        <v>14</v>
      </c>
      <c r="D6092" s="33" t="s">
        <v>31</v>
      </c>
      <c r="E6092" s="33" t="s">
        <v>8354</v>
      </c>
      <c r="F6092" s="67">
        <v>41802</v>
      </c>
      <c r="G6092" s="33" t="s">
        <v>8355</v>
      </c>
      <c r="H6092" s="33" t="s">
        <v>8356</v>
      </c>
      <c r="I6092" s="33" t="s">
        <v>139</v>
      </c>
      <c r="J6092" s="33" t="s">
        <v>8357</v>
      </c>
      <c r="K6092" s="33" t="s">
        <v>2675</v>
      </c>
      <c r="L6092" s="33" t="s">
        <v>15594</v>
      </c>
      <c r="M6092" s="33" t="s">
        <v>21</v>
      </c>
      <c r="N6092" s="33" t="s">
        <v>8358</v>
      </c>
      <c r="O6092" s="33" t="s">
        <v>507</v>
      </c>
      <c r="P6092" s="33" t="s">
        <v>30089</v>
      </c>
      <c r="Q6092" s="40" t="s">
        <v>8359</v>
      </c>
      <c r="R6092" s="33" t="s">
        <v>512</v>
      </c>
      <c r="S6092" s="33" t="s">
        <v>12</v>
      </c>
      <c r="T6092" s="54" t="s">
        <v>29705</v>
      </c>
      <c r="Z6092" s="33" t="s">
        <v>42967</v>
      </c>
      <c r="AA6092" s="33">
        <v>1575</v>
      </c>
    </row>
    <row r="6093" spans="1:31" ht="12" customHeight="1" x14ac:dyDescent="0.15">
      <c r="A6093" s="33" t="s">
        <v>8366</v>
      </c>
      <c r="B6093" s="33">
        <v>22</v>
      </c>
      <c r="C6093" s="33" t="s">
        <v>14</v>
      </c>
      <c r="D6093" s="33" t="s">
        <v>42</v>
      </c>
      <c r="F6093" s="67">
        <v>41801</v>
      </c>
      <c r="G6093" s="33" t="s">
        <v>8367</v>
      </c>
      <c r="H6093" s="33" t="s">
        <v>183</v>
      </c>
      <c r="I6093" s="33" t="s">
        <v>39</v>
      </c>
      <c r="J6093" s="33" t="s">
        <v>8368</v>
      </c>
      <c r="K6093" s="33" t="s">
        <v>183</v>
      </c>
      <c r="L6093" s="33" t="s">
        <v>184</v>
      </c>
      <c r="M6093" s="33" t="s">
        <v>21</v>
      </c>
      <c r="N6093" s="33" t="s">
        <v>8369</v>
      </c>
      <c r="O6093" s="33" t="s">
        <v>950</v>
      </c>
      <c r="P6093" s="33" t="s">
        <v>30089</v>
      </c>
      <c r="Q6093" s="40" t="s">
        <v>8370</v>
      </c>
      <c r="R6093" s="33" t="s">
        <v>904</v>
      </c>
      <c r="S6093" s="33" t="s">
        <v>22</v>
      </c>
      <c r="T6093" s="1" t="s">
        <v>26774</v>
      </c>
      <c r="Z6093" s="33" t="s">
        <v>42966</v>
      </c>
      <c r="AA6093" s="33">
        <v>1571</v>
      </c>
    </row>
    <row r="6094" spans="1:31" ht="12" customHeight="1" x14ac:dyDescent="0.15">
      <c r="A6094" s="33" t="s">
        <v>8377</v>
      </c>
      <c r="B6094" s="33">
        <v>37</v>
      </c>
      <c r="C6094" s="33" t="s">
        <v>14</v>
      </c>
      <c r="D6094" s="33" t="s">
        <v>31</v>
      </c>
      <c r="E6094" s="33" t="s">
        <v>8378</v>
      </c>
      <c r="F6094" s="67">
        <v>41801</v>
      </c>
      <c r="G6094" s="33" t="s">
        <v>8379</v>
      </c>
      <c r="H6094" s="33" t="s">
        <v>1194</v>
      </c>
      <c r="I6094" s="33" t="s">
        <v>250</v>
      </c>
      <c r="J6094" s="33" t="s">
        <v>8380</v>
      </c>
      <c r="K6094" s="33" t="s">
        <v>527</v>
      </c>
      <c r="L6094" s="33" t="s">
        <v>1387</v>
      </c>
      <c r="M6094" s="33" t="s">
        <v>21</v>
      </c>
      <c r="N6094" s="33" t="s">
        <v>8381</v>
      </c>
      <c r="O6094" s="33" t="s">
        <v>950</v>
      </c>
      <c r="P6094" s="33" t="s">
        <v>30089</v>
      </c>
      <c r="Q6094" s="40" t="s">
        <v>8382</v>
      </c>
      <c r="R6094" s="33" t="s">
        <v>23</v>
      </c>
      <c r="S6094" s="33" t="s">
        <v>22</v>
      </c>
      <c r="T6094" s="1" t="s">
        <v>26781</v>
      </c>
      <c r="Z6094" s="33" t="s">
        <v>42968</v>
      </c>
      <c r="AA6094" s="33">
        <v>1570</v>
      </c>
    </row>
    <row r="6095" spans="1:31" ht="12" customHeight="1" x14ac:dyDescent="0.15">
      <c r="A6095" s="33" t="s">
        <v>8371</v>
      </c>
      <c r="B6095" s="33">
        <v>55</v>
      </c>
      <c r="C6095" s="33" t="s">
        <v>14</v>
      </c>
      <c r="D6095" s="33" t="s">
        <v>24</v>
      </c>
      <c r="F6095" s="67">
        <v>41801</v>
      </c>
      <c r="G6095" s="33" t="s">
        <v>8372</v>
      </c>
      <c r="H6095" s="33" t="s">
        <v>8373</v>
      </c>
      <c r="I6095" s="33" t="s">
        <v>39</v>
      </c>
      <c r="J6095" s="33">
        <v>95490</v>
      </c>
      <c r="K6095" s="33" t="s">
        <v>5291</v>
      </c>
      <c r="L6095" s="33" t="s">
        <v>8374</v>
      </c>
      <c r="M6095" s="33" t="s">
        <v>11646</v>
      </c>
      <c r="N6095" s="33" t="s">
        <v>8375</v>
      </c>
      <c r="P6095" s="33" t="s">
        <v>30089</v>
      </c>
      <c r="Q6095" s="40" t="s">
        <v>8376</v>
      </c>
      <c r="R6095" s="33" t="s">
        <v>23</v>
      </c>
      <c r="S6095" s="33" t="s">
        <v>12</v>
      </c>
      <c r="T6095" s="54" t="s">
        <v>29705</v>
      </c>
      <c r="Z6095" s="33" t="s">
        <v>42967</v>
      </c>
      <c r="AA6095" s="33">
        <v>1572</v>
      </c>
    </row>
    <row r="6096" spans="1:31" ht="12" customHeight="1" x14ac:dyDescent="0.15">
      <c r="A6096" s="33" t="s">
        <v>8384</v>
      </c>
      <c r="B6096" s="33">
        <v>21</v>
      </c>
      <c r="C6096" s="33" t="s">
        <v>14</v>
      </c>
      <c r="D6096" s="33" t="s">
        <v>79</v>
      </c>
      <c r="E6096" s="33" t="s">
        <v>8385</v>
      </c>
      <c r="F6096" s="67">
        <v>41800</v>
      </c>
      <c r="G6096" s="33" t="s">
        <v>8386</v>
      </c>
      <c r="H6096" s="33" t="s">
        <v>3458</v>
      </c>
      <c r="I6096" s="33" t="s">
        <v>160</v>
      </c>
      <c r="J6096" s="33" t="s">
        <v>3459</v>
      </c>
      <c r="K6096" s="33" t="s">
        <v>1218</v>
      </c>
      <c r="L6096" s="33" t="s">
        <v>8387</v>
      </c>
      <c r="M6096" s="33" t="s">
        <v>21</v>
      </c>
      <c r="N6096" s="33" t="s">
        <v>8388</v>
      </c>
      <c r="O6096" s="33" t="s">
        <v>950</v>
      </c>
      <c r="P6096" s="33" t="s">
        <v>30089</v>
      </c>
      <c r="Q6096" s="40" t="s">
        <v>8389</v>
      </c>
      <c r="R6096" s="33" t="s">
        <v>94</v>
      </c>
      <c r="S6096" s="33" t="s">
        <v>29</v>
      </c>
      <c r="T6096" s="1" t="s">
        <v>41840</v>
      </c>
      <c r="Z6096" s="33" t="s">
        <v>42968</v>
      </c>
      <c r="AA6096" s="33">
        <v>1569</v>
      </c>
    </row>
    <row r="6097" spans="1:27" ht="12" customHeight="1" x14ac:dyDescent="0.15">
      <c r="A6097" s="33" t="s">
        <v>8395</v>
      </c>
      <c r="B6097" s="33">
        <v>25</v>
      </c>
      <c r="C6097" s="33" t="s">
        <v>14</v>
      </c>
      <c r="D6097" s="33" t="s">
        <v>31</v>
      </c>
      <c r="E6097" s="33" t="s">
        <v>8396</v>
      </c>
      <c r="F6097" s="67">
        <v>41800</v>
      </c>
      <c r="G6097" s="33" t="s">
        <v>8397</v>
      </c>
      <c r="H6097" s="33" t="s">
        <v>8398</v>
      </c>
      <c r="I6097" s="33" t="s">
        <v>402</v>
      </c>
      <c r="J6097" s="33" t="s">
        <v>8399</v>
      </c>
      <c r="K6097" s="33" t="s">
        <v>8400</v>
      </c>
      <c r="L6097" s="33" t="s">
        <v>8401</v>
      </c>
      <c r="M6097" s="33" t="s">
        <v>21</v>
      </c>
      <c r="N6097" s="33" t="s">
        <v>8402</v>
      </c>
      <c r="O6097" s="33" t="s">
        <v>507</v>
      </c>
      <c r="P6097" s="33" t="s">
        <v>30089</v>
      </c>
      <c r="Q6097" s="40" t="str">
        <f>HYPERLINK("http://www.ky3.com/news/local/deadly-offiverinvolved-shooting-kills-cassville-man-officer-injured/21048998_26424836","http://www.ky3.com/news/local/deadly-offiverinvolved-shooting-kills-cassville-man-officer-injured/21048998_26424836")</f>
        <v>http://www.ky3.com/news/local/deadly-offiverinvolved-shooting-kills-cassville-man-officer-injured/21048998_26424836</v>
      </c>
      <c r="R6097" s="33" t="s">
        <v>512</v>
      </c>
      <c r="S6097" s="33" t="s">
        <v>22</v>
      </c>
      <c r="T6097" s="1" t="s">
        <v>26579</v>
      </c>
      <c r="Z6097" s="33" t="s">
        <v>42967</v>
      </c>
      <c r="AA6097" s="33">
        <v>1568</v>
      </c>
    </row>
    <row r="6098" spans="1:27" ht="12" customHeight="1" x14ac:dyDescent="0.15">
      <c r="A6098" s="33" t="s">
        <v>8403</v>
      </c>
      <c r="B6098" s="33">
        <v>73</v>
      </c>
      <c r="C6098" s="33" t="s">
        <v>14</v>
      </c>
      <c r="D6098" s="33" t="s">
        <v>31</v>
      </c>
      <c r="F6098" s="67">
        <v>41800</v>
      </c>
      <c r="G6098" s="33" t="s">
        <v>8404</v>
      </c>
      <c r="H6098" s="33" t="s">
        <v>8405</v>
      </c>
      <c r="I6098" s="33" t="s">
        <v>106</v>
      </c>
      <c r="J6098" s="33" t="s">
        <v>8406</v>
      </c>
      <c r="K6098" s="33" t="s">
        <v>404</v>
      </c>
      <c r="L6098" s="33" t="s">
        <v>8407</v>
      </c>
      <c r="M6098" s="33" t="s">
        <v>21</v>
      </c>
      <c r="N6098" s="33" t="s">
        <v>8408</v>
      </c>
      <c r="O6098" s="33" t="s">
        <v>950</v>
      </c>
      <c r="P6098" s="33" t="s">
        <v>30089</v>
      </c>
      <c r="Q6098" s="40" t="s">
        <v>8409</v>
      </c>
      <c r="R6098" s="33" t="s">
        <v>94</v>
      </c>
      <c r="S6098" s="33" t="s">
        <v>22</v>
      </c>
      <c r="T6098" s="1" t="s">
        <v>26781</v>
      </c>
      <c r="Z6098" s="33" t="s">
        <v>42968</v>
      </c>
      <c r="AA6098" s="33">
        <v>1567</v>
      </c>
    </row>
    <row r="6099" spans="1:27" ht="12" customHeight="1" x14ac:dyDescent="0.15">
      <c r="A6099" s="33" t="s">
        <v>8390</v>
      </c>
      <c r="B6099" s="33">
        <v>31</v>
      </c>
      <c r="C6099" s="33" t="s">
        <v>14</v>
      </c>
      <c r="D6099" s="33" t="s">
        <v>42</v>
      </c>
      <c r="F6099" s="67">
        <v>41800</v>
      </c>
      <c r="G6099" s="33" t="s">
        <v>8391</v>
      </c>
      <c r="H6099" s="33" t="s">
        <v>3917</v>
      </c>
      <c r="I6099" s="33" t="s">
        <v>39</v>
      </c>
      <c r="J6099" s="33" t="s">
        <v>5586</v>
      </c>
      <c r="K6099" s="33" t="s">
        <v>288</v>
      </c>
      <c r="L6099" s="33" t="s">
        <v>8392</v>
      </c>
      <c r="M6099" s="33" t="s">
        <v>21</v>
      </c>
      <c r="N6099" s="33" t="s">
        <v>8393</v>
      </c>
      <c r="O6099" s="33" t="s">
        <v>950</v>
      </c>
      <c r="P6099" s="33" t="s">
        <v>30089</v>
      </c>
      <c r="Q6099" s="40" t="s">
        <v>8394</v>
      </c>
      <c r="R6099" s="33" t="s">
        <v>94</v>
      </c>
      <c r="S6099" s="33" t="s">
        <v>22</v>
      </c>
      <c r="T6099" s="1" t="s">
        <v>26781</v>
      </c>
      <c r="Z6099" s="33" t="s">
        <v>42968</v>
      </c>
      <c r="AA6099" s="33">
        <v>1566</v>
      </c>
    </row>
    <row r="6100" spans="1:27" ht="12" customHeight="1" x14ac:dyDescent="0.15">
      <c r="A6100" s="33" t="s">
        <v>8422</v>
      </c>
      <c r="B6100" s="33">
        <v>48</v>
      </c>
      <c r="C6100" s="33" t="s">
        <v>14</v>
      </c>
      <c r="D6100" s="33" t="s">
        <v>31</v>
      </c>
      <c r="E6100" s="33" t="s">
        <v>8423</v>
      </c>
      <c r="F6100" s="67">
        <v>41799</v>
      </c>
      <c r="G6100" s="33" t="s">
        <v>8424</v>
      </c>
      <c r="H6100" s="33" t="s">
        <v>8425</v>
      </c>
      <c r="I6100" s="33" t="s">
        <v>432</v>
      </c>
      <c r="J6100" s="33" t="s">
        <v>8426</v>
      </c>
      <c r="K6100" s="33" t="s">
        <v>8427</v>
      </c>
      <c r="L6100" s="33" t="s">
        <v>8428</v>
      </c>
      <c r="M6100" s="33" t="s">
        <v>21</v>
      </c>
      <c r="N6100" s="33" t="s">
        <v>8429</v>
      </c>
      <c r="O6100" s="33" t="s">
        <v>23</v>
      </c>
      <c r="P6100" s="33" t="s">
        <v>30089</v>
      </c>
      <c r="Q6100" s="40" t="s">
        <v>8430</v>
      </c>
      <c r="R6100" s="33" t="s">
        <v>23</v>
      </c>
      <c r="S6100" s="33" t="s">
        <v>351</v>
      </c>
      <c r="T6100" s="1" t="s">
        <v>42983</v>
      </c>
      <c r="Z6100" s="33" t="s">
        <v>42968</v>
      </c>
      <c r="AA6100" s="33">
        <v>1565</v>
      </c>
    </row>
    <row r="6101" spans="1:27" ht="12" customHeight="1" x14ac:dyDescent="0.15">
      <c r="A6101" s="33" t="s">
        <v>8417</v>
      </c>
      <c r="B6101" s="33">
        <v>43</v>
      </c>
      <c r="C6101" s="33" t="s">
        <v>14</v>
      </c>
      <c r="D6101" s="33" t="s">
        <v>31</v>
      </c>
      <c r="E6101" s="33" t="s">
        <v>8418</v>
      </c>
      <c r="F6101" s="67">
        <v>41799</v>
      </c>
      <c r="G6101" s="33" t="s">
        <v>8419</v>
      </c>
      <c r="H6101" s="33" t="s">
        <v>1027</v>
      </c>
      <c r="I6101" s="33" t="s">
        <v>367</v>
      </c>
      <c r="J6101" s="33" t="s">
        <v>5701</v>
      </c>
      <c r="K6101" s="33" t="s">
        <v>1028</v>
      </c>
      <c r="L6101" s="33" t="s">
        <v>1029</v>
      </c>
      <c r="M6101" s="33" t="s">
        <v>21</v>
      </c>
      <c r="N6101" s="33" t="s">
        <v>8420</v>
      </c>
      <c r="O6101" s="33" t="s">
        <v>950</v>
      </c>
      <c r="P6101" s="33" t="s">
        <v>30089</v>
      </c>
      <c r="Q6101" s="40" t="s">
        <v>8421</v>
      </c>
      <c r="R6101" s="33" t="s">
        <v>94</v>
      </c>
      <c r="S6101" s="33" t="s">
        <v>22</v>
      </c>
      <c r="T6101" s="1" t="s">
        <v>43000</v>
      </c>
      <c r="Z6101" s="33" t="s">
        <v>42966</v>
      </c>
      <c r="AA6101" s="33">
        <v>1562</v>
      </c>
    </row>
    <row r="6102" spans="1:27" ht="12" customHeight="1" x14ac:dyDescent="0.15">
      <c r="A6102" s="33" t="s">
        <v>8410</v>
      </c>
      <c r="B6102" s="33">
        <v>48</v>
      </c>
      <c r="C6102" s="33" t="s">
        <v>14</v>
      </c>
      <c r="D6102" s="33" t="s">
        <v>79</v>
      </c>
      <c r="E6102" s="33" t="s">
        <v>8411</v>
      </c>
      <c r="F6102" s="67">
        <v>41799</v>
      </c>
      <c r="G6102" s="33" t="s">
        <v>8412</v>
      </c>
      <c r="H6102" s="33" t="s">
        <v>657</v>
      </c>
      <c r="I6102" s="33" t="s">
        <v>88</v>
      </c>
      <c r="J6102" s="33" t="s">
        <v>8413</v>
      </c>
      <c r="K6102" s="33" t="s">
        <v>657</v>
      </c>
      <c r="L6102" s="33" t="s">
        <v>8414</v>
      </c>
      <c r="M6102" s="33" t="s">
        <v>21</v>
      </c>
      <c r="N6102" s="33" t="s">
        <v>8415</v>
      </c>
      <c r="O6102" s="33" t="s">
        <v>950</v>
      </c>
      <c r="P6102" s="33" t="s">
        <v>30089</v>
      </c>
      <c r="Q6102" s="40" t="s">
        <v>8416</v>
      </c>
      <c r="R6102" s="33" t="s">
        <v>94</v>
      </c>
      <c r="S6102" s="33" t="s">
        <v>22</v>
      </c>
      <c r="T6102" s="1" t="s">
        <v>26781</v>
      </c>
      <c r="Z6102" s="33" t="s">
        <v>42968</v>
      </c>
      <c r="AA6102" s="33">
        <v>1563</v>
      </c>
    </row>
    <row r="6103" spans="1:27" ht="12" customHeight="1" x14ac:dyDescent="0.15">
      <c r="A6103" s="33" t="s">
        <v>8431</v>
      </c>
      <c r="B6103" s="33">
        <v>24</v>
      </c>
      <c r="C6103" s="33" t="s">
        <v>14</v>
      </c>
      <c r="D6103" s="33" t="s">
        <v>31</v>
      </c>
      <c r="E6103" s="33" t="s">
        <v>8432</v>
      </c>
      <c r="F6103" s="67">
        <v>41799</v>
      </c>
      <c r="G6103" s="33" t="s">
        <v>8433</v>
      </c>
      <c r="H6103" s="33" t="s">
        <v>8434</v>
      </c>
      <c r="I6103" s="33" t="s">
        <v>178</v>
      </c>
      <c r="J6103" s="33" t="s">
        <v>8435</v>
      </c>
      <c r="K6103" s="33" t="s">
        <v>8436</v>
      </c>
      <c r="L6103" s="33" t="s">
        <v>8437</v>
      </c>
      <c r="M6103" s="33" t="s">
        <v>21</v>
      </c>
      <c r="N6103" s="33" t="s">
        <v>8438</v>
      </c>
      <c r="O6103" s="33" t="s">
        <v>4311</v>
      </c>
      <c r="P6103" s="33" t="s">
        <v>30089</v>
      </c>
      <c r="Q6103" s="40" t="s">
        <v>8439</v>
      </c>
      <c r="R6103" s="33" t="s">
        <v>94</v>
      </c>
      <c r="S6103" s="33" t="s">
        <v>12</v>
      </c>
      <c r="T6103" s="54" t="s">
        <v>29705</v>
      </c>
      <c r="Z6103" s="33" t="s">
        <v>42968</v>
      </c>
      <c r="AA6103" s="33">
        <v>1564</v>
      </c>
    </row>
    <row r="6104" spans="1:27" ht="12" customHeight="1" x14ac:dyDescent="0.15">
      <c r="A6104" s="33" t="s">
        <v>8448</v>
      </c>
      <c r="B6104" s="33">
        <v>16</v>
      </c>
      <c r="C6104" s="33" t="s">
        <v>14</v>
      </c>
      <c r="D6104" s="33" t="s">
        <v>42</v>
      </c>
      <c r="E6104" s="33" t="s">
        <v>8449</v>
      </c>
      <c r="F6104" s="67">
        <v>41798</v>
      </c>
      <c r="G6104" s="33" t="s">
        <v>8450</v>
      </c>
      <c r="H6104" s="33" t="s">
        <v>5958</v>
      </c>
      <c r="I6104" s="33" t="s">
        <v>178</v>
      </c>
      <c r="J6104" s="33" t="s">
        <v>8451</v>
      </c>
      <c r="K6104" s="33" t="s">
        <v>5959</v>
      </c>
      <c r="L6104" s="33" t="s">
        <v>8452</v>
      </c>
      <c r="M6104" s="33" t="s">
        <v>21</v>
      </c>
      <c r="N6104" s="33" t="s">
        <v>8453</v>
      </c>
      <c r="O6104" s="33" t="s">
        <v>507</v>
      </c>
      <c r="P6104" s="33" t="s">
        <v>30089</v>
      </c>
      <c r="Q6104" s="40" t="s">
        <v>8454</v>
      </c>
      <c r="R6104" s="33" t="s">
        <v>512</v>
      </c>
      <c r="S6104" s="33" t="s">
        <v>12</v>
      </c>
      <c r="T6104" s="33" t="s">
        <v>29425</v>
      </c>
      <c r="Z6104" s="33" t="s">
        <v>42968</v>
      </c>
      <c r="AA6104" s="33">
        <v>1560</v>
      </c>
    </row>
    <row r="6105" spans="1:27" ht="12" customHeight="1" x14ac:dyDescent="0.15">
      <c r="A6105" s="33" t="s">
        <v>8455</v>
      </c>
      <c r="B6105" s="33">
        <v>31</v>
      </c>
      <c r="C6105" s="33" t="s">
        <v>14</v>
      </c>
      <c r="D6105" s="33" t="s">
        <v>31</v>
      </c>
      <c r="E6105" s="33" t="s">
        <v>8456</v>
      </c>
      <c r="F6105" s="67">
        <v>41798</v>
      </c>
      <c r="G6105" s="33" t="s">
        <v>8457</v>
      </c>
      <c r="H6105" s="33" t="s">
        <v>607</v>
      </c>
      <c r="I6105" s="33" t="s">
        <v>250</v>
      </c>
      <c r="J6105" s="33" t="s">
        <v>8458</v>
      </c>
      <c r="K6105" s="33" t="s">
        <v>527</v>
      </c>
      <c r="L6105" s="33" t="s">
        <v>528</v>
      </c>
      <c r="M6105" s="33" t="s">
        <v>21</v>
      </c>
      <c r="N6105" s="33" t="s">
        <v>8459</v>
      </c>
      <c r="O6105" s="33" t="s">
        <v>507</v>
      </c>
      <c r="P6105" s="33" t="s">
        <v>30089</v>
      </c>
      <c r="Q6105" s="40" t="str">
        <f>HYPERLINK("http://www.nbcnews.com/storyline/vegas-cop-killers/police-fatally-shot-las-vegas-gunman-jerad-miller-during-gunfight-n128546","http://www.nbcnews.com/storyline/vegas-cop-killers/police-fatally-shot-las-vegas-gunman-jerad-miller-during-gunfight-n128546")</f>
        <v>http://www.nbcnews.com/storyline/vegas-cop-killers/police-fatally-shot-las-vegas-gunman-jerad-miller-during-gunfight-n128546</v>
      </c>
      <c r="R6105" s="33" t="s">
        <v>94</v>
      </c>
      <c r="S6105" s="33" t="s">
        <v>22</v>
      </c>
      <c r="T6105" s="1" t="s">
        <v>26781</v>
      </c>
      <c r="Z6105" s="33" t="s">
        <v>42968</v>
      </c>
      <c r="AA6105" s="33">
        <v>1559</v>
      </c>
    </row>
    <row r="6106" spans="1:27" ht="12" customHeight="1" x14ac:dyDescent="0.15">
      <c r="A6106" s="33" t="s">
        <v>8440</v>
      </c>
      <c r="B6106" s="33">
        <v>29</v>
      </c>
      <c r="C6106" s="33" t="s">
        <v>14</v>
      </c>
      <c r="D6106" s="33" t="s">
        <v>79</v>
      </c>
      <c r="E6106" s="33" t="s">
        <v>8441</v>
      </c>
      <c r="F6106" s="67">
        <v>41798</v>
      </c>
      <c r="G6106" s="33" t="s">
        <v>8442</v>
      </c>
      <c r="H6106" s="33" t="s">
        <v>8443</v>
      </c>
      <c r="I6106" s="33" t="s">
        <v>621</v>
      </c>
      <c r="J6106" s="33" t="s">
        <v>8444</v>
      </c>
      <c r="K6106" s="33" t="s">
        <v>404</v>
      </c>
      <c r="L6106" s="33" t="s">
        <v>8445</v>
      </c>
      <c r="M6106" s="33" t="s">
        <v>21</v>
      </c>
      <c r="N6106" s="33" t="s">
        <v>8446</v>
      </c>
      <c r="O6106" s="33" t="s">
        <v>950</v>
      </c>
      <c r="P6106" s="33" t="s">
        <v>30089</v>
      </c>
      <c r="Q6106" s="40" t="s">
        <v>8447</v>
      </c>
      <c r="R6106" s="33" t="s">
        <v>23</v>
      </c>
      <c r="S6106" s="33" t="s">
        <v>12</v>
      </c>
      <c r="T6106" s="54" t="s">
        <v>29705</v>
      </c>
      <c r="Z6106" s="33" t="s">
        <v>42968</v>
      </c>
      <c r="AA6106" s="33">
        <v>1561</v>
      </c>
    </row>
    <row r="6107" spans="1:27" ht="12" customHeight="1" x14ac:dyDescent="0.15">
      <c r="A6107" s="33" t="s">
        <v>8471</v>
      </c>
      <c r="B6107" s="33">
        <v>34</v>
      </c>
      <c r="C6107" s="33" t="s">
        <v>14</v>
      </c>
      <c r="D6107" s="33" t="s">
        <v>31</v>
      </c>
      <c r="F6107" s="67">
        <v>41797</v>
      </c>
      <c r="G6107" s="33" t="s">
        <v>8472</v>
      </c>
      <c r="H6107" s="33" t="s">
        <v>750</v>
      </c>
      <c r="I6107" s="33" t="s">
        <v>112</v>
      </c>
      <c r="J6107" s="33" t="s">
        <v>8473</v>
      </c>
      <c r="K6107" s="33" t="s">
        <v>585</v>
      </c>
      <c r="L6107" s="33" t="s">
        <v>751</v>
      </c>
      <c r="M6107" s="33" t="s">
        <v>363</v>
      </c>
      <c r="N6107" s="33" t="s">
        <v>8474</v>
      </c>
      <c r="O6107" s="33" t="s">
        <v>950</v>
      </c>
      <c r="P6107" s="33" t="s">
        <v>30089</v>
      </c>
      <c r="Q6107" s="40" t="s">
        <v>8475</v>
      </c>
      <c r="R6107" s="33" t="s">
        <v>904</v>
      </c>
      <c r="S6107" s="33" t="s">
        <v>12</v>
      </c>
      <c r="T6107" s="54" t="s">
        <v>29705</v>
      </c>
      <c r="Z6107" s="33" t="s">
        <v>42966</v>
      </c>
      <c r="AA6107" s="33">
        <v>1558</v>
      </c>
    </row>
    <row r="6108" spans="1:27" ht="12" customHeight="1" x14ac:dyDescent="0.15">
      <c r="A6108" s="33" t="s">
        <v>8460</v>
      </c>
      <c r="B6108" s="33">
        <v>31</v>
      </c>
      <c r="C6108" s="33" t="s">
        <v>14</v>
      </c>
      <c r="D6108" s="33" t="s">
        <v>79</v>
      </c>
      <c r="E6108" s="33" t="s">
        <v>8461</v>
      </c>
      <c r="F6108" s="67">
        <v>41797</v>
      </c>
      <c r="G6108" s="33" t="s">
        <v>8462</v>
      </c>
      <c r="H6108" s="33" t="s">
        <v>8463</v>
      </c>
      <c r="I6108" s="33" t="s">
        <v>298</v>
      </c>
      <c r="J6108" s="33" t="s">
        <v>8464</v>
      </c>
      <c r="K6108" s="33" t="s">
        <v>2476</v>
      </c>
      <c r="L6108" s="33" t="s">
        <v>7149</v>
      </c>
      <c r="M6108" s="33" t="s">
        <v>21</v>
      </c>
      <c r="N6108" s="33" t="s">
        <v>8465</v>
      </c>
      <c r="O6108" s="33" t="s">
        <v>950</v>
      </c>
      <c r="P6108" s="33" t="s">
        <v>30089</v>
      </c>
      <c r="Q6108" s="40" t="str">
        <f>HYPERLINK("http://www.local8now.com/home/headlines/KPD-officer-shot-in-East-KNoxville-262228291.html","http://www.local8now.com/home/headlines/KPD-officer-shot-in-East-KNoxville-262228291.html")</f>
        <v>http://www.local8now.com/home/headlines/KPD-officer-shot-in-East-KNoxville-262228291.html</v>
      </c>
      <c r="R6108" s="33" t="s">
        <v>94</v>
      </c>
      <c r="S6108" s="33" t="s">
        <v>22</v>
      </c>
      <c r="T6108" s="1" t="s">
        <v>26781</v>
      </c>
      <c r="Z6108" s="33" t="s">
        <v>42968</v>
      </c>
      <c r="AA6108" s="33">
        <v>1556</v>
      </c>
    </row>
    <row r="6109" spans="1:27" ht="12" customHeight="1" x14ac:dyDescent="0.15">
      <c r="A6109" s="33" t="s">
        <v>8466</v>
      </c>
      <c r="B6109" s="33">
        <v>38</v>
      </c>
      <c r="C6109" s="33" t="s">
        <v>103</v>
      </c>
      <c r="D6109" s="33" t="s">
        <v>24</v>
      </c>
      <c r="F6109" s="67">
        <v>41797</v>
      </c>
      <c r="G6109" s="33" t="s">
        <v>8467</v>
      </c>
      <c r="H6109" s="33" t="s">
        <v>8468</v>
      </c>
      <c r="I6109" s="33" t="s">
        <v>46</v>
      </c>
      <c r="J6109" s="33">
        <v>21061</v>
      </c>
      <c r="K6109" s="33" t="s">
        <v>2937</v>
      </c>
      <c r="L6109" s="33" t="s">
        <v>8469</v>
      </c>
      <c r="M6109" s="33" t="s">
        <v>21</v>
      </c>
      <c r="N6109" s="33" t="s">
        <v>8470</v>
      </c>
      <c r="P6109" s="33" t="s">
        <v>30089</v>
      </c>
      <c r="Q6109" s="40" t="str">
        <f>HYPERLINK("http://www.wbaltv.com/news/police-investigate-mta-officerinvolved-shooting-at-cromwell-light-rail-station/26384134#!V4xVM","http://www.wbaltv.com/news/police-investigate-mta-officerinvolved-shooting-at-cromwell-light-rail-station/26384134#!V4xVM")</f>
        <v>http://www.wbaltv.com/news/police-investigate-mta-officerinvolved-shooting-at-cromwell-light-rail-station/26384134#!V4xVM</v>
      </c>
      <c r="R6109" s="33" t="s">
        <v>23</v>
      </c>
      <c r="S6109" s="33" t="s">
        <v>12</v>
      </c>
      <c r="T6109" s="54" t="s">
        <v>29705</v>
      </c>
      <c r="Z6109" s="33" t="s">
        <v>42968</v>
      </c>
      <c r="AA6109" s="33">
        <v>1557</v>
      </c>
    </row>
    <row r="6110" spans="1:27" ht="12" customHeight="1" x14ac:dyDescent="0.15">
      <c r="A6110" s="33" t="s">
        <v>8476</v>
      </c>
      <c r="B6110" s="33">
        <v>35</v>
      </c>
      <c r="C6110" s="33" t="s">
        <v>14</v>
      </c>
      <c r="D6110" s="33" t="s">
        <v>79</v>
      </c>
      <c r="E6110" s="33" t="s">
        <v>8477</v>
      </c>
      <c r="F6110" s="67">
        <v>41796</v>
      </c>
      <c r="G6110" s="33" t="s">
        <v>22173</v>
      </c>
      <c r="H6110" s="33" t="s">
        <v>3060</v>
      </c>
      <c r="I6110" s="33" t="s">
        <v>225</v>
      </c>
      <c r="J6110" s="33" t="s">
        <v>8478</v>
      </c>
      <c r="K6110" s="33" t="s">
        <v>3060</v>
      </c>
      <c r="L6110" s="33" t="s">
        <v>4650</v>
      </c>
      <c r="M6110" s="33" t="s">
        <v>21</v>
      </c>
      <c r="N6110" s="33" t="s">
        <v>36826</v>
      </c>
      <c r="O6110" s="33" t="s">
        <v>26751</v>
      </c>
      <c r="P6110" s="33" t="s">
        <v>18576</v>
      </c>
      <c r="Q6110" s="40" t="s">
        <v>8479</v>
      </c>
      <c r="R6110" s="33" t="s">
        <v>512</v>
      </c>
      <c r="S6110" s="33" t="s">
        <v>22</v>
      </c>
      <c r="T6110" s="1" t="s">
        <v>26774</v>
      </c>
      <c r="Z6110" s="33" t="s">
        <v>42968</v>
      </c>
      <c r="AA6110" s="33">
        <v>1554</v>
      </c>
    </row>
    <row r="6111" spans="1:27" ht="12" customHeight="1" x14ac:dyDescent="0.15">
      <c r="A6111" s="33" t="s">
        <v>8501</v>
      </c>
      <c r="B6111" s="103">
        <v>28</v>
      </c>
      <c r="C6111" s="33" t="s">
        <v>14</v>
      </c>
      <c r="D6111" s="33" t="s">
        <v>31</v>
      </c>
      <c r="E6111" s="33" t="s">
        <v>8502</v>
      </c>
      <c r="F6111" s="67">
        <v>41796</v>
      </c>
      <c r="G6111" s="33" t="s">
        <v>8503</v>
      </c>
      <c r="H6111" s="33" t="s">
        <v>8504</v>
      </c>
      <c r="I6111" s="33" t="s">
        <v>735</v>
      </c>
      <c r="J6111" s="33" t="s">
        <v>8505</v>
      </c>
      <c r="K6111" s="33" t="s">
        <v>8506</v>
      </c>
      <c r="L6111" s="33" t="s">
        <v>8507</v>
      </c>
      <c r="M6111" s="33" t="s">
        <v>21</v>
      </c>
      <c r="N6111" s="33" t="s">
        <v>8508</v>
      </c>
      <c r="O6111" s="33" t="s">
        <v>23</v>
      </c>
      <c r="P6111" s="33" t="s">
        <v>30089</v>
      </c>
      <c r="Q6111" s="40" t="s">
        <v>8509</v>
      </c>
      <c r="R6111" s="33" t="s">
        <v>94</v>
      </c>
      <c r="S6111" s="33" t="s">
        <v>22</v>
      </c>
      <c r="T6111" s="1" t="s">
        <v>26781</v>
      </c>
      <c r="Z6111" s="33" t="s">
        <v>42966</v>
      </c>
      <c r="AA6111" s="33">
        <v>1551</v>
      </c>
    </row>
    <row r="6112" spans="1:27" ht="12" customHeight="1" x14ac:dyDescent="0.15">
      <c r="A6112" s="33" t="s">
        <v>8487</v>
      </c>
      <c r="B6112" s="33">
        <v>50</v>
      </c>
      <c r="C6112" s="33" t="s">
        <v>14</v>
      </c>
      <c r="D6112" s="33" t="s">
        <v>31</v>
      </c>
      <c r="F6112" s="67">
        <v>41796</v>
      </c>
      <c r="G6112" s="33" t="s">
        <v>8488</v>
      </c>
      <c r="H6112" s="33" t="s">
        <v>3508</v>
      </c>
      <c r="I6112" s="33" t="s">
        <v>192</v>
      </c>
      <c r="J6112" s="33" t="s">
        <v>8489</v>
      </c>
      <c r="K6112" s="33" t="s">
        <v>3510</v>
      </c>
      <c r="L6112" s="33" t="s">
        <v>3511</v>
      </c>
      <c r="M6112" s="33" t="s">
        <v>21</v>
      </c>
      <c r="N6112" s="33" t="s">
        <v>8490</v>
      </c>
      <c r="O6112" s="33" t="s">
        <v>372</v>
      </c>
      <c r="P6112" s="33" t="s">
        <v>30089</v>
      </c>
      <c r="Q6112" s="40" t="s">
        <v>8491</v>
      </c>
      <c r="R6112" s="33" t="s">
        <v>512</v>
      </c>
      <c r="S6112" s="33" t="s">
        <v>22</v>
      </c>
      <c r="T6112" s="33" t="s">
        <v>26781</v>
      </c>
      <c r="Z6112" s="33" t="s">
        <v>42968</v>
      </c>
      <c r="AA6112" s="33">
        <v>1552</v>
      </c>
    </row>
    <row r="6113" spans="1:27" ht="12" customHeight="1" x14ac:dyDescent="0.15">
      <c r="A6113" s="33" t="s">
        <v>8480</v>
      </c>
      <c r="B6113" s="33">
        <v>25</v>
      </c>
      <c r="C6113" s="33" t="s">
        <v>14</v>
      </c>
      <c r="D6113" s="33" t="s">
        <v>31</v>
      </c>
      <c r="E6113" s="33" t="s">
        <v>8481</v>
      </c>
      <c r="F6113" s="67">
        <v>41796</v>
      </c>
      <c r="G6113" s="33" t="s">
        <v>8482</v>
      </c>
      <c r="H6113" s="33" t="s">
        <v>5063</v>
      </c>
      <c r="I6113" s="33" t="s">
        <v>376</v>
      </c>
      <c r="J6113" s="33" t="s">
        <v>8483</v>
      </c>
      <c r="K6113" s="33" t="s">
        <v>5063</v>
      </c>
      <c r="L6113" s="33" t="s">
        <v>8484</v>
      </c>
      <c r="M6113" s="33" t="s">
        <v>21</v>
      </c>
      <c r="N6113" s="33" t="s">
        <v>8485</v>
      </c>
      <c r="O6113" s="33" t="s">
        <v>507</v>
      </c>
      <c r="P6113" s="33" t="s">
        <v>30089</v>
      </c>
      <c r="Q6113" s="40" t="s">
        <v>8486</v>
      </c>
      <c r="R6113" s="33" t="s">
        <v>23</v>
      </c>
      <c r="S6113" s="33" t="s">
        <v>12</v>
      </c>
      <c r="T6113" s="33" t="s">
        <v>29425</v>
      </c>
      <c r="Y6113" s="33" t="s">
        <v>42476</v>
      </c>
      <c r="Z6113" s="33" t="s">
        <v>42967</v>
      </c>
      <c r="AA6113" s="33">
        <v>1555</v>
      </c>
    </row>
    <row r="6114" spans="1:27" ht="12" customHeight="1" x14ac:dyDescent="0.15">
      <c r="A6114" s="33" t="s">
        <v>8492</v>
      </c>
      <c r="B6114" s="33">
        <v>48</v>
      </c>
      <c r="C6114" s="33" t="s">
        <v>14</v>
      </c>
      <c r="D6114" s="33" t="s">
        <v>31</v>
      </c>
      <c r="E6114" s="33" t="s">
        <v>8493</v>
      </c>
      <c r="F6114" s="67">
        <v>41796</v>
      </c>
      <c r="G6114" s="33" t="s">
        <v>8494</v>
      </c>
      <c r="H6114" s="33" t="s">
        <v>8495</v>
      </c>
      <c r="I6114" s="33" t="s">
        <v>160</v>
      </c>
      <c r="J6114" s="33" t="s">
        <v>8496</v>
      </c>
      <c r="K6114" s="33" t="s">
        <v>8497</v>
      </c>
      <c r="L6114" s="33" t="s">
        <v>8498</v>
      </c>
      <c r="M6114" s="33" t="s">
        <v>21</v>
      </c>
      <c r="N6114" s="33" t="s">
        <v>8499</v>
      </c>
      <c r="O6114" s="33" t="s">
        <v>507</v>
      </c>
      <c r="P6114" s="33" t="s">
        <v>30089</v>
      </c>
      <c r="Q6114" s="40" t="s">
        <v>8500</v>
      </c>
      <c r="R6114" s="33" t="s">
        <v>94</v>
      </c>
      <c r="S6114" s="33" t="s">
        <v>22</v>
      </c>
      <c r="T6114" s="1" t="s">
        <v>43010</v>
      </c>
      <c r="Z6114" s="33" t="s">
        <v>42968</v>
      </c>
      <c r="AA6114" s="33">
        <v>1553</v>
      </c>
    </row>
    <row r="6115" spans="1:27" ht="12" customHeight="1" x14ac:dyDescent="0.15">
      <c r="A6115" s="33" t="s">
        <v>8510</v>
      </c>
      <c r="B6115" s="33">
        <v>26</v>
      </c>
      <c r="C6115" s="33" t="s">
        <v>14</v>
      </c>
      <c r="D6115" s="33" t="s">
        <v>79</v>
      </c>
      <c r="E6115" s="33" t="s">
        <v>8511</v>
      </c>
      <c r="F6115" s="67">
        <v>41795</v>
      </c>
      <c r="G6115" s="33" t="s">
        <v>8512</v>
      </c>
      <c r="H6115" s="33" t="s">
        <v>4344</v>
      </c>
      <c r="I6115" s="33" t="s">
        <v>56</v>
      </c>
      <c r="J6115" s="33" t="s">
        <v>4345</v>
      </c>
      <c r="K6115" s="33" t="s">
        <v>1052</v>
      </c>
      <c r="L6115" s="33" t="s">
        <v>4045</v>
      </c>
      <c r="M6115" s="33" t="s">
        <v>21</v>
      </c>
      <c r="N6115" s="33" t="s">
        <v>8513</v>
      </c>
      <c r="O6115" s="33" t="s">
        <v>372</v>
      </c>
      <c r="P6115" s="33" t="s">
        <v>30089</v>
      </c>
      <c r="Q6115" s="40" t="s">
        <v>8514</v>
      </c>
      <c r="R6115" s="33" t="s">
        <v>94</v>
      </c>
      <c r="S6115" s="33" t="s">
        <v>22</v>
      </c>
      <c r="T6115" s="1" t="s">
        <v>26781</v>
      </c>
      <c r="Z6115" s="33" t="s">
        <v>42966</v>
      </c>
      <c r="AA6115" s="33">
        <v>1549</v>
      </c>
    </row>
    <row r="6116" spans="1:27" ht="12" customHeight="1" x14ac:dyDescent="0.15">
      <c r="A6116" s="33" t="s">
        <v>8515</v>
      </c>
      <c r="B6116" s="33">
        <v>53</v>
      </c>
      <c r="C6116" s="33" t="s">
        <v>14</v>
      </c>
      <c r="D6116" s="33" t="s">
        <v>31</v>
      </c>
      <c r="E6116" s="33" t="s">
        <v>8516</v>
      </c>
      <c r="F6116" s="67">
        <v>41795</v>
      </c>
      <c r="G6116" s="33" t="s">
        <v>8517</v>
      </c>
      <c r="H6116" s="33" t="s">
        <v>716</v>
      </c>
      <c r="I6116" s="33" t="s">
        <v>39</v>
      </c>
      <c r="J6116" s="33" t="s">
        <v>8518</v>
      </c>
      <c r="K6116" s="33" t="s">
        <v>561</v>
      </c>
      <c r="L6116" s="33" t="s">
        <v>717</v>
      </c>
      <c r="M6116" s="33" t="s">
        <v>21</v>
      </c>
      <c r="N6116" s="33" t="s">
        <v>8519</v>
      </c>
      <c r="O6116" s="33" t="s">
        <v>950</v>
      </c>
      <c r="P6116" s="33" t="s">
        <v>30089</v>
      </c>
      <c r="Q6116" s="40" t="s">
        <v>8520</v>
      </c>
      <c r="R6116" s="33" t="s">
        <v>94</v>
      </c>
      <c r="S6116" s="33" t="s">
        <v>12</v>
      </c>
      <c r="T6116" s="33" t="s">
        <v>29425</v>
      </c>
      <c r="Z6116" s="33" t="s">
        <v>42968</v>
      </c>
      <c r="AA6116" s="33">
        <v>1550</v>
      </c>
    </row>
    <row r="6117" spans="1:27" ht="12" customHeight="1" x14ac:dyDescent="0.15">
      <c r="A6117" s="33" t="s">
        <v>8524</v>
      </c>
      <c r="B6117" s="33">
        <v>72</v>
      </c>
      <c r="C6117" s="33" t="s">
        <v>14</v>
      </c>
      <c r="D6117" s="33" t="s">
        <v>79</v>
      </c>
      <c r="F6117" s="67">
        <v>41794</v>
      </c>
      <c r="G6117" s="33" t="s">
        <v>8525</v>
      </c>
      <c r="H6117" s="33" t="s">
        <v>3060</v>
      </c>
      <c r="I6117" s="33" t="s">
        <v>225</v>
      </c>
      <c r="J6117" s="33" t="s">
        <v>8526</v>
      </c>
      <c r="K6117" s="33" t="s">
        <v>3060</v>
      </c>
      <c r="L6117" s="33" t="s">
        <v>4650</v>
      </c>
      <c r="M6117" s="33" t="s">
        <v>21</v>
      </c>
      <c r="N6117" s="33" t="s">
        <v>8527</v>
      </c>
      <c r="O6117" s="33" t="s">
        <v>507</v>
      </c>
      <c r="P6117" s="33" t="s">
        <v>30089</v>
      </c>
      <c r="Q6117" s="40" t="s">
        <v>8528</v>
      </c>
      <c r="R6117" s="33" t="s">
        <v>512</v>
      </c>
      <c r="S6117" s="33" t="s">
        <v>22</v>
      </c>
      <c r="T6117" s="1" t="s">
        <v>26774</v>
      </c>
      <c r="Z6117" s="33" t="s">
        <v>42966</v>
      </c>
      <c r="AA6117" s="33">
        <v>1547</v>
      </c>
    </row>
    <row r="6118" spans="1:27" ht="12" customHeight="1" x14ac:dyDescent="0.15">
      <c r="A6118" s="33" t="s">
        <v>8539</v>
      </c>
      <c r="B6118" s="33">
        <v>35</v>
      </c>
      <c r="C6118" s="33" t="s">
        <v>14</v>
      </c>
      <c r="D6118" s="33" t="s">
        <v>31</v>
      </c>
      <c r="E6118" s="33" t="s">
        <v>8540</v>
      </c>
      <c r="F6118" s="67">
        <v>41794</v>
      </c>
      <c r="G6118" s="33" t="s">
        <v>8541</v>
      </c>
      <c r="H6118" s="33" t="s">
        <v>131</v>
      </c>
      <c r="I6118" s="33" t="s">
        <v>132</v>
      </c>
      <c r="J6118" s="33" t="s">
        <v>8542</v>
      </c>
      <c r="K6118" s="33" t="s">
        <v>133</v>
      </c>
      <c r="L6118" s="33" t="s">
        <v>134</v>
      </c>
      <c r="M6118" s="33" t="s">
        <v>21</v>
      </c>
      <c r="N6118" s="33" t="s">
        <v>8543</v>
      </c>
      <c r="O6118" s="33" t="s">
        <v>950</v>
      </c>
      <c r="P6118" s="33" t="s">
        <v>30089</v>
      </c>
      <c r="Q6118" s="40" t="str">
        <f>HYPERLINK("http://rapidcityjournal.com/news/local/police-rapid-city-man-shot-and-killed-by-officer-had/article_262374b9-bd2f-569a-9635-2170734ac0d0.html","http://rapidcityjournal.com/news/local/police-rapid-city-man-shot-and-killed-by-officer-had/article_262374b9-bd2f-569a-9635-2170734ac0d0.html")</f>
        <v>http://rapidcityjournal.com/news/local/police-rapid-city-man-shot-and-killed-by-officer-had/article_262374b9-bd2f-569a-9635-2170734ac0d0.html</v>
      </c>
      <c r="R6118" s="33" t="s">
        <v>512</v>
      </c>
      <c r="S6118" s="33" t="s">
        <v>22</v>
      </c>
      <c r="T6118" s="1" t="s">
        <v>26781</v>
      </c>
      <c r="Z6118" s="33" t="s">
        <v>42968</v>
      </c>
      <c r="AA6118" s="33">
        <v>1545</v>
      </c>
    </row>
    <row r="6119" spans="1:27" ht="12" customHeight="1" x14ac:dyDescent="0.15">
      <c r="A6119" s="33" t="s">
        <v>8529</v>
      </c>
      <c r="B6119" s="103">
        <v>28</v>
      </c>
      <c r="C6119" s="33" t="s">
        <v>14</v>
      </c>
      <c r="D6119" s="33" t="s">
        <v>79</v>
      </c>
      <c r="E6119" s="33" t="s">
        <v>8530</v>
      </c>
      <c r="F6119" s="67">
        <v>41794</v>
      </c>
      <c r="G6119" s="33" t="s">
        <v>8531</v>
      </c>
      <c r="H6119" s="33" t="s">
        <v>603</v>
      </c>
      <c r="I6119" s="33" t="s">
        <v>56</v>
      </c>
      <c r="J6119" s="33" t="s">
        <v>5337</v>
      </c>
      <c r="K6119" s="33" t="s">
        <v>604</v>
      </c>
      <c r="L6119" s="33" t="s">
        <v>605</v>
      </c>
      <c r="M6119" s="33" t="s">
        <v>21</v>
      </c>
      <c r="N6119" s="33" t="s">
        <v>8532</v>
      </c>
      <c r="O6119" s="33" t="s">
        <v>507</v>
      </c>
      <c r="P6119" s="33" t="s">
        <v>30089</v>
      </c>
      <c r="Q6119" s="40" t="str">
        <f>HYPERLINK("http://www.firstcoastnews.com/story/news/local/2014/06/04/westside-jso-officer-involved-shooting/9985499/","http://www.firstcoastnews.com/story/news/local/2014/06/04/westside-jso-officer-involved-shooting/9985499/")</f>
        <v>http://www.firstcoastnews.com/story/news/local/2014/06/04/westside-jso-officer-involved-shooting/9985499/</v>
      </c>
      <c r="R6119" s="33" t="s">
        <v>94</v>
      </c>
      <c r="S6119" s="33" t="s">
        <v>22</v>
      </c>
      <c r="T6119" s="1" t="s">
        <v>26781</v>
      </c>
      <c r="Z6119" s="33" t="s">
        <v>42968</v>
      </c>
      <c r="AA6119" s="33">
        <v>1544</v>
      </c>
    </row>
    <row r="6120" spans="1:27" ht="12" customHeight="1" x14ac:dyDescent="0.15">
      <c r="A6120" s="33" t="s">
        <v>8544</v>
      </c>
      <c r="B6120" s="33">
        <v>56</v>
      </c>
      <c r="C6120" s="33" t="s">
        <v>14</v>
      </c>
      <c r="D6120" s="33" t="s">
        <v>31</v>
      </c>
      <c r="F6120" s="67">
        <v>41794</v>
      </c>
      <c r="G6120" s="33" t="s">
        <v>8545</v>
      </c>
      <c r="H6120" s="33" t="s">
        <v>8546</v>
      </c>
      <c r="I6120" s="33" t="s">
        <v>337</v>
      </c>
      <c r="J6120" s="33" t="s">
        <v>8547</v>
      </c>
      <c r="K6120" s="33" t="s">
        <v>8546</v>
      </c>
      <c r="L6120" s="33" t="s">
        <v>8548</v>
      </c>
      <c r="M6120" s="33" t="s">
        <v>21</v>
      </c>
      <c r="N6120" s="33" t="s">
        <v>19048</v>
      </c>
      <c r="O6120" s="33" t="s">
        <v>950</v>
      </c>
      <c r="P6120" s="33" t="s">
        <v>30089</v>
      </c>
      <c r="Q6120" s="40" t="s">
        <v>19047</v>
      </c>
      <c r="R6120" s="33" t="s">
        <v>23</v>
      </c>
      <c r="S6120" s="1" t="s">
        <v>12</v>
      </c>
      <c r="T6120" s="33" t="s">
        <v>43031</v>
      </c>
      <c r="Z6120" s="33" t="s">
        <v>42967</v>
      </c>
      <c r="AA6120" s="33">
        <v>1548</v>
      </c>
    </row>
    <row r="6121" spans="1:27" ht="12" customHeight="1" x14ac:dyDescent="0.15">
      <c r="A6121" s="33" t="s">
        <v>8533</v>
      </c>
      <c r="B6121" s="33">
        <v>35</v>
      </c>
      <c r="C6121" s="33" t="s">
        <v>14</v>
      </c>
      <c r="D6121" s="33" t="s">
        <v>31</v>
      </c>
      <c r="E6121" s="33" t="s">
        <v>8534</v>
      </c>
      <c r="F6121" s="67">
        <v>41794</v>
      </c>
      <c r="G6121" s="33" t="s">
        <v>8535</v>
      </c>
      <c r="H6121" s="33" t="s">
        <v>8536</v>
      </c>
      <c r="I6121" s="33" t="s">
        <v>221</v>
      </c>
      <c r="J6121" s="33" t="s">
        <v>6687</v>
      </c>
      <c r="K6121" s="33" t="s">
        <v>1356</v>
      </c>
      <c r="L6121" s="33" t="s">
        <v>8537</v>
      </c>
      <c r="M6121" s="33" t="s">
        <v>21</v>
      </c>
      <c r="N6121" s="33" t="s">
        <v>8538</v>
      </c>
      <c r="O6121" s="33" t="s">
        <v>372</v>
      </c>
      <c r="P6121" s="33" t="s">
        <v>30089</v>
      </c>
      <c r="Q6121" s="40" t="s">
        <v>4830</v>
      </c>
      <c r="R6121" s="33" t="s">
        <v>94</v>
      </c>
      <c r="S6121" s="33" t="s">
        <v>22</v>
      </c>
      <c r="T6121" s="1" t="s">
        <v>26781</v>
      </c>
      <c r="Z6121" s="33" t="s">
        <v>42968</v>
      </c>
      <c r="AA6121" s="33">
        <v>1546</v>
      </c>
    </row>
    <row r="6122" spans="1:27" ht="12" customHeight="1" x14ac:dyDescent="0.15">
      <c r="A6122" s="33" t="s">
        <v>8549</v>
      </c>
      <c r="B6122" s="103">
        <v>18</v>
      </c>
      <c r="C6122" s="33" t="s">
        <v>103</v>
      </c>
      <c r="D6122" s="33" t="s">
        <v>42</v>
      </c>
      <c r="E6122" s="33" t="s">
        <v>8550</v>
      </c>
      <c r="F6122" s="67">
        <v>41793</v>
      </c>
      <c r="G6122" s="33" t="s">
        <v>8551</v>
      </c>
      <c r="H6122" s="33" t="s">
        <v>8552</v>
      </c>
      <c r="I6122" s="33" t="s">
        <v>39</v>
      </c>
      <c r="J6122" s="33" t="s">
        <v>8553</v>
      </c>
      <c r="K6122" s="33" t="s">
        <v>4269</v>
      </c>
      <c r="L6122" s="33" t="s">
        <v>17186</v>
      </c>
      <c r="M6122" s="33" t="s">
        <v>21</v>
      </c>
      <c r="N6122" s="33" t="s">
        <v>8554</v>
      </c>
      <c r="O6122" s="33" t="s">
        <v>23</v>
      </c>
      <c r="P6122" s="33" t="s">
        <v>30089</v>
      </c>
      <c r="Q6122" s="40" t="s">
        <v>8555</v>
      </c>
      <c r="R6122" s="33" t="s">
        <v>512</v>
      </c>
      <c r="S6122" s="33" t="s">
        <v>22</v>
      </c>
      <c r="T6122" s="1" t="s">
        <v>26774</v>
      </c>
      <c r="Z6122" s="33" t="s">
        <v>42968</v>
      </c>
      <c r="AA6122" s="33">
        <v>1543</v>
      </c>
    </row>
    <row r="6123" spans="1:27" ht="12" customHeight="1" x14ac:dyDescent="0.15">
      <c r="A6123" s="33" t="s">
        <v>8556</v>
      </c>
      <c r="B6123" s="33">
        <v>34</v>
      </c>
      <c r="C6123" s="33" t="s">
        <v>14</v>
      </c>
      <c r="D6123" s="33" t="s">
        <v>79</v>
      </c>
      <c r="E6123" s="33" t="s">
        <v>8557</v>
      </c>
      <c r="F6123" s="67">
        <v>41792</v>
      </c>
      <c r="G6123" s="33" t="s">
        <v>8558</v>
      </c>
      <c r="H6123" s="33" t="s">
        <v>375</v>
      </c>
      <c r="I6123" s="33" t="s">
        <v>376</v>
      </c>
      <c r="J6123" s="33" t="s">
        <v>1822</v>
      </c>
      <c r="K6123" s="33" t="s">
        <v>850</v>
      </c>
      <c r="L6123" s="33" t="s">
        <v>1823</v>
      </c>
      <c r="M6123" s="33" t="s">
        <v>21</v>
      </c>
      <c r="N6123" s="33" t="s">
        <v>8559</v>
      </c>
      <c r="O6123" s="33" t="s">
        <v>950</v>
      </c>
      <c r="P6123" s="33" t="s">
        <v>30089</v>
      </c>
      <c r="Q6123" s="40" t="str">
        <f>HYPERLINK("http://6abc.com/news/officer-released-from-hospital-suspect-dead-in-chester/89060/","http://6abc.com/news/officer-released-from-hospital-suspect-dead-in-chester/89060/")</f>
        <v>http://6abc.com/news/officer-released-from-hospital-suspect-dead-in-chester/89060/</v>
      </c>
      <c r="R6123" s="33" t="s">
        <v>94</v>
      </c>
      <c r="S6123" s="33" t="s">
        <v>22</v>
      </c>
      <c r="T6123" s="1" t="s">
        <v>26781</v>
      </c>
      <c r="Z6123" s="33" t="s">
        <v>42968</v>
      </c>
      <c r="AA6123" s="33">
        <v>1540</v>
      </c>
    </row>
    <row r="6124" spans="1:27" ht="12" customHeight="1" x14ac:dyDescent="0.15">
      <c r="A6124" s="33" t="s">
        <v>8565</v>
      </c>
      <c r="B6124" s="33">
        <v>21</v>
      </c>
      <c r="C6124" s="33" t="s">
        <v>14</v>
      </c>
      <c r="D6124" s="33" t="s">
        <v>31</v>
      </c>
      <c r="E6124" s="33" t="s">
        <v>8566</v>
      </c>
      <c r="F6124" s="67">
        <v>41792</v>
      </c>
      <c r="G6124" s="33" t="s">
        <v>8567</v>
      </c>
      <c r="H6124" s="33" t="s">
        <v>8568</v>
      </c>
      <c r="I6124" s="33" t="s">
        <v>338</v>
      </c>
      <c r="J6124" s="33" t="s">
        <v>8569</v>
      </c>
      <c r="K6124" s="33" t="s">
        <v>8570</v>
      </c>
      <c r="L6124" s="33" t="s">
        <v>8571</v>
      </c>
      <c r="M6124" s="33" t="s">
        <v>21</v>
      </c>
      <c r="N6124" s="33" t="s">
        <v>8572</v>
      </c>
      <c r="O6124" s="33" t="s">
        <v>950</v>
      </c>
      <c r="P6124" s="33" t="s">
        <v>30089</v>
      </c>
      <c r="Q6124" s="40" t="str">
        <f>HYPERLINK("http://www.hickoryrecord.com/news/hickory-police-man-killed-in-officer-involved-shooting/article_701d15ba-ea50-11e3-ad29-001a4bcf6878.html","http://www.hickoryrecord.com/news/hickory-police-man-killed-in-officer-involved-shooting/article_701d15ba-ea50-11e3-ad29-001a4bcf6878.html")</f>
        <v>http://www.hickoryrecord.com/news/hickory-police-man-killed-in-officer-involved-shooting/article_701d15ba-ea50-11e3-ad29-001a4bcf6878.html</v>
      </c>
      <c r="R6124" s="33" t="s">
        <v>94</v>
      </c>
      <c r="S6124" s="33" t="s">
        <v>22</v>
      </c>
      <c r="T6124" s="1" t="s">
        <v>26781</v>
      </c>
      <c r="Z6124" s="33" t="s">
        <v>42966</v>
      </c>
      <c r="AA6124" s="33">
        <v>1541</v>
      </c>
    </row>
    <row r="6125" spans="1:27" ht="12" customHeight="1" x14ac:dyDescent="0.15">
      <c r="A6125" s="33" t="s">
        <v>8560</v>
      </c>
      <c r="B6125" s="33">
        <v>52</v>
      </c>
      <c r="C6125" s="33" t="s">
        <v>103</v>
      </c>
      <c r="D6125" s="33" t="s">
        <v>31</v>
      </c>
      <c r="F6125" s="67">
        <v>41792</v>
      </c>
      <c r="G6125" s="33" t="s">
        <v>8561</v>
      </c>
      <c r="H6125" s="33" t="s">
        <v>1665</v>
      </c>
      <c r="I6125" s="33" t="s">
        <v>26</v>
      </c>
      <c r="J6125" s="33" t="s">
        <v>8562</v>
      </c>
      <c r="K6125" s="33" t="s">
        <v>1665</v>
      </c>
      <c r="L6125" s="33" t="s">
        <v>1666</v>
      </c>
      <c r="M6125" s="33" t="s">
        <v>21</v>
      </c>
      <c r="N6125" s="33" t="s">
        <v>8563</v>
      </c>
      <c r="O6125" s="33" t="s">
        <v>950</v>
      </c>
      <c r="P6125" s="33" t="s">
        <v>30089</v>
      </c>
      <c r="Q6125" s="40" t="s">
        <v>8564</v>
      </c>
      <c r="R6125" s="33" t="s">
        <v>512</v>
      </c>
      <c r="S6125" s="33" t="s">
        <v>22</v>
      </c>
      <c r="T6125" s="1" t="s">
        <v>26781</v>
      </c>
      <c r="Z6125" s="33" t="s">
        <v>42967</v>
      </c>
      <c r="AA6125" s="33">
        <v>1539</v>
      </c>
    </row>
    <row r="6126" spans="1:27" ht="12" customHeight="1" x14ac:dyDescent="0.15">
      <c r="A6126" s="33" t="s">
        <v>8573</v>
      </c>
      <c r="B6126" s="33">
        <v>22</v>
      </c>
      <c r="C6126" s="33" t="s">
        <v>14</v>
      </c>
      <c r="D6126" s="33" t="s">
        <v>31</v>
      </c>
      <c r="E6126" s="33" t="s">
        <v>8574</v>
      </c>
      <c r="F6126" s="67">
        <v>41792</v>
      </c>
      <c r="G6126" s="33" t="s">
        <v>8575</v>
      </c>
      <c r="H6126" s="33" t="s">
        <v>8576</v>
      </c>
      <c r="I6126" s="33" t="s">
        <v>26</v>
      </c>
      <c r="J6126" s="33" t="s">
        <v>8577</v>
      </c>
      <c r="K6126" s="33" t="s">
        <v>27</v>
      </c>
      <c r="L6126" s="33" t="s">
        <v>28</v>
      </c>
      <c r="M6126" s="33" t="s">
        <v>21</v>
      </c>
      <c r="N6126" s="33" t="s">
        <v>8578</v>
      </c>
      <c r="O6126" s="33" t="s">
        <v>950</v>
      </c>
      <c r="P6126" s="33" t="s">
        <v>30089</v>
      </c>
      <c r="Q6126" s="40" t="str">
        <f>HYPERLINK("http://www.wyff4.com/news/dispatchers-deputyinvolved-shooting-under-investigation-at-gas-station/26282954#!TFnpq","http://www.wyff4.com/news/dispatchers-deputyinvolved-shooting-under-investigation-at-gas-station/26282954#!TFnpq")</f>
        <v>http://www.wyff4.com/news/dispatchers-deputyinvolved-shooting-under-investigation-at-gas-station/26282954#!TFnpq</v>
      </c>
      <c r="R6126" s="33" t="s">
        <v>23</v>
      </c>
      <c r="S6126" s="33" t="s">
        <v>12</v>
      </c>
      <c r="T6126" s="54" t="s">
        <v>29705</v>
      </c>
      <c r="Z6126" s="33" t="s">
        <v>42968</v>
      </c>
      <c r="AA6126" s="33">
        <v>1542</v>
      </c>
    </row>
    <row r="6127" spans="1:27" ht="12" customHeight="1" x14ac:dyDescent="0.15">
      <c r="A6127" s="33" t="s">
        <v>8579</v>
      </c>
      <c r="B6127" s="33">
        <v>52</v>
      </c>
      <c r="C6127" s="33" t="s">
        <v>14</v>
      </c>
      <c r="D6127" s="33" t="s">
        <v>24</v>
      </c>
      <c r="F6127" s="67">
        <v>41791</v>
      </c>
      <c r="G6127" s="33" t="s">
        <v>8580</v>
      </c>
      <c r="H6127" s="33" t="s">
        <v>4913</v>
      </c>
      <c r="I6127" s="33" t="s">
        <v>337</v>
      </c>
      <c r="J6127" s="33" t="s">
        <v>8581</v>
      </c>
      <c r="K6127" s="33" t="s">
        <v>995</v>
      </c>
      <c r="L6127" s="33" t="s">
        <v>43035</v>
      </c>
      <c r="M6127" s="33" t="s">
        <v>21</v>
      </c>
      <c r="N6127" s="33" t="s">
        <v>8582</v>
      </c>
      <c r="O6127" s="33" t="s">
        <v>950</v>
      </c>
      <c r="P6127" s="33" t="s">
        <v>30089</v>
      </c>
      <c r="Q6127" s="40" t="s">
        <v>8583</v>
      </c>
      <c r="R6127" s="33" t="s">
        <v>23</v>
      </c>
      <c r="S6127" s="33" t="s">
        <v>22</v>
      </c>
      <c r="T6127" s="1" t="s">
        <v>26781</v>
      </c>
      <c r="Z6127" s="33" t="s">
        <v>42967</v>
      </c>
      <c r="AA6127" s="33">
        <v>1538</v>
      </c>
    </row>
    <row r="6128" spans="1:27" ht="12" customHeight="1" x14ac:dyDescent="0.15">
      <c r="A6128" s="33" t="s">
        <v>8608</v>
      </c>
      <c r="B6128" s="33">
        <v>64</v>
      </c>
      <c r="C6128" s="33" t="s">
        <v>14</v>
      </c>
      <c r="D6128" s="33" t="s">
        <v>31</v>
      </c>
      <c r="E6128" s="33" t="s">
        <v>8609</v>
      </c>
      <c r="F6128" s="67">
        <v>41790</v>
      </c>
      <c r="G6128" s="33" t="s">
        <v>8610</v>
      </c>
      <c r="H6128" s="33" t="s">
        <v>2159</v>
      </c>
      <c r="I6128" s="33" t="s">
        <v>432</v>
      </c>
      <c r="J6128" s="33" t="s">
        <v>8611</v>
      </c>
      <c r="K6128" s="33" t="s">
        <v>1397</v>
      </c>
      <c r="L6128" s="33" t="s">
        <v>8612</v>
      </c>
      <c r="M6128" s="33" t="s">
        <v>21</v>
      </c>
      <c r="N6128" s="33" t="s">
        <v>8613</v>
      </c>
      <c r="O6128" s="33" t="s">
        <v>507</v>
      </c>
      <c r="P6128" s="33" t="s">
        <v>30089</v>
      </c>
      <c r="Q6128" s="40" t="s">
        <v>8614</v>
      </c>
      <c r="R6128" s="33" t="s">
        <v>23</v>
      </c>
      <c r="S6128" s="33" t="s">
        <v>22</v>
      </c>
      <c r="T6128" s="1" t="s">
        <v>26781</v>
      </c>
      <c r="Z6128" s="33" t="s">
        <v>42968</v>
      </c>
      <c r="AA6128" s="33">
        <v>1535</v>
      </c>
    </row>
    <row r="6129" spans="1:27" ht="12" customHeight="1" x14ac:dyDescent="0.15">
      <c r="A6129" s="33" t="s">
        <v>8600</v>
      </c>
      <c r="B6129" s="33">
        <v>44</v>
      </c>
      <c r="C6129" s="33" t="s">
        <v>14</v>
      </c>
      <c r="D6129" s="33" t="s">
        <v>79</v>
      </c>
      <c r="E6129" s="33" t="s">
        <v>8601</v>
      </c>
      <c r="F6129" s="67">
        <v>41790</v>
      </c>
      <c r="G6129" s="33" t="s">
        <v>8602</v>
      </c>
      <c r="H6129" s="33" t="s">
        <v>8603</v>
      </c>
      <c r="I6129" s="33" t="s">
        <v>75</v>
      </c>
      <c r="J6129" s="33" t="s">
        <v>8604</v>
      </c>
      <c r="K6129" s="33" t="s">
        <v>8605</v>
      </c>
      <c r="L6129" s="33" t="s">
        <v>8606</v>
      </c>
      <c r="M6129" s="33" t="s">
        <v>21</v>
      </c>
      <c r="N6129" s="33" t="s">
        <v>8607</v>
      </c>
      <c r="O6129" s="33" t="s">
        <v>507</v>
      </c>
      <c r="P6129" s="33" t="s">
        <v>30089</v>
      </c>
      <c r="Q6129" s="40" t="str">
        <f>HYPERLINK("http://patersontimes.com/2014/05/31/armed-city-man-killed-by-city-detective-on-montgomery-street/","http://patersontimes.com/2014/05/31/armed-city-man-killed-by-city-detective-on-montgomery-street/")</f>
        <v>http://patersontimes.com/2014/05/31/armed-city-man-killed-by-city-detective-on-montgomery-street/</v>
      </c>
      <c r="R6129" s="33" t="s">
        <v>94</v>
      </c>
      <c r="S6129" s="33" t="s">
        <v>22</v>
      </c>
      <c r="T6129" s="1" t="s">
        <v>26781</v>
      </c>
      <c r="Z6129" s="33" t="s">
        <v>42966</v>
      </c>
      <c r="AA6129" s="33">
        <v>1534</v>
      </c>
    </row>
    <row r="6130" spans="1:27" ht="12" customHeight="1" x14ac:dyDescent="0.15">
      <c r="A6130" s="33" t="s">
        <v>8592</v>
      </c>
      <c r="B6130" s="33">
        <v>22</v>
      </c>
      <c r="C6130" s="33" t="s">
        <v>14</v>
      </c>
      <c r="D6130" s="33" t="s">
        <v>79</v>
      </c>
      <c r="E6130" s="33" t="s">
        <v>8593</v>
      </c>
      <c r="F6130" s="67">
        <v>41790</v>
      </c>
      <c r="G6130" s="33" t="s">
        <v>8594</v>
      </c>
      <c r="H6130" s="33" t="s">
        <v>8595</v>
      </c>
      <c r="I6130" s="33" t="s">
        <v>337</v>
      </c>
      <c r="J6130" s="33" t="s">
        <v>8596</v>
      </c>
      <c r="K6130" s="33" t="s">
        <v>8597</v>
      </c>
      <c r="L6130" s="33" t="s">
        <v>8598</v>
      </c>
      <c r="M6130" s="33" t="s">
        <v>21</v>
      </c>
      <c r="N6130" s="33" t="s">
        <v>8599</v>
      </c>
      <c r="O6130" s="33" t="s">
        <v>23</v>
      </c>
      <c r="P6130" s="33" t="s">
        <v>30089</v>
      </c>
      <c r="Q6130" s="40" t="str">
        <f>HYPERLINK("http://www.kake.com/home/headlines/Officer-involved-shooting-reported-south-of-Dexter-in-Cowley-County-261401221.html","http://www.kake.com/home/headlines/Officer-involved-shooting-reported-south-of-Dexter-in-Cowley-County-261401221.html")</f>
        <v>http://www.kake.com/home/headlines/Officer-involved-shooting-reported-south-of-Dexter-in-Cowley-County-261401221.html</v>
      </c>
      <c r="R6130" s="33" t="s">
        <v>94</v>
      </c>
      <c r="S6130" s="33" t="s">
        <v>351</v>
      </c>
      <c r="T6130" s="1" t="s">
        <v>26867</v>
      </c>
      <c r="Z6130" s="33" t="s">
        <v>42967</v>
      </c>
      <c r="AA6130" s="33">
        <v>1537</v>
      </c>
    </row>
    <row r="6131" spans="1:27" ht="12" customHeight="1" x14ac:dyDescent="0.15">
      <c r="A6131" s="33" t="s">
        <v>8584</v>
      </c>
      <c r="B6131" s="33">
        <v>33</v>
      </c>
      <c r="C6131" s="33" t="s">
        <v>14</v>
      </c>
      <c r="D6131" s="33" t="s">
        <v>79</v>
      </c>
      <c r="E6131" s="33" t="s">
        <v>8585</v>
      </c>
      <c r="F6131" s="67">
        <v>41790</v>
      </c>
      <c r="G6131" s="33" t="s">
        <v>8586</v>
      </c>
      <c r="H6131" s="33" t="s">
        <v>8587</v>
      </c>
      <c r="I6131" s="33" t="s">
        <v>338</v>
      </c>
      <c r="J6131" s="33" t="s">
        <v>8588</v>
      </c>
      <c r="K6131" s="33" t="s">
        <v>8589</v>
      </c>
      <c r="L6131" s="33" t="s">
        <v>42467</v>
      </c>
      <c r="M6131" s="33" t="s">
        <v>21</v>
      </c>
      <c r="N6131" s="33" t="s">
        <v>8590</v>
      </c>
      <c r="O6131" s="33" t="s">
        <v>950</v>
      </c>
      <c r="P6131" s="33" t="s">
        <v>30089</v>
      </c>
      <c r="Q6131" s="40" t="s">
        <v>8591</v>
      </c>
      <c r="R6131" s="33" t="s">
        <v>94</v>
      </c>
      <c r="S6131" s="33" t="s">
        <v>29</v>
      </c>
      <c r="T6131" s="33" t="s">
        <v>41840</v>
      </c>
      <c r="Z6131" s="33" t="s">
        <v>42967</v>
      </c>
      <c r="AA6131" s="33">
        <v>1536</v>
      </c>
    </row>
    <row r="6132" spans="1:27" ht="12" customHeight="1" x14ac:dyDescent="0.15">
      <c r="A6132" s="33" t="s">
        <v>8647</v>
      </c>
      <c r="B6132" s="33">
        <v>49</v>
      </c>
      <c r="C6132" s="33" t="s">
        <v>14</v>
      </c>
      <c r="D6132" s="33" t="s">
        <v>31</v>
      </c>
      <c r="E6132" s="33" t="s">
        <v>8648</v>
      </c>
      <c r="F6132" s="67">
        <v>41789</v>
      </c>
      <c r="G6132" s="33" t="s">
        <v>8649</v>
      </c>
      <c r="H6132" s="33" t="s">
        <v>8650</v>
      </c>
      <c r="I6132" s="33" t="s">
        <v>39</v>
      </c>
      <c r="J6132" s="33" t="s">
        <v>8651</v>
      </c>
      <c r="K6132" s="33" t="s">
        <v>1332</v>
      </c>
      <c r="L6132" s="33" t="s">
        <v>32423</v>
      </c>
      <c r="M6132" s="33" t="s">
        <v>21</v>
      </c>
      <c r="N6132" s="33" t="s">
        <v>8652</v>
      </c>
      <c r="O6132" s="33" t="s">
        <v>950</v>
      </c>
      <c r="P6132" s="33" t="s">
        <v>30089</v>
      </c>
      <c r="Q6132" s="40" t="s">
        <v>8653</v>
      </c>
      <c r="R6132" s="33" t="s">
        <v>23</v>
      </c>
      <c r="S6132" s="33" t="s">
        <v>22</v>
      </c>
      <c r="T6132" s="1" t="s">
        <v>26781</v>
      </c>
      <c r="Z6132" s="33" t="s">
        <v>42968</v>
      </c>
      <c r="AA6132" s="33">
        <v>1528</v>
      </c>
    </row>
    <row r="6133" spans="1:27" ht="12" customHeight="1" x14ac:dyDescent="0.15">
      <c r="A6133" s="33" t="s">
        <v>8654</v>
      </c>
      <c r="B6133" s="33">
        <v>29</v>
      </c>
      <c r="C6133" s="33" t="s">
        <v>14</v>
      </c>
      <c r="D6133" s="33" t="s">
        <v>31</v>
      </c>
      <c r="E6133" s="33" t="s">
        <v>8655</v>
      </c>
      <c r="F6133" s="67">
        <v>41789</v>
      </c>
      <c r="G6133" s="33" t="s">
        <v>8656</v>
      </c>
      <c r="H6133" s="33" t="s">
        <v>3060</v>
      </c>
      <c r="I6133" s="33" t="s">
        <v>225</v>
      </c>
      <c r="J6133" s="33" t="s">
        <v>8657</v>
      </c>
      <c r="K6133" s="33" t="s">
        <v>3060</v>
      </c>
      <c r="L6133" s="33" t="s">
        <v>4650</v>
      </c>
      <c r="M6133" s="33" t="s">
        <v>21</v>
      </c>
      <c r="N6133" s="33" t="s">
        <v>8658</v>
      </c>
      <c r="O6133" s="33" t="s">
        <v>950</v>
      </c>
      <c r="P6133" s="33" t="s">
        <v>30089</v>
      </c>
      <c r="Q6133" s="40" t="s">
        <v>8659</v>
      </c>
      <c r="R6133" s="33" t="s">
        <v>23</v>
      </c>
      <c r="S6133" s="33" t="s">
        <v>22</v>
      </c>
      <c r="T6133" s="1" t="s">
        <v>26781</v>
      </c>
      <c r="Z6133" s="33" t="s">
        <v>42968</v>
      </c>
      <c r="AA6133" s="33">
        <v>1530</v>
      </c>
    </row>
    <row r="6134" spans="1:27" ht="12" customHeight="1" x14ac:dyDescent="0.15">
      <c r="A6134" s="33" t="s">
        <v>8631</v>
      </c>
      <c r="B6134" s="33">
        <v>26</v>
      </c>
      <c r="C6134" s="33" t="s">
        <v>14</v>
      </c>
      <c r="D6134" s="33" t="s">
        <v>42</v>
      </c>
      <c r="F6134" s="67">
        <v>41789</v>
      </c>
      <c r="G6134" s="33" t="s">
        <v>8632</v>
      </c>
      <c r="H6134" s="33" t="s">
        <v>1779</v>
      </c>
      <c r="I6134" s="33" t="s">
        <v>39</v>
      </c>
      <c r="J6134" s="33" t="s">
        <v>8633</v>
      </c>
      <c r="K6134" s="33" t="s">
        <v>7123</v>
      </c>
      <c r="L6134" s="33" t="s">
        <v>1781</v>
      </c>
      <c r="M6134" s="33" t="s">
        <v>21</v>
      </c>
      <c r="N6134" s="33" t="s">
        <v>8634</v>
      </c>
      <c r="O6134" s="33" t="s">
        <v>372</v>
      </c>
      <c r="P6134" s="33" t="s">
        <v>30089</v>
      </c>
      <c r="Q6134" s="40" t="s">
        <v>8635</v>
      </c>
      <c r="R6134" s="33" t="s">
        <v>94</v>
      </c>
      <c r="S6134" s="33" t="s">
        <v>22</v>
      </c>
      <c r="T6134" s="1" t="s">
        <v>26774</v>
      </c>
      <c r="Z6134" s="33" t="s">
        <v>42968</v>
      </c>
      <c r="AA6134" s="33">
        <v>1531</v>
      </c>
    </row>
    <row r="6135" spans="1:27" ht="12" customHeight="1" x14ac:dyDescent="0.15">
      <c r="A6135" s="33" t="s">
        <v>8642</v>
      </c>
      <c r="B6135" s="33">
        <v>31</v>
      </c>
      <c r="C6135" s="33" t="s">
        <v>14</v>
      </c>
      <c r="D6135" s="33" t="s">
        <v>31</v>
      </c>
      <c r="E6135" s="33" t="s">
        <v>8643</v>
      </c>
      <c r="F6135" s="67">
        <v>41789</v>
      </c>
      <c r="G6135" s="33" t="s">
        <v>5794</v>
      </c>
      <c r="H6135" s="33" t="s">
        <v>607</v>
      </c>
      <c r="I6135" s="33" t="s">
        <v>250</v>
      </c>
      <c r="J6135" s="33" t="s">
        <v>8644</v>
      </c>
      <c r="K6135" s="33" t="s">
        <v>527</v>
      </c>
      <c r="L6135" s="33" t="s">
        <v>528</v>
      </c>
      <c r="M6135" s="33" t="s">
        <v>21</v>
      </c>
      <c r="N6135" s="33" t="s">
        <v>8645</v>
      </c>
      <c r="O6135" s="33" t="s">
        <v>950</v>
      </c>
      <c r="P6135" s="33" t="s">
        <v>30089</v>
      </c>
      <c r="Q6135" s="40" t="s">
        <v>8646</v>
      </c>
      <c r="R6135" s="33" t="s">
        <v>94</v>
      </c>
      <c r="S6135" s="33" t="s">
        <v>22</v>
      </c>
      <c r="T6135" s="1" t="s">
        <v>26781</v>
      </c>
      <c r="Z6135" s="33" t="s">
        <v>42966</v>
      </c>
      <c r="AA6135" s="33">
        <v>1529</v>
      </c>
    </row>
    <row r="6136" spans="1:27" ht="12" customHeight="1" x14ac:dyDescent="0.15">
      <c r="A6136" s="33" t="s">
        <v>8624</v>
      </c>
      <c r="B6136" s="33">
        <v>31</v>
      </c>
      <c r="C6136" s="33" t="s">
        <v>14</v>
      </c>
      <c r="D6136" s="33" t="s">
        <v>42</v>
      </c>
      <c r="E6136" s="33" t="s">
        <v>8625</v>
      </c>
      <c r="F6136" s="67">
        <v>41789</v>
      </c>
      <c r="G6136" s="33" t="s">
        <v>8626</v>
      </c>
      <c r="H6136" s="33" t="s">
        <v>8627</v>
      </c>
      <c r="I6136" s="33" t="s">
        <v>112</v>
      </c>
      <c r="J6136" s="33" t="s">
        <v>8628</v>
      </c>
      <c r="K6136" s="33" t="s">
        <v>519</v>
      </c>
      <c r="L6136" s="33" t="s">
        <v>4359</v>
      </c>
      <c r="M6136" s="33" t="s">
        <v>21</v>
      </c>
      <c r="N6136" s="33" t="s">
        <v>8629</v>
      </c>
      <c r="O6136" s="33" t="s">
        <v>950</v>
      </c>
      <c r="P6136" s="33" t="s">
        <v>30089</v>
      </c>
      <c r="Q6136" s="40" t="s">
        <v>8630</v>
      </c>
      <c r="R6136" s="33" t="s">
        <v>94</v>
      </c>
      <c r="S6136" s="33" t="s">
        <v>12</v>
      </c>
      <c r="T6136" s="54" t="s">
        <v>29705</v>
      </c>
      <c r="Z6136" s="33" t="s">
        <v>42968</v>
      </c>
      <c r="AA6136" s="33">
        <v>1533</v>
      </c>
    </row>
    <row r="6137" spans="1:27" ht="12" customHeight="1" x14ac:dyDescent="0.15">
      <c r="A6137" s="33" t="s">
        <v>8615</v>
      </c>
      <c r="B6137" s="33">
        <v>20</v>
      </c>
      <c r="C6137" s="33" t="s">
        <v>14</v>
      </c>
      <c r="D6137" s="33" t="s">
        <v>79</v>
      </c>
      <c r="F6137" s="67">
        <v>41789</v>
      </c>
      <c r="G6137" s="33" t="s">
        <v>8616</v>
      </c>
      <c r="H6137" s="33" t="s">
        <v>5997</v>
      </c>
      <c r="I6137" s="33" t="s">
        <v>46</v>
      </c>
      <c r="J6137" s="33" t="s">
        <v>5998</v>
      </c>
      <c r="K6137" s="33" t="s">
        <v>2210</v>
      </c>
      <c r="L6137" s="33" t="s">
        <v>705</v>
      </c>
      <c r="M6137" s="33" t="s">
        <v>21</v>
      </c>
      <c r="N6137" s="33" t="s">
        <v>8617</v>
      </c>
      <c r="O6137" s="33" t="s">
        <v>950</v>
      </c>
      <c r="P6137" s="33" t="s">
        <v>30089</v>
      </c>
      <c r="Q6137" s="40" t="s">
        <v>8618</v>
      </c>
      <c r="R6137" s="33" t="s">
        <v>94</v>
      </c>
      <c r="S6137" s="33" t="s">
        <v>12</v>
      </c>
      <c r="T6137" s="33" t="s">
        <v>29425</v>
      </c>
      <c r="Z6137" s="33" t="s">
        <v>42968</v>
      </c>
      <c r="AA6137" s="33">
        <v>1532</v>
      </c>
    </row>
    <row r="6138" spans="1:27" ht="12" customHeight="1" x14ac:dyDescent="0.15">
      <c r="A6138" s="33" t="s">
        <v>8636</v>
      </c>
      <c r="B6138" s="33">
        <v>61</v>
      </c>
      <c r="C6138" s="33" t="s">
        <v>14</v>
      </c>
      <c r="D6138" s="33" t="s">
        <v>24</v>
      </c>
      <c r="F6138" s="67">
        <v>41789</v>
      </c>
      <c r="G6138" s="33" t="s">
        <v>8637</v>
      </c>
      <c r="H6138" s="33" t="s">
        <v>8638</v>
      </c>
      <c r="I6138" s="33" t="s">
        <v>294</v>
      </c>
      <c r="J6138" s="33" t="s">
        <v>8639</v>
      </c>
      <c r="K6138" s="33" t="s">
        <v>2319</v>
      </c>
      <c r="L6138" s="33" t="s">
        <v>3101</v>
      </c>
      <c r="M6138" s="33" t="s">
        <v>21</v>
      </c>
      <c r="N6138" s="33" t="s">
        <v>8640</v>
      </c>
      <c r="O6138" s="33" t="s">
        <v>950</v>
      </c>
      <c r="P6138" s="33" t="s">
        <v>30089</v>
      </c>
      <c r="Q6138" s="40" t="s">
        <v>8641</v>
      </c>
      <c r="R6138" s="33" t="s">
        <v>23</v>
      </c>
      <c r="S6138" s="33" t="s">
        <v>22</v>
      </c>
      <c r="T6138" s="1" t="s">
        <v>26781</v>
      </c>
      <c r="Z6138" s="33" t="s">
        <v>42967</v>
      </c>
      <c r="AA6138" s="33">
        <v>1527</v>
      </c>
    </row>
    <row r="6139" spans="1:27" ht="12" customHeight="1" x14ac:dyDescent="0.15">
      <c r="A6139" s="33" t="s">
        <v>8619</v>
      </c>
      <c r="B6139" s="33">
        <v>36</v>
      </c>
      <c r="C6139" s="33" t="s">
        <v>14</v>
      </c>
      <c r="D6139" s="33" t="s">
        <v>79</v>
      </c>
      <c r="E6139" s="33" t="s">
        <v>8620</v>
      </c>
      <c r="F6139" s="67">
        <v>41789</v>
      </c>
      <c r="G6139" s="33" t="s">
        <v>8621</v>
      </c>
      <c r="H6139" s="33" t="s">
        <v>197</v>
      </c>
      <c r="I6139" s="33" t="s">
        <v>198</v>
      </c>
      <c r="J6139" s="33" t="s">
        <v>1511</v>
      </c>
      <c r="K6139" s="33" t="s">
        <v>392</v>
      </c>
      <c r="L6139" s="33" t="s">
        <v>199</v>
      </c>
      <c r="M6139" s="33" t="s">
        <v>21</v>
      </c>
      <c r="N6139" s="33" t="s">
        <v>8622</v>
      </c>
      <c r="O6139" s="33" t="s">
        <v>950</v>
      </c>
      <c r="P6139" s="33" t="s">
        <v>30089</v>
      </c>
      <c r="Q6139" s="40" t="s">
        <v>8623</v>
      </c>
      <c r="R6139" s="33" t="s">
        <v>23</v>
      </c>
      <c r="S6139" s="33" t="s">
        <v>22</v>
      </c>
      <c r="T6139" s="1" t="s">
        <v>26781</v>
      </c>
      <c r="Z6139" s="33" t="s">
        <v>42966</v>
      </c>
      <c r="AA6139" s="33">
        <v>1526</v>
      </c>
    </row>
    <row r="6140" spans="1:27" ht="12" customHeight="1" x14ac:dyDescent="0.15">
      <c r="A6140" s="33" t="s">
        <v>8660</v>
      </c>
      <c r="B6140" s="33">
        <v>17</v>
      </c>
      <c r="C6140" s="33" t="s">
        <v>14</v>
      </c>
      <c r="D6140" s="33" t="s">
        <v>79</v>
      </c>
      <c r="E6140" s="33" t="s">
        <v>8661</v>
      </c>
      <c r="F6140" s="67">
        <v>41788</v>
      </c>
      <c r="G6140" s="33" t="s">
        <v>8662</v>
      </c>
      <c r="H6140" s="33" t="s">
        <v>979</v>
      </c>
      <c r="I6140" s="33" t="s">
        <v>19</v>
      </c>
      <c r="J6140" s="33" t="s">
        <v>8663</v>
      </c>
      <c r="K6140" s="33" t="s">
        <v>2393</v>
      </c>
      <c r="L6140" s="33" t="s">
        <v>8664</v>
      </c>
      <c r="M6140" s="33" t="s">
        <v>21</v>
      </c>
      <c r="N6140" s="33" t="s">
        <v>8665</v>
      </c>
      <c r="O6140" s="33" t="s">
        <v>507</v>
      </c>
      <c r="P6140" s="33" t="s">
        <v>30089</v>
      </c>
      <c r="Q6140" s="40" t="s">
        <v>8666</v>
      </c>
      <c r="R6140" s="33" t="s">
        <v>23</v>
      </c>
      <c r="S6140" s="33" t="s">
        <v>22</v>
      </c>
      <c r="T6140" s="1" t="s">
        <v>26781</v>
      </c>
      <c r="Z6140" s="33" t="s">
        <v>42966</v>
      </c>
      <c r="AA6140" s="33">
        <v>1523</v>
      </c>
    </row>
    <row r="6141" spans="1:27" ht="12" customHeight="1" x14ac:dyDescent="0.15">
      <c r="A6141" s="33" t="s">
        <v>8673</v>
      </c>
      <c r="B6141" s="33">
        <v>22</v>
      </c>
      <c r="C6141" s="33" t="s">
        <v>14</v>
      </c>
      <c r="D6141" s="33" t="s">
        <v>31</v>
      </c>
      <c r="E6141" s="33" t="s">
        <v>8674</v>
      </c>
      <c r="F6141" s="67">
        <v>41788</v>
      </c>
      <c r="G6141" s="33" t="s">
        <v>8675</v>
      </c>
      <c r="H6141" s="33" t="s">
        <v>8676</v>
      </c>
      <c r="I6141" s="33" t="s">
        <v>39</v>
      </c>
      <c r="J6141" s="33" t="s">
        <v>8677</v>
      </c>
      <c r="K6141" s="33" t="s">
        <v>998</v>
      </c>
      <c r="L6141" s="33" t="s">
        <v>8678</v>
      </c>
      <c r="M6141" s="33" t="s">
        <v>21</v>
      </c>
      <c r="N6141" s="33" t="s">
        <v>8679</v>
      </c>
      <c r="O6141" s="33" t="s">
        <v>372</v>
      </c>
      <c r="P6141" s="33" t="s">
        <v>30089</v>
      </c>
      <c r="Q6141" s="40" t="s">
        <v>8680</v>
      </c>
      <c r="R6141" s="33" t="s">
        <v>512</v>
      </c>
      <c r="S6141" s="33" t="s">
        <v>22</v>
      </c>
      <c r="T6141" s="1" t="s">
        <v>26591</v>
      </c>
      <c r="Z6141" s="33" t="s">
        <v>42966</v>
      </c>
      <c r="AA6141" s="33">
        <v>1522</v>
      </c>
    </row>
    <row r="6142" spans="1:27" ht="12" customHeight="1" x14ac:dyDescent="0.15">
      <c r="A6142" s="33" t="s">
        <v>8667</v>
      </c>
      <c r="B6142" s="33">
        <v>18</v>
      </c>
      <c r="C6142" s="33" t="s">
        <v>14</v>
      </c>
      <c r="D6142" s="33" t="s">
        <v>79</v>
      </c>
      <c r="E6142" s="33" t="s">
        <v>8668</v>
      </c>
      <c r="F6142" s="67">
        <v>41788</v>
      </c>
      <c r="G6142" s="33" t="s">
        <v>8669</v>
      </c>
      <c r="H6142" s="33" t="s">
        <v>3212</v>
      </c>
      <c r="I6142" s="33" t="s">
        <v>56</v>
      </c>
      <c r="J6142" s="33" t="s">
        <v>8670</v>
      </c>
      <c r="K6142" s="33" t="s">
        <v>3214</v>
      </c>
      <c r="L6142" s="33" t="s">
        <v>3215</v>
      </c>
      <c r="M6142" s="33" t="s">
        <v>21</v>
      </c>
      <c r="N6142" s="33" t="s">
        <v>8671</v>
      </c>
      <c r="O6142" s="33" t="s">
        <v>507</v>
      </c>
      <c r="P6142" s="33" t="s">
        <v>30089</v>
      </c>
      <c r="Q6142" s="40" t="s">
        <v>8672</v>
      </c>
      <c r="R6142" s="33" t="s">
        <v>904</v>
      </c>
      <c r="S6142" s="33" t="s">
        <v>29</v>
      </c>
      <c r="T6142" s="33" t="s">
        <v>41840</v>
      </c>
      <c r="Z6142" s="33" t="s">
        <v>42968</v>
      </c>
      <c r="AA6142" s="33">
        <v>1524</v>
      </c>
    </row>
    <row r="6143" spans="1:27" ht="12" customHeight="1" x14ac:dyDescent="0.15">
      <c r="A6143" s="33" t="s">
        <v>8681</v>
      </c>
      <c r="B6143" s="33">
        <v>45</v>
      </c>
      <c r="C6143" s="33" t="s">
        <v>14</v>
      </c>
      <c r="D6143" s="33" t="s">
        <v>31</v>
      </c>
      <c r="E6143" s="33" t="s">
        <v>8682</v>
      </c>
      <c r="F6143" s="67">
        <v>41788</v>
      </c>
      <c r="G6143" s="33" t="s">
        <v>8683</v>
      </c>
      <c r="H6143" s="33" t="s">
        <v>6020</v>
      </c>
      <c r="I6143" s="33" t="s">
        <v>298</v>
      </c>
      <c r="J6143" s="33" t="s">
        <v>8684</v>
      </c>
      <c r="K6143" s="33" t="s">
        <v>2679</v>
      </c>
      <c r="L6143" s="33" t="s">
        <v>108</v>
      </c>
      <c r="M6143" s="33" t="s">
        <v>21</v>
      </c>
      <c r="N6143" s="33" t="s">
        <v>8685</v>
      </c>
      <c r="O6143" s="33" t="s">
        <v>507</v>
      </c>
      <c r="P6143" s="33" t="s">
        <v>30089</v>
      </c>
      <c r="Q6143" s="40" t="str">
        <f>HYPERLINK("http://www.tricities.com/news/article_0ec2ddf4-e749-11e3-a6a8-0017a43b2370.html","http://www.tricities.com/news/article_0ec2ddf4-e749-11e3-a6a8-0017a43b2370.html")</f>
        <v>http://www.tricities.com/news/article_0ec2ddf4-e749-11e3-a6a8-0017a43b2370.html</v>
      </c>
      <c r="R6143" s="33" t="s">
        <v>94</v>
      </c>
      <c r="S6143" s="33" t="s">
        <v>351</v>
      </c>
      <c r="T6143" s="1" t="s">
        <v>42983</v>
      </c>
      <c r="Z6143" s="33" t="s">
        <v>42968</v>
      </c>
      <c r="AA6143" s="33">
        <v>1525</v>
      </c>
    </row>
    <row r="6144" spans="1:27" ht="12" customHeight="1" x14ac:dyDescent="0.15">
      <c r="A6144" s="33" t="s">
        <v>8686</v>
      </c>
      <c r="B6144" s="33">
        <v>20</v>
      </c>
      <c r="C6144" s="33" t="s">
        <v>14</v>
      </c>
      <c r="D6144" s="33" t="s">
        <v>79</v>
      </c>
      <c r="E6144" s="33" t="s">
        <v>8687</v>
      </c>
      <c r="F6144" s="67">
        <v>41787</v>
      </c>
      <c r="G6144" s="33" t="s">
        <v>8688</v>
      </c>
      <c r="H6144" s="33" t="s">
        <v>6081</v>
      </c>
      <c r="I6144" s="33" t="s">
        <v>621</v>
      </c>
      <c r="J6144" s="33" t="s">
        <v>6082</v>
      </c>
      <c r="K6144" s="33" t="s">
        <v>1107</v>
      </c>
      <c r="L6144" s="33" t="s">
        <v>1108</v>
      </c>
      <c r="M6144" s="33" t="s">
        <v>21</v>
      </c>
      <c r="N6144" s="33" t="s">
        <v>8689</v>
      </c>
      <c r="O6144" s="33" t="s">
        <v>950</v>
      </c>
      <c r="P6144" s="33" t="s">
        <v>30089</v>
      </c>
      <c r="Q6144" s="40" t="s">
        <v>8690</v>
      </c>
      <c r="R6144" s="33" t="s">
        <v>94</v>
      </c>
      <c r="S6144" s="33" t="s">
        <v>351</v>
      </c>
      <c r="T6144" s="1" t="s">
        <v>26867</v>
      </c>
      <c r="Z6144" s="33" t="s">
        <v>42968</v>
      </c>
      <c r="AA6144" s="33">
        <v>1521</v>
      </c>
    </row>
    <row r="6145" spans="1:27" ht="12" customHeight="1" x14ac:dyDescent="0.15">
      <c r="A6145" s="33" t="s">
        <v>8691</v>
      </c>
      <c r="B6145" s="33">
        <v>54</v>
      </c>
      <c r="C6145" s="33" t="s">
        <v>14</v>
      </c>
      <c r="D6145" s="33" t="s">
        <v>31</v>
      </c>
      <c r="F6145" s="67">
        <v>41787</v>
      </c>
      <c r="G6145" s="33" t="s">
        <v>8692</v>
      </c>
      <c r="H6145" s="33" t="s">
        <v>8693</v>
      </c>
      <c r="I6145" s="33" t="s">
        <v>402</v>
      </c>
      <c r="J6145" s="33" t="s">
        <v>8694</v>
      </c>
      <c r="K6145" s="33" t="s">
        <v>3032</v>
      </c>
      <c r="L6145" s="33" t="s">
        <v>36936</v>
      </c>
      <c r="M6145" s="33" t="s">
        <v>21</v>
      </c>
      <c r="N6145" s="33" t="s">
        <v>8695</v>
      </c>
      <c r="O6145" s="33" t="s">
        <v>950</v>
      </c>
      <c r="P6145" s="33" t="s">
        <v>30089</v>
      </c>
      <c r="Q6145" s="40" t="s">
        <v>8696</v>
      </c>
      <c r="R6145" s="33" t="s">
        <v>94</v>
      </c>
      <c r="S6145" s="33" t="s">
        <v>22</v>
      </c>
      <c r="T6145" s="1" t="s">
        <v>26781</v>
      </c>
      <c r="Z6145" s="33" t="s">
        <v>42967</v>
      </c>
      <c r="AA6145" s="33">
        <v>1520</v>
      </c>
    </row>
    <row r="6146" spans="1:27" ht="12" customHeight="1" x14ac:dyDescent="0.15">
      <c r="A6146" s="33" t="s">
        <v>8705</v>
      </c>
      <c r="B6146" s="33">
        <v>29</v>
      </c>
      <c r="C6146" s="33" t="s">
        <v>14</v>
      </c>
      <c r="D6146" s="33" t="s">
        <v>31</v>
      </c>
      <c r="E6146" s="33" t="s">
        <v>8706</v>
      </c>
      <c r="F6146" s="67">
        <v>41786</v>
      </c>
      <c r="G6146" s="33" t="s">
        <v>8707</v>
      </c>
      <c r="H6146" s="33" t="s">
        <v>1463</v>
      </c>
      <c r="I6146" s="33" t="s">
        <v>56</v>
      </c>
      <c r="J6146" s="33" t="s">
        <v>1464</v>
      </c>
      <c r="K6146" s="33" t="s">
        <v>590</v>
      </c>
      <c r="L6146" s="33" t="s">
        <v>1465</v>
      </c>
      <c r="M6146" s="33" t="s">
        <v>21</v>
      </c>
      <c r="N6146" s="33" t="s">
        <v>8708</v>
      </c>
      <c r="O6146" s="33" t="s">
        <v>507</v>
      </c>
      <c r="P6146" s="33" t="s">
        <v>30089</v>
      </c>
      <c r="Q6146" s="40" t="s">
        <v>8709</v>
      </c>
      <c r="R6146" s="33" t="s">
        <v>94</v>
      </c>
      <c r="S6146" s="33" t="s">
        <v>22</v>
      </c>
      <c r="T6146" s="1" t="s">
        <v>26781</v>
      </c>
      <c r="Z6146" s="33" t="s">
        <v>42966</v>
      </c>
      <c r="AA6146" s="33">
        <v>1518</v>
      </c>
    </row>
    <row r="6147" spans="1:27" ht="12" customHeight="1" x14ac:dyDescent="0.15">
      <c r="A6147" s="33" t="s">
        <v>8697</v>
      </c>
      <c r="B6147" s="33">
        <v>42</v>
      </c>
      <c r="C6147" s="33" t="s">
        <v>14</v>
      </c>
      <c r="D6147" s="33" t="s">
        <v>31</v>
      </c>
      <c r="E6147" s="33" t="s">
        <v>8698</v>
      </c>
      <c r="F6147" s="67">
        <v>41786</v>
      </c>
      <c r="G6147" s="33" t="s">
        <v>8699</v>
      </c>
      <c r="H6147" s="33" t="s">
        <v>8700</v>
      </c>
      <c r="I6147" s="33" t="s">
        <v>63</v>
      </c>
      <c r="J6147" s="33" t="s">
        <v>8701</v>
      </c>
      <c r="K6147" s="33" t="s">
        <v>3728</v>
      </c>
      <c r="L6147" s="33" t="s">
        <v>8702</v>
      </c>
      <c r="M6147" s="33" t="s">
        <v>21</v>
      </c>
      <c r="N6147" s="33" t="s">
        <v>8703</v>
      </c>
      <c r="O6147" s="33" t="s">
        <v>507</v>
      </c>
      <c r="P6147" s="33" t="s">
        <v>30089</v>
      </c>
      <c r="Q6147" s="40" t="s">
        <v>8704</v>
      </c>
      <c r="R6147" s="33" t="s">
        <v>94</v>
      </c>
      <c r="S6147" s="33" t="s">
        <v>351</v>
      </c>
      <c r="T6147" s="1" t="s">
        <v>26867</v>
      </c>
      <c r="Z6147" s="33" t="s">
        <v>42967</v>
      </c>
      <c r="AA6147" s="33">
        <v>1519</v>
      </c>
    </row>
    <row r="6148" spans="1:27" ht="12" customHeight="1" x14ac:dyDescent="0.15">
      <c r="A6148" s="33" t="s">
        <v>8710</v>
      </c>
      <c r="B6148" s="33">
        <v>45</v>
      </c>
      <c r="C6148" s="33" t="s">
        <v>14</v>
      </c>
      <c r="D6148" s="33" t="s">
        <v>79</v>
      </c>
      <c r="E6148" s="33" t="s">
        <v>8711</v>
      </c>
      <c r="F6148" s="67">
        <v>41785</v>
      </c>
      <c r="G6148" s="33" t="s">
        <v>8712</v>
      </c>
      <c r="H6148" s="33" t="s">
        <v>994</v>
      </c>
      <c r="I6148" s="33" t="s">
        <v>63</v>
      </c>
      <c r="J6148" s="33" t="s">
        <v>8713</v>
      </c>
      <c r="K6148" s="33" t="s">
        <v>995</v>
      </c>
      <c r="L6148" s="33" t="s">
        <v>5527</v>
      </c>
      <c r="M6148" s="33" t="s">
        <v>21</v>
      </c>
      <c r="N6148" s="33" t="s">
        <v>8714</v>
      </c>
      <c r="O6148" s="33" t="s">
        <v>950</v>
      </c>
      <c r="P6148" s="33" t="s">
        <v>30089</v>
      </c>
      <c r="Q6148" s="40" t="str">
        <f>HYPERLINK("http://www.daytondailynews.com/news/news/crime-law/police-involved-shooting-reported-udf-dayton/nf7f7/?__federated=1","http://www.daytondailynews.com/news/news/crime-law/police-involved-shooting-reported-udf-dayton/nf7f7/?__federated=1")</f>
        <v>http://www.daytondailynews.com/news/news/crime-law/police-involved-shooting-reported-udf-dayton/nf7f7/?__federated=1</v>
      </c>
      <c r="R6148" s="33" t="s">
        <v>23</v>
      </c>
      <c r="S6148" s="33" t="s">
        <v>22</v>
      </c>
      <c r="T6148" s="1" t="s">
        <v>26774</v>
      </c>
      <c r="Z6148" s="33" t="s">
        <v>42966</v>
      </c>
      <c r="AA6148" s="33">
        <v>1517</v>
      </c>
    </row>
    <row r="6149" spans="1:27" ht="12" customHeight="1" x14ac:dyDescent="0.15">
      <c r="A6149" s="33" t="s">
        <v>8715</v>
      </c>
      <c r="B6149" s="33">
        <v>23</v>
      </c>
      <c r="C6149" s="33" t="s">
        <v>14</v>
      </c>
      <c r="D6149" s="33" t="s">
        <v>42</v>
      </c>
      <c r="E6149" s="33" t="s">
        <v>8716</v>
      </c>
      <c r="F6149" s="67">
        <v>41785</v>
      </c>
      <c r="G6149" s="33" t="s">
        <v>8717</v>
      </c>
      <c r="H6149" s="33" t="s">
        <v>451</v>
      </c>
      <c r="I6149" s="33" t="s">
        <v>39</v>
      </c>
      <c r="J6149" s="33" t="s">
        <v>8718</v>
      </c>
      <c r="K6149" s="33" t="s">
        <v>92</v>
      </c>
      <c r="L6149" s="33" t="s">
        <v>386</v>
      </c>
      <c r="M6149" s="33" t="s">
        <v>21</v>
      </c>
      <c r="N6149" s="33" t="s">
        <v>8719</v>
      </c>
      <c r="O6149" s="33" t="s">
        <v>950</v>
      </c>
      <c r="P6149" s="33" t="s">
        <v>30089</v>
      </c>
      <c r="Q6149" s="40" t="s">
        <v>8720</v>
      </c>
      <c r="R6149" s="33" t="s">
        <v>94</v>
      </c>
      <c r="S6149" s="33" t="s">
        <v>22</v>
      </c>
      <c r="T6149" s="1" t="s">
        <v>26781</v>
      </c>
      <c r="Z6149" s="33" t="s">
        <v>42966</v>
      </c>
      <c r="AA6149" s="33">
        <v>1516</v>
      </c>
    </row>
    <row r="6150" spans="1:27" ht="12" customHeight="1" x14ac:dyDescent="0.15">
      <c r="A6150" s="33" t="s">
        <v>8721</v>
      </c>
      <c r="B6150" s="33">
        <v>26</v>
      </c>
      <c r="C6150" s="33" t="s">
        <v>14</v>
      </c>
      <c r="D6150" s="33" t="s">
        <v>79</v>
      </c>
      <c r="E6150" s="33" t="s">
        <v>8722</v>
      </c>
      <c r="F6150" s="67">
        <v>41784</v>
      </c>
      <c r="G6150" s="33" t="s">
        <v>8723</v>
      </c>
      <c r="H6150" s="33" t="s">
        <v>8724</v>
      </c>
      <c r="I6150" s="33" t="s">
        <v>338</v>
      </c>
      <c r="J6150" s="33" t="s">
        <v>8725</v>
      </c>
      <c r="K6150" s="33" t="s">
        <v>8497</v>
      </c>
      <c r="L6150" s="33" t="s">
        <v>18512</v>
      </c>
      <c r="M6150" s="33" t="s">
        <v>21</v>
      </c>
      <c r="N6150" s="33" t="s">
        <v>8726</v>
      </c>
      <c r="O6150" s="33" t="s">
        <v>507</v>
      </c>
      <c r="P6150" s="33" t="s">
        <v>30089</v>
      </c>
      <c r="Q6150" s="40" t="s">
        <v>8727</v>
      </c>
      <c r="R6150" s="33" t="s">
        <v>94</v>
      </c>
      <c r="S6150" s="33" t="s">
        <v>12</v>
      </c>
      <c r="T6150" s="54" t="s">
        <v>29705</v>
      </c>
      <c r="Z6150" s="33" t="s">
        <v>42966</v>
      </c>
      <c r="AA6150" s="33">
        <v>1515</v>
      </c>
    </row>
    <row r="6151" spans="1:27" ht="12" customHeight="1" x14ac:dyDescent="0.15">
      <c r="A6151" s="33" t="s">
        <v>8728</v>
      </c>
      <c r="B6151" s="33">
        <v>26</v>
      </c>
      <c r="C6151" s="33" t="s">
        <v>14</v>
      </c>
      <c r="D6151" s="33" t="s">
        <v>31</v>
      </c>
      <c r="E6151" s="33" t="s">
        <v>8729</v>
      </c>
      <c r="F6151" s="67">
        <v>41784</v>
      </c>
      <c r="G6151" s="33" t="s">
        <v>8730</v>
      </c>
      <c r="H6151" s="33" t="s">
        <v>401</v>
      </c>
      <c r="I6151" s="33" t="s">
        <v>402</v>
      </c>
      <c r="J6151" s="33" t="s">
        <v>8731</v>
      </c>
      <c r="K6151" s="33" t="s">
        <v>404</v>
      </c>
      <c r="L6151" s="33" t="s">
        <v>405</v>
      </c>
      <c r="M6151" s="33" t="s">
        <v>21</v>
      </c>
      <c r="N6151" s="33" t="s">
        <v>8732</v>
      </c>
      <c r="O6151" s="33" t="s">
        <v>950</v>
      </c>
      <c r="P6151" s="33" t="s">
        <v>30089</v>
      </c>
      <c r="Q6151" s="40" t="s">
        <v>8733</v>
      </c>
      <c r="R6151" s="33" t="s">
        <v>512</v>
      </c>
      <c r="S6151" s="33" t="s">
        <v>22</v>
      </c>
      <c r="T6151" s="1" t="s">
        <v>26781</v>
      </c>
      <c r="Z6151" s="33" t="s">
        <v>42966</v>
      </c>
      <c r="AA6151" s="33">
        <v>1514</v>
      </c>
    </row>
    <row r="6152" spans="1:27" ht="12" customHeight="1" x14ac:dyDescent="0.15">
      <c r="A6152" s="33" t="s">
        <v>8734</v>
      </c>
      <c r="B6152" s="33">
        <v>62</v>
      </c>
      <c r="C6152" s="33" t="s">
        <v>14</v>
      </c>
      <c r="D6152" s="33" t="s">
        <v>79</v>
      </c>
      <c r="F6152" s="67">
        <v>41783</v>
      </c>
      <c r="G6152" s="33" t="s">
        <v>8735</v>
      </c>
      <c r="H6152" s="33" t="s">
        <v>81</v>
      </c>
      <c r="I6152" s="33" t="s">
        <v>38</v>
      </c>
      <c r="J6152" s="33" t="s">
        <v>8736</v>
      </c>
      <c r="K6152" s="33" t="s">
        <v>82</v>
      </c>
      <c r="L6152" s="33" t="s">
        <v>83</v>
      </c>
      <c r="M6152" s="33" t="s">
        <v>21</v>
      </c>
      <c r="N6152" s="33" t="s">
        <v>8737</v>
      </c>
      <c r="O6152" s="33" t="s">
        <v>950</v>
      </c>
      <c r="P6152" s="33" t="s">
        <v>30089</v>
      </c>
      <c r="Q6152" s="40" t="s">
        <v>8738</v>
      </c>
      <c r="R6152" s="33" t="s">
        <v>23</v>
      </c>
      <c r="S6152" s="33" t="s">
        <v>22</v>
      </c>
      <c r="T6152" s="1" t="s">
        <v>26774</v>
      </c>
      <c r="Z6152" s="33" t="s">
        <v>42966</v>
      </c>
      <c r="AA6152" s="33">
        <v>1510</v>
      </c>
    </row>
    <row r="6153" spans="1:27" ht="12" customHeight="1" x14ac:dyDescent="0.15">
      <c r="A6153" s="33" t="s">
        <v>8760</v>
      </c>
      <c r="B6153" s="33">
        <v>49</v>
      </c>
      <c r="C6153" s="33" t="s">
        <v>14</v>
      </c>
      <c r="D6153" s="33" t="s">
        <v>31</v>
      </c>
      <c r="F6153" s="67">
        <v>41783</v>
      </c>
      <c r="G6153" s="33" t="s">
        <v>8761</v>
      </c>
      <c r="H6153" s="33" t="s">
        <v>8762</v>
      </c>
      <c r="I6153" s="33" t="s">
        <v>39</v>
      </c>
      <c r="J6153" s="33" t="s">
        <v>8763</v>
      </c>
      <c r="K6153" s="33" t="s">
        <v>632</v>
      </c>
      <c r="L6153" s="33" t="s">
        <v>693</v>
      </c>
      <c r="M6153" s="33" t="s">
        <v>21</v>
      </c>
      <c r="N6153" s="33" t="s">
        <v>8764</v>
      </c>
      <c r="O6153" s="33" t="s">
        <v>950</v>
      </c>
      <c r="P6153" s="33" t="s">
        <v>30089</v>
      </c>
      <c r="Q6153" s="40" t="str">
        <f>HYPERLINK("http://www.bakersfieldnow.com/news/local/1-shot-killed-by-KC-deputy-in-Lebec-260562651.html","http://www.bakersfieldnow.com/news/local/1-shot-killed-by-KC-deputy-in-Lebec-260562651.html")</f>
        <v>http://www.bakersfieldnow.com/news/local/1-shot-killed-by-KC-deputy-in-Lebec-260562651.html</v>
      </c>
      <c r="R6153" s="33" t="s">
        <v>94</v>
      </c>
      <c r="S6153" s="33" t="s">
        <v>22</v>
      </c>
      <c r="T6153" s="1" t="s">
        <v>26774</v>
      </c>
      <c r="Z6153" s="33" t="s">
        <v>42967</v>
      </c>
      <c r="AA6153" s="33">
        <v>1512</v>
      </c>
    </row>
    <row r="6154" spans="1:27" ht="12" customHeight="1" x14ac:dyDescent="0.15">
      <c r="A6154" s="33" t="s">
        <v>8755</v>
      </c>
      <c r="B6154" s="33">
        <v>54</v>
      </c>
      <c r="C6154" s="33" t="s">
        <v>14</v>
      </c>
      <c r="D6154" s="33" t="s">
        <v>42</v>
      </c>
      <c r="E6154" s="33" t="s">
        <v>8756</v>
      </c>
      <c r="F6154" s="67">
        <v>41783</v>
      </c>
      <c r="G6154" s="33" t="s">
        <v>8757</v>
      </c>
      <c r="H6154" s="33" t="s">
        <v>92</v>
      </c>
      <c r="I6154" s="33" t="s">
        <v>39</v>
      </c>
      <c r="J6154" s="33" t="s">
        <v>3602</v>
      </c>
      <c r="K6154" s="33" t="s">
        <v>92</v>
      </c>
      <c r="L6154" s="33" t="s">
        <v>93</v>
      </c>
      <c r="M6154" s="33" t="s">
        <v>19228</v>
      </c>
      <c r="N6154" s="33" t="s">
        <v>8758</v>
      </c>
      <c r="O6154" s="33" t="s">
        <v>950</v>
      </c>
      <c r="P6154" s="33" t="s">
        <v>30089</v>
      </c>
      <c r="Q6154" s="40" t="s">
        <v>8759</v>
      </c>
      <c r="R6154" s="33" t="s">
        <v>512</v>
      </c>
      <c r="S6154" s="33" t="s">
        <v>12</v>
      </c>
      <c r="T6154" s="54" t="s">
        <v>29705</v>
      </c>
      <c r="Z6154" s="33" t="s">
        <v>42966</v>
      </c>
      <c r="AA6154" s="33">
        <v>1513</v>
      </c>
    </row>
    <row r="6155" spans="1:27" ht="12" customHeight="1" x14ac:dyDescent="0.15">
      <c r="A6155" s="33" t="s">
        <v>8747</v>
      </c>
      <c r="B6155" s="33">
        <v>17</v>
      </c>
      <c r="C6155" s="33" t="s">
        <v>14</v>
      </c>
      <c r="D6155" s="33" t="s">
        <v>42</v>
      </c>
      <c r="F6155" s="67">
        <v>41783</v>
      </c>
      <c r="G6155" s="33" t="s">
        <v>8748</v>
      </c>
      <c r="H6155" s="33" t="s">
        <v>8749</v>
      </c>
      <c r="I6155" s="33" t="s">
        <v>225</v>
      </c>
      <c r="J6155" s="33" t="s">
        <v>8750</v>
      </c>
      <c r="K6155" s="33" t="s">
        <v>8751</v>
      </c>
      <c r="L6155" s="33" t="s">
        <v>8752</v>
      </c>
      <c r="M6155" s="33" t="s">
        <v>21</v>
      </c>
      <c r="N6155" s="33" t="s">
        <v>8753</v>
      </c>
      <c r="O6155" s="33" t="s">
        <v>507</v>
      </c>
      <c r="P6155" s="33" t="s">
        <v>30089</v>
      </c>
      <c r="Q6155" s="40" t="s">
        <v>8754</v>
      </c>
      <c r="R6155" s="33" t="s">
        <v>512</v>
      </c>
      <c r="S6155" s="33" t="s">
        <v>22</v>
      </c>
      <c r="T6155" s="1" t="s">
        <v>26774</v>
      </c>
      <c r="Z6155" s="33" t="s">
        <v>42967</v>
      </c>
      <c r="AA6155" s="33">
        <v>1511</v>
      </c>
    </row>
    <row r="6156" spans="1:27" ht="12" customHeight="1" x14ac:dyDescent="0.15">
      <c r="A6156" s="33" t="s">
        <v>8739</v>
      </c>
      <c r="B6156" s="33">
        <v>27</v>
      </c>
      <c r="C6156" s="33" t="s">
        <v>14</v>
      </c>
      <c r="D6156" s="33" t="s">
        <v>79</v>
      </c>
      <c r="E6156" s="33" t="s">
        <v>8740</v>
      </c>
      <c r="F6156" s="67">
        <v>41783</v>
      </c>
      <c r="G6156" s="33" t="s">
        <v>8741</v>
      </c>
      <c r="H6156" s="33" t="s">
        <v>8742</v>
      </c>
      <c r="I6156" s="33" t="s">
        <v>395</v>
      </c>
      <c r="J6156" s="33" t="s">
        <v>8743</v>
      </c>
      <c r="K6156" s="33" t="s">
        <v>2291</v>
      </c>
      <c r="L6156" s="33" t="s">
        <v>8744</v>
      </c>
      <c r="M6156" s="33" t="s">
        <v>21</v>
      </c>
      <c r="N6156" s="33" t="s">
        <v>8745</v>
      </c>
      <c r="O6156" s="33" t="s">
        <v>950</v>
      </c>
      <c r="P6156" s="33" t="s">
        <v>30089</v>
      </c>
      <c r="Q6156" s="40" t="s">
        <v>8746</v>
      </c>
      <c r="R6156" s="33" t="s">
        <v>904</v>
      </c>
      <c r="S6156" s="33" t="s">
        <v>22</v>
      </c>
      <c r="T6156" s="1" t="s">
        <v>26612</v>
      </c>
      <c r="Z6156" s="33" t="s">
        <v>42968</v>
      </c>
      <c r="AA6156" s="33">
        <v>1508</v>
      </c>
    </row>
    <row r="6157" spans="1:27" ht="12" customHeight="1" x14ac:dyDescent="0.15">
      <c r="A6157" s="33" t="s">
        <v>8765</v>
      </c>
      <c r="B6157" s="33">
        <v>59</v>
      </c>
      <c r="C6157" s="33" t="s">
        <v>14</v>
      </c>
      <c r="D6157" s="33" t="s">
        <v>31</v>
      </c>
      <c r="E6157" s="33" t="s">
        <v>8766</v>
      </c>
      <c r="F6157" s="67">
        <v>41783</v>
      </c>
      <c r="G6157" s="33" t="s">
        <v>8767</v>
      </c>
      <c r="H6157" s="33" t="s">
        <v>8768</v>
      </c>
      <c r="I6157" s="33" t="s">
        <v>402</v>
      </c>
      <c r="J6157" s="33" t="s">
        <v>8769</v>
      </c>
      <c r="K6157" s="33" t="s">
        <v>5063</v>
      </c>
      <c r="L6157" s="33" t="s">
        <v>8770</v>
      </c>
      <c r="M6157" s="33" t="s">
        <v>21</v>
      </c>
      <c r="N6157" s="33" t="s">
        <v>8771</v>
      </c>
      <c r="O6157" s="33" t="s">
        <v>372</v>
      </c>
      <c r="P6157" s="33" t="s">
        <v>30089</v>
      </c>
      <c r="Q6157" s="40" t="s">
        <v>8772</v>
      </c>
      <c r="R6157" s="33" t="s">
        <v>94</v>
      </c>
      <c r="S6157" s="33" t="s">
        <v>22</v>
      </c>
      <c r="T6157" s="1" t="s">
        <v>26781</v>
      </c>
      <c r="Z6157" s="33" t="s">
        <v>42967</v>
      </c>
      <c r="AA6157" s="33">
        <v>1509</v>
      </c>
    </row>
    <row r="6158" spans="1:27" ht="12" customHeight="1" x14ac:dyDescent="0.15">
      <c r="A6158" s="33" t="s">
        <v>8773</v>
      </c>
      <c r="B6158" s="33">
        <v>42</v>
      </c>
      <c r="C6158" s="33" t="s">
        <v>14</v>
      </c>
      <c r="D6158" s="33" t="s">
        <v>24</v>
      </c>
      <c r="F6158" s="67">
        <v>41782</v>
      </c>
      <c r="G6158" s="33" t="s">
        <v>8774</v>
      </c>
      <c r="H6158" s="33" t="s">
        <v>1535</v>
      </c>
      <c r="I6158" s="33" t="s">
        <v>39</v>
      </c>
      <c r="J6158" s="33" t="s">
        <v>1536</v>
      </c>
      <c r="K6158" s="33" t="s">
        <v>1537</v>
      </c>
      <c r="L6158" s="33" t="s">
        <v>1538</v>
      </c>
      <c r="M6158" s="33" t="s">
        <v>21</v>
      </c>
      <c r="N6158" s="33" t="s">
        <v>8775</v>
      </c>
      <c r="O6158" s="33" t="s">
        <v>4311</v>
      </c>
      <c r="P6158" s="33" t="s">
        <v>30089</v>
      </c>
      <c r="Q6158" s="40" t="s">
        <v>8776</v>
      </c>
      <c r="R6158" s="33" t="s">
        <v>94</v>
      </c>
      <c r="S6158" s="33" t="s">
        <v>12</v>
      </c>
      <c r="T6158" s="54" t="s">
        <v>29705</v>
      </c>
      <c r="Z6158" s="33" t="s">
        <v>42968</v>
      </c>
      <c r="AA6158" s="33">
        <v>1507</v>
      </c>
    </row>
    <row r="6159" spans="1:27" ht="12" customHeight="1" x14ac:dyDescent="0.15">
      <c r="A6159" s="33" t="s">
        <v>8777</v>
      </c>
      <c r="B6159" s="103">
        <v>37</v>
      </c>
      <c r="C6159" s="33" t="s">
        <v>14</v>
      </c>
      <c r="D6159" s="33" t="s">
        <v>42</v>
      </c>
      <c r="E6159" s="33" t="s">
        <v>8778</v>
      </c>
      <c r="F6159" s="67">
        <v>41781</v>
      </c>
      <c r="G6159" s="33" t="s">
        <v>8779</v>
      </c>
      <c r="H6159" s="33" t="s">
        <v>866</v>
      </c>
      <c r="I6159" s="33" t="s">
        <v>178</v>
      </c>
      <c r="J6159" s="33" t="s">
        <v>8780</v>
      </c>
      <c r="K6159" s="33" t="s">
        <v>433</v>
      </c>
      <c r="L6159" s="33" t="s">
        <v>4562</v>
      </c>
      <c r="M6159" s="33" t="s">
        <v>21</v>
      </c>
      <c r="N6159" s="33" t="s">
        <v>8781</v>
      </c>
      <c r="O6159" s="33" t="s">
        <v>23</v>
      </c>
      <c r="P6159" s="33" t="s">
        <v>30089</v>
      </c>
      <c r="Q6159" s="40" t="s">
        <v>8782</v>
      </c>
      <c r="R6159" s="33" t="s">
        <v>94</v>
      </c>
      <c r="S6159" s="33" t="s">
        <v>22</v>
      </c>
      <c r="T6159" s="1" t="s">
        <v>26612</v>
      </c>
      <c r="Z6159" s="33" t="s">
        <v>42966</v>
      </c>
      <c r="AA6159" s="33">
        <v>1505</v>
      </c>
    </row>
    <row r="6160" spans="1:27" ht="12" customHeight="1" x14ac:dyDescent="0.15">
      <c r="A6160" s="33" t="s">
        <v>8783</v>
      </c>
      <c r="B6160" s="33">
        <v>34</v>
      </c>
      <c r="C6160" s="33" t="s">
        <v>14</v>
      </c>
      <c r="D6160" s="33" t="s">
        <v>31</v>
      </c>
      <c r="F6160" s="67">
        <v>41781</v>
      </c>
      <c r="G6160" s="33" t="s">
        <v>8784</v>
      </c>
      <c r="H6160" s="33" t="s">
        <v>8785</v>
      </c>
      <c r="I6160" s="33" t="s">
        <v>160</v>
      </c>
      <c r="J6160" s="33" t="s">
        <v>8786</v>
      </c>
      <c r="K6160" s="33" t="s">
        <v>8787</v>
      </c>
      <c r="L6160" s="33" t="s">
        <v>8788</v>
      </c>
      <c r="M6160" s="33" t="s">
        <v>21</v>
      </c>
      <c r="N6160" s="33" t="s">
        <v>8789</v>
      </c>
      <c r="O6160" s="33" t="s">
        <v>507</v>
      </c>
      <c r="P6160" s="33" t="s">
        <v>30089</v>
      </c>
      <c r="Q6160" s="40" t="s">
        <v>8790</v>
      </c>
      <c r="R6160" s="33" t="s">
        <v>904</v>
      </c>
      <c r="S6160" s="33" t="s">
        <v>29</v>
      </c>
      <c r="T6160" s="33" t="s">
        <v>41840</v>
      </c>
      <c r="Z6160" s="33" t="s">
        <v>42967</v>
      </c>
      <c r="AA6160" s="33">
        <v>1506</v>
      </c>
    </row>
    <row r="6161" spans="1:31" ht="12" customHeight="1" x14ac:dyDescent="0.15">
      <c r="A6161" s="33" t="s">
        <v>8791</v>
      </c>
      <c r="B6161" s="33">
        <v>20</v>
      </c>
      <c r="C6161" s="33" t="s">
        <v>14</v>
      </c>
      <c r="D6161" s="33" t="s">
        <v>79</v>
      </c>
      <c r="E6161" s="33" t="s">
        <v>8792</v>
      </c>
      <c r="F6161" s="67">
        <v>41780</v>
      </c>
      <c r="G6161" s="33" t="s">
        <v>8793</v>
      </c>
      <c r="H6161" s="33" t="s">
        <v>997</v>
      </c>
      <c r="I6161" s="33" t="s">
        <v>56</v>
      </c>
      <c r="J6161" s="33" t="s">
        <v>8794</v>
      </c>
      <c r="K6161" s="33" t="s">
        <v>998</v>
      </c>
      <c r="L6161" s="33" t="s">
        <v>999</v>
      </c>
      <c r="M6161" s="33" t="s">
        <v>21</v>
      </c>
      <c r="N6161" s="33" t="s">
        <v>8795</v>
      </c>
      <c r="O6161" s="33" t="s">
        <v>4311</v>
      </c>
      <c r="P6161" s="33" t="s">
        <v>30089</v>
      </c>
      <c r="Q6161" s="40" t="s">
        <v>8796</v>
      </c>
      <c r="R6161" s="33" t="s">
        <v>94</v>
      </c>
      <c r="S6161" s="33" t="s">
        <v>22</v>
      </c>
      <c r="T6161" s="1" t="s">
        <v>26781</v>
      </c>
      <c r="Z6161" s="33" t="s">
        <v>42968</v>
      </c>
      <c r="AA6161" s="33">
        <v>1502</v>
      </c>
    </row>
    <row r="6162" spans="1:31" ht="12" customHeight="1" x14ac:dyDescent="0.15">
      <c r="A6162" s="33" t="s">
        <v>8797</v>
      </c>
      <c r="B6162" s="33">
        <v>31</v>
      </c>
      <c r="C6162" s="33" t="s">
        <v>14</v>
      </c>
      <c r="D6162" s="33" t="s">
        <v>42</v>
      </c>
      <c r="E6162" s="33" t="s">
        <v>8798</v>
      </c>
      <c r="F6162" s="67">
        <v>41780</v>
      </c>
      <c r="G6162" s="33" t="s">
        <v>8799</v>
      </c>
      <c r="H6162" s="33" t="s">
        <v>1592</v>
      </c>
      <c r="I6162" s="33" t="s">
        <v>192</v>
      </c>
      <c r="J6162" s="33" t="s">
        <v>1593</v>
      </c>
      <c r="K6162" s="33" t="s">
        <v>1594</v>
      </c>
      <c r="L6162" s="33" t="s">
        <v>1595</v>
      </c>
      <c r="M6162" s="33" t="s">
        <v>21</v>
      </c>
      <c r="N6162" s="33" t="s">
        <v>8800</v>
      </c>
      <c r="O6162" s="33" t="s">
        <v>507</v>
      </c>
      <c r="P6162" s="33" t="s">
        <v>30089</v>
      </c>
      <c r="Q6162" s="40" t="s">
        <v>8801</v>
      </c>
      <c r="R6162" s="33" t="s">
        <v>94</v>
      </c>
      <c r="S6162" s="33" t="s">
        <v>22</v>
      </c>
      <c r="T6162" s="1" t="s">
        <v>26781</v>
      </c>
      <c r="Z6162" s="33" t="s">
        <v>42968</v>
      </c>
      <c r="AA6162" s="33">
        <v>1503</v>
      </c>
    </row>
    <row r="6163" spans="1:31" ht="12" customHeight="1" x14ac:dyDescent="0.15">
      <c r="A6163" s="33" t="s">
        <v>8802</v>
      </c>
      <c r="B6163" s="33">
        <v>28</v>
      </c>
      <c r="C6163" s="33" t="s">
        <v>14</v>
      </c>
      <c r="D6163" s="33" t="s">
        <v>31</v>
      </c>
      <c r="E6163" s="33" t="s">
        <v>8803</v>
      </c>
      <c r="F6163" s="67">
        <v>41780</v>
      </c>
      <c r="G6163" s="33" t="s">
        <v>8804</v>
      </c>
      <c r="H6163" s="33" t="s">
        <v>518</v>
      </c>
      <c r="I6163" s="33" t="s">
        <v>112</v>
      </c>
      <c r="J6163" s="33" t="s">
        <v>6756</v>
      </c>
      <c r="K6163" s="33" t="s">
        <v>519</v>
      </c>
      <c r="L6163" s="33" t="s">
        <v>520</v>
      </c>
      <c r="M6163" s="33" t="s">
        <v>21</v>
      </c>
      <c r="N6163" s="33" t="s">
        <v>8805</v>
      </c>
      <c r="O6163" s="33" t="s">
        <v>4311</v>
      </c>
      <c r="P6163" s="33" t="s">
        <v>30089</v>
      </c>
      <c r="Q6163" s="40" t="s">
        <v>8806</v>
      </c>
      <c r="R6163" s="33" t="s">
        <v>94</v>
      </c>
      <c r="S6163" s="33" t="s">
        <v>22</v>
      </c>
      <c r="T6163" s="1" t="s">
        <v>43009</v>
      </c>
      <c r="Z6163" s="33" t="s">
        <v>42966</v>
      </c>
      <c r="AA6163" s="33">
        <v>1504</v>
      </c>
    </row>
    <row r="6164" spans="1:31" ht="12" customHeight="1" x14ac:dyDescent="0.15">
      <c r="A6164" s="33" t="s">
        <v>8811</v>
      </c>
      <c r="B6164" s="33">
        <v>26</v>
      </c>
      <c r="C6164" s="33" t="s">
        <v>14</v>
      </c>
      <c r="D6164" s="33" t="s">
        <v>42</v>
      </c>
      <c r="E6164" s="33" t="s">
        <v>8812</v>
      </c>
      <c r="F6164" s="67">
        <v>41779</v>
      </c>
      <c r="G6164" s="33" t="s">
        <v>8813</v>
      </c>
      <c r="H6164" s="33" t="s">
        <v>183</v>
      </c>
      <c r="I6164" s="33" t="s">
        <v>39</v>
      </c>
      <c r="J6164" s="33" t="s">
        <v>8814</v>
      </c>
      <c r="K6164" s="33" t="s">
        <v>183</v>
      </c>
      <c r="L6164" s="33" t="s">
        <v>184</v>
      </c>
      <c r="M6164" s="33" t="s">
        <v>21</v>
      </c>
      <c r="N6164" s="33" t="s">
        <v>8815</v>
      </c>
      <c r="O6164" s="33" t="s">
        <v>950</v>
      </c>
      <c r="P6164" s="33" t="s">
        <v>30089</v>
      </c>
      <c r="Q6164" s="40" t="s">
        <v>8816</v>
      </c>
      <c r="R6164" s="33" t="s">
        <v>904</v>
      </c>
      <c r="S6164" s="33" t="s">
        <v>22</v>
      </c>
      <c r="T6164" s="1" t="s">
        <v>26774</v>
      </c>
      <c r="Z6164" s="33" t="s">
        <v>42966</v>
      </c>
      <c r="AA6164" s="33">
        <v>1501</v>
      </c>
    </row>
    <row r="6165" spans="1:31" ht="12" customHeight="1" x14ac:dyDescent="0.15">
      <c r="A6165" s="33" t="s">
        <v>8817</v>
      </c>
      <c r="B6165" s="33">
        <v>27</v>
      </c>
      <c r="C6165" s="33" t="s">
        <v>103</v>
      </c>
      <c r="D6165" s="33" t="s">
        <v>24</v>
      </c>
      <c r="F6165" s="67">
        <v>41779</v>
      </c>
      <c r="G6165" s="33" t="s">
        <v>8818</v>
      </c>
      <c r="H6165" s="33" t="s">
        <v>924</v>
      </c>
      <c r="I6165" s="33" t="s">
        <v>67</v>
      </c>
      <c r="J6165" s="33" t="s">
        <v>8819</v>
      </c>
      <c r="K6165" s="33" t="s">
        <v>995</v>
      </c>
      <c r="L6165" s="33" t="s">
        <v>18546</v>
      </c>
      <c r="M6165" s="33" t="s">
        <v>21</v>
      </c>
      <c r="N6165" s="33" t="s">
        <v>8820</v>
      </c>
      <c r="O6165" s="33" t="s">
        <v>950</v>
      </c>
      <c r="P6165" s="33" t="s">
        <v>30089</v>
      </c>
      <c r="Q6165" s="40" t="s">
        <v>8821</v>
      </c>
      <c r="R6165" s="33" t="s">
        <v>904</v>
      </c>
      <c r="S6165" s="33" t="s">
        <v>22</v>
      </c>
      <c r="T6165" s="1" t="s">
        <v>26781</v>
      </c>
      <c r="Z6165" s="33" t="s">
        <v>42967</v>
      </c>
      <c r="AA6165" s="33">
        <v>1500</v>
      </c>
    </row>
    <row r="6166" spans="1:31" ht="12" customHeight="1" x14ac:dyDescent="0.15">
      <c r="A6166" s="33" t="s">
        <v>8807</v>
      </c>
      <c r="B6166" s="33">
        <v>44</v>
      </c>
      <c r="C6166" s="33" t="s">
        <v>14</v>
      </c>
      <c r="D6166" s="33" t="s">
        <v>42</v>
      </c>
      <c r="F6166" s="67">
        <v>41779</v>
      </c>
      <c r="G6166" s="33" t="s">
        <v>8808</v>
      </c>
      <c r="H6166" s="33" t="s">
        <v>5818</v>
      </c>
      <c r="I6166" s="33" t="s">
        <v>39</v>
      </c>
      <c r="J6166" s="33" t="s">
        <v>5819</v>
      </c>
      <c r="K6166" s="33" t="s">
        <v>59</v>
      </c>
      <c r="L6166" s="33" t="s">
        <v>5820</v>
      </c>
      <c r="M6166" s="33" t="s">
        <v>21</v>
      </c>
      <c r="N6166" s="33" t="s">
        <v>8809</v>
      </c>
      <c r="O6166" s="33" t="s">
        <v>4311</v>
      </c>
      <c r="P6166" s="33" t="s">
        <v>30089</v>
      </c>
      <c r="Q6166" s="40" t="s">
        <v>8810</v>
      </c>
      <c r="R6166" s="33" t="s">
        <v>94</v>
      </c>
      <c r="S6166" s="33" t="s">
        <v>22</v>
      </c>
      <c r="T6166" s="1" t="s">
        <v>43008</v>
      </c>
      <c r="Z6166" s="33" t="s">
        <v>42968</v>
      </c>
      <c r="AA6166" s="33">
        <v>1499</v>
      </c>
    </row>
    <row r="6167" spans="1:31" ht="12" customHeight="1" x14ac:dyDescent="0.15">
      <c r="A6167" s="33" t="s">
        <v>8852</v>
      </c>
      <c r="B6167" s="33">
        <v>25</v>
      </c>
      <c r="C6167" s="33" t="s">
        <v>14</v>
      </c>
      <c r="D6167" s="33" t="s">
        <v>31</v>
      </c>
      <c r="E6167" s="33" t="str">
        <f>HYPERLINK("https://www.facebook.com/curtise.welford","https://www.facebook.com/curtise.welford")</f>
        <v>https://www.facebook.com/curtise.welford</v>
      </c>
      <c r="F6167" s="67">
        <v>41778</v>
      </c>
      <c r="G6167" s="33" t="s">
        <v>8853</v>
      </c>
      <c r="H6167" s="33" t="s">
        <v>8854</v>
      </c>
      <c r="I6167" s="33" t="s">
        <v>621</v>
      </c>
      <c r="J6167" s="33" t="s">
        <v>8855</v>
      </c>
      <c r="K6167" s="33" t="s">
        <v>6440</v>
      </c>
      <c r="L6167" s="33" t="s">
        <v>8856</v>
      </c>
      <c r="M6167" s="33" t="s">
        <v>21</v>
      </c>
      <c r="N6167" s="33" t="s">
        <v>8857</v>
      </c>
      <c r="O6167" s="33" t="s">
        <v>4311</v>
      </c>
      <c r="P6167" s="33" t="s">
        <v>30089</v>
      </c>
      <c r="Q6167" s="40" t="s">
        <v>8858</v>
      </c>
      <c r="R6167" s="33" t="s">
        <v>94</v>
      </c>
      <c r="S6167" s="33" t="s">
        <v>22</v>
      </c>
      <c r="T6167" s="1" t="s">
        <v>26781</v>
      </c>
      <c r="Z6167" s="33" t="s">
        <v>42967</v>
      </c>
      <c r="AA6167" s="33">
        <v>1496</v>
      </c>
    </row>
    <row r="6168" spans="1:31" ht="12" customHeight="1" x14ac:dyDescent="0.15">
      <c r="A6168" s="33" t="s">
        <v>8837</v>
      </c>
      <c r="B6168" s="33">
        <v>56</v>
      </c>
      <c r="C6168" s="33" t="s">
        <v>14</v>
      </c>
      <c r="D6168" s="33" t="s">
        <v>24</v>
      </c>
      <c r="F6168" s="67">
        <v>41778</v>
      </c>
      <c r="G6168" s="33" t="s">
        <v>8838</v>
      </c>
      <c r="H6168" s="33" t="s">
        <v>8839</v>
      </c>
      <c r="I6168" s="33" t="s">
        <v>56</v>
      </c>
      <c r="J6168" s="33" t="s">
        <v>8840</v>
      </c>
      <c r="K6168" s="33" t="s">
        <v>8841</v>
      </c>
      <c r="L6168" s="33" t="s">
        <v>8842</v>
      </c>
      <c r="M6168" s="33" t="s">
        <v>21</v>
      </c>
      <c r="N6168" s="33" t="s">
        <v>8843</v>
      </c>
      <c r="O6168" s="33" t="s">
        <v>950</v>
      </c>
      <c r="P6168" s="33" t="s">
        <v>30089</v>
      </c>
      <c r="Q6168" s="40" t="s">
        <v>8844</v>
      </c>
      <c r="R6168" s="33" t="s">
        <v>94</v>
      </c>
      <c r="S6168" s="33" t="s">
        <v>22</v>
      </c>
      <c r="T6168" s="1" t="s">
        <v>26781</v>
      </c>
      <c r="Z6168" s="33" t="s">
        <v>42968</v>
      </c>
      <c r="AA6168" s="33">
        <v>1495</v>
      </c>
    </row>
    <row r="6169" spans="1:31" ht="12" customHeight="1" x14ac:dyDescent="0.15">
      <c r="A6169" s="33" t="s">
        <v>8828</v>
      </c>
      <c r="B6169" s="33">
        <v>37</v>
      </c>
      <c r="C6169" s="33" t="s">
        <v>14</v>
      </c>
      <c r="D6169" s="33" t="s">
        <v>42</v>
      </c>
      <c r="E6169" s="33" t="s">
        <v>8829</v>
      </c>
      <c r="F6169" s="67">
        <v>41778</v>
      </c>
      <c r="G6169" s="33" t="s">
        <v>8830</v>
      </c>
      <c r="H6169" s="33" t="s">
        <v>8831</v>
      </c>
      <c r="I6169" s="33" t="s">
        <v>46</v>
      </c>
      <c r="J6169" s="33" t="s">
        <v>8832</v>
      </c>
      <c r="K6169" s="33" t="s">
        <v>8833</v>
      </c>
      <c r="L6169" s="33" t="s">
        <v>8834</v>
      </c>
      <c r="M6169" s="33" t="s">
        <v>21</v>
      </c>
      <c r="N6169" s="33" t="s">
        <v>8835</v>
      </c>
      <c r="O6169" s="33" t="s">
        <v>950</v>
      </c>
      <c r="P6169" s="33" t="s">
        <v>30089</v>
      </c>
      <c r="Q6169" s="40" t="s">
        <v>8836</v>
      </c>
      <c r="R6169" s="33" t="s">
        <v>94</v>
      </c>
      <c r="S6169" s="33" t="s">
        <v>22</v>
      </c>
      <c r="T6169" s="1" t="s">
        <v>26781</v>
      </c>
      <c r="Z6169" s="33" t="s">
        <v>42968</v>
      </c>
      <c r="AA6169" s="33">
        <v>1494</v>
      </c>
    </row>
    <row r="6170" spans="1:31" ht="12" customHeight="1" x14ac:dyDescent="0.15">
      <c r="A6170" s="33" t="s">
        <v>8822</v>
      </c>
      <c r="B6170" s="33">
        <v>39</v>
      </c>
      <c r="C6170" s="33" t="s">
        <v>14</v>
      </c>
      <c r="D6170" s="33" t="s">
        <v>79</v>
      </c>
      <c r="E6170" s="33" t="s">
        <v>8823</v>
      </c>
      <c r="F6170" s="67">
        <v>41778</v>
      </c>
      <c r="G6170" s="33" t="s">
        <v>8824</v>
      </c>
      <c r="H6170" s="33" t="s">
        <v>700</v>
      </c>
      <c r="I6170" s="33" t="s">
        <v>395</v>
      </c>
      <c r="J6170" s="33" t="s">
        <v>8825</v>
      </c>
      <c r="K6170" s="33" t="s">
        <v>700</v>
      </c>
      <c r="L6170" s="33" t="s">
        <v>539</v>
      </c>
      <c r="M6170" s="33" t="s">
        <v>21</v>
      </c>
      <c r="N6170" s="33" t="s">
        <v>8826</v>
      </c>
      <c r="O6170" s="33" t="s">
        <v>950</v>
      </c>
      <c r="P6170" s="33" t="s">
        <v>30089</v>
      </c>
      <c r="Q6170" s="40" t="s">
        <v>8827</v>
      </c>
      <c r="R6170" s="33" t="s">
        <v>904</v>
      </c>
      <c r="S6170" s="33" t="s">
        <v>22</v>
      </c>
      <c r="T6170" s="1" t="s">
        <v>29867</v>
      </c>
      <c r="Z6170" s="33" t="s">
        <v>42966</v>
      </c>
      <c r="AA6170" s="33">
        <v>1497</v>
      </c>
    </row>
    <row r="6171" spans="1:31" ht="12" customHeight="1" x14ac:dyDescent="0.15">
      <c r="A6171" s="33" t="s">
        <v>8845</v>
      </c>
      <c r="B6171" s="33">
        <v>41</v>
      </c>
      <c r="C6171" s="33" t="s">
        <v>14</v>
      </c>
      <c r="D6171" s="33" t="s">
        <v>24</v>
      </c>
      <c r="F6171" s="67">
        <v>41778</v>
      </c>
      <c r="G6171" s="33" t="s">
        <v>8846</v>
      </c>
      <c r="H6171" s="33" t="s">
        <v>8847</v>
      </c>
      <c r="I6171" s="33" t="s">
        <v>338</v>
      </c>
      <c r="J6171" s="33" t="s">
        <v>8848</v>
      </c>
      <c r="K6171" s="33" t="s">
        <v>3640</v>
      </c>
      <c r="L6171" s="33" t="s">
        <v>8849</v>
      </c>
      <c r="M6171" s="33" t="s">
        <v>21</v>
      </c>
      <c r="N6171" s="33" t="s">
        <v>8850</v>
      </c>
      <c r="O6171" s="33" t="s">
        <v>950</v>
      </c>
      <c r="P6171" s="33" t="s">
        <v>30089</v>
      </c>
      <c r="Q6171" s="40" t="s">
        <v>8851</v>
      </c>
      <c r="R6171" s="33" t="s">
        <v>23</v>
      </c>
      <c r="S6171" s="33" t="s">
        <v>22</v>
      </c>
      <c r="T6171" s="1" t="s">
        <v>26576</v>
      </c>
      <c r="Z6171" s="33" t="s">
        <v>42967</v>
      </c>
      <c r="AA6171" s="33">
        <v>1498</v>
      </c>
    </row>
    <row r="6172" spans="1:31" ht="12" customHeight="1" x14ac:dyDescent="0.15">
      <c r="A6172" s="33" t="s">
        <v>8876</v>
      </c>
      <c r="B6172" s="33">
        <v>26</v>
      </c>
      <c r="C6172" s="33" t="s">
        <v>103</v>
      </c>
      <c r="D6172" s="33" t="s">
        <v>31</v>
      </c>
      <c r="E6172" s="33" t="s">
        <v>8877</v>
      </c>
      <c r="F6172" s="67">
        <v>41777</v>
      </c>
      <c r="G6172" s="33" t="s">
        <v>8878</v>
      </c>
      <c r="H6172" s="33" t="s">
        <v>2014</v>
      </c>
      <c r="I6172" s="33" t="s">
        <v>409</v>
      </c>
      <c r="J6172" s="33" t="s">
        <v>8879</v>
      </c>
      <c r="K6172" s="33" t="s">
        <v>8880</v>
      </c>
      <c r="L6172" s="33" t="s">
        <v>3519</v>
      </c>
      <c r="M6172" s="33" t="s">
        <v>21</v>
      </c>
      <c r="N6172" s="33" t="s">
        <v>8881</v>
      </c>
      <c r="O6172" s="33" t="s">
        <v>950</v>
      </c>
      <c r="P6172" s="33" t="s">
        <v>30089</v>
      </c>
      <c r="Q6172" s="40" t="s">
        <v>8882</v>
      </c>
      <c r="R6172" s="33" t="s">
        <v>94</v>
      </c>
      <c r="S6172" s="33" t="s">
        <v>22</v>
      </c>
      <c r="T6172" s="1" t="s">
        <v>26781</v>
      </c>
      <c r="Z6172" s="33" t="s">
        <v>42968</v>
      </c>
      <c r="AA6172" s="33">
        <v>1489</v>
      </c>
    </row>
    <row r="6173" spans="1:31" ht="12" customHeight="1" x14ac:dyDescent="0.15">
      <c r="A6173" s="33" t="s">
        <v>8866</v>
      </c>
      <c r="B6173" s="33">
        <v>44</v>
      </c>
      <c r="C6173" s="33" t="s">
        <v>103</v>
      </c>
      <c r="D6173" s="33" t="s">
        <v>24</v>
      </c>
      <c r="F6173" s="67">
        <v>41777</v>
      </c>
      <c r="G6173" s="33" t="s">
        <v>8867</v>
      </c>
      <c r="H6173" s="33" t="s">
        <v>532</v>
      </c>
      <c r="I6173" s="33" t="s">
        <v>67</v>
      </c>
      <c r="J6173" s="33" t="s">
        <v>1475</v>
      </c>
      <c r="K6173" s="33" t="s">
        <v>533</v>
      </c>
      <c r="L6173" s="33" t="s">
        <v>534</v>
      </c>
      <c r="M6173" s="33" t="s">
        <v>21</v>
      </c>
      <c r="N6173" s="33" t="s">
        <v>8868</v>
      </c>
      <c r="O6173" s="33" t="s">
        <v>950</v>
      </c>
      <c r="P6173" s="33" t="s">
        <v>30089</v>
      </c>
      <c r="Q6173" s="40" t="str">
        <f>HYPERLINK("http://www.expressnews.com/news/local/article/Officer-shoots-kills-woman-who-police-said-5490353.php","http://www.expressnews.com/news/local/article/Officer-shoots-kills-woman-who-police-said-5490353.php")</f>
        <v>http://www.expressnews.com/news/local/article/Officer-shoots-kills-woman-who-police-said-5490353.php</v>
      </c>
      <c r="R6173" s="33" t="s">
        <v>23</v>
      </c>
      <c r="S6173" s="33" t="s">
        <v>22</v>
      </c>
      <c r="T6173" s="1" t="s">
        <v>26774</v>
      </c>
      <c r="Z6173" s="33" t="s">
        <v>42968</v>
      </c>
      <c r="AA6173" s="33">
        <v>1492</v>
      </c>
    </row>
    <row r="6174" spans="1:31" ht="12" customHeight="1" x14ac:dyDescent="0.15">
      <c r="A6174" s="33" t="s">
        <v>8869</v>
      </c>
      <c r="B6174" s="33">
        <v>24</v>
      </c>
      <c r="C6174" s="33" t="s">
        <v>14</v>
      </c>
      <c r="D6174" s="33" t="s">
        <v>31</v>
      </c>
      <c r="F6174" s="67">
        <v>41777</v>
      </c>
      <c r="G6174" s="33" t="s">
        <v>8870</v>
      </c>
      <c r="H6174" s="33" t="s">
        <v>8871</v>
      </c>
      <c r="I6174" s="33" t="s">
        <v>39</v>
      </c>
      <c r="J6174" s="33" t="s">
        <v>8872</v>
      </c>
      <c r="K6174" s="33" t="s">
        <v>4807</v>
      </c>
      <c r="L6174" s="33" t="s">
        <v>8873</v>
      </c>
      <c r="M6174" s="33" t="s">
        <v>21</v>
      </c>
      <c r="N6174" s="33" t="s">
        <v>8874</v>
      </c>
      <c r="O6174" s="33" t="s">
        <v>950</v>
      </c>
      <c r="P6174" s="33" t="s">
        <v>30089</v>
      </c>
      <c r="Q6174" s="40" t="s">
        <v>8875</v>
      </c>
      <c r="R6174" s="33" t="s">
        <v>512</v>
      </c>
      <c r="S6174" s="33" t="s">
        <v>12</v>
      </c>
      <c r="T6174" s="33" t="s">
        <v>29425</v>
      </c>
      <c r="Z6174" s="33" t="s">
        <v>42967</v>
      </c>
      <c r="AA6174" s="33">
        <v>1493</v>
      </c>
      <c r="AE6174" s="33"/>
    </row>
    <row r="6175" spans="1:31" ht="12" customHeight="1" x14ac:dyDescent="0.15">
      <c r="A6175" s="33" t="s">
        <v>8859</v>
      </c>
      <c r="B6175" s="33">
        <v>21</v>
      </c>
      <c r="C6175" s="33" t="s">
        <v>14</v>
      </c>
      <c r="D6175" s="33" t="s">
        <v>79</v>
      </c>
      <c r="F6175" s="67">
        <v>41777</v>
      </c>
      <c r="G6175" s="33" t="s">
        <v>8860</v>
      </c>
      <c r="H6175" s="33" t="s">
        <v>8861</v>
      </c>
      <c r="I6175" s="33" t="s">
        <v>918</v>
      </c>
      <c r="J6175" s="33" t="s">
        <v>8862</v>
      </c>
      <c r="K6175" s="33" t="s">
        <v>2312</v>
      </c>
      <c r="L6175" s="33" t="s">
        <v>8863</v>
      </c>
      <c r="M6175" s="33" t="s">
        <v>21</v>
      </c>
      <c r="N6175" s="33" t="s">
        <v>8864</v>
      </c>
      <c r="O6175" s="33" t="s">
        <v>950</v>
      </c>
      <c r="P6175" s="33" t="s">
        <v>30089</v>
      </c>
      <c r="Q6175" s="40" t="s">
        <v>8865</v>
      </c>
      <c r="R6175" s="33" t="s">
        <v>94</v>
      </c>
      <c r="S6175" s="33" t="s">
        <v>22</v>
      </c>
      <c r="T6175" s="1" t="s">
        <v>26781</v>
      </c>
      <c r="Y6175" s="33" t="s">
        <v>42476</v>
      </c>
      <c r="Z6175" s="33" t="s">
        <v>42966</v>
      </c>
      <c r="AA6175" s="33">
        <v>1490</v>
      </c>
    </row>
    <row r="6176" spans="1:31" ht="12" customHeight="1" x14ac:dyDescent="0.15">
      <c r="A6176" s="33" t="s">
        <v>8883</v>
      </c>
      <c r="B6176" s="33">
        <v>47</v>
      </c>
      <c r="C6176" s="33" t="s">
        <v>14</v>
      </c>
      <c r="D6176" s="33" t="s">
        <v>31</v>
      </c>
      <c r="E6176" s="33" t="str">
        <f>HYPERLINK("http://nrvnews.com/wp-content/uploads/2014/05/saunders_thomas_neil.jpg","http://nrvnews.com/wp-content/uploads/2014/05/saunders_thomas_neil.jpg")</f>
        <v>http://nrvnews.com/wp-content/uploads/2014/05/saunders_thomas_neil.jpg</v>
      </c>
      <c r="F6176" s="67">
        <v>41777</v>
      </c>
      <c r="G6176" s="33" t="s">
        <v>8884</v>
      </c>
      <c r="H6176" s="33" t="s">
        <v>8885</v>
      </c>
      <c r="I6176" s="33" t="s">
        <v>225</v>
      </c>
      <c r="J6176" s="33" t="s">
        <v>8886</v>
      </c>
      <c r="K6176" s="33" t="s">
        <v>8887</v>
      </c>
      <c r="L6176" s="33" t="s">
        <v>8888</v>
      </c>
      <c r="M6176" s="33" t="s">
        <v>21</v>
      </c>
      <c r="N6176" s="33" t="s">
        <v>8889</v>
      </c>
      <c r="O6176" s="33" t="s">
        <v>372</v>
      </c>
      <c r="P6176" s="33" t="s">
        <v>30089</v>
      </c>
      <c r="Q6176" s="40" t="str">
        <f>HYPERLINK("http://www.wdbj7.com/news/local/developing-story-officerinvolved-shooting-in-giles-county/26045058","http://www.wdbj7.com/news/local/developing-story-officerinvolved-shooting-in-giles-county/26045058")</f>
        <v>http://www.wdbj7.com/news/local/developing-story-officerinvolved-shooting-in-giles-county/26045058</v>
      </c>
      <c r="R6176" s="33" t="s">
        <v>94</v>
      </c>
      <c r="S6176" s="33" t="s">
        <v>22</v>
      </c>
      <c r="T6176" s="1" t="s">
        <v>26781</v>
      </c>
      <c r="Z6176" s="33" t="s">
        <v>42967</v>
      </c>
      <c r="AA6176" s="33">
        <v>1491</v>
      </c>
    </row>
    <row r="6177" spans="1:27" ht="12" customHeight="1" x14ac:dyDescent="0.15">
      <c r="A6177" s="33" t="s">
        <v>8890</v>
      </c>
      <c r="B6177" s="33">
        <v>34</v>
      </c>
      <c r="C6177" s="33" t="s">
        <v>14</v>
      </c>
      <c r="D6177" s="33" t="s">
        <v>42</v>
      </c>
      <c r="F6177" s="67">
        <v>41776</v>
      </c>
      <c r="G6177" s="33" t="s">
        <v>8891</v>
      </c>
      <c r="H6177" s="33" t="s">
        <v>92</v>
      </c>
      <c r="I6177" s="33" t="s">
        <v>39</v>
      </c>
      <c r="J6177" s="33" t="s">
        <v>8892</v>
      </c>
      <c r="K6177" s="33" t="s">
        <v>92</v>
      </c>
      <c r="L6177" s="33" t="s">
        <v>93</v>
      </c>
      <c r="M6177" s="33" t="s">
        <v>21</v>
      </c>
      <c r="N6177" s="33" t="s">
        <v>8893</v>
      </c>
      <c r="O6177" s="33" t="s">
        <v>4311</v>
      </c>
      <c r="P6177" s="33" t="s">
        <v>30089</v>
      </c>
      <c r="Q6177" s="40" t="s">
        <v>8894</v>
      </c>
      <c r="R6177" s="33" t="s">
        <v>94</v>
      </c>
      <c r="S6177" s="33" t="s">
        <v>22</v>
      </c>
      <c r="T6177" s="1" t="s">
        <v>26774</v>
      </c>
      <c r="Z6177" s="33" t="s">
        <v>42966</v>
      </c>
      <c r="AA6177" s="33">
        <v>1487</v>
      </c>
    </row>
    <row r="6178" spans="1:27" ht="12" customHeight="1" x14ac:dyDescent="0.15">
      <c r="A6178" s="33" t="s">
        <v>8895</v>
      </c>
      <c r="B6178" s="33">
        <v>30</v>
      </c>
      <c r="C6178" s="33" t="s">
        <v>14</v>
      </c>
      <c r="D6178" s="33" t="s">
        <v>31</v>
      </c>
      <c r="E6178" s="33" t="s">
        <v>8896</v>
      </c>
      <c r="F6178" s="67">
        <v>41776</v>
      </c>
      <c r="G6178" s="33" t="s">
        <v>8897</v>
      </c>
      <c r="H6178" s="33" t="s">
        <v>8898</v>
      </c>
      <c r="I6178" s="33" t="s">
        <v>409</v>
      </c>
      <c r="J6178" s="33" t="s">
        <v>8899</v>
      </c>
      <c r="K6178" s="33" t="s">
        <v>2178</v>
      </c>
      <c r="L6178" s="33" t="s">
        <v>36827</v>
      </c>
      <c r="M6178" s="33" t="s">
        <v>21</v>
      </c>
      <c r="N6178" s="33" t="s">
        <v>8900</v>
      </c>
      <c r="O6178" s="33" t="s">
        <v>950</v>
      </c>
      <c r="P6178" s="33" t="s">
        <v>30089</v>
      </c>
      <c r="Q6178" s="40" t="s">
        <v>8901</v>
      </c>
      <c r="R6178" s="33" t="s">
        <v>94</v>
      </c>
      <c r="S6178" s="33" t="s">
        <v>29</v>
      </c>
      <c r="T6178" s="1" t="s">
        <v>41840</v>
      </c>
      <c r="Z6178" s="33" t="s">
        <v>42967</v>
      </c>
      <c r="AA6178" s="33">
        <v>1488</v>
      </c>
    </row>
    <row r="6179" spans="1:27" ht="12" customHeight="1" x14ac:dyDescent="0.15">
      <c r="A6179" s="33" t="s">
        <v>8902</v>
      </c>
      <c r="B6179" s="33">
        <v>24</v>
      </c>
      <c r="C6179" s="33" t="s">
        <v>14</v>
      </c>
      <c r="D6179" s="33" t="s">
        <v>79</v>
      </c>
      <c r="E6179" s="33" t="s">
        <v>8903</v>
      </c>
      <c r="F6179" s="67">
        <v>41775</v>
      </c>
      <c r="G6179" s="33" t="s">
        <v>8904</v>
      </c>
      <c r="H6179" s="33" t="s">
        <v>401</v>
      </c>
      <c r="I6179" s="33" t="s">
        <v>337</v>
      </c>
      <c r="J6179" s="33" t="s">
        <v>8905</v>
      </c>
      <c r="K6179" s="33" t="s">
        <v>554</v>
      </c>
      <c r="L6179" s="33" t="s">
        <v>42466</v>
      </c>
      <c r="M6179" s="33" t="s">
        <v>21</v>
      </c>
      <c r="N6179" s="33" t="s">
        <v>8906</v>
      </c>
      <c r="O6179" s="33" t="s">
        <v>4311</v>
      </c>
      <c r="P6179" s="33" t="s">
        <v>30089</v>
      </c>
      <c r="Q6179" s="40" t="str">
        <f>HYPERLINK("http://www.kansascity.com/2014/05/20/5035276/kck-standoff-suspect-killed-by.html","http://www.kansascity.com/2014/05/20/5035276/kck-standoff-suspect-killed-by.html")</f>
        <v>http://www.kansascity.com/2014/05/20/5035276/kck-standoff-suspect-killed-by.html</v>
      </c>
      <c r="R6179" s="33" t="s">
        <v>94</v>
      </c>
      <c r="S6179" s="33" t="s">
        <v>22</v>
      </c>
      <c r="T6179" s="1" t="s">
        <v>26781</v>
      </c>
      <c r="Z6179" s="33" t="s">
        <v>42968</v>
      </c>
      <c r="AA6179" s="33">
        <v>1482</v>
      </c>
    </row>
    <row r="6180" spans="1:27" ht="12" customHeight="1" x14ac:dyDescent="0.15">
      <c r="A6180" s="33" t="s">
        <v>8919</v>
      </c>
      <c r="B6180" s="33">
        <v>38</v>
      </c>
      <c r="C6180" s="33" t="s">
        <v>14</v>
      </c>
      <c r="D6180" s="33" t="s">
        <v>31</v>
      </c>
      <c r="E6180" s="33" t="s">
        <v>8920</v>
      </c>
      <c r="F6180" s="67">
        <v>41775</v>
      </c>
      <c r="G6180" s="33" t="s">
        <v>8921</v>
      </c>
      <c r="H6180" s="33" t="s">
        <v>8922</v>
      </c>
      <c r="I6180" s="33" t="s">
        <v>294</v>
      </c>
      <c r="J6180" s="33" t="s">
        <v>8923</v>
      </c>
      <c r="K6180" s="33" t="s">
        <v>6654</v>
      </c>
      <c r="L6180" s="33" t="s">
        <v>3101</v>
      </c>
      <c r="M6180" s="33" t="s">
        <v>21</v>
      </c>
      <c r="N6180" s="33" t="s">
        <v>8924</v>
      </c>
      <c r="O6180" s="33" t="s">
        <v>4311</v>
      </c>
      <c r="P6180" s="33" t="s">
        <v>30089</v>
      </c>
      <c r="Q6180" s="40" t="s">
        <v>8925</v>
      </c>
      <c r="R6180" s="33" t="s">
        <v>23</v>
      </c>
      <c r="S6180" s="33" t="s">
        <v>22</v>
      </c>
      <c r="T6180" s="33" t="s">
        <v>26781</v>
      </c>
      <c r="Z6180" s="33" t="s">
        <v>42967</v>
      </c>
      <c r="AA6180" s="33">
        <v>1485</v>
      </c>
    </row>
    <row r="6181" spans="1:27" ht="12" customHeight="1" x14ac:dyDescent="0.15">
      <c r="A6181" s="33" t="s">
        <v>8907</v>
      </c>
      <c r="B6181" s="33">
        <v>45</v>
      </c>
      <c r="C6181" s="33" t="s">
        <v>14</v>
      </c>
      <c r="D6181" s="33" t="s">
        <v>79</v>
      </c>
      <c r="E6181" s="33" t="s">
        <v>8908</v>
      </c>
      <c r="F6181" s="67">
        <v>41775</v>
      </c>
      <c r="G6181" s="33" t="s">
        <v>8909</v>
      </c>
      <c r="H6181" s="33" t="s">
        <v>700</v>
      </c>
      <c r="I6181" s="33" t="s">
        <v>395</v>
      </c>
      <c r="J6181" s="33" t="s">
        <v>8910</v>
      </c>
      <c r="K6181" s="33" t="s">
        <v>700</v>
      </c>
      <c r="L6181" s="33" t="s">
        <v>539</v>
      </c>
      <c r="M6181" s="33" t="s">
        <v>21</v>
      </c>
      <c r="N6181" s="33" t="s">
        <v>8911</v>
      </c>
      <c r="O6181" s="33" t="s">
        <v>372</v>
      </c>
      <c r="P6181" s="33" t="s">
        <v>30089</v>
      </c>
      <c r="Q6181" s="40" t="str">
        <f>HYPERLINK("http://www.nbcnewyork.com/news/local/NYPD-Shooting-FDR-Drive-96-Street-259556971.html","http://www.nbcnewyork.com/news/local/NYPD-Shooting-FDR-Drive-96-Street-259556971.html")</f>
        <v>http://www.nbcnewyork.com/news/local/NYPD-Shooting-FDR-Drive-96-Street-259556971.html</v>
      </c>
      <c r="R6181" s="33" t="s">
        <v>23</v>
      </c>
      <c r="S6181" s="33" t="s">
        <v>22</v>
      </c>
      <c r="T6181" s="1" t="s">
        <v>26781</v>
      </c>
      <c r="Z6181" s="33" t="s">
        <v>42966</v>
      </c>
      <c r="AA6181" s="33">
        <v>1483</v>
      </c>
    </row>
    <row r="6182" spans="1:27" ht="12" customHeight="1" x14ac:dyDescent="0.15">
      <c r="A6182" s="33" t="s">
        <v>8913</v>
      </c>
      <c r="B6182" s="33">
        <v>47</v>
      </c>
      <c r="C6182" s="33" t="s">
        <v>14</v>
      </c>
      <c r="D6182" s="33" t="s">
        <v>24</v>
      </c>
      <c r="F6182" s="67">
        <v>41775</v>
      </c>
      <c r="G6182" s="33" t="s">
        <v>8914</v>
      </c>
      <c r="H6182" s="33" t="s">
        <v>8915</v>
      </c>
      <c r="I6182" s="33" t="s">
        <v>19</v>
      </c>
      <c r="J6182" s="33" t="s">
        <v>8916</v>
      </c>
      <c r="K6182" s="33" t="s">
        <v>1659</v>
      </c>
      <c r="L6182" s="33" t="s">
        <v>2258</v>
      </c>
      <c r="M6182" s="33" t="s">
        <v>21</v>
      </c>
      <c r="N6182" s="33" t="s">
        <v>8917</v>
      </c>
      <c r="O6182" s="33" t="s">
        <v>4311</v>
      </c>
      <c r="P6182" s="33" t="s">
        <v>30089</v>
      </c>
      <c r="Q6182" s="40" t="s">
        <v>8918</v>
      </c>
      <c r="R6182" s="33" t="s">
        <v>23</v>
      </c>
      <c r="S6182" s="33" t="s">
        <v>22</v>
      </c>
      <c r="T6182" s="1" t="s">
        <v>26781</v>
      </c>
      <c r="Z6182" s="33" t="s">
        <v>42966</v>
      </c>
      <c r="AA6182" s="33">
        <v>1484</v>
      </c>
    </row>
    <row r="6183" spans="1:27" ht="12" customHeight="1" x14ac:dyDescent="0.15">
      <c r="A6183" s="33" t="s">
        <v>8926</v>
      </c>
      <c r="B6183" s="33">
        <v>36</v>
      </c>
      <c r="C6183" s="33" t="s">
        <v>14</v>
      </c>
      <c r="D6183" s="33" t="s">
        <v>31</v>
      </c>
      <c r="E6183" s="33" t="s">
        <v>8927</v>
      </c>
      <c r="F6183" s="67">
        <v>41775</v>
      </c>
      <c r="G6183" s="33" t="s">
        <v>8928</v>
      </c>
      <c r="H6183" s="33" t="s">
        <v>8929</v>
      </c>
      <c r="I6183" s="33" t="s">
        <v>56</v>
      </c>
      <c r="J6183" s="33" t="s">
        <v>8930</v>
      </c>
      <c r="K6183" s="33" t="s">
        <v>2152</v>
      </c>
      <c r="L6183" s="33" t="s">
        <v>8931</v>
      </c>
      <c r="M6183" s="33" t="s">
        <v>21</v>
      </c>
      <c r="N6183" s="33" t="s">
        <v>8932</v>
      </c>
      <c r="O6183" s="33" t="s">
        <v>950</v>
      </c>
      <c r="P6183" s="33" t="s">
        <v>30089</v>
      </c>
      <c r="Q6183" s="40" t="s">
        <v>8933</v>
      </c>
      <c r="R6183" s="33" t="s">
        <v>23</v>
      </c>
      <c r="S6183" s="33" t="s">
        <v>22</v>
      </c>
      <c r="T6183" s="1" t="s">
        <v>26576</v>
      </c>
      <c r="Z6183" s="33" t="s">
        <v>42968</v>
      </c>
      <c r="AA6183" s="33">
        <v>1486</v>
      </c>
    </row>
    <row r="6184" spans="1:27" ht="12" customHeight="1" x14ac:dyDescent="0.15">
      <c r="A6184" s="33" t="s">
        <v>8934</v>
      </c>
      <c r="B6184" s="33">
        <v>57</v>
      </c>
      <c r="C6184" s="33" t="s">
        <v>103</v>
      </c>
      <c r="D6184" s="33" t="s">
        <v>31</v>
      </c>
      <c r="E6184" s="33" t="s">
        <v>8935</v>
      </c>
      <c r="F6184" s="67">
        <v>41774</v>
      </c>
      <c r="G6184" s="33" t="s">
        <v>8936</v>
      </c>
      <c r="H6184" s="33" t="s">
        <v>5603</v>
      </c>
      <c r="I6184" s="33" t="s">
        <v>39</v>
      </c>
      <c r="J6184" s="33" t="s">
        <v>8937</v>
      </c>
      <c r="K6184" s="33" t="s">
        <v>4146</v>
      </c>
      <c r="L6184" s="33" t="s">
        <v>5605</v>
      </c>
      <c r="M6184" s="33" t="s">
        <v>21</v>
      </c>
      <c r="N6184" s="33" t="s">
        <v>8938</v>
      </c>
      <c r="O6184" s="33" t="s">
        <v>372</v>
      </c>
      <c r="P6184" s="33" t="s">
        <v>30089</v>
      </c>
      <c r="Q6184" s="40" t="str">
        <f>HYPERLINK("http://www.mercurynews.com/my-town/ci_25773669/concord-police-shoot-kill-suspect-thursday-evening","http://www.mercurynews.com/my-town/ci_25773669/concord-police-shoot-kill-suspect-thursday-evening")</f>
        <v>http://www.mercurynews.com/my-town/ci_25773669/concord-police-shoot-kill-suspect-thursday-evening</v>
      </c>
      <c r="R6184" s="33" t="s">
        <v>512</v>
      </c>
      <c r="S6184" s="33" t="s">
        <v>22</v>
      </c>
      <c r="T6184" s="1" t="s">
        <v>26781</v>
      </c>
      <c r="Z6184" s="33" t="s">
        <v>42968</v>
      </c>
      <c r="AA6184" s="33">
        <v>1479</v>
      </c>
    </row>
    <row r="6185" spans="1:27" ht="12" customHeight="1" x14ac:dyDescent="0.15">
      <c r="A6185" s="33" t="s">
        <v>8939</v>
      </c>
      <c r="B6185" s="33">
        <v>29</v>
      </c>
      <c r="C6185" s="33" t="s">
        <v>14</v>
      </c>
      <c r="D6185" s="33" t="s">
        <v>31</v>
      </c>
      <c r="F6185" s="67">
        <v>41774</v>
      </c>
      <c r="G6185" s="33" t="s">
        <v>8940</v>
      </c>
      <c r="H6185" s="33" t="s">
        <v>3577</v>
      </c>
      <c r="I6185" s="33" t="s">
        <v>40</v>
      </c>
      <c r="J6185" s="33" t="s">
        <v>8941</v>
      </c>
      <c r="K6185" s="33" t="s">
        <v>486</v>
      </c>
      <c r="L6185" s="33" t="s">
        <v>8942</v>
      </c>
      <c r="M6185" s="33" t="s">
        <v>21</v>
      </c>
      <c r="N6185" s="33" t="s">
        <v>8943</v>
      </c>
      <c r="O6185" s="33" t="s">
        <v>950</v>
      </c>
      <c r="P6185" s="33" t="s">
        <v>30089</v>
      </c>
      <c r="Q6185" s="40" t="s">
        <v>8944</v>
      </c>
      <c r="R6185" s="33" t="s">
        <v>94</v>
      </c>
      <c r="S6185" s="33" t="s">
        <v>22</v>
      </c>
      <c r="T6185" s="1" t="s">
        <v>26593</v>
      </c>
      <c r="Z6185" s="33" t="s">
        <v>42968</v>
      </c>
      <c r="AA6185" s="33">
        <v>1481</v>
      </c>
    </row>
    <row r="6186" spans="1:27" ht="12" customHeight="1" x14ac:dyDescent="0.15">
      <c r="A6186" s="33" t="s">
        <v>8945</v>
      </c>
      <c r="B6186" s="33">
        <v>43</v>
      </c>
      <c r="C6186" s="33" t="s">
        <v>14</v>
      </c>
      <c r="D6186" s="33" t="s">
        <v>31</v>
      </c>
      <c r="E6186" s="33" t="s">
        <v>8946</v>
      </c>
      <c r="F6186" s="67">
        <v>41774</v>
      </c>
      <c r="G6186" s="33" t="s">
        <v>8947</v>
      </c>
      <c r="H6186" s="33" t="s">
        <v>8948</v>
      </c>
      <c r="I6186" s="33" t="s">
        <v>56</v>
      </c>
      <c r="J6186" s="33" t="s">
        <v>8949</v>
      </c>
      <c r="K6186" s="33" t="s">
        <v>4016</v>
      </c>
      <c r="L6186" s="33" t="s">
        <v>4955</v>
      </c>
      <c r="M6186" s="33" t="s">
        <v>21</v>
      </c>
      <c r="N6186" s="33" t="s">
        <v>8950</v>
      </c>
      <c r="O6186" s="33" t="s">
        <v>950</v>
      </c>
      <c r="P6186" s="33" t="s">
        <v>30089</v>
      </c>
      <c r="Q6186" s="40" t="s">
        <v>8951</v>
      </c>
      <c r="R6186" s="33" t="s">
        <v>94</v>
      </c>
      <c r="S6186" s="33" t="s">
        <v>22</v>
      </c>
      <c r="T6186" s="1" t="s">
        <v>26781</v>
      </c>
      <c r="Z6186" s="33" t="s">
        <v>42968</v>
      </c>
      <c r="AA6186" s="33">
        <v>1480</v>
      </c>
    </row>
    <row r="6187" spans="1:27" ht="12" customHeight="1" x14ac:dyDescent="0.15">
      <c r="A6187" s="33" t="s">
        <v>8952</v>
      </c>
      <c r="B6187" s="33">
        <v>22</v>
      </c>
      <c r="C6187" s="33" t="s">
        <v>14</v>
      </c>
      <c r="D6187" s="33" t="s">
        <v>42</v>
      </c>
      <c r="E6187" s="33" t="s">
        <v>8953</v>
      </c>
      <c r="F6187" s="67">
        <v>41773</v>
      </c>
      <c r="G6187" s="33" t="s">
        <v>8954</v>
      </c>
      <c r="H6187" s="33" t="s">
        <v>7781</v>
      </c>
      <c r="I6187" s="33" t="s">
        <v>67</v>
      </c>
      <c r="J6187" s="33" t="s">
        <v>8955</v>
      </c>
      <c r="K6187" s="33" t="s">
        <v>635</v>
      </c>
      <c r="L6187" s="33" t="s">
        <v>7783</v>
      </c>
      <c r="M6187" s="33" t="s">
        <v>21</v>
      </c>
      <c r="N6187" s="33" t="s">
        <v>8956</v>
      </c>
      <c r="O6187" s="33" t="s">
        <v>950</v>
      </c>
      <c r="P6187" s="33" t="s">
        <v>30089</v>
      </c>
      <c r="Q6187" s="40" t="s">
        <v>8957</v>
      </c>
      <c r="R6187" s="33" t="s">
        <v>94</v>
      </c>
      <c r="S6187" s="33" t="s">
        <v>22</v>
      </c>
      <c r="T6187" s="1" t="s">
        <v>26576</v>
      </c>
      <c r="Z6187" s="33" t="s">
        <v>42968</v>
      </c>
      <c r="AA6187" s="33">
        <v>1478</v>
      </c>
    </row>
    <row r="6188" spans="1:27" ht="12" customHeight="1" x14ac:dyDescent="0.15">
      <c r="A6188" s="33" t="s">
        <v>8959</v>
      </c>
      <c r="B6188" s="33">
        <v>41</v>
      </c>
      <c r="C6188" s="33" t="s">
        <v>14</v>
      </c>
      <c r="D6188" s="33" t="s">
        <v>31</v>
      </c>
      <c r="E6188" s="33" t="s">
        <v>8960</v>
      </c>
      <c r="F6188" s="67">
        <v>41772</v>
      </c>
      <c r="G6188" s="33" t="s">
        <v>8961</v>
      </c>
      <c r="H6188" s="33" t="s">
        <v>8962</v>
      </c>
      <c r="I6188" s="33" t="s">
        <v>56</v>
      </c>
      <c r="J6188" s="33" t="s">
        <v>8963</v>
      </c>
      <c r="K6188" s="33" t="s">
        <v>5505</v>
      </c>
      <c r="L6188" s="33" t="s">
        <v>5506</v>
      </c>
      <c r="M6188" s="33" t="s">
        <v>21</v>
      </c>
      <c r="N6188" s="33" t="s">
        <v>8964</v>
      </c>
      <c r="O6188" s="33" t="s">
        <v>950</v>
      </c>
      <c r="P6188" s="33" t="s">
        <v>30089</v>
      </c>
      <c r="Q6188" s="40" t="s">
        <v>8965</v>
      </c>
      <c r="R6188" s="33" t="s">
        <v>94</v>
      </c>
      <c r="S6188" s="33" t="s">
        <v>22</v>
      </c>
      <c r="T6188" s="1" t="s">
        <v>26781</v>
      </c>
      <c r="Z6188" s="33" t="s">
        <v>42968</v>
      </c>
      <c r="AA6188" s="33">
        <v>1477</v>
      </c>
    </row>
    <row r="6189" spans="1:27" ht="12" customHeight="1" x14ac:dyDescent="0.15">
      <c r="A6189" s="33" t="s">
        <v>8966</v>
      </c>
      <c r="B6189" s="33">
        <v>50</v>
      </c>
      <c r="C6189" s="33" t="s">
        <v>103</v>
      </c>
      <c r="D6189" s="33" t="s">
        <v>31</v>
      </c>
      <c r="E6189" s="33" t="s">
        <v>8967</v>
      </c>
      <c r="F6189" s="67">
        <v>41772</v>
      </c>
      <c r="G6189" s="33" t="s">
        <v>8968</v>
      </c>
      <c r="H6189" s="33" t="s">
        <v>3846</v>
      </c>
      <c r="I6189" s="33" t="s">
        <v>402</v>
      </c>
      <c r="J6189" s="33" t="s">
        <v>3847</v>
      </c>
      <c r="K6189" s="33" t="s">
        <v>4549</v>
      </c>
      <c r="L6189" s="33" t="s">
        <v>8969</v>
      </c>
      <c r="M6189" s="33" t="s">
        <v>21</v>
      </c>
      <c r="N6189" s="33" t="s">
        <v>8970</v>
      </c>
      <c r="O6189" s="33" t="s">
        <v>507</v>
      </c>
      <c r="P6189" s="33" t="s">
        <v>30089</v>
      </c>
      <c r="Q6189" s="40" t="s">
        <v>8971</v>
      </c>
      <c r="R6189" s="33" t="s">
        <v>23</v>
      </c>
      <c r="S6189" s="33" t="s">
        <v>22</v>
      </c>
      <c r="T6189" s="1" t="s">
        <v>26781</v>
      </c>
      <c r="Z6189" s="33" t="s">
        <v>42968</v>
      </c>
      <c r="AA6189" s="33">
        <v>1476</v>
      </c>
    </row>
    <row r="6190" spans="1:27" ht="12" customHeight="1" x14ac:dyDescent="0.15">
      <c r="A6190" s="33" t="s">
        <v>8972</v>
      </c>
      <c r="B6190" s="33">
        <v>21</v>
      </c>
      <c r="C6190" s="33" t="s">
        <v>14</v>
      </c>
      <c r="D6190" s="33" t="s">
        <v>79</v>
      </c>
      <c r="E6190" s="33" t="s">
        <v>8973</v>
      </c>
      <c r="F6190" s="67">
        <v>41771</v>
      </c>
      <c r="G6190" s="33" t="s">
        <v>8974</v>
      </c>
      <c r="H6190" s="33" t="s">
        <v>8975</v>
      </c>
      <c r="I6190" s="33" t="s">
        <v>39</v>
      </c>
      <c r="J6190" s="33" t="s">
        <v>8976</v>
      </c>
      <c r="K6190" s="33" t="s">
        <v>92</v>
      </c>
      <c r="L6190" s="33" t="s">
        <v>93</v>
      </c>
      <c r="M6190" s="33" t="s">
        <v>21</v>
      </c>
      <c r="N6190" s="33" t="s">
        <v>8977</v>
      </c>
      <c r="O6190" s="33" t="s">
        <v>950</v>
      </c>
      <c r="P6190" s="33" t="s">
        <v>30089</v>
      </c>
      <c r="Q6190" s="40" t="s">
        <v>8978</v>
      </c>
      <c r="R6190" s="33" t="s">
        <v>94</v>
      </c>
      <c r="S6190" s="33" t="s">
        <v>22</v>
      </c>
      <c r="T6190" s="1" t="s">
        <v>26781</v>
      </c>
      <c r="Z6190" s="33" t="e">
        <v>#N/A</v>
      </c>
      <c r="AA6190" s="33">
        <v>1473</v>
      </c>
    </row>
    <row r="6191" spans="1:27" ht="12" customHeight="1" x14ac:dyDescent="0.15">
      <c r="A6191" s="33" t="s">
        <v>8985</v>
      </c>
      <c r="B6191" s="33">
        <v>39</v>
      </c>
      <c r="C6191" s="33" t="s">
        <v>14</v>
      </c>
      <c r="D6191" s="33" t="s">
        <v>31</v>
      </c>
      <c r="E6191" s="33" t="s">
        <v>8986</v>
      </c>
      <c r="F6191" s="67">
        <v>41771</v>
      </c>
      <c r="G6191" s="33" t="s">
        <v>8987</v>
      </c>
      <c r="H6191" s="33" t="s">
        <v>8988</v>
      </c>
      <c r="I6191" s="33" t="s">
        <v>88</v>
      </c>
      <c r="J6191" s="33" t="s">
        <v>8989</v>
      </c>
      <c r="K6191" s="33" t="s">
        <v>674</v>
      </c>
      <c r="L6191" s="33" t="s">
        <v>27682</v>
      </c>
      <c r="M6191" s="33" t="s">
        <v>21</v>
      </c>
      <c r="N6191" s="33" t="s">
        <v>8990</v>
      </c>
      <c r="O6191" s="33" t="s">
        <v>950</v>
      </c>
      <c r="P6191" s="33" t="s">
        <v>30089</v>
      </c>
      <c r="Q6191" s="40" t="s">
        <v>8991</v>
      </c>
      <c r="R6191" s="33" t="s">
        <v>94</v>
      </c>
      <c r="S6191" s="33" t="s">
        <v>22</v>
      </c>
      <c r="T6191" s="1" t="s">
        <v>26781</v>
      </c>
      <c r="Z6191" s="33" t="s">
        <v>42967</v>
      </c>
      <c r="AA6191" s="33">
        <v>1475</v>
      </c>
    </row>
    <row r="6192" spans="1:27" ht="12" customHeight="1" x14ac:dyDescent="0.15">
      <c r="A6192" s="33" t="s">
        <v>8979</v>
      </c>
      <c r="B6192" s="33">
        <v>39</v>
      </c>
      <c r="C6192" s="33" t="s">
        <v>14</v>
      </c>
      <c r="D6192" s="33" t="s">
        <v>79</v>
      </c>
      <c r="E6192" s="33" t="s">
        <v>8980</v>
      </c>
      <c r="F6192" s="67">
        <v>41771</v>
      </c>
      <c r="G6192" s="33" t="s">
        <v>8981</v>
      </c>
      <c r="H6192" s="33" t="s">
        <v>3212</v>
      </c>
      <c r="I6192" s="33" t="s">
        <v>56</v>
      </c>
      <c r="J6192" s="33" t="s">
        <v>8982</v>
      </c>
      <c r="K6192" s="33" t="s">
        <v>3214</v>
      </c>
      <c r="L6192" s="33" t="s">
        <v>3215</v>
      </c>
      <c r="M6192" s="33" t="s">
        <v>21</v>
      </c>
      <c r="N6192" s="33" t="s">
        <v>8983</v>
      </c>
      <c r="O6192" s="33" t="s">
        <v>507</v>
      </c>
      <c r="P6192" s="33" t="s">
        <v>30089</v>
      </c>
      <c r="Q6192" s="40" t="s">
        <v>8984</v>
      </c>
      <c r="R6192" s="33" t="s">
        <v>94</v>
      </c>
      <c r="S6192" s="33" t="s">
        <v>22</v>
      </c>
      <c r="T6192" s="1" t="s">
        <v>26781</v>
      </c>
      <c r="Z6192" s="33" t="s">
        <v>42966</v>
      </c>
      <c r="AA6192" s="33">
        <v>1474</v>
      </c>
    </row>
    <row r="6193" spans="1:27" ht="12" customHeight="1" x14ac:dyDescent="0.15">
      <c r="A6193" s="33" t="s">
        <v>9003</v>
      </c>
      <c r="B6193" s="33">
        <v>25</v>
      </c>
      <c r="C6193" s="33" t="s">
        <v>14</v>
      </c>
      <c r="D6193" s="33" t="s">
        <v>42</v>
      </c>
      <c r="E6193" s="33" t="s">
        <v>9004</v>
      </c>
      <c r="F6193" s="67">
        <v>41770</v>
      </c>
      <c r="G6193" s="33" t="s">
        <v>9005</v>
      </c>
      <c r="H6193" s="33" t="s">
        <v>9006</v>
      </c>
      <c r="I6193" s="33" t="s">
        <v>112</v>
      </c>
      <c r="J6193" s="33" t="s">
        <v>9007</v>
      </c>
      <c r="K6193" s="33" t="s">
        <v>2223</v>
      </c>
      <c r="L6193" s="33" t="s">
        <v>2224</v>
      </c>
      <c r="M6193" s="33" t="s">
        <v>21</v>
      </c>
      <c r="N6193" s="33" t="s">
        <v>9008</v>
      </c>
      <c r="O6193" s="33" t="s">
        <v>950</v>
      </c>
      <c r="P6193" s="33" t="s">
        <v>30089</v>
      </c>
      <c r="Q6193" s="40" t="s">
        <v>9009</v>
      </c>
      <c r="R6193" s="33" t="s">
        <v>94</v>
      </c>
      <c r="S6193" s="33" t="s">
        <v>22</v>
      </c>
      <c r="T6193" s="1" t="s">
        <v>26781</v>
      </c>
      <c r="Z6193" s="33" t="s">
        <v>42967</v>
      </c>
      <c r="AA6193" s="33">
        <v>1470</v>
      </c>
    </row>
    <row r="6194" spans="1:27" ht="12" customHeight="1" x14ac:dyDescent="0.15">
      <c r="A6194" s="33" t="s">
        <v>8993</v>
      </c>
      <c r="B6194" s="33">
        <v>32</v>
      </c>
      <c r="C6194" s="33" t="s">
        <v>14</v>
      </c>
      <c r="D6194" s="33" t="s">
        <v>79</v>
      </c>
      <c r="E6194" s="33" t="s">
        <v>8994</v>
      </c>
      <c r="F6194" s="67">
        <v>41770</v>
      </c>
      <c r="G6194" s="33" t="s">
        <v>8995</v>
      </c>
      <c r="H6194" s="33" t="s">
        <v>8996</v>
      </c>
      <c r="I6194" s="33" t="s">
        <v>39</v>
      </c>
      <c r="J6194" s="33" t="s">
        <v>8997</v>
      </c>
      <c r="K6194" s="33" t="s">
        <v>8996</v>
      </c>
      <c r="L6194" s="33" t="s">
        <v>897</v>
      </c>
      <c r="M6194" s="33" t="s">
        <v>2909</v>
      </c>
      <c r="N6194" s="33" t="s">
        <v>19050</v>
      </c>
      <c r="O6194" s="33" t="s">
        <v>950</v>
      </c>
      <c r="P6194" s="33" t="s">
        <v>30089</v>
      </c>
      <c r="Q6194" s="40" t="str">
        <f>HYPERLINK("http://www.dcclothesline.com/2014/05/19/veteran-stopped-front-license-plate-beat-death-5-cops/","http://www.dcclothesline.com/2014/05/19/veteran-stopped-front-license-plate-beat-death-5-cops/")</f>
        <v>http://www.dcclothesline.com/2014/05/19/veteran-stopped-front-license-plate-beat-death-5-cops/</v>
      </c>
      <c r="R6194" s="33" t="s">
        <v>94</v>
      </c>
      <c r="S6194" s="33" t="s">
        <v>12</v>
      </c>
      <c r="T6194" s="54" t="s">
        <v>29705</v>
      </c>
      <c r="Z6194" s="33" t="s">
        <v>42967</v>
      </c>
      <c r="AA6194" s="33">
        <v>1471</v>
      </c>
    </row>
    <row r="6195" spans="1:27" ht="12" customHeight="1" x14ac:dyDescent="0.15">
      <c r="A6195" s="33" t="s">
        <v>9010</v>
      </c>
      <c r="B6195" s="33">
        <v>44</v>
      </c>
      <c r="C6195" s="33" t="s">
        <v>14</v>
      </c>
      <c r="D6195" s="33" t="s">
        <v>31</v>
      </c>
      <c r="E6195" s="33" t="s">
        <v>9011</v>
      </c>
      <c r="F6195" s="67">
        <v>41770</v>
      </c>
      <c r="G6195" s="33" t="s">
        <v>9012</v>
      </c>
      <c r="H6195" s="33" t="s">
        <v>9013</v>
      </c>
      <c r="I6195" s="33" t="s">
        <v>282</v>
      </c>
      <c r="J6195" s="33" t="s">
        <v>9014</v>
      </c>
      <c r="K6195" s="33" t="s">
        <v>827</v>
      </c>
      <c r="L6195" s="33" t="s">
        <v>9015</v>
      </c>
      <c r="M6195" s="33" t="s">
        <v>2909</v>
      </c>
      <c r="N6195" s="33" t="s">
        <v>9016</v>
      </c>
      <c r="O6195" s="33" t="s">
        <v>507</v>
      </c>
      <c r="P6195" s="33" t="s">
        <v>30089</v>
      </c>
      <c r="Q6195" s="40" t="s">
        <v>19058</v>
      </c>
      <c r="R6195" s="33" t="s">
        <v>512</v>
      </c>
      <c r="S6195" s="33" t="s">
        <v>12</v>
      </c>
      <c r="T6195" s="54" t="s">
        <v>29705</v>
      </c>
      <c r="Z6195" s="33" t="s">
        <v>42968</v>
      </c>
      <c r="AA6195" s="33">
        <v>1472</v>
      </c>
    </row>
    <row r="6196" spans="1:27" ht="12" customHeight="1" x14ac:dyDescent="0.15">
      <c r="A6196" s="33" t="s">
        <v>8999</v>
      </c>
      <c r="B6196" s="33">
        <v>37</v>
      </c>
      <c r="C6196" s="33" t="s">
        <v>14</v>
      </c>
      <c r="D6196" s="33" t="s">
        <v>79</v>
      </c>
      <c r="F6196" s="67">
        <v>41770</v>
      </c>
      <c r="G6196" s="33" t="s">
        <v>9000</v>
      </c>
      <c r="H6196" s="33" t="s">
        <v>81</v>
      </c>
      <c r="I6196" s="33" t="s">
        <v>38</v>
      </c>
      <c r="J6196" s="33" t="s">
        <v>9001</v>
      </c>
      <c r="K6196" s="33" t="s">
        <v>82</v>
      </c>
      <c r="L6196" s="33" t="s">
        <v>83</v>
      </c>
      <c r="M6196" s="33" t="s">
        <v>21</v>
      </c>
      <c r="N6196" s="33" t="s">
        <v>9002</v>
      </c>
      <c r="O6196" s="33" t="s">
        <v>950</v>
      </c>
      <c r="P6196" s="33" t="s">
        <v>30089</v>
      </c>
      <c r="Q6196" s="40" t="str">
        <f>HYPERLINK("http://www.suntimes.com/27377311-761/armed-man-shot-by-police-on-west-side-dies.html#.U3DGe-hX-uY","http://www.suntimes.com/27377311-761/armed-man-shot-by-police-on-west-side-dies.html#.U3DGe-hX-uY")</f>
        <v>http://www.suntimes.com/27377311-761/armed-man-shot-by-police-on-west-side-dies.html#.U3DGe-hX-uY</v>
      </c>
      <c r="R6196" s="33" t="s">
        <v>94</v>
      </c>
      <c r="S6196" s="33" t="s">
        <v>22</v>
      </c>
      <c r="T6196" s="1" t="s">
        <v>26781</v>
      </c>
      <c r="Z6196" s="33" t="s">
        <v>42966</v>
      </c>
      <c r="AA6196" s="33">
        <v>1469</v>
      </c>
    </row>
    <row r="6197" spans="1:27" ht="12" customHeight="1" x14ac:dyDescent="0.15">
      <c r="A6197" s="33" t="s">
        <v>9021</v>
      </c>
      <c r="B6197" s="33">
        <v>32</v>
      </c>
      <c r="C6197" s="33" t="s">
        <v>14</v>
      </c>
      <c r="D6197" s="33" t="s">
        <v>79</v>
      </c>
      <c r="E6197" s="33" t="s">
        <v>9022</v>
      </c>
      <c r="F6197" s="67">
        <v>41769</v>
      </c>
      <c r="G6197" s="33" t="s">
        <v>9023</v>
      </c>
      <c r="H6197" s="33" t="s">
        <v>3809</v>
      </c>
      <c r="I6197" s="33" t="s">
        <v>88</v>
      </c>
      <c r="J6197" s="33" t="s">
        <v>9024</v>
      </c>
      <c r="K6197" s="33" t="s">
        <v>1659</v>
      </c>
      <c r="L6197" s="33" t="s">
        <v>3834</v>
      </c>
      <c r="M6197" s="33" t="s">
        <v>21</v>
      </c>
      <c r="N6197" s="33" t="s">
        <v>9025</v>
      </c>
      <c r="O6197" s="33" t="s">
        <v>4311</v>
      </c>
      <c r="P6197" s="33" t="s">
        <v>30089</v>
      </c>
      <c r="Q6197" s="40" t="s">
        <v>9026</v>
      </c>
      <c r="R6197" s="33" t="s">
        <v>94</v>
      </c>
      <c r="S6197" s="33" t="s">
        <v>22</v>
      </c>
      <c r="T6197" s="1" t="s">
        <v>26781</v>
      </c>
      <c r="Y6197" s="33" t="s">
        <v>42476</v>
      </c>
      <c r="Z6197" s="33" t="s">
        <v>42966</v>
      </c>
      <c r="AA6197" s="33">
        <v>1464</v>
      </c>
    </row>
    <row r="6198" spans="1:27" ht="12" customHeight="1" x14ac:dyDescent="0.15">
      <c r="A6198" s="33" t="s">
        <v>9017</v>
      </c>
      <c r="B6198" s="33">
        <v>34</v>
      </c>
      <c r="C6198" s="33" t="s">
        <v>14</v>
      </c>
      <c r="D6198" s="33" t="s">
        <v>79</v>
      </c>
      <c r="E6198" s="33" t="s">
        <v>9018</v>
      </c>
      <c r="F6198" s="67">
        <v>41769</v>
      </c>
      <c r="G6198" s="33" t="s">
        <v>9019</v>
      </c>
      <c r="H6198" s="33" t="s">
        <v>1202</v>
      </c>
      <c r="I6198" s="33" t="s">
        <v>63</v>
      </c>
      <c r="J6198" s="33">
        <v>43207</v>
      </c>
      <c r="K6198" s="33" t="s">
        <v>1203</v>
      </c>
      <c r="L6198" s="33" t="s">
        <v>11441</v>
      </c>
      <c r="M6198" s="33" t="s">
        <v>21</v>
      </c>
      <c r="N6198" s="33" t="s">
        <v>9020</v>
      </c>
      <c r="P6198" s="33" t="s">
        <v>30089</v>
      </c>
      <c r="Q6198" s="40" t="str">
        <f>HYPERLINK("http://www.10tv.com/content/stories/2014/05/10/columbus-jonathan-drive-officer-involved-shooting.html","http://www.10tv.com/content/stories/2014/05/10/columbus-jonathan-drive-officer-involved-shooting.html")</f>
        <v>http://www.10tv.com/content/stories/2014/05/10/columbus-jonathan-drive-officer-involved-shooting.html</v>
      </c>
      <c r="R6198" s="33" t="s">
        <v>512</v>
      </c>
      <c r="S6198" s="33" t="s">
        <v>22</v>
      </c>
      <c r="T6198" s="1" t="s">
        <v>26774</v>
      </c>
      <c r="Z6198" s="33" t="s">
        <v>42966</v>
      </c>
      <c r="AA6198" s="33">
        <v>1466</v>
      </c>
    </row>
    <row r="6199" spans="1:27" ht="12" customHeight="1" x14ac:dyDescent="0.15">
      <c r="A6199" s="33" t="s">
        <v>9038</v>
      </c>
      <c r="B6199" s="33">
        <v>50</v>
      </c>
      <c r="C6199" s="33" t="s">
        <v>14</v>
      </c>
      <c r="D6199" s="33" t="s">
        <v>31</v>
      </c>
      <c r="E6199" s="33" t="s">
        <v>9039</v>
      </c>
      <c r="F6199" s="67">
        <v>41769</v>
      </c>
      <c r="G6199" s="33" t="s">
        <v>9040</v>
      </c>
      <c r="H6199" s="33" t="s">
        <v>8638</v>
      </c>
      <c r="I6199" s="33" t="s">
        <v>294</v>
      </c>
      <c r="J6199" s="33" t="s">
        <v>8639</v>
      </c>
      <c r="K6199" s="33" t="s">
        <v>2319</v>
      </c>
      <c r="L6199" s="33" t="s">
        <v>3101</v>
      </c>
      <c r="M6199" s="33" t="s">
        <v>21</v>
      </c>
      <c r="N6199" s="33" t="s">
        <v>9041</v>
      </c>
      <c r="O6199" s="33" t="s">
        <v>950</v>
      </c>
      <c r="P6199" s="33" t="s">
        <v>30089</v>
      </c>
      <c r="Q6199" s="40" t="s">
        <v>9042</v>
      </c>
      <c r="R6199" s="33" t="s">
        <v>94</v>
      </c>
      <c r="S6199" s="33" t="s">
        <v>22</v>
      </c>
      <c r="T6199" s="1" t="s">
        <v>26781</v>
      </c>
      <c r="Z6199" s="33" t="s">
        <v>42967</v>
      </c>
      <c r="AA6199" s="33">
        <v>1465</v>
      </c>
    </row>
    <row r="6200" spans="1:27" ht="12" customHeight="1" x14ac:dyDescent="0.15">
      <c r="A6200" s="33" t="s">
        <v>9027</v>
      </c>
      <c r="B6200" s="33">
        <v>59</v>
      </c>
      <c r="C6200" s="33" t="s">
        <v>14</v>
      </c>
      <c r="D6200" s="33" t="s">
        <v>42</v>
      </c>
      <c r="E6200" s="33" t="s">
        <v>9028</v>
      </c>
      <c r="F6200" s="67">
        <v>41769</v>
      </c>
      <c r="G6200" s="33" t="s">
        <v>9029</v>
      </c>
      <c r="H6200" s="33" t="s">
        <v>447</v>
      </c>
      <c r="I6200" s="33" t="s">
        <v>39</v>
      </c>
      <c r="J6200" s="33" t="s">
        <v>2497</v>
      </c>
      <c r="K6200" s="33" t="s">
        <v>288</v>
      </c>
      <c r="L6200" s="33" t="s">
        <v>448</v>
      </c>
      <c r="M6200" s="33" t="s">
        <v>21</v>
      </c>
      <c r="N6200" s="33" t="s">
        <v>9030</v>
      </c>
      <c r="O6200" s="33" t="s">
        <v>372</v>
      </c>
      <c r="P6200" s="33" t="s">
        <v>30089</v>
      </c>
      <c r="Q6200" s="40" t="str">
        <f>HYPERLINK("http://www.nbclosangeles.com/news/local/Man-Killed-in-Fatal-Officer-Involved-Shooting-in-Ontario-258815701.html","http://www.nbclosangeles.com/news/local/Man-Killed-in-Fatal-Officer-Involved-Shooting-in-Ontario-258815701.html")</f>
        <v>http://www.nbclosangeles.com/news/local/Man-Killed-in-Fatal-Officer-Involved-Shooting-in-Ontario-258815701.html</v>
      </c>
      <c r="R6200" s="33" t="s">
        <v>904</v>
      </c>
      <c r="S6200" s="33" t="s">
        <v>29</v>
      </c>
      <c r="T6200" s="33" t="s">
        <v>41840</v>
      </c>
      <c r="Z6200" s="33" t="s">
        <v>42968</v>
      </c>
      <c r="AA6200" s="33">
        <v>1468</v>
      </c>
    </row>
    <row r="6201" spans="1:27" ht="12" customHeight="1" x14ac:dyDescent="0.15">
      <c r="A6201" s="33" t="s">
        <v>9031</v>
      </c>
      <c r="B6201" s="33">
        <v>36</v>
      </c>
      <c r="C6201" s="33" t="s">
        <v>14</v>
      </c>
      <c r="D6201" s="33" t="s">
        <v>24</v>
      </c>
      <c r="F6201" s="67">
        <v>41769</v>
      </c>
      <c r="G6201" s="33" t="s">
        <v>9032</v>
      </c>
      <c r="H6201" s="33" t="s">
        <v>9033</v>
      </c>
      <c r="I6201" s="33" t="s">
        <v>139</v>
      </c>
      <c r="J6201" s="33" t="s">
        <v>9034</v>
      </c>
      <c r="K6201" s="33" t="s">
        <v>9035</v>
      </c>
      <c r="L6201" s="33" t="s">
        <v>15594</v>
      </c>
      <c r="M6201" s="33" t="s">
        <v>21</v>
      </c>
      <c r="N6201" s="33" t="s">
        <v>9036</v>
      </c>
      <c r="O6201" s="33" t="s">
        <v>950</v>
      </c>
      <c r="P6201" s="33" t="s">
        <v>30089</v>
      </c>
      <c r="Q6201" s="40" t="s">
        <v>9037</v>
      </c>
      <c r="R6201" s="33" t="s">
        <v>94</v>
      </c>
      <c r="S6201" s="33" t="s">
        <v>22</v>
      </c>
      <c r="T6201" s="1" t="s">
        <v>26774</v>
      </c>
      <c r="Z6201" s="33" t="s">
        <v>42967</v>
      </c>
      <c r="AA6201" s="33">
        <v>1467</v>
      </c>
    </row>
    <row r="6202" spans="1:27" ht="12" customHeight="1" x14ac:dyDescent="0.15">
      <c r="A6202" s="33" t="s">
        <v>9048</v>
      </c>
      <c r="B6202" s="33">
        <v>26</v>
      </c>
      <c r="C6202" s="33" t="s">
        <v>14</v>
      </c>
      <c r="D6202" s="33" t="s">
        <v>42</v>
      </c>
      <c r="E6202" s="33" t="s">
        <v>9049</v>
      </c>
      <c r="F6202" s="67">
        <v>41768</v>
      </c>
      <c r="G6202" s="33" t="s">
        <v>9050</v>
      </c>
      <c r="H6202" s="33" t="s">
        <v>5818</v>
      </c>
      <c r="I6202" s="33" t="s">
        <v>39</v>
      </c>
      <c r="J6202" s="33" t="s">
        <v>5819</v>
      </c>
      <c r="K6202" s="33" t="s">
        <v>59</v>
      </c>
      <c r="L6202" s="33" t="s">
        <v>5820</v>
      </c>
      <c r="M6202" s="33" t="s">
        <v>21</v>
      </c>
      <c r="N6202" s="33" t="s">
        <v>9051</v>
      </c>
      <c r="O6202" s="33" t="s">
        <v>507</v>
      </c>
      <c r="P6202" s="33" t="s">
        <v>30089</v>
      </c>
      <c r="Q6202" s="40" t="s">
        <v>9052</v>
      </c>
      <c r="R6202" s="33" t="s">
        <v>904</v>
      </c>
      <c r="S6202" s="33" t="s">
        <v>22</v>
      </c>
      <c r="T6202" s="1" t="s">
        <v>26774</v>
      </c>
      <c r="Z6202" s="33" t="s">
        <v>42968</v>
      </c>
      <c r="AA6202" s="33">
        <v>1462</v>
      </c>
    </row>
    <row r="6203" spans="1:27" ht="12" customHeight="1" x14ac:dyDescent="0.15">
      <c r="A6203" s="33" t="s">
        <v>9053</v>
      </c>
      <c r="B6203" s="33">
        <v>25</v>
      </c>
      <c r="C6203" s="33" t="s">
        <v>103</v>
      </c>
      <c r="D6203" s="33" t="s">
        <v>31</v>
      </c>
      <c r="E6203" s="33" t="s">
        <v>9054</v>
      </c>
      <c r="F6203" s="67">
        <v>41768</v>
      </c>
      <c r="G6203" s="33" t="s">
        <v>9055</v>
      </c>
      <c r="H6203" s="33" t="s">
        <v>2455</v>
      </c>
      <c r="I6203" s="33" t="s">
        <v>106</v>
      </c>
      <c r="J6203" s="33" t="s">
        <v>9056</v>
      </c>
      <c r="K6203" s="33" t="s">
        <v>392</v>
      </c>
      <c r="L6203" s="33" t="s">
        <v>2456</v>
      </c>
      <c r="M6203" s="33" t="s">
        <v>21</v>
      </c>
      <c r="N6203" s="33" t="s">
        <v>9057</v>
      </c>
      <c r="O6203" s="33" t="s">
        <v>507</v>
      </c>
      <c r="P6203" s="33" t="s">
        <v>30089</v>
      </c>
      <c r="Q6203" s="40" t="str">
        <f>HYPERLINK("http://www.statesmanjournal.com/story/news/crime/2014/05/19/grand-jury-officer-justified-shooting-killing-armed-suspect/9307783/","http://www.statesmanjournal.com/story/news/crime/2014/05/19/grand-jury-officer-justified-shooting-killing-armed-suspect/9307783/")</f>
        <v>http://www.statesmanjournal.com/story/news/crime/2014/05/19/grand-jury-officer-justified-shooting-killing-armed-suspect/9307783/</v>
      </c>
      <c r="R6203" s="33" t="s">
        <v>23</v>
      </c>
      <c r="S6203" s="33" t="s">
        <v>22</v>
      </c>
      <c r="T6203" s="1" t="s">
        <v>26774</v>
      </c>
      <c r="Z6203" s="33" t="s">
        <v>42966</v>
      </c>
      <c r="AA6203" s="33">
        <v>1461</v>
      </c>
    </row>
    <row r="6204" spans="1:27" ht="12" customHeight="1" x14ac:dyDescent="0.15">
      <c r="A6204" s="33" t="s">
        <v>9043</v>
      </c>
      <c r="B6204" s="33">
        <v>21</v>
      </c>
      <c r="C6204" s="33" t="s">
        <v>14</v>
      </c>
      <c r="D6204" s="33" t="s">
        <v>79</v>
      </c>
      <c r="E6204" s="33" t="s">
        <v>9044</v>
      </c>
      <c r="F6204" s="67">
        <v>41768</v>
      </c>
      <c r="G6204" s="33" t="s">
        <v>9045</v>
      </c>
      <c r="H6204" s="33" t="s">
        <v>3809</v>
      </c>
      <c r="I6204" s="33" t="s">
        <v>88</v>
      </c>
      <c r="J6204" s="33" t="s">
        <v>3833</v>
      </c>
      <c r="K6204" s="33" t="s">
        <v>1659</v>
      </c>
      <c r="L6204" s="33" t="s">
        <v>1579</v>
      </c>
      <c r="M6204" s="33" t="s">
        <v>21</v>
      </c>
      <c r="N6204" s="33" t="s">
        <v>9046</v>
      </c>
      <c r="O6204" s="33" t="s">
        <v>950</v>
      </c>
      <c r="P6204" s="33" t="s">
        <v>30089</v>
      </c>
      <c r="Q6204" s="40" t="s">
        <v>9047</v>
      </c>
      <c r="R6204" s="33" t="s">
        <v>94</v>
      </c>
      <c r="S6204" s="33" t="s">
        <v>351</v>
      </c>
      <c r="T6204" s="1" t="s">
        <v>26867</v>
      </c>
      <c r="Z6204" s="33" t="s">
        <v>42966</v>
      </c>
      <c r="AA6204" s="33">
        <v>1463</v>
      </c>
    </row>
    <row r="6205" spans="1:27" ht="12" customHeight="1" x14ac:dyDescent="0.15">
      <c r="A6205" s="33" t="s">
        <v>9058</v>
      </c>
      <c r="B6205" s="33">
        <v>34</v>
      </c>
      <c r="C6205" s="33" t="s">
        <v>14</v>
      </c>
      <c r="D6205" s="33" t="s">
        <v>79</v>
      </c>
      <c r="E6205" s="33" t="s">
        <v>9059</v>
      </c>
      <c r="F6205" s="67">
        <v>41767</v>
      </c>
      <c r="G6205" s="33" t="s">
        <v>9060</v>
      </c>
      <c r="H6205" s="33" t="s">
        <v>9061</v>
      </c>
      <c r="I6205" s="33" t="s">
        <v>56</v>
      </c>
      <c r="J6205" s="33" t="s">
        <v>9062</v>
      </c>
      <c r="K6205" s="33" t="s">
        <v>1052</v>
      </c>
      <c r="L6205" s="33" t="s">
        <v>9063</v>
      </c>
      <c r="M6205" s="33" t="s">
        <v>21</v>
      </c>
      <c r="N6205" s="33" t="s">
        <v>9064</v>
      </c>
      <c r="O6205" s="33" t="s">
        <v>372</v>
      </c>
      <c r="P6205" s="33" t="s">
        <v>30089</v>
      </c>
      <c r="Q6205" s="40" t="s">
        <v>9065</v>
      </c>
      <c r="R6205" s="33" t="s">
        <v>94</v>
      </c>
      <c r="S6205" s="33" t="s">
        <v>12</v>
      </c>
      <c r="T6205" s="54" t="s">
        <v>29705</v>
      </c>
      <c r="Z6205" s="33" t="s">
        <v>42966</v>
      </c>
      <c r="AA6205" s="33">
        <v>1459</v>
      </c>
    </row>
    <row r="6206" spans="1:27" ht="12" customHeight="1" x14ac:dyDescent="0.15">
      <c r="A6206" s="33" t="s">
        <v>9072</v>
      </c>
      <c r="B6206" s="33">
        <v>41</v>
      </c>
      <c r="C6206" s="33" t="s">
        <v>14</v>
      </c>
      <c r="D6206" s="33" t="s">
        <v>42</v>
      </c>
      <c r="E6206" s="33" t="s">
        <v>9073</v>
      </c>
      <c r="F6206" s="67">
        <v>41767</v>
      </c>
      <c r="G6206" s="33" t="s">
        <v>9074</v>
      </c>
      <c r="H6206" s="33" t="s">
        <v>9075</v>
      </c>
      <c r="I6206" s="33" t="s">
        <v>192</v>
      </c>
      <c r="J6206" s="33" t="s">
        <v>9076</v>
      </c>
      <c r="K6206" s="33" t="s">
        <v>9077</v>
      </c>
      <c r="L6206" s="33" t="s">
        <v>9078</v>
      </c>
      <c r="M6206" s="33" t="s">
        <v>21</v>
      </c>
      <c r="N6206" s="33" t="s">
        <v>9079</v>
      </c>
      <c r="O6206" s="33" t="s">
        <v>950</v>
      </c>
      <c r="P6206" s="33" t="s">
        <v>30089</v>
      </c>
      <c r="Q6206" s="40" t="s">
        <v>9080</v>
      </c>
      <c r="R6206" s="33" t="s">
        <v>94</v>
      </c>
      <c r="S6206" s="33" t="s">
        <v>22</v>
      </c>
      <c r="T6206" s="1" t="s">
        <v>26781</v>
      </c>
      <c r="Z6206" s="33" t="s">
        <v>42967</v>
      </c>
      <c r="AA6206" s="33">
        <v>1457</v>
      </c>
    </row>
    <row r="6207" spans="1:27" ht="12" customHeight="1" x14ac:dyDescent="0.15">
      <c r="A6207" s="33" t="s">
        <v>9081</v>
      </c>
      <c r="B6207" s="103">
        <v>24</v>
      </c>
      <c r="C6207" s="33" t="s">
        <v>14</v>
      </c>
      <c r="D6207" s="33" t="s">
        <v>42</v>
      </c>
      <c r="F6207" s="67">
        <v>41767</v>
      </c>
      <c r="G6207" s="33" t="s">
        <v>9082</v>
      </c>
      <c r="H6207" s="33" t="s">
        <v>9083</v>
      </c>
      <c r="I6207" s="33" t="s">
        <v>735</v>
      </c>
      <c r="J6207" s="33" t="s">
        <v>9084</v>
      </c>
      <c r="K6207" s="33" t="s">
        <v>9083</v>
      </c>
      <c r="L6207" s="33" t="s">
        <v>9085</v>
      </c>
      <c r="M6207" s="33" t="s">
        <v>21</v>
      </c>
      <c r="N6207" s="33" t="s">
        <v>9086</v>
      </c>
      <c r="O6207" s="33" t="s">
        <v>23</v>
      </c>
      <c r="P6207" s="33" t="s">
        <v>30089</v>
      </c>
      <c r="Q6207" s="40" t="s">
        <v>9087</v>
      </c>
      <c r="R6207" s="33" t="s">
        <v>94</v>
      </c>
      <c r="S6207" s="33" t="s">
        <v>22</v>
      </c>
      <c r="T6207" s="1" t="s">
        <v>26781</v>
      </c>
      <c r="Z6207" s="33" t="s">
        <v>42967</v>
      </c>
      <c r="AA6207" s="33">
        <v>1456</v>
      </c>
    </row>
    <row r="6208" spans="1:27" ht="12" customHeight="1" x14ac:dyDescent="0.15">
      <c r="A6208" s="33" t="s">
        <v>9093</v>
      </c>
      <c r="B6208" s="33">
        <v>31</v>
      </c>
      <c r="C6208" s="33" t="s">
        <v>14</v>
      </c>
      <c r="D6208" s="33" t="s">
        <v>31</v>
      </c>
      <c r="E6208" s="33" t="s">
        <v>9094</v>
      </c>
      <c r="F6208" s="67">
        <v>41767</v>
      </c>
      <c r="G6208" s="33" t="s">
        <v>9095</v>
      </c>
      <c r="H6208" s="33" t="s">
        <v>2393</v>
      </c>
      <c r="I6208" s="33" t="s">
        <v>51</v>
      </c>
      <c r="J6208" s="33">
        <v>48865</v>
      </c>
      <c r="K6208" s="33" t="s">
        <v>9096</v>
      </c>
      <c r="L6208" s="33" t="s">
        <v>9097</v>
      </c>
      <c r="M6208" s="33" t="s">
        <v>21</v>
      </c>
      <c r="N6208" s="33" t="s">
        <v>9098</v>
      </c>
      <c r="P6208" s="33" t="s">
        <v>30089</v>
      </c>
      <c r="Q6208" s="40" t="str">
        <f>HYPERLINK("http://www.mlive.com/news/grand-rapids/index.ssf/2014/05/two_troopers_one_deputy_on_lea.html","http://www.mlive.com/news/grand-rapids/index.ssf/2014/05/two_troopers_one_deputy_on_lea.html")</f>
        <v>http://www.mlive.com/news/grand-rapids/index.ssf/2014/05/two_troopers_one_deputy_on_lea.html</v>
      </c>
      <c r="R6208" s="33" t="s">
        <v>23</v>
      </c>
      <c r="S6208" s="33" t="s">
        <v>22</v>
      </c>
      <c r="T6208" s="1" t="s">
        <v>26781</v>
      </c>
      <c r="Z6208" s="33" t="s">
        <v>42967</v>
      </c>
      <c r="AA6208" s="33">
        <v>1458</v>
      </c>
    </row>
    <row r="6209" spans="1:27" ht="12" customHeight="1" x14ac:dyDescent="0.15">
      <c r="A6209" s="33" t="s">
        <v>9066</v>
      </c>
      <c r="B6209" s="33">
        <v>48</v>
      </c>
      <c r="C6209" s="33" t="s">
        <v>14</v>
      </c>
      <c r="D6209" s="33" t="s">
        <v>42</v>
      </c>
      <c r="F6209" s="67">
        <v>41767</v>
      </c>
      <c r="G6209" s="33" t="s">
        <v>9067</v>
      </c>
      <c r="H6209" s="33" t="s">
        <v>607</v>
      </c>
      <c r="I6209" s="33" t="s">
        <v>178</v>
      </c>
      <c r="J6209" s="33" t="s">
        <v>9068</v>
      </c>
      <c r="K6209" s="33" t="s">
        <v>9069</v>
      </c>
      <c r="L6209" s="33" t="s">
        <v>2847</v>
      </c>
      <c r="M6209" s="33" t="s">
        <v>21</v>
      </c>
      <c r="N6209" s="33" t="s">
        <v>9070</v>
      </c>
      <c r="O6209" s="33" t="s">
        <v>507</v>
      </c>
      <c r="P6209" s="33" t="s">
        <v>30089</v>
      </c>
      <c r="Q6209" s="40" t="s">
        <v>9071</v>
      </c>
      <c r="R6209" s="33" t="s">
        <v>512</v>
      </c>
      <c r="S6209" s="33" t="s">
        <v>22</v>
      </c>
      <c r="T6209" s="1" t="s">
        <v>26781</v>
      </c>
      <c r="Z6209" s="33" t="s">
        <v>42967</v>
      </c>
      <c r="AA6209" s="33">
        <v>1455</v>
      </c>
    </row>
    <row r="6210" spans="1:27" ht="12" customHeight="1" x14ac:dyDescent="0.15">
      <c r="A6210" s="33" t="s">
        <v>9088</v>
      </c>
      <c r="B6210" s="33">
        <v>69</v>
      </c>
      <c r="C6210" s="33" t="s">
        <v>14</v>
      </c>
      <c r="D6210" s="33" t="s">
        <v>31</v>
      </c>
      <c r="F6210" s="67">
        <v>41767</v>
      </c>
      <c r="G6210" s="33" t="s">
        <v>9089</v>
      </c>
      <c r="H6210" s="33" t="s">
        <v>9090</v>
      </c>
      <c r="I6210" s="33" t="s">
        <v>56</v>
      </c>
      <c r="J6210" s="33" t="s">
        <v>8840</v>
      </c>
      <c r="K6210" s="33" t="s">
        <v>8841</v>
      </c>
      <c r="L6210" s="33" t="s">
        <v>8842</v>
      </c>
      <c r="M6210" s="33" t="s">
        <v>21</v>
      </c>
      <c r="N6210" s="33" t="s">
        <v>9091</v>
      </c>
      <c r="O6210" s="33" t="s">
        <v>950</v>
      </c>
      <c r="P6210" s="33" t="s">
        <v>30089</v>
      </c>
      <c r="Q6210" s="40" t="s">
        <v>9092</v>
      </c>
      <c r="R6210" s="33" t="s">
        <v>94</v>
      </c>
      <c r="S6210" s="33" t="s">
        <v>29</v>
      </c>
      <c r="T6210" s="1" t="s">
        <v>41840</v>
      </c>
      <c r="Z6210" s="33" t="s">
        <v>42968</v>
      </c>
      <c r="AA6210" s="33">
        <v>1460</v>
      </c>
    </row>
    <row r="6211" spans="1:27" ht="12" customHeight="1" x14ac:dyDescent="0.15">
      <c r="A6211" s="33" t="s">
        <v>9105</v>
      </c>
      <c r="B6211" s="33">
        <v>19</v>
      </c>
      <c r="C6211" s="33" t="s">
        <v>14</v>
      </c>
      <c r="D6211" s="33" t="s">
        <v>79</v>
      </c>
      <c r="E6211" s="33" t="s">
        <v>9106</v>
      </c>
      <c r="F6211" s="67">
        <v>41766</v>
      </c>
      <c r="G6211" s="33" t="s">
        <v>9107</v>
      </c>
      <c r="H6211" s="33" t="s">
        <v>1487</v>
      </c>
      <c r="I6211" s="33" t="s">
        <v>46</v>
      </c>
      <c r="J6211" s="33" t="s">
        <v>9108</v>
      </c>
      <c r="K6211" s="33" t="s">
        <v>4324</v>
      </c>
      <c r="L6211" s="33" t="s">
        <v>2556</v>
      </c>
      <c r="M6211" s="33" t="s">
        <v>363</v>
      </c>
      <c r="N6211" s="33" t="s">
        <v>9109</v>
      </c>
      <c r="O6211" s="33" t="s">
        <v>4311</v>
      </c>
      <c r="P6211" s="33" t="s">
        <v>30089</v>
      </c>
      <c r="Q6211" s="40" t="s">
        <v>9110</v>
      </c>
      <c r="R6211" s="33" t="s">
        <v>512</v>
      </c>
      <c r="S6211" s="33" t="s">
        <v>12</v>
      </c>
      <c r="T6211" s="54" t="s">
        <v>29705</v>
      </c>
      <c r="Z6211" s="33" t="s">
        <v>42966</v>
      </c>
      <c r="AA6211" s="33">
        <v>1454</v>
      </c>
    </row>
    <row r="6212" spans="1:27" ht="12" customHeight="1" x14ac:dyDescent="0.15">
      <c r="A6212" s="33" t="s">
        <v>9111</v>
      </c>
      <c r="B6212" s="33">
        <v>30</v>
      </c>
      <c r="C6212" s="33" t="s">
        <v>14</v>
      </c>
      <c r="D6212" s="33" t="s">
        <v>42</v>
      </c>
      <c r="E6212" s="33" t="s">
        <v>9112</v>
      </c>
      <c r="F6212" s="67">
        <v>41766</v>
      </c>
      <c r="G6212" s="33" t="s">
        <v>9113</v>
      </c>
      <c r="H6212" s="33" t="s">
        <v>6078</v>
      </c>
      <c r="I6212" s="33" t="s">
        <v>67</v>
      </c>
      <c r="J6212" s="33" t="s">
        <v>9114</v>
      </c>
      <c r="K6212" s="33" t="s">
        <v>6078</v>
      </c>
      <c r="L6212" s="33" t="s">
        <v>6971</v>
      </c>
      <c r="M6212" s="33" t="s">
        <v>21</v>
      </c>
      <c r="N6212" s="33" t="s">
        <v>9115</v>
      </c>
      <c r="O6212" s="33" t="s">
        <v>950</v>
      </c>
      <c r="P6212" s="33" t="s">
        <v>30089</v>
      </c>
      <c r="Q6212" s="40" t="s">
        <v>9116</v>
      </c>
      <c r="R6212" s="33" t="s">
        <v>23</v>
      </c>
      <c r="S6212" s="33" t="s">
        <v>22</v>
      </c>
      <c r="T6212" s="1" t="s">
        <v>42984</v>
      </c>
      <c r="Z6212" s="33" t="s">
        <v>42966</v>
      </c>
      <c r="AA6212" s="33">
        <v>1452</v>
      </c>
    </row>
    <row r="6213" spans="1:27" ht="12" customHeight="1" x14ac:dyDescent="0.15">
      <c r="A6213" s="33" t="s">
        <v>9099</v>
      </c>
      <c r="B6213" s="33">
        <v>23</v>
      </c>
      <c r="C6213" s="33" t="s">
        <v>14</v>
      </c>
      <c r="D6213" s="33" t="s">
        <v>79</v>
      </c>
      <c r="E6213" s="33" t="s">
        <v>9100</v>
      </c>
      <c r="F6213" s="67">
        <v>41766</v>
      </c>
      <c r="G6213" s="33" t="s">
        <v>9101</v>
      </c>
      <c r="H6213" s="33" t="s">
        <v>81</v>
      </c>
      <c r="I6213" s="33" t="s">
        <v>38</v>
      </c>
      <c r="J6213" s="33" t="s">
        <v>9102</v>
      </c>
      <c r="K6213" s="33" t="s">
        <v>82</v>
      </c>
      <c r="L6213" s="33" t="s">
        <v>83</v>
      </c>
      <c r="M6213" s="33" t="s">
        <v>363</v>
      </c>
      <c r="N6213" s="33" t="s">
        <v>9103</v>
      </c>
      <c r="O6213" s="33" t="s">
        <v>4311</v>
      </c>
      <c r="P6213" s="33" t="s">
        <v>30089</v>
      </c>
      <c r="Q6213" s="40" t="s">
        <v>9104</v>
      </c>
      <c r="R6213" s="33" t="s">
        <v>94</v>
      </c>
      <c r="S6213" s="33" t="s">
        <v>12</v>
      </c>
      <c r="T6213" s="54" t="s">
        <v>29705</v>
      </c>
      <c r="Z6213" s="33" t="s">
        <v>42966</v>
      </c>
      <c r="AA6213" s="33">
        <v>1453</v>
      </c>
    </row>
    <row r="6214" spans="1:27" ht="12" customHeight="1" x14ac:dyDescent="0.15">
      <c r="A6214" s="33" t="s">
        <v>9131</v>
      </c>
      <c r="B6214" s="33">
        <v>43</v>
      </c>
      <c r="C6214" s="33" t="s">
        <v>14</v>
      </c>
      <c r="D6214" s="33" t="s">
        <v>31</v>
      </c>
      <c r="E6214" s="33" t="s">
        <v>9132</v>
      </c>
      <c r="F6214" s="67">
        <v>41765</v>
      </c>
      <c r="G6214" s="33" t="s">
        <v>9133</v>
      </c>
      <c r="H6214" s="33" t="s">
        <v>1244</v>
      </c>
      <c r="I6214" s="33" t="s">
        <v>39</v>
      </c>
      <c r="J6214" s="33" t="s">
        <v>9134</v>
      </c>
      <c r="K6214" s="33" t="s">
        <v>1245</v>
      </c>
      <c r="L6214" s="33" t="s">
        <v>1246</v>
      </c>
      <c r="M6214" s="33" t="s">
        <v>21</v>
      </c>
      <c r="N6214" s="33" t="s">
        <v>9135</v>
      </c>
      <c r="O6214" s="33" t="s">
        <v>4311</v>
      </c>
      <c r="P6214" s="33" t="s">
        <v>30089</v>
      </c>
      <c r="Q6214" s="40" t="s">
        <v>9136</v>
      </c>
      <c r="R6214" s="33" t="s">
        <v>94</v>
      </c>
      <c r="S6214" s="33" t="s">
        <v>22</v>
      </c>
      <c r="T6214" s="1" t="s">
        <v>26781</v>
      </c>
      <c r="Z6214" s="33" t="s">
        <v>42968</v>
      </c>
      <c r="AA6214" s="33">
        <v>1450</v>
      </c>
    </row>
    <row r="6215" spans="1:27" ht="12" customHeight="1" x14ac:dyDescent="0.15">
      <c r="A6215" s="33" t="s">
        <v>9117</v>
      </c>
      <c r="B6215" s="33">
        <v>93</v>
      </c>
      <c r="C6215" s="33" t="s">
        <v>103</v>
      </c>
      <c r="D6215" s="33" t="s">
        <v>79</v>
      </c>
      <c r="E6215" s="33" t="s">
        <v>9118</v>
      </c>
      <c r="F6215" s="67">
        <v>41765</v>
      </c>
      <c r="G6215" s="33" t="s">
        <v>22174</v>
      </c>
      <c r="H6215" s="33" t="s">
        <v>9119</v>
      </c>
      <c r="I6215" s="33" t="s">
        <v>67</v>
      </c>
      <c r="J6215" s="33" t="s">
        <v>9120</v>
      </c>
      <c r="K6215" s="33" t="s">
        <v>9121</v>
      </c>
      <c r="L6215" s="33" t="s">
        <v>9122</v>
      </c>
      <c r="M6215" s="33" t="s">
        <v>21</v>
      </c>
      <c r="N6215" s="33" t="s">
        <v>9123</v>
      </c>
      <c r="O6215" s="33" t="s">
        <v>950</v>
      </c>
      <c r="P6215" s="33" t="s">
        <v>30089</v>
      </c>
      <c r="Q6215" s="40" t="str">
        <f>HYPERLINK("http://www.nydailynews.com/news/national/fired-fatally-shot-93-year-old-woman-rips-knee-jerk-reaction-article-1.1789207","http://www.nydailynews.com/news/national/fired-fatally-shot-93-year-old-woman-rips-knee-jerk-reaction-article-1.1789207")</f>
        <v>http://www.nydailynews.com/news/national/fired-fatally-shot-93-year-old-woman-rips-knee-jerk-reaction-article-1.1789207</v>
      </c>
      <c r="R6215" s="33" t="s">
        <v>512</v>
      </c>
      <c r="S6215" s="33" t="s">
        <v>22</v>
      </c>
      <c r="T6215" s="1" t="s">
        <v>26781</v>
      </c>
      <c r="Z6215" s="33" t="s">
        <v>42967</v>
      </c>
      <c r="AA6215" s="33">
        <v>1449</v>
      </c>
    </row>
    <row r="6216" spans="1:27" ht="12" customHeight="1" x14ac:dyDescent="0.15">
      <c r="A6216" s="33" t="s">
        <v>9124</v>
      </c>
      <c r="B6216" s="33">
        <v>28</v>
      </c>
      <c r="C6216" s="33" t="s">
        <v>14</v>
      </c>
      <c r="D6216" s="33" t="s">
        <v>31</v>
      </c>
      <c r="E6216" s="33" t="s">
        <v>9125</v>
      </c>
      <c r="F6216" s="67">
        <v>41765</v>
      </c>
      <c r="G6216" s="33" t="s">
        <v>9126</v>
      </c>
      <c r="H6216" s="33" t="s">
        <v>9127</v>
      </c>
      <c r="I6216" s="33" t="s">
        <v>56</v>
      </c>
      <c r="J6216" s="33" t="s">
        <v>9128</v>
      </c>
      <c r="K6216" s="33" t="s">
        <v>3571</v>
      </c>
      <c r="L6216" s="33" t="s">
        <v>43033</v>
      </c>
      <c r="M6216" s="33" t="s">
        <v>21</v>
      </c>
      <c r="N6216" s="33" t="s">
        <v>9129</v>
      </c>
      <c r="O6216" s="33" t="s">
        <v>507</v>
      </c>
      <c r="P6216" s="33" t="s">
        <v>30089</v>
      </c>
      <c r="Q6216" s="40" t="s">
        <v>9130</v>
      </c>
      <c r="R6216" s="33" t="s">
        <v>94</v>
      </c>
      <c r="S6216" s="1" t="s">
        <v>12</v>
      </c>
      <c r="T6216" s="33" t="s">
        <v>29425</v>
      </c>
      <c r="Z6216" s="33" t="s">
        <v>42968</v>
      </c>
      <c r="AA6216" s="33">
        <v>1451</v>
      </c>
    </row>
    <row r="6217" spans="1:27" ht="12" customHeight="1" x14ac:dyDescent="0.15">
      <c r="A6217" s="33" t="s">
        <v>3002</v>
      </c>
      <c r="B6217" s="33" t="s">
        <v>23</v>
      </c>
      <c r="C6217" s="33" t="s">
        <v>14</v>
      </c>
      <c r="D6217" s="33" t="s">
        <v>79</v>
      </c>
      <c r="F6217" s="67">
        <v>41764</v>
      </c>
      <c r="G6217" s="33" t="s">
        <v>9144</v>
      </c>
      <c r="H6217" s="33" t="s">
        <v>674</v>
      </c>
      <c r="I6217" s="33" t="s">
        <v>67</v>
      </c>
      <c r="J6217" s="33" t="s">
        <v>9145</v>
      </c>
      <c r="K6217" s="33" t="s">
        <v>515</v>
      </c>
      <c r="L6217" s="33" t="s">
        <v>675</v>
      </c>
      <c r="M6217" s="33" t="s">
        <v>21</v>
      </c>
      <c r="N6217" s="33" t="s">
        <v>9146</v>
      </c>
      <c r="O6217" s="33" t="s">
        <v>950</v>
      </c>
      <c r="P6217" s="33" t="s">
        <v>30089</v>
      </c>
      <c r="Q6217" s="40" t="s">
        <v>9147</v>
      </c>
      <c r="R6217" s="33" t="s">
        <v>94</v>
      </c>
      <c r="S6217" s="33" t="s">
        <v>22</v>
      </c>
      <c r="T6217" s="33" t="s">
        <v>26781</v>
      </c>
      <c r="Z6217" s="33" t="s">
        <v>42966</v>
      </c>
      <c r="AA6217" s="33">
        <v>1447</v>
      </c>
    </row>
    <row r="6218" spans="1:27" ht="12" customHeight="1" x14ac:dyDescent="0.15">
      <c r="A6218" s="33" t="s">
        <v>9137</v>
      </c>
      <c r="B6218" s="33">
        <v>25</v>
      </c>
      <c r="C6218" s="33" t="s">
        <v>14</v>
      </c>
      <c r="D6218" s="33" t="s">
        <v>79</v>
      </c>
      <c r="E6218" s="33" t="s">
        <v>9138</v>
      </c>
      <c r="F6218" s="67">
        <v>41764</v>
      </c>
      <c r="G6218" s="33" t="s">
        <v>9139</v>
      </c>
      <c r="H6218" s="33" t="s">
        <v>404</v>
      </c>
      <c r="I6218" s="33" t="s">
        <v>621</v>
      </c>
      <c r="J6218" s="33" t="s">
        <v>9140</v>
      </c>
      <c r="K6218" s="33" t="s">
        <v>9141</v>
      </c>
      <c r="L6218" s="33" t="s">
        <v>36386</v>
      </c>
      <c r="M6218" s="33" t="s">
        <v>2909</v>
      </c>
      <c r="N6218" s="33" t="s">
        <v>9142</v>
      </c>
      <c r="O6218" s="33" t="s">
        <v>26754</v>
      </c>
      <c r="P6218" s="33" t="s">
        <v>26755</v>
      </c>
      <c r="Q6218" s="40" t="s">
        <v>9143</v>
      </c>
      <c r="R6218" s="33" t="s">
        <v>94</v>
      </c>
      <c r="S6218" s="33" t="s">
        <v>12</v>
      </c>
      <c r="T6218" s="54" t="s">
        <v>29705</v>
      </c>
      <c r="Y6218" s="33" t="s">
        <v>42476</v>
      </c>
      <c r="Z6218" s="33" t="s">
        <v>42968</v>
      </c>
      <c r="AA6218" s="33">
        <v>1448</v>
      </c>
    </row>
    <row r="6219" spans="1:27" ht="12" customHeight="1" x14ac:dyDescent="0.15">
      <c r="A6219" s="33" t="s">
        <v>9148</v>
      </c>
      <c r="B6219" s="33">
        <v>38</v>
      </c>
      <c r="C6219" s="33" t="s">
        <v>14</v>
      </c>
      <c r="D6219" s="33" t="s">
        <v>79</v>
      </c>
      <c r="E6219" s="33" t="s">
        <v>9149</v>
      </c>
      <c r="F6219" s="67">
        <v>41763</v>
      </c>
      <c r="G6219" s="33" t="s">
        <v>9150</v>
      </c>
      <c r="H6219" s="33" t="s">
        <v>9151</v>
      </c>
      <c r="I6219" s="33" t="s">
        <v>67</v>
      </c>
      <c r="J6219" s="33" t="s">
        <v>9152</v>
      </c>
      <c r="K6219" s="33" t="s">
        <v>1117</v>
      </c>
      <c r="L6219" s="33" t="s">
        <v>43037</v>
      </c>
      <c r="M6219" s="33" t="s">
        <v>21</v>
      </c>
      <c r="N6219" s="33" t="s">
        <v>9153</v>
      </c>
      <c r="O6219" s="33" t="s">
        <v>507</v>
      </c>
      <c r="P6219" s="33" t="s">
        <v>30089</v>
      </c>
      <c r="Q6219" s="40" t="s">
        <v>9154</v>
      </c>
      <c r="R6219" s="33" t="s">
        <v>94</v>
      </c>
      <c r="S6219" s="33" t="s">
        <v>351</v>
      </c>
      <c r="T6219" s="1" t="s">
        <v>42983</v>
      </c>
      <c r="Z6219" s="33" t="s">
        <v>42967</v>
      </c>
      <c r="AA6219" s="33">
        <v>1446</v>
      </c>
    </row>
    <row r="6220" spans="1:27" ht="12" customHeight="1" x14ac:dyDescent="0.15">
      <c r="A6220" s="33" t="s">
        <v>9155</v>
      </c>
      <c r="B6220" s="33">
        <v>18</v>
      </c>
      <c r="C6220" s="33" t="s">
        <v>14</v>
      </c>
      <c r="D6220" s="33" t="s">
        <v>42</v>
      </c>
      <c r="E6220" s="33" t="s">
        <v>9156</v>
      </c>
      <c r="F6220" s="67">
        <v>41763</v>
      </c>
      <c r="G6220" s="33" t="s">
        <v>9157</v>
      </c>
      <c r="H6220" s="33" t="s">
        <v>3253</v>
      </c>
      <c r="I6220" s="33" t="s">
        <v>39</v>
      </c>
      <c r="J6220" s="33" t="s">
        <v>9158</v>
      </c>
      <c r="K6220" s="33" t="s">
        <v>558</v>
      </c>
      <c r="L6220" s="33" t="s">
        <v>9159</v>
      </c>
      <c r="M6220" s="33" t="s">
        <v>21</v>
      </c>
      <c r="N6220" s="33" t="s">
        <v>9160</v>
      </c>
      <c r="O6220" s="33" t="s">
        <v>950</v>
      </c>
      <c r="P6220" s="33" t="s">
        <v>30089</v>
      </c>
      <c r="Q6220" s="40" t="s">
        <v>9161</v>
      </c>
      <c r="R6220" s="33" t="s">
        <v>512</v>
      </c>
      <c r="S6220" s="33" t="s">
        <v>22</v>
      </c>
      <c r="T6220" s="1" t="s">
        <v>26580</v>
      </c>
      <c r="Z6220" s="33" t="s">
        <v>42968</v>
      </c>
      <c r="AA6220" s="33">
        <v>1444</v>
      </c>
    </row>
    <row r="6221" spans="1:27" ht="12" customHeight="1" x14ac:dyDescent="0.15">
      <c r="A6221" s="33" t="s">
        <v>9162</v>
      </c>
      <c r="B6221" s="33">
        <v>31</v>
      </c>
      <c r="C6221" s="33" t="s">
        <v>14</v>
      </c>
      <c r="D6221" s="33" t="s">
        <v>31</v>
      </c>
      <c r="E6221" s="33" t="s">
        <v>9163</v>
      </c>
      <c r="F6221" s="67">
        <v>41763</v>
      </c>
      <c r="G6221" s="33" t="s">
        <v>9164</v>
      </c>
      <c r="H6221" s="33" t="s">
        <v>2393</v>
      </c>
      <c r="I6221" s="33" t="s">
        <v>51</v>
      </c>
      <c r="J6221" s="33" t="s">
        <v>9165</v>
      </c>
      <c r="K6221" s="33" t="s">
        <v>9096</v>
      </c>
      <c r="L6221" s="33" t="s">
        <v>9166</v>
      </c>
      <c r="M6221" s="33" t="s">
        <v>21</v>
      </c>
      <c r="N6221" s="33" t="s">
        <v>9167</v>
      </c>
      <c r="O6221" s="33" t="s">
        <v>507</v>
      </c>
      <c r="P6221" s="33" t="s">
        <v>30089</v>
      </c>
      <c r="Q6221" s="40" t="s">
        <v>9168</v>
      </c>
      <c r="R6221" s="33" t="s">
        <v>23</v>
      </c>
      <c r="S6221" s="33" t="s">
        <v>22</v>
      </c>
      <c r="T6221" s="1" t="s">
        <v>26781</v>
      </c>
      <c r="Z6221" s="33" t="s">
        <v>42967</v>
      </c>
      <c r="AA6221" s="33">
        <v>1445</v>
      </c>
    </row>
    <row r="6222" spans="1:27" ht="12" customHeight="1" x14ac:dyDescent="0.15">
      <c r="A6222" s="33" t="s">
        <v>9170</v>
      </c>
      <c r="B6222" s="103">
        <v>50</v>
      </c>
      <c r="C6222" s="33" t="s">
        <v>14</v>
      </c>
      <c r="D6222" s="33" t="s">
        <v>79</v>
      </c>
      <c r="E6222" s="33" t="s">
        <v>9171</v>
      </c>
      <c r="F6222" s="67">
        <v>41762</v>
      </c>
      <c r="G6222" s="33" t="s">
        <v>9172</v>
      </c>
      <c r="H6222" s="33" t="s">
        <v>866</v>
      </c>
      <c r="I6222" s="33" t="s">
        <v>178</v>
      </c>
      <c r="J6222" s="33" t="s">
        <v>9173</v>
      </c>
      <c r="K6222" s="33" t="s">
        <v>433</v>
      </c>
      <c r="L6222" s="33" t="s">
        <v>4562</v>
      </c>
      <c r="M6222" s="33" t="s">
        <v>21</v>
      </c>
      <c r="N6222" s="33" t="s">
        <v>36828</v>
      </c>
      <c r="O6222" s="33" t="s">
        <v>23</v>
      </c>
      <c r="P6222" s="33" t="s">
        <v>30089</v>
      </c>
      <c r="Q6222" s="40" t="s">
        <v>9174</v>
      </c>
      <c r="R6222" s="33" t="s">
        <v>94</v>
      </c>
      <c r="S6222" s="33" t="s">
        <v>22</v>
      </c>
      <c r="T6222" s="1" t="s">
        <v>26781</v>
      </c>
      <c r="Z6222" s="33" t="s">
        <v>42968</v>
      </c>
      <c r="AA6222" s="33">
        <v>1443</v>
      </c>
    </row>
    <row r="6223" spans="1:27" ht="12" customHeight="1" x14ac:dyDescent="0.15">
      <c r="A6223" s="33" t="s">
        <v>9175</v>
      </c>
      <c r="B6223" s="33">
        <v>33</v>
      </c>
      <c r="C6223" s="33" t="s">
        <v>14</v>
      </c>
      <c r="D6223" s="33" t="s">
        <v>79</v>
      </c>
      <c r="E6223" s="33" t="s">
        <v>9176</v>
      </c>
      <c r="F6223" s="67">
        <v>41761</v>
      </c>
      <c r="G6223" s="33" t="s">
        <v>9177</v>
      </c>
      <c r="H6223" s="33" t="s">
        <v>2014</v>
      </c>
      <c r="I6223" s="33" t="s">
        <v>409</v>
      </c>
      <c r="J6223" s="33" t="s">
        <v>3518</v>
      </c>
      <c r="K6223" s="33" t="s">
        <v>8880</v>
      </c>
      <c r="L6223" s="33" t="s">
        <v>3519</v>
      </c>
      <c r="M6223" s="33" t="s">
        <v>21</v>
      </c>
      <c r="N6223" s="33" t="s">
        <v>9178</v>
      </c>
      <c r="O6223" s="33" t="s">
        <v>507</v>
      </c>
      <c r="P6223" s="33" t="s">
        <v>30089</v>
      </c>
      <c r="Q6223" s="40" t="s">
        <v>9179</v>
      </c>
      <c r="R6223" s="33" t="s">
        <v>512</v>
      </c>
      <c r="S6223" s="33" t="s">
        <v>22</v>
      </c>
      <c r="T6223" s="1" t="s">
        <v>26774</v>
      </c>
      <c r="Z6223" s="33" t="s">
        <v>42966</v>
      </c>
      <c r="AA6223" s="33">
        <v>1441</v>
      </c>
    </row>
    <row r="6224" spans="1:27" ht="12" customHeight="1" x14ac:dyDescent="0.15">
      <c r="A6224" s="33" t="s">
        <v>9189</v>
      </c>
      <c r="B6224" s="33">
        <v>29</v>
      </c>
      <c r="C6224" s="33" t="s">
        <v>14</v>
      </c>
      <c r="D6224" s="33" t="s">
        <v>31</v>
      </c>
      <c r="F6224" s="67">
        <v>41761</v>
      </c>
      <c r="G6224" s="33" t="s">
        <v>9190</v>
      </c>
      <c r="H6224" s="33" t="s">
        <v>603</v>
      </c>
      <c r="I6224" s="33" t="s">
        <v>56</v>
      </c>
      <c r="J6224" s="33" t="s">
        <v>9191</v>
      </c>
      <c r="K6224" s="33" t="s">
        <v>604</v>
      </c>
      <c r="L6224" s="33" t="s">
        <v>605</v>
      </c>
      <c r="M6224" s="33" t="s">
        <v>21</v>
      </c>
      <c r="N6224" s="33" t="s">
        <v>9192</v>
      </c>
      <c r="O6224" s="33" t="s">
        <v>950</v>
      </c>
      <c r="P6224" s="33" t="s">
        <v>30089</v>
      </c>
      <c r="Q6224" s="40" t="s">
        <v>9193</v>
      </c>
      <c r="R6224" s="33" t="s">
        <v>94</v>
      </c>
      <c r="S6224" s="33" t="s">
        <v>22</v>
      </c>
      <c r="T6224" s="1" t="s">
        <v>26774</v>
      </c>
      <c r="Z6224" s="33" t="s">
        <v>42968</v>
      </c>
      <c r="AA6224" s="33">
        <v>1442</v>
      </c>
    </row>
    <row r="6225" spans="1:31" ht="12" customHeight="1" x14ac:dyDescent="0.15">
      <c r="A6225" s="33" t="s">
        <v>9180</v>
      </c>
      <c r="B6225" s="33">
        <v>39</v>
      </c>
      <c r="C6225" s="33" t="s">
        <v>14</v>
      </c>
      <c r="D6225" s="33" t="s">
        <v>79</v>
      </c>
      <c r="E6225" s="33" t="s">
        <v>9181</v>
      </c>
      <c r="F6225" s="67">
        <v>41761</v>
      </c>
      <c r="G6225" s="33" t="s">
        <v>9182</v>
      </c>
      <c r="H6225" s="33" t="s">
        <v>9183</v>
      </c>
      <c r="I6225" s="33" t="s">
        <v>51</v>
      </c>
      <c r="J6225" s="33" t="s">
        <v>9184</v>
      </c>
      <c r="K6225" s="33" t="s">
        <v>9185</v>
      </c>
      <c r="L6225" s="33" t="s">
        <v>9186</v>
      </c>
      <c r="M6225" s="33" t="s">
        <v>21</v>
      </c>
      <c r="N6225" s="33" t="s">
        <v>9187</v>
      </c>
      <c r="O6225" s="33" t="s">
        <v>507</v>
      </c>
      <c r="P6225" s="33" t="s">
        <v>30089</v>
      </c>
      <c r="Q6225" s="40" t="s">
        <v>9188</v>
      </c>
      <c r="R6225" s="33" t="s">
        <v>94</v>
      </c>
      <c r="S6225" s="33" t="s">
        <v>22</v>
      </c>
      <c r="T6225" s="1" t="s">
        <v>26781</v>
      </c>
      <c r="Z6225" s="33" t="s">
        <v>42968</v>
      </c>
      <c r="AA6225" s="33">
        <v>1440</v>
      </c>
    </row>
    <row r="6226" spans="1:31" ht="12" customHeight="1" x14ac:dyDescent="0.15">
      <c r="A6226" s="33" t="s">
        <v>9194</v>
      </c>
      <c r="B6226" s="33">
        <v>50</v>
      </c>
      <c r="C6226" s="33" t="s">
        <v>14</v>
      </c>
      <c r="D6226" s="33" t="s">
        <v>24</v>
      </c>
      <c r="F6226" s="67">
        <v>41760</v>
      </c>
      <c r="G6226" s="33" t="s">
        <v>9195</v>
      </c>
      <c r="H6226" s="33" t="s">
        <v>9196</v>
      </c>
      <c r="I6226" s="33" t="s">
        <v>409</v>
      </c>
      <c r="J6226" s="33" t="s">
        <v>9197</v>
      </c>
      <c r="K6226" s="33" t="s">
        <v>8880</v>
      </c>
      <c r="L6226" s="33" t="s">
        <v>36387</v>
      </c>
      <c r="M6226" s="33" t="s">
        <v>21</v>
      </c>
      <c r="N6226" s="33" t="s">
        <v>9198</v>
      </c>
      <c r="O6226" s="33" t="s">
        <v>507</v>
      </c>
      <c r="P6226" s="33" t="s">
        <v>30089</v>
      </c>
      <c r="Q6226" s="40" t="s">
        <v>9199</v>
      </c>
      <c r="R6226" s="33" t="s">
        <v>512</v>
      </c>
      <c r="S6226" s="33" t="s">
        <v>22</v>
      </c>
      <c r="T6226" s="1" t="s">
        <v>26774</v>
      </c>
      <c r="Z6226" s="33" t="s">
        <v>42967</v>
      </c>
      <c r="AA6226" s="33">
        <v>1439</v>
      </c>
    </row>
    <row r="6227" spans="1:31" ht="12" customHeight="1" x14ac:dyDescent="0.15">
      <c r="A6227" s="33" t="s">
        <v>9206</v>
      </c>
      <c r="B6227" s="33">
        <v>47</v>
      </c>
      <c r="C6227" s="33" t="s">
        <v>14</v>
      </c>
      <c r="D6227" s="33" t="s">
        <v>31</v>
      </c>
      <c r="E6227" s="33" t="s">
        <v>9207</v>
      </c>
      <c r="F6227" s="67">
        <v>41759</v>
      </c>
      <c r="G6227" s="33" t="s">
        <v>9208</v>
      </c>
      <c r="H6227" s="33" t="s">
        <v>2455</v>
      </c>
      <c r="I6227" s="33" t="s">
        <v>106</v>
      </c>
      <c r="J6227" s="33" t="s">
        <v>9209</v>
      </c>
      <c r="K6227" s="33" t="s">
        <v>392</v>
      </c>
      <c r="L6227" s="33" t="s">
        <v>2456</v>
      </c>
      <c r="M6227" s="33" t="s">
        <v>21</v>
      </c>
      <c r="N6227" s="33" t="s">
        <v>9210</v>
      </c>
      <c r="O6227" s="33" t="s">
        <v>507</v>
      </c>
      <c r="P6227" s="33" t="s">
        <v>30089</v>
      </c>
      <c r="Q6227" s="40" t="s">
        <v>9211</v>
      </c>
      <c r="R6227" s="33" t="s">
        <v>512</v>
      </c>
      <c r="S6227" s="33" t="s">
        <v>22</v>
      </c>
      <c r="T6227" s="1" t="s">
        <v>26774</v>
      </c>
      <c r="Z6227" s="33" t="s">
        <v>42968</v>
      </c>
      <c r="AA6227" s="33">
        <v>1438</v>
      </c>
    </row>
    <row r="6228" spans="1:31" ht="12" customHeight="1" x14ac:dyDescent="0.15">
      <c r="A6228" s="33" t="s">
        <v>9200</v>
      </c>
      <c r="B6228" s="33">
        <v>31</v>
      </c>
      <c r="C6228" s="33" t="s">
        <v>14</v>
      </c>
      <c r="D6228" s="33" t="s">
        <v>79</v>
      </c>
      <c r="E6228" s="33" t="s">
        <v>9201</v>
      </c>
      <c r="F6228" s="67">
        <v>41759</v>
      </c>
      <c r="G6228" s="33" t="s">
        <v>9202</v>
      </c>
      <c r="H6228" s="33" t="s">
        <v>831</v>
      </c>
      <c r="I6228" s="33" t="s">
        <v>409</v>
      </c>
      <c r="J6228" s="33" t="s">
        <v>9203</v>
      </c>
      <c r="K6228" s="33" t="s">
        <v>831</v>
      </c>
      <c r="L6228" s="33" t="s">
        <v>3545</v>
      </c>
      <c r="M6228" s="33" t="s">
        <v>21</v>
      </c>
      <c r="N6228" s="33" t="s">
        <v>9204</v>
      </c>
      <c r="O6228" s="33" t="s">
        <v>23</v>
      </c>
      <c r="P6228" s="33" t="s">
        <v>30089</v>
      </c>
      <c r="Q6228" s="40" t="s">
        <v>9205</v>
      </c>
      <c r="R6228" s="33" t="s">
        <v>512</v>
      </c>
      <c r="S6228" s="33" t="s">
        <v>22</v>
      </c>
      <c r="T6228" s="33" t="s">
        <v>26592</v>
      </c>
      <c r="Z6228" s="33" t="s">
        <v>42966</v>
      </c>
      <c r="AA6228" s="33">
        <v>1437</v>
      </c>
      <c r="AE6228" s="33"/>
    </row>
    <row r="6229" spans="1:31" ht="12" customHeight="1" x14ac:dyDescent="0.15">
      <c r="A6229" s="33" t="s">
        <v>9237</v>
      </c>
      <c r="B6229" s="33">
        <v>27</v>
      </c>
      <c r="C6229" s="33" t="s">
        <v>103</v>
      </c>
      <c r="D6229" s="33" t="s">
        <v>31</v>
      </c>
      <c r="E6229" s="33" t="s">
        <v>9238</v>
      </c>
      <c r="F6229" s="67">
        <v>41758</v>
      </c>
      <c r="G6229" s="33" t="s">
        <v>9239</v>
      </c>
      <c r="H6229" s="33" t="s">
        <v>9240</v>
      </c>
      <c r="I6229" s="33" t="s">
        <v>621</v>
      </c>
      <c r="J6229" s="33" t="s">
        <v>9241</v>
      </c>
      <c r="K6229" s="33" t="s">
        <v>5276</v>
      </c>
      <c r="L6229" s="33" t="s">
        <v>9242</v>
      </c>
      <c r="M6229" s="33" t="s">
        <v>21</v>
      </c>
      <c r="N6229" s="33" t="s">
        <v>9243</v>
      </c>
      <c r="O6229" s="33" t="s">
        <v>950</v>
      </c>
      <c r="P6229" s="33" t="s">
        <v>30089</v>
      </c>
      <c r="Q6229" s="40" t="s">
        <v>9244</v>
      </c>
      <c r="R6229" s="33" t="s">
        <v>23</v>
      </c>
      <c r="S6229" s="33" t="s">
        <v>12</v>
      </c>
      <c r="T6229" s="54" t="s">
        <v>29705</v>
      </c>
      <c r="Y6229" s="33" t="s">
        <v>42476</v>
      </c>
      <c r="Z6229" s="33" t="s">
        <v>42968</v>
      </c>
      <c r="AA6229" s="33">
        <v>1436</v>
      </c>
    </row>
    <row r="6230" spans="1:31" ht="12" customHeight="1" x14ac:dyDescent="0.15">
      <c r="A6230" s="33" t="s">
        <v>9212</v>
      </c>
      <c r="B6230" s="33">
        <v>22</v>
      </c>
      <c r="C6230" s="33" t="s">
        <v>14</v>
      </c>
      <c r="D6230" s="33" t="s">
        <v>79</v>
      </c>
      <c r="E6230" s="33" t="s">
        <v>9213</v>
      </c>
      <c r="F6230" s="67">
        <v>41758</v>
      </c>
      <c r="G6230" s="33" t="s">
        <v>9214</v>
      </c>
      <c r="H6230" s="33" t="s">
        <v>9215</v>
      </c>
      <c r="I6230" s="33" t="s">
        <v>338</v>
      </c>
      <c r="J6230" s="33" t="s">
        <v>5473</v>
      </c>
      <c r="K6230" s="33" t="s">
        <v>2907</v>
      </c>
      <c r="L6230" s="33" t="s">
        <v>9216</v>
      </c>
      <c r="M6230" s="33" t="s">
        <v>21</v>
      </c>
      <c r="N6230" s="33" t="s">
        <v>9217</v>
      </c>
      <c r="O6230" s="33" t="s">
        <v>507</v>
      </c>
      <c r="P6230" s="33" t="s">
        <v>30089</v>
      </c>
      <c r="Q6230" s="40" t="s">
        <v>9218</v>
      </c>
      <c r="R6230" s="33" t="s">
        <v>94</v>
      </c>
      <c r="S6230" s="33" t="s">
        <v>22</v>
      </c>
      <c r="T6230" s="1" t="s">
        <v>26781</v>
      </c>
      <c r="Z6230" s="33" t="s">
        <v>42968</v>
      </c>
      <c r="AA6230" s="33">
        <v>1431</v>
      </c>
    </row>
    <row r="6231" spans="1:31" ht="12" customHeight="1" x14ac:dyDescent="0.15">
      <c r="A6231" s="33" t="s">
        <v>3002</v>
      </c>
      <c r="B6231" s="33" t="s">
        <v>23</v>
      </c>
      <c r="C6231" s="33" t="s">
        <v>14</v>
      </c>
      <c r="D6231" s="33" t="s">
        <v>24</v>
      </c>
      <c r="F6231" s="67">
        <v>41758</v>
      </c>
      <c r="G6231" s="33" t="s">
        <v>9224</v>
      </c>
      <c r="H6231" s="33" t="s">
        <v>415</v>
      </c>
      <c r="I6231" s="33" t="s">
        <v>51</v>
      </c>
      <c r="J6231" s="33" t="s">
        <v>9225</v>
      </c>
      <c r="K6231" s="33" t="s">
        <v>1057</v>
      </c>
      <c r="L6231" s="33" t="s">
        <v>2030</v>
      </c>
      <c r="M6231" s="33" t="s">
        <v>21</v>
      </c>
      <c r="N6231" s="33" t="s">
        <v>9226</v>
      </c>
      <c r="O6231" s="33" t="s">
        <v>950</v>
      </c>
      <c r="P6231" s="33" t="s">
        <v>30089</v>
      </c>
      <c r="Q6231" s="40" t="s">
        <v>9227</v>
      </c>
      <c r="R6231" s="33" t="s">
        <v>94</v>
      </c>
      <c r="S6231" s="33" t="s">
        <v>22</v>
      </c>
      <c r="T6231" s="1" t="s">
        <v>43007</v>
      </c>
      <c r="Z6231" s="33" t="s">
        <v>42966</v>
      </c>
      <c r="AA6231" s="33">
        <v>1435</v>
      </c>
    </row>
    <row r="6232" spans="1:31" ht="12" customHeight="1" x14ac:dyDescent="0.15">
      <c r="A6232" s="33" t="s">
        <v>9219</v>
      </c>
      <c r="B6232" s="33">
        <v>26</v>
      </c>
      <c r="C6232" s="33" t="s">
        <v>14</v>
      </c>
      <c r="D6232" s="33" t="s">
        <v>42</v>
      </c>
      <c r="F6232" s="67">
        <v>41758</v>
      </c>
      <c r="G6232" s="33" t="s">
        <v>9220</v>
      </c>
      <c r="H6232" s="33" t="s">
        <v>92</v>
      </c>
      <c r="I6232" s="33" t="s">
        <v>39</v>
      </c>
      <c r="J6232" s="33" t="s">
        <v>9221</v>
      </c>
      <c r="K6232" s="33" t="s">
        <v>92</v>
      </c>
      <c r="L6232" s="33" t="s">
        <v>386</v>
      </c>
      <c r="M6232" s="33" t="s">
        <v>21</v>
      </c>
      <c r="N6232" s="33" t="s">
        <v>9222</v>
      </c>
      <c r="O6232" s="33" t="s">
        <v>4311</v>
      </c>
      <c r="P6232" s="33" t="s">
        <v>30089</v>
      </c>
      <c r="Q6232" s="40" t="s">
        <v>9223</v>
      </c>
      <c r="R6232" s="33" t="s">
        <v>94</v>
      </c>
      <c r="S6232" s="33" t="s">
        <v>22</v>
      </c>
      <c r="T6232" s="1" t="s">
        <v>26781</v>
      </c>
      <c r="Z6232" s="33" t="s">
        <v>42966</v>
      </c>
      <c r="AA6232" s="33">
        <v>1432</v>
      </c>
    </row>
    <row r="6233" spans="1:31" ht="12" customHeight="1" x14ac:dyDescent="0.15">
      <c r="A6233" s="33" t="s">
        <v>9228</v>
      </c>
      <c r="B6233" s="33">
        <v>46</v>
      </c>
      <c r="C6233" s="33" t="s">
        <v>14</v>
      </c>
      <c r="D6233" s="33" t="s">
        <v>24</v>
      </c>
      <c r="F6233" s="67">
        <v>41758</v>
      </c>
      <c r="G6233" s="33" t="s">
        <v>9229</v>
      </c>
      <c r="H6233" s="33" t="s">
        <v>607</v>
      </c>
      <c r="I6233" s="33" t="s">
        <v>250</v>
      </c>
      <c r="J6233" s="33" t="s">
        <v>7556</v>
      </c>
      <c r="K6233" s="33" t="s">
        <v>527</v>
      </c>
      <c r="L6233" s="33" t="s">
        <v>528</v>
      </c>
      <c r="M6233" s="33" t="s">
        <v>21</v>
      </c>
      <c r="N6233" s="33" t="s">
        <v>9230</v>
      </c>
      <c r="O6233" s="33" t="s">
        <v>950</v>
      </c>
      <c r="P6233" s="33" t="s">
        <v>30089</v>
      </c>
      <c r="Q6233" s="40" t="s">
        <v>9231</v>
      </c>
      <c r="R6233" s="33" t="s">
        <v>512</v>
      </c>
      <c r="S6233" s="33" t="s">
        <v>22</v>
      </c>
      <c r="T6233" s="1" t="s">
        <v>26781</v>
      </c>
      <c r="Z6233" s="33" t="s">
        <v>42966</v>
      </c>
      <c r="AA6233" s="33">
        <v>1433</v>
      </c>
    </row>
    <row r="6234" spans="1:31" ht="12" customHeight="1" x14ac:dyDescent="0.15">
      <c r="A6234" s="33" t="s">
        <v>9232</v>
      </c>
      <c r="B6234" s="33">
        <v>37</v>
      </c>
      <c r="C6234" s="33" t="s">
        <v>14</v>
      </c>
      <c r="D6234" s="33" t="s">
        <v>31</v>
      </c>
      <c r="E6234" s="33" t="s">
        <v>9233</v>
      </c>
      <c r="F6234" s="67">
        <v>41758</v>
      </c>
      <c r="G6234" s="33" t="s">
        <v>9234</v>
      </c>
      <c r="H6234" s="33" t="s">
        <v>782</v>
      </c>
      <c r="I6234" s="33" t="s">
        <v>282</v>
      </c>
      <c r="J6234" s="33" t="s">
        <v>2182</v>
      </c>
      <c r="K6234" s="33" t="s">
        <v>782</v>
      </c>
      <c r="L6234" s="33" t="s">
        <v>783</v>
      </c>
      <c r="M6234" s="33" t="s">
        <v>21</v>
      </c>
      <c r="N6234" s="33" t="s">
        <v>9235</v>
      </c>
      <c r="O6234" s="33" t="s">
        <v>372</v>
      </c>
      <c r="P6234" s="33" t="s">
        <v>30089</v>
      </c>
      <c r="Q6234" s="40" t="s">
        <v>9236</v>
      </c>
      <c r="R6234" s="33" t="s">
        <v>94</v>
      </c>
      <c r="S6234" s="33" t="s">
        <v>22</v>
      </c>
      <c r="T6234" s="1" t="s">
        <v>26781</v>
      </c>
      <c r="Z6234" s="33" t="s">
        <v>42966</v>
      </c>
      <c r="AA6234" s="33">
        <v>1434</v>
      </c>
    </row>
    <row r="6235" spans="1:31" ht="12" customHeight="1" x14ac:dyDescent="0.15">
      <c r="A6235" s="33" t="s">
        <v>9252</v>
      </c>
      <c r="B6235" s="33">
        <v>55</v>
      </c>
      <c r="C6235" s="33" t="s">
        <v>14</v>
      </c>
      <c r="D6235" s="33" t="s">
        <v>31</v>
      </c>
      <c r="F6235" s="67">
        <v>41757</v>
      </c>
      <c r="G6235" s="33" t="s">
        <v>9253</v>
      </c>
      <c r="H6235" s="33" t="s">
        <v>9254</v>
      </c>
      <c r="I6235" s="33" t="s">
        <v>106</v>
      </c>
      <c r="J6235" s="33" t="s">
        <v>9255</v>
      </c>
      <c r="K6235" s="33" t="s">
        <v>6861</v>
      </c>
      <c r="L6235" s="33" t="s">
        <v>9256</v>
      </c>
      <c r="M6235" s="33" t="s">
        <v>21</v>
      </c>
      <c r="N6235" s="33" t="s">
        <v>36829</v>
      </c>
      <c r="O6235" s="33" t="s">
        <v>507</v>
      </c>
      <c r="P6235" s="33" t="s">
        <v>30089</v>
      </c>
      <c r="Q6235" s="40" t="str">
        <f>HYPERLINK("http://m.union-bulletin.com/news/2014/apr/29/update-investigation-continues-athena-mans-fatal-s/?templates=mobile","http://m.union-bulletin.com/news/2014/apr/29/update-investigation-continues-athena-mans-fatal-s/?templates=mobile")</f>
        <v>http://m.union-bulletin.com/news/2014/apr/29/update-investigation-continues-athena-mans-fatal-s/?templates=mobile</v>
      </c>
      <c r="R6235" s="33" t="s">
        <v>94</v>
      </c>
      <c r="S6235" s="33" t="s">
        <v>22</v>
      </c>
      <c r="T6235" s="1" t="s">
        <v>26781</v>
      </c>
      <c r="Z6235" s="33" t="s">
        <v>42967</v>
      </c>
      <c r="AA6235" s="33">
        <v>1429</v>
      </c>
    </row>
    <row r="6236" spans="1:31" ht="12" customHeight="1" x14ac:dyDescent="0.15">
      <c r="A6236" s="33" t="s">
        <v>9245</v>
      </c>
      <c r="B6236" s="33">
        <v>53</v>
      </c>
      <c r="C6236" s="33" t="s">
        <v>14</v>
      </c>
      <c r="D6236" s="33" t="s">
        <v>31</v>
      </c>
      <c r="E6236" s="33" t="s">
        <v>9246</v>
      </c>
      <c r="F6236" s="67">
        <v>41757</v>
      </c>
      <c r="G6236" s="33" t="s">
        <v>9247</v>
      </c>
      <c r="H6236" s="33" t="s">
        <v>8871</v>
      </c>
      <c r="I6236" s="33" t="s">
        <v>39</v>
      </c>
      <c r="J6236" s="33" t="s">
        <v>9248</v>
      </c>
      <c r="K6236" s="33" t="s">
        <v>4807</v>
      </c>
      <c r="L6236" s="33" t="s">
        <v>9249</v>
      </c>
      <c r="M6236" s="33" t="s">
        <v>21</v>
      </c>
      <c r="N6236" s="33" t="s">
        <v>9250</v>
      </c>
      <c r="O6236" s="33" t="s">
        <v>507</v>
      </c>
      <c r="P6236" s="33" t="s">
        <v>30089</v>
      </c>
      <c r="Q6236" s="40" t="s">
        <v>9251</v>
      </c>
      <c r="R6236" s="33" t="s">
        <v>512</v>
      </c>
      <c r="S6236" s="33" t="s">
        <v>22</v>
      </c>
      <c r="T6236" s="1" t="s">
        <v>26774</v>
      </c>
      <c r="Z6236" s="33" t="s">
        <v>42967</v>
      </c>
      <c r="AA6236" s="33">
        <v>1430</v>
      </c>
    </row>
    <row r="6237" spans="1:31" ht="12" customHeight="1" x14ac:dyDescent="0.15">
      <c r="A6237" s="33" t="s">
        <v>9263</v>
      </c>
      <c r="B6237" s="33">
        <v>36</v>
      </c>
      <c r="C6237" s="33" t="s">
        <v>14</v>
      </c>
      <c r="D6237" s="33" t="s">
        <v>31</v>
      </c>
      <c r="E6237" s="33" t="s">
        <v>9264</v>
      </c>
      <c r="F6237" s="67">
        <v>41756</v>
      </c>
      <c r="G6237" s="33" t="s">
        <v>9265</v>
      </c>
      <c r="H6237" s="33" t="s">
        <v>451</v>
      </c>
      <c r="I6237" s="33" t="s">
        <v>39</v>
      </c>
      <c r="J6237" s="33" t="s">
        <v>5813</v>
      </c>
      <c r="K6237" s="33" t="s">
        <v>92</v>
      </c>
      <c r="L6237" s="33" t="s">
        <v>452</v>
      </c>
      <c r="M6237" s="33" t="s">
        <v>21</v>
      </c>
      <c r="N6237" s="33" t="s">
        <v>9266</v>
      </c>
      <c r="O6237" s="33" t="s">
        <v>950</v>
      </c>
      <c r="P6237" s="33" t="s">
        <v>30089</v>
      </c>
      <c r="Q6237" s="40" t="s">
        <v>9267</v>
      </c>
      <c r="R6237" s="33" t="s">
        <v>94</v>
      </c>
      <c r="S6237" s="33" t="s">
        <v>29</v>
      </c>
      <c r="T6237" s="1" t="s">
        <v>43006</v>
      </c>
      <c r="Z6237" s="33" t="s">
        <v>42966</v>
      </c>
      <c r="AA6237" s="33">
        <v>1428</v>
      </c>
    </row>
    <row r="6238" spans="1:31" ht="12" customHeight="1" x14ac:dyDescent="0.15">
      <c r="A6238" s="33" t="s">
        <v>9274</v>
      </c>
      <c r="B6238" s="33">
        <v>19</v>
      </c>
      <c r="C6238" s="33" t="s">
        <v>103</v>
      </c>
      <c r="D6238" s="33" t="s">
        <v>31</v>
      </c>
      <c r="E6238" s="33" t="s">
        <v>9275</v>
      </c>
      <c r="F6238" s="67">
        <v>41755</v>
      </c>
      <c r="G6238" s="33" t="s">
        <v>9276</v>
      </c>
      <c r="H6238" s="33" t="s">
        <v>9277</v>
      </c>
      <c r="I6238" s="33" t="s">
        <v>294</v>
      </c>
      <c r="J6238" s="33" t="s">
        <v>9278</v>
      </c>
      <c r="K6238" s="33" t="s">
        <v>2634</v>
      </c>
      <c r="L6238" s="33" t="s">
        <v>9279</v>
      </c>
      <c r="M6238" s="33" t="s">
        <v>21</v>
      </c>
      <c r="N6238" s="33" t="s">
        <v>9280</v>
      </c>
      <c r="O6238" s="33" t="s">
        <v>950</v>
      </c>
      <c r="P6238" s="33" t="s">
        <v>30089</v>
      </c>
      <c r="Q6238" s="40" t="s">
        <v>9281</v>
      </c>
      <c r="R6238" s="33" t="s">
        <v>94</v>
      </c>
      <c r="S6238" s="33" t="s">
        <v>351</v>
      </c>
      <c r="T6238" s="1" t="s">
        <v>42983</v>
      </c>
      <c r="Z6238" s="33" t="s">
        <v>42968</v>
      </c>
      <c r="AA6238" s="33">
        <v>1427</v>
      </c>
    </row>
    <row r="6239" spans="1:31" ht="12" customHeight="1" x14ac:dyDescent="0.15">
      <c r="A6239" s="33" t="s">
        <v>9268</v>
      </c>
      <c r="B6239" s="33">
        <v>27</v>
      </c>
      <c r="C6239" s="33" t="s">
        <v>103</v>
      </c>
      <c r="D6239" s="33" t="s">
        <v>24</v>
      </c>
      <c r="F6239" s="67">
        <v>41755</v>
      </c>
      <c r="G6239" s="33" t="s">
        <v>9269</v>
      </c>
      <c r="H6239" s="33" t="s">
        <v>1332</v>
      </c>
      <c r="I6239" s="33" t="s">
        <v>39</v>
      </c>
      <c r="J6239" s="33" t="s">
        <v>9270</v>
      </c>
      <c r="K6239" s="33" t="s">
        <v>1332</v>
      </c>
      <c r="L6239" s="33" t="s">
        <v>9271</v>
      </c>
      <c r="M6239" s="33" t="s">
        <v>21</v>
      </c>
      <c r="N6239" s="33" t="s">
        <v>9272</v>
      </c>
      <c r="O6239" s="33" t="s">
        <v>507</v>
      </c>
      <c r="P6239" s="33" t="s">
        <v>30089</v>
      </c>
      <c r="Q6239" s="40" t="s">
        <v>9273</v>
      </c>
      <c r="R6239" s="33" t="s">
        <v>94</v>
      </c>
      <c r="S6239" s="33" t="s">
        <v>22</v>
      </c>
      <c r="T6239" s="1" t="s">
        <v>26781</v>
      </c>
      <c r="Z6239" s="33" t="s">
        <v>42968</v>
      </c>
      <c r="AA6239" s="33">
        <v>1426</v>
      </c>
    </row>
    <row r="6240" spans="1:31" ht="12" customHeight="1" x14ac:dyDescent="0.15">
      <c r="A6240" s="33" t="s">
        <v>9282</v>
      </c>
      <c r="B6240" s="33">
        <v>43</v>
      </c>
      <c r="C6240" s="33" t="s">
        <v>14</v>
      </c>
      <c r="D6240" s="33" t="s">
        <v>79</v>
      </c>
      <c r="E6240" s="33" t="s">
        <v>9283</v>
      </c>
      <c r="F6240" s="67">
        <v>41754</v>
      </c>
      <c r="G6240" s="33" t="s">
        <v>9284</v>
      </c>
      <c r="H6240" s="33" t="s">
        <v>9285</v>
      </c>
      <c r="I6240" s="33" t="s">
        <v>621</v>
      </c>
      <c r="J6240" s="33">
        <v>39120</v>
      </c>
      <c r="K6240" s="33" t="s">
        <v>1790</v>
      </c>
      <c r="L6240" s="33" t="s">
        <v>9286</v>
      </c>
      <c r="M6240" s="33" t="s">
        <v>363</v>
      </c>
      <c r="N6240" s="33" t="s">
        <v>9287</v>
      </c>
      <c r="O6240" s="33" t="s">
        <v>950</v>
      </c>
      <c r="P6240" s="33" t="s">
        <v>30089</v>
      </c>
      <c r="Q6240" s="40" t="str">
        <f>HYPERLINK("http://www.natchezdemocrat.com/2014/04/25/man-dies-after-stun-gun-shock-state-agency-inspecting-acso-traffic-stop-death/","http://www.natchezdemocrat.com/2014/04/25/man-dies-after-stun-gun-shock-state-agency-inspecting-acso-traffic-stop-death/")</f>
        <v>http://www.natchezdemocrat.com/2014/04/25/man-dies-after-stun-gun-shock-state-agency-inspecting-acso-traffic-stop-death/</v>
      </c>
      <c r="R6240" s="33" t="s">
        <v>94</v>
      </c>
      <c r="S6240" s="33" t="s">
        <v>12</v>
      </c>
      <c r="T6240" s="54" t="s">
        <v>29705</v>
      </c>
      <c r="Z6240" s="33" t="s">
        <v>42967</v>
      </c>
      <c r="AA6240" s="33">
        <v>1425</v>
      </c>
    </row>
    <row r="6241" spans="1:27" ht="12" customHeight="1" x14ac:dyDescent="0.15">
      <c r="A6241" s="33" t="s">
        <v>9288</v>
      </c>
      <c r="B6241" s="33">
        <v>86</v>
      </c>
      <c r="C6241" s="33" t="s">
        <v>14</v>
      </c>
      <c r="D6241" s="33" t="s">
        <v>79</v>
      </c>
      <c r="E6241" s="33" t="s">
        <v>9289</v>
      </c>
      <c r="F6241" s="67">
        <v>41754</v>
      </c>
      <c r="G6241" s="33" t="s">
        <v>9290</v>
      </c>
      <c r="H6241" s="33" t="s">
        <v>81</v>
      </c>
      <c r="I6241" s="33" t="s">
        <v>38</v>
      </c>
      <c r="J6241" s="33" t="s">
        <v>7152</v>
      </c>
      <c r="K6241" s="33" t="s">
        <v>82</v>
      </c>
      <c r="L6241" s="33" t="s">
        <v>83</v>
      </c>
      <c r="M6241" s="33" t="s">
        <v>21</v>
      </c>
      <c r="N6241" s="33" t="s">
        <v>9291</v>
      </c>
      <c r="O6241" s="33" t="s">
        <v>950</v>
      </c>
      <c r="P6241" s="33" t="s">
        <v>30089</v>
      </c>
      <c r="Q6241" s="40" t="s">
        <v>9292</v>
      </c>
      <c r="R6241" s="33" t="s">
        <v>94</v>
      </c>
      <c r="S6241" s="33" t="s">
        <v>22</v>
      </c>
      <c r="T6241" s="1" t="s">
        <v>26781</v>
      </c>
      <c r="Z6241" s="33" t="s">
        <v>42966</v>
      </c>
      <c r="AA6241" s="33">
        <v>1423</v>
      </c>
    </row>
    <row r="6242" spans="1:27" ht="12" customHeight="1" x14ac:dyDescent="0.15">
      <c r="A6242" s="33" t="s">
        <v>9297</v>
      </c>
      <c r="B6242" s="33">
        <v>42</v>
      </c>
      <c r="C6242" s="33" t="s">
        <v>14</v>
      </c>
      <c r="D6242" s="33" t="s">
        <v>42</v>
      </c>
      <c r="F6242" s="67">
        <v>41754</v>
      </c>
      <c r="G6242" s="33" t="s">
        <v>9298</v>
      </c>
      <c r="H6242" s="33" t="s">
        <v>92</v>
      </c>
      <c r="I6242" s="33" t="s">
        <v>39</v>
      </c>
      <c r="J6242" s="33" t="s">
        <v>9299</v>
      </c>
      <c r="K6242" s="33" t="s">
        <v>92</v>
      </c>
      <c r="L6242" s="33" t="s">
        <v>386</v>
      </c>
      <c r="M6242" s="33" t="s">
        <v>21</v>
      </c>
      <c r="N6242" s="33" t="s">
        <v>9300</v>
      </c>
      <c r="O6242" s="33" t="s">
        <v>950</v>
      </c>
      <c r="P6242" s="33" t="s">
        <v>30089</v>
      </c>
      <c r="Q6242" s="40" t="s">
        <v>9301</v>
      </c>
      <c r="R6242" s="33" t="s">
        <v>512</v>
      </c>
      <c r="S6242" s="33" t="s">
        <v>22</v>
      </c>
      <c r="T6242" s="1" t="s">
        <v>26774</v>
      </c>
      <c r="Z6242" s="33" t="s">
        <v>42966</v>
      </c>
      <c r="AA6242" s="33">
        <v>1424</v>
      </c>
    </row>
    <row r="6243" spans="1:27" ht="12" customHeight="1" x14ac:dyDescent="0.15">
      <c r="A6243" s="33" t="s">
        <v>9293</v>
      </c>
      <c r="B6243" s="33">
        <v>20</v>
      </c>
      <c r="C6243" s="33" t="s">
        <v>14</v>
      </c>
      <c r="D6243" s="33" t="s">
        <v>79</v>
      </c>
      <c r="E6243" s="33" t="s">
        <v>9294</v>
      </c>
      <c r="F6243" s="67">
        <v>41754</v>
      </c>
      <c r="G6243" s="33" t="s">
        <v>9295</v>
      </c>
      <c r="H6243" s="33" t="s">
        <v>2536</v>
      </c>
      <c r="I6243" s="33" t="s">
        <v>621</v>
      </c>
      <c r="J6243" s="33" t="s">
        <v>2537</v>
      </c>
      <c r="K6243" s="33" t="s">
        <v>2538</v>
      </c>
      <c r="L6243" s="33" t="s">
        <v>2539</v>
      </c>
      <c r="M6243" s="33" t="s">
        <v>21</v>
      </c>
      <c r="N6243" s="33" t="s">
        <v>9296</v>
      </c>
      <c r="O6243" s="33" t="s">
        <v>950</v>
      </c>
      <c r="P6243" s="33" t="s">
        <v>30089</v>
      </c>
      <c r="Q6243" s="40" t="str">
        <f>HYPERLINK("http://www.wtok.com/news/headlines/Update-on-Emmanuel-Wooten-Search-256704901.html","http://www.wtok.com/news/headlines/Update-on-Emmanuel-Wooten-Search-256704901.html")</f>
        <v>http://www.wtok.com/news/headlines/Update-on-Emmanuel-Wooten-Search-256704901.html</v>
      </c>
      <c r="R6243" s="33" t="s">
        <v>94</v>
      </c>
      <c r="S6243" s="33" t="s">
        <v>22</v>
      </c>
      <c r="T6243" s="1" t="s">
        <v>26781</v>
      </c>
      <c r="Z6243" s="33" t="s">
        <v>42968</v>
      </c>
      <c r="AA6243" s="33">
        <v>1422</v>
      </c>
    </row>
    <row r="6244" spans="1:27" ht="12" customHeight="1" x14ac:dyDescent="0.15">
      <c r="A6244" s="33" t="s">
        <v>9305</v>
      </c>
      <c r="B6244" s="33">
        <v>55</v>
      </c>
      <c r="C6244" s="33" t="s">
        <v>103</v>
      </c>
      <c r="D6244" s="33" t="s">
        <v>31</v>
      </c>
      <c r="E6244" s="33" t="s">
        <v>9306</v>
      </c>
      <c r="F6244" s="67">
        <v>41753</v>
      </c>
      <c r="G6244" s="33" t="s">
        <v>9307</v>
      </c>
      <c r="H6244" s="33" t="s">
        <v>1397</v>
      </c>
      <c r="I6244" s="33" t="s">
        <v>26</v>
      </c>
      <c r="J6244" s="33" t="s">
        <v>1963</v>
      </c>
      <c r="K6244" s="33" t="s">
        <v>1397</v>
      </c>
      <c r="L6244" s="33" t="s">
        <v>8612</v>
      </c>
      <c r="M6244" s="33" t="s">
        <v>21</v>
      </c>
      <c r="N6244" s="33" t="s">
        <v>9308</v>
      </c>
      <c r="O6244" s="33" t="s">
        <v>950</v>
      </c>
      <c r="P6244" s="33" t="s">
        <v>30089</v>
      </c>
      <c r="Q6244" s="40" t="s">
        <v>9309</v>
      </c>
      <c r="R6244" s="33" t="s">
        <v>94</v>
      </c>
      <c r="S6244" s="33" t="s">
        <v>351</v>
      </c>
      <c r="T6244" s="1" t="s">
        <v>42983</v>
      </c>
      <c r="Z6244" s="33" t="s">
        <v>42967</v>
      </c>
      <c r="AA6244" s="33">
        <v>1421</v>
      </c>
    </row>
    <row r="6245" spans="1:27" ht="12" customHeight="1" x14ac:dyDescent="0.15">
      <c r="A6245" s="33" t="s">
        <v>9317</v>
      </c>
      <c r="B6245" s="33">
        <v>55</v>
      </c>
      <c r="C6245" s="33" t="s">
        <v>14</v>
      </c>
      <c r="D6245" s="33" t="s">
        <v>24</v>
      </c>
      <c r="F6245" s="67">
        <v>41752</v>
      </c>
      <c r="G6245" s="33" t="s">
        <v>9318</v>
      </c>
      <c r="H6245" s="33" t="s">
        <v>9319</v>
      </c>
      <c r="I6245" s="33" t="s">
        <v>338</v>
      </c>
      <c r="J6245" s="33" t="s">
        <v>9320</v>
      </c>
      <c r="K6245" s="33" t="s">
        <v>9321</v>
      </c>
      <c r="L6245" s="33" t="s">
        <v>9322</v>
      </c>
      <c r="M6245" s="33" t="s">
        <v>21</v>
      </c>
      <c r="N6245" s="33" t="s">
        <v>9323</v>
      </c>
      <c r="O6245" s="33" t="s">
        <v>372</v>
      </c>
      <c r="P6245" s="33" t="s">
        <v>30089</v>
      </c>
      <c r="Q6245" s="40" t="s">
        <v>9324</v>
      </c>
      <c r="R6245" s="33" t="s">
        <v>512</v>
      </c>
      <c r="S6245" s="33" t="s">
        <v>22</v>
      </c>
      <c r="T6245" s="1" t="s">
        <v>26781</v>
      </c>
      <c r="Z6245" s="33" t="s">
        <v>42967</v>
      </c>
      <c r="AA6245" s="33">
        <v>1419</v>
      </c>
    </row>
    <row r="6246" spans="1:27" ht="12" customHeight="1" x14ac:dyDescent="0.15">
      <c r="A6246" s="33" t="s">
        <v>9325</v>
      </c>
      <c r="B6246" s="33">
        <v>53</v>
      </c>
      <c r="C6246" s="33" t="s">
        <v>14</v>
      </c>
      <c r="D6246" s="33" t="s">
        <v>24</v>
      </c>
      <c r="F6246" s="67">
        <v>41752</v>
      </c>
      <c r="G6246" s="33" t="s">
        <v>9326</v>
      </c>
      <c r="H6246" s="33" t="s">
        <v>9327</v>
      </c>
      <c r="I6246" s="33" t="s">
        <v>918</v>
      </c>
      <c r="J6246" s="33" t="s">
        <v>9328</v>
      </c>
      <c r="K6246" s="33" t="s">
        <v>1924</v>
      </c>
      <c r="L6246" s="33" t="s">
        <v>9329</v>
      </c>
      <c r="M6246" s="33" t="s">
        <v>21</v>
      </c>
      <c r="N6246" s="33" t="s">
        <v>9330</v>
      </c>
      <c r="O6246" s="33" t="s">
        <v>507</v>
      </c>
      <c r="P6246" s="33" t="s">
        <v>30089</v>
      </c>
      <c r="Q6246" s="40" t="s">
        <v>9331</v>
      </c>
      <c r="R6246" s="33" t="s">
        <v>94</v>
      </c>
      <c r="S6246" s="33" t="s">
        <v>22</v>
      </c>
      <c r="T6246" s="1" t="s">
        <v>26781</v>
      </c>
      <c r="Z6246" s="33" t="s">
        <v>42967</v>
      </c>
      <c r="AA6246" s="33">
        <v>1418</v>
      </c>
    </row>
    <row r="6247" spans="1:27" ht="12" customHeight="1" x14ac:dyDescent="0.15">
      <c r="A6247" s="33" t="s">
        <v>9310</v>
      </c>
      <c r="B6247" s="33">
        <v>26</v>
      </c>
      <c r="C6247" s="33" t="s">
        <v>14</v>
      </c>
      <c r="D6247" s="33" t="s">
        <v>42</v>
      </c>
      <c r="E6247" s="33" t="s">
        <v>9311</v>
      </c>
      <c r="F6247" s="67">
        <v>41752</v>
      </c>
      <c r="G6247" s="33" t="s">
        <v>9312</v>
      </c>
      <c r="H6247" s="33" t="s">
        <v>9313</v>
      </c>
      <c r="I6247" s="33" t="s">
        <v>112</v>
      </c>
      <c r="J6247" s="33" t="s">
        <v>9314</v>
      </c>
      <c r="K6247" s="33" t="s">
        <v>585</v>
      </c>
      <c r="L6247" s="33" t="s">
        <v>1765</v>
      </c>
      <c r="M6247" s="33" t="s">
        <v>21</v>
      </c>
      <c r="N6247" s="33" t="s">
        <v>9315</v>
      </c>
      <c r="O6247" s="33" t="s">
        <v>950</v>
      </c>
      <c r="P6247" s="33" t="s">
        <v>30089</v>
      </c>
      <c r="Q6247" s="40" t="s">
        <v>9316</v>
      </c>
      <c r="R6247" s="33" t="s">
        <v>94</v>
      </c>
      <c r="S6247" s="33" t="s">
        <v>22</v>
      </c>
      <c r="T6247" s="1" t="s">
        <v>26576</v>
      </c>
      <c r="Z6247" s="33" t="s">
        <v>42968</v>
      </c>
      <c r="AA6247" s="33">
        <v>1420</v>
      </c>
    </row>
    <row r="6248" spans="1:27" ht="12" customHeight="1" x14ac:dyDescent="0.15">
      <c r="A6248" s="33" t="s">
        <v>9339</v>
      </c>
      <c r="B6248" s="33" t="s">
        <v>23</v>
      </c>
      <c r="C6248" s="33" t="s">
        <v>14</v>
      </c>
      <c r="D6248" s="33" t="s">
        <v>31</v>
      </c>
      <c r="E6248" s="33" t="s">
        <v>9340</v>
      </c>
      <c r="F6248" s="67">
        <v>41751</v>
      </c>
      <c r="G6248" s="33" t="s">
        <v>9341</v>
      </c>
      <c r="H6248" s="33" t="s">
        <v>2159</v>
      </c>
      <c r="I6248" s="33" t="s">
        <v>38</v>
      </c>
      <c r="J6248" s="33" t="s">
        <v>9342</v>
      </c>
      <c r="K6248" s="33" t="s">
        <v>930</v>
      </c>
      <c r="L6248" s="33" t="s">
        <v>28122</v>
      </c>
      <c r="M6248" s="33" t="s">
        <v>21</v>
      </c>
      <c r="N6248" s="33" t="s">
        <v>9344</v>
      </c>
      <c r="O6248" s="33" t="s">
        <v>372</v>
      </c>
      <c r="P6248" s="33" t="s">
        <v>30089</v>
      </c>
      <c r="Q6248" s="40" t="s">
        <v>9345</v>
      </c>
      <c r="R6248" s="33" t="s">
        <v>904</v>
      </c>
      <c r="S6248" s="33" t="s">
        <v>22</v>
      </c>
      <c r="T6248" s="1" t="s">
        <v>26781</v>
      </c>
      <c r="Z6248" s="33" t="s">
        <v>42967</v>
      </c>
      <c r="AA6248" s="33">
        <v>1416</v>
      </c>
    </row>
    <row r="6249" spans="1:27" ht="12" customHeight="1" x14ac:dyDescent="0.15">
      <c r="A6249" s="33" t="s">
        <v>9332</v>
      </c>
      <c r="B6249" s="33">
        <v>53</v>
      </c>
      <c r="C6249" s="33" t="s">
        <v>14</v>
      </c>
      <c r="D6249" s="33" t="s">
        <v>31</v>
      </c>
      <c r="F6249" s="67">
        <v>41751</v>
      </c>
      <c r="G6249" s="33" t="s">
        <v>9333</v>
      </c>
      <c r="H6249" s="33" t="s">
        <v>9334</v>
      </c>
      <c r="I6249" s="33" t="s">
        <v>88</v>
      </c>
      <c r="J6249" s="33" t="s">
        <v>9335</v>
      </c>
      <c r="K6249" s="33" t="s">
        <v>5619</v>
      </c>
      <c r="L6249" s="33" t="s">
        <v>9336</v>
      </c>
      <c r="M6249" s="33" t="s">
        <v>21</v>
      </c>
      <c r="N6249" s="33" t="s">
        <v>9337</v>
      </c>
      <c r="O6249" s="33" t="s">
        <v>950</v>
      </c>
      <c r="P6249" s="33" t="s">
        <v>30089</v>
      </c>
      <c r="Q6249" s="40" t="s">
        <v>9338</v>
      </c>
      <c r="R6249" s="33" t="s">
        <v>94</v>
      </c>
      <c r="S6249" s="33" t="s">
        <v>12</v>
      </c>
      <c r="T6249" s="33" t="s">
        <v>29425</v>
      </c>
      <c r="Z6249" s="33" t="s">
        <v>42966</v>
      </c>
      <c r="AA6249" s="33">
        <v>1417</v>
      </c>
    </row>
    <row r="6250" spans="1:27" ht="12" customHeight="1" x14ac:dyDescent="0.15">
      <c r="A6250" s="33" t="s">
        <v>9346</v>
      </c>
      <c r="B6250" s="33">
        <v>26</v>
      </c>
      <c r="C6250" s="33" t="s">
        <v>14</v>
      </c>
      <c r="D6250" s="33" t="s">
        <v>31</v>
      </c>
      <c r="E6250" s="33" t="s">
        <v>9347</v>
      </c>
      <c r="F6250" s="67">
        <v>41751</v>
      </c>
      <c r="G6250" s="33" t="s">
        <v>9348</v>
      </c>
      <c r="H6250" s="33" t="s">
        <v>522</v>
      </c>
      <c r="I6250" s="33" t="s">
        <v>67</v>
      </c>
      <c r="J6250" s="33" t="s">
        <v>9349</v>
      </c>
      <c r="K6250" s="33" t="s">
        <v>9350</v>
      </c>
      <c r="L6250" s="33" t="s">
        <v>9351</v>
      </c>
      <c r="M6250" s="33" t="s">
        <v>21</v>
      </c>
      <c r="N6250" s="33" t="s">
        <v>9352</v>
      </c>
      <c r="O6250" s="33" t="s">
        <v>950</v>
      </c>
      <c r="P6250" s="33" t="s">
        <v>30089</v>
      </c>
      <c r="Q6250" s="40" t="s">
        <v>9353</v>
      </c>
      <c r="R6250" s="33" t="s">
        <v>94</v>
      </c>
      <c r="S6250" s="33" t="s">
        <v>22</v>
      </c>
      <c r="T6250" s="1" t="s">
        <v>26781</v>
      </c>
      <c r="Z6250" s="33" t="s">
        <v>42967</v>
      </c>
      <c r="AA6250" s="33">
        <v>1415</v>
      </c>
    </row>
    <row r="6251" spans="1:27" ht="12" customHeight="1" x14ac:dyDescent="0.15">
      <c r="A6251" s="33" t="s">
        <v>9366</v>
      </c>
      <c r="B6251" s="33">
        <v>58</v>
      </c>
      <c r="C6251" s="33" t="s">
        <v>14</v>
      </c>
      <c r="D6251" s="33" t="s">
        <v>31</v>
      </c>
      <c r="E6251" s="33" t="s">
        <v>9367</v>
      </c>
      <c r="F6251" s="67">
        <v>41750</v>
      </c>
      <c r="G6251" s="33" t="s">
        <v>9368</v>
      </c>
      <c r="H6251" s="33" t="s">
        <v>1763</v>
      </c>
      <c r="I6251" s="33" t="s">
        <v>39</v>
      </c>
      <c r="J6251" s="33" t="s">
        <v>9369</v>
      </c>
      <c r="K6251" s="33" t="s">
        <v>728</v>
      </c>
      <c r="L6251" s="33" t="s">
        <v>729</v>
      </c>
      <c r="M6251" s="33" t="s">
        <v>21</v>
      </c>
      <c r="N6251" s="33" t="s">
        <v>9370</v>
      </c>
      <c r="O6251" s="33" t="s">
        <v>950</v>
      </c>
      <c r="P6251" s="33" t="s">
        <v>30089</v>
      </c>
      <c r="Q6251" s="40" t="s">
        <v>9371</v>
      </c>
      <c r="R6251" s="33" t="s">
        <v>512</v>
      </c>
      <c r="S6251" s="33" t="s">
        <v>22</v>
      </c>
      <c r="T6251" s="1" t="s">
        <v>26781</v>
      </c>
      <c r="Z6251" s="33" t="s">
        <v>42968</v>
      </c>
      <c r="AA6251" s="33">
        <v>1412</v>
      </c>
    </row>
    <row r="6252" spans="1:27" ht="12" customHeight="1" x14ac:dyDescent="0.15">
      <c r="A6252" s="33" t="s">
        <v>9354</v>
      </c>
      <c r="B6252" s="33">
        <v>29</v>
      </c>
      <c r="C6252" s="33" t="s">
        <v>14</v>
      </c>
      <c r="D6252" s="33" t="s">
        <v>79</v>
      </c>
      <c r="E6252" s="33" t="s">
        <v>9355</v>
      </c>
      <c r="F6252" s="67">
        <v>41750</v>
      </c>
      <c r="G6252" s="33" t="s">
        <v>9356</v>
      </c>
      <c r="H6252" s="33" t="s">
        <v>9357</v>
      </c>
      <c r="I6252" s="33" t="s">
        <v>376</v>
      </c>
      <c r="J6252" s="33" t="s">
        <v>9358</v>
      </c>
      <c r="K6252" s="33" t="s">
        <v>1530</v>
      </c>
      <c r="L6252" s="33" t="s">
        <v>32183</v>
      </c>
      <c r="M6252" s="33" t="s">
        <v>21</v>
      </c>
      <c r="N6252" s="33" t="s">
        <v>9359</v>
      </c>
      <c r="O6252" s="33" t="s">
        <v>507</v>
      </c>
      <c r="P6252" s="33" t="s">
        <v>30089</v>
      </c>
      <c r="Q6252" s="40" t="str">
        <f>HYPERLINK("http://triblive.com/news/allegheny/6036085-74/zappala-officer-police#axzz3Gj9fLtSM","http://triblive.com/news/allegheny/6036085-74/zappala-officer-police#axzz3Gj9fLtSM")</f>
        <v>http://triblive.com/news/allegheny/6036085-74/zappala-officer-police#axzz3Gj9fLtSM</v>
      </c>
      <c r="R6252" s="33" t="s">
        <v>94</v>
      </c>
      <c r="S6252" s="33" t="s">
        <v>22</v>
      </c>
      <c r="T6252" s="1" t="s">
        <v>26781</v>
      </c>
      <c r="Z6252" s="33" t="s">
        <v>42968</v>
      </c>
      <c r="AA6252" s="33">
        <v>1410</v>
      </c>
    </row>
    <row r="6253" spans="1:27" ht="12" customHeight="1" x14ac:dyDescent="0.15">
      <c r="A6253" s="33" t="s">
        <v>9386</v>
      </c>
      <c r="B6253" s="103">
        <v>19</v>
      </c>
      <c r="C6253" s="33" t="s">
        <v>103</v>
      </c>
      <c r="D6253" s="33" t="s">
        <v>31</v>
      </c>
      <c r="E6253" s="33" t="s">
        <v>9387</v>
      </c>
      <c r="F6253" s="67">
        <v>41750</v>
      </c>
      <c r="G6253" s="33" t="s">
        <v>9388</v>
      </c>
      <c r="H6253" s="33" t="s">
        <v>866</v>
      </c>
      <c r="I6253" s="33" t="s">
        <v>178</v>
      </c>
      <c r="J6253" s="33" t="s">
        <v>7675</v>
      </c>
      <c r="K6253" s="33" t="s">
        <v>433</v>
      </c>
      <c r="L6253" s="33" t="s">
        <v>4562</v>
      </c>
      <c r="M6253" s="33" t="s">
        <v>21</v>
      </c>
      <c r="N6253" s="33" t="s">
        <v>9389</v>
      </c>
      <c r="O6253" s="33" t="s">
        <v>372</v>
      </c>
      <c r="P6253" s="33" t="s">
        <v>30089</v>
      </c>
      <c r="Q6253" s="40" t="s">
        <v>9174</v>
      </c>
      <c r="R6253" s="33" t="s">
        <v>94</v>
      </c>
      <c r="S6253" s="33" t="s">
        <v>22</v>
      </c>
      <c r="T6253" s="1" t="s">
        <v>26781</v>
      </c>
      <c r="Z6253" s="33" t="s">
        <v>42968</v>
      </c>
      <c r="AA6253" s="33">
        <v>1409</v>
      </c>
    </row>
    <row r="6254" spans="1:27" ht="13.5" customHeight="1" x14ac:dyDescent="0.15">
      <c r="A6254" s="33" t="s">
        <v>9360</v>
      </c>
      <c r="B6254" s="33">
        <v>25</v>
      </c>
      <c r="C6254" s="33" t="s">
        <v>14</v>
      </c>
      <c r="D6254" s="33" t="s">
        <v>885</v>
      </c>
      <c r="E6254" s="33" t="s">
        <v>9361</v>
      </c>
      <c r="F6254" s="67">
        <v>41750</v>
      </c>
      <c r="G6254" s="33" t="s">
        <v>9362</v>
      </c>
      <c r="H6254" s="33" t="s">
        <v>220</v>
      </c>
      <c r="I6254" s="33" t="s">
        <v>221</v>
      </c>
      <c r="J6254" s="33" t="s">
        <v>9363</v>
      </c>
      <c r="K6254" s="33" t="s">
        <v>564</v>
      </c>
      <c r="L6254" s="33" t="s">
        <v>5161</v>
      </c>
      <c r="M6254" s="33" t="s">
        <v>21</v>
      </c>
      <c r="N6254" s="33" t="s">
        <v>9364</v>
      </c>
      <c r="O6254" s="33" t="s">
        <v>372</v>
      </c>
      <c r="P6254" s="33" t="s">
        <v>30089</v>
      </c>
      <c r="Q6254" s="40" t="s">
        <v>9365</v>
      </c>
      <c r="R6254" s="33" t="s">
        <v>94</v>
      </c>
      <c r="S6254" s="33" t="s">
        <v>29</v>
      </c>
      <c r="T6254" s="1" t="s">
        <v>27847</v>
      </c>
      <c r="Z6254" s="33" t="s">
        <v>42966</v>
      </c>
      <c r="AA6254" s="33">
        <v>1414</v>
      </c>
    </row>
    <row r="6255" spans="1:27" ht="13.5" customHeight="1" x14ac:dyDescent="0.15">
      <c r="A6255" s="33" t="s">
        <v>9372</v>
      </c>
      <c r="B6255" s="33">
        <v>30</v>
      </c>
      <c r="C6255" s="33" t="s">
        <v>14</v>
      </c>
      <c r="D6255" s="33" t="s">
        <v>31</v>
      </c>
      <c r="E6255" s="33" t="s">
        <v>9373</v>
      </c>
      <c r="F6255" s="67">
        <v>41750</v>
      </c>
      <c r="G6255" s="33" t="s">
        <v>9374</v>
      </c>
      <c r="H6255" s="33" t="s">
        <v>266</v>
      </c>
      <c r="I6255" s="33" t="s">
        <v>67</v>
      </c>
      <c r="J6255" s="33" t="s">
        <v>9375</v>
      </c>
      <c r="K6255" s="33" t="s">
        <v>266</v>
      </c>
      <c r="L6255" s="33" t="s">
        <v>267</v>
      </c>
      <c r="M6255" s="33" t="s">
        <v>21</v>
      </c>
      <c r="N6255" s="33" t="s">
        <v>9376</v>
      </c>
      <c r="O6255" s="33" t="s">
        <v>950</v>
      </c>
      <c r="P6255" s="33" t="s">
        <v>30089</v>
      </c>
      <c r="Q6255" s="40" t="s">
        <v>9377</v>
      </c>
      <c r="R6255" s="33" t="s">
        <v>904</v>
      </c>
      <c r="S6255" s="33" t="s">
        <v>22</v>
      </c>
      <c r="T6255" s="1" t="s">
        <v>26781</v>
      </c>
      <c r="Z6255" s="33" t="s">
        <v>42966</v>
      </c>
      <c r="AA6255" s="33">
        <v>1411</v>
      </c>
    </row>
    <row r="6256" spans="1:27" ht="13.5" customHeight="1" x14ac:dyDescent="0.15">
      <c r="A6256" s="33" t="s">
        <v>9378</v>
      </c>
      <c r="B6256" s="33">
        <v>56</v>
      </c>
      <c r="C6256" s="33" t="s">
        <v>14</v>
      </c>
      <c r="D6256" s="33" t="s">
        <v>31</v>
      </c>
      <c r="E6256" s="33" t="s">
        <v>9379</v>
      </c>
      <c r="F6256" s="67">
        <v>41750</v>
      </c>
      <c r="G6256" s="33" t="s">
        <v>9380</v>
      </c>
      <c r="H6256" s="33" t="s">
        <v>9381</v>
      </c>
      <c r="I6256" s="33" t="s">
        <v>63</v>
      </c>
      <c r="J6256" s="33" t="s">
        <v>9382</v>
      </c>
      <c r="K6256" s="33" t="s">
        <v>5481</v>
      </c>
      <c r="L6256" s="33" t="s">
        <v>9383</v>
      </c>
      <c r="M6256" s="33" t="s">
        <v>21</v>
      </c>
      <c r="N6256" s="33" t="s">
        <v>9384</v>
      </c>
      <c r="O6256" s="33" t="s">
        <v>507</v>
      </c>
      <c r="P6256" s="33" t="s">
        <v>30089</v>
      </c>
      <c r="Q6256" s="40" t="s">
        <v>9385</v>
      </c>
      <c r="R6256" s="33" t="s">
        <v>23</v>
      </c>
      <c r="S6256" s="33" t="s">
        <v>22</v>
      </c>
      <c r="T6256" s="1" t="s">
        <v>26781</v>
      </c>
      <c r="Z6256" s="33" t="s">
        <v>42968</v>
      </c>
      <c r="AA6256" s="33">
        <v>1413</v>
      </c>
    </row>
    <row r="6257" spans="1:27" ht="13.5" customHeight="1" x14ac:dyDescent="0.15">
      <c r="A6257" s="33" t="s">
        <v>9396</v>
      </c>
      <c r="B6257" s="33">
        <v>20</v>
      </c>
      <c r="C6257" s="33" t="s">
        <v>14</v>
      </c>
      <c r="D6257" s="33" t="s">
        <v>31</v>
      </c>
      <c r="E6257" s="33" t="s">
        <v>9397</v>
      </c>
      <c r="F6257" s="67">
        <v>41749</v>
      </c>
      <c r="G6257" s="33" t="s">
        <v>9398</v>
      </c>
      <c r="H6257" s="33" t="s">
        <v>6078</v>
      </c>
      <c r="I6257" s="33" t="s">
        <v>67</v>
      </c>
      <c r="J6257" s="33" t="s">
        <v>9399</v>
      </c>
      <c r="K6257" s="33" t="s">
        <v>6078</v>
      </c>
      <c r="L6257" s="33" t="s">
        <v>262</v>
      </c>
      <c r="M6257" s="33" t="s">
        <v>21</v>
      </c>
      <c r="N6257" s="33" t="s">
        <v>19059</v>
      </c>
      <c r="O6257" s="33" t="s">
        <v>950</v>
      </c>
      <c r="P6257" s="33" t="s">
        <v>30089</v>
      </c>
      <c r="Q6257" s="40" t="s">
        <v>9400</v>
      </c>
      <c r="R6257" s="33" t="s">
        <v>94</v>
      </c>
      <c r="S6257" s="33" t="s">
        <v>12</v>
      </c>
      <c r="T6257" s="54" t="s">
        <v>29705</v>
      </c>
      <c r="Z6257" s="33" t="s">
        <v>42966</v>
      </c>
      <c r="AA6257" s="33">
        <v>1407</v>
      </c>
    </row>
    <row r="6258" spans="1:27" ht="13.5" customHeight="1" x14ac:dyDescent="0.15">
      <c r="A6258" s="33" t="s">
        <v>9401</v>
      </c>
      <c r="B6258" s="33">
        <v>30</v>
      </c>
      <c r="C6258" s="33" t="s">
        <v>14</v>
      </c>
      <c r="D6258" s="33" t="s">
        <v>31</v>
      </c>
      <c r="F6258" s="67">
        <v>41749</v>
      </c>
      <c r="G6258" s="33" t="s">
        <v>9402</v>
      </c>
      <c r="H6258" s="33" t="s">
        <v>532</v>
      </c>
      <c r="I6258" s="33" t="s">
        <v>67</v>
      </c>
      <c r="J6258" s="33" t="s">
        <v>9403</v>
      </c>
      <c r="K6258" s="33" t="s">
        <v>533</v>
      </c>
      <c r="L6258" s="33" t="s">
        <v>534</v>
      </c>
      <c r="M6258" s="33" t="s">
        <v>21</v>
      </c>
      <c r="N6258" s="33" t="s">
        <v>9404</v>
      </c>
      <c r="O6258" s="33" t="s">
        <v>950</v>
      </c>
      <c r="P6258" s="33" t="s">
        <v>30089</v>
      </c>
      <c r="Q6258" s="40" t="s">
        <v>9405</v>
      </c>
      <c r="R6258" s="33" t="s">
        <v>23</v>
      </c>
      <c r="S6258" s="33" t="s">
        <v>12</v>
      </c>
      <c r="T6258" s="54" t="s">
        <v>29705</v>
      </c>
      <c r="Z6258" s="33" t="s">
        <v>42966</v>
      </c>
      <c r="AA6258" s="33">
        <v>1408</v>
      </c>
    </row>
    <row r="6259" spans="1:27" ht="13.5" customHeight="1" x14ac:dyDescent="0.15">
      <c r="A6259" s="33" t="s">
        <v>9390</v>
      </c>
      <c r="B6259" s="33">
        <v>50</v>
      </c>
      <c r="C6259" s="33" t="s">
        <v>103</v>
      </c>
      <c r="D6259" s="33" t="s">
        <v>42</v>
      </c>
      <c r="E6259" s="33" t="s">
        <v>9391</v>
      </c>
      <c r="F6259" s="67">
        <v>41749</v>
      </c>
      <c r="G6259" s="33" t="s">
        <v>9392</v>
      </c>
      <c r="H6259" s="33" t="s">
        <v>81</v>
      </c>
      <c r="I6259" s="33" t="s">
        <v>38</v>
      </c>
      <c r="J6259" s="33" t="s">
        <v>9393</v>
      </c>
      <c r="K6259" s="33" t="s">
        <v>82</v>
      </c>
      <c r="L6259" s="33" t="s">
        <v>83</v>
      </c>
      <c r="M6259" s="33" t="s">
        <v>21</v>
      </c>
      <c r="N6259" s="33" t="s">
        <v>9394</v>
      </c>
      <c r="O6259" s="33" t="s">
        <v>372</v>
      </c>
      <c r="P6259" s="33" t="s">
        <v>30089</v>
      </c>
      <c r="Q6259" s="40" t="s">
        <v>9395</v>
      </c>
      <c r="R6259" s="33" t="s">
        <v>23</v>
      </c>
      <c r="S6259" s="33" t="s">
        <v>12</v>
      </c>
      <c r="T6259" s="1" t="s">
        <v>29705</v>
      </c>
      <c r="Z6259" s="33" t="s">
        <v>42966</v>
      </c>
      <c r="AA6259" s="33">
        <v>1406</v>
      </c>
    </row>
    <row r="6260" spans="1:27" ht="13.5" customHeight="1" x14ac:dyDescent="0.15">
      <c r="A6260" s="33" t="s">
        <v>3002</v>
      </c>
      <c r="B6260" s="33">
        <v>50</v>
      </c>
      <c r="C6260" s="33" t="s">
        <v>14</v>
      </c>
      <c r="D6260" s="33" t="s">
        <v>42</v>
      </c>
      <c r="F6260" s="67">
        <v>41748</v>
      </c>
      <c r="G6260" s="33" t="s">
        <v>9411</v>
      </c>
      <c r="H6260" s="33" t="s">
        <v>183</v>
      </c>
      <c r="I6260" s="33" t="s">
        <v>39</v>
      </c>
      <c r="J6260" s="33" t="s">
        <v>6467</v>
      </c>
      <c r="K6260" s="33" t="s">
        <v>183</v>
      </c>
      <c r="L6260" s="33" t="s">
        <v>1493</v>
      </c>
      <c r="M6260" s="33" t="s">
        <v>21</v>
      </c>
      <c r="N6260" s="33" t="s">
        <v>9412</v>
      </c>
      <c r="O6260" s="33" t="s">
        <v>950</v>
      </c>
      <c r="P6260" s="33" t="s">
        <v>30089</v>
      </c>
      <c r="Q6260" s="40" t="s">
        <v>9413</v>
      </c>
      <c r="R6260" s="33" t="s">
        <v>23</v>
      </c>
      <c r="S6260" s="33" t="s">
        <v>22</v>
      </c>
      <c r="T6260" s="1" t="s">
        <v>26781</v>
      </c>
      <c r="Z6260" s="33" t="s">
        <v>42968</v>
      </c>
      <c r="AA6260" s="33">
        <v>1404</v>
      </c>
    </row>
    <row r="6261" spans="1:27" ht="13.5" customHeight="1" x14ac:dyDescent="0.15">
      <c r="A6261" s="33" t="s">
        <v>9406</v>
      </c>
      <c r="B6261" s="33">
        <v>18</v>
      </c>
      <c r="C6261" s="33" t="s">
        <v>103</v>
      </c>
      <c r="D6261" s="33" t="s">
        <v>42</v>
      </c>
      <c r="F6261" s="67">
        <v>41748</v>
      </c>
      <c r="G6261" s="33" t="s">
        <v>9407</v>
      </c>
      <c r="H6261" s="33" t="s">
        <v>2307</v>
      </c>
      <c r="I6261" s="33" t="s">
        <v>367</v>
      </c>
      <c r="J6261" s="33" t="s">
        <v>9408</v>
      </c>
      <c r="K6261" s="33" t="s">
        <v>2307</v>
      </c>
      <c r="L6261" s="33" t="s">
        <v>2875</v>
      </c>
      <c r="M6261" s="33" t="s">
        <v>21</v>
      </c>
      <c r="N6261" s="33" t="s">
        <v>9409</v>
      </c>
      <c r="O6261" s="33" t="s">
        <v>950</v>
      </c>
      <c r="P6261" s="33" t="s">
        <v>30089</v>
      </c>
      <c r="Q6261" s="40" t="s">
        <v>9410</v>
      </c>
      <c r="R6261" s="33" t="s">
        <v>94</v>
      </c>
      <c r="S6261" s="33" t="s">
        <v>12</v>
      </c>
      <c r="T6261" s="54" t="s">
        <v>29705</v>
      </c>
      <c r="Z6261" s="33" t="s">
        <v>42968</v>
      </c>
      <c r="AA6261" s="33">
        <v>1405</v>
      </c>
    </row>
    <row r="6262" spans="1:27" ht="13.5" customHeight="1" x14ac:dyDescent="0.15">
      <c r="A6262" s="33" t="s">
        <v>9414</v>
      </c>
      <c r="B6262" s="33">
        <v>19</v>
      </c>
      <c r="C6262" s="33" t="s">
        <v>14</v>
      </c>
      <c r="D6262" s="33" t="s">
        <v>42</v>
      </c>
      <c r="E6262" s="33" t="s">
        <v>9415</v>
      </c>
      <c r="F6262" s="67">
        <v>41747</v>
      </c>
      <c r="G6262" s="33" t="s">
        <v>9416</v>
      </c>
      <c r="H6262" s="33" t="s">
        <v>9417</v>
      </c>
      <c r="I6262" s="33" t="s">
        <v>39</v>
      </c>
      <c r="J6262" s="33" t="s">
        <v>9418</v>
      </c>
      <c r="K6262" s="33" t="s">
        <v>8996</v>
      </c>
      <c r="L6262" s="33" t="s">
        <v>36830</v>
      </c>
      <c r="M6262" s="33" t="s">
        <v>21</v>
      </c>
      <c r="N6262" s="33" t="s">
        <v>9419</v>
      </c>
      <c r="O6262" s="33" t="s">
        <v>950</v>
      </c>
      <c r="P6262" s="33" t="s">
        <v>30089</v>
      </c>
      <c r="Q6262" s="40" t="s">
        <v>9420</v>
      </c>
      <c r="R6262" s="33" t="s">
        <v>94</v>
      </c>
      <c r="S6262" s="33" t="s">
        <v>29</v>
      </c>
      <c r="T6262" s="33" t="s">
        <v>41840</v>
      </c>
      <c r="Z6262" s="33" t="s">
        <v>42967</v>
      </c>
      <c r="AA6262" s="33">
        <v>1403</v>
      </c>
    </row>
    <row r="6263" spans="1:27" ht="13.5" customHeight="1" x14ac:dyDescent="0.15">
      <c r="A6263" s="33" t="s">
        <v>9435</v>
      </c>
      <c r="B6263" s="33">
        <v>25</v>
      </c>
      <c r="C6263" s="33" t="s">
        <v>14</v>
      </c>
      <c r="D6263" s="33" t="s">
        <v>31</v>
      </c>
      <c r="E6263" s="33" t="s">
        <v>9436</v>
      </c>
      <c r="F6263" s="67">
        <v>41746</v>
      </c>
      <c r="G6263" s="33" t="s">
        <v>9437</v>
      </c>
      <c r="H6263" s="33" t="s">
        <v>9438</v>
      </c>
      <c r="I6263" s="33" t="s">
        <v>342</v>
      </c>
      <c r="J6263" s="33" t="s">
        <v>9439</v>
      </c>
      <c r="K6263" s="33" t="s">
        <v>1316</v>
      </c>
      <c r="L6263" s="33" t="s">
        <v>9440</v>
      </c>
      <c r="M6263" s="33" t="s">
        <v>21</v>
      </c>
      <c r="N6263" s="33" t="s">
        <v>9441</v>
      </c>
      <c r="O6263" s="33" t="s">
        <v>950</v>
      </c>
      <c r="P6263" s="33" t="s">
        <v>30089</v>
      </c>
      <c r="Q6263" s="40" t="s">
        <v>9442</v>
      </c>
      <c r="R6263" s="33" t="s">
        <v>512</v>
      </c>
      <c r="S6263" s="33" t="s">
        <v>22</v>
      </c>
      <c r="T6263" s="1" t="s">
        <v>26576</v>
      </c>
      <c r="Z6263" s="33" t="s">
        <v>42967</v>
      </c>
      <c r="AA6263" s="33">
        <v>1402</v>
      </c>
    </row>
    <row r="6264" spans="1:27" ht="13.5" customHeight="1" x14ac:dyDescent="0.15">
      <c r="A6264" s="33" t="s">
        <v>9423</v>
      </c>
      <c r="B6264" s="33">
        <v>35</v>
      </c>
      <c r="C6264" s="33" t="s">
        <v>14</v>
      </c>
      <c r="D6264" s="33" t="s">
        <v>42</v>
      </c>
      <c r="E6264" s="33" t="s">
        <v>9424</v>
      </c>
      <c r="F6264" s="67">
        <v>41746</v>
      </c>
      <c r="G6264" s="33" t="s">
        <v>9425</v>
      </c>
      <c r="H6264" s="33" t="s">
        <v>518</v>
      </c>
      <c r="I6264" s="33" t="s">
        <v>112</v>
      </c>
      <c r="J6264" s="33" t="s">
        <v>6179</v>
      </c>
      <c r="K6264" s="33" t="s">
        <v>519</v>
      </c>
      <c r="L6264" s="33" t="s">
        <v>520</v>
      </c>
      <c r="M6264" s="33" t="s">
        <v>21</v>
      </c>
      <c r="N6264" s="33" t="s">
        <v>9426</v>
      </c>
      <c r="O6264" s="33" t="s">
        <v>950</v>
      </c>
      <c r="P6264" s="33" t="s">
        <v>30089</v>
      </c>
      <c r="Q6264" s="40" t="s">
        <v>9427</v>
      </c>
      <c r="R6264" s="33" t="s">
        <v>94</v>
      </c>
      <c r="S6264" s="33" t="s">
        <v>22</v>
      </c>
      <c r="T6264" s="1" t="s">
        <v>26781</v>
      </c>
      <c r="Z6264" s="33" t="s">
        <v>42968</v>
      </c>
      <c r="AA6264" s="33">
        <v>1399</v>
      </c>
    </row>
    <row r="6265" spans="1:27" ht="13.5" customHeight="1" x14ac:dyDescent="0.15">
      <c r="A6265" s="33" t="s">
        <v>9443</v>
      </c>
      <c r="B6265" s="33">
        <v>42</v>
      </c>
      <c r="C6265" s="33" t="s">
        <v>103</v>
      </c>
      <c r="D6265" s="33" t="s">
        <v>31</v>
      </c>
      <c r="E6265" s="33" t="s">
        <v>9444</v>
      </c>
      <c r="F6265" s="67">
        <v>41746</v>
      </c>
      <c r="G6265" s="33" t="s">
        <v>9445</v>
      </c>
      <c r="H6265" s="33" t="s">
        <v>197</v>
      </c>
      <c r="I6265" s="33" t="s">
        <v>198</v>
      </c>
      <c r="J6265" s="33" t="s">
        <v>9446</v>
      </c>
      <c r="K6265" s="33" t="s">
        <v>392</v>
      </c>
      <c r="L6265" s="33" t="s">
        <v>199</v>
      </c>
      <c r="M6265" s="33" t="s">
        <v>21</v>
      </c>
      <c r="N6265" s="33" t="s">
        <v>9447</v>
      </c>
      <c r="O6265" s="33" t="s">
        <v>950</v>
      </c>
      <c r="P6265" s="33" t="s">
        <v>30089</v>
      </c>
      <c r="Q6265" s="40" t="s">
        <v>9448</v>
      </c>
      <c r="R6265" s="33" t="s">
        <v>23</v>
      </c>
      <c r="S6265" s="33" t="s">
        <v>12</v>
      </c>
      <c r="T6265" s="1" t="s">
        <v>29705</v>
      </c>
      <c r="Z6265" s="33" t="s">
        <v>42968</v>
      </c>
      <c r="AA6265" s="33">
        <v>1401</v>
      </c>
    </row>
    <row r="6266" spans="1:27" ht="13.5" customHeight="1" x14ac:dyDescent="0.15">
      <c r="A6266" s="33" t="s">
        <v>9428</v>
      </c>
      <c r="B6266" s="33">
        <v>57</v>
      </c>
      <c r="C6266" s="33" t="s">
        <v>14</v>
      </c>
      <c r="D6266" s="33" t="s">
        <v>31</v>
      </c>
      <c r="F6266" s="67">
        <v>41746</v>
      </c>
      <c r="G6266" s="33" t="s">
        <v>9429</v>
      </c>
      <c r="H6266" s="33" t="s">
        <v>9430</v>
      </c>
      <c r="I6266" s="33" t="s">
        <v>67</v>
      </c>
      <c r="J6266" s="33" t="s">
        <v>9431</v>
      </c>
      <c r="K6266" s="33" t="s">
        <v>68</v>
      </c>
      <c r="L6266" s="33" t="s">
        <v>9432</v>
      </c>
      <c r="M6266" s="33" t="s">
        <v>21</v>
      </c>
      <c r="N6266" s="33" t="s">
        <v>9433</v>
      </c>
      <c r="O6266" s="33" t="s">
        <v>950</v>
      </c>
      <c r="P6266" s="33" t="s">
        <v>30089</v>
      </c>
      <c r="Q6266" s="40" t="s">
        <v>9434</v>
      </c>
      <c r="R6266" s="33" t="s">
        <v>512</v>
      </c>
      <c r="S6266" s="33" t="s">
        <v>22</v>
      </c>
      <c r="T6266" s="1" t="s">
        <v>26781</v>
      </c>
      <c r="Z6266" s="33" t="s">
        <v>42968</v>
      </c>
      <c r="AA6266" s="33">
        <v>1400</v>
      </c>
    </row>
    <row r="6267" spans="1:27" ht="13.5" customHeight="1" x14ac:dyDescent="0.15">
      <c r="A6267" s="33" t="s">
        <v>9462</v>
      </c>
      <c r="B6267" s="33">
        <v>49</v>
      </c>
      <c r="C6267" s="33" t="s">
        <v>14</v>
      </c>
      <c r="D6267" s="33" t="s">
        <v>31</v>
      </c>
      <c r="E6267" s="33" t="s">
        <v>9463</v>
      </c>
      <c r="F6267" s="67">
        <v>41745</v>
      </c>
      <c r="G6267" s="33" t="s">
        <v>9464</v>
      </c>
      <c r="H6267" s="33" t="s">
        <v>9465</v>
      </c>
      <c r="I6267" s="33" t="s">
        <v>621</v>
      </c>
      <c r="J6267" s="33" t="s">
        <v>9466</v>
      </c>
      <c r="K6267" s="33" t="s">
        <v>5086</v>
      </c>
      <c r="L6267" s="33" t="s">
        <v>9467</v>
      </c>
      <c r="M6267" s="33" t="s">
        <v>21</v>
      </c>
      <c r="N6267" s="33" t="s">
        <v>9468</v>
      </c>
      <c r="O6267" s="33" t="s">
        <v>507</v>
      </c>
      <c r="P6267" s="33" t="s">
        <v>30089</v>
      </c>
      <c r="Q6267" s="40" t="s">
        <v>9469</v>
      </c>
      <c r="R6267" s="33" t="s">
        <v>94</v>
      </c>
      <c r="S6267" s="33" t="s">
        <v>22</v>
      </c>
      <c r="T6267" s="1" t="s">
        <v>26781</v>
      </c>
      <c r="Z6267" s="33" t="s">
        <v>42967</v>
      </c>
      <c r="AA6267" s="33">
        <v>1396</v>
      </c>
    </row>
    <row r="6268" spans="1:27" ht="13.5" customHeight="1" x14ac:dyDescent="0.15">
      <c r="A6268" s="33" t="s">
        <v>9456</v>
      </c>
      <c r="B6268" s="33">
        <v>40</v>
      </c>
      <c r="C6268" s="33" t="s">
        <v>14</v>
      </c>
      <c r="D6268" s="33" t="s">
        <v>31</v>
      </c>
      <c r="E6268" s="33" t="s">
        <v>9457</v>
      </c>
      <c r="F6268" s="67">
        <v>41745</v>
      </c>
      <c r="G6268" s="33" t="s">
        <v>9458</v>
      </c>
      <c r="H6268" s="33" t="s">
        <v>674</v>
      </c>
      <c r="I6268" s="33" t="s">
        <v>67</v>
      </c>
      <c r="J6268" s="33" t="s">
        <v>9459</v>
      </c>
      <c r="K6268" s="33" t="s">
        <v>515</v>
      </c>
      <c r="L6268" s="33" t="s">
        <v>675</v>
      </c>
      <c r="M6268" s="33" t="s">
        <v>2909</v>
      </c>
      <c r="N6268" s="33" t="s">
        <v>9460</v>
      </c>
      <c r="O6268" s="33" t="s">
        <v>4311</v>
      </c>
      <c r="P6268" s="33" t="s">
        <v>30089</v>
      </c>
      <c r="Q6268" s="40" t="s">
        <v>9461</v>
      </c>
      <c r="R6268" s="33" t="s">
        <v>23</v>
      </c>
      <c r="S6268" s="33" t="s">
        <v>12</v>
      </c>
      <c r="T6268" s="54" t="s">
        <v>29705</v>
      </c>
      <c r="Z6268" s="33" t="s">
        <v>42968</v>
      </c>
      <c r="AA6268" s="33">
        <v>1398</v>
      </c>
    </row>
    <row r="6269" spans="1:27" ht="13.5" customHeight="1" x14ac:dyDescent="0.15">
      <c r="A6269" s="33" t="s">
        <v>9449</v>
      </c>
      <c r="B6269" s="33">
        <v>23</v>
      </c>
      <c r="C6269" s="33" t="s">
        <v>14</v>
      </c>
      <c r="D6269" s="33" t="s">
        <v>79</v>
      </c>
      <c r="E6269" s="33" t="s">
        <v>9450</v>
      </c>
      <c r="F6269" s="67">
        <v>41745</v>
      </c>
      <c r="G6269" s="33" t="s">
        <v>9451</v>
      </c>
      <c r="H6269" s="33" t="s">
        <v>9452</v>
      </c>
      <c r="I6269" s="33" t="s">
        <v>402</v>
      </c>
      <c r="J6269" s="33" t="s">
        <v>9453</v>
      </c>
      <c r="K6269" s="33" t="s">
        <v>661</v>
      </c>
      <c r="L6269" s="33" t="s">
        <v>6535</v>
      </c>
      <c r="M6269" s="33" t="s">
        <v>21</v>
      </c>
      <c r="N6269" s="33" t="s">
        <v>9454</v>
      </c>
      <c r="O6269" s="33" t="s">
        <v>950</v>
      </c>
      <c r="P6269" s="33" t="s">
        <v>30089</v>
      </c>
      <c r="Q6269" s="40" t="s">
        <v>9455</v>
      </c>
      <c r="R6269" s="33" t="s">
        <v>94</v>
      </c>
      <c r="S6269" s="33" t="s">
        <v>22</v>
      </c>
      <c r="T6269" s="1" t="s">
        <v>26781</v>
      </c>
      <c r="Z6269" s="33" t="s">
        <v>42968</v>
      </c>
      <c r="AA6269" s="33">
        <v>1395</v>
      </c>
    </row>
    <row r="6270" spans="1:27" ht="13.5" customHeight="1" x14ac:dyDescent="0.15">
      <c r="A6270" s="33" t="s">
        <v>9470</v>
      </c>
      <c r="B6270" s="33">
        <v>52</v>
      </c>
      <c r="C6270" s="33" t="s">
        <v>14</v>
      </c>
      <c r="D6270" s="33" t="s">
        <v>31</v>
      </c>
      <c r="F6270" s="67">
        <v>41745</v>
      </c>
      <c r="G6270" s="33" t="s">
        <v>9471</v>
      </c>
      <c r="H6270" s="33" t="s">
        <v>9472</v>
      </c>
      <c r="I6270" s="33" t="s">
        <v>402</v>
      </c>
      <c r="J6270" s="33" t="s">
        <v>9473</v>
      </c>
      <c r="K6270" s="33" t="s">
        <v>9472</v>
      </c>
      <c r="L6270" s="33" t="s">
        <v>25060</v>
      </c>
      <c r="M6270" s="33" t="s">
        <v>21</v>
      </c>
      <c r="N6270" s="33" t="s">
        <v>9474</v>
      </c>
      <c r="O6270" s="33" t="s">
        <v>950</v>
      </c>
      <c r="P6270" s="33" t="s">
        <v>30089</v>
      </c>
      <c r="Q6270" s="40" t="s">
        <v>9475</v>
      </c>
      <c r="R6270" s="33" t="s">
        <v>23</v>
      </c>
      <c r="S6270" s="33" t="s">
        <v>12</v>
      </c>
      <c r="T6270" s="33" t="s">
        <v>29425</v>
      </c>
      <c r="Z6270" s="33" t="s">
        <v>42968</v>
      </c>
      <c r="AA6270" s="33">
        <v>1397</v>
      </c>
    </row>
    <row r="6271" spans="1:27" ht="13.5" customHeight="1" x14ac:dyDescent="0.15">
      <c r="A6271" s="33" t="s">
        <v>9476</v>
      </c>
      <c r="B6271" s="33">
        <v>48</v>
      </c>
      <c r="C6271" s="33" t="s">
        <v>14</v>
      </c>
      <c r="D6271" s="33" t="s">
        <v>79</v>
      </c>
      <c r="E6271" s="33" t="s">
        <v>9477</v>
      </c>
      <c r="F6271" s="67">
        <v>41744</v>
      </c>
      <c r="G6271" s="33" t="s">
        <v>9478</v>
      </c>
      <c r="H6271" s="33" t="s">
        <v>6927</v>
      </c>
      <c r="I6271" s="33" t="s">
        <v>19</v>
      </c>
      <c r="J6271" s="33" t="s">
        <v>6928</v>
      </c>
      <c r="K6271" s="33" t="s">
        <v>9479</v>
      </c>
      <c r="L6271" s="33" t="s">
        <v>36388</v>
      </c>
      <c r="M6271" s="33" t="s">
        <v>21</v>
      </c>
      <c r="N6271" s="33" t="s">
        <v>9480</v>
      </c>
      <c r="O6271" s="33" t="s">
        <v>4311</v>
      </c>
      <c r="P6271" s="33" t="s">
        <v>30089</v>
      </c>
      <c r="Q6271" s="40" t="s">
        <v>9481</v>
      </c>
      <c r="R6271" s="33" t="s">
        <v>94</v>
      </c>
      <c r="S6271" s="33" t="s">
        <v>22</v>
      </c>
      <c r="T6271" s="33" t="s">
        <v>26774</v>
      </c>
      <c r="Z6271" s="33" t="s">
        <v>42968</v>
      </c>
      <c r="AA6271" s="33">
        <v>1394</v>
      </c>
    </row>
    <row r="6272" spans="1:27" ht="13.5" customHeight="1" x14ac:dyDescent="0.15">
      <c r="A6272" s="33" t="s">
        <v>9482</v>
      </c>
      <c r="B6272" s="33">
        <v>38</v>
      </c>
      <c r="C6272" s="33" t="s">
        <v>14</v>
      </c>
      <c r="D6272" s="33" t="s">
        <v>42</v>
      </c>
      <c r="E6272" s="33" t="s">
        <v>9483</v>
      </c>
      <c r="F6272" s="67">
        <v>41743</v>
      </c>
      <c r="G6272" s="33" t="s">
        <v>9484</v>
      </c>
      <c r="H6272" s="33" t="s">
        <v>4219</v>
      </c>
      <c r="I6272" s="33" t="s">
        <v>798</v>
      </c>
      <c r="J6272" s="33" t="s">
        <v>4220</v>
      </c>
      <c r="K6272" s="33" t="s">
        <v>4221</v>
      </c>
      <c r="L6272" s="33" t="s">
        <v>9485</v>
      </c>
      <c r="M6272" s="33" t="s">
        <v>21</v>
      </c>
      <c r="N6272" s="33" t="s">
        <v>9486</v>
      </c>
      <c r="O6272" s="33" t="s">
        <v>4311</v>
      </c>
      <c r="P6272" s="33" t="s">
        <v>30089</v>
      </c>
      <c r="Q6272" s="40" t="s">
        <v>9487</v>
      </c>
      <c r="R6272" s="33" t="s">
        <v>94</v>
      </c>
      <c r="S6272" s="33" t="s">
        <v>12</v>
      </c>
      <c r="T6272" s="54" t="s">
        <v>29705</v>
      </c>
      <c r="Z6272" s="33" t="s">
        <v>42968</v>
      </c>
      <c r="AA6272" s="33">
        <v>1393</v>
      </c>
    </row>
    <row r="6273" spans="1:27" ht="13.5" customHeight="1" x14ac:dyDescent="0.15">
      <c r="A6273" s="33" t="s">
        <v>9496</v>
      </c>
      <c r="B6273" s="33">
        <v>24</v>
      </c>
      <c r="C6273" s="33" t="s">
        <v>14</v>
      </c>
      <c r="D6273" s="33" t="s">
        <v>31</v>
      </c>
      <c r="E6273" s="33" t="s">
        <v>9497</v>
      </c>
      <c r="F6273" s="67">
        <v>41743</v>
      </c>
      <c r="G6273" s="33" t="s">
        <v>9498</v>
      </c>
      <c r="H6273" s="33" t="s">
        <v>3277</v>
      </c>
      <c r="I6273" s="33" t="s">
        <v>56</v>
      </c>
      <c r="J6273" s="33" t="s">
        <v>6893</v>
      </c>
      <c r="K6273" s="33" t="s">
        <v>3279</v>
      </c>
      <c r="L6273" s="33" t="s">
        <v>3280</v>
      </c>
      <c r="M6273" s="33" t="s">
        <v>21</v>
      </c>
      <c r="N6273" s="33" t="s">
        <v>9499</v>
      </c>
      <c r="O6273" s="33" t="s">
        <v>950</v>
      </c>
      <c r="P6273" s="33" t="s">
        <v>30089</v>
      </c>
      <c r="Q6273" s="40" t="s">
        <v>9500</v>
      </c>
      <c r="R6273" s="33" t="s">
        <v>94</v>
      </c>
      <c r="S6273" s="33" t="s">
        <v>22</v>
      </c>
      <c r="T6273" s="1" t="s">
        <v>26781</v>
      </c>
      <c r="Z6273" s="33" t="s">
        <v>42968</v>
      </c>
      <c r="AA6273" s="33">
        <v>1392</v>
      </c>
    </row>
    <row r="6274" spans="1:27" ht="13.5" customHeight="1" x14ac:dyDescent="0.15">
      <c r="A6274" s="33" t="s">
        <v>9488</v>
      </c>
      <c r="B6274" s="33">
        <v>45</v>
      </c>
      <c r="C6274" s="33" t="s">
        <v>14</v>
      </c>
      <c r="D6274" s="33" t="s">
        <v>24</v>
      </c>
      <c r="F6274" s="67">
        <v>41743</v>
      </c>
      <c r="G6274" s="33" t="s">
        <v>9489</v>
      </c>
      <c r="H6274" s="33" t="s">
        <v>9490</v>
      </c>
      <c r="I6274" s="33" t="s">
        <v>621</v>
      </c>
      <c r="J6274" s="33" t="s">
        <v>9491</v>
      </c>
      <c r="K6274" s="33" t="s">
        <v>9492</v>
      </c>
      <c r="L6274" s="33" t="s">
        <v>9493</v>
      </c>
      <c r="M6274" s="33" t="s">
        <v>21</v>
      </c>
      <c r="N6274" s="33" t="s">
        <v>9494</v>
      </c>
      <c r="O6274" s="33" t="s">
        <v>950</v>
      </c>
      <c r="P6274" s="33" t="s">
        <v>30089</v>
      </c>
      <c r="Q6274" s="40" t="s">
        <v>9495</v>
      </c>
      <c r="R6274" s="33" t="s">
        <v>512</v>
      </c>
      <c r="S6274" s="33" t="s">
        <v>22</v>
      </c>
      <c r="T6274" s="1" t="s">
        <v>26781</v>
      </c>
      <c r="Z6274" s="33" t="s">
        <v>42967</v>
      </c>
      <c r="AA6274" s="33">
        <v>1391</v>
      </c>
    </row>
    <row r="6275" spans="1:27" ht="13.5" customHeight="1" x14ac:dyDescent="0.15">
      <c r="A6275" s="33" t="s">
        <v>9538</v>
      </c>
      <c r="B6275" s="33">
        <v>38</v>
      </c>
      <c r="C6275" s="33" t="s">
        <v>14</v>
      </c>
      <c r="D6275" s="33" t="s">
        <v>31</v>
      </c>
      <c r="E6275" s="33" t="s">
        <v>9539</v>
      </c>
      <c r="F6275" s="67">
        <v>41742</v>
      </c>
      <c r="G6275" s="33" t="s">
        <v>9540</v>
      </c>
      <c r="H6275" s="33" t="s">
        <v>3067</v>
      </c>
      <c r="I6275" s="33" t="s">
        <v>112</v>
      </c>
      <c r="J6275" s="33" t="s">
        <v>9541</v>
      </c>
      <c r="K6275" s="33" t="s">
        <v>585</v>
      </c>
      <c r="L6275" s="33" t="s">
        <v>586</v>
      </c>
      <c r="M6275" s="33" t="s">
        <v>363</v>
      </c>
      <c r="N6275" s="33" t="s">
        <v>9542</v>
      </c>
      <c r="O6275" s="33" t="s">
        <v>950</v>
      </c>
      <c r="P6275" s="33" t="s">
        <v>30089</v>
      </c>
      <c r="Q6275" s="40" t="s">
        <v>9543</v>
      </c>
      <c r="R6275" s="33" t="s">
        <v>904</v>
      </c>
      <c r="S6275" s="33" t="s">
        <v>29</v>
      </c>
      <c r="T6275" s="33" t="s">
        <v>41840</v>
      </c>
      <c r="Z6275" s="33" t="s">
        <v>42968</v>
      </c>
      <c r="AA6275" s="33">
        <v>1388</v>
      </c>
    </row>
    <row r="6276" spans="1:27" ht="13.5" customHeight="1" x14ac:dyDescent="0.15">
      <c r="A6276" s="33" t="s">
        <v>9530</v>
      </c>
      <c r="B6276" s="33">
        <v>38</v>
      </c>
      <c r="C6276" s="33" t="s">
        <v>14</v>
      </c>
      <c r="D6276" s="33" t="s">
        <v>31</v>
      </c>
      <c r="E6276" s="33" t="s">
        <v>9531</v>
      </c>
      <c r="F6276" s="67">
        <v>41742</v>
      </c>
      <c r="G6276" s="33" t="s">
        <v>9532</v>
      </c>
      <c r="H6276" s="33" t="s">
        <v>9533</v>
      </c>
      <c r="I6276" s="33" t="s">
        <v>221</v>
      </c>
      <c r="J6276" s="33" t="s">
        <v>9534</v>
      </c>
      <c r="K6276" s="33" t="s">
        <v>4602</v>
      </c>
      <c r="L6276" s="33" t="s">
        <v>9535</v>
      </c>
      <c r="M6276" s="33" t="s">
        <v>21</v>
      </c>
      <c r="N6276" s="33" t="s">
        <v>9536</v>
      </c>
      <c r="O6276" s="33" t="s">
        <v>950</v>
      </c>
      <c r="P6276" s="33" t="s">
        <v>30089</v>
      </c>
      <c r="Q6276" s="40" t="s">
        <v>9537</v>
      </c>
      <c r="R6276" s="33" t="s">
        <v>512</v>
      </c>
      <c r="S6276" s="33" t="s">
        <v>22</v>
      </c>
      <c r="T6276" s="1" t="s">
        <v>26781</v>
      </c>
      <c r="Z6276" s="33" t="s">
        <v>42968</v>
      </c>
      <c r="AA6276" s="33">
        <v>1385</v>
      </c>
    </row>
    <row r="6277" spans="1:27" ht="13.5" customHeight="1" x14ac:dyDescent="0.15">
      <c r="A6277" s="33" t="s">
        <v>3002</v>
      </c>
      <c r="B6277" s="33">
        <v>53</v>
      </c>
      <c r="C6277" s="33" t="s">
        <v>103</v>
      </c>
      <c r="D6277" s="33" t="s">
        <v>24</v>
      </c>
      <c r="F6277" s="67">
        <v>41742</v>
      </c>
      <c r="G6277" s="33" t="s">
        <v>9526</v>
      </c>
      <c r="H6277" s="33" t="s">
        <v>561</v>
      </c>
      <c r="I6277" s="33" t="s">
        <v>39</v>
      </c>
      <c r="J6277" s="33" t="s">
        <v>9527</v>
      </c>
      <c r="K6277" s="33" t="s">
        <v>561</v>
      </c>
      <c r="L6277" s="33" t="s">
        <v>3097</v>
      </c>
      <c r="M6277" s="33" t="s">
        <v>21</v>
      </c>
      <c r="N6277" s="33" t="s">
        <v>9528</v>
      </c>
      <c r="O6277" s="33" t="s">
        <v>950</v>
      </c>
      <c r="P6277" s="33" t="s">
        <v>30089</v>
      </c>
      <c r="Q6277" s="40" t="s">
        <v>9529</v>
      </c>
      <c r="R6277" s="33" t="s">
        <v>512</v>
      </c>
      <c r="S6277" s="33" t="s">
        <v>22</v>
      </c>
      <c r="T6277" s="1" t="s">
        <v>26580</v>
      </c>
      <c r="Z6277" s="33" t="s">
        <v>42968</v>
      </c>
      <c r="AA6277" s="33">
        <v>1383</v>
      </c>
    </row>
    <row r="6278" spans="1:27" ht="13.5" customHeight="1" x14ac:dyDescent="0.15">
      <c r="A6278" s="33" t="s">
        <v>9501</v>
      </c>
      <c r="B6278" s="33">
        <v>45</v>
      </c>
      <c r="C6278" s="33" t="s">
        <v>14</v>
      </c>
      <c r="D6278" s="33" t="s">
        <v>15</v>
      </c>
      <c r="F6278" s="67">
        <v>41742</v>
      </c>
      <c r="G6278" s="33" t="s">
        <v>9502</v>
      </c>
      <c r="H6278" s="33" t="s">
        <v>92</v>
      </c>
      <c r="I6278" s="33" t="s">
        <v>39</v>
      </c>
      <c r="J6278" s="33" t="s">
        <v>9503</v>
      </c>
      <c r="K6278" s="33" t="s">
        <v>92</v>
      </c>
      <c r="L6278" s="33" t="s">
        <v>93</v>
      </c>
      <c r="M6278" s="33" t="s">
        <v>21</v>
      </c>
      <c r="N6278" s="33" t="s">
        <v>9504</v>
      </c>
      <c r="O6278" s="33" t="s">
        <v>950</v>
      </c>
      <c r="P6278" s="33" t="s">
        <v>30089</v>
      </c>
      <c r="Q6278" s="40" t="s">
        <v>9505</v>
      </c>
      <c r="R6278" s="33" t="s">
        <v>23</v>
      </c>
      <c r="S6278" s="33" t="s">
        <v>22</v>
      </c>
      <c r="T6278" s="1" t="s">
        <v>26774</v>
      </c>
      <c r="Z6278" s="33" t="s">
        <v>42966</v>
      </c>
      <c r="AA6278" s="33">
        <v>1386</v>
      </c>
    </row>
    <row r="6279" spans="1:27" ht="13.5" customHeight="1" x14ac:dyDescent="0.15">
      <c r="A6279" s="33" t="s">
        <v>9506</v>
      </c>
      <c r="B6279" s="33">
        <v>20</v>
      </c>
      <c r="C6279" s="33" t="s">
        <v>14</v>
      </c>
      <c r="D6279" s="33" t="s">
        <v>79</v>
      </c>
      <c r="E6279" s="33" t="s">
        <v>9507</v>
      </c>
      <c r="F6279" s="67">
        <v>41742</v>
      </c>
      <c r="G6279" s="33" t="s">
        <v>9508</v>
      </c>
      <c r="H6279" s="33" t="s">
        <v>2138</v>
      </c>
      <c r="I6279" s="33" t="s">
        <v>38</v>
      </c>
      <c r="J6279" s="33" t="s">
        <v>2139</v>
      </c>
      <c r="K6279" s="33" t="s">
        <v>82</v>
      </c>
      <c r="L6279" s="33" t="s">
        <v>2140</v>
      </c>
      <c r="M6279" s="33" t="s">
        <v>21</v>
      </c>
      <c r="N6279" s="33" t="s">
        <v>9509</v>
      </c>
      <c r="O6279" s="33" t="s">
        <v>372</v>
      </c>
      <c r="P6279" s="33" t="s">
        <v>30089</v>
      </c>
      <c r="Q6279" s="40" t="s">
        <v>9510</v>
      </c>
      <c r="R6279" s="33" t="s">
        <v>94</v>
      </c>
      <c r="S6279" s="33" t="s">
        <v>351</v>
      </c>
      <c r="T6279" s="1" t="s">
        <v>42983</v>
      </c>
      <c r="Z6279" s="33" t="s">
        <v>42968</v>
      </c>
      <c r="AA6279" s="33">
        <v>1390</v>
      </c>
    </row>
    <row r="6280" spans="1:27" ht="13.5" customHeight="1" x14ac:dyDescent="0.15">
      <c r="A6280" s="33" t="s">
        <v>9519</v>
      </c>
      <c r="B6280" s="33">
        <v>40</v>
      </c>
      <c r="C6280" s="33" t="s">
        <v>14</v>
      </c>
      <c r="D6280" s="33" t="s">
        <v>42</v>
      </c>
      <c r="E6280" s="33" t="s">
        <v>9520</v>
      </c>
      <c r="F6280" s="67">
        <v>41742</v>
      </c>
      <c r="G6280" s="33" t="s">
        <v>9521</v>
      </c>
      <c r="H6280" s="33" t="s">
        <v>111</v>
      </c>
      <c r="I6280" s="33" t="s">
        <v>112</v>
      </c>
      <c r="J6280" s="33" t="s">
        <v>9522</v>
      </c>
      <c r="K6280" s="33" t="s">
        <v>113</v>
      </c>
      <c r="L6280" s="33" t="s">
        <v>9523</v>
      </c>
      <c r="M6280" s="33" t="s">
        <v>21</v>
      </c>
      <c r="N6280" s="33" t="s">
        <v>9524</v>
      </c>
      <c r="O6280" s="33" t="s">
        <v>507</v>
      </c>
      <c r="P6280" s="33" t="s">
        <v>30089</v>
      </c>
      <c r="Q6280" s="40" t="s">
        <v>9525</v>
      </c>
      <c r="R6280" s="33" t="s">
        <v>94</v>
      </c>
      <c r="S6280" s="33" t="s">
        <v>351</v>
      </c>
      <c r="T6280" s="1" t="s">
        <v>26867</v>
      </c>
      <c r="Z6280" s="33" t="s">
        <v>42968</v>
      </c>
      <c r="AA6280" s="33">
        <v>1389</v>
      </c>
    </row>
    <row r="6281" spans="1:27" ht="13.5" customHeight="1" x14ac:dyDescent="0.15">
      <c r="A6281" s="33" t="s">
        <v>9511</v>
      </c>
      <c r="B6281" s="33">
        <v>22</v>
      </c>
      <c r="C6281" s="33" t="s">
        <v>14</v>
      </c>
      <c r="D6281" s="33" t="s">
        <v>42</v>
      </c>
      <c r="E6281" s="33" t="s">
        <v>9512</v>
      </c>
      <c r="F6281" s="67">
        <v>41742</v>
      </c>
      <c r="G6281" s="33" t="s">
        <v>9513</v>
      </c>
      <c r="H6281" s="33" t="s">
        <v>9514</v>
      </c>
      <c r="I6281" s="33" t="s">
        <v>35</v>
      </c>
      <c r="J6281" s="33" t="s">
        <v>9515</v>
      </c>
      <c r="K6281" s="33" t="s">
        <v>793</v>
      </c>
      <c r="L6281" s="33" t="s">
        <v>9516</v>
      </c>
      <c r="M6281" s="33" t="s">
        <v>363</v>
      </c>
      <c r="N6281" s="33" t="s">
        <v>9517</v>
      </c>
      <c r="O6281" s="33" t="s">
        <v>507</v>
      </c>
      <c r="P6281" s="33" t="s">
        <v>30089</v>
      </c>
      <c r="Q6281" s="40" t="s">
        <v>9518</v>
      </c>
      <c r="R6281" s="33" t="s">
        <v>94</v>
      </c>
      <c r="S6281" s="33" t="s">
        <v>12</v>
      </c>
      <c r="T6281" s="54" t="s">
        <v>29705</v>
      </c>
      <c r="Z6281" s="33" t="s">
        <v>42968</v>
      </c>
      <c r="AA6281" s="33">
        <v>1387</v>
      </c>
    </row>
    <row r="6282" spans="1:27" ht="13.5" customHeight="1" x14ac:dyDescent="0.15">
      <c r="A6282" s="33" t="s">
        <v>9544</v>
      </c>
      <c r="B6282" s="33">
        <v>67</v>
      </c>
      <c r="C6282" s="33" t="s">
        <v>14</v>
      </c>
      <c r="D6282" s="33" t="s">
        <v>31</v>
      </c>
      <c r="E6282" s="33" t="s">
        <v>9545</v>
      </c>
      <c r="F6282" s="67">
        <v>41742</v>
      </c>
      <c r="G6282" s="33" t="s">
        <v>9546</v>
      </c>
      <c r="H6282" s="33" t="s">
        <v>9547</v>
      </c>
      <c r="I6282" s="33" t="s">
        <v>338</v>
      </c>
      <c r="J6282" s="33" t="s">
        <v>9548</v>
      </c>
      <c r="K6282" s="33" t="s">
        <v>9549</v>
      </c>
      <c r="L6282" s="33" t="s">
        <v>5879</v>
      </c>
      <c r="M6282" s="33" t="s">
        <v>21</v>
      </c>
      <c r="N6282" s="33" t="s">
        <v>9550</v>
      </c>
      <c r="O6282" s="33" t="s">
        <v>507</v>
      </c>
      <c r="P6282" s="33" t="s">
        <v>30089</v>
      </c>
      <c r="Q6282" s="40" t="str">
        <f>HYPERLINK("http://www.wwaytv3.com/2014/04/14/updated-sbi-investigating-officer-involved-shooting-pender-county","http://www.wwaytv3.com/2014/04/14/updated-sbi-investigating-officer-involved-shooting-pender-county")</f>
        <v>http://www.wwaytv3.com/2014/04/14/updated-sbi-investigating-officer-involved-shooting-pender-county</v>
      </c>
      <c r="R6282" s="33" t="s">
        <v>94</v>
      </c>
      <c r="S6282" s="33" t="s">
        <v>22</v>
      </c>
      <c r="T6282" s="1" t="s">
        <v>26781</v>
      </c>
      <c r="Z6282" s="33" t="s">
        <v>42967</v>
      </c>
      <c r="AA6282" s="33">
        <v>1384</v>
      </c>
    </row>
    <row r="6283" spans="1:27" ht="13.5" customHeight="1" x14ac:dyDescent="0.15">
      <c r="A6283" s="33" t="s">
        <v>9573</v>
      </c>
      <c r="B6283" s="33">
        <v>86</v>
      </c>
      <c r="C6283" s="33" t="s">
        <v>14</v>
      </c>
      <c r="D6283" s="33" t="s">
        <v>31</v>
      </c>
      <c r="F6283" s="67">
        <v>41741</v>
      </c>
      <c r="G6283" s="33" t="s">
        <v>9574</v>
      </c>
      <c r="H6283" s="33" t="s">
        <v>700</v>
      </c>
      <c r="I6283" s="33" t="s">
        <v>395</v>
      </c>
      <c r="J6283" s="33" t="s">
        <v>9575</v>
      </c>
      <c r="K6283" s="33" t="s">
        <v>2474</v>
      </c>
      <c r="L6283" s="33" t="s">
        <v>539</v>
      </c>
      <c r="M6283" s="33" t="s">
        <v>21</v>
      </c>
      <c r="N6283" s="33" t="s">
        <v>9576</v>
      </c>
      <c r="O6283" s="33" t="s">
        <v>372</v>
      </c>
      <c r="P6283" s="33" t="s">
        <v>30089</v>
      </c>
      <c r="Q6283" s="40" t="s">
        <v>9577</v>
      </c>
      <c r="R6283" s="33" t="s">
        <v>94</v>
      </c>
      <c r="S6283" s="33" t="s">
        <v>22</v>
      </c>
      <c r="T6283" s="1" t="s">
        <v>26781</v>
      </c>
      <c r="Z6283" s="33" t="s">
        <v>42966</v>
      </c>
      <c r="AA6283" s="33">
        <v>1380</v>
      </c>
    </row>
    <row r="6284" spans="1:27" ht="13.5" customHeight="1" x14ac:dyDescent="0.15">
      <c r="A6284" s="33" t="s">
        <v>9558</v>
      </c>
      <c r="B6284" s="33">
        <v>66</v>
      </c>
      <c r="C6284" s="33" t="s">
        <v>14</v>
      </c>
      <c r="D6284" s="33" t="s">
        <v>31</v>
      </c>
      <c r="E6284" s="33" t="s">
        <v>9559</v>
      </c>
      <c r="F6284" s="67">
        <v>41741</v>
      </c>
      <c r="G6284" s="33" t="s">
        <v>9560</v>
      </c>
      <c r="H6284" s="33" t="s">
        <v>9561</v>
      </c>
      <c r="I6284" s="33" t="s">
        <v>4034</v>
      </c>
      <c r="J6284" s="33" t="s">
        <v>9562</v>
      </c>
      <c r="K6284" s="33" t="s">
        <v>2907</v>
      </c>
      <c r="L6284" s="33" t="s">
        <v>5949</v>
      </c>
      <c r="M6284" s="33" t="s">
        <v>21</v>
      </c>
      <c r="N6284" s="33" t="s">
        <v>9563</v>
      </c>
      <c r="O6284" s="33" t="s">
        <v>507</v>
      </c>
      <c r="P6284" s="33" t="s">
        <v>30089</v>
      </c>
      <c r="Q6284" s="40" t="s">
        <v>9564</v>
      </c>
      <c r="R6284" s="33" t="s">
        <v>512</v>
      </c>
      <c r="S6284" s="33" t="s">
        <v>22</v>
      </c>
      <c r="T6284" s="1" t="s">
        <v>26781</v>
      </c>
      <c r="Z6284" s="33" t="s">
        <v>42968</v>
      </c>
      <c r="AA6284" s="33">
        <v>1381</v>
      </c>
    </row>
    <row r="6285" spans="1:27" ht="13.5" customHeight="1" x14ac:dyDescent="0.15">
      <c r="A6285" s="33" t="s">
        <v>9565</v>
      </c>
      <c r="B6285" s="33">
        <v>41</v>
      </c>
      <c r="C6285" s="33" t="s">
        <v>14</v>
      </c>
      <c r="D6285" s="33" t="s">
        <v>31</v>
      </c>
      <c r="F6285" s="67">
        <v>41741</v>
      </c>
      <c r="G6285" s="33" t="s">
        <v>9566</v>
      </c>
      <c r="H6285" s="33" t="s">
        <v>9567</v>
      </c>
      <c r="I6285" s="33" t="s">
        <v>294</v>
      </c>
      <c r="J6285" s="33" t="s">
        <v>9568</v>
      </c>
      <c r="K6285" s="33" t="s">
        <v>9569</v>
      </c>
      <c r="L6285" s="33" t="s">
        <v>9570</v>
      </c>
      <c r="M6285" s="33" t="s">
        <v>21</v>
      </c>
      <c r="N6285" s="33" t="s">
        <v>9571</v>
      </c>
      <c r="O6285" s="33" t="s">
        <v>507</v>
      </c>
      <c r="P6285" s="33" t="s">
        <v>30089</v>
      </c>
      <c r="Q6285" s="40" t="s">
        <v>9572</v>
      </c>
      <c r="R6285" s="33" t="s">
        <v>904</v>
      </c>
      <c r="S6285" s="33" t="s">
        <v>22</v>
      </c>
      <c r="T6285" s="1" t="s">
        <v>26781</v>
      </c>
      <c r="Z6285" s="33" t="s">
        <v>42968</v>
      </c>
      <c r="AA6285" s="33">
        <v>1379</v>
      </c>
    </row>
    <row r="6286" spans="1:27" ht="13.5" customHeight="1" x14ac:dyDescent="0.15">
      <c r="A6286" s="33" t="s">
        <v>9551</v>
      </c>
      <c r="B6286" s="33">
        <v>24</v>
      </c>
      <c r="C6286" s="33" t="s">
        <v>14</v>
      </c>
      <c r="D6286" s="33" t="s">
        <v>42</v>
      </c>
      <c r="E6286" s="33" t="s">
        <v>9552</v>
      </c>
      <c r="F6286" s="67">
        <v>41741</v>
      </c>
      <c r="G6286" s="33" t="s">
        <v>9553</v>
      </c>
      <c r="H6286" s="33" t="s">
        <v>5737</v>
      </c>
      <c r="I6286" s="33" t="s">
        <v>282</v>
      </c>
      <c r="J6286" s="33" t="s">
        <v>9554</v>
      </c>
      <c r="K6286" s="33" t="s">
        <v>5737</v>
      </c>
      <c r="L6286" s="33" t="s">
        <v>9555</v>
      </c>
      <c r="M6286" s="33" t="s">
        <v>21</v>
      </c>
      <c r="N6286" s="33" t="s">
        <v>9556</v>
      </c>
      <c r="O6286" s="33" t="s">
        <v>372</v>
      </c>
      <c r="P6286" s="33" t="s">
        <v>30089</v>
      </c>
      <c r="Q6286" s="40" t="s">
        <v>9557</v>
      </c>
      <c r="R6286" s="33" t="s">
        <v>23</v>
      </c>
      <c r="S6286" s="33" t="s">
        <v>351</v>
      </c>
      <c r="T6286" s="1" t="s">
        <v>26867</v>
      </c>
      <c r="Z6286" s="33" t="s">
        <v>42968</v>
      </c>
      <c r="AA6286" s="33">
        <v>1382</v>
      </c>
    </row>
    <row r="6287" spans="1:27" ht="13.5" customHeight="1" x14ac:dyDescent="0.15">
      <c r="A6287" s="33" t="s">
        <v>9584</v>
      </c>
      <c r="B6287" s="33">
        <v>24</v>
      </c>
      <c r="C6287" s="33" t="s">
        <v>14</v>
      </c>
      <c r="D6287" s="33" t="s">
        <v>79</v>
      </c>
      <c r="E6287" s="33" t="s">
        <v>9585</v>
      </c>
      <c r="F6287" s="67">
        <v>41740</v>
      </c>
      <c r="G6287" s="33" t="s">
        <v>9586</v>
      </c>
      <c r="H6287" s="33" t="s">
        <v>7481</v>
      </c>
      <c r="I6287" s="33" t="s">
        <v>160</v>
      </c>
      <c r="J6287" s="33" t="s">
        <v>9587</v>
      </c>
      <c r="K6287" s="33" t="s">
        <v>1454</v>
      </c>
      <c r="L6287" s="33" t="s">
        <v>9588</v>
      </c>
      <c r="M6287" s="33" t="s">
        <v>363</v>
      </c>
      <c r="N6287" s="33" t="s">
        <v>9589</v>
      </c>
      <c r="O6287" s="33" t="s">
        <v>27771</v>
      </c>
      <c r="P6287" s="33" t="s">
        <v>27770</v>
      </c>
      <c r="Q6287" s="40" t="s">
        <v>9590</v>
      </c>
      <c r="R6287" s="33" t="s">
        <v>94</v>
      </c>
      <c r="S6287" s="33" t="s">
        <v>12</v>
      </c>
      <c r="T6287" s="54" t="s">
        <v>29705</v>
      </c>
      <c r="Z6287" s="33" t="s">
        <v>42968</v>
      </c>
      <c r="AA6287" s="33">
        <v>1377</v>
      </c>
    </row>
    <row r="6288" spans="1:27" ht="13.5" customHeight="1" x14ac:dyDescent="0.15">
      <c r="A6288" s="33" t="s">
        <v>9579</v>
      </c>
      <c r="B6288" s="33">
        <v>34</v>
      </c>
      <c r="C6288" s="33" t="s">
        <v>14</v>
      </c>
      <c r="D6288" s="33" t="s">
        <v>79</v>
      </c>
      <c r="E6288" s="33" t="s">
        <v>9580</v>
      </c>
      <c r="F6288" s="67">
        <v>41740</v>
      </c>
      <c r="G6288" s="33" t="s">
        <v>9581</v>
      </c>
      <c r="H6288" s="33" t="s">
        <v>1485</v>
      </c>
      <c r="I6288" s="33" t="s">
        <v>46</v>
      </c>
      <c r="J6288" s="33" t="s">
        <v>1486</v>
      </c>
      <c r="K6288" s="33" t="s">
        <v>1487</v>
      </c>
      <c r="L6288" s="33" t="s">
        <v>377</v>
      </c>
      <c r="M6288" s="33" t="s">
        <v>21</v>
      </c>
      <c r="N6288" s="33" t="s">
        <v>9582</v>
      </c>
      <c r="O6288" s="33" t="s">
        <v>507</v>
      </c>
      <c r="P6288" s="33" t="s">
        <v>30089</v>
      </c>
      <c r="Q6288" s="40" t="s">
        <v>9583</v>
      </c>
      <c r="R6288" s="33" t="s">
        <v>94</v>
      </c>
      <c r="S6288" s="33" t="s">
        <v>351</v>
      </c>
      <c r="T6288" s="1" t="s">
        <v>42983</v>
      </c>
      <c r="Z6288" s="33" t="s">
        <v>42968</v>
      </c>
      <c r="AA6288" s="33">
        <v>1378</v>
      </c>
    </row>
    <row r="6289" spans="1:31" ht="13.5" customHeight="1" x14ac:dyDescent="0.15">
      <c r="A6289" s="33" t="s">
        <v>9597</v>
      </c>
      <c r="B6289" s="33">
        <v>32</v>
      </c>
      <c r="C6289" s="33" t="s">
        <v>14</v>
      </c>
      <c r="D6289" s="33" t="s">
        <v>31</v>
      </c>
      <c r="E6289" s="33" t="s">
        <v>9598</v>
      </c>
      <c r="F6289" s="67">
        <v>41740</v>
      </c>
      <c r="G6289" s="33" t="s">
        <v>9599</v>
      </c>
      <c r="H6289" s="33" t="s">
        <v>584</v>
      </c>
      <c r="I6289" s="33" t="s">
        <v>112</v>
      </c>
      <c r="J6289" s="33" t="s">
        <v>9600</v>
      </c>
      <c r="K6289" s="33" t="s">
        <v>585</v>
      </c>
      <c r="L6289" s="33" t="s">
        <v>586</v>
      </c>
      <c r="M6289" s="33" t="s">
        <v>21</v>
      </c>
      <c r="N6289" s="33" t="s">
        <v>9601</v>
      </c>
      <c r="O6289" s="33" t="s">
        <v>950</v>
      </c>
      <c r="P6289" s="33" t="s">
        <v>30089</v>
      </c>
      <c r="Q6289" s="40" t="s">
        <v>9602</v>
      </c>
      <c r="R6289" s="33" t="s">
        <v>94</v>
      </c>
      <c r="S6289" s="33" t="s">
        <v>22</v>
      </c>
      <c r="T6289" s="33" t="s">
        <v>27803</v>
      </c>
      <c r="Y6289" s="33" t="s">
        <v>42476</v>
      </c>
      <c r="Z6289" s="33" t="s">
        <v>42968</v>
      </c>
      <c r="AA6289" s="33">
        <v>1376</v>
      </c>
      <c r="AE6289" s="33"/>
    </row>
    <row r="6290" spans="1:31" ht="13.5" customHeight="1" x14ac:dyDescent="0.15">
      <c r="A6290" s="33" t="s">
        <v>9603</v>
      </c>
      <c r="B6290" s="33">
        <v>45</v>
      </c>
      <c r="C6290" s="33" t="s">
        <v>14</v>
      </c>
      <c r="D6290" s="33" t="s">
        <v>31</v>
      </c>
      <c r="E6290" s="33" t="s">
        <v>9604</v>
      </c>
      <c r="F6290" s="67">
        <v>41740</v>
      </c>
      <c r="G6290" s="33" t="s">
        <v>9605</v>
      </c>
      <c r="H6290" s="33" t="s">
        <v>9606</v>
      </c>
      <c r="I6290" s="33" t="s">
        <v>160</v>
      </c>
      <c r="J6290" s="33" t="s">
        <v>9607</v>
      </c>
      <c r="K6290" s="33" t="s">
        <v>1470</v>
      </c>
      <c r="L6290" s="33" t="s">
        <v>9608</v>
      </c>
      <c r="M6290" s="33" t="s">
        <v>21</v>
      </c>
      <c r="N6290" s="33" t="s">
        <v>9609</v>
      </c>
      <c r="O6290" s="33" t="s">
        <v>507</v>
      </c>
      <c r="P6290" s="33" t="s">
        <v>30089</v>
      </c>
      <c r="Q6290" s="40" t="s">
        <v>9610</v>
      </c>
      <c r="R6290" s="33" t="s">
        <v>23</v>
      </c>
      <c r="S6290" s="33" t="s">
        <v>29</v>
      </c>
      <c r="T6290" s="33" t="s">
        <v>26590</v>
      </c>
      <c r="Z6290" s="33" t="s">
        <v>42968</v>
      </c>
      <c r="AA6290" s="33">
        <v>1375</v>
      </c>
      <c r="AE6290" s="33"/>
    </row>
    <row r="6291" spans="1:31" ht="13.5" customHeight="1" x14ac:dyDescent="0.15">
      <c r="A6291" s="33" t="s">
        <v>9591</v>
      </c>
      <c r="B6291" s="33">
        <v>53</v>
      </c>
      <c r="C6291" s="33" t="s">
        <v>14</v>
      </c>
      <c r="D6291" s="33" t="s">
        <v>31</v>
      </c>
      <c r="E6291" s="33" t="s">
        <v>9592</v>
      </c>
      <c r="F6291" s="67">
        <v>41740</v>
      </c>
      <c r="G6291" s="33" t="s">
        <v>9593</v>
      </c>
      <c r="H6291" s="33" t="s">
        <v>4990</v>
      </c>
      <c r="I6291" s="33" t="s">
        <v>56</v>
      </c>
      <c r="J6291" s="33" t="s">
        <v>9594</v>
      </c>
      <c r="K6291" s="33" t="s">
        <v>4991</v>
      </c>
      <c r="L6291" s="33" t="s">
        <v>4992</v>
      </c>
      <c r="M6291" s="33" t="s">
        <v>21</v>
      </c>
      <c r="N6291" s="33" t="s">
        <v>9595</v>
      </c>
      <c r="O6291" s="33" t="s">
        <v>950</v>
      </c>
      <c r="P6291" s="33" t="s">
        <v>30089</v>
      </c>
      <c r="Q6291" s="40" t="s">
        <v>9596</v>
      </c>
      <c r="R6291" s="33" t="s">
        <v>94</v>
      </c>
      <c r="S6291" s="33" t="s">
        <v>22</v>
      </c>
      <c r="T6291" s="1" t="s">
        <v>26774</v>
      </c>
      <c r="Z6291" s="33" t="s">
        <v>42968</v>
      </c>
      <c r="AA6291" s="33">
        <v>1374</v>
      </c>
    </row>
    <row r="6292" spans="1:31" ht="13.5" customHeight="1" x14ac:dyDescent="0.15">
      <c r="A6292" s="33" t="s">
        <v>9618</v>
      </c>
      <c r="B6292" s="33">
        <v>23</v>
      </c>
      <c r="C6292" s="33" t="s">
        <v>14</v>
      </c>
      <c r="D6292" s="33" t="s">
        <v>31</v>
      </c>
      <c r="F6292" s="67">
        <v>41739</v>
      </c>
      <c r="G6292" s="33" t="s">
        <v>9619</v>
      </c>
      <c r="H6292" s="33" t="s">
        <v>9620</v>
      </c>
      <c r="I6292" s="33" t="s">
        <v>39</v>
      </c>
      <c r="J6292" s="33" t="s">
        <v>9621</v>
      </c>
      <c r="K6292" s="33" t="s">
        <v>183</v>
      </c>
      <c r="L6292" s="33" t="s">
        <v>1493</v>
      </c>
      <c r="M6292" s="33" t="s">
        <v>21</v>
      </c>
      <c r="N6292" s="33" t="s">
        <v>9622</v>
      </c>
      <c r="O6292" s="33" t="s">
        <v>950</v>
      </c>
      <c r="P6292" s="33" t="s">
        <v>30089</v>
      </c>
      <c r="Q6292" s="40" t="s">
        <v>9623</v>
      </c>
      <c r="R6292" s="33" t="s">
        <v>23</v>
      </c>
      <c r="S6292" s="33" t="s">
        <v>22</v>
      </c>
      <c r="T6292" s="1" t="s">
        <v>26781</v>
      </c>
      <c r="Z6292" s="33" t="s">
        <v>42968</v>
      </c>
      <c r="AA6292" s="33">
        <v>1371</v>
      </c>
    </row>
    <row r="6293" spans="1:31" ht="13.5" customHeight="1" x14ac:dyDescent="0.15">
      <c r="A6293" s="33" t="s">
        <v>9624</v>
      </c>
      <c r="B6293" s="33">
        <v>30</v>
      </c>
      <c r="C6293" s="33" t="s">
        <v>14</v>
      </c>
      <c r="D6293" s="33" t="s">
        <v>31</v>
      </c>
      <c r="E6293" s="33" t="s">
        <v>9625</v>
      </c>
      <c r="F6293" s="67">
        <v>41739</v>
      </c>
      <c r="G6293" s="33" t="s">
        <v>9626</v>
      </c>
      <c r="H6293" s="33" t="s">
        <v>635</v>
      </c>
      <c r="I6293" s="33" t="s">
        <v>337</v>
      </c>
      <c r="J6293" s="33" t="s">
        <v>9627</v>
      </c>
      <c r="K6293" s="33" t="s">
        <v>636</v>
      </c>
      <c r="L6293" s="33" t="s">
        <v>637</v>
      </c>
      <c r="M6293" s="33" t="s">
        <v>21</v>
      </c>
      <c r="N6293" s="33" t="s">
        <v>9628</v>
      </c>
      <c r="O6293" s="33" t="s">
        <v>950</v>
      </c>
      <c r="P6293" s="33" t="s">
        <v>30089</v>
      </c>
      <c r="Q6293" s="40" t="str">
        <f>HYPERLINK("http://www.kansas.com/2014/04/10/3396426/man-dead-after-officer-involved.html","http://www.kansas.com/2014/04/10/3396426/man-dead-after-officer-involved.html")</f>
        <v>http://www.kansas.com/2014/04/10/3396426/man-dead-after-officer-involved.html</v>
      </c>
      <c r="R6293" s="33" t="s">
        <v>512</v>
      </c>
      <c r="S6293" s="33" t="s">
        <v>22</v>
      </c>
      <c r="T6293" s="1" t="s">
        <v>26774</v>
      </c>
      <c r="Z6293" s="33" t="s">
        <v>42966</v>
      </c>
      <c r="AA6293" s="33">
        <v>1372</v>
      </c>
    </row>
    <row r="6294" spans="1:31" ht="13.5" customHeight="1" x14ac:dyDescent="0.15">
      <c r="A6294" s="33" t="s">
        <v>9611</v>
      </c>
      <c r="B6294" s="33">
        <v>30</v>
      </c>
      <c r="C6294" s="33" t="s">
        <v>14</v>
      </c>
      <c r="D6294" s="33" t="s">
        <v>31</v>
      </c>
      <c r="E6294" s="33" t="s">
        <v>9612</v>
      </c>
      <c r="F6294" s="67">
        <v>41739</v>
      </c>
      <c r="G6294" s="33" t="s">
        <v>9613</v>
      </c>
      <c r="H6294" s="33" t="s">
        <v>9614</v>
      </c>
      <c r="I6294" s="33" t="s">
        <v>39</v>
      </c>
      <c r="J6294" s="33" t="s">
        <v>9615</v>
      </c>
      <c r="K6294" s="33" t="s">
        <v>92</v>
      </c>
      <c r="L6294" s="33" t="s">
        <v>386</v>
      </c>
      <c r="M6294" s="33" t="s">
        <v>21</v>
      </c>
      <c r="N6294" s="33" t="s">
        <v>9616</v>
      </c>
      <c r="O6294" s="33" t="s">
        <v>950</v>
      </c>
      <c r="P6294" s="33" t="s">
        <v>30089</v>
      </c>
      <c r="Q6294" s="40" t="s">
        <v>9617</v>
      </c>
      <c r="R6294" s="33" t="s">
        <v>94</v>
      </c>
      <c r="S6294" s="33" t="s">
        <v>12</v>
      </c>
      <c r="T6294" s="54" t="s">
        <v>29705</v>
      </c>
      <c r="Z6294" s="33" t="s">
        <v>42966</v>
      </c>
      <c r="AA6294" s="33">
        <v>1373</v>
      </c>
    </row>
    <row r="6295" spans="1:31" ht="13.5" customHeight="1" x14ac:dyDescent="0.15">
      <c r="A6295" s="33" t="s">
        <v>9629</v>
      </c>
      <c r="B6295" s="33">
        <v>29</v>
      </c>
      <c r="C6295" s="33" t="s">
        <v>14</v>
      </c>
      <c r="D6295" s="33" t="s">
        <v>42</v>
      </c>
      <c r="F6295" s="67">
        <v>41738</v>
      </c>
      <c r="G6295" s="33" t="s">
        <v>9630</v>
      </c>
      <c r="H6295" s="33" t="s">
        <v>3143</v>
      </c>
      <c r="I6295" s="33" t="s">
        <v>39</v>
      </c>
      <c r="J6295" s="33" t="s">
        <v>9631</v>
      </c>
      <c r="K6295" s="33" t="s">
        <v>3145</v>
      </c>
      <c r="L6295" s="33" t="s">
        <v>3146</v>
      </c>
      <c r="M6295" s="33" t="s">
        <v>21</v>
      </c>
      <c r="N6295" s="33" t="s">
        <v>9632</v>
      </c>
      <c r="O6295" s="33" t="s">
        <v>950</v>
      </c>
      <c r="P6295" s="33" t="s">
        <v>30089</v>
      </c>
      <c r="Q6295" s="40" t="s">
        <v>9633</v>
      </c>
      <c r="R6295" s="33" t="s">
        <v>94</v>
      </c>
      <c r="S6295" s="33" t="s">
        <v>351</v>
      </c>
      <c r="T6295" s="1" t="s">
        <v>26867</v>
      </c>
      <c r="Z6295" s="33" t="s">
        <v>42966</v>
      </c>
      <c r="AA6295" s="33">
        <v>1370</v>
      </c>
    </row>
    <row r="6296" spans="1:31" ht="13.5" customHeight="1" x14ac:dyDescent="0.15">
      <c r="A6296" s="33" t="s">
        <v>9634</v>
      </c>
      <c r="B6296" s="33">
        <v>66</v>
      </c>
      <c r="C6296" s="33" t="s">
        <v>14</v>
      </c>
      <c r="D6296" s="33" t="s">
        <v>31</v>
      </c>
      <c r="F6296" s="67">
        <v>41737</v>
      </c>
      <c r="G6296" s="33" t="s">
        <v>9635</v>
      </c>
      <c r="H6296" s="33" t="s">
        <v>4802</v>
      </c>
      <c r="I6296" s="33" t="s">
        <v>56</v>
      </c>
      <c r="J6296" s="33" t="s">
        <v>2229</v>
      </c>
      <c r="K6296" s="33" t="s">
        <v>2230</v>
      </c>
      <c r="L6296" s="33" t="s">
        <v>5035</v>
      </c>
      <c r="M6296" s="33" t="s">
        <v>21</v>
      </c>
      <c r="N6296" s="33" t="s">
        <v>9636</v>
      </c>
      <c r="O6296" s="33" t="s">
        <v>950</v>
      </c>
      <c r="P6296" s="33" t="s">
        <v>30089</v>
      </c>
      <c r="Q6296" s="40" t="s">
        <v>9637</v>
      </c>
      <c r="R6296" s="33" t="s">
        <v>94</v>
      </c>
      <c r="S6296" s="33" t="s">
        <v>22</v>
      </c>
      <c r="T6296" s="1" t="s">
        <v>26781</v>
      </c>
      <c r="Z6296" s="33" t="s">
        <v>42967</v>
      </c>
      <c r="AA6296" s="33">
        <v>1367</v>
      </c>
    </row>
    <row r="6297" spans="1:31" ht="13.5" customHeight="1" x14ac:dyDescent="0.15">
      <c r="A6297" s="33" t="s">
        <v>9644</v>
      </c>
      <c r="B6297" s="33">
        <v>28</v>
      </c>
      <c r="C6297" s="33" t="s">
        <v>14</v>
      </c>
      <c r="D6297" s="33" t="s">
        <v>31</v>
      </c>
      <c r="E6297" s="33" t="str">
        <f>HYPERLINK("http://www.wrhi.com/2014/04/officer-involved-shooting-in-york-county-leaves-one-man-dead-91986","http://www.wrhi.com/2014/04/officer-involved-shooting-in-york-county-leaves-one-man-dead-91986")</f>
        <v>http://www.wrhi.com/2014/04/officer-involved-shooting-in-york-county-leaves-one-man-dead-91986</v>
      </c>
      <c r="F6297" s="67">
        <v>41737</v>
      </c>
      <c r="G6297" s="33" t="s">
        <v>9645</v>
      </c>
      <c r="H6297" s="33" t="s">
        <v>9646</v>
      </c>
      <c r="I6297" s="33" t="s">
        <v>26</v>
      </c>
      <c r="J6297" s="33" t="s">
        <v>9647</v>
      </c>
      <c r="K6297" s="33" t="s">
        <v>1499</v>
      </c>
      <c r="L6297" s="33" t="s">
        <v>9648</v>
      </c>
      <c r="M6297" s="33" t="s">
        <v>21</v>
      </c>
      <c r="N6297" s="33" t="s">
        <v>9649</v>
      </c>
      <c r="O6297" s="33" t="s">
        <v>950</v>
      </c>
      <c r="P6297" s="33" t="s">
        <v>30089</v>
      </c>
      <c r="Q6297" s="40" t="str">
        <f>HYPERLINK("http://www.charlotteobserver.com/2014/04/09/4830144_experts-weigh-in-on-york-county.html#.VD2-WVewUSc","http://www.charlotteobserver.com/2014/04/09/4830144_experts-weigh-in-on-york-county.html#.VD2-WVewUSc")</f>
        <v>http://www.charlotteobserver.com/2014/04/09/4830144_experts-weigh-in-on-york-county.html#.VD2-WVewUSc</v>
      </c>
      <c r="R6297" s="33" t="s">
        <v>512</v>
      </c>
      <c r="S6297" s="33" t="s">
        <v>22</v>
      </c>
      <c r="T6297" s="1" t="s">
        <v>26781</v>
      </c>
      <c r="Z6297" s="33" t="s">
        <v>42968</v>
      </c>
      <c r="AA6297" s="33">
        <v>1368</v>
      </c>
    </row>
    <row r="6298" spans="1:31" ht="13.5" customHeight="1" x14ac:dyDescent="0.15">
      <c r="A6298" s="33" t="s">
        <v>9638</v>
      </c>
      <c r="B6298" s="33">
        <v>40</v>
      </c>
      <c r="C6298" s="33" t="s">
        <v>14</v>
      </c>
      <c r="D6298" s="33" t="s">
        <v>31</v>
      </c>
      <c r="E6298" s="33" t="s">
        <v>9639</v>
      </c>
      <c r="F6298" s="67">
        <v>41737</v>
      </c>
      <c r="G6298" s="33" t="s">
        <v>9640</v>
      </c>
      <c r="H6298" s="33" t="s">
        <v>607</v>
      </c>
      <c r="I6298" s="33" t="s">
        <v>250</v>
      </c>
      <c r="J6298" s="33" t="s">
        <v>9641</v>
      </c>
      <c r="K6298" s="33" t="s">
        <v>527</v>
      </c>
      <c r="L6298" s="33" t="s">
        <v>528</v>
      </c>
      <c r="M6298" s="33" t="s">
        <v>21</v>
      </c>
      <c r="N6298" s="33" t="s">
        <v>9642</v>
      </c>
      <c r="O6298" s="33" t="s">
        <v>950</v>
      </c>
      <c r="P6298" s="33" t="s">
        <v>30089</v>
      </c>
      <c r="Q6298" s="40" t="s">
        <v>9643</v>
      </c>
      <c r="R6298" s="33" t="s">
        <v>512</v>
      </c>
      <c r="S6298" s="33" t="s">
        <v>22</v>
      </c>
      <c r="T6298" s="1" t="s">
        <v>26781</v>
      </c>
      <c r="Z6298" s="33" t="s">
        <v>42966</v>
      </c>
      <c r="AA6298" s="33">
        <v>1369</v>
      </c>
    </row>
    <row r="6299" spans="1:31" ht="13.5" customHeight="1" x14ac:dyDescent="0.15">
      <c r="A6299" s="33" t="s">
        <v>9671</v>
      </c>
      <c r="B6299" s="33">
        <v>36</v>
      </c>
      <c r="C6299" s="33" t="s">
        <v>14</v>
      </c>
      <c r="D6299" s="33" t="s">
        <v>31</v>
      </c>
      <c r="E6299" s="33" t="s">
        <v>9672</v>
      </c>
      <c r="F6299" s="67">
        <v>41736</v>
      </c>
      <c r="G6299" s="33" t="s">
        <v>9673</v>
      </c>
      <c r="H6299" s="33" t="s">
        <v>9674</v>
      </c>
      <c r="I6299" s="33" t="s">
        <v>38</v>
      </c>
      <c r="J6299" s="33" t="s">
        <v>9675</v>
      </c>
      <c r="K6299" s="33" t="s">
        <v>1179</v>
      </c>
      <c r="L6299" s="33" t="s">
        <v>9676</v>
      </c>
      <c r="M6299" s="33" t="s">
        <v>21</v>
      </c>
      <c r="N6299" s="33" t="s">
        <v>9677</v>
      </c>
      <c r="O6299" s="33" t="s">
        <v>507</v>
      </c>
      <c r="P6299" s="33" t="s">
        <v>30089</v>
      </c>
      <c r="Q6299" s="40" t="s">
        <v>9678</v>
      </c>
      <c r="R6299" s="33" t="s">
        <v>94</v>
      </c>
      <c r="S6299" s="33" t="s">
        <v>22</v>
      </c>
      <c r="T6299" s="1" t="s">
        <v>26781</v>
      </c>
      <c r="Z6299" s="33" t="s">
        <v>42968</v>
      </c>
      <c r="AA6299" s="33">
        <v>1365</v>
      </c>
    </row>
    <row r="6300" spans="1:31" ht="13.5" customHeight="1" x14ac:dyDescent="0.15">
      <c r="A6300" s="33" t="s">
        <v>9650</v>
      </c>
      <c r="B6300" s="33">
        <v>29</v>
      </c>
      <c r="C6300" s="33" t="s">
        <v>14</v>
      </c>
      <c r="D6300" s="33" t="s">
        <v>79</v>
      </c>
      <c r="E6300" s="33" t="s">
        <v>9651</v>
      </c>
      <c r="F6300" s="67">
        <v>41736</v>
      </c>
      <c r="G6300" s="33" t="s">
        <v>9652</v>
      </c>
      <c r="H6300" s="33" t="s">
        <v>92</v>
      </c>
      <c r="I6300" s="33" t="s">
        <v>39</v>
      </c>
      <c r="J6300" s="33" t="s">
        <v>9653</v>
      </c>
      <c r="K6300" s="33" t="s">
        <v>92</v>
      </c>
      <c r="L6300" s="33" t="s">
        <v>93</v>
      </c>
      <c r="M6300" s="33" t="s">
        <v>21</v>
      </c>
      <c r="N6300" s="33" t="s">
        <v>9654</v>
      </c>
      <c r="O6300" s="33" t="s">
        <v>950</v>
      </c>
      <c r="P6300" s="33" t="s">
        <v>30089</v>
      </c>
      <c r="Q6300" s="40" t="s">
        <v>9655</v>
      </c>
      <c r="R6300" s="33" t="s">
        <v>23</v>
      </c>
      <c r="S6300" s="33" t="s">
        <v>22</v>
      </c>
      <c r="T6300" s="1" t="s">
        <v>26781</v>
      </c>
      <c r="Z6300" s="33" t="s">
        <v>42966</v>
      </c>
      <c r="AA6300" s="33">
        <v>1362</v>
      </c>
    </row>
    <row r="6301" spans="1:31" ht="13.5" customHeight="1" x14ac:dyDescent="0.15">
      <c r="A6301" s="33" t="s">
        <v>9661</v>
      </c>
      <c r="B6301" s="33">
        <v>21</v>
      </c>
      <c r="C6301" s="33" t="s">
        <v>14</v>
      </c>
      <c r="D6301" s="33" t="s">
        <v>42</v>
      </c>
      <c r="E6301" s="33" t="s">
        <v>9662</v>
      </c>
      <c r="F6301" s="67">
        <v>41736</v>
      </c>
      <c r="G6301" s="33" t="s">
        <v>9663</v>
      </c>
      <c r="H6301" s="33" t="s">
        <v>81</v>
      </c>
      <c r="I6301" s="33" t="s">
        <v>38</v>
      </c>
      <c r="J6301" s="33" t="s">
        <v>7695</v>
      </c>
      <c r="K6301" s="33" t="s">
        <v>82</v>
      </c>
      <c r="L6301" s="33" t="s">
        <v>83</v>
      </c>
      <c r="M6301" s="33" t="s">
        <v>21</v>
      </c>
      <c r="N6301" s="33" t="s">
        <v>9664</v>
      </c>
      <c r="O6301" s="33" t="s">
        <v>372</v>
      </c>
      <c r="P6301" s="33" t="s">
        <v>30089</v>
      </c>
      <c r="Q6301" s="40" t="s">
        <v>9665</v>
      </c>
      <c r="R6301" s="33" t="s">
        <v>94</v>
      </c>
      <c r="S6301" s="33" t="s">
        <v>22</v>
      </c>
      <c r="T6301" s="1" t="s">
        <v>26774</v>
      </c>
      <c r="Z6301" s="33" t="s">
        <v>42966</v>
      </c>
      <c r="AA6301" s="33">
        <v>1366</v>
      </c>
    </row>
    <row r="6302" spans="1:31" ht="13.5" customHeight="1" x14ac:dyDescent="0.15">
      <c r="A6302" s="33" t="s">
        <v>9656</v>
      </c>
      <c r="B6302" s="33">
        <v>31</v>
      </c>
      <c r="C6302" s="33" t="s">
        <v>14</v>
      </c>
      <c r="D6302" s="33" t="s">
        <v>79</v>
      </c>
      <c r="E6302" s="33" t="s">
        <v>9657</v>
      </c>
      <c r="F6302" s="67">
        <v>41736</v>
      </c>
      <c r="G6302" s="33" t="s">
        <v>9658</v>
      </c>
      <c r="H6302" s="33" t="s">
        <v>55</v>
      </c>
      <c r="I6302" s="33" t="s">
        <v>56</v>
      </c>
      <c r="J6302" s="33" t="s">
        <v>9659</v>
      </c>
      <c r="K6302" s="33" t="s">
        <v>4878</v>
      </c>
      <c r="L6302" s="33" t="s">
        <v>57</v>
      </c>
      <c r="M6302" s="33" t="s">
        <v>21</v>
      </c>
      <c r="N6302" s="33" t="s">
        <v>9660</v>
      </c>
      <c r="O6302" s="33" t="s">
        <v>507</v>
      </c>
      <c r="P6302" s="33" t="s">
        <v>30089</v>
      </c>
      <c r="Q6302" s="40" t="str">
        <f>HYPERLINK("http://www.palmbeachpost.com/news/news/pbso-investigating-officer-involved-shooting-in-su/nfTT5/","http://www.palmbeachpost.com/news/news/pbso-investigating-officer-involved-shooting-in-su/nfTT5/")</f>
        <v>http://www.palmbeachpost.com/news/news/pbso-investigating-officer-involved-shooting-in-su/nfTT5/</v>
      </c>
      <c r="R6302" s="33" t="s">
        <v>94</v>
      </c>
      <c r="S6302" s="33" t="s">
        <v>22</v>
      </c>
      <c r="T6302" s="33" t="s">
        <v>26781</v>
      </c>
      <c r="Z6302" s="33" t="s">
        <v>42968</v>
      </c>
      <c r="AA6302" s="33">
        <v>1363</v>
      </c>
      <c r="AE6302" s="33"/>
    </row>
    <row r="6303" spans="1:31" ht="13.5" customHeight="1" x14ac:dyDescent="0.15">
      <c r="A6303" s="33" t="s">
        <v>3002</v>
      </c>
      <c r="B6303" s="33">
        <v>24</v>
      </c>
      <c r="C6303" s="33" t="s">
        <v>14</v>
      </c>
      <c r="D6303" s="33" t="s">
        <v>24</v>
      </c>
      <c r="F6303" s="67">
        <v>41736</v>
      </c>
      <c r="G6303" s="33" t="s">
        <v>9666</v>
      </c>
      <c r="H6303" s="33" t="s">
        <v>837</v>
      </c>
      <c r="I6303" s="33" t="s">
        <v>39</v>
      </c>
      <c r="J6303" s="33" t="s">
        <v>9667</v>
      </c>
      <c r="K6303" s="33" t="s">
        <v>143</v>
      </c>
      <c r="L6303" s="33" t="s">
        <v>9668</v>
      </c>
      <c r="M6303" s="33" t="s">
        <v>21</v>
      </c>
      <c r="N6303" s="33" t="s">
        <v>9669</v>
      </c>
      <c r="O6303" s="33" t="s">
        <v>950</v>
      </c>
      <c r="P6303" s="33" t="s">
        <v>30089</v>
      </c>
      <c r="Q6303" s="40" t="s">
        <v>9670</v>
      </c>
      <c r="R6303" s="33" t="s">
        <v>94</v>
      </c>
      <c r="S6303" s="33" t="s">
        <v>22</v>
      </c>
      <c r="T6303" s="1" t="s">
        <v>26781</v>
      </c>
      <c r="Z6303" s="33" t="s">
        <v>42968</v>
      </c>
      <c r="AA6303" s="33">
        <v>1364</v>
      </c>
    </row>
    <row r="6304" spans="1:31" ht="13.5" customHeight="1" x14ac:dyDescent="0.15">
      <c r="A6304" s="33" t="s">
        <v>9685</v>
      </c>
      <c r="B6304" s="33">
        <v>34</v>
      </c>
      <c r="C6304" s="33" t="s">
        <v>14</v>
      </c>
      <c r="D6304" s="33" t="s">
        <v>31</v>
      </c>
      <c r="E6304" s="33" t="s">
        <v>9686</v>
      </c>
      <c r="F6304" s="67">
        <v>41735</v>
      </c>
      <c r="G6304" s="33" t="s">
        <v>9687</v>
      </c>
      <c r="H6304" s="33" t="s">
        <v>9688</v>
      </c>
      <c r="I6304" s="33" t="s">
        <v>67</v>
      </c>
      <c r="J6304" s="33" t="s">
        <v>9689</v>
      </c>
      <c r="K6304" s="33" t="s">
        <v>995</v>
      </c>
      <c r="L6304" s="33" t="s">
        <v>18546</v>
      </c>
      <c r="M6304" s="33" t="s">
        <v>21</v>
      </c>
      <c r="N6304" s="33" t="s">
        <v>9690</v>
      </c>
      <c r="O6304" s="33" t="s">
        <v>950</v>
      </c>
      <c r="P6304" s="33" t="s">
        <v>30089</v>
      </c>
      <c r="Q6304" s="40" t="str">
        <f>HYPERLINK("http://www.click2houston.com/news/man-killed-after-pulling-gun-on-deputies-serving-warrant/25349872","http://www.click2houston.com/news/man-killed-after-pulling-gun-on-deputies-serving-warrant/25349872")</f>
        <v>http://www.click2houston.com/news/man-killed-after-pulling-gun-on-deputies-serving-warrant/25349872</v>
      </c>
      <c r="R6304" s="33" t="s">
        <v>94</v>
      </c>
      <c r="S6304" s="33" t="s">
        <v>22</v>
      </c>
      <c r="T6304" s="33" t="s">
        <v>26781</v>
      </c>
      <c r="Z6304" s="33" t="s">
        <v>42968</v>
      </c>
      <c r="AA6304" s="33">
        <v>1361</v>
      </c>
    </row>
    <row r="6305" spans="1:31" ht="13.5" customHeight="1" x14ac:dyDescent="0.15">
      <c r="A6305" s="33" t="s">
        <v>9679</v>
      </c>
      <c r="B6305" s="33">
        <v>33</v>
      </c>
      <c r="C6305" s="33" t="s">
        <v>14</v>
      </c>
      <c r="D6305" s="33" t="s">
        <v>24</v>
      </c>
      <c r="F6305" s="67">
        <v>41735</v>
      </c>
      <c r="G6305" s="33" t="s">
        <v>9680</v>
      </c>
      <c r="H6305" s="33" t="s">
        <v>107</v>
      </c>
      <c r="I6305" s="33" t="s">
        <v>3357</v>
      </c>
      <c r="J6305" s="33" t="s">
        <v>9681</v>
      </c>
      <c r="K6305" s="33" t="s">
        <v>3359</v>
      </c>
      <c r="L6305" s="33" t="s">
        <v>17581</v>
      </c>
      <c r="M6305" s="33" t="s">
        <v>21</v>
      </c>
      <c r="N6305" s="33" t="s">
        <v>9682</v>
      </c>
      <c r="O6305" s="33" t="s">
        <v>950</v>
      </c>
      <c r="P6305" s="33" t="s">
        <v>30089</v>
      </c>
      <c r="Q6305" s="40" t="s">
        <v>9683</v>
      </c>
      <c r="R6305" s="33" t="s">
        <v>94</v>
      </c>
      <c r="S6305" s="33" t="s">
        <v>22</v>
      </c>
      <c r="T6305" s="33" t="s">
        <v>26781</v>
      </c>
      <c r="Z6305" s="33" t="s">
        <v>42966</v>
      </c>
      <c r="AA6305" s="33">
        <v>1360</v>
      </c>
    </row>
    <row r="6306" spans="1:31" ht="13.5" customHeight="1" x14ac:dyDescent="0.15">
      <c r="A6306" s="33" t="s">
        <v>9691</v>
      </c>
      <c r="B6306" s="33">
        <v>38</v>
      </c>
      <c r="C6306" s="33" t="s">
        <v>14</v>
      </c>
      <c r="D6306" s="33" t="s">
        <v>79</v>
      </c>
      <c r="E6306" s="33" t="s">
        <v>9692</v>
      </c>
      <c r="F6306" s="67">
        <v>41734</v>
      </c>
      <c r="G6306" s="33" t="s">
        <v>9693</v>
      </c>
      <c r="H6306" s="33" t="s">
        <v>1586</v>
      </c>
      <c r="I6306" s="33" t="s">
        <v>40</v>
      </c>
      <c r="J6306" s="33" t="s">
        <v>9694</v>
      </c>
      <c r="K6306" s="33" t="s">
        <v>1588</v>
      </c>
      <c r="L6306" s="33" t="s">
        <v>2980</v>
      </c>
      <c r="M6306" s="33" t="s">
        <v>21</v>
      </c>
      <c r="N6306" s="33" t="s">
        <v>9695</v>
      </c>
      <c r="O6306" s="33" t="s">
        <v>23</v>
      </c>
      <c r="P6306" s="33" t="s">
        <v>30089</v>
      </c>
      <c r="Q6306" s="40" t="s">
        <v>9696</v>
      </c>
      <c r="R6306" s="33" t="s">
        <v>94</v>
      </c>
      <c r="S6306" s="33" t="s">
        <v>22</v>
      </c>
      <c r="T6306" s="33" t="s">
        <v>26774</v>
      </c>
      <c r="U6306" s="33" t="s">
        <v>26572</v>
      </c>
      <c r="V6306" s="33" t="s">
        <v>26573</v>
      </c>
      <c r="Z6306" s="33" t="s">
        <v>42966</v>
      </c>
      <c r="AA6306" s="33">
        <v>1359</v>
      </c>
    </row>
    <row r="6307" spans="1:31" ht="13.5" customHeight="1" x14ac:dyDescent="0.15">
      <c r="A6307" s="33" t="s">
        <v>9697</v>
      </c>
      <c r="B6307" s="33">
        <v>24</v>
      </c>
      <c r="C6307" s="33" t="s">
        <v>14</v>
      </c>
      <c r="D6307" s="33" t="s">
        <v>79</v>
      </c>
      <c r="E6307" s="33" t="s">
        <v>9698</v>
      </c>
      <c r="F6307" s="67">
        <v>41734</v>
      </c>
      <c r="G6307" s="33" t="s">
        <v>9699</v>
      </c>
      <c r="H6307" s="33" t="s">
        <v>704</v>
      </c>
      <c r="I6307" s="33" t="s">
        <v>46</v>
      </c>
      <c r="J6307" s="33" t="s">
        <v>9700</v>
      </c>
      <c r="K6307" s="33" t="s">
        <v>2210</v>
      </c>
      <c r="L6307" s="33" t="s">
        <v>705</v>
      </c>
      <c r="M6307" s="33" t="s">
        <v>21</v>
      </c>
      <c r="N6307" s="33" t="s">
        <v>9701</v>
      </c>
      <c r="O6307" s="33" t="s">
        <v>950</v>
      </c>
      <c r="P6307" s="33" t="s">
        <v>30089</v>
      </c>
      <c r="Q6307" s="40" t="str">
        <f>HYPERLINK("http://www.washingtonpost.com/local/crime/man-killed-in-police-shooting-in-prince-georges-county/2014/04/05/114eb076-bcc3-11e3-b195-dd0c1174052c_allComments.html?ctab=all","http://www.washingtonpost.com/local/crime/man-killed-in-police-shooting-in-prince-georges-county/2014/04/05/114eb076-bcc3-11e3-b195-dd0c1174052c_allComments.html?ctab=all")</f>
        <v>http://www.washingtonpost.com/local/crime/man-killed-in-police-shooting-in-prince-georges-county/2014/04/05/114eb076-bcc3-11e3-b195-dd0c1174052c_allComments.html?ctab=all</v>
      </c>
      <c r="R6307" s="33" t="s">
        <v>94</v>
      </c>
      <c r="S6307" s="33" t="s">
        <v>22</v>
      </c>
      <c r="T6307" s="1" t="s">
        <v>26781</v>
      </c>
      <c r="Z6307" s="33" t="s">
        <v>42968</v>
      </c>
      <c r="AA6307" s="33">
        <v>1358</v>
      </c>
    </row>
    <row r="6308" spans="1:31" ht="13.5" customHeight="1" x14ac:dyDescent="0.15">
      <c r="A6308" s="33" t="s">
        <v>9707</v>
      </c>
      <c r="B6308" s="33">
        <v>35</v>
      </c>
      <c r="C6308" s="33" t="s">
        <v>14</v>
      </c>
      <c r="D6308" s="33" t="s">
        <v>42</v>
      </c>
      <c r="F6308" s="67">
        <v>41733</v>
      </c>
      <c r="G6308" s="33" t="s">
        <v>9708</v>
      </c>
      <c r="H6308" s="33" t="s">
        <v>9709</v>
      </c>
      <c r="I6308" s="33" t="s">
        <v>9710</v>
      </c>
      <c r="J6308" s="33" t="s">
        <v>9711</v>
      </c>
      <c r="K6308" s="33" t="s">
        <v>9561</v>
      </c>
      <c r="L6308" s="33" t="s">
        <v>9712</v>
      </c>
      <c r="M6308" s="33" t="s">
        <v>21</v>
      </c>
      <c r="N6308" s="33" t="s">
        <v>9713</v>
      </c>
      <c r="O6308" s="33" t="s">
        <v>23</v>
      </c>
      <c r="P6308" s="33" t="s">
        <v>30089</v>
      </c>
      <c r="Q6308" s="40" t="s">
        <v>9714</v>
      </c>
      <c r="R6308" s="33" t="s">
        <v>94</v>
      </c>
      <c r="S6308" s="33" t="s">
        <v>12</v>
      </c>
      <c r="T6308" s="1" t="s">
        <v>29705</v>
      </c>
      <c r="Z6308" s="33" t="s">
        <v>42967</v>
      </c>
      <c r="AA6308" s="33">
        <v>1357</v>
      </c>
    </row>
    <row r="6309" spans="1:31" ht="13.5" customHeight="1" x14ac:dyDescent="0.15">
      <c r="A6309" s="33" t="s">
        <v>9721</v>
      </c>
      <c r="B6309" s="33">
        <v>52</v>
      </c>
      <c r="C6309" s="33" t="s">
        <v>14</v>
      </c>
      <c r="D6309" s="33" t="s">
        <v>31</v>
      </c>
      <c r="E6309" s="33" t="s">
        <v>9722</v>
      </c>
      <c r="F6309" s="67">
        <v>41733</v>
      </c>
      <c r="G6309" s="33" t="s">
        <v>9723</v>
      </c>
      <c r="H6309" s="33" t="s">
        <v>2012</v>
      </c>
      <c r="I6309" s="33" t="s">
        <v>88</v>
      </c>
      <c r="J6309" s="33" t="s">
        <v>6223</v>
      </c>
      <c r="K6309" s="33" t="s">
        <v>2014</v>
      </c>
      <c r="L6309" s="33" t="s">
        <v>2015</v>
      </c>
      <c r="M6309" s="33" t="s">
        <v>21</v>
      </c>
      <c r="N6309" s="33" t="s">
        <v>9724</v>
      </c>
      <c r="O6309" s="33" t="s">
        <v>950</v>
      </c>
      <c r="P6309" s="33" t="s">
        <v>30089</v>
      </c>
      <c r="Q6309" s="40" t="str">
        <f>HYPERLINK("http://whnt.com/2014/04/04/breaking-huntsville-police-confirm-officer-shot-residents-being-evacuated/","http://whnt.com/2014/04/04/breaking-huntsville-police-confirm-officer-shot-residents-being-evacuated/")</f>
        <v>http://whnt.com/2014/04/04/breaking-huntsville-police-confirm-officer-shot-residents-being-evacuated/</v>
      </c>
      <c r="R6309" s="33" t="s">
        <v>94</v>
      </c>
      <c r="S6309" s="33" t="s">
        <v>22</v>
      </c>
      <c r="T6309" s="1" t="s">
        <v>26781</v>
      </c>
      <c r="Z6309" s="33" t="s">
        <v>42966</v>
      </c>
      <c r="AA6309" s="33">
        <v>1354</v>
      </c>
    </row>
    <row r="6310" spans="1:31" ht="13.5" customHeight="1" x14ac:dyDescent="0.15">
      <c r="A6310" s="33" t="s">
        <v>9702</v>
      </c>
      <c r="B6310" s="33">
        <v>24</v>
      </c>
      <c r="C6310" s="33" t="s">
        <v>14</v>
      </c>
      <c r="D6310" s="33" t="s">
        <v>42</v>
      </c>
      <c r="F6310" s="67">
        <v>41733</v>
      </c>
      <c r="G6310" s="33" t="s">
        <v>9703</v>
      </c>
      <c r="H6310" s="33" t="s">
        <v>92</v>
      </c>
      <c r="I6310" s="33" t="s">
        <v>39</v>
      </c>
      <c r="J6310" s="33" t="s">
        <v>9704</v>
      </c>
      <c r="K6310" s="33" t="s">
        <v>92</v>
      </c>
      <c r="L6310" s="33" t="s">
        <v>93</v>
      </c>
      <c r="M6310" s="33" t="s">
        <v>21</v>
      </c>
      <c r="N6310" s="33" t="s">
        <v>9705</v>
      </c>
      <c r="O6310" s="33" t="s">
        <v>950</v>
      </c>
      <c r="P6310" s="33" t="s">
        <v>30089</v>
      </c>
      <c r="Q6310" s="40" t="s">
        <v>9706</v>
      </c>
      <c r="R6310" s="33" t="s">
        <v>512</v>
      </c>
      <c r="S6310" s="33" t="s">
        <v>22</v>
      </c>
      <c r="T6310" s="1" t="s">
        <v>26774</v>
      </c>
      <c r="Z6310" s="33" t="s">
        <v>42968</v>
      </c>
      <c r="AA6310" s="33">
        <v>1355</v>
      </c>
    </row>
    <row r="6311" spans="1:31" ht="13.5" customHeight="1" x14ac:dyDescent="0.15">
      <c r="A6311" s="33" t="s">
        <v>9715</v>
      </c>
      <c r="B6311" s="33">
        <v>26</v>
      </c>
      <c r="C6311" s="33" t="s">
        <v>14</v>
      </c>
      <c r="D6311" s="33" t="s">
        <v>31</v>
      </c>
      <c r="E6311" s="33" t="s">
        <v>9716</v>
      </c>
      <c r="F6311" s="67">
        <v>41733</v>
      </c>
      <c r="G6311" s="33" t="s">
        <v>9717</v>
      </c>
      <c r="H6311" s="33" t="s">
        <v>266</v>
      </c>
      <c r="I6311" s="33" t="s">
        <v>67</v>
      </c>
      <c r="J6311" s="33" t="s">
        <v>9718</v>
      </c>
      <c r="K6311" s="33" t="s">
        <v>266</v>
      </c>
      <c r="L6311" s="33" t="s">
        <v>267</v>
      </c>
      <c r="M6311" s="33" t="s">
        <v>21</v>
      </c>
      <c r="N6311" s="33" t="s">
        <v>9719</v>
      </c>
      <c r="O6311" s="33" t="s">
        <v>950</v>
      </c>
      <c r="P6311" s="33" t="s">
        <v>30089</v>
      </c>
      <c r="Q6311" s="40" t="s">
        <v>9720</v>
      </c>
      <c r="R6311" s="33" t="s">
        <v>94</v>
      </c>
      <c r="S6311" s="33" t="s">
        <v>22</v>
      </c>
      <c r="T6311" s="1" t="s">
        <v>26774</v>
      </c>
      <c r="Y6311" s="33" t="s">
        <v>42476</v>
      </c>
      <c r="Z6311" s="33" t="s">
        <v>42966</v>
      </c>
      <c r="AA6311" s="33">
        <v>1356</v>
      </c>
    </row>
    <row r="6312" spans="1:31" ht="13.5" customHeight="1" x14ac:dyDescent="0.15">
      <c r="A6312" s="33" t="s">
        <v>9727</v>
      </c>
      <c r="B6312" s="33">
        <v>26</v>
      </c>
      <c r="C6312" s="33" t="s">
        <v>14</v>
      </c>
      <c r="D6312" s="33" t="s">
        <v>31</v>
      </c>
      <c r="E6312" s="33" t="s">
        <v>9728</v>
      </c>
      <c r="F6312" s="67">
        <v>41732</v>
      </c>
      <c r="G6312" s="33" t="s">
        <v>9729</v>
      </c>
      <c r="H6312" s="33" t="s">
        <v>1132</v>
      </c>
      <c r="I6312" s="33" t="s">
        <v>282</v>
      </c>
      <c r="J6312" s="33" t="s">
        <v>9730</v>
      </c>
      <c r="K6312" s="33" t="s">
        <v>1133</v>
      </c>
      <c r="L6312" s="33" t="s">
        <v>1134</v>
      </c>
      <c r="M6312" s="33" t="s">
        <v>21</v>
      </c>
      <c r="N6312" s="33" t="s">
        <v>9731</v>
      </c>
      <c r="O6312" s="33" t="s">
        <v>950</v>
      </c>
      <c r="P6312" s="33" t="s">
        <v>30089</v>
      </c>
      <c r="Q6312" s="40" t="s">
        <v>9732</v>
      </c>
      <c r="R6312" s="33" t="s">
        <v>94</v>
      </c>
      <c r="S6312" s="33" t="s">
        <v>22</v>
      </c>
      <c r="T6312" s="1" t="s">
        <v>26774</v>
      </c>
      <c r="Z6312" s="33" t="s">
        <v>42966</v>
      </c>
      <c r="AA6312" s="33">
        <v>1352</v>
      </c>
    </row>
    <row r="6313" spans="1:31" ht="13.5" customHeight="1" x14ac:dyDescent="0.15">
      <c r="A6313" s="33" t="s">
        <v>9733</v>
      </c>
      <c r="B6313" s="33">
        <v>41</v>
      </c>
      <c r="C6313" s="33" t="s">
        <v>14</v>
      </c>
      <c r="D6313" s="33" t="s">
        <v>31</v>
      </c>
      <c r="E6313" s="33" t="s">
        <v>9734</v>
      </c>
      <c r="F6313" s="67">
        <v>41732</v>
      </c>
      <c r="G6313" s="33" t="s">
        <v>9735</v>
      </c>
      <c r="H6313" s="33" t="s">
        <v>9736</v>
      </c>
      <c r="I6313" s="33" t="s">
        <v>298</v>
      </c>
      <c r="J6313" s="33" t="s">
        <v>9737</v>
      </c>
      <c r="K6313" s="33" t="s">
        <v>392</v>
      </c>
      <c r="L6313" s="33" t="s">
        <v>9738</v>
      </c>
      <c r="M6313" s="33" t="s">
        <v>21</v>
      </c>
      <c r="N6313" s="33" t="s">
        <v>9739</v>
      </c>
      <c r="O6313" s="33" t="s">
        <v>950</v>
      </c>
      <c r="P6313" s="33" t="s">
        <v>30089</v>
      </c>
      <c r="Q6313" s="40" t="s">
        <v>9740</v>
      </c>
      <c r="R6313" s="33" t="s">
        <v>94</v>
      </c>
      <c r="S6313" s="33" t="s">
        <v>12</v>
      </c>
      <c r="T6313" s="54" t="s">
        <v>29705</v>
      </c>
      <c r="Z6313" s="33" t="s">
        <v>42967</v>
      </c>
      <c r="AA6313" s="33">
        <v>1353</v>
      </c>
    </row>
    <row r="6314" spans="1:31" ht="13.5" customHeight="1" x14ac:dyDescent="0.15">
      <c r="A6314" s="33" t="s">
        <v>9748</v>
      </c>
      <c r="B6314" s="33">
        <v>28</v>
      </c>
      <c r="C6314" s="33" t="s">
        <v>14</v>
      </c>
      <c r="D6314" s="33" t="s">
        <v>31</v>
      </c>
      <c r="E6314" s="33" t="s">
        <v>9749</v>
      </c>
      <c r="F6314" s="67">
        <v>41731</v>
      </c>
      <c r="G6314" s="33" t="s">
        <v>9750</v>
      </c>
      <c r="H6314" s="33" t="s">
        <v>9751</v>
      </c>
      <c r="I6314" s="33" t="s">
        <v>56</v>
      </c>
      <c r="J6314" s="33" t="s">
        <v>9752</v>
      </c>
      <c r="K6314" s="33" t="s">
        <v>4878</v>
      </c>
      <c r="L6314" s="33" t="s">
        <v>57</v>
      </c>
      <c r="M6314" s="33" t="s">
        <v>21</v>
      </c>
      <c r="N6314" s="33" t="s">
        <v>9753</v>
      </c>
      <c r="O6314" s="33" t="s">
        <v>950</v>
      </c>
      <c r="P6314" s="33" t="s">
        <v>30089</v>
      </c>
      <c r="Q6314" s="40" t="s">
        <v>9754</v>
      </c>
      <c r="R6314" s="33" t="s">
        <v>94</v>
      </c>
      <c r="S6314" s="33" t="s">
        <v>22</v>
      </c>
      <c r="T6314" s="1" t="s">
        <v>26774</v>
      </c>
      <c r="Z6314" s="33" t="s">
        <v>42968</v>
      </c>
      <c r="AA6314" s="33">
        <v>1351</v>
      </c>
    </row>
    <row r="6315" spans="1:31" ht="13.5" customHeight="1" x14ac:dyDescent="0.15">
      <c r="A6315" s="33" t="s">
        <v>9741</v>
      </c>
      <c r="B6315" s="33">
        <v>22</v>
      </c>
      <c r="C6315" s="33" t="s">
        <v>14</v>
      </c>
      <c r="D6315" s="33" t="s">
        <v>79</v>
      </c>
      <c r="E6315" s="33" t="s">
        <v>9742</v>
      </c>
      <c r="F6315" s="67">
        <v>41731</v>
      </c>
      <c r="G6315" s="33" t="s">
        <v>9743</v>
      </c>
      <c r="H6315" s="33" t="s">
        <v>2278</v>
      </c>
      <c r="I6315" s="33" t="s">
        <v>160</v>
      </c>
      <c r="J6315" s="33" t="s">
        <v>2279</v>
      </c>
      <c r="K6315" s="33" t="s">
        <v>1239</v>
      </c>
      <c r="L6315" s="33" t="s">
        <v>1240</v>
      </c>
      <c r="M6315" s="33" t="s">
        <v>21</v>
      </c>
      <c r="N6315" s="33" t="s">
        <v>9744</v>
      </c>
      <c r="O6315" s="33" t="s">
        <v>950</v>
      </c>
      <c r="P6315" s="33" t="s">
        <v>30089</v>
      </c>
      <c r="Q6315" s="40" t="str">
        <f>HYPERLINK("http://www.wsbtv.com/news/news/local/officer-injured-suspect-killed-lawrenceville-apart/nfQTQ/","http://www.wsbtv.com/news/news/local/officer-injured-suspect-killed-lawrenceville-apart/nfQTQ/")</f>
        <v>http://www.wsbtv.com/news/news/local/officer-injured-suspect-killed-lawrenceville-apart/nfQTQ/</v>
      </c>
      <c r="R6315" s="33" t="s">
        <v>94</v>
      </c>
      <c r="S6315" s="33" t="s">
        <v>22</v>
      </c>
      <c r="T6315" s="1" t="s">
        <v>26781</v>
      </c>
      <c r="Z6315" s="33" t="s">
        <v>42968</v>
      </c>
      <c r="AA6315" s="33">
        <v>1350</v>
      </c>
    </row>
    <row r="6316" spans="1:31" ht="13.5" customHeight="1" x14ac:dyDescent="0.15">
      <c r="A6316" s="33" t="s">
        <v>9761</v>
      </c>
      <c r="B6316" s="33">
        <v>28</v>
      </c>
      <c r="C6316" s="33" t="s">
        <v>103</v>
      </c>
      <c r="D6316" s="33" t="s">
        <v>31</v>
      </c>
      <c r="E6316" s="33" t="s">
        <v>9762</v>
      </c>
      <c r="F6316" s="67">
        <v>41729</v>
      </c>
      <c r="G6316" s="33" t="s">
        <v>9763</v>
      </c>
      <c r="H6316" s="33" t="s">
        <v>9764</v>
      </c>
      <c r="I6316" s="33" t="s">
        <v>338</v>
      </c>
      <c r="J6316" s="33" t="s">
        <v>9765</v>
      </c>
      <c r="K6316" s="33" t="s">
        <v>1736</v>
      </c>
      <c r="L6316" s="33" t="s">
        <v>22497</v>
      </c>
      <c r="M6316" s="33" t="s">
        <v>351</v>
      </c>
      <c r="N6316" s="33" t="s">
        <v>9766</v>
      </c>
      <c r="O6316" s="33" t="s">
        <v>950</v>
      </c>
      <c r="P6316" s="33" t="s">
        <v>30089</v>
      </c>
      <c r="Q6316" s="40" t="s">
        <v>9767</v>
      </c>
      <c r="R6316" s="33" t="s">
        <v>94</v>
      </c>
      <c r="S6316" s="33" t="s">
        <v>351</v>
      </c>
      <c r="T6316" s="33" t="s">
        <v>26867</v>
      </c>
      <c r="Z6316" s="33" t="s">
        <v>42967</v>
      </c>
      <c r="AA6316" s="33">
        <v>1349</v>
      </c>
    </row>
    <row r="6317" spans="1:31" ht="13.5" customHeight="1" x14ac:dyDescent="0.15">
      <c r="A6317" s="33" t="s">
        <v>9756</v>
      </c>
      <c r="B6317" s="33">
        <v>74</v>
      </c>
      <c r="C6317" s="33" t="s">
        <v>103</v>
      </c>
      <c r="D6317" s="33" t="s">
        <v>24</v>
      </c>
      <c r="F6317" s="67">
        <v>41729</v>
      </c>
      <c r="G6317" s="33" t="s">
        <v>9757</v>
      </c>
      <c r="H6317" s="33" t="s">
        <v>1164</v>
      </c>
      <c r="I6317" s="33" t="s">
        <v>160</v>
      </c>
      <c r="J6317" s="33" t="s">
        <v>9758</v>
      </c>
      <c r="K6317" s="33" t="s">
        <v>1249</v>
      </c>
      <c r="L6317" s="33" t="s">
        <v>1250</v>
      </c>
      <c r="M6317" s="33" t="s">
        <v>21</v>
      </c>
      <c r="N6317" s="33" t="s">
        <v>9759</v>
      </c>
      <c r="O6317" s="33" t="s">
        <v>950</v>
      </c>
      <c r="P6317" s="33" t="s">
        <v>30089</v>
      </c>
      <c r="Q6317" s="40" t="s">
        <v>9760</v>
      </c>
      <c r="R6317" s="33" t="s">
        <v>512</v>
      </c>
      <c r="S6317" s="33" t="s">
        <v>22</v>
      </c>
      <c r="T6317" s="1" t="s">
        <v>26781</v>
      </c>
      <c r="Z6317" s="33" t="s">
        <v>42968</v>
      </c>
      <c r="AA6317" s="33">
        <v>1347</v>
      </c>
    </row>
    <row r="6318" spans="1:31" ht="13.5" customHeight="1" x14ac:dyDescent="0.15">
      <c r="A6318" s="33" t="s">
        <v>9768</v>
      </c>
      <c r="B6318" s="33">
        <v>43</v>
      </c>
      <c r="C6318" s="33" t="s">
        <v>14</v>
      </c>
      <c r="D6318" s="33" t="s">
        <v>31</v>
      </c>
      <c r="E6318" s="33" t="s">
        <v>9769</v>
      </c>
      <c r="F6318" s="67">
        <v>41729</v>
      </c>
      <c r="G6318" s="33" t="s">
        <v>9770</v>
      </c>
      <c r="H6318" s="33" t="s">
        <v>9771</v>
      </c>
      <c r="I6318" s="33" t="s">
        <v>395</v>
      </c>
      <c r="J6318" s="33">
        <v>13790</v>
      </c>
      <c r="K6318" s="33" t="s">
        <v>9772</v>
      </c>
      <c r="L6318" s="33" t="s">
        <v>9773</v>
      </c>
      <c r="M6318" s="33" t="s">
        <v>21</v>
      </c>
      <c r="N6318" s="33" t="s">
        <v>9774</v>
      </c>
      <c r="P6318" s="33" t="s">
        <v>30089</v>
      </c>
      <c r="Q6318" s="40" t="str">
        <f>HYPERLINK("http://www.washingtonpost.com/national/police-officer-fatally-shot-in-upstate-new-york/2014/03/31/ad349cc6-b8f4-11e3-80de-2ff8801f27af_story.html","http://www.washingtonpost.com/national/police-officer-fatally-shot-in-upstate-new-york/2014/03/31/ad349cc6-b8f4-11e3-80de-2ff8801f27af_story.html")</f>
        <v>http://www.washingtonpost.com/national/police-officer-fatally-shot-in-upstate-new-york/2014/03/31/ad349cc6-b8f4-11e3-80de-2ff8801f27af_story.html</v>
      </c>
      <c r="R6318" s="33" t="s">
        <v>512</v>
      </c>
      <c r="S6318" s="33" t="s">
        <v>22</v>
      </c>
      <c r="T6318" s="33" t="s">
        <v>26781</v>
      </c>
      <c r="Z6318" s="33" t="s">
        <v>42968</v>
      </c>
      <c r="AA6318" s="33">
        <v>1348</v>
      </c>
      <c r="AE6318" s="33"/>
    </row>
    <row r="6319" spans="1:31" ht="13.5" customHeight="1" x14ac:dyDescent="0.15">
      <c r="A6319" s="33" t="s">
        <v>9775</v>
      </c>
      <c r="B6319" s="33">
        <v>20</v>
      </c>
      <c r="C6319" s="33" t="s">
        <v>14</v>
      </c>
      <c r="D6319" s="33" t="s">
        <v>79</v>
      </c>
      <c r="E6319" s="33" t="s">
        <v>9776</v>
      </c>
      <c r="F6319" s="67">
        <v>41728</v>
      </c>
      <c r="G6319" s="33" t="s">
        <v>9777</v>
      </c>
      <c r="H6319" s="33" t="s">
        <v>1202</v>
      </c>
      <c r="I6319" s="33" t="s">
        <v>160</v>
      </c>
      <c r="J6319" s="33" t="s">
        <v>9778</v>
      </c>
      <c r="K6319" s="33" t="s">
        <v>9779</v>
      </c>
      <c r="L6319" s="33" t="s">
        <v>9780</v>
      </c>
      <c r="M6319" s="33" t="s">
        <v>21</v>
      </c>
      <c r="N6319" s="33" t="s">
        <v>9781</v>
      </c>
      <c r="O6319" s="33" t="s">
        <v>950</v>
      </c>
      <c r="P6319" s="33" t="s">
        <v>30089</v>
      </c>
      <c r="Q6319" s="40" t="s">
        <v>19060</v>
      </c>
      <c r="R6319" s="33" t="s">
        <v>94</v>
      </c>
      <c r="S6319" s="1" t="s">
        <v>29</v>
      </c>
      <c r="T6319" s="33" t="s">
        <v>41840</v>
      </c>
      <c r="Z6319" s="33" t="s">
        <v>42968</v>
      </c>
      <c r="AA6319" s="33">
        <v>1346</v>
      </c>
    </row>
    <row r="6320" spans="1:31" ht="13.5" customHeight="1" x14ac:dyDescent="0.15">
      <c r="A6320" s="33" t="s">
        <v>9782</v>
      </c>
      <c r="B6320" s="33">
        <v>20</v>
      </c>
      <c r="C6320" s="33" t="s">
        <v>14</v>
      </c>
      <c r="D6320" s="33" t="s">
        <v>79</v>
      </c>
      <c r="E6320" s="33" t="s">
        <v>9783</v>
      </c>
      <c r="F6320" s="67">
        <v>41727</v>
      </c>
      <c r="G6320" s="33" t="s">
        <v>9784</v>
      </c>
      <c r="H6320" s="33" t="s">
        <v>81</v>
      </c>
      <c r="I6320" s="33" t="s">
        <v>38</v>
      </c>
      <c r="J6320" s="33" t="s">
        <v>1568</v>
      </c>
      <c r="K6320" s="33" t="s">
        <v>82</v>
      </c>
      <c r="L6320" s="33" t="s">
        <v>83</v>
      </c>
      <c r="M6320" s="33" t="s">
        <v>21</v>
      </c>
      <c r="N6320" s="33" t="s">
        <v>9785</v>
      </c>
      <c r="O6320" s="33" t="s">
        <v>950</v>
      </c>
      <c r="P6320" s="33" t="s">
        <v>30089</v>
      </c>
      <c r="Q6320" s="40" t="str">
        <f>HYPERLINK("http://www.myfoxchicago.com/story/25108986/raason-shaw-man-shot-to-death-by-police-in-woodlawn","http://www.myfoxchicago.com/story/25108986/raason-shaw-man-shot-to-death-by-police-in-woodlawn")</f>
        <v>http://www.myfoxchicago.com/story/25108986/raason-shaw-man-shot-to-death-by-police-in-woodlawn</v>
      </c>
      <c r="R6320" s="33" t="s">
        <v>94</v>
      </c>
      <c r="S6320" s="33" t="s">
        <v>22</v>
      </c>
      <c r="T6320" s="1" t="s">
        <v>26781</v>
      </c>
      <c r="Z6320" s="33" t="s">
        <v>42966</v>
      </c>
      <c r="AA6320" s="33">
        <v>1345</v>
      </c>
    </row>
    <row r="6321" spans="1:27" ht="13.5" customHeight="1" x14ac:dyDescent="0.15">
      <c r="A6321" s="33" t="s">
        <v>9811</v>
      </c>
      <c r="B6321" s="33">
        <v>25</v>
      </c>
      <c r="C6321" s="33" t="s">
        <v>14</v>
      </c>
      <c r="D6321" s="33" t="s">
        <v>31</v>
      </c>
      <c r="F6321" s="67">
        <v>41726</v>
      </c>
      <c r="G6321" s="33" t="s">
        <v>9812</v>
      </c>
      <c r="H6321" s="33" t="s">
        <v>9813</v>
      </c>
      <c r="I6321" s="33" t="s">
        <v>39</v>
      </c>
      <c r="J6321" s="33" t="s">
        <v>9814</v>
      </c>
      <c r="K6321" s="33" t="s">
        <v>288</v>
      </c>
      <c r="L6321" s="33" t="s">
        <v>289</v>
      </c>
      <c r="M6321" s="33" t="s">
        <v>21</v>
      </c>
      <c r="N6321" s="33" t="s">
        <v>9815</v>
      </c>
      <c r="O6321" s="33" t="s">
        <v>950</v>
      </c>
      <c r="P6321" s="33" t="s">
        <v>30089</v>
      </c>
      <c r="Q6321" s="40" t="s">
        <v>9816</v>
      </c>
      <c r="R6321" s="33" t="s">
        <v>23</v>
      </c>
      <c r="S6321" s="33" t="s">
        <v>22</v>
      </c>
      <c r="T6321" s="1" t="s">
        <v>42995</v>
      </c>
      <c r="Z6321" s="33" t="s">
        <v>42968</v>
      </c>
      <c r="AA6321" s="33">
        <v>1344</v>
      </c>
    </row>
    <row r="6322" spans="1:27" ht="13.5" customHeight="1" x14ac:dyDescent="0.15">
      <c r="A6322" s="33" t="s">
        <v>9799</v>
      </c>
      <c r="B6322" s="33">
        <v>35</v>
      </c>
      <c r="C6322" s="33" t="s">
        <v>14</v>
      </c>
      <c r="D6322" s="33" t="s">
        <v>885</v>
      </c>
      <c r="E6322" s="33" t="str">
        <f>HYPERLINK("http://fox13now.com/2014/03/28/2-police-officers-hurt-1-man-dead-after-salt-lake-city-shooting/","http://fox13now.com/2014/03/28/2-police-officers-hurt-1-man-dead-after-salt-lake-city-shooting/")</f>
        <v>http://fox13now.com/2014/03/28/2-police-officers-hurt-1-man-dead-after-salt-lake-city-shooting/</v>
      </c>
      <c r="F6322" s="67">
        <v>41726</v>
      </c>
      <c r="G6322" s="33" t="s">
        <v>9800</v>
      </c>
      <c r="H6322" s="33" t="s">
        <v>220</v>
      </c>
      <c r="I6322" s="33" t="s">
        <v>221</v>
      </c>
      <c r="J6322" s="33" t="s">
        <v>9801</v>
      </c>
      <c r="K6322" s="33" t="s">
        <v>564</v>
      </c>
      <c r="L6322" s="33" t="s">
        <v>222</v>
      </c>
      <c r="M6322" s="33" t="s">
        <v>21</v>
      </c>
      <c r="N6322" s="33" t="s">
        <v>9802</v>
      </c>
      <c r="O6322" s="33" t="s">
        <v>507</v>
      </c>
      <c r="P6322" s="33" t="s">
        <v>30089</v>
      </c>
      <c r="Q6322" s="40" t="s">
        <v>9803</v>
      </c>
      <c r="R6322" s="33" t="s">
        <v>23</v>
      </c>
      <c r="S6322" s="33" t="s">
        <v>22</v>
      </c>
      <c r="T6322" s="1" t="s">
        <v>26781</v>
      </c>
      <c r="Z6322" s="33" t="s">
        <v>42966</v>
      </c>
      <c r="AA6322" s="33">
        <v>1342</v>
      </c>
    </row>
    <row r="6323" spans="1:27" ht="13.5" customHeight="1" x14ac:dyDescent="0.15">
      <c r="A6323" s="33" t="s">
        <v>9804</v>
      </c>
      <c r="B6323" s="33">
        <v>40</v>
      </c>
      <c r="C6323" s="33" t="s">
        <v>14</v>
      </c>
      <c r="D6323" s="33" t="s">
        <v>24</v>
      </c>
      <c r="F6323" s="67">
        <v>41726</v>
      </c>
      <c r="G6323" s="33" t="s">
        <v>9805</v>
      </c>
      <c r="H6323" s="33" t="s">
        <v>9806</v>
      </c>
      <c r="I6323" s="33" t="s">
        <v>338</v>
      </c>
      <c r="J6323" s="33" t="s">
        <v>9807</v>
      </c>
      <c r="K6323" s="33" t="s">
        <v>2159</v>
      </c>
      <c r="L6323" s="33" t="s">
        <v>9808</v>
      </c>
      <c r="M6323" s="33" t="s">
        <v>21</v>
      </c>
      <c r="N6323" s="33" t="s">
        <v>9809</v>
      </c>
      <c r="O6323" s="33" t="s">
        <v>950</v>
      </c>
      <c r="P6323" s="33" t="s">
        <v>30089</v>
      </c>
      <c r="Q6323" s="40" t="s">
        <v>9810</v>
      </c>
      <c r="R6323" s="33" t="s">
        <v>23</v>
      </c>
      <c r="S6323" s="33" t="s">
        <v>22</v>
      </c>
      <c r="T6323" s="1" t="s">
        <v>26781</v>
      </c>
      <c r="Z6323" s="33" t="s">
        <v>42968</v>
      </c>
      <c r="AA6323" s="33">
        <v>1343</v>
      </c>
    </row>
    <row r="6324" spans="1:27" ht="13.5" customHeight="1" x14ac:dyDescent="0.15">
      <c r="A6324" s="33" t="s">
        <v>9793</v>
      </c>
      <c r="B6324" s="33">
        <v>25</v>
      </c>
      <c r="C6324" s="33" t="s">
        <v>14</v>
      </c>
      <c r="D6324" s="33" t="s">
        <v>79</v>
      </c>
      <c r="E6324" s="33" t="s">
        <v>9794</v>
      </c>
      <c r="F6324" s="67">
        <v>41726</v>
      </c>
      <c r="G6324" s="33" t="s">
        <v>9795</v>
      </c>
      <c r="H6324" s="33" t="s">
        <v>834</v>
      </c>
      <c r="I6324" s="33" t="s">
        <v>294</v>
      </c>
      <c r="J6324" s="33" t="s">
        <v>9796</v>
      </c>
      <c r="K6324" s="33" t="s">
        <v>1659</v>
      </c>
      <c r="L6324" s="33" t="s">
        <v>835</v>
      </c>
      <c r="M6324" s="33" t="s">
        <v>21</v>
      </c>
      <c r="N6324" s="33" t="s">
        <v>9797</v>
      </c>
      <c r="O6324" s="33" t="s">
        <v>950</v>
      </c>
      <c r="P6324" s="33" t="s">
        <v>30089</v>
      </c>
      <c r="Q6324" s="40" t="s">
        <v>9798</v>
      </c>
      <c r="R6324" s="33" t="s">
        <v>23</v>
      </c>
      <c r="S6324" s="33" t="s">
        <v>22</v>
      </c>
      <c r="T6324" s="1" t="s">
        <v>26781</v>
      </c>
      <c r="Z6324" s="33" t="s">
        <v>42968</v>
      </c>
      <c r="AA6324" s="33">
        <v>1341</v>
      </c>
    </row>
    <row r="6325" spans="1:27" ht="13.5" customHeight="1" x14ac:dyDescent="0.15">
      <c r="A6325" s="33" t="s">
        <v>9786</v>
      </c>
      <c r="B6325" s="33">
        <v>35</v>
      </c>
      <c r="C6325" s="33" t="s">
        <v>14</v>
      </c>
      <c r="D6325" s="33" t="s">
        <v>79</v>
      </c>
      <c r="E6325" s="33" t="s">
        <v>9787</v>
      </c>
      <c r="F6325" s="67">
        <v>41726</v>
      </c>
      <c r="G6325" s="33" t="s">
        <v>9788</v>
      </c>
      <c r="H6325" s="33" t="s">
        <v>9789</v>
      </c>
      <c r="I6325" s="33" t="s">
        <v>338</v>
      </c>
      <c r="J6325" s="33" t="s">
        <v>9790</v>
      </c>
      <c r="K6325" s="33" t="s">
        <v>5150</v>
      </c>
      <c r="L6325" s="33" t="s">
        <v>9791</v>
      </c>
      <c r="M6325" s="33" t="s">
        <v>21</v>
      </c>
      <c r="N6325" s="33" t="s">
        <v>9792</v>
      </c>
      <c r="O6325" s="33" t="s">
        <v>950</v>
      </c>
      <c r="P6325" s="33" t="s">
        <v>30089</v>
      </c>
      <c r="Q6325" s="40" t="str">
        <f>HYPERLINK("http://www.wcti12.com/news/city-official-two-officers-injured-one-suspect-dead-in-shooting/25226556","http://www.wcti12.com/news/city-official-two-officers-injured-one-suspect-dead-in-shooting/25226556")</f>
        <v>http://www.wcti12.com/news/city-official-two-officers-injured-one-suspect-dead-in-shooting/25226556</v>
      </c>
      <c r="R6325" s="33" t="s">
        <v>23</v>
      </c>
      <c r="S6325" s="33" t="s">
        <v>22</v>
      </c>
      <c r="T6325" s="1" t="s">
        <v>26781</v>
      </c>
      <c r="Z6325" s="33" t="s">
        <v>42968</v>
      </c>
      <c r="AA6325" s="33">
        <v>1340</v>
      </c>
    </row>
    <row r="6326" spans="1:27" ht="13.5" customHeight="1" x14ac:dyDescent="0.15">
      <c r="A6326" s="33" t="s">
        <v>9821</v>
      </c>
      <c r="B6326" s="33">
        <v>19</v>
      </c>
      <c r="C6326" s="33" t="s">
        <v>14</v>
      </c>
      <c r="D6326" s="33" t="s">
        <v>42</v>
      </c>
      <c r="F6326" s="67">
        <v>41725</v>
      </c>
      <c r="G6326" s="33" t="s">
        <v>9822</v>
      </c>
      <c r="H6326" s="33" t="s">
        <v>7234</v>
      </c>
      <c r="I6326" s="33" t="s">
        <v>67</v>
      </c>
      <c r="J6326" s="33" t="s">
        <v>9823</v>
      </c>
      <c r="K6326" s="33" t="s">
        <v>1659</v>
      </c>
      <c r="L6326" s="33" t="s">
        <v>9824</v>
      </c>
      <c r="M6326" s="33" t="s">
        <v>21</v>
      </c>
      <c r="N6326" s="33" t="s">
        <v>19051</v>
      </c>
      <c r="O6326" s="33" t="s">
        <v>507</v>
      </c>
      <c r="P6326" s="33" t="s">
        <v>30089</v>
      </c>
      <c r="Q6326" s="40" t="s">
        <v>9825</v>
      </c>
      <c r="R6326" s="33" t="s">
        <v>94</v>
      </c>
      <c r="S6326" s="33" t="s">
        <v>29</v>
      </c>
      <c r="T6326" s="33" t="s">
        <v>41840</v>
      </c>
      <c r="Z6326" s="33" t="s">
        <v>42968</v>
      </c>
      <c r="AA6326" s="33">
        <v>1339</v>
      </c>
    </row>
    <row r="6327" spans="1:27" ht="13.5" customHeight="1" x14ac:dyDescent="0.15">
      <c r="A6327" s="33" t="s">
        <v>9834</v>
      </c>
      <c r="B6327" s="33">
        <v>43</v>
      </c>
      <c r="C6327" s="33" t="s">
        <v>14</v>
      </c>
      <c r="D6327" s="33" t="s">
        <v>31</v>
      </c>
      <c r="E6327" s="33" t="s">
        <v>9835</v>
      </c>
      <c r="F6327" s="67">
        <v>41725</v>
      </c>
      <c r="G6327" s="33" t="s">
        <v>9836</v>
      </c>
      <c r="H6327" s="33" t="s">
        <v>9837</v>
      </c>
      <c r="I6327" s="33" t="s">
        <v>367</v>
      </c>
      <c r="J6327" s="33" t="s">
        <v>9838</v>
      </c>
      <c r="K6327" s="33" t="s">
        <v>9839</v>
      </c>
      <c r="L6327" s="33" t="s">
        <v>9840</v>
      </c>
      <c r="M6327" s="33" t="s">
        <v>21</v>
      </c>
      <c r="N6327" s="33" t="s">
        <v>9841</v>
      </c>
      <c r="O6327" s="33" t="s">
        <v>950</v>
      </c>
      <c r="P6327" s="33" t="s">
        <v>30089</v>
      </c>
      <c r="Q6327" s="40" t="s">
        <v>9842</v>
      </c>
      <c r="R6327" s="33" t="s">
        <v>23</v>
      </c>
      <c r="S6327" s="33" t="s">
        <v>22</v>
      </c>
      <c r="T6327" s="1" t="s">
        <v>42992</v>
      </c>
      <c r="Z6327" s="33" t="s">
        <v>42967</v>
      </c>
      <c r="AA6327" s="33">
        <v>1336</v>
      </c>
    </row>
    <row r="6328" spans="1:27" ht="13.5" customHeight="1" x14ac:dyDescent="0.15">
      <c r="A6328" s="33" t="s">
        <v>9817</v>
      </c>
      <c r="B6328" s="33">
        <v>27</v>
      </c>
      <c r="C6328" s="33" t="s">
        <v>14</v>
      </c>
      <c r="D6328" s="33" t="s">
        <v>79</v>
      </c>
      <c r="F6328" s="67">
        <v>41725</v>
      </c>
      <c r="G6328" s="33" t="s">
        <v>9818</v>
      </c>
      <c r="H6328" s="33" t="s">
        <v>1309</v>
      </c>
      <c r="I6328" s="33" t="s">
        <v>75</v>
      </c>
      <c r="J6328" s="33" t="s">
        <v>6681</v>
      </c>
      <c r="K6328" s="33" t="s">
        <v>1310</v>
      </c>
      <c r="L6328" s="33" t="s">
        <v>1311</v>
      </c>
      <c r="M6328" s="33" t="s">
        <v>21</v>
      </c>
      <c r="N6328" s="33" t="s">
        <v>9819</v>
      </c>
      <c r="O6328" s="33" t="s">
        <v>950</v>
      </c>
      <c r="P6328" s="33" t="s">
        <v>30089</v>
      </c>
      <c r="Q6328" s="40" t="s">
        <v>9820</v>
      </c>
      <c r="R6328" s="33" t="s">
        <v>94</v>
      </c>
      <c r="S6328" s="33" t="s">
        <v>22</v>
      </c>
      <c r="T6328" s="1" t="s">
        <v>26781</v>
      </c>
      <c r="Z6328" s="33" t="s">
        <v>42966</v>
      </c>
      <c r="AA6328" s="33">
        <v>1337</v>
      </c>
    </row>
    <row r="6329" spans="1:27" ht="13.5" customHeight="1" x14ac:dyDescent="0.15">
      <c r="A6329" s="33" t="s">
        <v>9826</v>
      </c>
      <c r="B6329" s="33">
        <v>58</v>
      </c>
      <c r="C6329" s="33" t="s">
        <v>14</v>
      </c>
      <c r="D6329" s="33" t="s">
        <v>24</v>
      </c>
      <c r="F6329" s="67">
        <v>41725</v>
      </c>
      <c r="G6329" s="33" t="s">
        <v>9827</v>
      </c>
      <c r="H6329" s="33" t="s">
        <v>9828</v>
      </c>
      <c r="I6329" s="33" t="s">
        <v>67</v>
      </c>
      <c r="J6329" s="33" t="s">
        <v>9829</v>
      </c>
      <c r="K6329" s="33" t="s">
        <v>9830</v>
      </c>
      <c r="L6329" s="33" t="s">
        <v>9831</v>
      </c>
      <c r="M6329" s="33" t="s">
        <v>21</v>
      </c>
      <c r="N6329" s="33" t="s">
        <v>9832</v>
      </c>
      <c r="O6329" s="33" t="s">
        <v>950</v>
      </c>
      <c r="P6329" s="33" t="s">
        <v>30089</v>
      </c>
      <c r="Q6329" s="40" t="s">
        <v>9833</v>
      </c>
      <c r="R6329" s="33" t="s">
        <v>23</v>
      </c>
      <c r="S6329" s="33" t="s">
        <v>22</v>
      </c>
      <c r="T6329" s="1" t="s">
        <v>26781</v>
      </c>
      <c r="Z6329" s="33" t="s">
        <v>42967</v>
      </c>
      <c r="AA6329" s="33">
        <v>1338</v>
      </c>
    </row>
    <row r="6330" spans="1:27" ht="13.5" customHeight="1" x14ac:dyDescent="0.15">
      <c r="A6330" s="33" t="s">
        <v>9843</v>
      </c>
      <c r="B6330" s="33">
        <v>41</v>
      </c>
      <c r="C6330" s="33" t="s">
        <v>14</v>
      </c>
      <c r="D6330" s="33" t="s">
        <v>31</v>
      </c>
      <c r="F6330" s="67">
        <v>41724</v>
      </c>
      <c r="G6330" s="33" t="s">
        <v>9844</v>
      </c>
      <c r="H6330" s="33" t="s">
        <v>9845</v>
      </c>
      <c r="I6330" s="33" t="s">
        <v>39</v>
      </c>
      <c r="J6330" s="33" t="s">
        <v>3193</v>
      </c>
      <c r="K6330" s="33" t="s">
        <v>632</v>
      </c>
      <c r="L6330" s="33" t="s">
        <v>693</v>
      </c>
      <c r="M6330" s="33" t="s">
        <v>21</v>
      </c>
      <c r="N6330" s="33" t="s">
        <v>9846</v>
      </c>
      <c r="O6330" s="33" t="s">
        <v>507</v>
      </c>
      <c r="P6330" s="33" t="s">
        <v>30089</v>
      </c>
      <c r="Q6330" s="40" t="s">
        <v>9847</v>
      </c>
      <c r="R6330" s="33" t="s">
        <v>94</v>
      </c>
      <c r="S6330" s="1" t="s">
        <v>29</v>
      </c>
      <c r="T6330" s="33" t="s">
        <v>41840</v>
      </c>
      <c r="Z6330" s="33" t="s">
        <v>42968</v>
      </c>
      <c r="AA6330" s="33">
        <v>1335</v>
      </c>
    </row>
    <row r="6331" spans="1:27" ht="13.5" customHeight="1" x14ac:dyDescent="0.15">
      <c r="A6331" s="33" t="s">
        <v>9848</v>
      </c>
      <c r="B6331" s="33">
        <v>30</v>
      </c>
      <c r="C6331" s="33" t="s">
        <v>14</v>
      </c>
      <c r="D6331" s="33" t="s">
        <v>31</v>
      </c>
      <c r="E6331" s="33" t="s">
        <v>9849</v>
      </c>
      <c r="F6331" s="67">
        <v>41724</v>
      </c>
      <c r="G6331" s="33" t="s">
        <v>9850</v>
      </c>
      <c r="H6331" s="33" t="s">
        <v>782</v>
      </c>
      <c r="I6331" s="33" t="s">
        <v>282</v>
      </c>
      <c r="J6331" s="33" t="s">
        <v>9851</v>
      </c>
      <c r="K6331" s="33" t="s">
        <v>782</v>
      </c>
      <c r="L6331" s="33" t="s">
        <v>783</v>
      </c>
      <c r="M6331" s="33" t="s">
        <v>21</v>
      </c>
      <c r="N6331" s="33" t="s">
        <v>9852</v>
      </c>
      <c r="O6331" s="33" t="s">
        <v>950</v>
      </c>
      <c r="P6331" s="33" t="s">
        <v>30089</v>
      </c>
      <c r="Q6331" s="40" t="s">
        <v>9853</v>
      </c>
      <c r="R6331" s="33" t="s">
        <v>94</v>
      </c>
      <c r="S6331" s="33" t="s">
        <v>22</v>
      </c>
      <c r="T6331" s="1" t="s">
        <v>26781</v>
      </c>
      <c r="Z6331" s="33" t="s">
        <v>42968</v>
      </c>
      <c r="AA6331" s="33">
        <v>1334</v>
      </c>
    </row>
    <row r="6332" spans="1:27" ht="13.5" customHeight="1" x14ac:dyDescent="0.15">
      <c r="A6332" s="33" t="s">
        <v>9884</v>
      </c>
      <c r="B6332" s="33">
        <v>65</v>
      </c>
      <c r="C6332" s="33" t="s">
        <v>14</v>
      </c>
      <c r="D6332" s="33" t="s">
        <v>31</v>
      </c>
      <c r="E6332" s="33" t="s">
        <v>9885</v>
      </c>
      <c r="F6332" s="67">
        <v>41723</v>
      </c>
      <c r="G6332" s="33" t="s">
        <v>9886</v>
      </c>
      <c r="H6332" s="33" t="s">
        <v>9887</v>
      </c>
      <c r="I6332" s="33" t="s">
        <v>63</v>
      </c>
      <c r="J6332" s="33" t="s">
        <v>9888</v>
      </c>
      <c r="K6332" s="33" t="s">
        <v>95</v>
      </c>
      <c r="L6332" s="33" t="s">
        <v>9889</v>
      </c>
      <c r="M6332" s="33" t="s">
        <v>21</v>
      </c>
      <c r="N6332" s="33" t="s">
        <v>9890</v>
      </c>
      <c r="O6332" s="33" t="s">
        <v>507</v>
      </c>
      <c r="P6332" s="33" t="s">
        <v>30089</v>
      </c>
      <c r="Q6332" s="40" t="s">
        <v>9891</v>
      </c>
      <c r="R6332" s="33" t="s">
        <v>904</v>
      </c>
      <c r="S6332" s="33" t="s">
        <v>22</v>
      </c>
      <c r="T6332" s="1" t="s">
        <v>26781</v>
      </c>
      <c r="Z6332" s="33" t="s">
        <v>42968</v>
      </c>
      <c r="AA6332" s="33">
        <v>1331</v>
      </c>
    </row>
    <row r="6333" spans="1:27" ht="13.5" customHeight="1" x14ac:dyDescent="0.15">
      <c r="A6333" s="33" t="s">
        <v>9871</v>
      </c>
      <c r="B6333" s="33">
        <v>20</v>
      </c>
      <c r="C6333" s="33" t="s">
        <v>14</v>
      </c>
      <c r="D6333" s="33" t="s">
        <v>79</v>
      </c>
      <c r="E6333" s="33" t="s">
        <v>9872</v>
      </c>
      <c r="F6333" s="67">
        <v>41723</v>
      </c>
      <c r="G6333" s="33" t="s">
        <v>9873</v>
      </c>
      <c r="H6333" s="33" t="s">
        <v>3577</v>
      </c>
      <c r="I6333" s="33" t="s">
        <v>338</v>
      </c>
      <c r="J6333" s="33" t="s">
        <v>9874</v>
      </c>
      <c r="K6333" s="33" t="s">
        <v>9875</v>
      </c>
      <c r="L6333" s="33" t="s">
        <v>9876</v>
      </c>
      <c r="M6333" s="33" t="s">
        <v>21</v>
      </c>
      <c r="N6333" s="33" t="s">
        <v>9877</v>
      </c>
      <c r="O6333" s="33" t="s">
        <v>372</v>
      </c>
      <c r="P6333" s="33" t="s">
        <v>30089</v>
      </c>
      <c r="Q6333" s="40" t="s">
        <v>9878</v>
      </c>
      <c r="R6333" s="33" t="s">
        <v>94</v>
      </c>
      <c r="S6333" s="33" t="s">
        <v>22</v>
      </c>
      <c r="T6333" s="1" t="s">
        <v>26781</v>
      </c>
      <c r="Y6333" s="33" t="s">
        <v>42476</v>
      </c>
      <c r="Z6333" s="33" t="s">
        <v>42968</v>
      </c>
      <c r="AA6333" s="33">
        <v>1328</v>
      </c>
    </row>
    <row r="6334" spans="1:27" ht="13.5" customHeight="1" x14ac:dyDescent="0.15">
      <c r="A6334" s="33" t="s">
        <v>9879</v>
      </c>
      <c r="B6334" s="33">
        <v>42</v>
      </c>
      <c r="C6334" s="33" t="s">
        <v>14</v>
      </c>
      <c r="D6334" s="33" t="s">
        <v>31</v>
      </c>
      <c r="E6334" s="33" t="s">
        <v>9880</v>
      </c>
      <c r="F6334" s="67">
        <v>41723</v>
      </c>
      <c r="G6334" s="33" t="s">
        <v>9881</v>
      </c>
      <c r="H6334" s="33" t="s">
        <v>6660</v>
      </c>
      <c r="I6334" s="33" t="s">
        <v>67</v>
      </c>
      <c r="J6334" s="33">
        <v>76903</v>
      </c>
      <c r="K6334" s="33" t="s">
        <v>6662</v>
      </c>
      <c r="L6334" s="33" t="s">
        <v>6663</v>
      </c>
      <c r="M6334" s="33" t="s">
        <v>21</v>
      </c>
      <c r="N6334" s="33" t="s">
        <v>9882</v>
      </c>
      <c r="O6334" s="33" t="s">
        <v>23</v>
      </c>
      <c r="P6334" s="33" t="s">
        <v>30089</v>
      </c>
      <c r="Q6334" s="40" t="s">
        <v>9883</v>
      </c>
      <c r="R6334" s="33" t="s">
        <v>512</v>
      </c>
      <c r="S6334" s="33" t="s">
        <v>22</v>
      </c>
      <c r="T6334" s="1" t="s">
        <v>26781</v>
      </c>
      <c r="Z6334" s="33" t="s">
        <v>42966</v>
      </c>
      <c r="AA6334" s="33">
        <v>1330</v>
      </c>
    </row>
    <row r="6335" spans="1:27" ht="13.5" customHeight="1" x14ac:dyDescent="0.15">
      <c r="A6335" s="33" t="s">
        <v>9866</v>
      </c>
      <c r="B6335" s="103">
        <v>30</v>
      </c>
      <c r="C6335" s="33" t="s">
        <v>14</v>
      </c>
      <c r="D6335" s="33" t="s">
        <v>79</v>
      </c>
      <c r="E6335" s="33" t="s">
        <v>9867</v>
      </c>
      <c r="F6335" s="67">
        <v>41723</v>
      </c>
      <c r="G6335" s="33" t="s">
        <v>9868</v>
      </c>
      <c r="H6335" s="33" t="s">
        <v>866</v>
      </c>
      <c r="I6335" s="33" t="s">
        <v>178</v>
      </c>
      <c r="J6335" s="33" t="s">
        <v>9869</v>
      </c>
      <c r="K6335" s="33" t="s">
        <v>433</v>
      </c>
      <c r="L6335" s="33" t="s">
        <v>4562</v>
      </c>
      <c r="M6335" s="33" t="s">
        <v>21</v>
      </c>
      <c r="N6335" s="33" t="s">
        <v>9870</v>
      </c>
      <c r="O6335" s="33" t="s">
        <v>23</v>
      </c>
      <c r="P6335" s="33" t="s">
        <v>30089</v>
      </c>
      <c r="Q6335" s="40" t="s">
        <v>9174</v>
      </c>
      <c r="R6335" s="33" t="s">
        <v>94</v>
      </c>
      <c r="S6335" s="33" t="s">
        <v>22</v>
      </c>
      <c r="T6335" s="1" t="s">
        <v>26781</v>
      </c>
      <c r="Z6335" s="33" t="s">
        <v>42968</v>
      </c>
      <c r="AA6335" s="33">
        <v>1327</v>
      </c>
    </row>
    <row r="6336" spans="1:27" ht="13.5" customHeight="1" x14ac:dyDescent="0.15">
      <c r="A6336" s="33" t="s">
        <v>9860</v>
      </c>
      <c r="B6336" s="33">
        <v>27</v>
      </c>
      <c r="C6336" s="33" t="s">
        <v>14</v>
      </c>
      <c r="D6336" s="33" t="s">
        <v>79</v>
      </c>
      <c r="E6336" s="33" t="s">
        <v>9861</v>
      </c>
      <c r="F6336" s="67">
        <v>41723</v>
      </c>
      <c r="G6336" s="33" t="s">
        <v>9862</v>
      </c>
      <c r="H6336" s="33" t="s">
        <v>2307</v>
      </c>
      <c r="I6336" s="33" t="s">
        <v>367</v>
      </c>
      <c r="J6336" s="33" t="s">
        <v>9863</v>
      </c>
      <c r="K6336" s="33" t="s">
        <v>2307</v>
      </c>
      <c r="L6336" s="33" t="s">
        <v>3108</v>
      </c>
      <c r="M6336" s="33" t="s">
        <v>21</v>
      </c>
      <c r="N6336" s="33" t="s">
        <v>9864</v>
      </c>
      <c r="O6336" s="33" t="s">
        <v>507</v>
      </c>
      <c r="P6336" s="33" t="s">
        <v>30089</v>
      </c>
      <c r="Q6336" s="40" t="s">
        <v>9865</v>
      </c>
      <c r="R6336" s="33" t="s">
        <v>904</v>
      </c>
      <c r="S6336" s="33" t="s">
        <v>12</v>
      </c>
      <c r="T6336" s="54" t="s">
        <v>29705</v>
      </c>
      <c r="Z6336" s="33" t="s">
        <v>42966</v>
      </c>
      <c r="AA6336" s="33">
        <v>1333</v>
      </c>
    </row>
    <row r="6337" spans="1:27" ht="13.5" customHeight="1" x14ac:dyDescent="0.15">
      <c r="A6337" s="33" t="s">
        <v>9892</v>
      </c>
      <c r="B6337" s="33">
        <v>41</v>
      </c>
      <c r="C6337" s="33" t="s">
        <v>14</v>
      </c>
      <c r="D6337" s="33" t="s">
        <v>31</v>
      </c>
      <c r="E6337" s="33" t="s">
        <v>9893</v>
      </c>
      <c r="F6337" s="67">
        <v>41723</v>
      </c>
      <c r="G6337" s="33" t="s">
        <v>9894</v>
      </c>
      <c r="H6337" s="33" t="s">
        <v>9895</v>
      </c>
      <c r="I6337" s="33" t="s">
        <v>282</v>
      </c>
      <c r="J6337" s="33" t="s">
        <v>9896</v>
      </c>
      <c r="K6337" s="33" t="s">
        <v>666</v>
      </c>
      <c r="L6337" s="33" t="s">
        <v>9897</v>
      </c>
      <c r="M6337" s="33" t="s">
        <v>21</v>
      </c>
      <c r="N6337" s="33" t="s">
        <v>9898</v>
      </c>
      <c r="O6337" s="33" t="s">
        <v>507</v>
      </c>
      <c r="P6337" s="33" t="s">
        <v>30089</v>
      </c>
      <c r="Q6337" s="40" t="s">
        <v>9899</v>
      </c>
      <c r="R6337" s="33" t="s">
        <v>904</v>
      </c>
      <c r="S6337" s="33" t="s">
        <v>22</v>
      </c>
      <c r="T6337" s="1" t="s">
        <v>26781</v>
      </c>
      <c r="Y6337" s="33" t="s">
        <v>42476</v>
      </c>
      <c r="Z6337" s="33" t="s">
        <v>42967</v>
      </c>
      <c r="AA6337" s="33">
        <v>1329</v>
      </c>
    </row>
    <row r="6338" spans="1:27" ht="13.5" customHeight="1" x14ac:dyDescent="0.15">
      <c r="A6338" s="33" t="s">
        <v>9854</v>
      </c>
      <c r="B6338" s="33">
        <v>47</v>
      </c>
      <c r="C6338" s="33" t="s">
        <v>103</v>
      </c>
      <c r="D6338" s="33" t="s">
        <v>15</v>
      </c>
      <c r="E6338" s="33" t="s">
        <v>9855</v>
      </c>
      <c r="F6338" s="67">
        <v>41723</v>
      </c>
      <c r="G6338" s="33" t="s">
        <v>9856</v>
      </c>
      <c r="H6338" s="33" t="s">
        <v>5923</v>
      </c>
      <c r="I6338" s="33" t="s">
        <v>338</v>
      </c>
      <c r="J6338" s="33" t="s">
        <v>9726</v>
      </c>
      <c r="K6338" s="33" t="s">
        <v>599</v>
      </c>
      <c r="L6338" s="33" t="s">
        <v>9857</v>
      </c>
      <c r="M6338" s="33" t="s">
        <v>21</v>
      </c>
      <c r="N6338" s="33" t="s">
        <v>9858</v>
      </c>
      <c r="O6338" s="33" t="s">
        <v>507</v>
      </c>
      <c r="P6338" s="33" t="s">
        <v>30089</v>
      </c>
      <c r="Q6338" s="40" t="s">
        <v>9859</v>
      </c>
      <c r="R6338" s="33" t="s">
        <v>23</v>
      </c>
      <c r="S6338" s="33" t="s">
        <v>22</v>
      </c>
      <c r="T6338" s="1" t="s">
        <v>26774</v>
      </c>
      <c r="Z6338" s="33" t="s">
        <v>42966</v>
      </c>
      <c r="AA6338" s="33">
        <v>1332</v>
      </c>
    </row>
    <row r="6339" spans="1:27" ht="13.5" customHeight="1" x14ac:dyDescent="0.15">
      <c r="A6339" s="33" t="s">
        <v>9900</v>
      </c>
      <c r="B6339" s="33">
        <v>27</v>
      </c>
      <c r="C6339" s="33" t="s">
        <v>14</v>
      </c>
      <c r="D6339" s="33" t="s">
        <v>31</v>
      </c>
      <c r="E6339" s="33" t="s">
        <v>9901</v>
      </c>
      <c r="F6339" s="67">
        <v>41722</v>
      </c>
      <c r="G6339" s="33" t="s">
        <v>9902</v>
      </c>
      <c r="H6339" s="33" t="s">
        <v>92</v>
      </c>
      <c r="I6339" s="33" t="s">
        <v>39</v>
      </c>
      <c r="J6339" s="33" t="s">
        <v>9903</v>
      </c>
      <c r="K6339" s="33" t="s">
        <v>92</v>
      </c>
      <c r="L6339" s="33" t="s">
        <v>93</v>
      </c>
      <c r="M6339" s="33" t="s">
        <v>21</v>
      </c>
      <c r="N6339" s="33" t="s">
        <v>9904</v>
      </c>
      <c r="O6339" s="33" t="s">
        <v>950</v>
      </c>
      <c r="P6339" s="33" t="s">
        <v>30089</v>
      </c>
      <c r="Q6339" s="40" t="s">
        <v>9905</v>
      </c>
      <c r="R6339" s="33" t="s">
        <v>94</v>
      </c>
      <c r="S6339" s="33" t="s">
        <v>22</v>
      </c>
      <c r="T6339" s="1" t="s">
        <v>26781</v>
      </c>
      <c r="Z6339" s="33" t="s">
        <v>42966</v>
      </c>
      <c r="AA6339" s="33">
        <v>1326</v>
      </c>
    </row>
    <row r="6340" spans="1:27" ht="13.5" customHeight="1" x14ac:dyDescent="0.15">
      <c r="A6340" s="33" t="s">
        <v>9906</v>
      </c>
      <c r="B6340" s="33">
        <v>25</v>
      </c>
      <c r="C6340" s="33" t="s">
        <v>14</v>
      </c>
      <c r="D6340" s="33" t="s">
        <v>79</v>
      </c>
      <c r="E6340" s="33" t="s">
        <v>9907</v>
      </c>
      <c r="F6340" s="67">
        <v>41721</v>
      </c>
      <c r="G6340" s="33" t="s">
        <v>9908</v>
      </c>
      <c r="H6340" s="33" t="s">
        <v>584</v>
      </c>
      <c r="I6340" s="33" t="s">
        <v>112</v>
      </c>
      <c r="J6340" s="33" t="s">
        <v>9909</v>
      </c>
      <c r="K6340" s="33" t="s">
        <v>585</v>
      </c>
      <c r="L6340" s="33" t="s">
        <v>586</v>
      </c>
      <c r="M6340" s="33" t="s">
        <v>21</v>
      </c>
      <c r="N6340" s="33" t="s">
        <v>9910</v>
      </c>
      <c r="O6340" s="33" t="s">
        <v>950</v>
      </c>
      <c r="P6340" s="33" t="s">
        <v>30089</v>
      </c>
      <c r="Q6340" s="40" t="s">
        <v>9911</v>
      </c>
      <c r="R6340" s="33" t="s">
        <v>23</v>
      </c>
      <c r="S6340" s="33" t="s">
        <v>12</v>
      </c>
      <c r="T6340" s="54" t="s">
        <v>29705</v>
      </c>
      <c r="Z6340" s="33" t="s">
        <v>42968</v>
      </c>
      <c r="AA6340" s="33">
        <v>1325</v>
      </c>
    </row>
    <row r="6341" spans="1:27" ht="13.5" customHeight="1" x14ac:dyDescent="0.15">
      <c r="A6341" s="33" t="s">
        <v>9912</v>
      </c>
      <c r="B6341" s="33">
        <v>73</v>
      </c>
      <c r="C6341" s="33" t="s">
        <v>14</v>
      </c>
      <c r="D6341" s="33" t="s">
        <v>31</v>
      </c>
      <c r="E6341" s="33" t="s">
        <v>9913</v>
      </c>
      <c r="F6341" s="67">
        <v>41721</v>
      </c>
      <c r="G6341" s="33" t="s">
        <v>9914</v>
      </c>
      <c r="H6341" s="33" t="s">
        <v>1027</v>
      </c>
      <c r="I6341" s="33" t="s">
        <v>367</v>
      </c>
      <c r="J6341" s="33" t="s">
        <v>3709</v>
      </c>
      <c r="K6341" s="33" t="s">
        <v>1028</v>
      </c>
      <c r="L6341" s="33" t="s">
        <v>1029</v>
      </c>
      <c r="M6341" s="33" t="s">
        <v>21</v>
      </c>
      <c r="N6341" s="33" t="s">
        <v>9915</v>
      </c>
      <c r="O6341" s="33" t="s">
        <v>950</v>
      </c>
      <c r="P6341" s="33" t="s">
        <v>30089</v>
      </c>
      <c r="Q6341" s="40" t="s">
        <v>9916</v>
      </c>
      <c r="R6341" s="33" t="s">
        <v>512</v>
      </c>
      <c r="S6341" s="33" t="s">
        <v>22</v>
      </c>
      <c r="T6341" s="1" t="s">
        <v>26781</v>
      </c>
      <c r="Z6341" s="33" t="s">
        <v>42966</v>
      </c>
      <c r="AA6341" s="33">
        <v>1324</v>
      </c>
    </row>
    <row r="6342" spans="1:27" ht="13.5" customHeight="1" x14ac:dyDescent="0.15">
      <c r="A6342" s="33" t="s">
        <v>9923</v>
      </c>
      <c r="B6342" s="33">
        <v>25</v>
      </c>
      <c r="C6342" s="33" t="s">
        <v>14</v>
      </c>
      <c r="D6342" s="33" t="s">
        <v>31</v>
      </c>
      <c r="E6342" s="33" t="s">
        <v>9924</v>
      </c>
      <c r="F6342" s="67">
        <v>41720</v>
      </c>
      <c r="G6342" s="33" t="s">
        <v>9925</v>
      </c>
      <c r="H6342" s="33" t="s">
        <v>9013</v>
      </c>
      <c r="I6342" s="33" t="s">
        <v>282</v>
      </c>
      <c r="J6342" s="33" t="s">
        <v>9014</v>
      </c>
      <c r="K6342" s="33" t="s">
        <v>827</v>
      </c>
      <c r="L6342" s="33" t="s">
        <v>9926</v>
      </c>
      <c r="M6342" s="33" t="s">
        <v>21</v>
      </c>
      <c r="N6342" s="33" t="s">
        <v>9927</v>
      </c>
      <c r="O6342" s="33" t="s">
        <v>507</v>
      </c>
      <c r="P6342" s="33" t="s">
        <v>30089</v>
      </c>
      <c r="Q6342" s="40" t="s">
        <v>9928</v>
      </c>
      <c r="R6342" s="33" t="s">
        <v>904</v>
      </c>
      <c r="S6342" s="33" t="s">
        <v>22</v>
      </c>
      <c r="T6342" s="1" t="s">
        <v>26781</v>
      </c>
      <c r="Z6342" s="33" t="s">
        <v>42968</v>
      </c>
      <c r="AA6342" s="33">
        <v>1323</v>
      </c>
    </row>
    <row r="6343" spans="1:27" ht="13.5" customHeight="1" x14ac:dyDescent="0.15">
      <c r="A6343" s="33" t="s">
        <v>9917</v>
      </c>
      <c r="B6343" s="33">
        <v>18</v>
      </c>
      <c r="C6343" s="33" t="s">
        <v>14</v>
      </c>
      <c r="D6343" s="33" t="s">
        <v>79</v>
      </c>
      <c r="E6343" s="33" t="s">
        <v>9918</v>
      </c>
      <c r="F6343" s="67">
        <v>41720</v>
      </c>
      <c r="G6343" s="33" t="s">
        <v>9919</v>
      </c>
      <c r="H6343" s="33" t="s">
        <v>434</v>
      </c>
      <c r="I6343" s="33" t="s">
        <v>435</v>
      </c>
      <c r="J6343" s="33" t="s">
        <v>9920</v>
      </c>
      <c r="K6343" s="33" t="s">
        <v>434</v>
      </c>
      <c r="L6343" s="33" t="s">
        <v>36937</v>
      </c>
      <c r="M6343" s="33" t="s">
        <v>21</v>
      </c>
      <c r="N6343" s="33" t="s">
        <v>9921</v>
      </c>
      <c r="O6343" s="33" t="s">
        <v>950</v>
      </c>
      <c r="P6343" s="33" t="s">
        <v>30089</v>
      </c>
      <c r="Q6343" s="40" t="s">
        <v>9922</v>
      </c>
      <c r="R6343" s="33" t="s">
        <v>94</v>
      </c>
      <c r="S6343" s="33" t="s">
        <v>22</v>
      </c>
      <c r="T6343" s="1" t="s">
        <v>26781</v>
      </c>
      <c r="Z6343" s="33" t="s">
        <v>42966</v>
      </c>
      <c r="AA6343" s="33">
        <v>1322</v>
      </c>
    </row>
    <row r="6344" spans="1:27" ht="13.5" customHeight="1" x14ac:dyDescent="0.15">
      <c r="A6344" s="33" t="s">
        <v>9958</v>
      </c>
      <c r="B6344" s="33">
        <v>74</v>
      </c>
      <c r="C6344" s="33" t="s">
        <v>14</v>
      </c>
      <c r="D6344" s="33" t="s">
        <v>31</v>
      </c>
      <c r="E6344" s="33" t="s">
        <v>9959</v>
      </c>
      <c r="F6344" s="67">
        <v>41719</v>
      </c>
      <c r="G6344" s="33" t="s">
        <v>9960</v>
      </c>
      <c r="H6344" s="33" t="s">
        <v>92</v>
      </c>
      <c r="I6344" s="33" t="s">
        <v>39</v>
      </c>
      <c r="J6344" s="33">
        <v>91356</v>
      </c>
      <c r="K6344" s="33" t="s">
        <v>92</v>
      </c>
      <c r="L6344" s="33" t="s">
        <v>386</v>
      </c>
      <c r="M6344" s="33" t="s">
        <v>21</v>
      </c>
      <c r="N6344" s="33" t="s">
        <v>9961</v>
      </c>
      <c r="P6344" s="33" t="s">
        <v>30089</v>
      </c>
      <c r="Q6344" s="40" t="s">
        <v>9962</v>
      </c>
      <c r="R6344" s="33" t="s">
        <v>23</v>
      </c>
      <c r="S6344" s="33" t="s">
        <v>22</v>
      </c>
      <c r="T6344" s="1" t="s">
        <v>26781</v>
      </c>
      <c r="Z6344" s="33" t="s">
        <v>42968</v>
      </c>
      <c r="AA6344" s="33">
        <v>1318</v>
      </c>
    </row>
    <row r="6345" spans="1:27" ht="13.5" customHeight="1" x14ac:dyDescent="0.15">
      <c r="A6345" s="33" t="s">
        <v>9935</v>
      </c>
      <c r="B6345" s="33">
        <v>21</v>
      </c>
      <c r="C6345" s="33" t="s">
        <v>14</v>
      </c>
      <c r="D6345" s="33" t="s">
        <v>79</v>
      </c>
      <c r="F6345" s="67">
        <v>41719</v>
      </c>
      <c r="G6345" s="33" t="s">
        <v>9936</v>
      </c>
      <c r="H6345" s="33" t="s">
        <v>603</v>
      </c>
      <c r="I6345" s="33" t="s">
        <v>56</v>
      </c>
      <c r="J6345" s="33" t="s">
        <v>9937</v>
      </c>
      <c r="K6345" s="33" t="s">
        <v>604</v>
      </c>
      <c r="L6345" s="33" t="s">
        <v>605</v>
      </c>
      <c r="M6345" s="33" t="s">
        <v>21</v>
      </c>
      <c r="N6345" s="33" t="s">
        <v>9938</v>
      </c>
      <c r="O6345" s="33" t="s">
        <v>372</v>
      </c>
      <c r="P6345" s="33" t="s">
        <v>30089</v>
      </c>
      <c r="Q6345" s="40" t="s">
        <v>9939</v>
      </c>
      <c r="R6345" s="33" t="s">
        <v>94</v>
      </c>
      <c r="S6345" s="33" t="s">
        <v>22</v>
      </c>
      <c r="T6345" s="1" t="s">
        <v>26781</v>
      </c>
      <c r="Z6345" s="33" t="s">
        <v>42966</v>
      </c>
      <c r="AA6345" s="33">
        <v>1317</v>
      </c>
    </row>
    <row r="6346" spans="1:27" ht="13.5" customHeight="1" x14ac:dyDescent="0.15">
      <c r="A6346" s="33" t="s">
        <v>9950</v>
      </c>
      <c r="B6346" s="33">
        <v>44</v>
      </c>
      <c r="C6346" s="33" t="s">
        <v>14</v>
      </c>
      <c r="D6346" s="33" t="s">
        <v>31</v>
      </c>
      <c r="E6346" s="33" t="s">
        <v>9951</v>
      </c>
      <c r="F6346" s="67">
        <v>41719</v>
      </c>
      <c r="G6346" s="33" t="s">
        <v>9952</v>
      </c>
      <c r="H6346" s="33" t="s">
        <v>9953</v>
      </c>
      <c r="I6346" s="33" t="s">
        <v>67</v>
      </c>
      <c r="J6346" s="33" t="s">
        <v>9954</v>
      </c>
      <c r="K6346" s="33" t="s">
        <v>2397</v>
      </c>
      <c r="L6346" s="33" t="s">
        <v>9955</v>
      </c>
      <c r="M6346" s="33" t="s">
        <v>2909</v>
      </c>
      <c r="N6346" s="33" t="s">
        <v>9956</v>
      </c>
      <c r="O6346" s="33" t="s">
        <v>23</v>
      </c>
      <c r="P6346" s="33" t="s">
        <v>30089</v>
      </c>
      <c r="Q6346" s="40" t="s">
        <v>9957</v>
      </c>
      <c r="R6346" s="33" t="s">
        <v>904</v>
      </c>
      <c r="S6346" s="33" t="s">
        <v>12</v>
      </c>
      <c r="T6346" s="54" t="s">
        <v>29705</v>
      </c>
      <c r="Z6346" s="33" t="s">
        <v>42968</v>
      </c>
      <c r="AA6346" s="33">
        <v>1320</v>
      </c>
    </row>
    <row r="6347" spans="1:27" ht="13.5" customHeight="1" x14ac:dyDescent="0.15">
      <c r="A6347" s="33" t="s">
        <v>9929</v>
      </c>
      <c r="B6347" s="33">
        <v>29</v>
      </c>
      <c r="C6347" s="33" t="s">
        <v>14</v>
      </c>
      <c r="D6347" s="33" t="s">
        <v>79</v>
      </c>
      <c r="E6347" s="33" t="s">
        <v>9930</v>
      </c>
      <c r="F6347" s="67">
        <v>41719</v>
      </c>
      <c r="G6347" s="33" t="s">
        <v>9931</v>
      </c>
      <c r="H6347" s="33" t="s">
        <v>9932</v>
      </c>
      <c r="I6347" s="33" t="s">
        <v>46</v>
      </c>
      <c r="J6347" s="33" t="s">
        <v>9933</v>
      </c>
      <c r="K6347" s="33" t="s">
        <v>8833</v>
      </c>
      <c r="L6347" s="33" t="s">
        <v>647</v>
      </c>
      <c r="M6347" s="33" t="s">
        <v>21</v>
      </c>
      <c r="N6347" s="33" t="s">
        <v>19205</v>
      </c>
      <c r="O6347" s="33" t="s">
        <v>372</v>
      </c>
      <c r="P6347" s="33" t="s">
        <v>30089</v>
      </c>
      <c r="Q6347" s="40" t="s">
        <v>9934</v>
      </c>
      <c r="R6347" s="33" t="s">
        <v>94</v>
      </c>
      <c r="S6347" s="33" t="s">
        <v>351</v>
      </c>
      <c r="T6347" s="1" t="s">
        <v>42983</v>
      </c>
      <c r="Z6347" s="33" t="s">
        <v>42968</v>
      </c>
      <c r="AA6347" s="33">
        <v>1321</v>
      </c>
    </row>
    <row r="6348" spans="1:27" ht="13.5" customHeight="1" x14ac:dyDescent="0.15">
      <c r="A6348" s="33" t="s">
        <v>9945</v>
      </c>
      <c r="B6348" s="33">
        <v>28</v>
      </c>
      <c r="C6348" s="33" t="s">
        <v>14</v>
      </c>
      <c r="D6348" s="33" t="s">
        <v>42</v>
      </c>
      <c r="E6348" s="33" t="s">
        <v>9946</v>
      </c>
      <c r="F6348" s="67">
        <v>41719</v>
      </c>
      <c r="G6348" s="33" t="s">
        <v>9947</v>
      </c>
      <c r="H6348" s="33" t="s">
        <v>886</v>
      </c>
      <c r="I6348" s="33" t="s">
        <v>39</v>
      </c>
      <c r="J6348" s="33" t="s">
        <v>3681</v>
      </c>
      <c r="K6348" s="33" t="s">
        <v>886</v>
      </c>
      <c r="L6348" s="33" t="s">
        <v>887</v>
      </c>
      <c r="M6348" s="33" t="s">
        <v>21</v>
      </c>
      <c r="N6348" s="33" t="s">
        <v>9948</v>
      </c>
      <c r="O6348" s="33" t="s">
        <v>950</v>
      </c>
      <c r="P6348" s="33" t="s">
        <v>30089</v>
      </c>
      <c r="Q6348" s="40" t="s">
        <v>9949</v>
      </c>
      <c r="R6348" s="33" t="s">
        <v>512</v>
      </c>
      <c r="S6348" s="33" t="s">
        <v>22</v>
      </c>
      <c r="T6348" s="1" t="s">
        <v>27803</v>
      </c>
      <c r="Z6348" s="33" t="s">
        <v>42966</v>
      </c>
      <c r="AA6348" s="33">
        <v>1319</v>
      </c>
    </row>
    <row r="6349" spans="1:27" ht="13.5" customHeight="1" x14ac:dyDescent="0.15">
      <c r="A6349" s="33" t="s">
        <v>9940</v>
      </c>
      <c r="B6349" s="33">
        <v>51</v>
      </c>
      <c r="C6349" s="33" t="s">
        <v>14</v>
      </c>
      <c r="D6349" s="33" t="s">
        <v>79</v>
      </c>
      <c r="E6349" s="33" t="s">
        <v>9941</v>
      </c>
      <c r="F6349" s="67">
        <v>41719</v>
      </c>
      <c r="G6349" s="33" t="s">
        <v>9942</v>
      </c>
      <c r="H6349" s="33" t="s">
        <v>1888</v>
      </c>
      <c r="I6349" s="33" t="s">
        <v>298</v>
      </c>
      <c r="J6349" s="33" t="s">
        <v>9943</v>
      </c>
      <c r="K6349" s="33" t="s">
        <v>823</v>
      </c>
      <c r="L6349" s="33" t="s">
        <v>824</v>
      </c>
      <c r="M6349" s="33" t="s">
        <v>21</v>
      </c>
      <c r="N6349" s="33" t="s">
        <v>9944</v>
      </c>
      <c r="O6349" s="33" t="s">
        <v>950</v>
      </c>
      <c r="P6349" s="33" t="s">
        <v>30089</v>
      </c>
      <c r="Q6349" s="40" t="str">
        <f>HYPERLINK("http://www.tennessean.com/story/news/crime/2014/03/21/dozens-officers-scene-elliston-place-shooting/6716709/","http://www.tennessean.com/story/news/crime/2014/03/21/dozens-officers-scene-elliston-place-shooting/6716709/")</f>
        <v>http://www.tennessean.com/story/news/crime/2014/03/21/dozens-officers-scene-elliston-place-shooting/6716709/</v>
      </c>
      <c r="R6349" s="33" t="s">
        <v>904</v>
      </c>
      <c r="S6349" s="33" t="s">
        <v>22</v>
      </c>
      <c r="T6349" s="1" t="s">
        <v>26781</v>
      </c>
      <c r="Z6349" s="33" t="s">
        <v>42966</v>
      </c>
      <c r="AA6349" s="33">
        <v>1316</v>
      </c>
    </row>
    <row r="6350" spans="1:27" ht="13.5" customHeight="1" x14ac:dyDescent="0.15">
      <c r="A6350" s="33" t="s">
        <v>9975</v>
      </c>
      <c r="B6350" s="33">
        <v>21</v>
      </c>
      <c r="C6350" s="33" t="s">
        <v>14</v>
      </c>
      <c r="D6350" s="33" t="s">
        <v>31</v>
      </c>
      <c r="E6350" s="33" t="s">
        <v>9976</v>
      </c>
      <c r="F6350" s="67">
        <v>41718</v>
      </c>
      <c r="G6350" s="33" t="s">
        <v>9977</v>
      </c>
      <c r="H6350" s="33" t="s">
        <v>1751</v>
      </c>
      <c r="I6350" s="33" t="s">
        <v>39</v>
      </c>
      <c r="J6350" s="33" t="s">
        <v>1752</v>
      </c>
      <c r="K6350" s="33" t="s">
        <v>998</v>
      </c>
      <c r="L6350" s="33" t="s">
        <v>1753</v>
      </c>
      <c r="M6350" s="33" t="s">
        <v>21</v>
      </c>
      <c r="N6350" s="33" t="s">
        <v>9978</v>
      </c>
      <c r="O6350" s="33" t="s">
        <v>507</v>
      </c>
      <c r="P6350" s="33" t="s">
        <v>30089</v>
      </c>
      <c r="Q6350" s="40" t="str">
        <f>HYPERLINK("http://blogs.ocweekly.com/navelgazing/2014/03/police_shooting_in_anaheim_lea.php?page=2","http://blogs.ocweekly.com/navelgazing/2014/03/police_shooting_in_anaheim_lea.php?page=2")</f>
        <v>http://blogs.ocweekly.com/navelgazing/2014/03/police_shooting_in_anaheim_lea.php?page=2</v>
      </c>
      <c r="R6350" s="33" t="s">
        <v>94</v>
      </c>
      <c r="S6350" s="33" t="s">
        <v>22</v>
      </c>
      <c r="T6350" s="1" t="s">
        <v>26781</v>
      </c>
      <c r="Z6350" s="33" t="s">
        <v>42966</v>
      </c>
      <c r="AA6350" s="33">
        <v>1312</v>
      </c>
    </row>
    <row r="6351" spans="1:27" ht="13.5" customHeight="1" x14ac:dyDescent="0.15">
      <c r="A6351" s="33" t="s">
        <v>9979</v>
      </c>
      <c r="B6351" s="33">
        <v>30</v>
      </c>
      <c r="C6351" s="33" t="s">
        <v>14</v>
      </c>
      <c r="D6351" s="33" t="s">
        <v>31</v>
      </c>
      <c r="E6351" s="33" t="s">
        <v>9980</v>
      </c>
      <c r="F6351" s="67">
        <v>41718</v>
      </c>
      <c r="G6351" s="33" t="s">
        <v>9981</v>
      </c>
      <c r="H6351" s="33" t="s">
        <v>1522</v>
      </c>
      <c r="I6351" s="33" t="s">
        <v>432</v>
      </c>
      <c r="J6351" s="33" t="s">
        <v>3767</v>
      </c>
      <c r="K6351" s="33" t="s">
        <v>882</v>
      </c>
      <c r="L6351" s="33" t="s">
        <v>2101</v>
      </c>
      <c r="M6351" s="33" t="s">
        <v>21</v>
      </c>
      <c r="N6351" s="33" t="s">
        <v>9982</v>
      </c>
      <c r="O6351" s="33" t="s">
        <v>507</v>
      </c>
      <c r="P6351" s="33" t="s">
        <v>30089</v>
      </c>
      <c r="Q6351" s="40" t="str">
        <f>HYPERLINK("http://www.ketv.com/news/police-id-man-killed-in-officer-involved-shooting/25060968#!bIoKti","http://www.ketv.com/news/police-id-man-killed-in-officer-involved-shooting/25060968#!bIoKti")</f>
        <v>http://www.ketv.com/news/police-id-man-killed-in-officer-involved-shooting/25060968#!bIoKti</v>
      </c>
      <c r="R6351" s="33" t="s">
        <v>904</v>
      </c>
      <c r="S6351" s="33" t="s">
        <v>29</v>
      </c>
      <c r="T6351" s="1" t="s">
        <v>41840</v>
      </c>
      <c r="Z6351" s="33" t="s">
        <v>42966</v>
      </c>
      <c r="AA6351" s="33">
        <v>1314</v>
      </c>
    </row>
    <row r="6352" spans="1:27" ht="13.5" customHeight="1" x14ac:dyDescent="0.15">
      <c r="A6352" s="33" t="s">
        <v>9968</v>
      </c>
      <c r="B6352" s="33">
        <v>40</v>
      </c>
      <c r="C6352" s="33" t="s">
        <v>14</v>
      </c>
      <c r="D6352" s="33" t="s">
        <v>42</v>
      </c>
      <c r="E6352" s="33" t="s">
        <v>9969</v>
      </c>
      <c r="F6352" s="67">
        <v>41718</v>
      </c>
      <c r="G6352" s="33" t="s">
        <v>9970</v>
      </c>
      <c r="H6352" s="33" t="s">
        <v>9971</v>
      </c>
      <c r="I6352" s="33" t="s">
        <v>39</v>
      </c>
      <c r="J6352" s="33" t="s">
        <v>9972</v>
      </c>
      <c r="K6352" s="33" t="s">
        <v>59</v>
      </c>
      <c r="L6352" s="33" t="s">
        <v>36831</v>
      </c>
      <c r="M6352" s="33" t="s">
        <v>21</v>
      </c>
      <c r="N6352" s="33" t="s">
        <v>9973</v>
      </c>
      <c r="O6352" s="33" t="s">
        <v>950</v>
      </c>
      <c r="P6352" s="33" t="s">
        <v>30089</v>
      </c>
      <c r="Q6352" s="40" t="s">
        <v>9974</v>
      </c>
      <c r="R6352" s="33" t="s">
        <v>23</v>
      </c>
      <c r="S6352" s="33" t="s">
        <v>29</v>
      </c>
      <c r="T6352" s="33" t="s">
        <v>41840</v>
      </c>
      <c r="Z6352" s="33" t="s">
        <v>42967</v>
      </c>
      <c r="AA6352" s="33">
        <v>1315</v>
      </c>
    </row>
    <row r="6353" spans="1:31" ht="13.5" customHeight="1" x14ac:dyDescent="0.15">
      <c r="A6353" s="33" t="s">
        <v>9963</v>
      </c>
      <c r="B6353" s="33">
        <v>42</v>
      </c>
      <c r="C6353" s="33" t="s">
        <v>14</v>
      </c>
      <c r="D6353" s="33" t="s">
        <v>42</v>
      </c>
      <c r="E6353" s="33" t="s">
        <v>9964</v>
      </c>
      <c r="F6353" s="67">
        <v>41718</v>
      </c>
      <c r="G6353" s="33" t="s">
        <v>9965</v>
      </c>
      <c r="H6353" s="33" t="s">
        <v>5818</v>
      </c>
      <c r="I6353" s="33" t="s">
        <v>39</v>
      </c>
      <c r="J6353" s="33" t="s">
        <v>5819</v>
      </c>
      <c r="K6353" s="33" t="s">
        <v>59</v>
      </c>
      <c r="L6353" s="33" t="s">
        <v>5820</v>
      </c>
      <c r="M6353" s="33" t="s">
        <v>21</v>
      </c>
      <c r="N6353" s="33" t="s">
        <v>9966</v>
      </c>
      <c r="O6353" s="33" t="s">
        <v>507</v>
      </c>
      <c r="P6353" s="33" t="s">
        <v>30089</v>
      </c>
      <c r="Q6353" s="40" t="s">
        <v>9967</v>
      </c>
      <c r="R6353" s="33" t="s">
        <v>23</v>
      </c>
      <c r="S6353" s="33" t="s">
        <v>12</v>
      </c>
      <c r="T6353" s="33" t="s">
        <v>29425</v>
      </c>
      <c r="Z6353" s="33" t="s">
        <v>42968</v>
      </c>
      <c r="AA6353" s="33">
        <v>1313</v>
      </c>
      <c r="AE6353" s="33"/>
    </row>
    <row r="6354" spans="1:31" ht="13.5" customHeight="1" x14ac:dyDescent="0.15">
      <c r="A6354" s="33" t="s">
        <v>9991</v>
      </c>
      <c r="B6354" s="33">
        <v>50</v>
      </c>
      <c r="C6354" s="33" t="s">
        <v>14</v>
      </c>
      <c r="D6354" s="33" t="s">
        <v>31</v>
      </c>
      <c r="E6354" s="33" t="s">
        <v>9992</v>
      </c>
      <c r="F6354" s="67">
        <v>41717</v>
      </c>
      <c r="G6354" s="33" t="s">
        <v>9993</v>
      </c>
      <c r="H6354" s="33" t="s">
        <v>3508</v>
      </c>
      <c r="I6354" s="33" t="s">
        <v>192</v>
      </c>
      <c r="J6354" s="33" t="s">
        <v>9994</v>
      </c>
      <c r="K6354" s="33" t="s">
        <v>1790</v>
      </c>
      <c r="L6354" s="33" t="s">
        <v>3511</v>
      </c>
      <c r="M6354" s="33" t="s">
        <v>21</v>
      </c>
      <c r="N6354" s="33" t="s">
        <v>9995</v>
      </c>
      <c r="O6354" s="33" t="s">
        <v>507</v>
      </c>
      <c r="P6354" s="33" t="s">
        <v>30089</v>
      </c>
      <c r="Q6354" s="40" t="s">
        <v>9996</v>
      </c>
      <c r="R6354" s="33" t="s">
        <v>904</v>
      </c>
      <c r="S6354" s="33" t="s">
        <v>29</v>
      </c>
      <c r="T6354" s="1" t="s">
        <v>41840</v>
      </c>
      <c r="Z6354" s="33" t="s">
        <v>42966</v>
      </c>
      <c r="AA6354" s="33">
        <v>1311</v>
      </c>
    </row>
    <row r="6355" spans="1:31" ht="13.5" customHeight="1" x14ac:dyDescent="0.15">
      <c r="A6355" s="33" t="s">
        <v>9983</v>
      </c>
      <c r="B6355" s="33">
        <v>34</v>
      </c>
      <c r="C6355" s="33" t="s">
        <v>14</v>
      </c>
      <c r="D6355" s="33" t="s">
        <v>15</v>
      </c>
      <c r="E6355" s="33" t="s">
        <v>9984</v>
      </c>
      <c r="F6355" s="67">
        <v>41717</v>
      </c>
      <c r="G6355" s="33" t="s">
        <v>9985</v>
      </c>
      <c r="H6355" s="33" t="s">
        <v>9986</v>
      </c>
      <c r="I6355" s="33" t="s">
        <v>39</v>
      </c>
      <c r="J6355" s="33" t="s">
        <v>9987</v>
      </c>
      <c r="K6355" s="33" t="s">
        <v>4269</v>
      </c>
      <c r="L6355" s="33" t="s">
        <v>9988</v>
      </c>
      <c r="M6355" s="33" t="s">
        <v>21</v>
      </c>
      <c r="N6355" s="33" t="s">
        <v>9989</v>
      </c>
      <c r="O6355" s="33" t="s">
        <v>507</v>
      </c>
      <c r="P6355" s="33" t="s">
        <v>30089</v>
      </c>
      <c r="Q6355" s="40" t="s">
        <v>9990</v>
      </c>
      <c r="R6355" s="33" t="s">
        <v>512</v>
      </c>
      <c r="S6355" s="33" t="s">
        <v>22</v>
      </c>
      <c r="T6355" s="1" t="s">
        <v>43005</v>
      </c>
      <c r="Z6355" s="33" t="s">
        <v>42968</v>
      </c>
      <c r="AA6355" s="33">
        <v>1310</v>
      </c>
    </row>
    <row r="6356" spans="1:31" ht="13.5" customHeight="1" x14ac:dyDescent="0.15">
      <c r="A6356" s="33" t="s">
        <v>10007</v>
      </c>
      <c r="B6356" s="33">
        <v>21</v>
      </c>
      <c r="C6356" s="33" t="s">
        <v>14</v>
      </c>
      <c r="D6356" s="33" t="s">
        <v>31</v>
      </c>
      <c r="E6356" s="33" t="str">
        <f>HYPERLINK("http://www.peacefulalternatives.com/fh/obituaries/obituary.cfm?o_id=2458194&amp;fh_id=14153","http://www.peacefulalternatives.com/fh/obituaries/obituary.cfm?o_id=2458194&amp;fh_id=14153")</f>
        <v>http://www.peacefulalternatives.com/fh/obituaries/obituary.cfm?o_id=2458194&amp;fh_id=14153</v>
      </c>
      <c r="F6356" s="67">
        <v>41716</v>
      </c>
      <c r="G6356" s="33" t="s">
        <v>10008</v>
      </c>
      <c r="H6356" s="33" t="s">
        <v>10009</v>
      </c>
      <c r="I6356" s="33" t="s">
        <v>46</v>
      </c>
      <c r="J6356" s="33" t="s">
        <v>10010</v>
      </c>
      <c r="K6356" s="33" t="s">
        <v>1487</v>
      </c>
      <c r="L6356" s="33" t="s">
        <v>212</v>
      </c>
      <c r="M6356" s="33" t="s">
        <v>21</v>
      </c>
      <c r="N6356" s="33" t="s">
        <v>10011</v>
      </c>
      <c r="O6356" s="33" t="s">
        <v>950</v>
      </c>
      <c r="P6356" s="33" t="s">
        <v>30089</v>
      </c>
      <c r="Q6356" s="40" t="s">
        <v>10012</v>
      </c>
      <c r="R6356" s="33" t="s">
        <v>23</v>
      </c>
      <c r="S6356" s="33" t="s">
        <v>22</v>
      </c>
      <c r="T6356" s="1" t="s">
        <v>26774</v>
      </c>
      <c r="Z6356" s="33" t="s">
        <v>42966</v>
      </c>
      <c r="AA6356" s="33">
        <v>1307</v>
      </c>
    </row>
    <row r="6357" spans="1:31" ht="13.5" customHeight="1" x14ac:dyDescent="0.15">
      <c r="A6357" s="33" t="s">
        <v>10013</v>
      </c>
      <c r="B6357" s="33">
        <v>26</v>
      </c>
      <c r="C6357" s="33" t="s">
        <v>14</v>
      </c>
      <c r="D6357" s="33" t="s">
        <v>31</v>
      </c>
      <c r="E6357" s="33" t="s">
        <v>10014</v>
      </c>
      <c r="F6357" s="67">
        <v>41716</v>
      </c>
      <c r="G6357" s="33" t="s">
        <v>10015</v>
      </c>
      <c r="H6357" s="33" t="s">
        <v>584</v>
      </c>
      <c r="I6357" s="33" t="s">
        <v>112</v>
      </c>
      <c r="J6357" s="33" t="s">
        <v>10016</v>
      </c>
      <c r="K6357" s="33" t="s">
        <v>585</v>
      </c>
      <c r="L6357" s="33" t="s">
        <v>586</v>
      </c>
      <c r="M6357" s="33" t="s">
        <v>21</v>
      </c>
      <c r="N6357" s="33" t="s">
        <v>19052</v>
      </c>
      <c r="O6357" s="33" t="s">
        <v>507</v>
      </c>
      <c r="P6357" s="33" t="s">
        <v>30089</v>
      </c>
      <c r="Q6357" s="40" t="s">
        <v>19061</v>
      </c>
      <c r="R6357" s="33" t="s">
        <v>94</v>
      </c>
      <c r="S6357" s="33" t="s">
        <v>12</v>
      </c>
      <c r="T6357" s="33" t="s">
        <v>29425</v>
      </c>
      <c r="Z6357" s="33" t="s">
        <v>42966</v>
      </c>
      <c r="AA6357" s="33">
        <v>1308</v>
      </c>
    </row>
    <row r="6358" spans="1:31" ht="13.5" customHeight="1" x14ac:dyDescent="0.15">
      <c r="A6358" s="33" t="s">
        <v>9997</v>
      </c>
      <c r="B6358" s="33">
        <v>19</v>
      </c>
      <c r="C6358" s="33" t="s">
        <v>14</v>
      </c>
      <c r="D6358" s="33" t="s">
        <v>79</v>
      </c>
      <c r="F6358" s="67">
        <v>41716</v>
      </c>
      <c r="G6358" s="33" t="s">
        <v>9998</v>
      </c>
      <c r="H6358" s="33" t="s">
        <v>107</v>
      </c>
      <c r="I6358" s="33" t="s">
        <v>3357</v>
      </c>
      <c r="J6358" s="33" t="s">
        <v>9999</v>
      </c>
      <c r="K6358" s="33" t="s">
        <v>3359</v>
      </c>
      <c r="L6358" s="33" t="s">
        <v>10000</v>
      </c>
      <c r="M6358" s="33" t="s">
        <v>21</v>
      </c>
      <c r="N6358" s="33" t="s">
        <v>10001</v>
      </c>
      <c r="O6358" s="33" t="s">
        <v>950</v>
      </c>
      <c r="P6358" s="33" t="s">
        <v>30089</v>
      </c>
      <c r="Q6358" s="40" t="str">
        <f>HYPERLINK("http://www.washingtonpost.com/local/crime/police-involved-in-shooting-person-in-nw/2014/03/18/7f80b924-ae8e-11e3-96dc-d6ea14c099f9_story.html","http://www.washingtonpost.com/local/crime/police-involved-in-shooting-person-in-nw/2014/03/18/7f80b924-ae8e-11e3-96dc-d6ea14c099f9_story.html")</f>
        <v>http://www.washingtonpost.com/local/crime/police-involved-in-shooting-person-in-nw/2014/03/18/7f80b924-ae8e-11e3-96dc-d6ea14c099f9_story.html</v>
      </c>
      <c r="R6358" s="33" t="s">
        <v>94</v>
      </c>
      <c r="S6358" s="33" t="s">
        <v>22</v>
      </c>
      <c r="T6358" s="1" t="s">
        <v>26781</v>
      </c>
      <c r="Z6358" s="33" t="s">
        <v>42966</v>
      </c>
      <c r="AA6358" s="33">
        <v>1306</v>
      </c>
    </row>
    <row r="6359" spans="1:31" ht="13.5" customHeight="1" x14ac:dyDescent="0.15">
      <c r="A6359" s="33" t="s">
        <v>10002</v>
      </c>
      <c r="B6359" s="33">
        <v>32</v>
      </c>
      <c r="C6359" s="33" t="s">
        <v>14</v>
      </c>
      <c r="D6359" s="33" t="s">
        <v>79</v>
      </c>
      <c r="E6359" s="33" t="s">
        <v>10003</v>
      </c>
      <c r="F6359" s="67">
        <v>41716</v>
      </c>
      <c r="G6359" s="33" t="s">
        <v>10004</v>
      </c>
      <c r="H6359" s="33" t="s">
        <v>3577</v>
      </c>
      <c r="I6359" s="33" t="s">
        <v>46</v>
      </c>
      <c r="J6359" s="33" t="s">
        <v>3578</v>
      </c>
      <c r="K6359" s="33" t="s">
        <v>3579</v>
      </c>
      <c r="L6359" s="33" t="s">
        <v>647</v>
      </c>
      <c r="M6359" s="33" t="s">
        <v>21</v>
      </c>
      <c r="N6359" s="33" t="s">
        <v>10005</v>
      </c>
      <c r="O6359" s="33" t="s">
        <v>950</v>
      </c>
      <c r="P6359" s="33" t="s">
        <v>30089</v>
      </c>
      <c r="Q6359" s="40" t="s">
        <v>10006</v>
      </c>
      <c r="R6359" s="33" t="s">
        <v>94</v>
      </c>
      <c r="S6359" s="33" t="s">
        <v>351</v>
      </c>
      <c r="T6359" s="33" t="s">
        <v>26867</v>
      </c>
      <c r="Z6359" s="33" t="s">
        <v>42968</v>
      </c>
      <c r="AA6359" s="33">
        <v>1309</v>
      </c>
      <c r="AE6359" s="33"/>
    </row>
    <row r="6360" spans="1:31" ht="13.5" customHeight="1" x14ac:dyDescent="0.15">
      <c r="A6360" s="33" t="s">
        <v>10017</v>
      </c>
      <c r="B6360" s="33">
        <v>26</v>
      </c>
      <c r="C6360" s="33" t="s">
        <v>14</v>
      </c>
      <c r="D6360" s="33" t="s">
        <v>79</v>
      </c>
      <c r="E6360" s="33" t="s">
        <v>10018</v>
      </c>
      <c r="F6360" s="67">
        <v>41715</v>
      </c>
      <c r="G6360" s="33" t="s">
        <v>10019</v>
      </c>
      <c r="H6360" s="33" t="s">
        <v>674</v>
      </c>
      <c r="I6360" s="33" t="s">
        <v>67</v>
      </c>
      <c r="J6360" s="33" t="s">
        <v>6240</v>
      </c>
      <c r="K6360" s="33" t="s">
        <v>515</v>
      </c>
      <c r="L6360" s="33" t="s">
        <v>675</v>
      </c>
      <c r="M6360" s="33" t="s">
        <v>21</v>
      </c>
      <c r="N6360" s="33" t="s">
        <v>10020</v>
      </c>
      <c r="O6360" s="33" t="s">
        <v>950</v>
      </c>
      <c r="P6360" s="33" t="s">
        <v>30089</v>
      </c>
      <c r="Q6360" s="40" t="s">
        <v>10021</v>
      </c>
      <c r="R6360" s="33" t="s">
        <v>512</v>
      </c>
      <c r="S6360" s="33" t="s">
        <v>12</v>
      </c>
      <c r="T6360" s="54" t="s">
        <v>29705</v>
      </c>
      <c r="Z6360" s="33" t="s">
        <v>42966</v>
      </c>
      <c r="AA6360" s="33">
        <v>1305</v>
      </c>
    </row>
    <row r="6361" spans="1:31" ht="13.5" customHeight="1" x14ac:dyDescent="0.15">
      <c r="A6361" s="33" t="s">
        <v>10022</v>
      </c>
      <c r="B6361" s="33">
        <v>52</v>
      </c>
      <c r="C6361" s="33" t="s">
        <v>14</v>
      </c>
      <c r="D6361" s="33" t="s">
        <v>24</v>
      </c>
      <c r="F6361" s="67">
        <v>41715</v>
      </c>
      <c r="G6361" s="33" t="s">
        <v>10023</v>
      </c>
      <c r="H6361" s="33" t="s">
        <v>8495</v>
      </c>
      <c r="I6361" s="33" t="s">
        <v>160</v>
      </c>
      <c r="J6361" s="33" t="s">
        <v>10024</v>
      </c>
      <c r="K6361" s="33" t="s">
        <v>8497</v>
      </c>
      <c r="L6361" s="33" t="s">
        <v>10025</v>
      </c>
      <c r="M6361" s="33" t="s">
        <v>21</v>
      </c>
      <c r="N6361" s="33" t="s">
        <v>10026</v>
      </c>
      <c r="O6361" s="33" t="s">
        <v>507</v>
      </c>
      <c r="P6361" s="33" t="s">
        <v>30089</v>
      </c>
      <c r="Q6361" s="40" t="str">
        <f>HYPERLINK("http://www.ajc.com/news/news/local/man-shot-and-killed-by-forsyth-county-deputies/nfFC8/","http://www.ajc.com/news/news/local/man-shot-and-killed-by-forsyth-county-deputies/nfFC8/")</f>
        <v>http://www.ajc.com/news/news/local/man-shot-and-killed-by-forsyth-county-deputies/nfFC8/</v>
      </c>
      <c r="R6361" s="33" t="s">
        <v>94</v>
      </c>
      <c r="S6361" s="33" t="s">
        <v>22</v>
      </c>
      <c r="T6361" s="1" t="s">
        <v>26781</v>
      </c>
      <c r="Z6361" s="33" t="s">
        <v>42968</v>
      </c>
      <c r="AA6361" s="33">
        <v>1303</v>
      </c>
    </row>
    <row r="6362" spans="1:31" ht="13.5" customHeight="1" x14ac:dyDescent="0.15">
      <c r="A6362" s="33" t="s">
        <v>10027</v>
      </c>
      <c r="B6362" s="33">
        <v>29</v>
      </c>
      <c r="C6362" s="33" t="s">
        <v>14</v>
      </c>
      <c r="D6362" s="33" t="s">
        <v>31</v>
      </c>
      <c r="F6362" s="67">
        <v>41715</v>
      </c>
      <c r="G6362" s="33" t="s">
        <v>10028</v>
      </c>
      <c r="H6362" s="33" t="s">
        <v>8742</v>
      </c>
      <c r="I6362" s="33" t="s">
        <v>395</v>
      </c>
      <c r="J6362" s="33" t="s">
        <v>8743</v>
      </c>
      <c r="K6362" s="33" t="s">
        <v>2291</v>
      </c>
      <c r="L6362" s="33" t="s">
        <v>10029</v>
      </c>
      <c r="M6362" s="33" t="s">
        <v>21</v>
      </c>
      <c r="N6362" s="33" t="s">
        <v>10030</v>
      </c>
      <c r="O6362" s="33" t="s">
        <v>950</v>
      </c>
      <c r="P6362" s="33" t="s">
        <v>30089</v>
      </c>
      <c r="Q6362" s="40" t="s">
        <v>10031</v>
      </c>
      <c r="R6362" s="33" t="s">
        <v>904</v>
      </c>
      <c r="S6362" s="33" t="s">
        <v>22</v>
      </c>
      <c r="T6362" s="1" t="s">
        <v>26774</v>
      </c>
      <c r="Z6362" s="33" t="s">
        <v>42968</v>
      </c>
      <c r="AA6362" s="33">
        <v>1304</v>
      </c>
    </row>
    <row r="6363" spans="1:31" ht="13.5" customHeight="1" x14ac:dyDescent="0.15">
      <c r="A6363" s="33" t="s">
        <v>10051</v>
      </c>
      <c r="B6363" s="103">
        <v>38</v>
      </c>
      <c r="C6363" s="33" t="s">
        <v>14</v>
      </c>
      <c r="D6363" s="33" t="s">
        <v>31</v>
      </c>
      <c r="F6363" s="67">
        <v>41714</v>
      </c>
      <c r="G6363" s="33" t="s">
        <v>10052</v>
      </c>
      <c r="H6363" s="33" t="s">
        <v>866</v>
      </c>
      <c r="I6363" s="33" t="s">
        <v>178</v>
      </c>
      <c r="J6363" s="33" t="s">
        <v>7675</v>
      </c>
      <c r="K6363" s="33" t="s">
        <v>433</v>
      </c>
      <c r="L6363" s="33" t="s">
        <v>4562</v>
      </c>
      <c r="M6363" s="33" t="s">
        <v>21</v>
      </c>
      <c r="N6363" s="33" t="s">
        <v>10053</v>
      </c>
      <c r="O6363" s="33" t="s">
        <v>26740</v>
      </c>
      <c r="P6363" s="33" t="s">
        <v>26746</v>
      </c>
      <c r="Q6363" s="40" t="s">
        <v>9174</v>
      </c>
      <c r="R6363" s="33" t="s">
        <v>512</v>
      </c>
      <c r="S6363" s="33" t="s">
        <v>22</v>
      </c>
      <c r="T6363" s="1" t="s">
        <v>26781</v>
      </c>
      <c r="Z6363" s="33" t="s">
        <v>42968</v>
      </c>
      <c r="AA6363" s="33">
        <v>1298</v>
      </c>
    </row>
    <row r="6364" spans="1:31" ht="13.5" customHeight="1" x14ac:dyDescent="0.15">
      <c r="A6364" s="33" t="s">
        <v>10054</v>
      </c>
      <c r="B6364" s="33">
        <v>28</v>
      </c>
      <c r="C6364" s="33" t="s">
        <v>14</v>
      </c>
      <c r="D6364" s="33" t="s">
        <v>31</v>
      </c>
      <c r="E6364" s="33" t="s">
        <v>10055</v>
      </c>
      <c r="F6364" s="67">
        <v>41714</v>
      </c>
      <c r="G6364" s="33" t="s">
        <v>10056</v>
      </c>
      <c r="H6364" s="33" t="s">
        <v>947</v>
      </c>
      <c r="I6364" s="33" t="s">
        <v>63</v>
      </c>
      <c r="J6364" s="33" t="s">
        <v>10057</v>
      </c>
      <c r="K6364" s="33" t="s">
        <v>2402</v>
      </c>
      <c r="L6364" s="33" t="s">
        <v>10058</v>
      </c>
      <c r="M6364" s="33" t="s">
        <v>21</v>
      </c>
      <c r="N6364" s="33" t="s">
        <v>10059</v>
      </c>
      <c r="O6364" s="33" t="s">
        <v>372</v>
      </c>
      <c r="P6364" s="33" t="s">
        <v>30089</v>
      </c>
      <c r="Q6364" s="40" t="s">
        <v>10060</v>
      </c>
      <c r="R6364" s="33" t="s">
        <v>94</v>
      </c>
      <c r="S6364" s="33" t="s">
        <v>12</v>
      </c>
      <c r="T6364" s="54" t="s">
        <v>29705</v>
      </c>
      <c r="Z6364" s="33" t="s">
        <v>42968</v>
      </c>
      <c r="AA6364" s="33">
        <v>1302</v>
      </c>
    </row>
    <row r="6365" spans="1:31" ht="13.5" customHeight="1" x14ac:dyDescent="0.15">
      <c r="A6365" s="33" t="s">
        <v>10046</v>
      </c>
      <c r="B6365" s="33">
        <v>50</v>
      </c>
      <c r="C6365" s="33" t="s">
        <v>14</v>
      </c>
      <c r="D6365" s="33" t="s">
        <v>24</v>
      </c>
      <c r="F6365" s="67">
        <v>41714</v>
      </c>
      <c r="G6365" s="33" t="s">
        <v>10047</v>
      </c>
      <c r="H6365" s="33" t="s">
        <v>5991</v>
      </c>
      <c r="I6365" s="33" t="s">
        <v>250</v>
      </c>
      <c r="J6365" s="33" t="s">
        <v>10048</v>
      </c>
      <c r="K6365" s="33" t="s">
        <v>527</v>
      </c>
      <c r="L6365" s="33" t="s">
        <v>528</v>
      </c>
      <c r="M6365" s="33" t="s">
        <v>21</v>
      </c>
      <c r="N6365" s="33" t="s">
        <v>10049</v>
      </c>
      <c r="O6365" s="33" t="s">
        <v>950</v>
      </c>
      <c r="P6365" s="33" t="s">
        <v>30089</v>
      </c>
      <c r="Q6365" s="40" t="s">
        <v>10050</v>
      </c>
      <c r="R6365" s="33" t="s">
        <v>23</v>
      </c>
      <c r="S6365" s="33" t="s">
        <v>22</v>
      </c>
      <c r="T6365" s="1" t="s">
        <v>26781</v>
      </c>
      <c r="Z6365" s="33" t="s">
        <v>42967</v>
      </c>
      <c r="AA6365" s="33">
        <v>1300</v>
      </c>
    </row>
    <row r="6366" spans="1:31" ht="13.5" customHeight="1" x14ac:dyDescent="0.15">
      <c r="A6366" s="33" t="s">
        <v>10032</v>
      </c>
      <c r="B6366" s="33">
        <v>51</v>
      </c>
      <c r="C6366" s="33" t="s">
        <v>14</v>
      </c>
      <c r="D6366" s="33" t="s">
        <v>15</v>
      </c>
      <c r="E6366" s="33" t="s">
        <v>10033</v>
      </c>
      <c r="F6366" s="67">
        <v>41714</v>
      </c>
      <c r="G6366" s="33" t="s">
        <v>10034</v>
      </c>
      <c r="H6366" s="33" t="s">
        <v>1690</v>
      </c>
      <c r="I6366" s="33" t="s">
        <v>56</v>
      </c>
      <c r="J6366" s="33" t="s">
        <v>4044</v>
      </c>
      <c r="K6366" s="33" t="s">
        <v>1052</v>
      </c>
      <c r="L6366" s="33" t="s">
        <v>4045</v>
      </c>
      <c r="M6366" s="33" t="s">
        <v>21</v>
      </c>
      <c r="N6366" s="33" t="s">
        <v>10035</v>
      </c>
      <c r="O6366" s="33" t="s">
        <v>950</v>
      </c>
      <c r="P6366" s="33" t="s">
        <v>30089</v>
      </c>
      <c r="Q6366" s="40" t="s">
        <v>10036</v>
      </c>
      <c r="R6366" s="33" t="s">
        <v>94</v>
      </c>
      <c r="S6366" s="33" t="s">
        <v>22</v>
      </c>
      <c r="T6366" s="1" t="s">
        <v>26593</v>
      </c>
      <c r="Z6366" s="33" t="s">
        <v>42966</v>
      </c>
      <c r="AA6366" s="33">
        <v>1301</v>
      </c>
    </row>
    <row r="6367" spans="1:31" ht="13.5" customHeight="1" x14ac:dyDescent="0.15">
      <c r="A6367" s="33" t="s">
        <v>10037</v>
      </c>
      <c r="B6367" s="33">
        <v>47</v>
      </c>
      <c r="C6367" s="33" t="s">
        <v>14</v>
      </c>
      <c r="D6367" s="33" t="s">
        <v>79</v>
      </c>
      <c r="E6367" s="33" t="s">
        <v>10038</v>
      </c>
      <c r="F6367" s="67">
        <v>41714</v>
      </c>
      <c r="G6367" s="33" t="s">
        <v>10039</v>
      </c>
      <c r="H6367" s="33" t="s">
        <v>10040</v>
      </c>
      <c r="I6367" s="33" t="s">
        <v>367</v>
      </c>
      <c r="J6367" s="33" t="s">
        <v>10041</v>
      </c>
      <c r="K6367" s="33" t="s">
        <v>10042</v>
      </c>
      <c r="L6367" s="33" t="s">
        <v>10043</v>
      </c>
      <c r="M6367" s="33" t="s">
        <v>21</v>
      </c>
      <c r="N6367" s="33" t="s">
        <v>10044</v>
      </c>
      <c r="O6367" s="33" t="s">
        <v>507</v>
      </c>
      <c r="P6367" s="33" t="s">
        <v>30089</v>
      </c>
      <c r="Q6367" s="40" t="s">
        <v>10045</v>
      </c>
      <c r="R6367" s="33" t="s">
        <v>512</v>
      </c>
      <c r="S6367" s="33" t="s">
        <v>22</v>
      </c>
      <c r="T6367" s="1" t="s">
        <v>26781</v>
      </c>
      <c r="Z6367" s="33" t="s">
        <v>42968</v>
      </c>
      <c r="AA6367" s="33">
        <v>1299</v>
      </c>
    </row>
    <row r="6368" spans="1:31" ht="13.5" customHeight="1" x14ac:dyDescent="0.15">
      <c r="A6368" s="33" t="s">
        <v>10061</v>
      </c>
      <c r="B6368" s="33">
        <v>36</v>
      </c>
      <c r="C6368" s="33" t="s">
        <v>14</v>
      </c>
      <c r="D6368" s="33" t="s">
        <v>31</v>
      </c>
      <c r="E6368" s="33" t="s">
        <v>10062</v>
      </c>
      <c r="F6368" s="67">
        <v>41712</v>
      </c>
      <c r="G6368" s="33" t="s">
        <v>10063</v>
      </c>
      <c r="H6368" s="33" t="s">
        <v>10064</v>
      </c>
      <c r="I6368" s="33" t="s">
        <v>282</v>
      </c>
      <c r="J6368" s="33" t="s">
        <v>10065</v>
      </c>
      <c r="K6368" s="33" t="s">
        <v>527</v>
      </c>
      <c r="L6368" s="33" t="s">
        <v>10066</v>
      </c>
      <c r="M6368" s="33" t="s">
        <v>21</v>
      </c>
      <c r="N6368" s="33" t="s">
        <v>10067</v>
      </c>
      <c r="O6368" s="33" t="s">
        <v>950</v>
      </c>
      <c r="P6368" s="33" t="s">
        <v>30089</v>
      </c>
      <c r="Q6368" s="40" t="s">
        <v>10068</v>
      </c>
      <c r="R6368" s="33" t="s">
        <v>94</v>
      </c>
      <c r="S6368" s="33" t="s">
        <v>22</v>
      </c>
      <c r="T6368" s="1" t="s">
        <v>26781</v>
      </c>
      <c r="Z6368" s="33" t="s">
        <v>42967</v>
      </c>
      <c r="AA6368" s="33">
        <v>1296</v>
      </c>
    </row>
    <row r="6369" spans="1:27" ht="13.5" customHeight="1" x14ac:dyDescent="0.15">
      <c r="A6369" s="33" t="s">
        <v>10069</v>
      </c>
      <c r="B6369" s="33">
        <v>60</v>
      </c>
      <c r="C6369" s="33" t="s">
        <v>14</v>
      </c>
      <c r="D6369" s="33" t="s">
        <v>31</v>
      </c>
      <c r="E6369" s="33" t="s">
        <v>10070</v>
      </c>
      <c r="F6369" s="67">
        <v>41712</v>
      </c>
      <c r="G6369" s="33" t="s">
        <v>10071</v>
      </c>
      <c r="H6369" s="33" t="s">
        <v>6993</v>
      </c>
      <c r="I6369" s="33" t="s">
        <v>56</v>
      </c>
      <c r="J6369" s="33" t="s">
        <v>6994</v>
      </c>
      <c r="K6369" s="33" t="s">
        <v>45</v>
      </c>
      <c r="L6369" s="33" t="s">
        <v>10072</v>
      </c>
      <c r="M6369" s="33" t="s">
        <v>21</v>
      </c>
      <c r="N6369" s="33" t="s">
        <v>10073</v>
      </c>
      <c r="O6369" s="33" t="s">
        <v>507</v>
      </c>
      <c r="P6369" s="33" t="s">
        <v>30089</v>
      </c>
      <c r="Q6369" s="40" t="str">
        <f>HYPERLINK("http://www.firstcoastnews.com/story/news/crime/2014/03/15/lake-city-killed-police/6457449/","http://www.firstcoastnews.com/story/news/crime/2014/03/15/lake-city-killed-police/6457449/")</f>
        <v>http://www.firstcoastnews.com/story/news/crime/2014/03/15/lake-city-killed-police/6457449/</v>
      </c>
      <c r="R6369" s="33" t="s">
        <v>94</v>
      </c>
      <c r="S6369" s="33" t="s">
        <v>22</v>
      </c>
      <c r="T6369" s="1" t="s">
        <v>26781</v>
      </c>
      <c r="Z6369" s="33" t="s">
        <v>42967</v>
      </c>
      <c r="AA6369" s="33">
        <v>1297</v>
      </c>
    </row>
    <row r="6370" spans="1:27" ht="13.5" customHeight="1" x14ac:dyDescent="0.15">
      <c r="A6370" s="33" t="s">
        <v>10074</v>
      </c>
      <c r="B6370" s="33">
        <v>26</v>
      </c>
      <c r="C6370" s="33" t="s">
        <v>14</v>
      </c>
      <c r="D6370" s="33" t="s">
        <v>42</v>
      </c>
      <c r="F6370" s="67">
        <v>41711</v>
      </c>
      <c r="G6370" s="33" t="s">
        <v>10075</v>
      </c>
      <c r="H6370" s="33" t="s">
        <v>584</v>
      </c>
      <c r="I6370" s="33" t="s">
        <v>112</v>
      </c>
      <c r="J6370" s="33" t="s">
        <v>5849</v>
      </c>
      <c r="K6370" s="33" t="s">
        <v>585</v>
      </c>
      <c r="L6370" s="33" t="s">
        <v>586</v>
      </c>
      <c r="M6370" s="33" t="s">
        <v>21</v>
      </c>
      <c r="N6370" s="33" t="s">
        <v>10076</v>
      </c>
      <c r="O6370" s="33" t="s">
        <v>950</v>
      </c>
      <c r="P6370" s="33" t="s">
        <v>30089</v>
      </c>
      <c r="Q6370" s="40" t="s">
        <v>10077</v>
      </c>
      <c r="R6370" s="33" t="s">
        <v>512</v>
      </c>
      <c r="S6370" s="33" t="s">
        <v>12</v>
      </c>
      <c r="T6370" s="54" t="s">
        <v>29705</v>
      </c>
      <c r="Z6370" s="33" t="s">
        <v>42968</v>
      </c>
      <c r="AA6370" s="33">
        <v>1295</v>
      </c>
    </row>
    <row r="6371" spans="1:27" ht="13.5" customHeight="1" x14ac:dyDescent="0.15">
      <c r="A6371" s="33" t="s">
        <v>10078</v>
      </c>
      <c r="B6371" s="33">
        <v>60</v>
      </c>
      <c r="C6371" s="33" t="s">
        <v>14</v>
      </c>
      <c r="D6371" s="33" t="s">
        <v>24</v>
      </c>
      <c r="F6371" s="67">
        <v>41711</v>
      </c>
      <c r="G6371" s="33" t="s">
        <v>10079</v>
      </c>
      <c r="H6371" s="33" t="s">
        <v>10080</v>
      </c>
      <c r="I6371" s="33" t="s">
        <v>39</v>
      </c>
      <c r="J6371" s="33" t="s">
        <v>10081</v>
      </c>
      <c r="K6371" s="33" t="s">
        <v>6921</v>
      </c>
      <c r="L6371" s="33" t="s">
        <v>10082</v>
      </c>
      <c r="M6371" s="33" t="s">
        <v>21</v>
      </c>
      <c r="N6371" s="33" t="s">
        <v>10083</v>
      </c>
      <c r="O6371" s="33" t="s">
        <v>950</v>
      </c>
      <c r="P6371" s="33" t="s">
        <v>30089</v>
      </c>
      <c r="Q6371" s="40" t="s">
        <v>10084</v>
      </c>
      <c r="R6371" s="33" t="s">
        <v>512</v>
      </c>
      <c r="S6371" s="33" t="s">
        <v>22</v>
      </c>
      <c r="T6371" s="1" t="s">
        <v>26781</v>
      </c>
      <c r="Z6371" s="33" t="s">
        <v>42968</v>
      </c>
      <c r="AA6371" s="33">
        <v>1294</v>
      </c>
    </row>
    <row r="6372" spans="1:27" ht="13.5" customHeight="1" x14ac:dyDescent="0.15">
      <c r="A6372" s="33" t="s">
        <v>10096</v>
      </c>
      <c r="B6372" s="33">
        <v>49</v>
      </c>
      <c r="C6372" s="33" t="s">
        <v>14</v>
      </c>
      <c r="D6372" s="33" t="s">
        <v>31</v>
      </c>
      <c r="E6372" s="33" t="s">
        <v>10097</v>
      </c>
      <c r="F6372" s="67">
        <v>41710</v>
      </c>
      <c r="G6372" s="33" t="s">
        <v>10098</v>
      </c>
      <c r="H6372" s="33" t="s">
        <v>1459</v>
      </c>
      <c r="I6372" s="33" t="s">
        <v>106</v>
      </c>
      <c r="J6372" s="33" t="s">
        <v>10099</v>
      </c>
      <c r="K6372" s="33" t="s">
        <v>1461</v>
      </c>
      <c r="L6372" s="33" t="s">
        <v>16039</v>
      </c>
      <c r="M6372" s="33" t="s">
        <v>21</v>
      </c>
      <c r="N6372" s="33" t="s">
        <v>10100</v>
      </c>
      <c r="O6372" s="33" t="s">
        <v>507</v>
      </c>
      <c r="P6372" s="33" t="s">
        <v>30089</v>
      </c>
      <c r="Q6372" s="40" t="s">
        <v>10101</v>
      </c>
      <c r="R6372" s="33" t="s">
        <v>512</v>
      </c>
      <c r="S6372" s="33" t="s">
        <v>22</v>
      </c>
      <c r="T6372" s="1" t="s">
        <v>26781</v>
      </c>
      <c r="Z6372" s="33" t="s">
        <v>42968</v>
      </c>
      <c r="AA6372" s="33">
        <v>1291</v>
      </c>
    </row>
    <row r="6373" spans="1:27" ht="13.5" customHeight="1" x14ac:dyDescent="0.15">
      <c r="A6373" s="33" t="s">
        <v>10085</v>
      </c>
      <c r="B6373" s="33">
        <v>25</v>
      </c>
      <c r="C6373" s="33" t="s">
        <v>14</v>
      </c>
      <c r="D6373" s="33" t="s">
        <v>31</v>
      </c>
      <c r="F6373" s="67">
        <v>41710</v>
      </c>
      <c r="G6373" s="33" t="s">
        <v>10086</v>
      </c>
      <c r="H6373" s="33" t="s">
        <v>2663</v>
      </c>
      <c r="I6373" s="33" t="s">
        <v>39</v>
      </c>
      <c r="J6373" s="33">
        <v>92346</v>
      </c>
      <c r="K6373" s="33" t="s">
        <v>288</v>
      </c>
      <c r="L6373" s="33" t="s">
        <v>289</v>
      </c>
      <c r="M6373" s="33" t="s">
        <v>21</v>
      </c>
      <c r="N6373" s="33" t="s">
        <v>10087</v>
      </c>
      <c r="P6373" s="33" t="s">
        <v>30089</v>
      </c>
      <c r="Q6373" s="40" t="s">
        <v>10088</v>
      </c>
      <c r="R6373" s="33" t="s">
        <v>23</v>
      </c>
      <c r="S6373" s="33" t="s">
        <v>22</v>
      </c>
      <c r="T6373" s="1" t="s">
        <v>26585</v>
      </c>
      <c r="Z6373" s="33" t="s">
        <v>42968</v>
      </c>
      <c r="AA6373" s="33">
        <v>1293</v>
      </c>
    </row>
    <row r="6374" spans="1:27" ht="13.5" customHeight="1" x14ac:dyDescent="0.15">
      <c r="A6374" s="33" t="s">
        <v>10089</v>
      </c>
      <c r="B6374" s="33">
        <v>38</v>
      </c>
      <c r="C6374" s="33" t="s">
        <v>14</v>
      </c>
      <c r="D6374" s="33" t="s">
        <v>31</v>
      </c>
      <c r="E6374" s="33" t="s">
        <v>10090</v>
      </c>
      <c r="F6374" s="67">
        <v>41710</v>
      </c>
      <c r="G6374" s="33" t="s">
        <v>10091</v>
      </c>
      <c r="H6374" s="33" t="s">
        <v>1800</v>
      </c>
      <c r="I6374" s="33" t="s">
        <v>338</v>
      </c>
      <c r="J6374" s="33" t="s">
        <v>10092</v>
      </c>
      <c r="K6374" s="33" t="s">
        <v>10093</v>
      </c>
      <c r="L6374" s="33" t="s">
        <v>36832</v>
      </c>
      <c r="M6374" s="33" t="s">
        <v>21</v>
      </c>
      <c r="N6374" s="33" t="s">
        <v>10094</v>
      </c>
      <c r="O6374" s="33" t="s">
        <v>950</v>
      </c>
      <c r="P6374" s="33" t="s">
        <v>30089</v>
      </c>
      <c r="Q6374" s="40" t="s">
        <v>10095</v>
      </c>
      <c r="R6374" s="33" t="s">
        <v>23</v>
      </c>
      <c r="S6374" s="33" t="s">
        <v>22</v>
      </c>
      <c r="T6374" s="1" t="s">
        <v>26781</v>
      </c>
      <c r="Z6374" s="33" t="s">
        <v>42967</v>
      </c>
      <c r="AA6374" s="33">
        <v>1292</v>
      </c>
    </row>
    <row r="6375" spans="1:27" ht="13.5" customHeight="1" x14ac:dyDescent="0.15">
      <c r="A6375" s="33" t="s">
        <v>10102</v>
      </c>
      <c r="B6375" s="33" t="s">
        <v>23</v>
      </c>
      <c r="C6375" s="33" t="s">
        <v>14</v>
      </c>
      <c r="D6375" s="33" t="s">
        <v>31</v>
      </c>
      <c r="F6375" s="67">
        <v>41709</v>
      </c>
      <c r="G6375" s="33" t="s">
        <v>10103</v>
      </c>
      <c r="H6375" s="33" t="s">
        <v>10104</v>
      </c>
      <c r="I6375" s="33" t="s">
        <v>56</v>
      </c>
      <c r="J6375" s="33" t="s">
        <v>10105</v>
      </c>
      <c r="K6375" s="33" t="s">
        <v>107</v>
      </c>
      <c r="L6375" s="33" t="s">
        <v>108</v>
      </c>
      <c r="M6375" s="33" t="s">
        <v>21</v>
      </c>
      <c r="N6375" s="33" t="s">
        <v>10106</v>
      </c>
      <c r="O6375" s="33" t="s">
        <v>507</v>
      </c>
      <c r="P6375" s="33" t="s">
        <v>30089</v>
      </c>
      <c r="Q6375" s="40" t="s">
        <v>10107</v>
      </c>
      <c r="R6375" s="33" t="s">
        <v>23</v>
      </c>
      <c r="S6375" s="33" t="s">
        <v>12</v>
      </c>
      <c r="T6375" s="33" t="s">
        <v>29425</v>
      </c>
      <c r="Z6375" s="33" t="s">
        <v>42967</v>
      </c>
      <c r="AA6375" s="33">
        <v>1290</v>
      </c>
    </row>
    <row r="6376" spans="1:27" ht="13.5" customHeight="1" x14ac:dyDescent="0.15">
      <c r="A6376" s="33" t="s">
        <v>10108</v>
      </c>
      <c r="B6376" s="33">
        <v>53</v>
      </c>
      <c r="C6376" s="33" t="s">
        <v>14</v>
      </c>
      <c r="D6376" s="33" t="s">
        <v>31</v>
      </c>
      <c r="E6376" s="33" t="s">
        <v>10109</v>
      </c>
      <c r="F6376" s="67">
        <v>41709</v>
      </c>
      <c r="G6376" s="33" t="s">
        <v>10110</v>
      </c>
      <c r="H6376" s="33" t="s">
        <v>834</v>
      </c>
      <c r="I6376" s="33" t="s">
        <v>294</v>
      </c>
      <c r="J6376" s="33" t="s">
        <v>10111</v>
      </c>
      <c r="K6376" s="33" t="s">
        <v>1659</v>
      </c>
      <c r="L6376" s="33" t="s">
        <v>10112</v>
      </c>
      <c r="M6376" s="33" t="s">
        <v>21</v>
      </c>
      <c r="N6376" s="33" t="s">
        <v>10113</v>
      </c>
      <c r="O6376" s="33" t="s">
        <v>507</v>
      </c>
      <c r="P6376" s="33" t="s">
        <v>30089</v>
      </c>
      <c r="Q6376" s="40" t="s">
        <v>10114</v>
      </c>
      <c r="R6376" s="33" t="s">
        <v>94</v>
      </c>
      <c r="S6376" s="33" t="s">
        <v>22</v>
      </c>
      <c r="T6376" s="1" t="s">
        <v>26774</v>
      </c>
      <c r="Z6376" s="33" t="s">
        <v>42966</v>
      </c>
      <c r="AA6376" s="33">
        <v>1289</v>
      </c>
    </row>
    <row r="6377" spans="1:27" ht="13.5" customHeight="1" x14ac:dyDescent="0.15">
      <c r="A6377" s="33" t="s">
        <v>3002</v>
      </c>
      <c r="B6377" s="33">
        <v>30</v>
      </c>
      <c r="C6377" s="33" t="s">
        <v>14</v>
      </c>
      <c r="D6377" s="33" t="s">
        <v>24</v>
      </c>
      <c r="F6377" s="67">
        <v>41708</v>
      </c>
      <c r="G6377" s="33" t="s">
        <v>10125</v>
      </c>
      <c r="H6377" s="33" t="s">
        <v>415</v>
      </c>
      <c r="I6377" s="33" t="s">
        <v>51</v>
      </c>
      <c r="J6377" s="33" t="s">
        <v>10126</v>
      </c>
      <c r="K6377" s="33" t="s">
        <v>1057</v>
      </c>
      <c r="L6377" s="33" t="s">
        <v>4359</v>
      </c>
      <c r="M6377" s="33" t="s">
        <v>21</v>
      </c>
      <c r="N6377" s="33" t="s">
        <v>10127</v>
      </c>
      <c r="O6377" s="33" t="s">
        <v>950</v>
      </c>
      <c r="P6377" s="33" t="s">
        <v>30089</v>
      </c>
      <c r="Q6377" s="40" t="s">
        <v>10128</v>
      </c>
      <c r="R6377" s="33" t="s">
        <v>23</v>
      </c>
      <c r="S6377" s="33" t="s">
        <v>22</v>
      </c>
      <c r="T6377" s="1" t="s">
        <v>26781</v>
      </c>
      <c r="Y6377" s="33" t="s">
        <v>42476</v>
      </c>
      <c r="Z6377" s="33" t="s">
        <v>42968</v>
      </c>
      <c r="AA6377" s="33">
        <v>1283</v>
      </c>
    </row>
    <row r="6378" spans="1:27" ht="13.5" customHeight="1" x14ac:dyDescent="0.15">
      <c r="A6378" s="33" t="s">
        <v>10118</v>
      </c>
      <c r="B6378" s="33">
        <v>25</v>
      </c>
      <c r="C6378" s="33" t="s">
        <v>14</v>
      </c>
      <c r="D6378" s="33" t="s">
        <v>42</v>
      </c>
      <c r="E6378" s="33" t="s">
        <v>10119</v>
      </c>
      <c r="F6378" s="67">
        <v>41708</v>
      </c>
      <c r="G6378" s="33" t="s">
        <v>10120</v>
      </c>
      <c r="H6378" s="33" t="s">
        <v>3585</v>
      </c>
      <c r="I6378" s="33" t="s">
        <v>112</v>
      </c>
      <c r="J6378" s="33" t="s">
        <v>10121</v>
      </c>
      <c r="K6378" s="33" t="s">
        <v>585</v>
      </c>
      <c r="L6378" s="33" t="s">
        <v>10122</v>
      </c>
      <c r="M6378" s="33" t="s">
        <v>21</v>
      </c>
      <c r="N6378" s="33" t="s">
        <v>10123</v>
      </c>
      <c r="O6378" s="33" t="s">
        <v>950</v>
      </c>
      <c r="P6378" s="33" t="s">
        <v>30089</v>
      </c>
      <c r="Q6378" s="40" t="s">
        <v>10124</v>
      </c>
      <c r="R6378" s="33" t="s">
        <v>94</v>
      </c>
      <c r="S6378" s="33" t="s">
        <v>22</v>
      </c>
      <c r="T6378" s="1" t="s">
        <v>26774</v>
      </c>
      <c r="Z6378" s="33" t="s">
        <v>42968</v>
      </c>
      <c r="AA6378" s="33">
        <v>1287</v>
      </c>
    </row>
    <row r="6379" spans="1:27" ht="13.5" customHeight="1" x14ac:dyDescent="0.15">
      <c r="A6379" s="33" t="s">
        <v>10129</v>
      </c>
      <c r="B6379" s="33">
        <v>47</v>
      </c>
      <c r="C6379" s="33" t="s">
        <v>14</v>
      </c>
      <c r="D6379" s="33" t="s">
        <v>31</v>
      </c>
      <c r="E6379" s="33" t="s">
        <v>10130</v>
      </c>
      <c r="F6379" s="67">
        <v>41708</v>
      </c>
      <c r="G6379" s="33" t="s">
        <v>10131</v>
      </c>
      <c r="H6379" s="33" t="s">
        <v>10132</v>
      </c>
      <c r="I6379" s="33" t="s">
        <v>402</v>
      </c>
      <c r="J6379" s="33" t="s">
        <v>10133</v>
      </c>
      <c r="K6379" s="33" t="s">
        <v>10134</v>
      </c>
      <c r="L6379" s="33" t="s">
        <v>10135</v>
      </c>
      <c r="M6379" s="33" t="s">
        <v>21</v>
      </c>
      <c r="N6379" s="33" t="s">
        <v>36833</v>
      </c>
      <c r="O6379" s="33" t="s">
        <v>507</v>
      </c>
      <c r="P6379" s="33" t="s">
        <v>30089</v>
      </c>
      <c r="Q6379" s="40" t="s">
        <v>10136</v>
      </c>
      <c r="R6379" s="33" t="s">
        <v>512</v>
      </c>
      <c r="S6379" s="33" t="s">
        <v>22</v>
      </c>
      <c r="T6379" s="1" t="s">
        <v>26781</v>
      </c>
      <c r="Z6379" s="33" t="s">
        <v>42968</v>
      </c>
      <c r="AA6379" s="33">
        <v>1285</v>
      </c>
    </row>
    <row r="6380" spans="1:27" ht="13.5" customHeight="1" x14ac:dyDescent="0.15">
      <c r="A6380" s="33" t="s">
        <v>10115</v>
      </c>
      <c r="B6380" s="33">
        <v>38</v>
      </c>
      <c r="C6380" s="33" t="s">
        <v>14</v>
      </c>
      <c r="D6380" s="33" t="s">
        <v>79</v>
      </c>
      <c r="F6380" s="67">
        <v>41708</v>
      </c>
      <c r="G6380" s="33" t="s">
        <v>10116</v>
      </c>
      <c r="H6380" s="33" t="s">
        <v>249</v>
      </c>
      <c r="I6380" s="33" t="s">
        <v>250</v>
      </c>
      <c r="J6380" s="33" t="s">
        <v>6231</v>
      </c>
      <c r="K6380" s="33" t="s">
        <v>527</v>
      </c>
      <c r="L6380" s="33" t="s">
        <v>251</v>
      </c>
      <c r="M6380" s="33" t="s">
        <v>21</v>
      </c>
      <c r="N6380" s="33" t="s">
        <v>10117</v>
      </c>
      <c r="O6380" s="33" t="s">
        <v>950</v>
      </c>
      <c r="P6380" s="33" t="s">
        <v>30089</v>
      </c>
      <c r="Q6380" s="40" t="str">
        <f>HYPERLINK("http://www.reviewjournal.com/news/las-vegas/north-las-vegas-police-face-lawsuit-deadly-shooting-homeless-man","http://www.reviewjournal.com/news/las-vegas/north-las-vegas-police-face-lawsuit-deadly-shooting-homeless-man")</f>
        <v>http://www.reviewjournal.com/news/las-vegas/north-las-vegas-police-face-lawsuit-deadly-shooting-homeless-man</v>
      </c>
      <c r="R6380" s="33" t="s">
        <v>23</v>
      </c>
      <c r="S6380" s="33" t="s">
        <v>22</v>
      </c>
      <c r="T6380" s="1" t="s">
        <v>26774</v>
      </c>
      <c r="Z6380" s="33" t="s">
        <v>42968</v>
      </c>
      <c r="AA6380" s="33">
        <v>1286</v>
      </c>
    </row>
    <row r="6381" spans="1:27" ht="13.5" customHeight="1" x14ac:dyDescent="0.15">
      <c r="A6381" s="33" t="s">
        <v>10141</v>
      </c>
      <c r="B6381" s="33">
        <v>23</v>
      </c>
      <c r="C6381" s="33" t="s">
        <v>14</v>
      </c>
      <c r="D6381" s="33" t="s">
        <v>31</v>
      </c>
      <c r="E6381" s="33" t="s">
        <v>10142</v>
      </c>
      <c r="F6381" s="67">
        <v>41708</v>
      </c>
      <c r="G6381" s="33" t="s">
        <v>10143</v>
      </c>
      <c r="H6381" s="33" t="s">
        <v>10144</v>
      </c>
      <c r="I6381" s="33" t="s">
        <v>337</v>
      </c>
      <c r="J6381" s="33" t="s">
        <v>10145</v>
      </c>
      <c r="K6381" s="33" t="s">
        <v>974</v>
      </c>
      <c r="L6381" s="33" t="s">
        <v>6829</v>
      </c>
      <c r="M6381" s="33" t="s">
        <v>21</v>
      </c>
      <c r="N6381" s="33" t="s">
        <v>10146</v>
      </c>
      <c r="O6381" s="33" t="s">
        <v>950</v>
      </c>
      <c r="P6381" s="33" t="s">
        <v>30089</v>
      </c>
      <c r="Q6381" s="40" t="s">
        <v>10147</v>
      </c>
      <c r="R6381" s="33" t="s">
        <v>94</v>
      </c>
      <c r="S6381" s="33" t="s">
        <v>22</v>
      </c>
      <c r="T6381" s="1" t="s">
        <v>26781</v>
      </c>
      <c r="Z6381" s="33" t="s">
        <v>42967</v>
      </c>
      <c r="AA6381" s="33">
        <v>1284</v>
      </c>
    </row>
    <row r="6382" spans="1:27" ht="13.5" customHeight="1" x14ac:dyDescent="0.15">
      <c r="A6382" s="33" t="s">
        <v>10137</v>
      </c>
      <c r="B6382" s="33">
        <v>35</v>
      </c>
      <c r="C6382" s="33" t="s">
        <v>14</v>
      </c>
      <c r="D6382" s="33" t="s">
        <v>31</v>
      </c>
      <c r="F6382" s="67">
        <v>41708</v>
      </c>
      <c r="G6382" s="33" t="s">
        <v>10138</v>
      </c>
      <c r="H6382" s="33" t="s">
        <v>1863</v>
      </c>
      <c r="I6382" s="33" t="s">
        <v>468</v>
      </c>
      <c r="J6382" s="33" t="s">
        <v>10139</v>
      </c>
      <c r="K6382" s="33" t="s">
        <v>10140</v>
      </c>
      <c r="L6382" s="33" t="s">
        <v>36938</v>
      </c>
      <c r="M6382" s="33" t="s">
        <v>21</v>
      </c>
      <c r="N6382" s="33" t="s">
        <v>19062</v>
      </c>
      <c r="O6382" s="33" t="s">
        <v>507</v>
      </c>
      <c r="P6382" s="33" t="s">
        <v>30089</v>
      </c>
      <c r="Q6382" s="40" t="s">
        <v>19063</v>
      </c>
      <c r="R6382" s="33" t="s">
        <v>94</v>
      </c>
      <c r="S6382" s="33" t="s">
        <v>12</v>
      </c>
      <c r="T6382" s="54" t="s">
        <v>29705</v>
      </c>
      <c r="Z6382" s="33" t="s">
        <v>42968</v>
      </c>
      <c r="AA6382" s="33">
        <v>1288</v>
      </c>
    </row>
    <row r="6383" spans="1:27" ht="13.5" customHeight="1" x14ac:dyDescent="0.15">
      <c r="A6383" s="33" t="s">
        <v>10148</v>
      </c>
      <c r="B6383" s="33">
        <v>40</v>
      </c>
      <c r="C6383" s="33" t="s">
        <v>14</v>
      </c>
      <c r="D6383" s="33" t="s">
        <v>15</v>
      </c>
      <c r="E6383" s="33" t="s">
        <v>10149</v>
      </c>
      <c r="F6383" s="67">
        <v>41707</v>
      </c>
      <c r="G6383" s="33" t="s">
        <v>10150</v>
      </c>
      <c r="H6383" s="33" t="s">
        <v>10151</v>
      </c>
      <c r="I6383" s="33" t="s">
        <v>38</v>
      </c>
      <c r="J6383" s="33" t="s">
        <v>10152</v>
      </c>
      <c r="K6383" s="33" t="s">
        <v>1179</v>
      </c>
      <c r="L6383" s="33" t="s">
        <v>10153</v>
      </c>
      <c r="M6383" s="33" t="s">
        <v>21</v>
      </c>
      <c r="N6383" s="33" t="s">
        <v>10154</v>
      </c>
      <c r="O6383" s="33" t="s">
        <v>950</v>
      </c>
      <c r="P6383" s="33" t="s">
        <v>30089</v>
      </c>
      <c r="Q6383" s="40" t="s">
        <v>10155</v>
      </c>
      <c r="R6383" s="33" t="s">
        <v>94</v>
      </c>
      <c r="S6383" s="33" t="s">
        <v>22</v>
      </c>
      <c r="T6383" s="1" t="s">
        <v>26774</v>
      </c>
      <c r="Z6383" s="33" t="s">
        <v>42968</v>
      </c>
      <c r="AA6383" s="33">
        <v>1280</v>
      </c>
    </row>
    <row r="6384" spans="1:27" ht="13.5" customHeight="1" x14ac:dyDescent="0.15">
      <c r="A6384" s="33" t="s">
        <v>10174</v>
      </c>
      <c r="B6384" s="33">
        <v>60</v>
      </c>
      <c r="C6384" s="33" t="s">
        <v>14</v>
      </c>
      <c r="D6384" s="33" t="s">
        <v>24</v>
      </c>
      <c r="F6384" s="67">
        <v>41707</v>
      </c>
      <c r="G6384" s="33" t="s">
        <v>10175</v>
      </c>
      <c r="H6384" s="33" t="s">
        <v>10176</v>
      </c>
      <c r="I6384" s="33" t="s">
        <v>160</v>
      </c>
      <c r="J6384" s="33" t="s">
        <v>10177</v>
      </c>
      <c r="K6384" s="33" t="s">
        <v>10178</v>
      </c>
      <c r="L6384" s="33" t="s">
        <v>10179</v>
      </c>
      <c r="M6384" s="33" t="s">
        <v>21</v>
      </c>
      <c r="N6384" s="33" t="s">
        <v>10180</v>
      </c>
      <c r="O6384" s="33" t="s">
        <v>507</v>
      </c>
      <c r="P6384" s="33" t="s">
        <v>30089</v>
      </c>
      <c r="Q6384" s="40" t="s">
        <v>10181</v>
      </c>
      <c r="R6384" s="33" t="s">
        <v>94</v>
      </c>
      <c r="S6384" s="33" t="s">
        <v>22</v>
      </c>
      <c r="T6384" s="1" t="s">
        <v>26781</v>
      </c>
      <c r="Z6384" s="33" t="s">
        <v>42967</v>
      </c>
      <c r="AA6384" s="33">
        <v>1279</v>
      </c>
    </row>
    <row r="6385" spans="1:27" ht="13.5" customHeight="1" x14ac:dyDescent="0.15">
      <c r="A6385" s="33" t="s">
        <v>10168</v>
      </c>
      <c r="B6385" s="33">
        <v>15</v>
      </c>
      <c r="C6385" s="33" t="s">
        <v>14</v>
      </c>
      <c r="D6385" s="33" t="s">
        <v>42</v>
      </c>
      <c r="E6385" s="33" t="s">
        <v>10169</v>
      </c>
      <c r="F6385" s="67">
        <v>41707</v>
      </c>
      <c r="G6385" s="33" t="s">
        <v>10170</v>
      </c>
      <c r="H6385" s="33" t="s">
        <v>550</v>
      </c>
      <c r="I6385" s="33" t="s">
        <v>67</v>
      </c>
      <c r="J6385" s="33" t="s">
        <v>10171</v>
      </c>
      <c r="K6385" s="33" t="s">
        <v>551</v>
      </c>
      <c r="L6385" s="33" t="s">
        <v>552</v>
      </c>
      <c r="M6385" s="33" t="s">
        <v>21</v>
      </c>
      <c r="N6385" s="33" t="s">
        <v>10172</v>
      </c>
      <c r="O6385" s="33" t="s">
        <v>507</v>
      </c>
      <c r="P6385" s="33" t="s">
        <v>30089</v>
      </c>
      <c r="Q6385" s="40" t="s">
        <v>10173</v>
      </c>
      <c r="R6385" s="33" t="s">
        <v>94</v>
      </c>
      <c r="S6385" s="33" t="s">
        <v>22</v>
      </c>
      <c r="T6385" s="1" t="s">
        <v>26781</v>
      </c>
      <c r="Z6385" s="33" t="s">
        <v>42968</v>
      </c>
      <c r="AA6385" s="33">
        <v>1278</v>
      </c>
    </row>
    <row r="6386" spans="1:27" ht="13.5" customHeight="1" x14ac:dyDescent="0.15">
      <c r="A6386" s="33" t="s">
        <v>10161</v>
      </c>
      <c r="B6386" s="33">
        <v>31</v>
      </c>
      <c r="C6386" s="33" t="s">
        <v>14</v>
      </c>
      <c r="D6386" s="33" t="s">
        <v>79</v>
      </c>
      <c r="F6386" s="67">
        <v>41707</v>
      </c>
      <c r="G6386" s="33" t="s">
        <v>10162</v>
      </c>
      <c r="H6386" s="33" t="s">
        <v>10163</v>
      </c>
      <c r="I6386" s="33" t="s">
        <v>56</v>
      </c>
      <c r="J6386" s="33" t="s">
        <v>10164</v>
      </c>
      <c r="K6386" s="33" t="s">
        <v>10165</v>
      </c>
      <c r="L6386" s="33" t="s">
        <v>10166</v>
      </c>
      <c r="M6386" s="33" t="s">
        <v>21</v>
      </c>
      <c r="N6386" s="33" t="s">
        <v>10167</v>
      </c>
      <c r="O6386" s="33" t="s">
        <v>950</v>
      </c>
      <c r="P6386" s="33" t="s">
        <v>30089</v>
      </c>
      <c r="Q6386" s="40" t="str">
        <f>HYPERLINK("http://www.newssun.com/news/article_513fe971-a208-543b-8a5c-71ff2376804d.html","http://www.newssun.com/news/article_513fe971-a208-543b-8a5c-71ff2376804d.html")</f>
        <v>http://www.newssun.com/news/article_513fe971-a208-543b-8a5c-71ff2376804d.html</v>
      </c>
      <c r="R6386" s="33" t="s">
        <v>512</v>
      </c>
      <c r="S6386" s="33" t="s">
        <v>22</v>
      </c>
      <c r="T6386" s="1" t="s">
        <v>26781</v>
      </c>
      <c r="Z6386" s="33" t="s">
        <v>42967</v>
      </c>
      <c r="AA6386" s="33">
        <v>1277</v>
      </c>
    </row>
    <row r="6387" spans="1:27" ht="13.5" customHeight="1" x14ac:dyDescent="0.15">
      <c r="A6387" s="33" t="s">
        <v>10182</v>
      </c>
      <c r="B6387" s="33">
        <v>52</v>
      </c>
      <c r="C6387" s="33" t="s">
        <v>14</v>
      </c>
      <c r="D6387" s="33" t="s">
        <v>31</v>
      </c>
      <c r="E6387" s="33" t="s">
        <v>10183</v>
      </c>
      <c r="F6387" s="67">
        <v>41707</v>
      </c>
      <c r="G6387" s="33" t="s">
        <v>10184</v>
      </c>
      <c r="H6387" s="33" t="s">
        <v>6588</v>
      </c>
      <c r="I6387" s="33" t="s">
        <v>309</v>
      </c>
      <c r="J6387" s="33" t="s">
        <v>10185</v>
      </c>
      <c r="K6387" s="33" t="s">
        <v>6590</v>
      </c>
      <c r="L6387" s="33" t="s">
        <v>10186</v>
      </c>
      <c r="M6387" s="33" t="s">
        <v>21</v>
      </c>
      <c r="N6387" s="33" t="s">
        <v>10187</v>
      </c>
      <c r="O6387" s="33" t="s">
        <v>507</v>
      </c>
      <c r="P6387" s="33" t="s">
        <v>30089</v>
      </c>
      <c r="Q6387" s="40" t="s">
        <v>10188</v>
      </c>
      <c r="R6387" s="33" t="s">
        <v>512</v>
      </c>
      <c r="S6387" s="33" t="s">
        <v>351</v>
      </c>
      <c r="T6387" s="1" t="s">
        <v>42983</v>
      </c>
      <c r="Z6387" s="33" t="s">
        <v>42967</v>
      </c>
      <c r="AA6387" s="33">
        <v>1282</v>
      </c>
    </row>
    <row r="6388" spans="1:27" ht="13.5" customHeight="1" x14ac:dyDescent="0.15">
      <c r="A6388" s="33" t="s">
        <v>10156</v>
      </c>
      <c r="B6388" s="33">
        <v>22</v>
      </c>
      <c r="C6388" s="33" t="s">
        <v>14</v>
      </c>
      <c r="D6388" s="33" t="s">
        <v>79</v>
      </c>
      <c r="E6388" s="33" t="s">
        <v>10157</v>
      </c>
      <c r="F6388" s="67">
        <v>41707</v>
      </c>
      <c r="G6388" s="33" t="s">
        <v>10158</v>
      </c>
      <c r="H6388" s="33" t="s">
        <v>7836</v>
      </c>
      <c r="I6388" s="33" t="s">
        <v>19</v>
      </c>
      <c r="J6388" s="33" t="s">
        <v>7837</v>
      </c>
      <c r="K6388" s="33" t="s">
        <v>7838</v>
      </c>
      <c r="L6388" s="33" t="s">
        <v>7839</v>
      </c>
      <c r="M6388" s="33" t="s">
        <v>21</v>
      </c>
      <c r="N6388" s="33" t="s">
        <v>10159</v>
      </c>
      <c r="O6388" s="33" t="s">
        <v>372</v>
      </c>
      <c r="P6388" s="33" t="s">
        <v>30089</v>
      </c>
      <c r="Q6388" s="40" t="s">
        <v>10160</v>
      </c>
      <c r="R6388" s="33" t="s">
        <v>23</v>
      </c>
      <c r="S6388" s="33" t="s">
        <v>29</v>
      </c>
      <c r="T6388" s="33" t="s">
        <v>41840</v>
      </c>
      <c r="Z6388" s="33" t="s">
        <v>42968</v>
      </c>
      <c r="AA6388" s="33">
        <v>1281</v>
      </c>
    </row>
    <row r="6389" spans="1:27" ht="13.5" customHeight="1" x14ac:dyDescent="0.15">
      <c r="A6389" s="33" t="s">
        <v>10189</v>
      </c>
      <c r="B6389" s="33">
        <v>21</v>
      </c>
      <c r="C6389" s="33" t="s">
        <v>14</v>
      </c>
      <c r="D6389" s="33" t="s">
        <v>79</v>
      </c>
      <c r="E6389" s="33" t="s">
        <v>10190</v>
      </c>
      <c r="F6389" s="67">
        <v>41706</v>
      </c>
      <c r="G6389" s="33" t="s">
        <v>10191</v>
      </c>
      <c r="H6389" s="33" t="s">
        <v>10192</v>
      </c>
      <c r="I6389" s="33" t="s">
        <v>88</v>
      </c>
      <c r="J6389" s="33" t="s">
        <v>10193</v>
      </c>
      <c r="K6389" s="33" t="s">
        <v>3995</v>
      </c>
      <c r="L6389" s="33" t="s">
        <v>10194</v>
      </c>
      <c r="M6389" s="33" t="s">
        <v>21</v>
      </c>
      <c r="N6389" s="33" t="s">
        <v>10195</v>
      </c>
      <c r="O6389" s="33" t="s">
        <v>507</v>
      </c>
      <c r="P6389" s="33" t="s">
        <v>30089</v>
      </c>
      <c r="Q6389" s="40" t="s">
        <v>10196</v>
      </c>
      <c r="R6389" s="33" t="s">
        <v>94</v>
      </c>
      <c r="S6389" s="33" t="s">
        <v>29</v>
      </c>
      <c r="T6389" s="33" t="s">
        <v>41840</v>
      </c>
      <c r="Z6389" s="33" t="s">
        <v>42967</v>
      </c>
      <c r="AA6389" s="33">
        <v>1276</v>
      </c>
    </row>
    <row r="6390" spans="1:27" ht="13.5" customHeight="1" x14ac:dyDescent="0.15">
      <c r="A6390" s="33" t="s">
        <v>10197</v>
      </c>
      <c r="B6390" s="33">
        <v>50</v>
      </c>
      <c r="C6390" s="33" t="s">
        <v>14</v>
      </c>
      <c r="D6390" s="33" t="s">
        <v>24</v>
      </c>
      <c r="F6390" s="67">
        <v>41706</v>
      </c>
      <c r="G6390" s="33" t="s">
        <v>10198</v>
      </c>
      <c r="H6390" s="33" t="s">
        <v>1537</v>
      </c>
      <c r="I6390" s="33" t="s">
        <v>39</v>
      </c>
      <c r="J6390" s="33" t="s">
        <v>10199</v>
      </c>
      <c r="K6390" s="33" t="s">
        <v>1537</v>
      </c>
      <c r="L6390" s="33" t="s">
        <v>2166</v>
      </c>
      <c r="M6390" s="33" t="s">
        <v>21</v>
      </c>
      <c r="N6390" s="33" t="s">
        <v>10200</v>
      </c>
      <c r="O6390" s="33" t="s">
        <v>950</v>
      </c>
      <c r="P6390" s="33" t="s">
        <v>30089</v>
      </c>
      <c r="Q6390" s="40" t="s">
        <v>10201</v>
      </c>
      <c r="R6390" s="33" t="s">
        <v>23</v>
      </c>
      <c r="S6390" s="33" t="s">
        <v>22</v>
      </c>
      <c r="T6390" s="1" t="s">
        <v>26774</v>
      </c>
      <c r="Z6390" s="33" t="s">
        <v>42966</v>
      </c>
      <c r="AA6390" s="33">
        <v>1275</v>
      </c>
    </row>
    <row r="6391" spans="1:27" ht="13.5" customHeight="1" x14ac:dyDescent="0.15">
      <c r="A6391" s="33" t="s">
        <v>10207</v>
      </c>
      <c r="B6391" s="33">
        <v>48</v>
      </c>
      <c r="C6391" s="33" t="s">
        <v>103</v>
      </c>
      <c r="D6391" s="33" t="s">
        <v>31</v>
      </c>
      <c r="F6391" s="67">
        <v>41705</v>
      </c>
      <c r="G6391" s="33" t="s">
        <v>10208</v>
      </c>
      <c r="H6391" s="33" t="s">
        <v>183</v>
      </c>
      <c r="I6391" s="33" t="s">
        <v>39</v>
      </c>
      <c r="J6391" s="33" t="s">
        <v>10209</v>
      </c>
      <c r="K6391" s="33" t="s">
        <v>183</v>
      </c>
      <c r="L6391" s="33" t="s">
        <v>184</v>
      </c>
      <c r="M6391" s="33" t="s">
        <v>21</v>
      </c>
      <c r="N6391" s="33" t="s">
        <v>10210</v>
      </c>
      <c r="O6391" s="33" t="s">
        <v>950</v>
      </c>
      <c r="P6391" s="33" t="s">
        <v>30089</v>
      </c>
      <c r="Q6391" s="40" t="str">
        <f>HYPERLINK("http://collegian.csufresno.edu/2014/03/07/woman-shot-twice-killed-by-fresno-police-officer-in-apartment-complex-west-of-campus/","http://collegian.csufresno.edu/2014/03/07/woman-shot-twice-killed-by-fresno-police-officer-in-apartment-complex-west-of-campus/")</f>
        <v>http://collegian.csufresno.edu/2014/03/07/woman-shot-twice-killed-by-fresno-police-officer-in-apartment-complex-west-of-campus/</v>
      </c>
      <c r="R6391" s="33" t="s">
        <v>512</v>
      </c>
      <c r="S6391" s="33" t="s">
        <v>22</v>
      </c>
      <c r="T6391" s="1" t="s">
        <v>26774</v>
      </c>
      <c r="Z6391" s="33" t="s">
        <v>42968</v>
      </c>
      <c r="AA6391" s="33">
        <v>1273</v>
      </c>
    </row>
    <row r="6392" spans="1:27" ht="13.5" customHeight="1" x14ac:dyDescent="0.15">
      <c r="A6392" s="33" t="s">
        <v>10211</v>
      </c>
      <c r="B6392" s="33">
        <v>34</v>
      </c>
      <c r="C6392" s="33" t="s">
        <v>103</v>
      </c>
      <c r="D6392" s="33" t="s">
        <v>31</v>
      </c>
      <c r="E6392" s="33" t="s">
        <v>10212</v>
      </c>
      <c r="F6392" s="67">
        <v>41705</v>
      </c>
      <c r="G6392" s="33" t="s">
        <v>10213</v>
      </c>
      <c r="H6392" s="33" t="s">
        <v>10214</v>
      </c>
      <c r="I6392" s="33" t="s">
        <v>376</v>
      </c>
      <c r="J6392" s="33" t="s">
        <v>10215</v>
      </c>
      <c r="K6392" s="33" t="s">
        <v>995</v>
      </c>
      <c r="L6392" s="33" t="s">
        <v>8484</v>
      </c>
      <c r="M6392" s="33" t="s">
        <v>21</v>
      </c>
      <c r="N6392" s="33" t="s">
        <v>10216</v>
      </c>
      <c r="O6392" s="33" t="s">
        <v>3109</v>
      </c>
      <c r="P6392" s="33" t="s">
        <v>30089</v>
      </c>
      <c r="Q6392" s="40" t="s">
        <v>10217</v>
      </c>
      <c r="R6392" s="33" t="s">
        <v>94</v>
      </c>
      <c r="S6392" s="33" t="s">
        <v>12</v>
      </c>
      <c r="T6392" s="54" t="s">
        <v>29705</v>
      </c>
      <c r="Z6392" s="33" t="s">
        <v>42966</v>
      </c>
      <c r="AA6392" s="33">
        <v>1274</v>
      </c>
    </row>
    <row r="6393" spans="1:27" ht="13.5" customHeight="1" x14ac:dyDescent="0.15">
      <c r="A6393" s="33" t="s">
        <v>10222</v>
      </c>
      <c r="B6393" s="33">
        <v>23</v>
      </c>
      <c r="C6393" s="33" t="s">
        <v>14</v>
      </c>
      <c r="D6393" s="33" t="s">
        <v>79</v>
      </c>
      <c r="F6393" s="67">
        <v>41704</v>
      </c>
      <c r="G6393" s="33" t="s">
        <v>10223</v>
      </c>
      <c r="H6393" s="33" t="s">
        <v>92</v>
      </c>
      <c r="I6393" s="33" t="s">
        <v>39</v>
      </c>
      <c r="J6393" s="33">
        <v>90003</v>
      </c>
      <c r="K6393" s="33" t="s">
        <v>92</v>
      </c>
      <c r="L6393" s="33" t="s">
        <v>93</v>
      </c>
      <c r="M6393" s="33" t="s">
        <v>21</v>
      </c>
      <c r="N6393" s="33" t="s">
        <v>36834</v>
      </c>
      <c r="P6393" s="33" t="s">
        <v>30089</v>
      </c>
      <c r="Q6393" s="40" t="s">
        <v>10224</v>
      </c>
      <c r="R6393" s="33" t="s">
        <v>23</v>
      </c>
      <c r="S6393" s="33" t="s">
        <v>29</v>
      </c>
      <c r="T6393" s="1" t="s">
        <v>41840</v>
      </c>
      <c r="Z6393" s="33" t="s">
        <v>42966</v>
      </c>
      <c r="AA6393" s="33">
        <v>1272</v>
      </c>
    </row>
    <row r="6394" spans="1:27" ht="13.5" customHeight="1" x14ac:dyDescent="0.15">
      <c r="A6394" s="33" t="s">
        <v>3002</v>
      </c>
      <c r="B6394" s="33" t="s">
        <v>23</v>
      </c>
      <c r="C6394" s="33" t="s">
        <v>14</v>
      </c>
      <c r="D6394" s="33" t="s">
        <v>79</v>
      </c>
      <c r="F6394" s="67">
        <v>41704</v>
      </c>
      <c r="G6394" s="33" t="s">
        <v>10218</v>
      </c>
      <c r="H6394" s="33" t="s">
        <v>674</v>
      </c>
      <c r="I6394" s="33" t="s">
        <v>67</v>
      </c>
      <c r="J6394" s="33" t="s">
        <v>10219</v>
      </c>
      <c r="K6394" s="33" t="s">
        <v>515</v>
      </c>
      <c r="L6394" s="33" t="s">
        <v>675</v>
      </c>
      <c r="M6394" s="33" t="s">
        <v>21</v>
      </c>
      <c r="N6394" s="33" t="s">
        <v>10220</v>
      </c>
      <c r="O6394" s="33" t="s">
        <v>950</v>
      </c>
      <c r="P6394" s="33" t="s">
        <v>30089</v>
      </c>
      <c r="Q6394" s="40" t="s">
        <v>10221</v>
      </c>
      <c r="R6394" s="33" t="s">
        <v>94</v>
      </c>
      <c r="S6394" s="33" t="s">
        <v>22</v>
      </c>
      <c r="T6394" s="1" t="s">
        <v>26781</v>
      </c>
      <c r="Y6394" s="33" t="s">
        <v>42476</v>
      </c>
      <c r="Z6394" s="33" t="s">
        <v>42968</v>
      </c>
      <c r="AA6394" s="33">
        <v>1268</v>
      </c>
    </row>
    <row r="6395" spans="1:27" ht="13.5" customHeight="1" x14ac:dyDescent="0.15">
      <c r="A6395" s="33" t="s">
        <v>10225</v>
      </c>
      <c r="B6395" s="33">
        <v>47</v>
      </c>
      <c r="C6395" s="33" t="s">
        <v>14</v>
      </c>
      <c r="D6395" s="33" t="s">
        <v>31</v>
      </c>
      <c r="E6395" s="33" t="s">
        <v>10226</v>
      </c>
      <c r="F6395" s="67">
        <v>41704</v>
      </c>
      <c r="G6395" s="33" t="s">
        <v>10227</v>
      </c>
      <c r="H6395" s="33" t="s">
        <v>505</v>
      </c>
      <c r="I6395" s="33" t="s">
        <v>798</v>
      </c>
      <c r="J6395" s="33" t="s">
        <v>10228</v>
      </c>
      <c r="K6395" s="33" t="s">
        <v>10229</v>
      </c>
      <c r="L6395" s="33" t="s">
        <v>10230</v>
      </c>
      <c r="M6395" s="33" t="s">
        <v>21</v>
      </c>
      <c r="N6395" s="33" t="s">
        <v>10231</v>
      </c>
      <c r="O6395" s="33" t="s">
        <v>950</v>
      </c>
      <c r="P6395" s="33" t="s">
        <v>30089</v>
      </c>
      <c r="Q6395" s="40" t="s">
        <v>10232</v>
      </c>
      <c r="R6395" s="33" t="s">
        <v>94</v>
      </c>
      <c r="S6395" s="33" t="s">
        <v>22</v>
      </c>
      <c r="T6395" s="1" t="s">
        <v>26781</v>
      </c>
      <c r="Z6395" s="33" t="s">
        <v>42967</v>
      </c>
      <c r="AA6395" s="33">
        <v>1271</v>
      </c>
    </row>
    <row r="6396" spans="1:27" ht="13.5" customHeight="1" x14ac:dyDescent="0.15">
      <c r="A6396" s="33" t="s">
        <v>10233</v>
      </c>
      <c r="B6396" s="33">
        <v>28</v>
      </c>
      <c r="C6396" s="33" t="s">
        <v>14</v>
      </c>
      <c r="D6396" s="33" t="s">
        <v>31</v>
      </c>
      <c r="E6396" s="33" t="s">
        <v>10234</v>
      </c>
      <c r="F6396" s="67">
        <v>41704</v>
      </c>
      <c r="G6396" s="33" t="s">
        <v>10235</v>
      </c>
      <c r="H6396" s="33" t="s">
        <v>6784</v>
      </c>
      <c r="I6396" s="33" t="s">
        <v>367</v>
      </c>
      <c r="J6396" s="33" t="s">
        <v>10236</v>
      </c>
      <c r="K6396" s="33" t="s">
        <v>6784</v>
      </c>
      <c r="L6396" s="33" t="s">
        <v>10237</v>
      </c>
      <c r="M6396" s="33" t="s">
        <v>21</v>
      </c>
      <c r="N6396" s="33" t="s">
        <v>10238</v>
      </c>
      <c r="O6396" s="33" t="s">
        <v>507</v>
      </c>
      <c r="P6396" s="33" t="s">
        <v>30089</v>
      </c>
      <c r="Q6396" s="40" t="s">
        <v>10239</v>
      </c>
      <c r="R6396" s="33" t="s">
        <v>94</v>
      </c>
      <c r="S6396" s="33" t="s">
        <v>22</v>
      </c>
      <c r="T6396" s="1" t="s">
        <v>26781</v>
      </c>
      <c r="Z6396" s="33" t="s">
        <v>42967</v>
      </c>
      <c r="AA6396" s="33">
        <v>1270</v>
      </c>
    </row>
    <row r="6397" spans="1:27" ht="13.5" customHeight="1" x14ac:dyDescent="0.15">
      <c r="A6397" s="33" t="s">
        <v>10240</v>
      </c>
      <c r="B6397" s="33">
        <v>55</v>
      </c>
      <c r="C6397" s="33" t="s">
        <v>14</v>
      </c>
      <c r="D6397" s="33" t="s">
        <v>31</v>
      </c>
      <c r="E6397" s="33" t="s">
        <v>10241</v>
      </c>
      <c r="F6397" s="67">
        <v>41704</v>
      </c>
      <c r="G6397" s="33" t="s">
        <v>10242</v>
      </c>
      <c r="H6397" s="33" t="s">
        <v>359</v>
      </c>
      <c r="I6397" s="33" t="s">
        <v>298</v>
      </c>
      <c r="J6397" s="33" t="s">
        <v>6646</v>
      </c>
      <c r="K6397" s="33" t="s">
        <v>2476</v>
      </c>
      <c r="L6397" s="33" t="s">
        <v>7149</v>
      </c>
      <c r="M6397" s="33" t="s">
        <v>21</v>
      </c>
      <c r="N6397" s="33" t="s">
        <v>10243</v>
      </c>
      <c r="O6397" s="33" t="s">
        <v>950</v>
      </c>
      <c r="P6397" s="33" t="s">
        <v>30089</v>
      </c>
      <c r="Q6397" s="40" t="s">
        <v>10244</v>
      </c>
      <c r="R6397" s="33" t="s">
        <v>512</v>
      </c>
      <c r="S6397" s="33" t="s">
        <v>22</v>
      </c>
      <c r="T6397" s="1" t="s">
        <v>26781</v>
      </c>
      <c r="Z6397" s="33" t="s">
        <v>42968</v>
      </c>
      <c r="AA6397" s="33">
        <v>1269</v>
      </c>
    </row>
    <row r="6398" spans="1:27" ht="13.5" customHeight="1" x14ac:dyDescent="0.15">
      <c r="A6398" s="33" t="s">
        <v>10245</v>
      </c>
      <c r="B6398" s="33">
        <v>52</v>
      </c>
      <c r="C6398" s="33" t="s">
        <v>14</v>
      </c>
      <c r="D6398" s="33" t="s">
        <v>79</v>
      </c>
      <c r="E6398" s="33" t="s">
        <v>10246</v>
      </c>
      <c r="F6398" s="67">
        <v>41703</v>
      </c>
      <c r="G6398" s="33" t="s">
        <v>10247</v>
      </c>
      <c r="H6398" s="33" t="s">
        <v>8861</v>
      </c>
      <c r="I6398" s="33" t="s">
        <v>918</v>
      </c>
      <c r="J6398" s="33" t="s">
        <v>10248</v>
      </c>
      <c r="K6398" s="33" t="s">
        <v>2312</v>
      </c>
      <c r="L6398" s="33" t="s">
        <v>10249</v>
      </c>
      <c r="M6398" s="33" t="s">
        <v>21</v>
      </c>
      <c r="N6398" s="33" t="s">
        <v>10250</v>
      </c>
      <c r="O6398" s="33" t="s">
        <v>372</v>
      </c>
      <c r="P6398" s="33" t="s">
        <v>30089</v>
      </c>
      <c r="Q6398" s="40" t="s">
        <v>10251</v>
      </c>
      <c r="R6398" s="33" t="s">
        <v>23</v>
      </c>
      <c r="S6398" s="33" t="s">
        <v>29</v>
      </c>
      <c r="T6398" s="1" t="s">
        <v>43004</v>
      </c>
      <c r="Z6398" s="33" t="s">
        <v>42966</v>
      </c>
      <c r="AA6398" s="33">
        <v>1263</v>
      </c>
    </row>
    <row r="6399" spans="1:27" ht="13.5" customHeight="1" x14ac:dyDescent="0.15">
      <c r="A6399" s="33" t="s">
        <v>10275</v>
      </c>
      <c r="B6399" s="33">
        <v>27</v>
      </c>
      <c r="C6399" s="33" t="s">
        <v>14</v>
      </c>
      <c r="D6399" s="33" t="s">
        <v>31</v>
      </c>
      <c r="E6399" s="33" t="s">
        <v>10276</v>
      </c>
      <c r="F6399" s="67">
        <v>41703</v>
      </c>
      <c r="G6399" s="33" t="s">
        <v>10277</v>
      </c>
      <c r="H6399" s="33" t="s">
        <v>197</v>
      </c>
      <c r="I6399" s="33" t="s">
        <v>198</v>
      </c>
      <c r="J6399" s="33" t="s">
        <v>10278</v>
      </c>
      <c r="K6399" s="33" t="s">
        <v>392</v>
      </c>
      <c r="L6399" s="33" t="s">
        <v>199</v>
      </c>
      <c r="M6399" s="33" t="s">
        <v>21</v>
      </c>
      <c r="N6399" s="33" t="s">
        <v>10279</v>
      </c>
      <c r="O6399" s="33" t="s">
        <v>23</v>
      </c>
      <c r="P6399" s="33" t="s">
        <v>30089</v>
      </c>
      <c r="Q6399" s="40" t="str">
        <f>HYPERLINK("http://www.indystar.com/story/news/crime/2014/03/05/4-indianapolis-swat-officers-shot-suspect-is-killed/6097619/","http://www.indystar.com/story/news/crime/2014/03/05/4-indianapolis-swat-officers-shot-suspect-is-killed/6097619/")</f>
        <v>http://www.indystar.com/story/news/crime/2014/03/05/4-indianapolis-swat-officers-shot-suspect-is-killed/6097619/</v>
      </c>
      <c r="R6399" s="33" t="s">
        <v>904</v>
      </c>
      <c r="S6399" s="33" t="s">
        <v>22</v>
      </c>
      <c r="T6399" s="1" t="s">
        <v>26781</v>
      </c>
      <c r="Z6399" s="33" t="s">
        <v>42966</v>
      </c>
      <c r="AA6399" s="33">
        <v>1266</v>
      </c>
    </row>
    <row r="6400" spans="1:27" ht="13.5" customHeight="1" x14ac:dyDescent="0.15">
      <c r="A6400" s="33" t="s">
        <v>10252</v>
      </c>
      <c r="B6400" s="33">
        <v>23</v>
      </c>
      <c r="C6400" s="33" t="s">
        <v>14</v>
      </c>
      <c r="D6400" s="33" t="s">
        <v>42</v>
      </c>
      <c r="F6400" s="67">
        <v>41703</v>
      </c>
      <c r="G6400" s="33" t="s">
        <v>10253</v>
      </c>
      <c r="H6400" s="33" t="s">
        <v>10254</v>
      </c>
      <c r="I6400" s="33" t="s">
        <v>56</v>
      </c>
      <c r="J6400" s="33" t="s">
        <v>10255</v>
      </c>
      <c r="K6400" s="33" t="s">
        <v>10256</v>
      </c>
      <c r="L6400" s="33" t="s">
        <v>10257</v>
      </c>
      <c r="M6400" s="33" t="s">
        <v>21</v>
      </c>
      <c r="N6400" s="33" t="s">
        <v>10258</v>
      </c>
      <c r="O6400" s="33" t="s">
        <v>372</v>
      </c>
      <c r="P6400" s="33" t="s">
        <v>30089</v>
      </c>
      <c r="Q6400" s="40" t="s">
        <v>10259</v>
      </c>
      <c r="R6400" s="33" t="s">
        <v>94</v>
      </c>
      <c r="S6400" s="33" t="s">
        <v>22</v>
      </c>
      <c r="T6400" s="1" t="s">
        <v>26781</v>
      </c>
      <c r="Z6400" s="33" t="s">
        <v>42967</v>
      </c>
      <c r="AA6400" s="33">
        <v>1264</v>
      </c>
    </row>
    <row r="6401" spans="1:27" ht="13.5" customHeight="1" x14ac:dyDescent="0.15">
      <c r="A6401" s="33" t="s">
        <v>10260</v>
      </c>
      <c r="B6401" s="33">
        <v>23</v>
      </c>
      <c r="C6401" s="33" t="s">
        <v>14</v>
      </c>
      <c r="D6401" s="33" t="s">
        <v>42</v>
      </c>
      <c r="E6401" s="33" t="s">
        <v>10261</v>
      </c>
      <c r="F6401" s="67">
        <v>41703</v>
      </c>
      <c r="G6401" s="33" t="s">
        <v>10262</v>
      </c>
      <c r="H6401" s="33" t="s">
        <v>4307</v>
      </c>
      <c r="I6401" s="33" t="s">
        <v>192</v>
      </c>
      <c r="J6401" s="33" t="s">
        <v>10263</v>
      </c>
      <c r="K6401" s="33" t="s">
        <v>4307</v>
      </c>
      <c r="L6401" s="33" t="s">
        <v>4309</v>
      </c>
      <c r="M6401" s="33" t="s">
        <v>21</v>
      </c>
      <c r="N6401" s="33" t="s">
        <v>10264</v>
      </c>
      <c r="O6401" s="33" t="s">
        <v>507</v>
      </c>
      <c r="P6401" s="33" t="s">
        <v>30089</v>
      </c>
      <c r="Q6401" s="40" t="s">
        <v>10265</v>
      </c>
      <c r="R6401" s="33" t="s">
        <v>94</v>
      </c>
      <c r="S6401" s="33" t="s">
        <v>22</v>
      </c>
      <c r="T6401" s="1" t="s">
        <v>26781</v>
      </c>
      <c r="Z6401" s="33" t="s">
        <v>42968</v>
      </c>
      <c r="AA6401" s="33">
        <v>1265</v>
      </c>
    </row>
    <row r="6402" spans="1:27" ht="13.5" customHeight="1" x14ac:dyDescent="0.15">
      <c r="A6402" s="33" t="s">
        <v>10266</v>
      </c>
      <c r="B6402" s="33">
        <v>50</v>
      </c>
      <c r="C6402" s="33" t="s">
        <v>14</v>
      </c>
      <c r="D6402" s="33" t="s">
        <v>31</v>
      </c>
      <c r="E6402" s="33" t="s">
        <v>10267</v>
      </c>
      <c r="F6402" s="67">
        <v>41703</v>
      </c>
      <c r="G6402" s="33" t="s">
        <v>10268</v>
      </c>
      <c r="H6402" s="33" t="s">
        <v>10269</v>
      </c>
      <c r="I6402" s="33" t="s">
        <v>402</v>
      </c>
      <c r="J6402" s="33" t="s">
        <v>10270</v>
      </c>
      <c r="K6402" s="33" t="s">
        <v>10271</v>
      </c>
      <c r="L6402" s="33" t="s">
        <v>10272</v>
      </c>
      <c r="M6402" s="33" t="s">
        <v>21</v>
      </c>
      <c r="N6402" s="33" t="s">
        <v>10273</v>
      </c>
      <c r="O6402" s="33" t="s">
        <v>507</v>
      </c>
      <c r="P6402" s="33" t="s">
        <v>30089</v>
      </c>
      <c r="Q6402" s="40" t="s">
        <v>10274</v>
      </c>
      <c r="R6402" s="33" t="s">
        <v>904</v>
      </c>
      <c r="S6402" s="33" t="s">
        <v>12</v>
      </c>
      <c r="T6402" s="54" t="s">
        <v>29705</v>
      </c>
      <c r="Z6402" s="33" t="s">
        <v>42967</v>
      </c>
      <c r="AA6402" s="33">
        <v>1267</v>
      </c>
    </row>
    <row r="6403" spans="1:27" ht="13.5" customHeight="1" x14ac:dyDescent="0.15">
      <c r="A6403" s="33" t="s">
        <v>10280</v>
      </c>
      <c r="B6403" s="33">
        <v>41</v>
      </c>
      <c r="C6403" s="33" t="s">
        <v>14</v>
      </c>
      <c r="D6403" s="33" t="s">
        <v>79</v>
      </c>
      <c r="E6403" s="33" t="s">
        <v>10281</v>
      </c>
      <c r="F6403" s="67">
        <v>41702</v>
      </c>
      <c r="G6403" s="33" t="s">
        <v>10282</v>
      </c>
      <c r="H6403" s="33" t="s">
        <v>9240</v>
      </c>
      <c r="I6403" s="33" t="s">
        <v>56</v>
      </c>
      <c r="J6403" s="33" t="s">
        <v>10283</v>
      </c>
      <c r="K6403" s="33" t="s">
        <v>590</v>
      </c>
      <c r="L6403" s="33" t="s">
        <v>591</v>
      </c>
      <c r="M6403" s="33" t="s">
        <v>21</v>
      </c>
      <c r="N6403" s="33" t="s">
        <v>10284</v>
      </c>
      <c r="O6403" s="33" t="s">
        <v>950</v>
      </c>
      <c r="P6403" s="33" t="s">
        <v>30089</v>
      </c>
      <c r="Q6403" s="40" t="s">
        <v>10285</v>
      </c>
      <c r="R6403" s="33" t="s">
        <v>512</v>
      </c>
      <c r="S6403" s="33" t="s">
        <v>22</v>
      </c>
      <c r="T6403" s="1" t="s">
        <v>26774</v>
      </c>
      <c r="Z6403" s="33" t="s">
        <v>42968</v>
      </c>
      <c r="AA6403" s="33">
        <v>1260</v>
      </c>
    </row>
    <row r="6404" spans="1:27" ht="13.5" customHeight="1" x14ac:dyDescent="0.15">
      <c r="A6404" s="33" t="s">
        <v>10291</v>
      </c>
      <c r="B6404" s="33">
        <v>44</v>
      </c>
      <c r="C6404" s="33" t="s">
        <v>14</v>
      </c>
      <c r="D6404" s="33" t="s">
        <v>31</v>
      </c>
      <c r="E6404" s="33" t="s">
        <v>10292</v>
      </c>
      <c r="F6404" s="67">
        <v>41702</v>
      </c>
      <c r="G6404" s="33" t="s">
        <v>10293</v>
      </c>
      <c r="H6404" s="33" t="s">
        <v>10294</v>
      </c>
      <c r="I6404" s="33" t="s">
        <v>51</v>
      </c>
      <c r="J6404" s="33" t="s">
        <v>10295</v>
      </c>
      <c r="K6404" s="33" t="s">
        <v>557</v>
      </c>
      <c r="L6404" s="33" t="s">
        <v>16823</v>
      </c>
      <c r="M6404" s="33" t="s">
        <v>21</v>
      </c>
      <c r="N6404" s="33" t="s">
        <v>10296</v>
      </c>
      <c r="O6404" s="33" t="s">
        <v>372</v>
      </c>
      <c r="P6404" s="33" t="s">
        <v>30089</v>
      </c>
      <c r="Q6404" s="40" t="s">
        <v>10297</v>
      </c>
      <c r="R6404" s="33" t="s">
        <v>904</v>
      </c>
      <c r="S6404" s="33" t="s">
        <v>22</v>
      </c>
      <c r="T6404" s="1" t="s">
        <v>26781</v>
      </c>
      <c r="Z6404" s="33" t="s">
        <v>42968</v>
      </c>
      <c r="AA6404" s="33">
        <v>1259</v>
      </c>
    </row>
    <row r="6405" spans="1:27" ht="13.5" customHeight="1" x14ac:dyDescent="0.15">
      <c r="A6405" s="33" t="s">
        <v>10298</v>
      </c>
      <c r="B6405" s="33">
        <v>24</v>
      </c>
      <c r="C6405" s="33" t="s">
        <v>103</v>
      </c>
      <c r="D6405" s="33" t="s">
        <v>31</v>
      </c>
      <c r="E6405" s="33" t="s">
        <v>10299</v>
      </c>
      <c r="F6405" s="67">
        <v>41702</v>
      </c>
      <c r="G6405" s="33" t="s">
        <v>10300</v>
      </c>
      <c r="H6405" s="33" t="s">
        <v>10301</v>
      </c>
      <c r="I6405" s="33" t="s">
        <v>26</v>
      </c>
      <c r="J6405" s="33" t="s">
        <v>10302</v>
      </c>
      <c r="K6405" s="33" t="s">
        <v>2643</v>
      </c>
      <c r="L6405" s="33" t="s">
        <v>10303</v>
      </c>
      <c r="M6405" s="33" t="s">
        <v>21</v>
      </c>
      <c r="N6405" s="33" t="s">
        <v>10304</v>
      </c>
      <c r="O6405" s="33" t="s">
        <v>950</v>
      </c>
      <c r="P6405" s="33" t="s">
        <v>30089</v>
      </c>
      <c r="Q6405" s="40" t="s">
        <v>10305</v>
      </c>
      <c r="R6405" s="33" t="s">
        <v>94</v>
      </c>
      <c r="S6405" s="33" t="s">
        <v>351</v>
      </c>
      <c r="T6405" s="1" t="s">
        <v>42983</v>
      </c>
      <c r="Z6405" s="33" t="s">
        <v>42968</v>
      </c>
      <c r="AA6405" s="33">
        <v>1262</v>
      </c>
    </row>
    <row r="6406" spans="1:27" ht="13.5" customHeight="1" x14ac:dyDescent="0.15">
      <c r="A6406" s="33" t="s">
        <v>10286</v>
      </c>
      <c r="B6406" s="33">
        <v>20</v>
      </c>
      <c r="C6406" s="33" t="s">
        <v>14</v>
      </c>
      <c r="D6406" s="33" t="s">
        <v>42</v>
      </c>
      <c r="F6406" s="67">
        <v>41702</v>
      </c>
      <c r="G6406" s="33" t="s">
        <v>10287</v>
      </c>
      <c r="H6406" s="33" t="s">
        <v>709</v>
      </c>
      <c r="I6406" s="33" t="s">
        <v>56</v>
      </c>
      <c r="J6406" s="33" t="s">
        <v>10288</v>
      </c>
      <c r="K6406" s="33" t="s">
        <v>148</v>
      </c>
      <c r="L6406" s="33" t="s">
        <v>149</v>
      </c>
      <c r="M6406" s="33" t="s">
        <v>21</v>
      </c>
      <c r="N6406" s="33" t="s">
        <v>10289</v>
      </c>
      <c r="O6406" s="33" t="s">
        <v>950</v>
      </c>
      <c r="P6406" s="33" t="s">
        <v>30089</v>
      </c>
      <c r="Q6406" s="40" t="s">
        <v>10290</v>
      </c>
      <c r="R6406" s="33" t="s">
        <v>512</v>
      </c>
      <c r="S6406" s="33" t="s">
        <v>22</v>
      </c>
      <c r="T6406" s="1" t="s">
        <v>26774</v>
      </c>
      <c r="Z6406" s="33" t="s">
        <v>42968</v>
      </c>
      <c r="AA6406" s="33">
        <v>1261</v>
      </c>
    </row>
    <row r="6407" spans="1:27" ht="13.5" customHeight="1" x14ac:dyDescent="0.15">
      <c r="A6407" s="33" t="s">
        <v>10313</v>
      </c>
      <c r="B6407" s="33">
        <v>28</v>
      </c>
      <c r="C6407" s="33" t="s">
        <v>14</v>
      </c>
      <c r="D6407" s="33" t="s">
        <v>31</v>
      </c>
      <c r="E6407" s="33" t="s">
        <v>10314</v>
      </c>
      <c r="F6407" s="67">
        <v>41701</v>
      </c>
      <c r="G6407" s="33" t="s">
        <v>10315</v>
      </c>
      <c r="H6407" s="33" t="s">
        <v>10316</v>
      </c>
      <c r="I6407" s="33" t="s">
        <v>56</v>
      </c>
      <c r="J6407" s="33" t="s">
        <v>10317</v>
      </c>
      <c r="K6407" s="33" t="s">
        <v>964</v>
      </c>
      <c r="L6407" s="33" t="s">
        <v>10318</v>
      </c>
      <c r="M6407" s="33" t="s">
        <v>21</v>
      </c>
      <c r="N6407" s="33" t="s">
        <v>10319</v>
      </c>
      <c r="O6407" s="33" t="s">
        <v>950</v>
      </c>
      <c r="P6407" s="33" t="s">
        <v>30089</v>
      </c>
      <c r="Q6407" s="40" t="s">
        <v>10320</v>
      </c>
      <c r="R6407" s="33" t="s">
        <v>23</v>
      </c>
      <c r="S6407" s="33" t="s">
        <v>22</v>
      </c>
      <c r="T6407" s="1" t="s">
        <v>26585</v>
      </c>
      <c r="Z6407" s="33" t="s">
        <v>42968</v>
      </c>
      <c r="AA6407" s="33">
        <v>1258</v>
      </c>
    </row>
    <row r="6408" spans="1:27" ht="13.5" customHeight="1" x14ac:dyDescent="0.15">
      <c r="A6408" s="33" t="s">
        <v>10321</v>
      </c>
      <c r="B6408" s="33">
        <v>28</v>
      </c>
      <c r="C6408" s="33" t="s">
        <v>14</v>
      </c>
      <c r="D6408" s="33" t="s">
        <v>31</v>
      </c>
      <c r="F6408" s="67">
        <v>41701</v>
      </c>
      <c r="G6408" s="33" t="s">
        <v>10322</v>
      </c>
      <c r="H6408" s="33" t="s">
        <v>584</v>
      </c>
      <c r="I6408" s="33" t="s">
        <v>112</v>
      </c>
      <c r="J6408" s="33" t="s">
        <v>10323</v>
      </c>
      <c r="K6408" s="33" t="s">
        <v>585</v>
      </c>
      <c r="L6408" s="33" t="s">
        <v>586</v>
      </c>
      <c r="M6408" s="33" t="s">
        <v>21</v>
      </c>
      <c r="N6408" s="33" t="s">
        <v>10324</v>
      </c>
      <c r="O6408" s="33" t="s">
        <v>950</v>
      </c>
      <c r="P6408" s="33" t="s">
        <v>30089</v>
      </c>
      <c r="Q6408" s="40" t="s">
        <v>10325</v>
      </c>
      <c r="R6408" s="33" t="s">
        <v>23</v>
      </c>
      <c r="S6408" s="33" t="s">
        <v>22</v>
      </c>
      <c r="T6408" s="1" t="s">
        <v>26781</v>
      </c>
      <c r="Z6408" s="33" t="s">
        <v>42968</v>
      </c>
      <c r="AA6408" s="33">
        <v>1257</v>
      </c>
    </row>
    <row r="6409" spans="1:27" ht="13.5" customHeight="1" x14ac:dyDescent="0.15">
      <c r="A6409" s="33" t="s">
        <v>10306</v>
      </c>
      <c r="B6409" s="33">
        <v>19</v>
      </c>
      <c r="C6409" s="33" t="s">
        <v>14</v>
      </c>
      <c r="D6409" s="33" t="s">
        <v>128</v>
      </c>
      <c r="F6409" s="67">
        <v>41701</v>
      </c>
      <c r="H6409" s="33" t="s">
        <v>10307</v>
      </c>
      <c r="I6409" s="33" t="s">
        <v>798</v>
      </c>
      <c r="J6409" s="33" t="s">
        <v>10308</v>
      </c>
      <c r="K6409" s="33" t="s">
        <v>10309</v>
      </c>
      <c r="L6409" s="33" t="s">
        <v>10310</v>
      </c>
      <c r="M6409" s="33" t="s">
        <v>21</v>
      </c>
      <c r="N6409" s="33" t="s">
        <v>10311</v>
      </c>
      <c r="O6409" s="33" t="s">
        <v>950</v>
      </c>
      <c r="P6409" s="33" t="s">
        <v>30089</v>
      </c>
      <c r="Q6409" s="40" t="s">
        <v>10312</v>
      </c>
      <c r="R6409" s="33" t="s">
        <v>23</v>
      </c>
      <c r="S6409" s="33" t="s">
        <v>22</v>
      </c>
      <c r="T6409" s="1" t="s">
        <v>26781</v>
      </c>
      <c r="Z6409" s="33" t="s">
        <v>42967</v>
      </c>
      <c r="AA6409" s="33">
        <v>1256</v>
      </c>
    </row>
    <row r="6410" spans="1:27" ht="13.5" customHeight="1" x14ac:dyDescent="0.15">
      <c r="A6410" s="33" t="s">
        <v>10332</v>
      </c>
      <c r="B6410" s="33">
        <v>30</v>
      </c>
      <c r="C6410" s="33" t="s">
        <v>14</v>
      </c>
      <c r="D6410" s="33" t="s">
        <v>31</v>
      </c>
      <c r="E6410" s="33" t="s">
        <v>10333</v>
      </c>
      <c r="F6410" s="67">
        <v>41700</v>
      </c>
      <c r="G6410" s="33" t="s">
        <v>10334</v>
      </c>
      <c r="H6410" s="33" t="s">
        <v>10335</v>
      </c>
      <c r="I6410" s="33" t="s">
        <v>19</v>
      </c>
      <c r="J6410" s="33" t="s">
        <v>10336</v>
      </c>
      <c r="K6410" s="33" t="s">
        <v>10335</v>
      </c>
      <c r="L6410" s="33" t="s">
        <v>10337</v>
      </c>
      <c r="M6410" s="33" t="s">
        <v>11646</v>
      </c>
      <c r="N6410" s="33" t="s">
        <v>10338</v>
      </c>
      <c r="O6410" s="33" t="s">
        <v>950</v>
      </c>
      <c r="P6410" s="33" t="s">
        <v>30089</v>
      </c>
      <c r="Q6410" s="40" t="s">
        <v>10339</v>
      </c>
      <c r="R6410" s="33" t="s">
        <v>904</v>
      </c>
      <c r="S6410" s="33" t="s">
        <v>12</v>
      </c>
      <c r="T6410" s="54" t="s">
        <v>29705</v>
      </c>
      <c r="Z6410" s="33" t="s">
        <v>42966</v>
      </c>
      <c r="AA6410" s="33">
        <v>1254</v>
      </c>
    </row>
    <row r="6411" spans="1:27" ht="13.5" customHeight="1" x14ac:dyDescent="0.15">
      <c r="A6411" s="33" t="s">
        <v>10326</v>
      </c>
      <c r="B6411" s="33">
        <v>22</v>
      </c>
      <c r="C6411" s="33" t="s">
        <v>103</v>
      </c>
      <c r="D6411" s="33" t="s">
        <v>42</v>
      </c>
      <c r="F6411" s="67">
        <v>41700</v>
      </c>
      <c r="G6411" s="33" t="s">
        <v>10327</v>
      </c>
      <c r="H6411" s="33" t="s">
        <v>10328</v>
      </c>
      <c r="I6411" s="33" t="s">
        <v>39</v>
      </c>
      <c r="J6411" s="33" t="s">
        <v>10329</v>
      </c>
      <c r="K6411" s="33" t="s">
        <v>1537</v>
      </c>
      <c r="L6411" s="33" t="s">
        <v>1538</v>
      </c>
      <c r="M6411" s="33" t="s">
        <v>21</v>
      </c>
      <c r="N6411" s="33" t="s">
        <v>10330</v>
      </c>
      <c r="O6411" s="33" t="s">
        <v>507</v>
      </c>
      <c r="P6411" s="33" t="s">
        <v>30089</v>
      </c>
      <c r="Q6411" s="40" t="s">
        <v>10331</v>
      </c>
      <c r="R6411" s="33" t="s">
        <v>23</v>
      </c>
      <c r="S6411" s="33" t="s">
        <v>351</v>
      </c>
      <c r="T6411" s="1" t="s">
        <v>42983</v>
      </c>
      <c r="Z6411" s="33" t="s">
        <v>42968</v>
      </c>
      <c r="AA6411" s="33">
        <v>1255</v>
      </c>
    </row>
    <row r="6412" spans="1:27" ht="13.5" customHeight="1" x14ac:dyDescent="0.15">
      <c r="A6412" s="33" t="s">
        <v>10340</v>
      </c>
      <c r="B6412" s="33">
        <v>41</v>
      </c>
      <c r="C6412" s="33" t="s">
        <v>14</v>
      </c>
      <c r="D6412" s="33" t="s">
        <v>31</v>
      </c>
      <c r="F6412" s="67">
        <v>41700</v>
      </c>
      <c r="G6412" s="33" t="s">
        <v>10341</v>
      </c>
      <c r="H6412" s="33" t="s">
        <v>10342</v>
      </c>
      <c r="I6412" s="33" t="s">
        <v>39</v>
      </c>
      <c r="J6412" s="33" t="s">
        <v>10343</v>
      </c>
      <c r="K6412" s="33" t="s">
        <v>1537</v>
      </c>
      <c r="L6412" s="33" t="s">
        <v>22038</v>
      </c>
      <c r="M6412" s="33" t="s">
        <v>21</v>
      </c>
      <c r="N6412" s="33" t="s">
        <v>10344</v>
      </c>
      <c r="O6412" s="33" t="s">
        <v>950</v>
      </c>
      <c r="P6412" s="33" t="s">
        <v>30089</v>
      </c>
      <c r="Q6412" s="40" t="s">
        <v>10345</v>
      </c>
      <c r="R6412" s="33" t="s">
        <v>512</v>
      </c>
      <c r="S6412" s="33" t="s">
        <v>22</v>
      </c>
      <c r="T6412" s="1" t="s">
        <v>26781</v>
      </c>
      <c r="Z6412" s="33" t="s">
        <v>42968</v>
      </c>
      <c r="AA6412" s="33">
        <v>1253</v>
      </c>
    </row>
    <row r="6413" spans="1:27" ht="13.5" customHeight="1" x14ac:dyDescent="0.15">
      <c r="A6413" s="33" t="s">
        <v>10346</v>
      </c>
      <c r="B6413" s="33">
        <v>21</v>
      </c>
      <c r="C6413" s="33" t="s">
        <v>14</v>
      </c>
      <c r="D6413" s="33" t="s">
        <v>31</v>
      </c>
      <c r="F6413" s="67">
        <v>41699</v>
      </c>
      <c r="G6413" s="33" t="s">
        <v>10347</v>
      </c>
      <c r="H6413" s="33" t="s">
        <v>10348</v>
      </c>
      <c r="I6413" s="33" t="s">
        <v>402</v>
      </c>
      <c r="J6413" s="33" t="s">
        <v>10349</v>
      </c>
      <c r="K6413" s="33" t="s">
        <v>9472</v>
      </c>
      <c r="L6413" s="33" t="s">
        <v>10350</v>
      </c>
      <c r="M6413" s="33" t="s">
        <v>21</v>
      </c>
      <c r="N6413" s="33" t="s">
        <v>10351</v>
      </c>
      <c r="O6413" s="33" t="s">
        <v>507</v>
      </c>
      <c r="P6413" s="33" t="s">
        <v>30089</v>
      </c>
      <c r="Q6413" s="40" t="s">
        <v>10352</v>
      </c>
      <c r="R6413" s="33" t="s">
        <v>512</v>
      </c>
      <c r="S6413" s="33" t="s">
        <v>22</v>
      </c>
      <c r="T6413" s="1" t="s">
        <v>26781</v>
      </c>
      <c r="Z6413" s="33" t="s">
        <v>42968</v>
      </c>
      <c r="AA6413" s="33">
        <v>1252</v>
      </c>
    </row>
    <row r="6414" spans="1:27" ht="13.5" customHeight="1" x14ac:dyDescent="0.15">
      <c r="A6414" s="33" t="s">
        <v>10364</v>
      </c>
      <c r="B6414" s="33">
        <v>51</v>
      </c>
      <c r="C6414" s="33" t="s">
        <v>14</v>
      </c>
      <c r="D6414" s="33" t="s">
        <v>31</v>
      </c>
      <c r="E6414" s="33" t="s">
        <v>10365</v>
      </c>
      <c r="F6414" s="67">
        <v>41698</v>
      </c>
      <c r="G6414" s="33" t="s">
        <v>10366</v>
      </c>
      <c r="H6414" s="33" t="s">
        <v>1746</v>
      </c>
      <c r="I6414" s="33" t="s">
        <v>56</v>
      </c>
      <c r="J6414" s="33" t="s">
        <v>10367</v>
      </c>
      <c r="K6414" s="33" t="s">
        <v>1654</v>
      </c>
      <c r="L6414" s="33" t="s">
        <v>3452</v>
      </c>
      <c r="M6414" s="33" t="s">
        <v>21</v>
      </c>
      <c r="N6414" s="33" t="s">
        <v>10368</v>
      </c>
      <c r="O6414" s="33" t="s">
        <v>950</v>
      </c>
      <c r="P6414" s="33" t="s">
        <v>30089</v>
      </c>
      <c r="Q6414" s="40" t="s">
        <v>10369</v>
      </c>
      <c r="R6414" s="33" t="s">
        <v>512</v>
      </c>
      <c r="S6414" s="33" t="s">
        <v>22</v>
      </c>
      <c r="T6414" s="1" t="s">
        <v>26781</v>
      </c>
      <c r="Z6414" s="33" t="s">
        <v>42968</v>
      </c>
      <c r="AA6414" s="33">
        <v>1249</v>
      </c>
    </row>
    <row r="6415" spans="1:27" ht="13.5" customHeight="1" x14ac:dyDescent="0.15">
      <c r="A6415" s="33" t="s">
        <v>10358</v>
      </c>
      <c r="B6415" s="33">
        <v>37</v>
      </c>
      <c r="C6415" s="33" t="s">
        <v>14</v>
      </c>
      <c r="D6415" s="33" t="s">
        <v>42</v>
      </c>
      <c r="E6415" s="33" t="s">
        <v>10359</v>
      </c>
      <c r="F6415" s="67">
        <v>41698</v>
      </c>
      <c r="G6415" s="33" t="s">
        <v>10360</v>
      </c>
      <c r="H6415" s="33" t="s">
        <v>196</v>
      </c>
      <c r="I6415" s="33" t="s">
        <v>56</v>
      </c>
      <c r="J6415" s="33" t="s">
        <v>10361</v>
      </c>
      <c r="K6415" s="33" t="s">
        <v>148</v>
      </c>
      <c r="L6415" s="33" t="s">
        <v>149</v>
      </c>
      <c r="M6415" s="33" t="s">
        <v>363</v>
      </c>
      <c r="N6415" s="33" t="s">
        <v>10362</v>
      </c>
      <c r="O6415" s="33" t="s">
        <v>950</v>
      </c>
      <c r="P6415" s="33" t="s">
        <v>30089</v>
      </c>
      <c r="Q6415" s="40" t="s">
        <v>10363</v>
      </c>
      <c r="R6415" s="33" t="s">
        <v>94</v>
      </c>
      <c r="S6415" s="33" t="s">
        <v>12</v>
      </c>
      <c r="T6415" s="54" t="s">
        <v>29705</v>
      </c>
      <c r="Z6415" s="33" t="s">
        <v>42968</v>
      </c>
      <c r="AA6415" s="33">
        <v>1250</v>
      </c>
    </row>
    <row r="6416" spans="1:27" ht="13.5" customHeight="1" x14ac:dyDescent="0.15">
      <c r="A6416" s="33" t="s">
        <v>10353</v>
      </c>
      <c r="B6416" s="33">
        <v>23</v>
      </c>
      <c r="C6416" s="33" t="s">
        <v>14</v>
      </c>
      <c r="D6416" s="33" t="s">
        <v>79</v>
      </c>
      <c r="E6416" s="33" t="s">
        <v>10354</v>
      </c>
      <c r="F6416" s="67">
        <v>41698</v>
      </c>
      <c r="G6416" s="33" t="s">
        <v>10355</v>
      </c>
      <c r="H6416" s="33" t="s">
        <v>532</v>
      </c>
      <c r="I6416" s="33" t="s">
        <v>67</v>
      </c>
      <c r="J6416" s="33" t="s">
        <v>7502</v>
      </c>
      <c r="K6416" s="33" t="s">
        <v>533</v>
      </c>
      <c r="L6416" s="33" t="s">
        <v>534</v>
      </c>
      <c r="M6416" s="33" t="s">
        <v>21</v>
      </c>
      <c r="N6416" s="33" t="s">
        <v>10356</v>
      </c>
      <c r="O6416" s="33" t="s">
        <v>950</v>
      </c>
      <c r="P6416" s="33" t="s">
        <v>30089</v>
      </c>
      <c r="Q6416" s="40" t="s">
        <v>10357</v>
      </c>
      <c r="R6416" s="33" t="s">
        <v>94</v>
      </c>
      <c r="S6416" s="33" t="s">
        <v>29</v>
      </c>
      <c r="T6416" s="33" t="s">
        <v>41840</v>
      </c>
      <c r="Y6416" s="33" t="s">
        <v>42476</v>
      </c>
      <c r="Z6416" s="33" t="s">
        <v>42966</v>
      </c>
      <c r="AA6416" s="33">
        <v>1251</v>
      </c>
    </row>
    <row r="6417" spans="1:31" ht="13.5" customHeight="1" x14ac:dyDescent="0.15">
      <c r="A6417" s="33" t="s">
        <v>10370</v>
      </c>
      <c r="B6417" s="33">
        <v>27</v>
      </c>
      <c r="C6417" s="33" t="s">
        <v>14</v>
      </c>
      <c r="D6417" s="33" t="s">
        <v>79</v>
      </c>
      <c r="E6417" s="33" t="s">
        <v>10371</v>
      </c>
      <c r="F6417" s="67">
        <v>41697</v>
      </c>
      <c r="G6417" s="33" t="s">
        <v>10372</v>
      </c>
      <c r="H6417" s="33" t="s">
        <v>5902</v>
      </c>
      <c r="I6417" s="33" t="s">
        <v>56</v>
      </c>
      <c r="J6417" s="33" t="s">
        <v>10373</v>
      </c>
      <c r="K6417" s="33" t="s">
        <v>148</v>
      </c>
      <c r="L6417" s="33" t="s">
        <v>5903</v>
      </c>
      <c r="M6417" s="33" t="s">
        <v>21</v>
      </c>
      <c r="N6417" s="33" t="s">
        <v>10374</v>
      </c>
      <c r="O6417" s="33" t="s">
        <v>950</v>
      </c>
      <c r="P6417" s="33" t="s">
        <v>30089</v>
      </c>
      <c r="Q6417" s="40" t="s">
        <v>10375</v>
      </c>
      <c r="R6417" s="33" t="s">
        <v>94</v>
      </c>
      <c r="S6417" s="33" t="s">
        <v>12</v>
      </c>
      <c r="T6417" s="54" t="s">
        <v>29705</v>
      </c>
      <c r="Z6417" s="33" t="s">
        <v>42966</v>
      </c>
      <c r="AA6417" s="33">
        <v>1248</v>
      </c>
    </row>
    <row r="6418" spans="1:31" ht="13.5" customHeight="1" x14ac:dyDescent="0.15">
      <c r="A6418" s="33" t="s">
        <v>3002</v>
      </c>
      <c r="B6418" s="33" t="s">
        <v>23</v>
      </c>
      <c r="C6418" s="33" t="s">
        <v>14</v>
      </c>
      <c r="D6418" s="33" t="s">
        <v>24</v>
      </c>
      <c r="F6418" s="67">
        <v>41696</v>
      </c>
      <c r="G6418" s="33" t="s">
        <v>10382</v>
      </c>
      <c r="H6418" s="33" t="s">
        <v>270</v>
      </c>
      <c r="I6418" s="33" t="s">
        <v>294</v>
      </c>
      <c r="J6418" s="33">
        <v>40065</v>
      </c>
      <c r="K6418" s="33" t="s">
        <v>1117</v>
      </c>
      <c r="L6418" s="33" t="s">
        <v>3101</v>
      </c>
      <c r="M6418" s="33" t="s">
        <v>21</v>
      </c>
      <c r="N6418" s="33" t="s">
        <v>10383</v>
      </c>
      <c r="P6418" s="33" t="s">
        <v>30089</v>
      </c>
      <c r="Q6418" s="40" t="s">
        <v>10384</v>
      </c>
      <c r="R6418" s="33" t="s">
        <v>23</v>
      </c>
      <c r="S6418" s="33" t="s">
        <v>22</v>
      </c>
      <c r="T6418" s="1" t="s">
        <v>26781</v>
      </c>
      <c r="Z6418" s="33" t="s">
        <v>42967</v>
      </c>
      <c r="AA6418" s="33">
        <v>1244</v>
      </c>
    </row>
    <row r="6419" spans="1:31" ht="13.5" customHeight="1" x14ac:dyDescent="0.15">
      <c r="A6419" s="33" t="s">
        <v>10376</v>
      </c>
      <c r="B6419" s="33">
        <v>32</v>
      </c>
      <c r="C6419" s="33" t="s">
        <v>14</v>
      </c>
      <c r="D6419" s="33" t="s">
        <v>15</v>
      </c>
      <c r="F6419" s="67">
        <v>41696</v>
      </c>
      <c r="G6419" s="33" t="s">
        <v>10377</v>
      </c>
      <c r="H6419" s="33" t="s">
        <v>10378</v>
      </c>
      <c r="I6419" s="33" t="s">
        <v>35</v>
      </c>
      <c r="J6419" s="33" t="s">
        <v>10379</v>
      </c>
      <c r="K6419" s="33" t="s">
        <v>4499</v>
      </c>
      <c r="L6419" s="33" t="s">
        <v>37</v>
      </c>
      <c r="M6419" s="33" t="s">
        <v>21</v>
      </c>
      <c r="N6419" s="33" t="s">
        <v>10380</v>
      </c>
      <c r="O6419" s="33" t="s">
        <v>950</v>
      </c>
      <c r="P6419" s="33" t="s">
        <v>30089</v>
      </c>
      <c r="Q6419" s="40" t="s">
        <v>10381</v>
      </c>
      <c r="R6419" s="33" t="s">
        <v>23</v>
      </c>
      <c r="S6419" s="33" t="s">
        <v>22</v>
      </c>
      <c r="T6419" s="1" t="s">
        <v>26612</v>
      </c>
      <c r="Z6419" s="33" t="s">
        <v>42966</v>
      </c>
      <c r="AA6419" s="33">
        <v>1243</v>
      </c>
    </row>
    <row r="6420" spans="1:31" ht="13.5" customHeight="1" x14ac:dyDescent="0.15">
      <c r="A6420" s="33" t="s">
        <v>10390</v>
      </c>
      <c r="B6420" s="33">
        <v>33</v>
      </c>
      <c r="C6420" s="33" t="s">
        <v>14</v>
      </c>
      <c r="D6420" s="33" t="s">
        <v>31</v>
      </c>
      <c r="F6420" s="67">
        <v>41696</v>
      </c>
      <c r="G6420" s="33" t="s">
        <v>10391</v>
      </c>
      <c r="H6420" s="33" t="s">
        <v>10392</v>
      </c>
      <c r="I6420" s="33" t="s">
        <v>38</v>
      </c>
      <c r="J6420" s="33" t="s">
        <v>10393</v>
      </c>
      <c r="K6420" s="33" t="s">
        <v>10394</v>
      </c>
      <c r="L6420" s="33" t="s">
        <v>10395</v>
      </c>
      <c r="M6420" s="33" t="s">
        <v>21</v>
      </c>
      <c r="N6420" s="33" t="s">
        <v>10396</v>
      </c>
      <c r="O6420" s="33" t="s">
        <v>950</v>
      </c>
      <c r="P6420" s="33" t="s">
        <v>30089</v>
      </c>
      <c r="Q6420" s="40" t="str">
        <f>HYPERLINK("http://www.news-gazette.com/news/local/2014-02-26/state-police-investigate-fatal-shooting-after-chase-danville.html","http://www.news-gazette.com/news/local/2014-02-26/state-police-investigate-fatal-shooting-after-chase-danville.html")</f>
        <v>http://www.news-gazette.com/news/local/2014-02-26/state-police-investigate-fatal-shooting-after-chase-danville.html</v>
      </c>
      <c r="R6420" s="33" t="s">
        <v>94</v>
      </c>
      <c r="S6420" s="33" t="s">
        <v>22</v>
      </c>
      <c r="T6420" s="1" t="s">
        <v>26781</v>
      </c>
      <c r="Z6420" s="33" t="s">
        <v>42966</v>
      </c>
      <c r="AA6420" s="33">
        <v>1246</v>
      </c>
    </row>
    <row r="6421" spans="1:31" ht="13.5" customHeight="1" x14ac:dyDescent="0.15">
      <c r="A6421" s="33" t="s">
        <v>10385</v>
      </c>
      <c r="B6421" s="33">
        <v>62</v>
      </c>
      <c r="C6421" s="33" t="s">
        <v>14</v>
      </c>
      <c r="D6421" s="33" t="s">
        <v>31</v>
      </c>
      <c r="E6421" s="33" t="s">
        <v>10386</v>
      </c>
      <c r="F6421" s="67">
        <v>41696</v>
      </c>
      <c r="G6421" s="33" t="s">
        <v>10387</v>
      </c>
      <c r="H6421" s="33" t="s">
        <v>143</v>
      </c>
      <c r="I6421" s="33" t="s">
        <v>39</v>
      </c>
      <c r="J6421" s="33" t="s">
        <v>10388</v>
      </c>
      <c r="K6421" s="33" t="s">
        <v>143</v>
      </c>
      <c r="L6421" s="33" t="s">
        <v>144</v>
      </c>
      <c r="M6421" s="33" t="s">
        <v>21</v>
      </c>
      <c r="N6421" s="33" t="s">
        <v>10389</v>
      </c>
      <c r="O6421" s="33" t="s">
        <v>950</v>
      </c>
      <c r="P6421" s="33" t="s">
        <v>30089</v>
      </c>
      <c r="Q6421" s="40" t="str">
        <f>HYPERLINK("http://www.utsandiego.com/news/2014/feb/26/suicidal-man-rifle-downtown-san-diego/","http://www.utsandiego.com/news/2014/feb/26/suicidal-man-rifle-downtown-san-diego/")</f>
        <v>http://www.utsandiego.com/news/2014/feb/26/suicidal-man-rifle-downtown-san-diego/</v>
      </c>
      <c r="R6421" s="33" t="s">
        <v>512</v>
      </c>
      <c r="S6421" s="33" t="s">
        <v>22</v>
      </c>
      <c r="T6421" s="1" t="s">
        <v>26781</v>
      </c>
      <c r="Z6421" s="33" t="s">
        <v>42966</v>
      </c>
      <c r="AA6421" s="33">
        <v>1245</v>
      </c>
    </row>
    <row r="6422" spans="1:31" ht="13.5" customHeight="1" x14ac:dyDescent="0.15">
      <c r="A6422" s="33" t="s">
        <v>10397</v>
      </c>
      <c r="B6422" s="33">
        <v>42</v>
      </c>
      <c r="C6422" s="33" t="s">
        <v>103</v>
      </c>
      <c r="D6422" s="33" t="s">
        <v>31</v>
      </c>
      <c r="E6422" s="33" t="s">
        <v>10398</v>
      </c>
      <c r="F6422" s="67">
        <v>41696</v>
      </c>
      <c r="G6422" s="33" t="s">
        <v>10399</v>
      </c>
      <c r="H6422" s="33" t="s">
        <v>266</v>
      </c>
      <c r="I6422" s="33" t="s">
        <v>67</v>
      </c>
      <c r="J6422" s="33" t="s">
        <v>9718</v>
      </c>
      <c r="K6422" s="33" t="s">
        <v>266</v>
      </c>
      <c r="L6422" s="33" t="s">
        <v>10400</v>
      </c>
      <c r="M6422" s="33" t="s">
        <v>21</v>
      </c>
      <c r="N6422" s="33" t="s">
        <v>19053</v>
      </c>
      <c r="O6422" s="33" t="s">
        <v>23116</v>
      </c>
      <c r="P6422" s="33" t="s">
        <v>30089</v>
      </c>
      <c r="Q6422" s="40" t="s">
        <v>10401</v>
      </c>
      <c r="R6422" s="33" t="s">
        <v>94</v>
      </c>
      <c r="S6422" s="33" t="s">
        <v>12</v>
      </c>
      <c r="T6422" s="54" t="s">
        <v>29705</v>
      </c>
      <c r="Y6422" s="33" t="s">
        <v>42476</v>
      </c>
      <c r="Z6422" s="33" t="s">
        <v>42966</v>
      </c>
      <c r="AA6422" s="33">
        <v>1247</v>
      </c>
    </row>
    <row r="6423" spans="1:31" ht="13.5" customHeight="1" x14ac:dyDescent="0.15">
      <c r="A6423" s="33" t="s">
        <v>10402</v>
      </c>
      <c r="B6423" s="33">
        <v>48</v>
      </c>
      <c r="C6423" s="33" t="s">
        <v>14</v>
      </c>
      <c r="D6423" s="33" t="s">
        <v>24</v>
      </c>
      <c r="F6423" s="67">
        <v>41695</v>
      </c>
      <c r="G6423" s="33" t="s">
        <v>10403</v>
      </c>
      <c r="H6423" s="33" t="s">
        <v>10404</v>
      </c>
      <c r="I6423" s="33" t="s">
        <v>51</v>
      </c>
      <c r="J6423" s="33" t="s">
        <v>10405</v>
      </c>
      <c r="K6423" s="33" t="s">
        <v>1057</v>
      </c>
      <c r="L6423" s="33" t="s">
        <v>10406</v>
      </c>
      <c r="M6423" s="33" t="s">
        <v>21</v>
      </c>
      <c r="N6423" s="33" t="s">
        <v>10407</v>
      </c>
      <c r="O6423" s="33" t="s">
        <v>950</v>
      </c>
      <c r="P6423" s="33" t="s">
        <v>30089</v>
      </c>
      <c r="Q6423" s="40" t="str">
        <f>HYPERLINK("http://thenewsherald.com/articles/2014/02/28/news/doc5310a54ba9b5b176742526.txt","http://thenewsherald.com/articles/2014/02/28/news/doc5310a54ba9b5b176742526.txt")</f>
        <v>http://thenewsherald.com/articles/2014/02/28/news/doc5310a54ba9b5b176742526.txt</v>
      </c>
      <c r="R6423" s="33" t="s">
        <v>512</v>
      </c>
      <c r="S6423" s="33" t="s">
        <v>22</v>
      </c>
      <c r="T6423" s="1" t="s">
        <v>26781</v>
      </c>
      <c r="Z6423" s="33" t="s">
        <v>42968</v>
      </c>
      <c r="AA6423" s="33">
        <v>1241</v>
      </c>
    </row>
    <row r="6424" spans="1:31" ht="13.5" customHeight="1" x14ac:dyDescent="0.15">
      <c r="A6424" s="33" t="s">
        <v>10408</v>
      </c>
      <c r="B6424" s="33">
        <v>57</v>
      </c>
      <c r="C6424" s="33" t="s">
        <v>14</v>
      </c>
      <c r="D6424" s="33" t="s">
        <v>31</v>
      </c>
      <c r="E6424" s="33" t="s">
        <v>10409</v>
      </c>
      <c r="F6424" s="67">
        <v>41695</v>
      </c>
      <c r="G6424" s="33" t="s">
        <v>10410</v>
      </c>
      <c r="H6424" s="33" t="s">
        <v>1337</v>
      </c>
      <c r="I6424" s="33" t="s">
        <v>112</v>
      </c>
      <c r="J6424" s="33" t="s">
        <v>10411</v>
      </c>
      <c r="K6424" s="33" t="s">
        <v>585</v>
      </c>
      <c r="L6424" s="33" t="s">
        <v>751</v>
      </c>
      <c r="M6424" s="33" t="s">
        <v>21</v>
      </c>
      <c r="N6424" s="33" t="s">
        <v>10412</v>
      </c>
      <c r="O6424" s="33" t="s">
        <v>950</v>
      </c>
      <c r="P6424" s="33" t="s">
        <v>30089</v>
      </c>
      <c r="Q6424" s="40" t="s">
        <v>10413</v>
      </c>
      <c r="R6424" s="33" t="s">
        <v>94</v>
      </c>
      <c r="S6424" s="33" t="s">
        <v>29</v>
      </c>
      <c r="T6424" s="1" t="s">
        <v>41840</v>
      </c>
      <c r="Z6424" s="33" t="s">
        <v>42968</v>
      </c>
      <c r="AA6424" s="33">
        <v>1242</v>
      </c>
    </row>
    <row r="6425" spans="1:31" ht="13.5" customHeight="1" x14ac:dyDescent="0.15">
      <c r="A6425" s="33" t="s">
        <v>10414</v>
      </c>
      <c r="B6425" s="33">
        <v>70</v>
      </c>
      <c r="C6425" s="33" t="s">
        <v>14</v>
      </c>
      <c r="D6425" s="33" t="s">
        <v>31</v>
      </c>
      <c r="E6425" s="33" t="s">
        <v>10415</v>
      </c>
      <c r="F6425" s="67">
        <v>41695</v>
      </c>
      <c r="H6425" s="33" t="s">
        <v>10416</v>
      </c>
      <c r="I6425" s="33" t="s">
        <v>26</v>
      </c>
      <c r="J6425" s="33">
        <v>29710</v>
      </c>
      <c r="K6425" s="33" t="s">
        <v>1499</v>
      </c>
      <c r="L6425" s="33" t="s">
        <v>10417</v>
      </c>
      <c r="M6425" s="33" t="s">
        <v>21</v>
      </c>
      <c r="N6425" s="33" t="s">
        <v>10418</v>
      </c>
      <c r="O6425" s="33" t="s">
        <v>507</v>
      </c>
      <c r="P6425" s="33" t="s">
        <v>30089</v>
      </c>
      <c r="Q6425" s="40" t="s">
        <v>10419</v>
      </c>
      <c r="R6425" s="33" t="s">
        <v>94</v>
      </c>
      <c r="S6425" s="33" t="s">
        <v>12</v>
      </c>
      <c r="T6425" s="54" t="s">
        <v>43004</v>
      </c>
      <c r="Z6425" s="33" t="s">
        <v>42967</v>
      </c>
      <c r="AA6425" s="33">
        <v>1240</v>
      </c>
    </row>
    <row r="6426" spans="1:31" ht="13.5" customHeight="1" x14ac:dyDescent="0.15">
      <c r="A6426" s="33" t="s">
        <v>10420</v>
      </c>
      <c r="B6426" s="33">
        <v>37</v>
      </c>
      <c r="C6426" s="33" t="s">
        <v>14</v>
      </c>
      <c r="D6426" s="33" t="s">
        <v>79</v>
      </c>
      <c r="E6426" s="33" t="s">
        <v>10421</v>
      </c>
      <c r="F6426" s="67">
        <v>41694</v>
      </c>
      <c r="G6426" s="33" t="s">
        <v>10422</v>
      </c>
      <c r="H6426" s="33" t="s">
        <v>504</v>
      </c>
      <c r="I6426" s="33" t="s">
        <v>63</v>
      </c>
      <c r="J6426" s="33" t="s">
        <v>10423</v>
      </c>
      <c r="K6426" s="33" t="s">
        <v>505</v>
      </c>
      <c r="L6426" s="33" t="s">
        <v>506</v>
      </c>
      <c r="M6426" s="33" t="s">
        <v>21</v>
      </c>
      <c r="N6426" s="33" t="s">
        <v>10424</v>
      </c>
      <c r="O6426" s="33" t="s">
        <v>950</v>
      </c>
      <c r="P6426" s="33" t="s">
        <v>30089</v>
      </c>
      <c r="Q6426" s="40" t="s">
        <v>10425</v>
      </c>
      <c r="R6426" s="33" t="s">
        <v>94</v>
      </c>
      <c r="S6426" s="33" t="s">
        <v>22</v>
      </c>
      <c r="T6426" s="1" t="s">
        <v>26781</v>
      </c>
      <c r="Z6426" s="33" t="s">
        <v>42966</v>
      </c>
      <c r="AA6426" s="33">
        <v>1239</v>
      </c>
    </row>
    <row r="6427" spans="1:31" ht="13.5" customHeight="1" x14ac:dyDescent="0.15">
      <c r="A6427" s="33" t="s">
        <v>10426</v>
      </c>
      <c r="B6427" s="33">
        <v>18</v>
      </c>
      <c r="C6427" s="33" t="s">
        <v>14</v>
      </c>
      <c r="D6427" s="33" t="s">
        <v>15</v>
      </c>
      <c r="E6427" s="33" t="s">
        <v>10427</v>
      </c>
      <c r="F6427" s="67">
        <v>41693</v>
      </c>
      <c r="G6427" s="33" t="s">
        <v>10428</v>
      </c>
      <c r="H6427" s="33" t="s">
        <v>183</v>
      </c>
      <c r="I6427" s="33" t="s">
        <v>39</v>
      </c>
      <c r="J6427" s="33" t="s">
        <v>6467</v>
      </c>
      <c r="K6427" s="33" t="s">
        <v>183</v>
      </c>
      <c r="L6427" s="33" t="s">
        <v>184</v>
      </c>
      <c r="M6427" s="33" t="s">
        <v>21</v>
      </c>
      <c r="N6427" s="33" t="s">
        <v>10429</v>
      </c>
      <c r="O6427" s="33" t="s">
        <v>950</v>
      </c>
      <c r="P6427" s="33" t="s">
        <v>30089</v>
      </c>
      <c r="Q6427" s="40" t="s">
        <v>10430</v>
      </c>
      <c r="R6427" s="33" t="s">
        <v>94</v>
      </c>
      <c r="S6427" s="33" t="s">
        <v>22</v>
      </c>
      <c r="T6427" s="1" t="s">
        <v>26781</v>
      </c>
      <c r="Z6427" s="33" t="s">
        <v>42968</v>
      </c>
      <c r="AA6427" s="33">
        <v>1238</v>
      </c>
    </row>
    <row r="6428" spans="1:31" ht="13.5" customHeight="1" x14ac:dyDescent="0.15">
      <c r="A6428" s="33" t="s">
        <v>10431</v>
      </c>
      <c r="B6428" s="33">
        <v>44</v>
      </c>
      <c r="C6428" s="33" t="s">
        <v>14</v>
      </c>
      <c r="D6428" s="33" t="s">
        <v>42</v>
      </c>
      <c r="F6428" s="67">
        <v>41692</v>
      </c>
      <c r="G6428" s="33" t="s">
        <v>10432</v>
      </c>
      <c r="H6428" s="33" t="s">
        <v>518</v>
      </c>
      <c r="I6428" s="33" t="s">
        <v>112</v>
      </c>
      <c r="J6428" s="33" t="s">
        <v>10433</v>
      </c>
      <c r="K6428" s="33" t="s">
        <v>519</v>
      </c>
      <c r="L6428" s="33" t="s">
        <v>520</v>
      </c>
      <c r="M6428" s="33" t="s">
        <v>21</v>
      </c>
      <c r="N6428" s="33" t="s">
        <v>10434</v>
      </c>
      <c r="O6428" s="33" t="s">
        <v>950</v>
      </c>
      <c r="P6428" s="33" t="s">
        <v>30089</v>
      </c>
      <c r="Q6428" s="40" t="s">
        <v>10435</v>
      </c>
      <c r="R6428" s="33" t="s">
        <v>94</v>
      </c>
      <c r="S6428" s="33" t="s">
        <v>29</v>
      </c>
      <c r="T6428" s="54" t="s">
        <v>41523</v>
      </c>
      <c r="Z6428" s="33" t="s">
        <v>42966</v>
      </c>
      <c r="AA6428" s="33">
        <v>1237</v>
      </c>
    </row>
    <row r="6429" spans="1:31" ht="13.5" customHeight="1" x14ac:dyDescent="0.15">
      <c r="A6429" s="33" t="s">
        <v>10436</v>
      </c>
      <c r="B6429" s="33">
        <v>38</v>
      </c>
      <c r="C6429" s="33" t="s">
        <v>14</v>
      </c>
      <c r="D6429" s="33" t="s">
        <v>42</v>
      </c>
      <c r="E6429" s="33" t="s">
        <v>10437</v>
      </c>
      <c r="F6429" s="67">
        <v>41691</v>
      </c>
      <c r="G6429" s="33" t="s">
        <v>10438</v>
      </c>
      <c r="H6429" s="33" t="s">
        <v>560</v>
      </c>
      <c r="I6429" s="33" t="s">
        <v>39</v>
      </c>
      <c r="J6429" s="33" t="s">
        <v>10439</v>
      </c>
      <c r="K6429" s="33" t="s">
        <v>561</v>
      </c>
      <c r="L6429" s="33" t="s">
        <v>10440</v>
      </c>
      <c r="M6429" s="33" t="s">
        <v>21</v>
      </c>
      <c r="N6429" s="33" t="s">
        <v>10441</v>
      </c>
      <c r="O6429" s="33" t="s">
        <v>950</v>
      </c>
      <c r="P6429" s="33" t="s">
        <v>30089</v>
      </c>
      <c r="Q6429" s="40" t="s">
        <v>10442</v>
      </c>
      <c r="R6429" s="33" t="s">
        <v>94</v>
      </c>
      <c r="S6429" s="33" t="s">
        <v>22</v>
      </c>
      <c r="T6429" s="1" t="s">
        <v>26774</v>
      </c>
      <c r="Z6429" s="33" t="s">
        <v>42966</v>
      </c>
      <c r="AA6429" s="33">
        <v>1236</v>
      </c>
    </row>
    <row r="6430" spans="1:31" ht="13.5" customHeight="1" x14ac:dyDescent="0.15">
      <c r="A6430" s="33" t="s">
        <v>10443</v>
      </c>
      <c r="B6430" s="33">
        <v>70</v>
      </c>
      <c r="C6430" s="33" t="s">
        <v>14</v>
      </c>
      <c r="D6430" s="33" t="s">
        <v>24</v>
      </c>
      <c r="F6430" s="67">
        <v>41690</v>
      </c>
      <c r="G6430" s="33" t="s">
        <v>10444</v>
      </c>
      <c r="H6430" s="33" t="s">
        <v>10307</v>
      </c>
      <c r="I6430" s="33" t="s">
        <v>798</v>
      </c>
      <c r="J6430" s="33" t="s">
        <v>10308</v>
      </c>
      <c r="K6430" s="33" t="s">
        <v>10309</v>
      </c>
      <c r="L6430" s="33" t="s">
        <v>10445</v>
      </c>
      <c r="M6430" s="33" t="s">
        <v>21</v>
      </c>
      <c r="N6430" s="33" t="s">
        <v>10446</v>
      </c>
      <c r="O6430" s="33" t="s">
        <v>950</v>
      </c>
      <c r="P6430" s="33" t="s">
        <v>30089</v>
      </c>
      <c r="Q6430" s="40" t="s">
        <v>10447</v>
      </c>
      <c r="R6430" s="33" t="s">
        <v>512</v>
      </c>
      <c r="S6430" s="33" t="s">
        <v>22</v>
      </c>
      <c r="T6430" s="33" t="s">
        <v>26781</v>
      </c>
      <c r="Z6430" s="33" t="s">
        <v>42967</v>
      </c>
      <c r="AA6430" s="33">
        <v>1235</v>
      </c>
      <c r="AE6430" s="33"/>
    </row>
    <row r="6431" spans="1:31" ht="13.5" customHeight="1" x14ac:dyDescent="0.15">
      <c r="A6431" s="33" t="s">
        <v>10454</v>
      </c>
      <c r="B6431" s="33">
        <v>42</v>
      </c>
      <c r="C6431" s="33" t="s">
        <v>14</v>
      </c>
      <c r="D6431" s="33" t="s">
        <v>42</v>
      </c>
      <c r="F6431" s="67">
        <v>41688</v>
      </c>
      <c r="G6431" s="33" t="s">
        <v>10455</v>
      </c>
      <c r="H6431" s="33" t="s">
        <v>143</v>
      </c>
      <c r="I6431" s="33" t="s">
        <v>39</v>
      </c>
      <c r="J6431" s="33" t="s">
        <v>10456</v>
      </c>
      <c r="K6431" s="33" t="s">
        <v>143</v>
      </c>
      <c r="L6431" s="33" t="s">
        <v>4359</v>
      </c>
      <c r="M6431" s="33" t="s">
        <v>21</v>
      </c>
      <c r="N6431" s="33" t="s">
        <v>19054</v>
      </c>
      <c r="O6431" s="33" t="s">
        <v>950</v>
      </c>
      <c r="P6431" s="33" t="s">
        <v>30089</v>
      </c>
      <c r="Q6431" s="40" t="s">
        <v>10457</v>
      </c>
      <c r="R6431" s="33" t="s">
        <v>23</v>
      </c>
      <c r="S6431" s="1" t="s">
        <v>29</v>
      </c>
      <c r="T6431" s="33" t="s">
        <v>43015</v>
      </c>
      <c r="Z6431" s="33" t="s">
        <v>42966</v>
      </c>
      <c r="AA6431" s="33">
        <v>1234</v>
      </c>
    </row>
    <row r="6432" spans="1:31" ht="13.5" customHeight="1" x14ac:dyDescent="0.15">
      <c r="A6432" s="33" t="s">
        <v>10458</v>
      </c>
      <c r="B6432" s="33">
        <v>37</v>
      </c>
      <c r="C6432" s="33" t="s">
        <v>14</v>
      </c>
      <c r="D6432" s="33" t="s">
        <v>31</v>
      </c>
      <c r="E6432" s="33" t="s">
        <v>10459</v>
      </c>
      <c r="F6432" s="67">
        <v>41688</v>
      </c>
      <c r="G6432" s="33" t="s">
        <v>10460</v>
      </c>
      <c r="H6432" s="33" t="s">
        <v>10461</v>
      </c>
      <c r="I6432" s="33" t="s">
        <v>67</v>
      </c>
      <c r="J6432" s="33" t="s">
        <v>10462</v>
      </c>
      <c r="K6432" s="33" t="s">
        <v>551</v>
      </c>
      <c r="L6432" s="33" t="s">
        <v>10463</v>
      </c>
      <c r="M6432" s="33" t="s">
        <v>21</v>
      </c>
      <c r="N6432" s="33" t="s">
        <v>10464</v>
      </c>
      <c r="O6432" s="33" t="s">
        <v>507</v>
      </c>
      <c r="P6432" s="33" t="s">
        <v>30089</v>
      </c>
      <c r="Q6432" s="40" t="s">
        <v>10465</v>
      </c>
      <c r="R6432" s="33" t="s">
        <v>23</v>
      </c>
      <c r="S6432" s="33" t="s">
        <v>22</v>
      </c>
      <c r="T6432" s="1" t="s">
        <v>26781</v>
      </c>
      <c r="Z6432" s="33" t="s">
        <v>42967</v>
      </c>
      <c r="AA6432" s="33">
        <v>1233</v>
      </c>
    </row>
    <row r="6433" spans="1:31" ht="13.5" customHeight="1" x14ac:dyDescent="0.15">
      <c r="A6433" s="33" t="s">
        <v>10448</v>
      </c>
      <c r="B6433" s="33">
        <v>60</v>
      </c>
      <c r="C6433" s="33" t="s">
        <v>14</v>
      </c>
      <c r="D6433" s="33" t="s">
        <v>79</v>
      </c>
      <c r="F6433" s="67">
        <v>41688</v>
      </c>
      <c r="G6433" s="33" t="s">
        <v>10449</v>
      </c>
      <c r="H6433" s="33" t="s">
        <v>10450</v>
      </c>
      <c r="I6433" s="33" t="s">
        <v>39</v>
      </c>
      <c r="J6433" s="33" t="s">
        <v>10451</v>
      </c>
      <c r="K6433" s="33" t="s">
        <v>558</v>
      </c>
      <c r="L6433" s="33" t="s">
        <v>230</v>
      </c>
      <c r="M6433" s="33" t="s">
        <v>21</v>
      </c>
      <c r="N6433" s="33" t="s">
        <v>10452</v>
      </c>
      <c r="O6433" s="33" t="s">
        <v>950</v>
      </c>
      <c r="P6433" s="33" t="s">
        <v>30089</v>
      </c>
      <c r="Q6433" s="40" t="s">
        <v>10453</v>
      </c>
      <c r="R6433" s="33" t="s">
        <v>512</v>
      </c>
      <c r="S6433" s="33" t="s">
        <v>22</v>
      </c>
      <c r="T6433" s="1" t="s">
        <v>26580</v>
      </c>
      <c r="Z6433" s="33" t="s">
        <v>42966</v>
      </c>
      <c r="AA6433" s="33">
        <v>1232</v>
      </c>
    </row>
    <row r="6434" spans="1:31" ht="13.5" customHeight="1" x14ac:dyDescent="0.15">
      <c r="A6434" s="33" t="s">
        <v>10466</v>
      </c>
      <c r="B6434" s="33">
        <v>17</v>
      </c>
      <c r="C6434" s="33" t="s">
        <v>14</v>
      </c>
      <c r="D6434" s="33" t="s">
        <v>79</v>
      </c>
      <c r="E6434" s="33" t="s">
        <v>10467</v>
      </c>
      <c r="F6434" s="67">
        <v>41687</v>
      </c>
      <c r="G6434" s="33" t="s">
        <v>10468</v>
      </c>
      <c r="H6434" s="33" t="s">
        <v>674</v>
      </c>
      <c r="I6434" s="33" t="s">
        <v>67</v>
      </c>
      <c r="J6434" s="33" t="s">
        <v>10469</v>
      </c>
      <c r="K6434" s="33" t="s">
        <v>515</v>
      </c>
      <c r="L6434" s="33" t="s">
        <v>675</v>
      </c>
      <c r="M6434" s="33" t="s">
        <v>21</v>
      </c>
      <c r="N6434" s="33" t="s">
        <v>10470</v>
      </c>
      <c r="O6434" s="33" t="s">
        <v>950</v>
      </c>
      <c r="P6434" s="33" t="s">
        <v>30089</v>
      </c>
      <c r="Q6434" s="40" t="s">
        <v>10471</v>
      </c>
      <c r="R6434" s="33" t="s">
        <v>94</v>
      </c>
      <c r="S6434" s="33" t="s">
        <v>22</v>
      </c>
      <c r="T6434" s="1" t="s">
        <v>26781</v>
      </c>
      <c r="Y6434" s="33" t="s">
        <v>42476</v>
      </c>
      <c r="Z6434" s="33" t="s">
        <v>42968</v>
      </c>
      <c r="AA6434" s="33">
        <v>1230</v>
      </c>
    </row>
    <row r="6435" spans="1:31" ht="13.5" customHeight="1" x14ac:dyDescent="0.15">
      <c r="A6435" s="33" t="s">
        <v>10473</v>
      </c>
      <c r="B6435" s="33">
        <v>44</v>
      </c>
      <c r="C6435" s="33" t="s">
        <v>14</v>
      </c>
      <c r="D6435" s="33" t="s">
        <v>31</v>
      </c>
      <c r="F6435" s="67">
        <v>41687</v>
      </c>
      <c r="G6435" s="33" t="s">
        <v>10474</v>
      </c>
      <c r="H6435" s="33" t="s">
        <v>6927</v>
      </c>
      <c r="I6435" s="33" t="s">
        <v>198</v>
      </c>
      <c r="J6435" s="33" t="s">
        <v>10475</v>
      </c>
      <c r="K6435" s="33" t="s">
        <v>1179</v>
      </c>
      <c r="L6435" s="33" t="s">
        <v>10476</v>
      </c>
      <c r="M6435" s="33" t="s">
        <v>21</v>
      </c>
      <c r="N6435" s="33" t="s">
        <v>10477</v>
      </c>
      <c r="O6435" s="33" t="s">
        <v>950</v>
      </c>
      <c r="P6435" s="33" t="s">
        <v>30089</v>
      </c>
      <c r="Q6435" s="40" t="s">
        <v>10478</v>
      </c>
      <c r="R6435" s="33" t="s">
        <v>94</v>
      </c>
      <c r="S6435" s="33" t="s">
        <v>22</v>
      </c>
      <c r="T6435" s="33" t="s">
        <v>26774</v>
      </c>
      <c r="Z6435" s="33" t="s">
        <v>42968</v>
      </c>
      <c r="AA6435" s="33">
        <v>1231</v>
      </c>
      <c r="AE6435" s="33"/>
    </row>
    <row r="6436" spans="1:31" ht="13.5" customHeight="1" x14ac:dyDescent="0.15">
      <c r="A6436" s="33" t="s">
        <v>10498</v>
      </c>
      <c r="B6436" s="33">
        <v>34</v>
      </c>
      <c r="C6436" s="33" t="s">
        <v>14</v>
      </c>
      <c r="D6436" s="33" t="s">
        <v>31</v>
      </c>
      <c r="E6436" s="33" t="s">
        <v>10499</v>
      </c>
      <c r="F6436" s="67">
        <v>41686</v>
      </c>
      <c r="G6436" s="33" t="s">
        <v>10500</v>
      </c>
      <c r="H6436" s="33" t="s">
        <v>10501</v>
      </c>
      <c r="I6436" s="33" t="s">
        <v>282</v>
      </c>
      <c r="J6436" s="33" t="s">
        <v>10502</v>
      </c>
      <c r="K6436" s="33" t="s">
        <v>2004</v>
      </c>
      <c r="L6436" s="33" t="s">
        <v>10503</v>
      </c>
      <c r="M6436" s="33" t="s">
        <v>21</v>
      </c>
      <c r="N6436" s="33" t="s">
        <v>10504</v>
      </c>
      <c r="O6436" s="33" t="s">
        <v>950</v>
      </c>
      <c r="P6436" s="33" t="s">
        <v>30089</v>
      </c>
      <c r="Q6436" s="40" t="s">
        <v>10505</v>
      </c>
      <c r="R6436" s="33" t="s">
        <v>94</v>
      </c>
      <c r="S6436" s="33" t="s">
        <v>22</v>
      </c>
      <c r="T6436" s="1" t="s">
        <v>26781</v>
      </c>
      <c r="Z6436" s="33" t="s">
        <v>42968</v>
      </c>
      <c r="AA6436" s="33">
        <v>1227</v>
      </c>
    </row>
    <row r="6437" spans="1:31" ht="13.5" customHeight="1" x14ac:dyDescent="0.15">
      <c r="A6437" s="33" t="s">
        <v>10487</v>
      </c>
      <c r="B6437" s="33">
        <v>31</v>
      </c>
      <c r="C6437" s="33" t="s">
        <v>14</v>
      </c>
      <c r="D6437" s="33" t="s">
        <v>79</v>
      </c>
      <c r="E6437" s="33" t="s">
        <v>10488</v>
      </c>
      <c r="F6437" s="67">
        <v>41686</v>
      </c>
      <c r="G6437" s="33" t="s">
        <v>10489</v>
      </c>
      <c r="H6437" s="33" t="s">
        <v>979</v>
      </c>
      <c r="I6437" s="33" t="s">
        <v>19</v>
      </c>
      <c r="J6437" s="33" t="s">
        <v>10490</v>
      </c>
      <c r="K6437" s="33" t="s">
        <v>2393</v>
      </c>
      <c r="L6437" s="33" t="s">
        <v>980</v>
      </c>
      <c r="M6437" s="33" t="s">
        <v>21</v>
      </c>
      <c r="N6437" s="33" t="s">
        <v>10491</v>
      </c>
      <c r="O6437" s="33" t="s">
        <v>950</v>
      </c>
      <c r="P6437" s="33" t="s">
        <v>30089</v>
      </c>
      <c r="Q6437" s="40" t="s">
        <v>10492</v>
      </c>
      <c r="R6437" s="33" t="s">
        <v>94</v>
      </c>
      <c r="S6437" s="33" t="s">
        <v>29</v>
      </c>
      <c r="T6437" s="1" t="s">
        <v>41840</v>
      </c>
      <c r="Z6437" s="33" t="s">
        <v>42966</v>
      </c>
      <c r="AA6437" s="33">
        <v>1229</v>
      </c>
    </row>
    <row r="6438" spans="1:31" ht="13.5" customHeight="1" x14ac:dyDescent="0.15">
      <c r="A6438" s="33" t="s">
        <v>10479</v>
      </c>
      <c r="B6438" s="33">
        <v>47</v>
      </c>
      <c r="C6438" s="33" t="s">
        <v>103</v>
      </c>
      <c r="D6438" s="33" t="s">
        <v>79</v>
      </c>
      <c r="E6438" s="33" t="s">
        <v>10480</v>
      </c>
      <c r="F6438" s="67">
        <v>41686</v>
      </c>
      <c r="G6438" s="33" t="s">
        <v>10481</v>
      </c>
      <c r="H6438" s="33" t="s">
        <v>10482</v>
      </c>
      <c r="I6438" s="33" t="s">
        <v>67</v>
      </c>
      <c r="J6438" s="33" t="s">
        <v>10483</v>
      </c>
      <c r="K6438" s="33" t="s">
        <v>10482</v>
      </c>
      <c r="L6438" s="33" t="s">
        <v>10484</v>
      </c>
      <c r="M6438" s="33" t="s">
        <v>21</v>
      </c>
      <c r="N6438" s="33" t="s">
        <v>10485</v>
      </c>
      <c r="O6438" s="33" t="s">
        <v>27769</v>
      </c>
      <c r="P6438" s="33" t="s">
        <v>18576</v>
      </c>
      <c r="Q6438" s="40" t="s">
        <v>10486</v>
      </c>
      <c r="R6438" s="33" t="s">
        <v>94</v>
      </c>
      <c r="S6438" s="33" t="s">
        <v>12</v>
      </c>
      <c r="T6438" s="54" t="s">
        <v>29705</v>
      </c>
      <c r="Z6438" s="33" t="s">
        <v>42967</v>
      </c>
      <c r="AA6438" s="33">
        <v>1228</v>
      </c>
    </row>
    <row r="6439" spans="1:31" ht="13.5" customHeight="1" x14ac:dyDescent="0.15">
      <c r="A6439" s="33" t="s">
        <v>3002</v>
      </c>
      <c r="B6439" s="33">
        <v>47</v>
      </c>
      <c r="C6439" s="33" t="s">
        <v>14</v>
      </c>
      <c r="D6439" s="33" t="s">
        <v>24</v>
      </c>
      <c r="F6439" s="67">
        <v>41686</v>
      </c>
      <c r="G6439" s="33" t="s">
        <v>10494</v>
      </c>
      <c r="H6439" s="33" t="s">
        <v>997</v>
      </c>
      <c r="I6439" s="33" t="s">
        <v>56</v>
      </c>
      <c r="J6439" s="33" t="s">
        <v>10495</v>
      </c>
      <c r="K6439" s="33" t="s">
        <v>998</v>
      </c>
      <c r="L6439" s="33" t="s">
        <v>4077</v>
      </c>
      <c r="M6439" s="33" t="s">
        <v>21</v>
      </c>
      <c r="N6439" s="33" t="s">
        <v>10496</v>
      </c>
      <c r="O6439" s="33" t="s">
        <v>950</v>
      </c>
      <c r="P6439" s="33" t="s">
        <v>30089</v>
      </c>
      <c r="Q6439" s="40" t="s">
        <v>10497</v>
      </c>
      <c r="R6439" s="33" t="s">
        <v>512</v>
      </c>
      <c r="S6439" s="33" t="s">
        <v>22</v>
      </c>
      <c r="T6439" s="1" t="s">
        <v>26781</v>
      </c>
      <c r="Z6439" s="33" t="s">
        <v>42968</v>
      </c>
      <c r="AA6439" s="33">
        <v>1226</v>
      </c>
    </row>
    <row r="6440" spans="1:31" ht="13.5" customHeight="1" x14ac:dyDescent="0.15">
      <c r="A6440" s="33" t="s">
        <v>10506</v>
      </c>
      <c r="B6440" s="33">
        <v>22</v>
      </c>
      <c r="C6440" s="33" t="s">
        <v>14</v>
      </c>
      <c r="D6440" s="33" t="s">
        <v>79</v>
      </c>
      <c r="F6440" s="67">
        <v>41685</v>
      </c>
      <c r="G6440" s="33" t="s">
        <v>10507</v>
      </c>
      <c r="H6440" s="33" t="s">
        <v>1487</v>
      </c>
      <c r="I6440" s="33" t="s">
        <v>46</v>
      </c>
      <c r="J6440" s="33" t="s">
        <v>10508</v>
      </c>
      <c r="K6440" s="33" t="s">
        <v>4324</v>
      </c>
      <c r="L6440" s="33" t="s">
        <v>2556</v>
      </c>
      <c r="M6440" s="33" t="s">
        <v>21</v>
      </c>
      <c r="N6440" s="33" t="s">
        <v>10509</v>
      </c>
      <c r="O6440" s="33" t="s">
        <v>507</v>
      </c>
      <c r="P6440" s="33" t="s">
        <v>30089</v>
      </c>
      <c r="Q6440" s="40" t="s">
        <v>10510</v>
      </c>
      <c r="R6440" s="33" t="s">
        <v>94</v>
      </c>
      <c r="S6440" s="33" t="s">
        <v>22</v>
      </c>
      <c r="T6440" s="1" t="s">
        <v>26781</v>
      </c>
      <c r="Z6440" s="33" t="s">
        <v>42966</v>
      </c>
      <c r="AA6440" s="33">
        <v>1223</v>
      </c>
    </row>
    <row r="6441" spans="1:31" ht="13.5" customHeight="1" x14ac:dyDescent="0.15">
      <c r="A6441" s="33" t="s">
        <v>10526</v>
      </c>
      <c r="B6441" s="33">
        <v>18</v>
      </c>
      <c r="C6441" s="33" t="s">
        <v>14</v>
      </c>
      <c r="D6441" s="33" t="s">
        <v>31</v>
      </c>
      <c r="F6441" s="67">
        <v>41685</v>
      </c>
      <c r="G6441" s="33" t="s">
        <v>10527</v>
      </c>
      <c r="H6441" s="33" t="s">
        <v>505</v>
      </c>
      <c r="I6441" s="33" t="s">
        <v>63</v>
      </c>
      <c r="J6441" s="33" t="s">
        <v>10528</v>
      </c>
      <c r="K6441" s="33" t="s">
        <v>5063</v>
      </c>
      <c r="L6441" s="33" t="s">
        <v>2676</v>
      </c>
      <c r="M6441" s="33" t="s">
        <v>21</v>
      </c>
      <c r="N6441" s="33" t="s">
        <v>10529</v>
      </c>
      <c r="O6441" s="33" t="s">
        <v>950</v>
      </c>
      <c r="P6441" s="33" t="s">
        <v>30089</v>
      </c>
      <c r="Q6441" s="40" t="s">
        <v>10530</v>
      </c>
      <c r="R6441" s="33" t="s">
        <v>512</v>
      </c>
      <c r="S6441" s="33" t="s">
        <v>22</v>
      </c>
      <c r="T6441" s="1" t="s">
        <v>26781</v>
      </c>
      <c r="Z6441" s="33" t="s">
        <v>42968</v>
      </c>
      <c r="AA6441" s="33">
        <v>1224</v>
      </c>
    </row>
    <row r="6442" spans="1:31" ht="13.5" customHeight="1" x14ac:dyDescent="0.15">
      <c r="A6442" s="33" t="s">
        <v>10511</v>
      </c>
      <c r="B6442" s="33">
        <v>44</v>
      </c>
      <c r="C6442" s="33" t="s">
        <v>14</v>
      </c>
      <c r="D6442" s="33" t="s">
        <v>42</v>
      </c>
      <c r="E6442" s="33" t="s">
        <v>10512</v>
      </c>
      <c r="F6442" s="67">
        <v>41685</v>
      </c>
      <c r="G6442" s="33" t="s">
        <v>10513</v>
      </c>
      <c r="H6442" s="33" t="s">
        <v>2448</v>
      </c>
      <c r="I6442" s="33" t="s">
        <v>367</v>
      </c>
      <c r="J6442" s="33" t="s">
        <v>10514</v>
      </c>
      <c r="K6442" s="33" t="s">
        <v>924</v>
      </c>
      <c r="L6442" s="33" t="s">
        <v>10515</v>
      </c>
      <c r="M6442" s="33" t="s">
        <v>5157</v>
      </c>
      <c r="N6442" s="33" t="s">
        <v>10516</v>
      </c>
      <c r="O6442" s="33" t="s">
        <v>507</v>
      </c>
      <c r="P6442" s="33" t="s">
        <v>30089</v>
      </c>
      <c r="Q6442" s="40" t="s">
        <v>10517</v>
      </c>
      <c r="R6442" s="33" t="s">
        <v>94</v>
      </c>
      <c r="S6442" s="33" t="s">
        <v>12</v>
      </c>
      <c r="T6442" s="54" t="s">
        <v>29705</v>
      </c>
      <c r="Z6442" s="33" t="s">
        <v>42968</v>
      </c>
      <c r="AA6442" s="33">
        <v>1225</v>
      </c>
    </row>
    <row r="6443" spans="1:31" ht="13.5" customHeight="1" x14ac:dyDescent="0.15">
      <c r="A6443" s="33" t="s">
        <v>10518</v>
      </c>
      <c r="B6443" s="33">
        <v>45</v>
      </c>
      <c r="C6443" s="33" t="s">
        <v>14</v>
      </c>
      <c r="D6443" s="33" t="s">
        <v>31</v>
      </c>
      <c r="E6443" s="33" t="s">
        <v>10519</v>
      </c>
      <c r="F6443" s="67">
        <v>41685</v>
      </c>
      <c r="G6443" s="33" t="s">
        <v>10520</v>
      </c>
      <c r="H6443" s="33" t="s">
        <v>4932</v>
      </c>
      <c r="I6443" s="33" t="s">
        <v>395</v>
      </c>
      <c r="J6443" s="33" t="s">
        <v>10521</v>
      </c>
      <c r="K6443" s="33" t="s">
        <v>10522</v>
      </c>
      <c r="L6443" s="33" t="s">
        <v>10523</v>
      </c>
      <c r="M6443" s="33" t="s">
        <v>21</v>
      </c>
      <c r="N6443" s="33" t="s">
        <v>10524</v>
      </c>
      <c r="O6443" s="33" t="s">
        <v>507</v>
      </c>
      <c r="P6443" s="33" t="s">
        <v>30089</v>
      </c>
      <c r="Q6443" s="40" t="s">
        <v>10525</v>
      </c>
      <c r="R6443" s="33" t="s">
        <v>23</v>
      </c>
      <c r="S6443" s="33" t="s">
        <v>22</v>
      </c>
      <c r="T6443" s="1" t="s">
        <v>43003</v>
      </c>
      <c r="Z6443" s="33" t="s">
        <v>42968</v>
      </c>
      <c r="AA6443" s="33">
        <v>1222</v>
      </c>
    </row>
    <row r="6444" spans="1:31" ht="13.5" customHeight="1" x14ac:dyDescent="0.15">
      <c r="A6444" s="33" t="s">
        <v>36835</v>
      </c>
      <c r="B6444" s="33">
        <v>20</v>
      </c>
      <c r="C6444" s="33" t="s">
        <v>14</v>
      </c>
      <c r="D6444" s="33" t="s">
        <v>79</v>
      </c>
      <c r="E6444" s="33" t="s">
        <v>10531</v>
      </c>
      <c r="F6444" s="67">
        <v>41684</v>
      </c>
      <c r="G6444" s="33" t="s">
        <v>10532</v>
      </c>
      <c r="H6444" s="33" t="s">
        <v>607</v>
      </c>
      <c r="I6444" s="33" t="s">
        <v>250</v>
      </c>
      <c r="J6444" s="33" t="s">
        <v>10533</v>
      </c>
      <c r="K6444" s="33" t="s">
        <v>527</v>
      </c>
      <c r="L6444" s="33" t="s">
        <v>10534</v>
      </c>
      <c r="M6444" s="33" t="s">
        <v>21</v>
      </c>
      <c r="N6444" s="33" t="s">
        <v>10535</v>
      </c>
      <c r="O6444" s="33" t="s">
        <v>23</v>
      </c>
      <c r="P6444" s="33" t="s">
        <v>30089</v>
      </c>
      <c r="Q6444" s="40" t="s">
        <v>19064</v>
      </c>
      <c r="R6444" s="33" t="s">
        <v>512</v>
      </c>
      <c r="S6444" s="33" t="s">
        <v>29</v>
      </c>
      <c r="T6444" s="33" t="s">
        <v>41840</v>
      </c>
      <c r="Z6444" s="33" t="e">
        <v>#N/A</v>
      </c>
      <c r="AA6444" s="33">
        <v>1221</v>
      </c>
    </row>
    <row r="6445" spans="1:31" ht="13.5" customHeight="1" x14ac:dyDescent="0.15">
      <c r="A6445" s="33" t="s">
        <v>10536</v>
      </c>
      <c r="B6445" s="33">
        <v>17</v>
      </c>
      <c r="C6445" s="33" t="s">
        <v>14</v>
      </c>
      <c r="D6445" s="33" t="s">
        <v>31</v>
      </c>
      <c r="E6445" s="33" t="s">
        <v>10537</v>
      </c>
      <c r="F6445" s="67">
        <v>41684</v>
      </c>
      <c r="G6445" s="33" t="s">
        <v>10538</v>
      </c>
      <c r="H6445" s="33" t="s">
        <v>10539</v>
      </c>
      <c r="I6445" s="33" t="s">
        <v>160</v>
      </c>
      <c r="J6445" s="33">
        <v>30120</v>
      </c>
      <c r="K6445" s="33" t="s">
        <v>1046</v>
      </c>
      <c r="L6445" s="33" t="s">
        <v>10540</v>
      </c>
      <c r="M6445" s="33" t="s">
        <v>21</v>
      </c>
      <c r="N6445" s="33" t="s">
        <v>36836</v>
      </c>
      <c r="O6445" s="33" t="s">
        <v>26756</v>
      </c>
      <c r="P6445" s="33" t="s">
        <v>30089</v>
      </c>
      <c r="Q6445" s="40" t="s">
        <v>10541</v>
      </c>
      <c r="R6445" s="33" t="s">
        <v>94</v>
      </c>
      <c r="S6445" s="33" t="s">
        <v>12</v>
      </c>
      <c r="T6445" s="54" t="s">
        <v>43030</v>
      </c>
      <c r="Z6445" s="33" t="s">
        <v>42968</v>
      </c>
      <c r="AA6445" s="33">
        <v>1220</v>
      </c>
    </row>
    <row r="6446" spans="1:31" ht="13.5" customHeight="1" x14ac:dyDescent="0.15">
      <c r="A6446" s="33" t="s">
        <v>10542</v>
      </c>
      <c r="B6446" s="33">
        <v>21</v>
      </c>
      <c r="C6446" s="33" t="s">
        <v>14</v>
      </c>
      <c r="D6446" s="33" t="s">
        <v>42</v>
      </c>
      <c r="F6446" s="67">
        <v>41683</v>
      </c>
      <c r="G6446" s="33" t="s">
        <v>10543</v>
      </c>
      <c r="H6446" s="33" t="s">
        <v>584</v>
      </c>
      <c r="I6446" s="33" t="s">
        <v>112</v>
      </c>
      <c r="J6446" s="33" t="s">
        <v>2590</v>
      </c>
      <c r="K6446" s="33" t="s">
        <v>585</v>
      </c>
      <c r="L6446" s="33" t="s">
        <v>586</v>
      </c>
      <c r="M6446" s="33" t="s">
        <v>21</v>
      </c>
      <c r="N6446" s="33" t="s">
        <v>10544</v>
      </c>
      <c r="O6446" s="33" t="s">
        <v>950</v>
      </c>
      <c r="P6446" s="33" t="s">
        <v>30089</v>
      </c>
      <c r="Q6446" s="40" t="str">
        <f>HYPERLINK("http://www.abc15.com/dpp/news/region_phoenix_metro/central_phoenix/phoenix-police-investigating-officer-involved-shooting-near-19th-avenue-and-culver-street","http://www.abc15.com/dpp/news/region_phoenix_metro/central_phoenix/phoenix-police-investigating-officer-involved-shooting-near-19th-avenue-and-culver-street")</f>
        <v>http://www.abc15.com/dpp/news/region_phoenix_metro/central_phoenix/phoenix-police-investigating-officer-involved-shooting-near-19th-avenue-and-culver-street</v>
      </c>
      <c r="R6446" s="33" t="s">
        <v>94</v>
      </c>
      <c r="S6446" s="33" t="s">
        <v>22</v>
      </c>
      <c r="T6446" s="1" t="s">
        <v>28239</v>
      </c>
      <c r="Z6446" s="33" t="s">
        <v>42966</v>
      </c>
      <c r="AA6446" s="33">
        <v>1218</v>
      </c>
    </row>
    <row r="6447" spans="1:31" ht="13.5" customHeight="1" x14ac:dyDescent="0.15">
      <c r="A6447" s="33" t="s">
        <v>10549</v>
      </c>
      <c r="B6447" s="33">
        <v>48</v>
      </c>
      <c r="C6447" s="33" t="s">
        <v>14</v>
      </c>
      <c r="D6447" s="33" t="s">
        <v>31</v>
      </c>
      <c r="E6447" s="33" t="s">
        <v>10550</v>
      </c>
      <c r="F6447" s="67">
        <v>41683</v>
      </c>
      <c r="G6447" s="33" t="s">
        <v>10551</v>
      </c>
      <c r="H6447" s="33" t="s">
        <v>8040</v>
      </c>
      <c r="I6447" s="33" t="s">
        <v>282</v>
      </c>
      <c r="J6447" s="33" t="s">
        <v>8041</v>
      </c>
      <c r="K6447" s="33" t="s">
        <v>1441</v>
      </c>
      <c r="L6447" s="33" t="s">
        <v>8042</v>
      </c>
      <c r="M6447" s="33" t="s">
        <v>21</v>
      </c>
      <c r="N6447" s="33" t="s">
        <v>10552</v>
      </c>
      <c r="O6447" s="33" t="s">
        <v>507</v>
      </c>
      <c r="P6447" s="33" t="s">
        <v>30089</v>
      </c>
      <c r="Q6447" s="40" t="str">
        <f>HYPERLINK("http://www.chronline.com/article_b54aecd0-94b9-11e3-8b34-001a4bcf887a.html","http://www.chronline.com/article_b54aecd0-94b9-11e3-8b34-001a4bcf887a.html")</f>
        <v>http://www.chronline.com/article_b54aecd0-94b9-11e3-8b34-001a4bcf887a.html</v>
      </c>
      <c r="R6447" s="33" t="s">
        <v>94</v>
      </c>
      <c r="S6447" s="33" t="s">
        <v>22</v>
      </c>
      <c r="T6447" s="1" t="s">
        <v>26774</v>
      </c>
      <c r="Z6447" s="33" t="s">
        <v>42967</v>
      </c>
      <c r="AA6447" s="33">
        <v>1217</v>
      </c>
    </row>
    <row r="6448" spans="1:31" ht="13.5" customHeight="1" x14ac:dyDescent="0.15">
      <c r="A6448" s="33" t="s">
        <v>10545</v>
      </c>
      <c r="B6448" s="33">
        <v>35</v>
      </c>
      <c r="C6448" s="33" t="s">
        <v>14</v>
      </c>
      <c r="D6448" s="33" t="s">
        <v>42</v>
      </c>
      <c r="F6448" s="67">
        <v>41683</v>
      </c>
      <c r="G6448" s="33" t="s">
        <v>10546</v>
      </c>
      <c r="H6448" s="33" t="s">
        <v>5347</v>
      </c>
      <c r="I6448" s="33" t="s">
        <v>39</v>
      </c>
      <c r="J6448" s="33" t="s">
        <v>10547</v>
      </c>
      <c r="K6448" s="33" t="s">
        <v>92</v>
      </c>
      <c r="L6448" s="33" t="s">
        <v>386</v>
      </c>
      <c r="M6448" s="33" t="s">
        <v>21</v>
      </c>
      <c r="N6448" s="33" t="s">
        <v>36837</v>
      </c>
      <c r="O6448" s="33" t="s">
        <v>950</v>
      </c>
      <c r="P6448" s="33" t="s">
        <v>30089</v>
      </c>
      <c r="Q6448" s="40" t="s">
        <v>10548</v>
      </c>
      <c r="R6448" s="33" t="s">
        <v>94</v>
      </c>
      <c r="S6448" s="33" t="s">
        <v>12</v>
      </c>
      <c r="T6448" s="1" t="s">
        <v>29705</v>
      </c>
      <c r="Z6448" s="33" t="s">
        <v>42966</v>
      </c>
      <c r="AA6448" s="33">
        <v>1219</v>
      </c>
    </row>
    <row r="6449" spans="1:27" ht="13.5" customHeight="1" x14ac:dyDescent="0.15">
      <c r="A6449" s="33" t="s">
        <v>10553</v>
      </c>
      <c r="B6449" s="33">
        <v>27</v>
      </c>
      <c r="C6449" s="33" t="s">
        <v>14</v>
      </c>
      <c r="D6449" s="33" t="s">
        <v>79</v>
      </c>
      <c r="E6449" s="33" t="s">
        <v>10554</v>
      </c>
      <c r="F6449" s="67">
        <v>41682</v>
      </c>
      <c r="G6449" s="33" t="s">
        <v>10555</v>
      </c>
      <c r="H6449" s="33" t="s">
        <v>661</v>
      </c>
      <c r="I6449" s="33" t="s">
        <v>402</v>
      </c>
      <c r="J6449" s="33" t="s">
        <v>10556</v>
      </c>
      <c r="K6449" s="33" t="s">
        <v>661</v>
      </c>
      <c r="L6449" s="33" t="s">
        <v>4162</v>
      </c>
      <c r="M6449" s="33" t="s">
        <v>21</v>
      </c>
      <c r="N6449" s="33" t="s">
        <v>10557</v>
      </c>
      <c r="O6449" s="33" t="s">
        <v>950</v>
      </c>
      <c r="P6449" s="33" t="s">
        <v>30089</v>
      </c>
      <c r="Q6449" s="40" t="s">
        <v>10558</v>
      </c>
      <c r="R6449" s="33" t="s">
        <v>94</v>
      </c>
      <c r="S6449" s="33" t="s">
        <v>22</v>
      </c>
      <c r="T6449" s="1" t="s">
        <v>26781</v>
      </c>
      <c r="Z6449" s="33" t="s">
        <v>42966</v>
      </c>
      <c r="AA6449" s="33">
        <v>1215</v>
      </c>
    </row>
    <row r="6450" spans="1:27" ht="13.5" customHeight="1" x14ac:dyDescent="0.15">
      <c r="A6450" s="33" t="s">
        <v>10559</v>
      </c>
      <c r="B6450" s="33">
        <v>32</v>
      </c>
      <c r="C6450" s="33" t="s">
        <v>14</v>
      </c>
      <c r="D6450" s="33" t="s">
        <v>31</v>
      </c>
      <c r="E6450" s="33" t="s">
        <v>10560</v>
      </c>
      <c r="F6450" s="67">
        <v>41682</v>
      </c>
      <c r="G6450" s="33" t="s">
        <v>10561</v>
      </c>
      <c r="H6450" s="33" t="s">
        <v>10562</v>
      </c>
      <c r="I6450" s="33" t="s">
        <v>409</v>
      </c>
      <c r="J6450" s="33" t="s">
        <v>10563</v>
      </c>
      <c r="K6450" s="33" t="s">
        <v>5562</v>
      </c>
      <c r="L6450" s="33" t="s">
        <v>10564</v>
      </c>
      <c r="M6450" s="33" t="s">
        <v>21</v>
      </c>
      <c r="N6450" s="33" t="s">
        <v>10565</v>
      </c>
      <c r="O6450" s="33" t="s">
        <v>507</v>
      </c>
      <c r="P6450" s="33" t="s">
        <v>30089</v>
      </c>
      <c r="Q6450" s="40" t="str">
        <f>HYPERLINK("http://chippewa.com/dunnconnect/news/local/suspect-shot-during-search-warrant-in-town-of-red-cedar/article_c7a4ae88-2f57-59fd-a566-2ee0bef8573b.html","http://chippewa.com/dunnconnect/news/local/suspect-shot-during-search-warrant-in-town-of-red-cedar/article_c7a4ae88-2f57-59fd-a566-2ee0bef8573b.html")</f>
        <v>http://chippewa.com/dunnconnect/news/local/suspect-shot-during-search-warrant-in-town-of-red-cedar/article_c7a4ae88-2f57-59fd-a566-2ee0bef8573b.html</v>
      </c>
      <c r="R6450" s="33" t="s">
        <v>94</v>
      </c>
      <c r="S6450" s="33" t="s">
        <v>12</v>
      </c>
      <c r="T6450" s="1" t="s">
        <v>29705</v>
      </c>
      <c r="Z6450" s="33" t="s">
        <v>42967</v>
      </c>
      <c r="AA6450" s="33">
        <v>1216</v>
      </c>
    </row>
    <row r="6451" spans="1:27" ht="13.5" customHeight="1" x14ac:dyDescent="0.15">
      <c r="A6451" s="33" t="s">
        <v>10571</v>
      </c>
      <c r="B6451" s="33">
        <v>23</v>
      </c>
      <c r="C6451" s="33" t="s">
        <v>14</v>
      </c>
      <c r="D6451" s="33" t="s">
        <v>31</v>
      </c>
      <c r="E6451" s="33" t="s">
        <v>10572</v>
      </c>
      <c r="F6451" s="67">
        <v>41681</v>
      </c>
      <c r="G6451" s="33" t="s">
        <v>10573</v>
      </c>
      <c r="H6451" s="33" t="s">
        <v>10574</v>
      </c>
      <c r="I6451" s="33" t="s">
        <v>282</v>
      </c>
      <c r="J6451" s="33" t="s">
        <v>10575</v>
      </c>
      <c r="K6451" s="33" t="s">
        <v>782</v>
      </c>
      <c r="L6451" s="33" t="s">
        <v>34360</v>
      </c>
      <c r="M6451" s="33" t="s">
        <v>21</v>
      </c>
      <c r="N6451" s="33" t="s">
        <v>10576</v>
      </c>
      <c r="O6451" s="33" t="s">
        <v>950</v>
      </c>
      <c r="P6451" s="33" t="s">
        <v>30089</v>
      </c>
      <c r="Q6451" s="40" t="str">
        <f>HYPERLINK("http://www.spokesman.com/stories/2014/feb/11/possible-officer-involved-shooting-spokane-valley/","http://www.spokesman.com/stories/2014/feb/11/possible-officer-involved-shooting-spokane-valley/")</f>
        <v>http://www.spokesman.com/stories/2014/feb/11/possible-officer-involved-shooting-spokane-valley/</v>
      </c>
      <c r="R6451" s="33" t="s">
        <v>512</v>
      </c>
      <c r="S6451" s="33" t="s">
        <v>22</v>
      </c>
      <c r="T6451" s="1" t="s">
        <v>26576</v>
      </c>
      <c r="Z6451" s="33" t="s">
        <v>42966</v>
      </c>
      <c r="AA6451" s="33">
        <v>1214</v>
      </c>
    </row>
    <row r="6452" spans="1:27" ht="13.5" customHeight="1" x14ac:dyDescent="0.15">
      <c r="A6452" s="33" t="s">
        <v>10566</v>
      </c>
      <c r="B6452" s="33">
        <v>52</v>
      </c>
      <c r="C6452" s="33" t="s">
        <v>103</v>
      </c>
      <c r="D6452" s="33" t="s">
        <v>31</v>
      </c>
      <c r="F6452" s="67">
        <v>41681</v>
      </c>
      <c r="G6452" s="33" t="s">
        <v>10567</v>
      </c>
      <c r="H6452" s="33" t="s">
        <v>1888</v>
      </c>
      <c r="I6452" s="33" t="s">
        <v>298</v>
      </c>
      <c r="J6452" s="33" t="s">
        <v>10568</v>
      </c>
      <c r="K6452" s="33" t="s">
        <v>823</v>
      </c>
      <c r="L6452" s="33" t="s">
        <v>824</v>
      </c>
      <c r="M6452" s="33" t="s">
        <v>21</v>
      </c>
      <c r="N6452" s="33" t="s">
        <v>10569</v>
      </c>
      <c r="O6452" s="33" t="s">
        <v>950</v>
      </c>
      <c r="P6452" s="33" t="s">
        <v>30089</v>
      </c>
      <c r="Q6452" s="40" t="s">
        <v>10570</v>
      </c>
      <c r="R6452" s="33" t="s">
        <v>512</v>
      </c>
      <c r="S6452" s="33" t="s">
        <v>22</v>
      </c>
      <c r="T6452" s="1" t="s">
        <v>26781</v>
      </c>
      <c r="Z6452" s="33" t="s">
        <v>42968</v>
      </c>
      <c r="AA6452" s="33">
        <v>1213</v>
      </c>
    </row>
    <row r="6453" spans="1:27" ht="13.5" customHeight="1" x14ac:dyDescent="0.15">
      <c r="A6453" s="33" t="s">
        <v>10577</v>
      </c>
      <c r="B6453" s="33">
        <v>21</v>
      </c>
      <c r="C6453" s="33" t="s">
        <v>14</v>
      </c>
      <c r="D6453" s="33" t="s">
        <v>79</v>
      </c>
      <c r="E6453" s="33" t="s">
        <v>10578</v>
      </c>
      <c r="F6453" s="67">
        <v>41680</v>
      </c>
      <c r="G6453" s="33" t="s">
        <v>10579</v>
      </c>
      <c r="H6453" s="33" t="s">
        <v>5125</v>
      </c>
      <c r="I6453" s="33" t="s">
        <v>56</v>
      </c>
      <c r="J6453" s="33" t="s">
        <v>10580</v>
      </c>
      <c r="K6453" s="33" t="s">
        <v>5127</v>
      </c>
      <c r="L6453" s="33" t="s">
        <v>5128</v>
      </c>
      <c r="M6453" s="33" t="s">
        <v>21</v>
      </c>
      <c r="N6453" s="33" t="s">
        <v>10581</v>
      </c>
      <c r="O6453" s="33" t="s">
        <v>507</v>
      </c>
      <c r="P6453" s="33" t="s">
        <v>30089</v>
      </c>
      <c r="Q6453" s="40" t="s">
        <v>10582</v>
      </c>
      <c r="R6453" s="33" t="s">
        <v>904</v>
      </c>
      <c r="S6453" s="33" t="s">
        <v>12</v>
      </c>
      <c r="T6453" s="54" t="s">
        <v>29705</v>
      </c>
      <c r="Z6453" s="33" t="s">
        <v>42968</v>
      </c>
      <c r="AA6453" s="33">
        <v>1210</v>
      </c>
    </row>
    <row r="6454" spans="1:27" ht="13.5" customHeight="1" x14ac:dyDescent="0.15">
      <c r="A6454" s="33" t="s">
        <v>3002</v>
      </c>
      <c r="B6454" s="33" t="s">
        <v>23</v>
      </c>
      <c r="C6454" s="33" t="s">
        <v>14</v>
      </c>
      <c r="D6454" s="33" t="s">
        <v>24</v>
      </c>
      <c r="F6454" s="67">
        <v>41680</v>
      </c>
      <c r="G6454" s="33" t="s">
        <v>10579</v>
      </c>
      <c r="H6454" s="33" t="s">
        <v>10611</v>
      </c>
      <c r="I6454" s="33" t="s">
        <v>56</v>
      </c>
      <c r="J6454" s="33" t="s">
        <v>10580</v>
      </c>
      <c r="K6454" s="33" t="s">
        <v>5127</v>
      </c>
      <c r="L6454" s="33" t="s">
        <v>5128</v>
      </c>
      <c r="M6454" s="33" t="s">
        <v>21</v>
      </c>
      <c r="N6454" s="33" t="s">
        <v>19065</v>
      </c>
      <c r="O6454" s="33" t="s">
        <v>950</v>
      </c>
      <c r="P6454" s="33" t="s">
        <v>30089</v>
      </c>
      <c r="Q6454" s="40" t="s">
        <v>10612</v>
      </c>
      <c r="R6454" s="33" t="s">
        <v>94</v>
      </c>
      <c r="S6454" s="33" t="s">
        <v>12</v>
      </c>
      <c r="T6454" s="54" t="s">
        <v>29705</v>
      </c>
      <c r="Z6454" s="33" t="s">
        <v>42968</v>
      </c>
      <c r="AA6454" s="33">
        <v>1211</v>
      </c>
    </row>
    <row r="6455" spans="1:27" ht="13.5" customHeight="1" x14ac:dyDescent="0.15">
      <c r="A6455" s="33" t="s">
        <v>10590</v>
      </c>
      <c r="B6455" s="33">
        <v>16</v>
      </c>
      <c r="C6455" s="33" t="s">
        <v>14</v>
      </c>
      <c r="D6455" s="33" t="s">
        <v>79</v>
      </c>
      <c r="E6455" s="33" t="str">
        <f>HYPERLINK("http://kollegekidd.com/news/friends-family-remember-slain-robbery-suspect-deonta-mackey/","http://kollegekidd.com/news/friends-family-remember-slain-robbery-suspect-deonta-mackey/")</f>
        <v>http://kollegekidd.com/news/friends-family-remember-slain-robbery-suspect-deonta-mackey/</v>
      </c>
      <c r="F6455" s="67">
        <v>41680</v>
      </c>
      <c r="G6455" s="33" t="s">
        <v>10591</v>
      </c>
      <c r="H6455" s="33" t="s">
        <v>81</v>
      </c>
      <c r="I6455" s="33" t="s">
        <v>38</v>
      </c>
      <c r="J6455" s="33" t="s">
        <v>10592</v>
      </c>
      <c r="K6455" s="33" t="s">
        <v>82</v>
      </c>
      <c r="L6455" s="33" t="s">
        <v>10593</v>
      </c>
      <c r="M6455" s="33" t="s">
        <v>21</v>
      </c>
      <c r="N6455" s="33" t="s">
        <v>10594</v>
      </c>
      <c r="O6455" s="33" t="s">
        <v>950</v>
      </c>
      <c r="P6455" s="33" t="s">
        <v>30089</v>
      </c>
      <c r="Q6455" s="40" t="s">
        <v>10595</v>
      </c>
      <c r="R6455" s="33" t="s">
        <v>94</v>
      </c>
      <c r="S6455" s="33" t="s">
        <v>22</v>
      </c>
      <c r="T6455" s="1" t="s">
        <v>26781</v>
      </c>
      <c r="Z6455" s="33" t="s">
        <v>42966</v>
      </c>
      <c r="AA6455" s="33">
        <v>1207</v>
      </c>
    </row>
    <row r="6456" spans="1:27" ht="13.5" customHeight="1" x14ac:dyDescent="0.15">
      <c r="A6456" s="33" t="s">
        <v>10596</v>
      </c>
      <c r="B6456" s="33">
        <v>20</v>
      </c>
      <c r="C6456" s="33" t="s">
        <v>14</v>
      </c>
      <c r="D6456" s="33" t="s">
        <v>79</v>
      </c>
      <c r="E6456" s="33" t="s">
        <v>10597</v>
      </c>
      <c r="F6456" s="67">
        <v>41680</v>
      </c>
      <c r="G6456" s="33" t="s">
        <v>10598</v>
      </c>
      <c r="H6456" s="33" t="s">
        <v>674</v>
      </c>
      <c r="I6456" s="33" t="s">
        <v>67</v>
      </c>
      <c r="J6456" s="33" t="s">
        <v>10599</v>
      </c>
      <c r="K6456" s="33" t="s">
        <v>515</v>
      </c>
      <c r="L6456" s="33" t="s">
        <v>10600</v>
      </c>
      <c r="M6456" s="33" t="s">
        <v>21</v>
      </c>
      <c r="N6456" s="33" t="s">
        <v>10601</v>
      </c>
      <c r="O6456" s="33" t="s">
        <v>950</v>
      </c>
      <c r="P6456" s="33" t="s">
        <v>30089</v>
      </c>
      <c r="Q6456" s="40" t="s">
        <v>10602</v>
      </c>
      <c r="R6456" s="33" t="s">
        <v>94</v>
      </c>
      <c r="S6456" s="33" t="s">
        <v>29</v>
      </c>
      <c r="T6456" s="33" t="s">
        <v>41840</v>
      </c>
      <c r="Y6456" s="33" t="s">
        <v>42476</v>
      </c>
      <c r="Z6456" s="33" t="s">
        <v>42968</v>
      </c>
      <c r="AA6456" s="33">
        <v>1212</v>
      </c>
    </row>
    <row r="6457" spans="1:27" ht="13.5" customHeight="1" x14ac:dyDescent="0.15">
      <c r="A6457" s="33" t="s">
        <v>10603</v>
      </c>
      <c r="B6457" s="33">
        <v>23</v>
      </c>
      <c r="C6457" s="33" t="s">
        <v>14</v>
      </c>
      <c r="D6457" s="33" t="s">
        <v>42</v>
      </c>
      <c r="E6457" s="33" t="s">
        <v>10604</v>
      </c>
      <c r="F6457" s="67">
        <v>41680</v>
      </c>
      <c r="G6457" s="33" t="s">
        <v>10605</v>
      </c>
      <c r="H6457" s="33" t="s">
        <v>10606</v>
      </c>
      <c r="I6457" s="33" t="s">
        <v>39</v>
      </c>
      <c r="J6457" s="33" t="s">
        <v>10607</v>
      </c>
      <c r="K6457" s="33" t="s">
        <v>998</v>
      </c>
      <c r="L6457" s="33" t="s">
        <v>10608</v>
      </c>
      <c r="M6457" s="33" t="s">
        <v>21</v>
      </c>
      <c r="N6457" s="33" t="s">
        <v>10609</v>
      </c>
      <c r="O6457" s="33" t="s">
        <v>950</v>
      </c>
      <c r="P6457" s="33" t="s">
        <v>30089</v>
      </c>
      <c r="Q6457" s="40" t="s">
        <v>10610</v>
      </c>
      <c r="R6457" s="33" t="s">
        <v>23</v>
      </c>
      <c r="S6457" s="33" t="s">
        <v>22</v>
      </c>
      <c r="T6457" s="1" t="s">
        <v>26774</v>
      </c>
      <c r="Z6457" s="33" t="s">
        <v>42966</v>
      </c>
      <c r="AA6457" s="33">
        <v>1208</v>
      </c>
    </row>
    <row r="6458" spans="1:27" ht="13.5" customHeight="1" x14ac:dyDescent="0.15">
      <c r="A6458" s="33" t="s">
        <v>10583</v>
      </c>
      <c r="B6458" s="33">
        <v>68</v>
      </c>
      <c r="C6458" s="33" t="s">
        <v>14</v>
      </c>
      <c r="D6458" s="33" t="s">
        <v>79</v>
      </c>
      <c r="E6458" s="33" t="s">
        <v>10584</v>
      </c>
      <c r="F6458" s="67">
        <v>41680</v>
      </c>
      <c r="G6458" s="33" t="s">
        <v>10585</v>
      </c>
      <c r="H6458" s="33" t="s">
        <v>1663</v>
      </c>
      <c r="I6458" s="33" t="s">
        <v>26</v>
      </c>
      <c r="J6458" s="33" t="s">
        <v>10586</v>
      </c>
      <c r="K6458" s="33" t="s">
        <v>10587</v>
      </c>
      <c r="L6458" s="33" t="s">
        <v>10588</v>
      </c>
      <c r="M6458" s="33" t="s">
        <v>21</v>
      </c>
      <c r="N6458" s="33" t="s">
        <v>10589</v>
      </c>
      <c r="O6458" s="33" t="s">
        <v>26757</v>
      </c>
      <c r="P6458" s="33" t="s">
        <v>26758</v>
      </c>
      <c r="Q6458" s="40" t="str">
        <f>HYPERLINK("http://www.washingtonpost.com/news/morning-mix/wp/2015/04/08/south-carolina-cop-now-faces-felony-charge-for-fatally-shooting-a-black-man-in-his-driveway/","http://www.washingtonpost.com/news/morning-mix/wp/2015/04/08/south-carolina-cop-now-faces-felony-charge-for-fatally-shooting-a-black-man-in-his-driveway/")</f>
        <v>http://www.washingtonpost.com/news/morning-mix/wp/2015/04/08/south-carolina-cop-now-faces-felony-charge-for-fatally-shooting-a-black-man-in-his-driveway/</v>
      </c>
      <c r="R6458" s="33" t="s">
        <v>94</v>
      </c>
      <c r="S6458" s="33" t="s">
        <v>12</v>
      </c>
      <c r="T6458" s="54" t="s">
        <v>29705</v>
      </c>
      <c r="Z6458" s="33" t="s">
        <v>42968</v>
      </c>
      <c r="AA6458" s="33">
        <v>1209</v>
      </c>
    </row>
    <row r="6459" spans="1:27" ht="13.5" customHeight="1" x14ac:dyDescent="0.15">
      <c r="A6459" s="33" t="s">
        <v>10613</v>
      </c>
      <c r="B6459" s="33">
        <v>45</v>
      </c>
      <c r="C6459" s="33" t="s">
        <v>14</v>
      </c>
      <c r="D6459" s="33" t="s">
        <v>79</v>
      </c>
      <c r="E6459" s="33" t="s">
        <v>10614</v>
      </c>
      <c r="F6459" s="67">
        <v>41679</v>
      </c>
      <c r="G6459" s="33" t="s">
        <v>10615</v>
      </c>
      <c r="H6459" s="33" t="s">
        <v>1645</v>
      </c>
      <c r="I6459" s="33" t="s">
        <v>39</v>
      </c>
      <c r="J6459" s="33" t="s">
        <v>4678</v>
      </c>
      <c r="K6459" s="33" t="s">
        <v>1647</v>
      </c>
      <c r="L6459" s="33" t="s">
        <v>1648</v>
      </c>
      <c r="M6459" s="33" t="s">
        <v>21</v>
      </c>
      <c r="N6459" s="33" t="s">
        <v>10616</v>
      </c>
      <c r="O6459" s="33" t="s">
        <v>950</v>
      </c>
      <c r="P6459" s="33" t="s">
        <v>30089</v>
      </c>
      <c r="Q6459" s="40" t="s">
        <v>10617</v>
      </c>
      <c r="R6459" s="33" t="s">
        <v>94</v>
      </c>
      <c r="S6459" s="33" t="s">
        <v>22</v>
      </c>
      <c r="T6459" s="1" t="s">
        <v>26600</v>
      </c>
      <c r="Z6459" s="33" t="s">
        <v>42968</v>
      </c>
      <c r="AA6459" s="33">
        <v>1206</v>
      </c>
    </row>
    <row r="6460" spans="1:27" ht="13.5" customHeight="1" x14ac:dyDescent="0.15">
      <c r="A6460" s="33" t="s">
        <v>10636</v>
      </c>
      <c r="B6460" s="33">
        <v>42</v>
      </c>
      <c r="C6460" s="33" t="s">
        <v>14</v>
      </c>
      <c r="D6460" s="33" t="s">
        <v>31</v>
      </c>
      <c r="E6460" s="33" t="s">
        <v>10637</v>
      </c>
      <c r="F6460" s="67">
        <v>41677</v>
      </c>
      <c r="G6460" s="33" t="s">
        <v>10638</v>
      </c>
      <c r="H6460" s="33" t="s">
        <v>2180</v>
      </c>
      <c r="I6460" s="33" t="s">
        <v>51</v>
      </c>
      <c r="J6460" s="33" t="s">
        <v>10639</v>
      </c>
      <c r="K6460" s="33" t="s">
        <v>2180</v>
      </c>
      <c r="L6460" s="33" t="s">
        <v>10640</v>
      </c>
      <c r="M6460" s="33" t="s">
        <v>21</v>
      </c>
      <c r="N6460" s="33" t="s">
        <v>10641</v>
      </c>
      <c r="O6460" s="33" t="s">
        <v>507</v>
      </c>
      <c r="P6460" s="33" t="s">
        <v>30089</v>
      </c>
      <c r="Q6460" s="40" t="s">
        <v>10642</v>
      </c>
      <c r="R6460" s="33" t="s">
        <v>94</v>
      </c>
      <c r="S6460" s="33" t="s">
        <v>22</v>
      </c>
      <c r="T6460" s="1" t="s">
        <v>26781</v>
      </c>
      <c r="Z6460" s="33" t="s">
        <v>42966</v>
      </c>
      <c r="AA6460" s="33">
        <v>1201</v>
      </c>
    </row>
    <row r="6461" spans="1:27" ht="13.5" customHeight="1" x14ac:dyDescent="0.15">
      <c r="A6461" s="33" t="s">
        <v>10630</v>
      </c>
      <c r="B6461" s="33">
        <v>49</v>
      </c>
      <c r="C6461" s="33" t="s">
        <v>14</v>
      </c>
      <c r="D6461" s="33" t="s">
        <v>31</v>
      </c>
      <c r="E6461" s="33" t="s">
        <v>10631</v>
      </c>
      <c r="F6461" s="67">
        <v>41677</v>
      </c>
      <c r="G6461" s="33" t="s">
        <v>10632</v>
      </c>
      <c r="H6461" s="33" t="s">
        <v>774</v>
      </c>
      <c r="I6461" s="33" t="s">
        <v>67</v>
      </c>
      <c r="J6461" s="33" t="s">
        <v>10633</v>
      </c>
      <c r="K6461" s="33" t="s">
        <v>775</v>
      </c>
      <c r="L6461" s="33" t="s">
        <v>776</v>
      </c>
      <c r="M6461" s="33" t="s">
        <v>21</v>
      </c>
      <c r="N6461" s="33" t="s">
        <v>10634</v>
      </c>
      <c r="O6461" s="33" t="s">
        <v>950</v>
      </c>
      <c r="P6461" s="33" t="s">
        <v>30089</v>
      </c>
      <c r="Q6461" s="40" t="s">
        <v>10635</v>
      </c>
      <c r="R6461" s="33" t="s">
        <v>94</v>
      </c>
      <c r="S6461" s="33" t="s">
        <v>22</v>
      </c>
      <c r="T6461" s="1" t="s">
        <v>26781</v>
      </c>
      <c r="Y6461" s="33" t="s">
        <v>42476</v>
      </c>
      <c r="Z6461" s="33" t="s">
        <v>42967</v>
      </c>
      <c r="AA6461" s="33">
        <v>1202</v>
      </c>
    </row>
    <row r="6462" spans="1:27" ht="13.5" customHeight="1" x14ac:dyDescent="0.15">
      <c r="A6462" s="33" t="s">
        <v>10618</v>
      </c>
      <c r="B6462" s="33">
        <v>27</v>
      </c>
      <c r="C6462" s="33" t="s">
        <v>14</v>
      </c>
      <c r="D6462" s="33" t="s">
        <v>79</v>
      </c>
      <c r="F6462" s="67">
        <v>41677</v>
      </c>
      <c r="G6462" s="33" t="s">
        <v>10619</v>
      </c>
      <c r="H6462" s="33" t="s">
        <v>10620</v>
      </c>
      <c r="I6462" s="33" t="s">
        <v>19</v>
      </c>
      <c r="J6462" s="33" t="s">
        <v>10621</v>
      </c>
      <c r="K6462" s="33" t="s">
        <v>2159</v>
      </c>
      <c r="L6462" s="33" t="s">
        <v>28987</v>
      </c>
      <c r="M6462" s="33" t="s">
        <v>21</v>
      </c>
      <c r="N6462" s="33" t="s">
        <v>10622</v>
      </c>
      <c r="O6462" s="33" t="s">
        <v>950</v>
      </c>
      <c r="P6462" s="33" t="s">
        <v>30089</v>
      </c>
      <c r="Q6462" s="40" t="str">
        <f>HYPERLINK("http://www.ktbs.com/story/24667057/officer-involved-shooting-in-ruston-leaves-one-dead","http://www.ktbs.com/story/24667057/officer-involved-shooting-in-ruston-leaves-one-dead")</f>
        <v>http://www.ktbs.com/story/24667057/officer-involved-shooting-in-ruston-leaves-one-dead</v>
      </c>
      <c r="R6462" s="33" t="s">
        <v>94</v>
      </c>
      <c r="S6462" s="33" t="s">
        <v>22</v>
      </c>
      <c r="T6462" s="1" t="s">
        <v>26576</v>
      </c>
      <c r="Z6462" s="33" t="s">
        <v>42968</v>
      </c>
      <c r="AA6462" s="33">
        <v>1205</v>
      </c>
    </row>
    <row r="6463" spans="1:27" ht="13.5" customHeight="1" x14ac:dyDescent="0.15">
      <c r="A6463" s="33" t="s">
        <v>10643</v>
      </c>
      <c r="B6463" s="103">
        <v>36</v>
      </c>
      <c r="C6463" s="33" t="s">
        <v>103</v>
      </c>
      <c r="D6463" s="33" t="s">
        <v>31</v>
      </c>
      <c r="F6463" s="67">
        <v>41677</v>
      </c>
      <c r="G6463" s="33" t="s">
        <v>10624</v>
      </c>
      <c r="H6463" s="33" t="s">
        <v>10625</v>
      </c>
      <c r="I6463" s="33" t="s">
        <v>122</v>
      </c>
      <c r="J6463" s="33" t="s">
        <v>10626</v>
      </c>
      <c r="K6463" s="33" t="s">
        <v>1009</v>
      </c>
      <c r="L6463" s="33" t="s">
        <v>10627</v>
      </c>
      <c r="M6463" s="33" t="s">
        <v>21</v>
      </c>
      <c r="N6463" s="33" t="s">
        <v>10644</v>
      </c>
      <c r="O6463" s="33" t="s">
        <v>23</v>
      </c>
      <c r="P6463" s="33" t="s">
        <v>30089</v>
      </c>
      <c r="Q6463" s="40" t="s">
        <v>10629</v>
      </c>
      <c r="R6463" s="33" t="s">
        <v>94</v>
      </c>
      <c r="S6463" s="33" t="s">
        <v>22</v>
      </c>
      <c r="T6463" s="1" t="s">
        <v>26774</v>
      </c>
      <c r="Z6463" s="33" t="s">
        <v>42968</v>
      </c>
      <c r="AA6463" s="33">
        <v>1204</v>
      </c>
    </row>
    <row r="6464" spans="1:27" ht="13.5" customHeight="1" x14ac:dyDescent="0.15">
      <c r="A6464" s="33" t="s">
        <v>10623</v>
      </c>
      <c r="B6464" s="103">
        <v>36</v>
      </c>
      <c r="C6464" s="33" t="s">
        <v>14</v>
      </c>
      <c r="D6464" s="33" t="s">
        <v>31</v>
      </c>
      <c r="F6464" s="67">
        <v>41677</v>
      </c>
      <c r="G6464" s="33" t="s">
        <v>10624</v>
      </c>
      <c r="H6464" s="33" t="s">
        <v>10625</v>
      </c>
      <c r="I6464" s="33" t="s">
        <v>122</v>
      </c>
      <c r="J6464" s="33" t="s">
        <v>10626</v>
      </c>
      <c r="K6464" s="33" t="s">
        <v>1009</v>
      </c>
      <c r="L6464" s="33" t="s">
        <v>10627</v>
      </c>
      <c r="M6464" s="33" t="s">
        <v>21</v>
      </c>
      <c r="N6464" s="33" t="s">
        <v>10628</v>
      </c>
      <c r="O6464" s="33" t="s">
        <v>23</v>
      </c>
      <c r="P6464" s="33" t="s">
        <v>30089</v>
      </c>
      <c r="Q6464" s="40" t="s">
        <v>10629</v>
      </c>
      <c r="R6464" s="33" t="s">
        <v>94</v>
      </c>
      <c r="S6464" s="33" t="s">
        <v>22</v>
      </c>
      <c r="T6464" s="1" t="s">
        <v>26781</v>
      </c>
      <c r="Z6464" s="33" t="s">
        <v>42968</v>
      </c>
      <c r="AA6464" s="33">
        <v>1203</v>
      </c>
    </row>
    <row r="6465" spans="1:27" ht="13.5" customHeight="1" x14ac:dyDescent="0.15">
      <c r="A6465" s="33" t="s">
        <v>10645</v>
      </c>
      <c r="B6465" s="33">
        <v>43</v>
      </c>
      <c r="C6465" s="33" t="s">
        <v>14</v>
      </c>
      <c r="D6465" s="33" t="s">
        <v>31</v>
      </c>
      <c r="F6465" s="67">
        <v>41676</v>
      </c>
      <c r="G6465" s="33" t="s">
        <v>10646</v>
      </c>
      <c r="H6465" s="33" t="s">
        <v>3067</v>
      </c>
      <c r="I6465" s="33" t="s">
        <v>112</v>
      </c>
      <c r="J6465" s="33" t="s">
        <v>10647</v>
      </c>
      <c r="K6465" s="33" t="s">
        <v>585</v>
      </c>
      <c r="L6465" s="33" t="s">
        <v>3069</v>
      </c>
      <c r="M6465" s="33" t="s">
        <v>21</v>
      </c>
      <c r="N6465" s="33" t="s">
        <v>10648</v>
      </c>
      <c r="O6465" s="33" t="s">
        <v>950</v>
      </c>
      <c r="P6465" s="33" t="s">
        <v>30089</v>
      </c>
      <c r="Q6465" s="40" t="s">
        <v>10649</v>
      </c>
      <c r="R6465" s="33" t="s">
        <v>94</v>
      </c>
      <c r="S6465" s="33" t="s">
        <v>22</v>
      </c>
      <c r="T6465" s="1" t="s">
        <v>26781</v>
      </c>
      <c r="Z6465" s="33" t="s">
        <v>42968</v>
      </c>
      <c r="AA6465" s="33">
        <v>1200</v>
      </c>
    </row>
    <row r="6466" spans="1:27" ht="13.5" customHeight="1" x14ac:dyDescent="0.15">
      <c r="A6466" s="33" t="s">
        <v>10655</v>
      </c>
      <c r="B6466" s="33">
        <v>25</v>
      </c>
      <c r="C6466" s="33" t="s">
        <v>14</v>
      </c>
      <c r="D6466" s="33" t="s">
        <v>79</v>
      </c>
      <c r="E6466" s="33" t="s">
        <v>10656</v>
      </c>
      <c r="F6466" s="67">
        <v>41675</v>
      </c>
      <c r="G6466" s="33" t="s">
        <v>10657</v>
      </c>
      <c r="H6466" s="33" t="s">
        <v>3577</v>
      </c>
      <c r="I6466" s="33" t="s">
        <v>46</v>
      </c>
      <c r="J6466" s="33" t="s">
        <v>3578</v>
      </c>
      <c r="K6466" s="33" t="s">
        <v>3579</v>
      </c>
      <c r="L6466" s="33" t="s">
        <v>647</v>
      </c>
      <c r="M6466" s="33" t="s">
        <v>21</v>
      </c>
      <c r="N6466" s="33" t="s">
        <v>10658</v>
      </c>
      <c r="O6466" s="33" t="s">
        <v>507</v>
      </c>
      <c r="P6466" s="33" t="s">
        <v>30089</v>
      </c>
      <c r="Q6466" s="40" t="str">
        <f>HYPERLINK("http://www.delmarvanow.com/article/20140205/NEWS/302050037","http://www.delmarvanow.com/article/20140205/NEWS/302050037")</f>
        <v>http://www.delmarvanow.com/article/20140205/NEWS/302050037</v>
      </c>
      <c r="R6466" s="33" t="s">
        <v>94</v>
      </c>
      <c r="S6466" s="33" t="s">
        <v>22</v>
      </c>
      <c r="T6466" s="1" t="s">
        <v>26781</v>
      </c>
      <c r="Z6466" s="33" t="s">
        <v>42968</v>
      </c>
      <c r="AA6466" s="33">
        <v>1197</v>
      </c>
    </row>
    <row r="6467" spans="1:27" ht="13.5" customHeight="1" x14ac:dyDescent="0.15">
      <c r="A6467" s="33" t="s">
        <v>10650</v>
      </c>
      <c r="B6467" s="33">
        <v>21</v>
      </c>
      <c r="C6467" s="33" t="s">
        <v>14</v>
      </c>
      <c r="D6467" s="33" t="s">
        <v>79</v>
      </c>
      <c r="E6467" s="33" t="s">
        <v>10651</v>
      </c>
      <c r="F6467" s="67">
        <v>41675</v>
      </c>
      <c r="G6467" s="33" t="s">
        <v>10652</v>
      </c>
      <c r="H6467" s="33" t="s">
        <v>10653</v>
      </c>
      <c r="I6467" s="33" t="s">
        <v>56</v>
      </c>
      <c r="J6467" s="33" t="s">
        <v>8232</v>
      </c>
      <c r="K6467" s="33" t="s">
        <v>148</v>
      </c>
      <c r="L6467" s="33" t="s">
        <v>149</v>
      </c>
      <c r="M6467" s="33" t="s">
        <v>363</v>
      </c>
      <c r="N6467" s="33" t="s">
        <v>10654</v>
      </c>
      <c r="O6467" s="33" t="s">
        <v>950</v>
      </c>
      <c r="P6467" s="33" t="s">
        <v>30089</v>
      </c>
      <c r="Q6467" s="40" t="s">
        <v>10363</v>
      </c>
      <c r="R6467" s="33" t="s">
        <v>94</v>
      </c>
      <c r="S6467" s="33" t="s">
        <v>12</v>
      </c>
      <c r="T6467" s="54" t="s">
        <v>29705</v>
      </c>
      <c r="Z6467" s="33" t="s">
        <v>42968</v>
      </c>
      <c r="AA6467" s="33">
        <v>1199</v>
      </c>
    </row>
    <row r="6468" spans="1:27" ht="13.5" customHeight="1" x14ac:dyDescent="0.15">
      <c r="A6468" s="33" t="s">
        <v>10659</v>
      </c>
      <c r="B6468" s="33">
        <v>51</v>
      </c>
      <c r="C6468" s="33" t="s">
        <v>14</v>
      </c>
      <c r="D6468" s="33" t="s">
        <v>24</v>
      </c>
      <c r="F6468" s="67">
        <v>41675</v>
      </c>
      <c r="G6468" s="33" t="s">
        <v>10660</v>
      </c>
      <c r="H6468" s="33" t="s">
        <v>2319</v>
      </c>
      <c r="I6468" s="33" t="s">
        <v>56</v>
      </c>
      <c r="J6468" s="33" t="s">
        <v>10661</v>
      </c>
      <c r="K6468" s="33" t="s">
        <v>6654</v>
      </c>
      <c r="L6468" s="33" t="s">
        <v>10662</v>
      </c>
      <c r="M6468" s="33" t="s">
        <v>21</v>
      </c>
      <c r="N6468" s="33" t="s">
        <v>10663</v>
      </c>
      <c r="O6468" s="33" t="s">
        <v>507</v>
      </c>
      <c r="P6468" s="33" t="s">
        <v>30089</v>
      </c>
      <c r="Q6468" s="40" t="str">
        <f>HYPERLINK("http://www.wtxl.com/news/update-officer-involved-shooting-at-taylor-county-car-dealership/article_a27a9ab0-8e83-11e3-8e81-0017a43b2370.html","http://www.wtxl.com/news/update-officer-involved-shooting-at-taylor-county-car-dealership/article_a27a9ab0-8e83-11e3-8e81-0017a43b2370.html")</f>
        <v>http://www.wtxl.com/news/update-officer-involved-shooting-at-taylor-county-car-dealership/article_a27a9ab0-8e83-11e3-8e81-0017a43b2370.html</v>
      </c>
      <c r="R6468" s="33" t="s">
        <v>23</v>
      </c>
      <c r="S6468" s="33" t="s">
        <v>22</v>
      </c>
      <c r="T6468" s="1" t="s">
        <v>26781</v>
      </c>
      <c r="Z6468" s="33" t="s">
        <v>42967</v>
      </c>
      <c r="AA6468" s="33">
        <v>1198</v>
      </c>
    </row>
    <row r="6469" spans="1:27" ht="13.5" customHeight="1" x14ac:dyDescent="0.15">
      <c r="A6469" s="33" t="s">
        <v>3002</v>
      </c>
      <c r="B6469" s="33">
        <v>45</v>
      </c>
      <c r="C6469" s="33" t="s">
        <v>14</v>
      </c>
      <c r="D6469" s="33" t="s">
        <v>24</v>
      </c>
      <c r="F6469" s="67">
        <v>41674</v>
      </c>
      <c r="G6469" s="33" t="s">
        <v>10684</v>
      </c>
      <c r="H6469" s="33" t="s">
        <v>1033</v>
      </c>
      <c r="I6469" s="33" t="s">
        <v>376</v>
      </c>
      <c r="J6469" s="33" t="s">
        <v>10685</v>
      </c>
      <c r="K6469" s="33" t="s">
        <v>1033</v>
      </c>
      <c r="L6469" s="33" t="s">
        <v>1034</v>
      </c>
      <c r="M6469" s="33" t="s">
        <v>21</v>
      </c>
      <c r="N6469" s="33" t="s">
        <v>10686</v>
      </c>
      <c r="O6469" s="33" t="s">
        <v>950</v>
      </c>
      <c r="P6469" s="33" t="s">
        <v>30089</v>
      </c>
      <c r="Q6469" s="40" t="s">
        <v>10687</v>
      </c>
      <c r="R6469" s="33" t="s">
        <v>23</v>
      </c>
      <c r="S6469" s="1" t="s">
        <v>29</v>
      </c>
      <c r="T6469" s="33" t="s">
        <v>41840</v>
      </c>
      <c r="Z6469" s="33" t="s">
        <v>42966</v>
      </c>
      <c r="AA6469" s="33">
        <v>1195</v>
      </c>
    </row>
    <row r="6470" spans="1:27" ht="13.5" customHeight="1" x14ac:dyDescent="0.15">
      <c r="A6470" s="33" t="s">
        <v>10670</v>
      </c>
      <c r="B6470" s="33">
        <v>34</v>
      </c>
      <c r="C6470" s="33" t="s">
        <v>14</v>
      </c>
      <c r="D6470" s="33" t="s">
        <v>79</v>
      </c>
      <c r="E6470" s="33" t="s">
        <v>10671</v>
      </c>
      <c r="F6470" s="67">
        <v>41674</v>
      </c>
      <c r="G6470" s="33" t="s">
        <v>10672</v>
      </c>
      <c r="H6470" s="33" t="s">
        <v>10673</v>
      </c>
      <c r="I6470" s="33" t="s">
        <v>192</v>
      </c>
      <c r="J6470" s="33" t="s">
        <v>10674</v>
      </c>
      <c r="K6470" s="33" t="s">
        <v>1659</v>
      </c>
      <c r="L6470" s="33" t="s">
        <v>10675</v>
      </c>
      <c r="M6470" s="33" t="s">
        <v>21</v>
      </c>
      <c r="N6470" s="33" t="s">
        <v>10676</v>
      </c>
      <c r="O6470" s="33" t="s">
        <v>950</v>
      </c>
      <c r="P6470" s="33" t="s">
        <v>30089</v>
      </c>
      <c r="Q6470" s="40" t="s">
        <v>10677</v>
      </c>
      <c r="R6470" s="33" t="s">
        <v>94</v>
      </c>
      <c r="S6470" s="33" t="s">
        <v>29</v>
      </c>
      <c r="T6470" s="1" t="s">
        <v>41840</v>
      </c>
      <c r="Z6470" s="33" t="s">
        <v>42968</v>
      </c>
      <c r="AA6470" s="33">
        <v>1196</v>
      </c>
    </row>
    <row r="6471" spans="1:27" ht="13.5" customHeight="1" x14ac:dyDescent="0.15">
      <c r="A6471" s="33" t="s">
        <v>10664</v>
      </c>
      <c r="B6471" s="33">
        <v>28</v>
      </c>
      <c r="C6471" s="33" t="s">
        <v>14</v>
      </c>
      <c r="D6471" s="33" t="s">
        <v>79</v>
      </c>
      <c r="E6471" s="33" t="s">
        <v>10665</v>
      </c>
      <c r="F6471" s="67">
        <v>41674</v>
      </c>
      <c r="G6471" s="33" t="s">
        <v>10666</v>
      </c>
      <c r="H6471" s="33" t="s">
        <v>4877</v>
      </c>
      <c r="I6471" s="33" t="s">
        <v>56</v>
      </c>
      <c r="J6471" s="33" t="s">
        <v>10667</v>
      </c>
      <c r="K6471" s="33" t="s">
        <v>4878</v>
      </c>
      <c r="L6471" s="33" t="s">
        <v>57</v>
      </c>
      <c r="M6471" s="33" t="s">
        <v>21</v>
      </c>
      <c r="N6471" s="33" t="s">
        <v>10668</v>
      </c>
      <c r="O6471" s="33" t="s">
        <v>507</v>
      </c>
      <c r="P6471" s="33" t="s">
        <v>30089</v>
      </c>
      <c r="Q6471" s="40" t="s">
        <v>10669</v>
      </c>
      <c r="R6471" s="33" t="s">
        <v>904</v>
      </c>
      <c r="S6471" s="33" t="s">
        <v>12</v>
      </c>
      <c r="T6471" s="54" t="s">
        <v>29705</v>
      </c>
      <c r="Z6471" s="33" t="s">
        <v>42968</v>
      </c>
      <c r="AA6471" s="33">
        <v>1193</v>
      </c>
    </row>
    <row r="6472" spans="1:27" ht="13.5" customHeight="1" x14ac:dyDescent="0.15">
      <c r="A6472" s="33" t="s">
        <v>10688</v>
      </c>
      <c r="B6472" s="33">
        <v>62</v>
      </c>
      <c r="C6472" s="33" t="s">
        <v>103</v>
      </c>
      <c r="D6472" s="33" t="s">
        <v>24</v>
      </c>
      <c r="F6472" s="67">
        <v>41674</v>
      </c>
      <c r="G6472" s="33" t="s">
        <v>10689</v>
      </c>
      <c r="H6472" s="33" t="s">
        <v>7928</v>
      </c>
      <c r="I6472" s="33" t="s">
        <v>39</v>
      </c>
      <c r="J6472" s="33" t="s">
        <v>7929</v>
      </c>
      <c r="K6472" s="33" t="s">
        <v>558</v>
      </c>
      <c r="L6472" s="33" t="s">
        <v>7930</v>
      </c>
      <c r="M6472" s="33" t="s">
        <v>21</v>
      </c>
      <c r="N6472" s="33" t="s">
        <v>19055</v>
      </c>
      <c r="O6472" s="33" t="s">
        <v>372</v>
      </c>
      <c r="P6472" s="33" t="s">
        <v>30089</v>
      </c>
      <c r="Q6472" s="40" t="str">
        <f>HYPERLINK("http://www.sfgate.com/crime/article/Hayward-police-shoot-and-kill-armed-woman-5205798.php","http://www.sfgate.com/crime/article/Hayward-police-shoot-and-kill-armed-woman-5205798.php")</f>
        <v>http://www.sfgate.com/crime/article/Hayward-police-shoot-and-kill-armed-woman-5205798.php</v>
      </c>
      <c r="R6472" s="33" t="s">
        <v>512</v>
      </c>
      <c r="S6472" s="33" t="s">
        <v>12</v>
      </c>
      <c r="T6472" s="33" t="s">
        <v>29425</v>
      </c>
      <c r="Z6472" s="33" t="s">
        <v>42966</v>
      </c>
      <c r="AA6472" s="33">
        <v>1192</v>
      </c>
    </row>
    <row r="6473" spans="1:27" ht="13.5" customHeight="1" x14ac:dyDescent="0.15">
      <c r="A6473" s="33" t="s">
        <v>10678</v>
      </c>
      <c r="B6473" s="33">
        <v>39</v>
      </c>
      <c r="C6473" s="33" t="s">
        <v>14</v>
      </c>
      <c r="D6473" s="33" t="s">
        <v>885</v>
      </c>
      <c r="E6473" s="33" t="s">
        <v>10679</v>
      </c>
      <c r="F6473" s="67">
        <v>41674</v>
      </c>
      <c r="G6473" s="33" t="s">
        <v>10680</v>
      </c>
      <c r="H6473" s="33" t="s">
        <v>10681</v>
      </c>
      <c r="I6473" s="33" t="s">
        <v>814</v>
      </c>
      <c r="J6473" s="33" t="s">
        <v>10682</v>
      </c>
      <c r="K6473" s="33" t="s">
        <v>3619</v>
      </c>
      <c r="L6473" s="33" t="s">
        <v>10683</v>
      </c>
      <c r="M6473" s="33" t="s">
        <v>363</v>
      </c>
      <c r="N6473" s="33" t="s">
        <v>36838</v>
      </c>
      <c r="O6473" s="33" t="s">
        <v>950</v>
      </c>
      <c r="P6473" s="33" t="s">
        <v>30089</v>
      </c>
      <c r="Q6473" s="42" t="s">
        <v>37051</v>
      </c>
      <c r="R6473" s="33" t="s">
        <v>94</v>
      </c>
      <c r="S6473" s="33" t="s">
        <v>12</v>
      </c>
      <c r="T6473" s="54" t="s">
        <v>29705</v>
      </c>
      <c r="Z6473" s="33" t="s">
        <v>42967</v>
      </c>
      <c r="AA6473" s="33">
        <v>1194</v>
      </c>
    </row>
    <row r="6474" spans="1:27" ht="13.5" customHeight="1" x14ac:dyDescent="0.15">
      <c r="A6474" s="33" t="s">
        <v>10690</v>
      </c>
      <c r="B6474" s="33">
        <v>56</v>
      </c>
      <c r="C6474" s="33" t="s">
        <v>14</v>
      </c>
      <c r="D6474" s="33" t="s">
        <v>42</v>
      </c>
      <c r="F6474" s="67">
        <v>41673</v>
      </c>
      <c r="G6474" s="33" t="s">
        <v>10691</v>
      </c>
      <c r="H6474" s="33" t="s">
        <v>81</v>
      </c>
      <c r="I6474" s="33" t="s">
        <v>38</v>
      </c>
      <c r="J6474" s="33" t="s">
        <v>10692</v>
      </c>
      <c r="K6474" s="33" t="s">
        <v>82</v>
      </c>
      <c r="L6474" s="33" t="s">
        <v>83</v>
      </c>
      <c r="M6474" s="33" t="s">
        <v>21</v>
      </c>
      <c r="N6474" s="33" t="s">
        <v>10693</v>
      </c>
      <c r="O6474" s="33" t="s">
        <v>950</v>
      </c>
      <c r="P6474" s="33" t="s">
        <v>30089</v>
      </c>
      <c r="Q6474" s="40" t="s">
        <v>10694</v>
      </c>
      <c r="R6474" s="33" t="s">
        <v>94</v>
      </c>
      <c r="S6474" s="33" t="s">
        <v>22</v>
      </c>
      <c r="T6474" s="1" t="s">
        <v>26781</v>
      </c>
      <c r="Y6474" s="33" t="s">
        <v>42476</v>
      </c>
      <c r="Z6474" s="33" t="s">
        <v>42966</v>
      </c>
      <c r="AA6474" s="33">
        <v>1191</v>
      </c>
    </row>
    <row r="6475" spans="1:27" ht="13.5" customHeight="1" x14ac:dyDescent="0.15">
      <c r="A6475" s="33" t="s">
        <v>10706</v>
      </c>
      <c r="B6475" s="33">
        <v>28</v>
      </c>
      <c r="C6475" s="33" t="s">
        <v>14</v>
      </c>
      <c r="D6475" s="33" t="s">
        <v>31</v>
      </c>
      <c r="F6475" s="67">
        <v>41671</v>
      </c>
      <c r="G6475" s="33" t="s">
        <v>10707</v>
      </c>
      <c r="H6475" s="33" t="s">
        <v>10708</v>
      </c>
      <c r="I6475" s="33" t="s">
        <v>250</v>
      </c>
      <c r="J6475" s="33" t="s">
        <v>10709</v>
      </c>
      <c r="K6475" s="33" t="s">
        <v>527</v>
      </c>
      <c r="L6475" s="33" t="s">
        <v>528</v>
      </c>
      <c r="M6475" s="33" t="s">
        <v>21</v>
      </c>
      <c r="N6475" s="33" t="s">
        <v>10710</v>
      </c>
      <c r="O6475" s="33" t="s">
        <v>950</v>
      </c>
      <c r="P6475" s="33" t="s">
        <v>30089</v>
      </c>
      <c r="Q6475" s="40" t="s">
        <v>10711</v>
      </c>
      <c r="R6475" s="33" t="s">
        <v>512</v>
      </c>
      <c r="S6475" s="33" t="s">
        <v>22</v>
      </c>
      <c r="T6475" s="1" t="s">
        <v>26781</v>
      </c>
      <c r="Z6475" s="33" t="s">
        <v>42967</v>
      </c>
      <c r="AA6475" s="33">
        <v>1188</v>
      </c>
    </row>
    <row r="6476" spans="1:27" ht="13.5" customHeight="1" x14ac:dyDescent="0.15">
      <c r="A6476" s="33" t="s">
        <v>10699</v>
      </c>
      <c r="B6476" s="33">
        <v>21</v>
      </c>
      <c r="C6476" s="33" t="s">
        <v>14</v>
      </c>
      <c r="D6476" s="33" t="s">
        <v>31</v>
      </c>
      <c r="F6476" s="67">
        <v>41671</v>
      </c>
      <c r="G6476" s="33" t="s">
        <v>10700</v>
      </c>
      <c r="H6476" s="33" t="s">
        <v>10701</v>
      </c>
      <c r="I6476" s="33" t="s">
        <v>282</v>
      </c>
      <c r="J6476" s="33" t="s">
        <v>10702</v>
      </c>
      <c r="K6476" s="33" t="s">
        <v>827</v>
      </c>
      <c r="L6476" s="33" t="s">
        <v>10703</v>
      </c>
      <c r="M6476" s="33" t="s">
        <v>21</v>
      </c>
      <c r="N6476" s="33" t="s">
        <v>10704</v>
      </c>
      <c r="O6476" s="33" t="s">
        <v>950</v>
      </c>
      <c r="P6476" s="33" t="s">
        <v>30089</v>
      </c>
      <c r="Q6476" s="40" t="s">
        <v>10705</v>
      </c>
      <c r="R6476" s="33" t="s">
        <v>94</v>
      </c>
      <c r="S6476" s="33" t="s">
        <v>22</v>
      </c>
      <c r="T6476" s="1" t="s">
        <v>43002</v>
      </c>
      <c r="Z6476" s="33" t="s">
        <v>42968</v>
      </c>
      <c r="AA6476" s="33">
        <v>1189</v>
      </c>
    </row>
    <row r="6477" spans="1:27" ht="13.5" customHeight="1" x14ac:dyDescent="0.15">
      <c r="A6477" s="33" t="s">
        <v>10695</v>
      </c>
      <c r="B6477" s="33">
        <v>25</v>
      </c>
      <c r="C6477" s="33" t="s">
        <v>14</v>
      </c>
      <c r="D6477" s="33" t="s">
        <v>79</v>
      </c>
      <c r="E6477" s="33" t="str">
        <f>HYPERLINK("http://thumbs.mugshots.com/gallery/images/8d/63/Kevin-Dejon-Grissett-mugshot-24130338.400x800.jpg","http://thumbs.mugshots.com/gallery/images/8d/63/Kevin-Dejon-Grissett-mugshot-24130338.400x800.jpg")</f>
        <v>http://thumbs.mugshots.com/gallery/images/8d/63/Kevin-Dejon-Grissett-mugshot-24130338.400x800.jpg</v>
      </c>
      <c r="F6477" s="67">
        <v>41671</v>
      </c>
      <c r="G6477" s="33" t="s">
        <v>10696</v>
      </c>
      <c r="H6477" s="33" t="s">
        <v>8224</v>
      </c>
      <c r="I6477" s="33" t="s">
        <v>338</v>
      </c>
      <c r="J6477" s="33" t="s">
        <v>7522</v>
      </c>
      <c r="K6477" s="33" t="s">
        <v>2907</v>
      </c>
      <c r="L6477" s="33" t="s">
        <v>8226</v>
      </c>
      <c r="M6477" s="33" t="s">
        <v>21</v>
      </c>
      <c r="N6477" s="33" t="s">
        <v>10697</v>
      </c>
      <c r="O6477" s="33" t="s">
        <v>950</v>
      </c>
      <c r="P6477" s="33" t="s">
        <v>30089</v>
      </c>
      <c r="Q6477" s="40" t="s">
        <v>10698</v>
      </c>
      <c r="R6477" s="33" t="s">
        <v>904</v>
      </c>
      <c r="S6477" s="33" t="s">
        <v>351</v>
      </c>
      <c r="T6477" s="1" t="s">
        <v>42983</v>
      </c>
      <c r="Z6477" s="33" t="s">
        <v>42968</v>
      </c>
      <c r="AA6477" s="33">
        <v>1190</v>
      </c>
    </row>
    <row r="6478" spans="1:27" ht="13.5" customHeight="1" x14ac:dyDescent="0.15">
      <c r="A6478" s="33" t="s">
        <v>10725</v>
      </c>
      <c r="B6478" s="33">
        <v>27</v>
      </c>
      <c r="C6478" s="33" t="s">
        <v>14</v>
      </c>
      <c r="D6478" s="33" t="s">
        <v>42</v>
      </c>
      <c r="E6478" s="33" t="s">
        <v>10726</v>
      </c>
      <c r="F6478" s="67">
        <v>41670</v>
      </c>
      <c r="G6478" s="33" t="s">
        <v>10727</v>
      </c>
      <c r="H6478" s="33" t="s">
        <v>10728</v>
      </c>
      <c r="I6478" s="33" t="s">
        <v>221</v>
      </c>
      <c r="J6478" s="33" t="s">
        <v>10729</v>
      </c>
      <c r="K6478" s="33" t="s">
        <v>10730</v>
      </c>
      <c r="L6478" s="33" t="s">
        <v>10731</v>
      </c>
      <c r="M6478" s="33" t="s">
        <v>21</v>
      </c>
      <c r="N6478" s="33" t="s">
        <v>10732</v>
      </c>
      <c r="O6478" s="33" t="s">
        <v>507</v>
      </c>
      <c r="P6478" s="33" t="s">
        <v>30089</v>
      </c>
      <c r="Q6478" s="40" t="s">
        <v>10733</v>
      </c>
      <c r="R6478" s="33" t="s">
        <v>94</v>
      </c>
      <c r="S6478" s="33" t="s">
        <v>22</v>
      </c>
      <c r="T6478" s="1" t="s">
        <v>26781</v>
      </c>
      <c r="Z6478" s="33" t="s">
        <v>42967</v>
      </c>
      <c r="AA6478" s="33">
        <v>1186</v>
      </c>
    </row>
    <row r="6479" spans="1:27" ht="13.5" customHeight="1" x14ac:dyDescent="0.15">
      <c r="A6479" s="33" t="s">
        <v>10712</v>
      </c>
      <c r="B6479" s="33">
        <v>31</v>
      </c>
      <c r="C6479" s="33" t="s">
        <v>14</v>
      </c>
      <c r="D6479" s="33" t="s">
        <v>79</v>
      </c>
      <c r="E6479" s="33" t="str">
        <f>HYPERLINK("http://bloximages.newyork1.vip.townnews.com/scnow.com/content/tncms/assets/v3/editorial/9/af/9af467d9-6895-55d0-a65f-5d532b203c84/52f5bad3778ea.preview-300.jpg","http://bloximages.newyork1.vip.townnews.com/scnow.com/content/tncms/assets/v3/editorial/9/af/9af467d9-6895-55d0-a65f-5d532b203c84/52f5bad3778ea.preview-300.jpg")</f>
        <v>http://bloximages.newyork1.vip.townnews.com/scnow.com/content/tncms/assets/v3/editorial/9/af/9af467d9-6895-55d0-a65f-5d532b203c84/52f5bad3778ea.preview-300.jpg</v>
      </c>
      <c r="F6479" s="67">
        <v>41670</v>
      </c>
      <c r="G6479" s="33" t="s">
        <v>10713</v>
      </c>
      <c r="H6479" s="33" t="s">
        <v>10714</v>
      </c>
      <c r="I6479" s="33" t="s">
        <v>26</v>
      </c>
      <c r="J6479" s="33" t="s">
        <v>10715</v>
      </c>
      <c r="K6479" s="33" t="s">
        <v>3100</v>
      </c>
      <c r="L6479" s="33" t="s">
        <v>10716</v>
      </c>
      <c r="M6479" s="33" t="s">
        <v>21</v>
      </c>
      <c r="N6479" s="33" t="s">
        <v>10717</v>
      </c>
      <c r="O6479" s="33" t="s">
        <v>507</v>
      </c>
      <c r="P6479" s="33" t="s">
        <v>30089</v>
      </c>
      <c r="Q6479" s="40" t="s">
        <v>10718</v>
      </c>
      <c r="R6479" s="33" t="s">
        <v>23</v>
      </c>
      <c r="S6479" s="33" t="s">
        <v>22</v>
      </c>
      <c r="T6479" s="1" t="s">
        <v>26781</v>
      </c>
      <c r="Z6479" s="33" t="s">
        <v>42967</v>
      </c>
      <c r="AA6479" s="33">
        <v>1185</v>
      </c>
    </row>
    <row r="6480" spans="1:27" ht="13.5" customHeight="1" x14ac:dyDescent="0.15">
      <c r="A6480" s="33" t="s">
        <v>10719</v>
      </c>
      <c r="B6480" s="33">
        <v>33</v>
      </c>
      <c r="C6480" s="33" t="s">
        <v>14</v>
      </c>
      <c r="D6480" s="33" t="s">
        <v>42</v>
      </c>
      <c r="E6480" s="33" t="s">
        <v>10720</v>
      </c>
      <c r="F6480" s="67">
        <v>41670</v>
      </c>
      <c r="G6480" s="33" t="s">
        <v>10721</v>
      </c>
      <c r="H6480" s="33" t="s">
        <v>10722</v>
      </c>
      <c r="I6480" s="33" t="s">
        <v>39</v>
      </c>
      <c r="J6480" s="33" t="s">
        <v>10723</v>
      </c>
      <c r="K6480" s="33" t="s">
        <v>143</v>
      </c>
      <c r="L6480" s="33" t="s">
        <v>1970</v>
      </c>
      <c r="M6480" s="33" t="s">
        <v>21</v>
      </c>
      <c r="N6480" s="33" t="s">
        <v>10724</v>
      </c>
      <c r="O6480" s="33" t="s">
        <v>950</v>
      </c>
      <c r="P6480" s="33" t="s">
        <v>30089</v>
      </c>
      <c r="Q6480" s="40" t="s">
        <v>19066</v>
      </c>
      <c r="R6480" s="33" t="s">
        <v>512</v>
      </c>
      <c r="S6480" s="33" t="s">
        <v>12</v>
      </c>
      <c r="T6480" s="54" t="s">
        <v>29705</v>
      </c>
      <c r="Z6480" s="33" t="s">
        <v>42968</v>
      </c>
      <c r="AA6480" s="33">
        <v>1187</v>
      </c>
    </row>
    <row r="6481" spans="1:27" ht="13.5" customHeight="1" x14ac:dyDescent="0.15">
      <c r="A6481" s="33" t="s">
        <v>10740</v>
      </c>
      <c r="B6481" s="33">
        <v>47</v>
      </c>
      <c r="C6481" s="33" t="s">
        <v>14</v>
      </c>
      <c r="D6481" s="33" t="s">
        <v>31</v>
      </c>
      <c r="E6481" s="33" t="s">
        <v>10741</v>
      </c>
      <c r="F6481" s="67">
        <v>41669</v>
      </c>
      <c r="G6481" s="33" t="s">
        <v>10742</v>
      </c>
      <c r="H6481" s="33" t="s">
        <v>10743</v>
      </c>
      <c r="I6481" s="33" t="s">
        <v>39</v>
      </c>
      <c r="J6481" s="33" t="s">
        <v>10744</v>
      </c>
      <c r="K6481" s="33" t="s">
        <v>92</v>
      </c>
      <c r="L6481" s="33" t="s">
        <v>386</v>
      </c>
      <c r="M6481" s="33" t="s">
        <v>21</v>
      </c>
      <c r="N6481" s="33" t="s">
        <v>10745</v>
      </c>
      <c r="O6481" s="33" t="s">
        <v>372</v>
      </c>
      <c r="P6481" s="33" t="s">
        <v>30089</v>
      </c>
      <c r="Q6481" s="40" t="s">
        <v>10746</v>
      </c>
      <c r="R6481" s="33" t="s">
        <v>512</v>
      </c>
      <c r="S6481" s="33" t="s">
        <v>22</v>
      </c>
      <c r="T6481" s="1" t="s">
        <v>26603</v>
      </c>
      <c r="Z6481" s="33" t="s">
        <v>42968</v>
      </c>
      <c r="AA6481" s="33">
        <v>1184</v>
      </c>
    </row>
    <row r="6482" spans="1:27" ht="13.5" customHeight="1" x14ac:dyDescent="0.15">
      <c r="A6482" s="33" t="s">
        <v>10734</v>
      </c>
      <c r="B6482" s="33">
        <v>36</v>
      </c>
      <c r="C6482" s="33" t="s">
        <v>14</v>
      </c>
      <c r="D6482" s="33" t="s">
        <v>42</v>
      </c>
      <c r="E6482" s="33" t="s">
        <v>10735</v>
      </c>
      <c r="F6482" s="67">
        <v>41669</v>
      </c>
      <c r="G6482" s="33" t="s">
        <v>10736</v>
      </c>
      <c r="H6482" s="33" t="s">
        <v>10737</v>
      </c>
      <c r="I6482" s="33" t="s">
        <v>39</v>
      </c>
      <c r="J6482" s="33" t="s">
        <v>10738</v>
      </c>
      <c r="K6482" s="33" t="s">
        <v>8996</v>
      </c>
      <c r="L6482" s="33" t="s">
        <v>25170</v>
      </c>
      <c r="M6482" s="33" t="s">
        <v>21</v>
      </c>
      <c r="N6482" s="33" t="s">
        <v>10739</v>
      </c>
      <c r="O6482" s="33" t="s">
        <v>950</v>
      </c>
      <c r="P6482" s="33" t="s">
        <v>30089</v>
      </c>
      <c r="Q6482" s="40" t="str">
        <f>HYPERLINK("http://www.ivpressonline.com/news/local/one-suspect-dead-in-el-centro-shooting/article_8fb45b2a-8a44-11e3-8222-001a4bcf6878.html","http://www.ivpressonline.com/news/local/one-suspect-dead-in-el-centro-shooting/article_8fb45b2a-8a44-11e3-8222-001a4bcf6878.html")</f>
        <v>http://www.ivpressonline.com/news/local/one-suspect-dead-in-el-centro-shooting/article_8fb45b2a-8a44-11e3-8222-001a4bcf6878.html</v>
      </c>
      <c r="R6482" s="33" t="s">
        <v>94</v>
      </c>
      <c r="S6482" s="33" t="s">
        <v>22</v>
      </c>
      <c r="T6482" s="1" t="s">
        <v>26781</v>
      </c>
      <c r="Z6482" s="33" t="s">
        <v>42966</v>
      </c>
      <c r="AA6482" s="33">
        <v>1183</v>
      </c>
    </row>
    <row r="6483" spans="1:27" ht="13.5" customHeight="1" x14ac:dyDescent="0.15">
      <c r="A6483" s="33" t="s">
        <v>10760</v>
      </c>
      <c r="B6483" s="33">
        <v>29</v>
      </c>
      <c r="C6483" s="33" t="s">
        <v>14</v>
      </c>
      <c r="D6483" s="33" t="s">
        <v>42</v>
      </c>
      <c r="F6483" s="67">
        <v>41668</v>
      </c>
      <c r="G6483" s="33" t="s">
        <v>10761</v>
      </c>
      <c r="H6483" s="33" t="s">
        <v>7063</v>
      </c>
      <c r="I6483" s="33" t="s">
        <v>19</v>
      </c>
      <c r="J6483" s="33" t="s">
        <v>7064</v>
      </c>
      <c r="K6483" s="33" t="s">
        <v>7065</v>
      </c>
      <c r="L6483" s="33" t="s">
        <v>10762</v>
      </c>
      <c r="M6483" s="33" t="s">
        <v>21</v>
      </c>
      <c r="N6483" s="33" t="s">
        <v>10763</v>
      </c>
      <c r="O6483" s="33" t="s">
        <v>372</v>
      </c>
      <c r="P6483" s="33" t="s">
        <v>30089</v>
      </c>
      <c r="Q6483" s="40" t="s">
        <v>10764</v>
      </c>
      <c r="R6483" s="33" t="s">
        <v>23</v>
      </c>
      <c r="S6483" s="33" t="s">
        <v>22</v>
      </c>
      <c r="T6483" s="1" t="s">
        <v>26781</v>
      </c>
      <c r="Z6483" s="33" t="s">
        <v>42967</v>
      </c>
      <c r="AA6483" s="33">
        <v>1180</v>
      </c>
    </row>
    <row r="6484" spans="1:27" ht="13.5" customHeight="1" x14ac:dyDescent="0.15">
      <c r="A6484" s="33" t="s">
        <v>10754</v>
      </c>
      <c r="B6484" s="33">
        <v>19</v>
      </c>
      <c r="C6484" s="33" t="s">
        <v>14</v>
      </c>
      <c r="D6484" s="33" t="s">
        <v>79</v>
      </c>
      <c r="E6484" s="33" t="s">
        <v>10755</v>
      </c>
      <c r="F6484" s="67">
        <v>41668</v>
      </c>
      <c r="G6484" s="33" t="s">
        <v>10756</v>
      </c>
      <c r="H6484" s="33" t="s">
        <v>831</v>
      </c>
      <c r="I6484" s="33" t="s">
        <v>409</v>
      </c>
      <c r="J6484" s="33" t="s">
        <v>10757</v>
      </c>
      <c r="K6484" s="33" t="s">
        <v>831</v>
      </c>
      <c r="L6484" s="33" t="s">
        <v>3545</v>
      </c>
      <c r="M6484" s="33" t="s">
        <v>21</v>
      </c>
      <c r="N6484" s="33" t="s">
        <v>10758</v>
      </c>
      <c r="O6484" s="33" t="s">
        <v>950</v>
      </c>
      <c r="P6484" s="33" t="s">
        <v>30089</v>
      </c>
      <c r="Q6484" s="40" t="s">
        <v>10759</v>
      </c>
      <c r="R6484" s="33" t="s">
        <v>94</v>
      </c>
      <c r="S6484" s="33" t="s">
        <v>22</v>
      </c>
      <c r="T6484" s="1" t="s">
        <v>26781</v>
      </c>
      <c r="Z6484" s="33" t="s">
        <v>42966</v>
      </c>
      <c r="AA6484" s="33">
        <v>1179</v>
      </c>
    </row>
    <row r="6485" spans="1:27" ht="13.5" customHeight="1" x14ac:dyDescent="0.15">
      <c r="A6485" s="33" t="s">
        <v>10765</v>
      </c>
      <c r="B6485" s="33">
        <v>42</v>
      </c>
      <c r="C6485" s="33" t="s">
        <v>14</v>
      </c>
      <c r="D6485" s="33" t="s">
        <v>31</v>
      </c>
      <c r="E6485" s="33" t="s">
        <v>10766</v>
      </c>
      <c r="F6485" s="67">
        <v>41668</v>
      </c>
      <c r="G6485" s="33" t="s">
        <v>10767</v>
      </c>
      <c r="H6485" s="33" t="s">
        <v>10768</v>
      </c>
      <c r="I6485" s="33" t="s">
        <v>139</v>
      </c>
      <c r="J6485" s="33" t="s">
        <v>10769</v>
      </c>
      <c r="K6485" s="33" t="s">
        <v>930</v>
      </c>
      <c r="L6485" s="33" t="s">
        <v>15594</v>
      </c>
      <c r="M6485" s="33" t="s">
        <v>21</v>
      </c>
      <c r="N6485" s="33" t="s">
        <v>10770</v>
      </c>
      <c r="O6485" s="33" t="s">
        <v>950</v>
      </c>
      <c r="P6485" s="33" t="s">
        <v>30089</v>
      </c>
      <c r="Q6485" s="40" t="s">
        <v>10771</v>
      </c>
      <c r="R6485" s="33" t="s">
        <v>512</v>
      </c>
      <c r="S6485" s="33" t="s">
        <v>22</v>
      </c>
      <c r="T6485" s="1" t="s">
        <v>26781</v>
      </c>
      <c r="Z6485" s="33" t="s">
        <v>42967</v>
      </c>
      <c r="AA6485" s="33">
        <v>1181</v>
      </c>
    </row>
    <row r="6486" spans="1:27" ht="13.5" customHeight="1" x14ac:dyDescent="0.15">
      <c r="A6486" s="33" t="s">
        <v>10747</v>
      </c>
      <c r="B6486" s="33">
        <v>25</v>
      </c>
      <c r="C6486" s="33" t="s">
        <v>14</v>
      </c>
      <c r="D6486" s="33" t="s">
        <v>79</v>
      </c>
      <c r="E6486" s="33" t="s">
        <v>10748</v>
      </c>
      <c r="F6486" s="67">
        <v>41668</v>
      </c>
      <c r="G6486" s="33" t="s">
        <v>10749</v>
      </c>
      <c r="H6486" s="33" t="s">
        <v>10750</v>
      </c>
      <c r="I6486" s="33" t="s">
        <v>46</v>
      </c>
      <c r="J6486" s="33" t="s">
        <v>10751</v>
      </c>
      <c r="K6486" s="33" t="s">
        <v>995</v>
      </c>
      <c r="L6486" s="33" t="s">
        <v>2191</v>
      </c>
      <c r="M6486" s="33" t="s">
        <v>21</v>
      </c>
      <c r="N6486" s="33" t="s">
        <v>10752</v>
      </c>
      <c r="O6486" s="33" t="s">
        <v>950</v>
      </c>
      <c r="P6486" s="33" t="s">
        <v>30089</v>
      </c>
      <c r="Q6486" s="40" t="s">
        <v>10753</v>
      </c>
      <c r="R6486" s="33" t="s">
        <v>23</v>
      </c>
      <c r="S6486" s="33" t="s">
        <v>22</v>
      </c>
      <c r="T6486" s="1" t="s">
        <v>26774</v>
      </c>
      <c r="Y6486" s="33" t="s">
        <v>42476</v>
      </c>
      <c r="Z6486" s="33" t="s">
        <v>42968</v>
      </c>
      <c r="AA6486" s="33">
        <v>1182</v>
      </c>
    </row>
    <row r="6487" spans="1:27" ht="13.5" customHeight="1" x14ac:dyDescent="0.15">
      <c r="A6487" s="33" t="s">
        <v>10793</v>
      </c>
      <c r="B6487" s="33">
        <v>28</v>
      </c>
      <c r="C6487" s="33" t="s">
        <v>14</v>
      </c>
      <c r="D6487" s="33" t="s">
        <v>31</v>
      </c>
      <c r="E6487" s="33" t="s">
        <v>10794</v>
      </c>
      <c r="F6487" s="67">
        <v>41667</v>
      </c>
      <c r="G6487" s="33" t="s">
        <v>10795</v>
      </c>
      <c r="H6487" s="33" t="s">
        <v>805</v>
      </c>
      <c r="I6487" s="33" t="s">
        <v>38</v>
      </c>
      <c r="J6487" s="33" t="s">
        <v>10796</v>
      </c>
      <c r="K6487" s="33" t="s">
        <v>805</v>
      </c>
      <c r="L6487" s="33" t="s">
        <v>806</v>
      </c>
      <c r="M6487" s="33" t="s">
        <v>21</v>
      </c>
      <c r="N6487" s="33" t="s">
        <v>10797</v>
      </c>
      <c r="O6487" s="33" t="s">
        <v>507</v>
      </c>
      <c r="P6487" s="33" t="s">
        <v>30089</v>
      </c>
      <c r="Q6487" s="40" t="s">
        <v>10798</v>
      </c>
      <c r="R6487" s="33" t="s">
        <v>512</v>
      </c>
      <c r="S6487" s="33" t="s">
        <v>22</v>
      </c>
      <c r="T6487" s="1" t="s">
        <v>42984</v>
      </c>
      <c r="Z6487" s="33" t="s">
        <v>42968</v>
      </c>
      <c r="AA6487" s="33">
        <v>1177</v>
      </c>
    </row>
    <row r="6488" spans="1:27" ht="13.5" customHeight="1" x14ac:dyDescent="0.15">
      <c r="A6488" s="33" t="s">
        <v>10781</v>
      </c>
      <c r="B6488" s="33">
        <v>46</v>
      </c>
      <c r="C6488" s="33" t="s">
        <v>14</v>
      </c>
      <c r="D6488" s="33" t="s">
        <v>24</v>
      </c>
      <c r="F6488" s="67">
        <v>41667</v>
      </c>
      <c r="G6488" s="33" t="s">
        <v>10782</v>
      </c>
      <c r="H6488" s="33" t="s">
        <v>8605</v>
      </c>
      <c r="I6488" s="33" t="s">
        <v>75</v>
      </c>
      <c r="J6488" s="33" t="s">
        <v>10783</v>
      </c>
      <c r="K6488" s="33" t="s">
        <v>8605</v>
      </c>
      <c r="L6488" s="33" t="s">
        <v>10784</v>
      </c>
      <c r="M6488" s="33" t="s">
        <v>21</v>
      </c>
      <c r="N6488" s="33" t="s">
        <v>10785</v>
      </c>
      <c r="O6488" s="33" t="s">
        <v>950</v>
      </c>
      <c r="P6488" s="33" t="s">
        <v>30089</v>
      </c>
      <c r="Q6488" s="40" t="s">
        <v>10786</v>
      </c>
      <c r="R6488" s="33" t="s">
        <v>23</v>
      </c>
      <c r="S6488" s="33" t="s">
        <v>22</v>
      </c>
      <c r="T6488" s="1" t="s">
        <v>26774</v>
      </c>
      <c r="Z6488" s="33" t="s">
        <v>42966</v>
      </c>
      <c r="AA6488" s="33">
        <v>1176</v>
      </c>
    </row>
    <row r="6489" spans="1:27" ht="14.25" customHeight="1" x14ac:dyDescent="0.15">
      <c r="A6489" s="33" t="s">
        <v>10787</v>
      </c>
      <c r="B6489" s="33">
        <v>21</v>
      </c>
      <c r="C6489" s="33" t="s">
        <v>103</v>
      </c>
      <c r="D6489" s="33" t="s">
        <v>31</v>
      </c>
      <c r="E6489" s="33" t="s">
        <v>10788</v>
      </c>
      <c r="F6489" s="67">
        <v>41667</v>
      </c>
      <c r="G6489" s="33" t="s">
        <v>10789</v>
      </c>
      <c r="H6489" s="33" t="s">
        <v>205</v>
      </c>
      <c r="I6489" s="33" t="s">
        <v>338</v>
      </c>
      <c r="J6489" s="33" t="s">
        <v>10790</v>
      </c>
      <c r="K6489" s="33" t="s">
        <v>7811</v>
      </c>
      <c r="L6489" s="33" t="s">
        <v>207</v>
      </c>
      <c r="M6489" s="33" t="s">
        <v>21</v>
      </c>
      <c r="N6489" s="33" t="s">
        <v>10791</v>
      </c>
      <c r="O6489" s="33" t="s">
        <v>507</v>
      </c>
      <c r="P6489" s="33" t="s">
        <v>30089</v>
      </c>
      <c r="Q6489" s="40" t="s">
        <v>10792</v>
      </c>
      <c r="R6489" s="33" t="s">
        <v>512</v>
      </c>
      <c r="S6489" s="33" t="s">
        <v>22</v>
      </c>
      <c r="T6489" s="1" t="s">
        <v>26781</v>
      </c>
      <c r="Z6489" s="33" t="s">
        <v>42966</v>
      </c>
      <c r="AA6489" s="33">
        <v>1175</v>
      </c>
    </row>
    <row r="6490" spans="1:27" ht="13.5" customHeight="1" x14ac:dyDescent="0.15">
      <c r="A6490" s="33" t="s">
        <v>10772</v>
      </c>
      <c r="B6490" s="33">
        <v>29</v>
      </c>
      <c r="C6490" s="33" t="s">
        <v>14</v>
      </c>
      <c r="D6490" s="33" t="s">
        <v>42</v>
      </c>
      <c r="E6490" s="33" t="s">
        <v>10773</v>
      </c>
      <c r="F6490" s="67">
        <v>41667</v>
      </c>
      <c r="G6490" s="33" t="s">
        <v>10774</v>
      </c>
      <c r="H6490" s="33" t="s">
        <v>10775</v>
      </c>
      <c r="I6490" s="33" t="s">
        <v>342</v>
      </c>
      <c r="J6490" s="33" t="s">
        <v>10776</v>
      </c>
      <c r="K6490" s="33" t="s">
        <v>10777</v>
      </c>
      <c r="L6490" s="33" t="s">
        <v>10778</v>
      </c>
      <c r="M6490" s="33" t="s">
        <v>21</v>
      </c>
      <c r="N6490" s="33" t="s">
        <v>10779</v>
      </c>
      <c r="O6490" s="33" t="s">
        <v>507</v>
      </c>
      <c r="P6490" s="33" t="s">
        <v>30089</v>
      </c>
      <c r="Q6490" s="40" t="s">
        <v>10780</v>
      </c>
      <c r="R6490" s="33" t="s">
        <v>94</v>
      </c>
      <c r="S6490" s="33" t="s">
        <v>22</v>
      </c>
      <c r="T6490" s="1" t="s">
        <v>26576</v>
      </c>
      <c r="Z6490" s="33" t="s">
        <v>42968</v>
      </c>
      <c r="AA6490" s="33">
        <v>1178</v>
      </c>
    </row>
    <row r="6491" spans="1:27" ht="13.5" customHeight="1" x14ac:dyDescent="0.15">
      <c r="A6491" s="33" t="s">
        <v>10799</v>
      </c>
      <c r="B6491" s="33">
        <v>56</v>
      </c>
      <c r="C6491" s="33" t="s">
        <v>14</v>
      </c>
      <c r="D6491" s="33" t="s">
        <v>79</v>
      </c>
      <c r="E6491" s="33" t="s">
        <v>10800</v>
      </c>
      <c r="F6491" s="67">
        <v>41666</v>
      </c>
      <c r="G6491" s="33" t="s">
        <v>10801</v>
      </c>
      <c r="H6491" s="33" t="s">
        <v>10802</v>
      </c>
      <c r="I6491" s="33" t="s">
        <v>376</v>
      </c>
      <c r="J6491" s="33" t="s">
        <v>10803</v>
      </c>
      <c r="K6491" s="33" t="s">
        <v>1530</v>
      </c>
      <c r="L6491" s="33" t="s">
        <v>10804</v>
      </c>
      <c r="M6491" s="33" t="s">
        <v>21</v>
      </c>
      <c r="N6491" s="33" t="s">
        <v>10805</v>
      </c>
      <c r="O6491" s="33" t="s">
        <v>950</v>
      </c>
      <c r="P6491" s="33" t="s">
        <v>30089</v>
      </c>
      <c r="Q6491" s="40" t="s">
        <v>10806</v>
      </c>
      <c r="R6491" s="33" t="s">
        <v>23</v>
      </c>
      <c r="S6491" s="33" t="s">
        <v>22</v>
      </c>
      <c r="T6491" s="1" t="s">
        <v>26781</v>
      </c>
      <c r="Z6491" s="33" t="s">
        <v>42968</v>
      </c>
      <c r="AA6491" s="33">
        <v>1172</v>
      </c>
    </row>
    <row r="6492" spans="1:27" ht="13.5" customHeight="1" x14ac:dyDescent="0.15">
      <c r="A6492" s="33" t="s">
        <v>10807</v>
      </c>
      <c r="B6492" s="33">
        <v>39</v>
      </c>
      <c r="C6492" s="33" t="s">
        <v>14</v>
      </c>
      <c r="D6492" s="33" t="s">
        <v>42</v>
      </c>
      <c r="F6492" s="67">
        <v>41666</v>
      </c>
      <c r="G6492" s="33" t="s">
        <v>10808</v>
      </c>
      <c r="H6492" s="33" t="s">
        <v>4860</v>
      </c>
      <c r="I6492" s="33" t="s">
        <v>39</v>
      </c>
      <c r="J6492" s="33" t="s">
        <v>10809</v>
      </c>
      <c r="K6492" s="33" t="s">
        <v>728</v>
      </c>
      <c r="L6492" s="33" t="s">
        <v>729</v>
      </c>
      <c r="M6492" s="33" t="s">
        <v>21</v>
      </c>
      <c r="N6492" s="33" t="s">
        <v>10810</v>
      </c>
      <c r="O6492" s="33" t="s">
        <v>950</v>
      </c>
      <c r="P6492" s="33" t="s">
        <v>30089</v>
      </c>
      <c r="Q6492" s="40" t="s">
        <v>10811</v>
      </c>
      <c r="R6492" s="33" t="s">
        <v>94</v>
      </c>
      <c r="S6492" s="33" t="s">
        <v>12</v>
      </c>
      <c r="T6492" s="54" t="s">
        <v>29705</v>
      </c>
      <c r="Z6492" s="33" t="s">
        <v>42968</v>
      </c>
      <c r="AA6492" s="33">
        <v>1174</v>
      </c>
    </row>
    <row r="6493" spans="1:27" ht="13.5" customHeight="1" x14ac:dyDescent="0.15">
      <c r="A6493" s="33" t="s">
        <v>10812</v>
      </c>
      <c r="B6493" s="33">
        <v>45</v>
      </c>
      <c r="C6493" s="33" t="s">
        <v>14</v>
      </c>
      <c r="D6493" s="33" t="s">
        <v>24</v>
      </c>
      <c r="E6493" s="33" t="s">
        <v>10813</v>
      </c>
      <c r="F6493" s="67">
        <v>41666</v>
      </c>
      <c r="G6493" s="33" t="s">
        <v>10814</v>
      </c>
      <c r="H6493" s="33" t="s">
        <v>10815</v>
      </c>
      <c r="I6493" s="33" t="s">
        <v>26</v>
      </c>
      <c r="J6493" s="33" t="s">
        <v>10816</v>
      </c>
      <c r="K6493" s="33" t="s">
        <v>10815</v>
      </c>
      <c r="L6493" s="33" t="s">
        <v>10817</v>
      </c>
      <c r="M6493" s="33" t="s">
        <v>21</v>
      </c>
      <c r="N6493" s="33" t="s">
        <v>10818</v>
      </c>
      <c r="O6493" s="33" t="s">
        <v>23</v>
      </c>
      <c r="P6493" s="33" t="s">
        <v>30089</v>
      </c>
      <c r="Q6493" s="40" t="s">
        <v>10819</v>
      </c>
      <c r="R6493" s="33" t="s">
        <v>512</v>
      </c>
      <c r="S6493" s="33" t="s">
        <v>12</v>
      </c>
      <c r="T6493" s="54" t="s">
        <v>29705</v>
      </c>
      <c r="Z6493" s="33" t="s">
        <v>42967</v>
      </c>
      <c r="AA6493" s="33">
        <v>1173</v>
      </c>
    </row>
    <row r="6494" spans="1:27" ht="13.5" customHeight="1" x14ac:dyDescent="0.15">
      <c r="A6494" s="33" t="s">
        <v>10820</v>
      </c>
      <c r="B6494" s="33">
        <v>21</v>
      </c>
      <c r="C6494" s="33" t="s">
        <v>14</v>
      </c>
      <c r="D6494" s="33" t="s">
        <v>79</v>
      </c>
      <c r="F6494" s="67">
        <v>41665</v>
      </c>
      <c r="G6494" s="33" t="s">
        <v>10821</v>
      </c>
      <c r="H6494" s="33" t="s">
        <v>10822</v>
      </c>
      <c r="I6494" s="33" t="s">
        <v>192</v>
      </c>
      <c r="J6494" s="33" t="s">
        <v>10823</v>
      </c>
      <c r="K6494" s="33" t="s">
        <v>1790</v>
      </c>
      <c r="L6494" s="33" t="s">
        <v>10824</v>
      </c>
      <c r="M6494" s="33" t="s">
        <v>21</v>
      </c>
      <c r="N6494" s="33" t="s">
        <v>10825</v>
      </c>
      <c r="O6494" s="33" t="s">
        <v>507</v>
      </c>
      <c r="P6494" s="33" t="s">
        <v>30089</v>
      </c>
      <c r="Q6494" s="40" t="s">
        <v>10826</v>
      </c>
      <c r="R6494" s="33" t="s">
        <v>94</v>
      </c>
      <c r="S6494" s="33" t="s">
        <v>22</v>
      </c>
      <c r="T6494" s="1" t="s">
        <v>26781</v>
      </c>
      <c r="Z6494" s="33" t="s">
        <v>42966</v>
      </c>
      <c r="AA6494" s="33">
        <v>1170</v>
      </c>
    </row>
    <row r="6495" spans="1:27" ht="13.5" customHeight="1" x14ac:dyDescent="0.15">
      <c r="A6495" s="33" t="s">
        <v>10827</v>
      </c>
      <c r="B6495" s="33">
        <v>27</v>
      </c>
      <c r="C6495" s="33" t="s">
        <v>14</v>
      </c>
      <c r="D6495" s="33" t="s">
        <v>31</v>
      </c>
      <c r="E6495" s="33" t="s">
        <v>10828</v>
      </c>
      <c r="F6495" s="67">
        <v>41665</v>
      </c>
      <c r="G6495" s="33" t="s">
        <v>10829</v>
      </c>
      <c r="H6495" s="33" t="s">
        <v>10830</v>
      </c>
      <c r="I6495" s="33" t="s">
        <v>39</v>
      </c>
      <c r="J6495" s="33" t="s">
        <v>10831</v>
      </c>
      <c r="K6495" s="33" t="s">
        <v>143</v>
      </c>
      <c r="L6495" s="33" t="s">
        <v>144</v>
      </c>
      <c r="M6495" s="33" t="s">
        <v>21</v>
      </c>
      <c r="N6495" s="33" t="s">
        <v>10832</v>
      </c>
      <c r="O6495" s="33" t="s">
        <v>950</v>
      </c>
      <c r="P6495" s="33" t="s">
        <v>30089</v>
      </c>
      <c r="Q6495" s="40" t="s">
        <v>10833</v>
      </c>
      <c r="R6495" s="33" t="s">
        <v>94</v>
      </c>
      <c r="S6495" s="33" t="s">
        <v>22</v>
      </c>
      <c r="T6495" s="1" t="s">
        <v>26781</v>
      </c>
      <c r="Z6495" s="33" t="s">
        <v>42968</v>
      </c>
      <c r="AA6495" s="33">
        <v>1171</v>
      </c>
    </row>
    <row r="6496" spans="1:27" ht="13.5" customHeight="1" x14ac:dyDescent="0.15">
      <c r="A6496" s="33" t="s">
        <v>10840</v>
      </c>
      <c r="B6496" s="33">
        <v>35</v>
      </c>
      <c r="C6496" s="33" t="s">
        <v>14</v>
      </c>
      <c r="D6496" s="33" t="s">
        <v>31</v>
      </c>
      <c r="E6496" s="33" t="s">
        <v>10841</v>
      </c>
      <c r="F6496" s="67">
        <v>41664</v>
      </c>
      <c r="G6496" s="33" t="s">
        <v>10842</v>
      </c>
      <c r="H6496" s="33" t="s">
        <v>10843</v>
      </c>
      <c r="I6496" s="33" t="s">
        <v>367</v>
      </c>
      <c r="J6496" s="33" t="s">
        <v>10844</v>
      </c>
      <c r="K6496" s="33" t="s">
        <v>1028</v>
      </c>
      <c r="L6496" s="33" t="s">
        <v>1904</v>
      </c>
      <c r="M6496" s="33" t="s">
        <v>21</v>
      </c>
      <c r="N6496" s="33" t="s">
        <v>10845</v>
      </c>
      <c r="O6496" s="33" t="s">
        <v>507</v>
      </c>
      <c r="P6496" s="33" t="s">
        <v>30089</v>
      </c>
      <c r="Q6496" s="40" t="s">
        <v>10846</v>
      </c>
      <c r="R6496" s="33" t="s">
        <v>94</v>
      </c>
      <c r="S6496" s="33" t="s">
        <v>22</v>
      </c>
      <c r="T6496" s="1" t="s">
        <v>26781</v>
      </c>
      <c r="Z6496" s="33" t="s">
        <v>42968</v>
      </c>
      <c r="AA6496" s="33">
        <v>1168</v>
      </c>
    </row>
    <row r="6497" spans="1:27" ht="13.5" customHeight="1" x14ac:dyDescent="0.15">
      <c r="A6497" s="33" t="s">
        <v>10834</v>
      </c>
      <c r="B6497" s="33">
        <v>43</v>
      </c>
      <c r="C6497" s="33" t="s">
        <v>14</v>
      </c>
      <c r="D6497" s="33" t="s">
        <v>15</v>
      </c>
      <c r="E6497" s="33" t="s">
        <v>10835</v>
      </c>
      <c r="F6497" s="67">
        <v>41664</v>
      </c>
      <c r="G6497" s="33" t="s">
        <v>10836</v>
      </c>
      <c r="H6497" s="33" t="s">
        <v>380</v>
      </c>
      <c r="I6497" s="33" t="s">
        <v>39</v>
      </c>
      <c r="J6497" s="33" t="s">
        <v>10837</v>
      </c>
      <c r="K6497" s="33" t="s">
        <v>1647</v>
      </c>
      <c r="L6497" s="33" t="s">
        <v>381</v>
      </c>
      <c r="M6497" s="33" t="s">
        <v>21</v>
      </c>
      <c r="N6497" s="33" t="s">
        <v>10838</v>
      </c>
      <c r="O6497" s="33" t="s">
        <v>950</v>
      </c>
      <c r="P6497" s="33" t="s">
        <v>30089</v>
      </c>
      <c r="Q6497" s="40" t="s">
        <v>10839</v>
      </c>
      <c r="R6497" s="33" t="s">
        <v>512</v>
      </c>
      <c r="S6497" s="33" t="s">
        <v>22</v>
      </c>
      <c r="T6497" s="1" t="s">
        <v>26774</v>
      </c>
      <c r="Z6497" s="33" t="s">
        <v>42968</v>
      </c>
      <c r="AA6497" s="33">
        <v>1169</v>
      </c>
    </row>
    <row r="6498" spans="1:27" ht="13.5" customHeight="1" x14ac:dyDescent="0.15">
      <c r="A6498" s="33" t="s">
        <v>10855</v>
      </c>
      <c r="B6498" s="33">
        <v>29</v>
      </c>
      <c r="C6498" s="33" t="s">
        <v>14</v>
      </c>
      <c r="D6498" s="33" t="s">
        <v>31</v>
      </c>
      <c r="E6498" s="33" t="s">
        <v>10856</v>
      </c>
      <c r="F6498" s="67">
        <v>41663</v>
      </c>
      <c r="G6498" s="33" t="s">
        <v>10857</v>
      </c>
      <c r="H6498" s="33" t="s">
        <v>10080</v>
      </c>
      <c r="I6498" s="33" t="s">
        <v>39</v>
      </c>
      <c r="J6498" s="33" t="s">
        <v>10858</v>
      </c>
      <c r="K6498" s="33" t="s">
        <v>6921</v>
      </c>
      <c r="L6498" s="33" t="s">
        <v>10859</v>
      </c>
      <c r="M6498" s="33" t="s">
        <v>21</v>
      </c>
      <c r="N6498" s="33" t="s">
        <v>10860</v>
      </c>
      <c r="O6498" s="33" t="s">
        <v>950</v>
      </c>
      <c r="P6498" s="33" t="s">
        <v>30089</v>
      </c>
      <c r="Q6498" s="40" t="s">
        <v>10861</v>
      </c>
      <c r="R6498" s="33" t="s">
        <v>94</v>
      </c>
      <c r="S6498" s="33" t="s">
        <v>22</v>
      </c>
      <c r="T6498" s="1" t="s">
        <v>26781</v>
      </c>
      <c r="Z6498" s="33" t="s">
        <v>42968</v>
      </c>
      <c r="AA6498" s="33">
        <v>1167</v>
      </c>
    </row>
    <row r="6499" spans="1:27" ht="13.5" customHeight="1" x14ac:dyDescent="0.15">
      <c r="A6499" s="33" t="s">
        <v>10848</v>
      </c>
      <c r="B6499" s="33">
        <v>53</v>
      </c>
      <c r="C6499" s="33" t="s">
        <v>14</v>
      </c>
      <c r="D6499" s="33" t="s">
        <v>31</v>
      </c>
      <c r="E6499" s="33" t="s">
        <v>10849</v>
      </c>
      <c r="F6499" s="67">
        <v>41663</v>
      </c>
      <c r="G6499" s="33" t="s">
        <v>10850</v>
      </c>
      <c r="H6499" s="33" t="s">
        <v>10851</v>
      </c>
      <c r="I6499" s="33" t="s">
        <v>26</v>
      </c>
      <c r="J6499" s="33" t="s">
        <v>10852</v>
      </c>
      <c r="K6499" s="33" t="s">
        <v>1470</v>
      </c>
      <c r="L6499" s="33" t="s">
        <v>10853</v>
      </c>
      <c r="M6499" s="33" t="s">
        <v>21</v>
      </c>
      <c r="N6499" s="33" t="s">
        <v>10854</v>
      </c>
      <c r="O6499" s="33" t="s">
        <v>950</v>
      </c>
      <c r="P6499" s="33" t="s">
        <v>30089</v>
      </c>
      <c r="Q6499" s="40" t="str">
        <f>HYPERLINK("http://www.goupstate.com/article/20140124/ARTICLES/140129757?p=1&amp;tc=pg","http://www.goupstate.com/article/20140124/ARTICLES/140129757?p=1&amp;tc=pg")</f>
        <v>http://www.goupstate.com/article/20140124/ARTICLES/140129757?p=1&amp;tc=pg</v>
      </c>
      <c r="R6499" s="33" t="s">
        <v>23</v>
      </c>
      <c r="S6499" s="33" t="s">
        <v>22</v>
      </c>
      <c r="T6499" s="1" t="s">
        <v>26781</v>
      </c>
      <c r="Z6499" s="33" t="s">
        <v>42967</v>
      </c>
      <c r="AA6499" s="33">
        <v>1166</v>
      </c>
    </row>
    <row r="6500" spans="1:27" ht="13.5" customHeight="1" x14ac:dyDescent="0.15">
      <c r="A6500" s="33" t="s">
        <v>3002</v>
      </c>
      <c r="B6500" s="33" t="s">
        <v>23</v>
      </c>
      <c r="C6500" s="33" t="s">
        <v>14</v>
      </c>
      <c r="D6500" s="33" t="s">
        <v>79</v>
      </c>
      <c r="F6500" s="67">
        <v>41662</v>
      </c>
      <c r="G6500" s="33" t="s">
        <v>10862</v>
      </c>
      <c r="H6500" s="33" t="s">
        <v>674</v>
      </c>
      <c r="I6500" s="33" t="s">
        <v>67</v>
      </c>
      <c r="J6500" s="33" t="s">
        <v>2690</v>
      </c>
      <c r="K6500" s="33" t="s">
        <v>515</v>
      </c>
      <c r="L6500" s="33" t="s">
        <v>675</v>
      </c>
      <c r="M6500" s="33" t="s">
        <v>21</v>
      </c>
      <c r="N6500" s="33" t="s">
        <v>10863</v>
      </c>
      <c r="O6500" s="33" t="s">
        <v>950</v>
      </c>
      <c r="P6500" s="33" t="s">
        <v>30089</v>
      </c>
      <c r="Q6500" s="40" t="s">
        <v>10864</v>
      </c>
      <c r="R6500" s="33" t="s">
        <v>94</v>
      </c>
      <c r="S6500" s="33" t="s">
        <v>22</v>
      </c>
      <c r="T6500" s="1" t="s">
        <v>26781</v>
      </c>
      <c r="Z6500" s="33" t="s">
        <v>42966</v>
      </c>
      <c r="AA6500" s="33">
        <v>1165</v>
      </c>
    </row>
    <row r="6501" spans="1:27" ht="13.5" customHeight="1" x14ac:dyDescent="0.15">
      <c r="A6501" s="33" t="s">
        <v>10865</v>
      </c>
      <c r="B6501" s="33">
        <v>43</v>
      </c>
      <c r="C6501" s="33" t="s">
        <v>14</v>
      </c>
      <c r="D6501" s="33" t="s">
        <v>31</v>
      </c>
      <c r="E6501" s="33" t="s">
        <v>10866</v>
      </c>
      <c r="F6501" s="67">
        <v>41661</v>
      </c>
      <c r="G6501" s="33" t="s">
        <v>22175</v>
      </c>
      <c r="H6501" s="33" t="s">
        <v>10867</v>
      </c>
      <c r="I6501" s="33" t="s">
        <v>294</v>
      </c>
      <c r="J6501" s="33" t="s">
        <v>10868</v>
      </c>
      <c r="K6501" s="33" t="s">
        <v>1742</v>
      </c>
      <c r="L6501" s="33" t="s">
        <v>3101</v>
      </c>
      <c r="M6501" s="33" t="s">
        <v>21</v>
      </c>
      <c r="N6501" s="33" t="s">
        <v>10869</v>
      </c>
      <c r="O6501" s="33" t="s">
        <v>950</v>
      </c>
      <c r="P6501" s="33" t="s">
        <v>30089</v>
      </c>
      <c r="Q6501" s="40" t="s">
        <v>10870</v>
      </c>
      <c r="R6501" s="33" t="s">
        <v>94</v>
      </c>
      <c r="S6501" s="33" t="s">
        <v>22</v>
      </c>
      <c r="T6501" s="1" t="s">
        <v>26781</v>
      </c>
      <c r="Y6501" s="33" t="s">
        <v>42476</v>
      </c>
      <c r="Z6501" s="33" t="s">
        <v>42967</v>
      </c>
      <c r="AA6501" s="33">
        <v>1164</v>
      </c>
    </row>
    <row r="6502" spans="1:27" ht="13.5" customHeight="1" x14ac:dyDescent="0.15">
      <c r="A6502" s="33" t="s">
        <v>10893</v>
      </c>
      <c r="B6502" s="33">
        <v>42</v>
      </c>
      <c r="C6502" s="33" t="s">
        <v>14</v>
      </c>
      <c r="D6502" s="33" t="s">
        <v>31</v>
      </c>
      <c r="E6502" s="33" t="s">
        <v>10894</v>
      </c>
      <c r="F6502" s="67">
        <v>41660</v>
      </c>
      <c r="G6502" s="33" t="s">
        <v>10895</v>
      </c>
      <c r="H6502" s="33" t="s">
        <v>3253</v>
      </c>
      <c r="I6502" s="33" t="s">
        <v>39</v>
      </c>
      <c r="J6502" s="33" t="s">
        <v>9158</v>
      </c>
      <c r="K6502" s="33" t="s">
        <v>558</v>
      </c>
      <c r="L6502" s="33" t="s">
        <v>10896</v>
      </c>
      <c r="M6502" s="33" t="s">
        <v>21</v>
      </c>
      <c r="N6502" s="33" t="s">
        <v>19056</v>
      </c>
      <c r="O6502" s="33" t="s">
        <v>3109</v>
      </c>
      <c r="P6502" s="33" t="s">
        <v>30089</v>
      </c>
      <c r="Q6502" s="40" t="s">
        <v>10897</v>
      </c>
      <c r="R6502" s="33" t="s">
        <v>94</v>
      </c>
      <c r="S6502" s="33" t="s">
        <v>12</v>
      </c>
      <c r="T6502" s="54" t="s">
        <v>29705</v>
      </c>
      <c r="Z6502" s="33" t="s">
        <v>42968</v>
      </c>
      <c r="AA6502" s="33">
        <v>1162</v>
      </c>
    </row>
    <row r="6503" spans="1:27" ht="13.5" customHeight="1" x14ac:dyDescent="0.15">
      <c r="A6503" s="33" t="s">
        <v>10871</v>
      </c>
      <c r="B6503" s="33">
        <v>31</v>
      </c>
      <c r="C6503" s="33" t="s">
        <v>14</v>
      </c>
      <c r="D6503" s="33" t="s">
        <v>79</v>
      </c>
      <c r="E6503" s="33" t="s">
        <v>10872</v>
      </c>
      <c r="F6503" s="67">
        <v>41660</v>
      </c>
      <c r="G6503" s="33" t="s">
        <v>10873</v>
      </c>
      <c r="H6503" s="33" t="s">
        <v>3152</v>
      </c>
      <c r="I6503" s="33" t="s">
        <v>19</v>
      </c>
      <c r="J6503" s="33" t="s">
        <v>3153</v>
      </c>
      <c r="K6503" s="33" t="s">
        <v>1659</v>
      </c>
      <c r="L6503" s="33" t="s">
        <v>10874</v>
      </c>
      <c r="M6503" s="33" t="s">
        <v>21</v>
      </c>
      <c r="N6503" s="33" t="s">
        <v>10875</v>
      </c>
      <c r="O6503" s="33" t="s">
        <v>950</v>
      </c>
      <c r="P6503" s="33" t="s">
        <v>30089</v>
      </c>
      <c r="Q6503" s="40" t="s">
        <v>10876</v>
      </c>
      <c r="R6503" s="33" t="s">
        <v>94</v>
      </c>
      <c r="S6503" s="33" t="s">
        <v>351</v>
      </c>
      <c r="T6503" s="1" t="s">
        <v>42983</v>
      </c>
      <c r="Z6503" s="33" t="s">
        <v>42968</v>
      </c>
      <c r="AA6503" s="33">
        <v>1163</v>
      </c>
    </row>
    <row r="6504" spans="1:27" ht="13.5" customHeight="1" x14ac:dyDescent="0.15">
      <c r="A6504" s="33" t="s">
        <v>10877</v>
      </c>
      <c r="B6504" s="33">
        <v>19</v>
      </c>
      <c r="C6504" s="33" t="s">
        <v>14</v>
      </c>
      <c r="D6504" s="33" t="s">
        <v>42</v>
      </c>
      <c r="F6504" s="67">
        <v>41660</v>
      </c>
      <c r="G6504" s="33" t="s">
        <v>10878</v>
      </c>
      <c r="H6504" s="33" t="s">
        <v>557</v>
      </c>
      <c r="I6504" s="33" t="s">
        <v>39</v>
      </c>
      <c r="J6504" s="33" t="s">
        <v>10879</v>
      </c>
      <c r="K6504" s="33" t="s">
        <v>558</v>
      </c>
      <c r="L6504" s="33" t="s">
        <v>897</v>
      </c>
      <c r="M6504" s="33" t="s">
        <v>21</v>
      </c>
      <c r="N6504" s="33" t="s">
        <v>10880</v>
      </c>
      <c r="O6504" s="33" t="s">
        <v>950</v>
      </c>
      <c r="P6504" s="33" t="s">
        <v>30089</v>
      </c>
      <c r="Q6504" s="40" t="s">
        <v>10881</v>
      </c>
      <c r="R6504" s="33" t="s">
        <v>94</v>
      </c>
      <c r="S6504" s="33" t="s">
        <v>22</v>
      </c>
      <c r="T6504" s="1" t="s">
        <v>26781</v>
      </c>
      <c r="Z6504" s="33" t="s">
        <v>42966</v>
      </c>
      <c r="AA6504" s="33">
        <v>1159</v>
      </c>
    </row>
    <row r="6505" spans="1:27" ht="13.5" customHeight="1" x14ac:dyDescent="0.15">
      <c r="A6505" s="33" t="s">
        <v>10882</v>
      </c>
      <c r="B6505" s="33">
        <v>21</v>
      </c>
      <c r="C6505" s="33" t="s">
        <v>14</v>
      </c>
      <c r="D6505" s="33" t="s">
        <v>42</v>
      </c>
      <c r="F6505" s="67">
        <v>41660</v>
      </c>
      <c r="G6505" s="33" t="s">
        <v>10883</v>
      </c>
      <c r="H6505" s="33" t="s">
        <v>557</v>
      </c>
      <c r="I6505" s="33" t="s">
        <v>39</v>
      </c>
      <c r="J6505" s="33" t="s">
        <v>10879</v>
      </c>
      <c r="K6505" s="33" t="s">
        <v>558</v>
      </c>
      <c r="L6505" s="33" t="s">
        <v>897</v>
      </c>
      <c r="M6505" s="33" t="s">
        <v>21</v>
      </c>
      <c r="N6505" s="33" t="s">
        <v>10884</v>
      </c>
      <c r="O6505" s="33" t="s">
        <v>950</v>
      </c>
      <c r="P6505" s="33" t="s">
        <v>30089</v>
      </c>
      <c r="Q6505" s="40" t="s">
        <v>10881</v>
      </c>
      <c r="R6505" s="33" t="s">
        <v>94</v>
      </c>
      <c r="S6505" s="33" t="s">
        <v>22</v>
      </c>
      <c r="T6505" s="1" t="s">
        <v>26781</v>
      </c>
      <c r="Z6505" s="33" t="s">
        <v>42966</v>
      </c>
      <c r="AA6505" s="33">
        <v>1160</v>
      </c>
    </row>
    <row r="6506" spans="1:27" ht="13.5" customHeight="1" x14ac:dyDescent="0.15">
      <c r="A6506" s="33" t="s">
        <v>10885</v>
      </c>
      <c r="B6506" s="33">
        <v>35</v>
      </c>
      <c r="C6506" s="33" t="s">
        <v>14</v>
      </c>
      <c r="D6506" s="33" t="s">
        <v>31</v>
      </c>
      <c r="E6506" s="33" t="s">
        <v>10886</v>
      </c>
      <c r="F6506" s="67">
        <v>41660</v>
      </c>
      <c r="G6506" s="33" t="s">
        <v>10887</v>
      </c>
      <c r="H6506" s="33" t="s">
        <v>10888</v>
      </c>
      <c r="I6506" s="33" t="s">
        <v>298</v>
      </c>
      <c r="J6506" s="33" t="s">
        <v>10889</v>
      </c>
      <c r="K6506" s="33" t="s">
        <v>10890</v>
      </c>
      <c r="L6506" s="33" t="s">
        <v>10891</v>
      </c>
      <c r="M6506" s="33" t="s">
        <v>21</v>
      </c>
      <c r="N6506" s="33" t="s">
        <v>10892</v>
      </c>
      <c r="O6506" s="33" t="s">
        <v>950</v>
      </c>
      <c r="P6506" s="33" t="s">
        <v>30089</v>
      </c>
      <c r="Q6506" s="40" t="str">
        <f>HYPERLINK("http://www.wdef.com/news/story/Sequatchie-Community-Mourns-Loss-Of-Josh-Layne/r6DlJk-F4kOv8aqGvHyA1g.cspx","http://www.wdef.com/news/story/Sequatchie-Community-Mourns-Loss-Of-Josh-Layne/r6DlJk-F4kOv8aqGvHyA1g.cspx")</f>
        <v>http://www.wdef.com/news/story/Sequatchie-Community-Mourns-Loss-Of-Josh-Layne/r6DlJk-F4kOv8aqGvHyA1g.cspx</v>
      </c>
      <c r="R6506" s="33" t="s">
        <v>94</v>
      </c>
      <c r="S6506" s="33" t="s">
        <v>22</v>
      </c>
      <c r="T6506" s="33" t="s">
        <v>26781</v>
      </c>
      <c r="Z6506" s="33" t="s">
        <v>42967</v>
      </c>
      <c r="AA6506" s="33">
        <v>1161</v>
      </c>
    </row>
    <row r="6507" spans="1:27" ht="13.5" customHeight="1" x14ac:dyDescent="0.15">
      <c r="A6507" s="33" t="s">
        <v>10898</v>
      </c>
      <c r="B6507" s="33" t="s">
        <v>23</v>
      </c>
      <c r="C6507" s="33" t="s">
        <v>14</v>
      </c>
      <c r="D6507" s="33" t="s">
        <v>24</v>
      </c>
      <c r="F6507" s="67">
        <v>41659</v>
      </c>
      <c r="G6507" s="33" t="s">
        <v>10899</v>
      </c>
      <c r="H6507" s="33" t="s">
        <v>10900</v>
      </c>
      <c r="I6507" s="33" t="s">
        <v>88</v>
      </c>
      <c r="J6507" s="33" t="s">
        <v>10901</v>
      </c>
      <c r="K6507" s="33" t="s">
        <v>3400</v>
      </c>
      <c r="L6507" s="33" t="s">
        <v>10902</v>
      </c>
      <c r="M6507" s="33" t="s">
        <v>21</v>
      </c>
      <c r="N6507" s="33" t="s">
        <v>10903</v>
      </c>
      <c r="O6507" s="33" t="s">
        <v>950</v>
      </c>
      <c r="P6507" s="33" t="s">
        <v>30089</v>
      </c>
      <c r="Q6507" s="40" t="s">
        <v>10904</v>
      </c>
      <c r="R6507" s="33" t="s">
        <v>94</v>
      </c>
      <c r="S6507" s="33" t="s">
        <v>22</v>
      </c>
      <c r="T6507" s="1" t="s">
        <v>26781</v>
      </c>
      <c r="Z6507" s="33" t="s">
        <v>42967</v>
      </c>
      <c r="AA6507" s="33">
        <v>1156</v>
      </c>
    </row>
    <row r="6508" spans="1:27" ht="13.5" customHeight="1" x14ac:dyDescent="0.15">
      <c r="A6508" s="33" t="s">
        <v>10905</v>
      </c>
      <c r="B6508" s="33">
        <v>36</v>
      </c>
      <c r="C6508" s="33" t="s">
        <v>14</v>
      </c>
      <c r="D6508" s="33" t="s">
        <v>31</v>
      </c>
      <c r="E6508" s="33" t="s">
        <v>10906</v>
      </c>
      <c r="F6508" s="67">
        <v>41659</v>
      </c>
      <c r="G6508" s="33" t="s">
        <v>10907</v>
      </c>
      <c r="H6508" s="33" t="s">
        <v>1132</v>
      </c>
      <c r="I6508" s="33" t="s">
        <v>282</v>
      </c>
      <c r="J6508" s="33" t="s">
        <v>8028</v>
      </c>
      <c r="K6508" s="33" t="s">
        <v>1133</v>
      </c>
      <c r="L6508" s="33" t="s">
        <v>1134</v>
      </c>
      <c r="M6508" s="33" t="s">
        <v>21</v>
      </c>
      <c r="N6508" s="33" t="s">
        <v>10908</v>
      </c>
      <c r="O6508" s="33" t="s">
        <v>950</v>
      </c>
      <c r="P6508" s="33" t="s">
        <v>30089</v>
      </c>
      <c r="Q6508" s="40" t="s">
        <v>10909</v>
      </c>
      <c r="R6508" s="33" t="s">
        <v>904</v>
      </c>
      <c r="S6508" s="33" t="s">
        <v>12</v>
      </c>
      <c r="T6508" s="33" t="s">
        <v>29425</v>
      </c>
      <c r="Z6508" s="33" t="s">
        <v>42966</v>
      </c>
      <c r="AA6508" s="33">
        <v>1158</v>
      </c>
    </row>
    <row r="6509" spans="1:27" ht="13.5" customHeight="1" x14ac:dyDescent="0.15">
      <c r="A6509" s="33" t="s">
        <v>10910</v>
      </c>
      <c r="B6509" s="33">
        <v>54</v>
      </c>
      <c r="C6509" s="33" t="s">
        <v>14</v>
      </c>
      <c r="D6509" s="33" t="s">
        <v>31</v>
      </c>
      <c r="E6509" s="33" t="s">
        <v>10911</v>
      </c>
      <c r="F6509" s="67">
        <v>41659</v>
      </c>
      <c r="G6509" s="33" t="s">
        <v>10912</v>
      </c>
      <c r="H6509" s="33" t="s">
        <v>197</v>
      </c>
      <c r="I6509" s="33" t="s">
        <v>198</v>
      </c>
      <c r="J6509" s="33" t="s">
        <v>10913</v>
      </c>
      <c r="K6509" s="33" t="s">
        <v>392</v>
      </c>
      <c r="L6509" s="33" t="s">
        <v>199</v>
      </c>
      <c r="M6509" s="33" t="s">
        <v>21</v>
      </c>
      <c r="N6509" s="33" t="s">
        <v>10914</v>
      </c>
      <c r="O6509" s="33" t="s">
        <v>950</v>
      </c>
      <c r="P6509" s="33" t="s">
        <v>30089</v>
      </c>
      <c r="Q6509" s="40" t="s">
        <v>10915</v>
      </c>
      <c r="R6509" s="33" t="s">
        <v>23</v>
      </c>
      <c r="S6509" s="33" t="s">
        <v>22</v>
      </c>
      <c r="T6509" s="1" t="s">
        <v>26781</v>
      </c>
      <c r="Z6509" s="33" t="s">
        <v>42968</v>
      </c>
      <c r="AA6509" s="33">
        <v>1157</v>
      </c>
    </row>
    <row r="6510" spans="1:27" ht="13.5" customHeight="1" x14ac:dyDescent="0.15">
      <c r="A6510" s="33" t="s">
        <v>27518</v>
      </c>
      <c r="B6510" s="33">
        <v>61</v>
      </c>
      <c r="C6510" s="33" t="s">
        <v>103</v>
      </c>
      <c r="D6510" s="33" t="s">
        <v>31</v>
      </c>
      <c r="F6510" s="67">
        <v>41659</v>
      </c>
      <c r="G6510" s="33" t="s">
        <v>27519</v>
      </c>
      <c r="H6510" s="33" t="s">
        <v>27520</v>
      </c>
      <c r="I6510" s="33" t="s">
        <v>56</v>
      </c>
      <c r="J6510" s="33">
        <v>32148</v>
      </c>
      <c r="K6510" s="33" t="s">
        <v>1950</v>
      </c>
      <c r="L6510" s="33" t="s">
        <v>3112</v>
      </c>
      <c r="M6510" s="33" t="s">
        <v>21</v>
      </c>
      <c r="N6510" s="33" t="s">
        <v>27521</v>
      </c>
      <c r="O6510" s="33" t="s">
        <v>950</v>
      </c>
      <c r="P6510" s="33" t="s">
        <v>30089</v>
      </c>
      <c r="Q6510" s="40" t="s">
        <v>27522</v>
      </c>
      <c r="R6510" s="33" t="s">
        <v>512</v>
      </c>
      <c r="S6510" s="33" t="s">
        <v>22</v>
      </c>
      <c r="T6510" s="1" t="s">
        <v>26781</v>
      </c>
      <c r="Z6510" s="33" t="s">
        <v>42967</v>
      </c>
      <c r="AA6510" s="33">
        <v>1155</v>
      </c>
    </row>
    <row r="6511" spans="1:27" ht="13.5" customHeight="1" x14ac:dyDescent="0.15">
      <c r="A6511" s="33" t="s">
        <v>10916</v>
      </c>
      <c r="B6511" s="33">
        <v>41</v>
      </c>
      <c r="C6511" s="33" t="s">
        <v>14</v>
      </c>
      <c r="D6511" s="33" t="s">
        <v>31</v>
      </c>
      <c r="E6511" s="33" t="s">
        <v>10917</v>
      </c>
      <c r="F6511" s="67">
        <v>41658</v>
      </c>
      <c r="G6511" s="33" t="s">
        <v>10918</v>
      </c>
      <c r="H6511" s="33" t="s">
        <v>10919</v>
      </c>
      <c r="I6511" s="33" t="s">
        <v>376</v>
      </c>
      <c r="J6511" s="33" t="s">
        <v>10920</v>
      </c>
      <c r="K6511" s="33" t="s">
        <v>10921</v>
      </c>
      <c r="L6511" s="33" t="s">
        <v>8484</v>
      </c>
      <c r="M6511" s="33" t="s">
        <v>21</v>
      </c>
      <c r="N6511" s="33" t="s">
        <v>10922</v>
      </c>
      <c r="O6511" s="33" t="s">
        <v>950</v>
      </c>
      <c r="P6511" s="33" t="s">
        <v>30089</v>
      </c>
      <c r="Q6511" s="40" t="s">
        <v>10923</v>
      </c>
      <c r="R6511" s="33" t="s">
        <v>23</v>
      </c>
      <c r="S6511" s="33" t="s">
        <v>22</v>
      </c>
      <c r="T6511" s="1" t="s">
        <v>26774</v>
      </c>
      <c r="Z6511" s="33" t="s">
        <v>42968</v>
      </c>
      <c r="AA6511" s="33">
        <v>1154</v>
      </c>
    </row>
    <row r="6512" spans="1:27" ht="13.5" customHeight="1" x14ac:dyDescent="0.15">
      <c r="A6512" s="33" t="s">
        <v>10924</v>
      </c>
      <c r="B6512" s="33">
        <v>23</v>
      </c>
      <c r="C6512" s="33" t="s">
        <v>14</v>
      </c>
      <c r="D6512" s="33" t="s">
        <v>31</v>
      </c>
      <c r="E6512" s="33" t="s">
        <v>10925</v>
      </c>
      <c r="F6512" s="67">
        <v>41657</v>
      </c>
      <c r="G6512" s="33" t="s">
        <v>10926</v>
      </c>
      <c r="H6512" s="33" t="s">
        <v>4499</v>
      </c>
      <c r="I6512" s="33" t="s">
        <v>63</v>
      </c>
      <c r="J6512" s="33" t="s">
        <v>10927</v>
      </c>
      <c r="K6512" s="33" t="s">
        <v>5063</v>
      </c>
      <c r="L6512" s="33" t="s">
        <v>10928</v>
      </c>
      <c r="M6512" s="33" t="s">
        <v>21</v>
      </c>
      <c r="N6512" s="33" t="s">
        <v>10929</v>
      </c>
      <c r="O6512" s="33" t="s">
        <v>507</v>
      </c>
      <c r="P6512" s="33" t="s">
        <v>30089</v>
      </c>
      <c r="Q6512" s="40" t="s">
        <v>10930</v>
      </c>
      <c r="R6512" s="33" t="s">
        <v>512</v>
      </c>
      <c r="S6512" s="33" t="s">
        <v>12</v>
      </c>
      <c r="T6512" s="54" t="s">
        <v>29705</v>
      </c>
      <c r="Z6512" s="33" t="s">
        <v>42968</v>
      </c>
      <c r="AA6512" s="33">
        <v>1153</v>
      </c>
    </row>
    <row r="6513" spans="1:27" ht="13.5" customHeight="1" x14ac:dyDescent="0.15">
      <c r="A6513" s="33" t="s">
        <v>10931</v>
      </c>
      <c r="B6513" s="33">
        <v>31</v>
      </c>
      <c r="C6513" s="33" t="s">
        <v>14</v>
      </c>
      <c r="D6513" s="33" t="s">
        <v>42</v>
      </c>
      <c r="F6513" s="67">
        <v>41656</v>
      </c>
      <c r="I6513" s="33" t="s">
        <v>112</v>
      </c>
      <c r="J6513" s="33">
        <v>85607</v>
      </c>
      <c r="K6513" s="33" t="s">
        <v>113</v>
      </c>
      <c r="L6513" s="33" t="s">
        <v>4359</v>
      </c>
      <c r="M6513" s="33" t="s">
        <v>21</v>
      </c>
      <c r="N6513" s="33" t="s">
        <v>36839</v>
      </c>
      <c r="P6513" s="33" t="s">
        <v>30089</v>
      </c>
      <c r="Q6513" s="40" t="s">
        <v>10932</v>
      </c>
      <c r="R6513" s="33" t="s">
        <v>23</v>
      </c>
      <c r="S6513" s="33" t="s">
        <v>12</v>
      </c>
      <c r="T6513" s="54" t="s">
        <v>29705</v>
      </c>
      <c r="Z6513" s="33" t="s">
        <v>42967</v>
      </c>
      <c r="AA6513" s="33">
        <v>1152</v>
      </c>
    </row>
    <row r="6514" spans="1:27" ht="13.5" customHeight="1" x14ac:dyDescent="0.15">
      <c r="A6514" s="33" t="s">
        <v>10933</v>
      </c>
      <c r="B6514" s="33">
        <v>26</v>
      </c>
      <c r="C6514" s="33" t="s">
        <v>14</v>
      </c>
      <c r="D6514" s="33" t="s">
        <v>79</v>
      </c>
      <c r="E6514" s="33" t="s">
        <v>10934</v>
      </c>
      <c r="F6514" s="67">
        <v>41655</v>
      </c>
      <c r="G6514" s="33" t="s">
        <v>10935</v>
      </c>
      <c r="H6514" s="33" t="s">
        <v>674</v>
      </c>
      <c r="I6514" s="33" t="s">
        <v>67</v>
      </c>
      <c r="J6514" s="33" t="s">
        <v>10936</v>
      </c>
      <c r="K6514" s="33" t="s">
        <v>515</v>
      </c>
      <c r="L6514" s="33" t="s">
        <v>675</v>
      </c>
      <c r="M6514" s="33" t="s">
        <v>21</v>
      </c>
      <c r="N6514" s="33" t="s">
        <v>19067</v>
      </c>
      <c r="O6514" s="33" t="s">
        <v>372</v>
      </c>
      <c r="P6514" s="33" t="s">
        <v>30089</v>
      </c>
      <c r="Q6514" s="40" t="s">
        <v>10937</v>
      </c>
      <c r="R6514" s="33" t="s">
        <v>94</v>
      </c>
      <c r="S6514" s="33" t="s">
        <v>12</v>
      </c>
      <c r="T6514" s="54" t="s">
        <v>29705</v>
      </c>
      <c r="Z6514" s="33" t="s">
        <v>42968</v>
      </c>
      <c r="AA6514" s="33">
        <v>1149</v>
      </c>
    </row>
    <row r="6515" spans="1:27" ht="13.5" customHeight="1" x14ac:dyDescent="0.15">
      <c r="A6515" s="33" t="s">
        <v>10943</v>
      </c>
      <c r="B6515" s="33">
        <v>28</v>
      </c>
      <c r="C6515" s="33" t="s">
        <v>14</v>
      </c>
      <c r="D6515" s="33" t="s">
        <v>24</v>
      </c>
      <c r="F6515" s="67">
        <v>41655</v>
      </c>
      <c r="G6515" s="33" t="s">
        <v>10944</v>
      </c>
      <c r="H6515" s="33" t="s">
        <v>10945</v>
      </c>
      <c r="I6515" s="33" t="s">
        <v>39</v>
      </c>
      <c r="J6515" s="33" t="s">
        <v>10946</v>
      </c>
      <c r="K6515" s="33" t="s">
        <v>728</v>
      </c>
      <c r="L6515" s="33" t="s">
        <v>10947</v>
      </c>
      <c r="M6515" s="33" t="s">
        <v>21</v>
      </c>
      <c r="N6515" s="33" t="s">
        <v>10948</v>
      </c>
      <c r="O6515" s="33" t="s">
        <v>950</v>
      </c>
      <c r="P6515" s="33" t="s">
        <v>30089</v>
      </c>
      <c r="Q6515" s="40" t="s">
        <v>10949</v>
      </c>
      <c r="R6515" s="33" t="s">
        <v>94</v>
      </c>
      <c r="S6515" s="33" t="s">
        <v>351</v>
      </c>
      <c r="T6515" s="1" t="s">
        <v>42983</v>
      </c>
      <c r="Z6515" s="33" t="s">
        <v>42968</v>
      </c>
      <c r="AA6515" s="33">
        <v>1151</v>
      </c>
    </row>
    <row r="6516" spans="1:27" ht="13.5" customHeight="1" x14ac:dyDescent="0.15">
      <c r="A6516" s="33" t="s">
        <v>10938</v>
      </c>
      <c r="B6516" s="33">
        <v>19</v>
      </c>
      <c r="C6516" s="33" t="s">
        <v>14</v>
      </c>
      <c r="D6516" s="33" t="s">
        <v>79</v>
      </c>
      <c r="E6516" s="33" t="s">
        <v>10939</v>
      </c>
      <c r="F6516" s="67">
        <v>41655</v>
      </c>
      <c r="G6516" s="33" t="s">
        <v>10940</v>
      </c>
      <c r="H6516" s="33" t="s">
        <v>760</v>
      </c>
      <c r="I6516" s="33" t="s">
        <v>367</v>
      </c>
      <c r="J6516" s="33" t="s">
        <v>6978</v>
      </c>
      <c r="K6516" s="33" t="s">
        <v>761</v>
      </c>
      <c r="L6516" s="33" t="s">
        <v>762</v>
      </c>
      <c r="M6516" s="33" t="s">
        <v>21</v>
      </c>
      <c r="N6516" s="33" t="s">
        <v>10941</v>
      </c>
      <c r="O6516" s="33" t="s">
        <v>507</v>
      </c>
      <c r="P6516" s="33" t="s">
        <v>30089</v>
      </c>
      <c r="Q6516" s="40" t="s">
        <v>10942</v>
      </c>
      <c r="R6516" s="33" t="s">
        <v>94</v>
      </c>
      <c r="S6516" s="33" t="s">
        <v>22</v>
      </c>
      <c r="T6516" s="1" t="s">
        <v>26781</v>
      </c>
      <c r="Z6516" s="33" t="s">
        <v>42968</v>
      </c>
      <c r="AA6516" s="33">
        <v>1145</v>
      </c>
    </row>
    <row r="6517" spans="1:27" ht="13.5" customHeight="1" x14ac:dyDescent="0.15">
      <c r="A6517" s="33" t="s">
        <v>10950</v>
      </c>
      <c r="B6517" s="33">
        <v>5</v>
      </c>
      <c r="C6517" s="33" t="s">
        <v>103</v>
      </c>
      <c r="D6517" s="33" t="s">
        <v>31</v>
      </c>
      <c r="E6517" s="33" t="s">
        <v>10951</v>
      </c>
      <c r="F6517" s="67">
        <v>41655</v>
      </c>
      <c r="G6517" s="33" t="s">
        <v>10952</v>
      </c>
      <c r="H6517" s="33" t="s">
        <v>546</v>
      </c>
      <c r="I6517" s="33" t="s">
        <v>221</v>
      </c>
      <c r="J6517" s="33" t="s">
        <v>10953</v>
      </c>
      <c r="K6517" s="33" t="s">
        <v>547</v>
      </c>
      <c r="L6517" s="33" t="s">
        <v>10954</v>
      </c>
      <c r="M6517" s="33" t="s">
        <v>21</v>
      </c>
      <c r="N6517" s="33" t="s">
        <v>10955</v>
      </c>
      <c r="O6517" s="33" t="s">
        <v>23116</v>
      </c>
      <c r="P6517" s="33" t="s">
        <v>30089</v>
      </c>
      <c r="Q6517" s="40" t="s">
        <v>10956</v>
      </c>
      <c r="R6517" s="33" t="s">
        <v>94</v>
      </c>
      <c r="S6517" s="33" t="s">
        <v>12</v>
      </c>
      <c r="T6517" s="54" t="s">
        <v>29705</v>
      </c>
      <c r="Y6517" s="33" t="s">
        <v>42476</v>
      </c>
      <c r="Z6517" s="33" t="s">
        <v>42968</v>
      </c>
      <c r="AA6517" s="33">
        <v>1146</v>
      </c>
    </row>
    <row r="6518" spans="1:27" ht="13.5" customHeight="1" x14ac:dyDescent="0.15">
      <c r="A6518" s="33" t="s">
        <v>10957</v>
      </c>
      <c r="B6518" s="33">
        <v>7</v>
      </c>
      <c r="C6518" s="33" t="s">
        <v>14</v>
      </c>
      <c r="D6518" s="33" t="s">
        <v>31</v>
      </c>
      <c r="E6518" s="33" t="s">
        <v>10958</v>
      </c>
      <c r="F6518" s="67">
        <v>41655</v>
      </c>
      <c r="G6518" s="33" t="s">
        <v>10952</v>
      </c>
      <c r="H6518" s="33" t="s">
        <v>546</v>
      </c>
      <c r="I6518" s="33" t="s">
        <v>221</v>
      </c>
      <c r="J6518" s="33" t="s">
        <v>10953</v>
      </c>
      <c r="K6518" s="33" t="s">
        <v>547</v>
      </c>
      <c r="L6518" s="33" t="s">
        <v>10954</v>
      </c>
      <c r="M6518" s="33" t="s">
        <v>21</v>
      </c>
      <c r="N6518" s="33" t="s">
        <v>10955</v>
      </c>
      <c r="O6518" s="33" t="s">
        <v>23116</v>
      </c>
      <c r="P6518" s="33" t="s">
        <v>30089</v>
      </c>
      <c r="Q6518" s="40" t="s">
        <v>10956</v>
      </c>
      <c r="R6518" s="33" t="s">
        <v>94</v>
      </c>
      <c r="S6518" s="33" t="s">
        <v>12</v>
      </c>
      <c r="T6518" s="54" t="s">
        <v>29705</v>
      </c>
      <c r="Y6518" s="33" t="s">
        <v>42476</v>
      </c>
      <c r="Z6518" s="33" t="s">
        <v>42968</v>
      </c>
      <c r="AA6518" s="33">
        <v>1150</v>
      </c>
    </row>
    <row r="6519" spans="1:27" ht="13.5" customHeight="1" x14ac:dyDescent="0.15">
      <c r="A6519" s="33" t="s">
        <v>10959</v>
      </c>
      <c r="B6519" s="33">
        <v>32</v>
      </c>
      <c r="C6519" s="33" t="s">
        <v>103</v>
      </c>
      <c r="D6519" s="33" t="s">
        <v>31</v>
      </c>
      <c r="E6519" s="33" t="s">
        <v>10960</v>
      </c>
      <c r="F6519" s="67">
        <v>41655</v>
      </c>
      <c r="G6519" s="33" t="s">
        <v>10952</v>
      </c>
      <c r="H6519" s="33" t="s">
        <v>546</v>
      </c>
      <c r="I6519" s="33" t="s">
        <v>221</v>
      </c>
      <c r="J6519" s="33" t="s">
        <v>10953</v>
      </c>
      <c r="K6519" s="33" t="s">
        <v>547</v>
      </c>
      <c r="L6519" s="33" t="s">
        <v>10954</v>
      </c>
      <c r="M6519" s="33" t="s">
        <v>21</v>
      </c>
      <c r="N6519" s="33" t="s">
        <v>10955</v>
      </c>
      <c r="O6519" s="33" t="s">
        <v>23116</v>
      </c>
      <c r="P6519" s="33" t="s">
        <v>30089</v>
      </c>
      <c r="Q6519" s="40" t="s">
        <v>10956</v>
      </c>
      <c r="R6519" s="33" t="s">
        <v>94</v>
      </c>
      <c r="S6519" s="33" t="s">
        <v>12</v>
      </c>
      <c r="T6519" s="54" t="s">
        <v>29705</v>
      </c>
      <c r="Y6519" s="33" t="s">
        <v>42476</v>
      </c>
      <c r="Z6519" s="33" t="s">
        <v>42968</v>
      </c>
      <c r="AA6519" s="33">
        <v>1147</v>
      </c>
    </row>
    <row r="6520" spans="1:27" ht="13.5" customHeight="1" x14ac:dyDescent="0.15">
      <c r="A6520" s="33" t="s">
        <v>10961</v>
      </c>
      <c r="B6520" s="33">
        <v>55</v>
      </c>
      <c r="C6520" s="33" t="s">
        <v>103</v>
      </c>
      <c r="D6520" s="33" t="s">
        <v>31</v>
      </c>
      <c r="E6520" s="33" t="s">
        <v>10962</v>
      </c>
      <c r="F6520" s="67">
        <v>41655</v>
      </c>
      <c r="G6520" s="33" t="s">
        <v>10952</v>
      </c>
      <c r="H6520" s="33" t="s">
        <v>546</v>
      </c>
      <c r="I6520" s="33" t="s">
        <v>221</v>
      </c>
      <c r="J6520" s="33" t="s">
        <v>10953</v>
      </c>
      <c r="K6520" s="33" t="s">
        <v>547</v>
      </c>
      <c r="L6520" s="33" t="s">
        <v>10954</v>
      </c>
      <c r="M6520" s="33" t="s">
        <v>21</v>
      </c>
      <c r="N6520" s="33" t="s">
        <v>10955</v>
      </c>
      <c r="O6520" s="33" t="s">
        <v>23116</v>
      </c>
      <c r="P6520" s="33" t="s">
        <v>30089</v>
      </c>
      <c r="Q6520" s="40" t="s">
        <v>10956</v>
      </c>
      <c r="R6520" s="33" t="s">
        <v>94</v>
      </c>
      <c r="S6520" s="33" t="s">
        <v>12</v>
      </c>
      <c r="T6520" s="54" t="s">
        <v>29705</v>
      </c>
      <c r="Y6520" s="33" t="s">
        <v>42476</v>
      </c>
      <c r="Z6520" s="33" t="s">
        <v>42968</v>
      </c>
      <c r="AA6520" s="33">
        <v>1148</v>
      </c>
    </row>
    <row r="6521" spans="1:27" ht="13.5" customHeight="1" x14ac:dyDescent="0.15">
      <c r="A6521" s="33" t="s">
        <v>10969</v>
      </c>
      <c r="B6521" s="33">
        <v>75</v>
      </c>
      <c r="C6521" s="33" t="s">
        <v>14</v>
      </c>
      <c r="D6521" s="33" t="s">
        <v>31</v>
      </c>
      <c r="F6521" s="67">
        <v>41654</v>
      </c>
      <c r="G6521" s="33" t="s">
        <v>10970</v>
      </c>
      <c r="H6521" s="33" t="s">
        <v>10971</v>
      </c>
      <c r="I6521" s="33" t="s">
        <v>51</v>
      </c>
      <c r="J6521" s="33" t="s">
        <v>10972</v>
      </c>
      <c r="K6521" s="33" t="s">
        <v>10973</v>
      </c>
      <c r="L6521" s="33" t="s">
        <v>3627</v>
      </c>
      <c r="M6521" s="33" t="s">
        <v>21</v>
      </c>
      <c r="N6521" s="33" t="s">
        <v>10974</v>
      </c>
      <c r="O6521" s="33" t="s">
        <v>950</v>
      </c>
      <c r="P6521" s="33" t="s">
        <v>30089</v>
      </c>
      <c r="Q6521" s="40" t="s">
        <v>10975</v>
      </c>
      <c r="R6521" s="33" t="s">
        <v>94</v>
      </c>
      <c r="S6521" s="33" t="s">
        <v>22</v>
      </c>
      <c r="T6521" s="1" t="s">
        <v>26781</v>
      </c>
      <c r="Z6521" s="33" t="s">
        <v>42967</v>
      </c>
      <c r="AA6521" s="33">
        <v>1143</v>
      </c>
    </row>
    <row r="6522" spans="1:27" ht="13.5" customHeight="1" x14ac:dyDescent="0.15">
      <c r="A6522" s="33" t="s">
        <v>10963</v>
      </c>
      <c r="B6522" s="33">
        <v>22</v>
      </c>
      <c r="C6522" s="33" t="s">
        <v>14</v>
      </c>
      <c r="D6522" s="33" t="s">
        <v>31</v>
      </c>
      <c r="E6522" s="33" t="s">
        <v>10964</v>
      </c>
      <c r="F6522" s="67">
        <v>41654</v>
      </c>
      <c r="G6522" s="33" t="s">
        <v>10965</v>
      </c>
      <c r="H6522" s="33" t="s">
        <v>6461</v>
      </c>
      <c r="I6522" s="33" t="s">
        <v>198</v>
      </c>
      <c r="J6522" s="33" t="s">
        <v>10966</v>
      </c>
      <c r="K6522" s="33" t="s">
        <v>6461</v>
      </c>
      <c r="L6522" s="33" t="s">
        <v>4973</v>
      </c>
      <c r="M6522" s="33" t="s">
        <v>21</v>
      </c>
      <c r="N6522" s="33" t="s">
        <v>10967</v>
      </c>
      <c r="O6522" s="33" t="s">
        <v>507</v>
      </c>
      <c r="P6522" s="33" t="s">
        <v>30089</v>
      </c>
      <c r="Q6522" s="40" t="s">
        <v>10968</v>
      </c>
      <c r="R6522" s="33" t="s">
        <v>23</v>
      </c>
      <c r="S6522" s="33" t="s">
        <v>22</v>
      </c>
      <c r="T6522" s="1" t="s">
        <v>26781</v>
      </c>
      <c r="Z6522" s="33" t="s">
        <v>42968</v>
      </c>
      <c r="AA6522" s="33">
        <v>1144</v>
      </c>
    </row>
    <row r="6523" spans="1:27" ht="13.5" customHeight="1" x14ac:dyDescent="0.15">
      <c r="A6523" s="33" t="s">
        <v>10999</v>
      </c>
      <c r="B6523" s="33">
        <v>34</v>
      </c>
      <c r="C6523" s="33" t="s">
        <v>14</v>
      </c>
      <c r="D6523" s="33" t="s">
        <v>31</v>
      </c>
      <c r="E6523" s="33" t="s">
        <v>11000</v>
      </c>
      <c r="F6523" s="67">
        <v>41653</v>
      </c>
      <c r="G6523" s="33" t="s">
        <v>11001</v>
      </c>
      <c r="H6523" s="33" t="s">
        <v>1212</v>
      </c>
      <c r="I6523" s="33" t="s">
        <v>192</v>
      </c>
      <c r="J6523" s="33" t="s">
        <v>11002</v>
      </c>
      <c r="K6523" s="33" t="s">
        <v>1212</v>
      </c>
      <c r="L6523" s="33" t="s">
        <v>1213</v>
      </c>
      <c r="M6523" s="33" t="s">
        <v>21</v>
      </c>
      <c r="N6523" s="33" t="s">
        <v>11003</v>
      </c>
      <c r="O6523" s="33" t="s">
        <v>507</v>
      </c>
      <c r="P6523" s="33" t="s">
        <v>30089</v>
      </c>
      <c r="Q6523" s="40" t="s">
        <v>11004</v>
      </c>
      <c r="R6523" s="33" t="s">
        <v>94</v>
      </c>
      <c r="S6523" s="33" t="s">
        <v>29</v>
      </c>
      <c r="T6523" s="1" t="s">
        <v>41840</v>
      </c>
      <c r="Z6523" s="33" t="s">
        <v>42966</v>
      </c>
      <c r="AA6523" s="33">
        <v>1141</v>
      </c>
    </row>
    <row r="6524" spans="1:27" ht="13.5" customHeight="1" x14ac:dyDescent="0.15">
      <c r="A6524" s="33" t="s">
        <v>10981</v>
      </c>
      <c r="B6524" s="33">
        <v>58</v>
      </c>
      <c r="C6524" s="33" t="s">
        <v>14</v>
      </c>
      <c r="D6524" s="33" t="s">
        <v>79</v>
      </c>
      <c r="F6524" s="67">
        <v>41653</v>
      </c>
      <c r="G6524" s="33" t="s">
        <v>10982</v>
      </c>
      <c r="H6524" s="33" t="s">
        <v>92</v>
      </c>
      <c r="I6524" s="33" t="s">
        <v>39</v>
      </c>
      <c r="J6524" s="33" t="s">
        <v>3045</v>
      </c>
      <c r="K6524" s="33" t="s">
        <v>92</v>
      </c>
      <c r="L6524" s="33" t="s">
        <v>93</v>
      </c>
      <c r="M6524" s="33" t="s">
        <v>21</v>
      </c>
      <c r="N6524" s="33" t="s">
        <v>10983</v>
      </c>
      <c r="O6524" s="33" t="s">
        <v>950</v>
      </c>
      <c r="P6524" s="33" t="s">
        <v>30089</v>
      </c>
      <c r="Q6524" s="40" t="s">
        <v>10984</v>
      </c>
      <c r="R6524" s="33" t="s">
        <v>94</v>
      </c>
      <c r="S6524" s="33" t="s">
        <v>29</v>
      </c>
      <c r="T6524" s="1" t="s">
        <v>41840</v>
      </c>
      <c r="Z6524" s="33" t="s">
        <v>42966</v>
      </c>
      <c r="AA6524" s="33">
        <v>1140</v>
      </c>
    </row>
    <row r="6525" spans="1:27" ht="13.5" customHeight="1" x14ac:dyDescent="0.15">
      <c r="A6525" s="33" t="s">
        <v>10991</v>
      </c>
      <c r="B6525" s="33">
        <v>24</v>
      </c>
      <c r="C6525" s="33" t="s">
        <v>14</v>
      </c>
      <c r="D6525" s="33" t="s">
        <v>24</v>
      </c>
      <c r="F6525" s="67">
        <v>41653</v>
      </c>
      <c r="G6525" s="33" t="s">
        <v>10992</v>
      </c>
      <c r="H6525" s="33" t="s">
        <v>10993</v>
      </c>
      <c r="I6525" s="33" t="s">
        <v>139</v>
      </c>
      <c r="J6525" s="33" t="s">
        <v>10994</v>
      </c>
      <c r="K6525" s="33" t="s">
        <v>10995</v>
      </c>
      <c r="L6525" s="33" t="s">
        <v>10996</v>
      </c>
      <c r="M6525" s="33" t="s">
        <v>21</v>
      </c>
      <c r="N6525" s="33" t="s">
        <v>10997</v>
      </c>
      <c r="O6525" s="33" t="s">
        <v>507</v>
      </c>
      <c r="P6525" s="33" t="s">
        <v>30089</v>
      </c>
      <c r="Q6525" s="40" t="s">
        <v>10998</v>
      </c>
      <c r="R6525" s="33" t="s">
        <v>94</v>
      </c>
      <c r="S6525" s="33" t="s">
        <v>351</v>
      </c>
      <c r="T6525" s="1" t="s">
        <v>42983</v>
      </c>
      <c r="Z6525" s="33" t="s">
        <v>42968</v>
      </c>
      <c r="AA6525" s="33">
        <v>1142</v>
      </c>
    </row>
    <row r="6526" spans="1:27" ht="13.5" customHeight="1" x14ac:dyDescent="0.15">
      <c r="A6526" s="33" t="s">
        <v>10985</v>
      </c>
      <c r="B6526" s="33">
        <v>40</v>
      </c>
      <c r="C6526" s="33" t="s">
        <v>14</v>
      </c>
      <c r="D6526" s="33" t="s">
        <v>42</v>
      </c>
      <c r="E6526" s="33" t="s">
        <v>10986</v>
      </c>
      <c r="F6526" s="67">
        <v>41653</v>
      </c>
      <c r="G6526" s="33" t="s">
        <v>10987</v>
      </c>
      <c r="H6526" s="33" t="s">
        <v>9006</v>
      </c>
      <c r="I6526" s="33" t="s">
        <v>112</v>
      </c>
      <c r="J6526" s="33" t="s">
        <v>9007</v>
      </c>
      <c r="K6526" s="33" t="s">
        <v>2223</v>
      </c>
      <c r="L6526" s="33" t="s">
        <v>10988</v>
      </c>
      <c r="M6526" s="33" t="s">
        <v>21</v>
      </c>
      <c r="N6526" s="33" t="s">
        <v>10989</v>
      </c>
      <c r="O6526" s="33" t="s">
        <v>507</v>
      </c>
      <c r="P6526" s="33" t="s">
        <v>30089</v>
      </c>
      <c r="Q6526" s="40" t="s">
        <v>10990</v>
      </c>
      <c r="R6526" s="33" t="s">
        <v>94</v>
      </c>
      <c r="S6526" s="33" t="s">
        <v>12</v>
      </c>
      <c r="T6526" s="54" t="s">
        <v>29705</v>
      </c>
      <c r="Z6526" s="33" t="s">
        <v>42967</v>
      </c>
      <c r="AA6526" s="33">
        <v>1139</v>
      </c>
    </row>
    <row r="6527" spans="1:27" ht="13.5" customHeight="1" x14ac:dyDescent="0.15">
      <c r="A6527" s="33" t="s">
        <v>11005</v>
      </c>
      <c r="B6527" s="33">
        <v>68</v>
      </c>
      <c r="C6527" s="33" t="s">
        <v>14</v>
      </c>
      <c r="D6527" s="33" t="s">
        <v>31</v>
      </c>
      <c r="E6527" s="33" t="s">
        <v>11006</v>
      </c>
      <c r="F6527" s="67">
        <v>41653</v>
      </c>
      <c r="G6527" s="33" t="s">
        <v>11007</v>
      </c>
      <c r="H6527" s="33" t="s">
        <v>11008</v>
      </c>
      <c r="I6527" s="33" t="s">
        <v>51</v>
      </c>
      <c r="J6527" s="33" t="s">
        <v>11009</v>
      </c>
      <c r="K6527" s="33" t="s">
        <v>650</v>
      </c>
      <c r="L6527" s="33" t="s">
        <v>3627</v>
      </c>
      <c r="M6527" s="33" t="s">
        <v>21</v>
      </c>
      <c r="N6527" s="33" t="s">
        <v>11010</v>
      </c>
      <c r="O6527" s="33" t="s">
        <v>507</v>
      </c>
      <c r="P6527" s="33" t="s">
        <v>30089</v>
      </c>
      <c r="Q6527" s="40" t="s">
        <v>11011</v>
      </c>
      <c r="R6527" s="33" t="s">
        <v>94</v>
      </c>
      <c r="S6527" s="33" t="s">
        <v>22</v>
      </c>
      <c r="T6527" s="1" t="s">
        <v>26781</v>
      </c>
      <c r="Z6527" s="33" t="s">
        <v>42967</v>
      </c>
      <c r="AA6527" s="33">
        <v>1138</v>
      </c>
    </row>
    <row r="6528" spans="1:27" ht="13.5" customHeight="1" x14ac:dyDescent="0.15">
      <c r="A6528" s="33" t="s">
        <v>10976</v>
      </c>
      <c r="B6528" s="33">
        <v>30</v>
      </c>
      <c r="C6528" s="33" t="s">
        <v>14</v>
      </c>
      <c r="D6528" s="33" t="s">
        <v>79</v>
      </c>
      <c r="E6528" s="33" t="s">
        <v>10977</v>
      </c>
      <c r="F6528" s="67">
        <v>41653</v>
      </c>
      <c r="G6528" s="33" t="s">
        <v>10978</v>
      </c>
      <c r="H6528" s="33" t="s">
        <v>2991</v>
      </c>
      <c r="I6528" s="33" t="s">
        <v>56</v>
      </c>
      <c r="J6528" s="33" t="s">
        <v>2992</v>
      </c>
      <c r="K6528" s="33" t="s">
        <v>2993</v>
      </c>
      <c r="L6528" s="33" t="s">
        <v>10979</v>
      </c>
      <c r="M6528" s="33" t="s">
        <v>21</v>
      </c>
      <c r="N6528" s="33" t="s">
        <v>10980</v>
      </c>
      <c r="O6528" s="33" t="s">
        <v>950</v>
      </c>
      <c r="P6528" s="33" t="s">
        <v>30089</v>
      </c>
      <c r="Q6528" s="40" t="str">
        <f>HYPERLINK("http://www.wptv.com/news/state/gregory-vaughn-hill-jr-fort-pierce-man-ided-in-fatal-deputy-involved-shooting","http://www.wptv.com/news/state/gregory-vaughn-hill-jr-fort-pierce-man-ided-in-fatal-deputy-involved-shooting")</f>
        <v>http://www.wptv.com/news/state/gregory-vaughn-hill-jr-fort-pierce-man-ided-in-fatal-deputy-involved-shooting</v>
      </c>
      <c r="R6528" s="33" t="s">
        <v>94</v>
      </c>
      <c r="S6528" s="33" t="s">
        <v>22</v>
      </c>
      <c r="T6528" s="1" t="s">
        <v>26781</v>
      </c>
      <c r="Z6528" s="33" t="s">
        <v>42968</v>
      </c>
      <c r="AA6528" s="33">
        <v>1137</v>
      </c>
    </row>
    <row r="6529" spans="1:31" ht="13.5" customHeight="1" x14ac:dyDescent="0.15">
      <c r="A6529" s="33" t="s">
        <v>11012</v>
      </c>
      <c r="B6529" s="33">
        <v>24</v>
      </c>
      <c r="C6529" s="33" t="s">
        <v>14</v>
      </c>
      <c r="D6529" s="33" t="s">
        <v>79</v>
      </c>
      <c r="E6529" s="33" t="str">
        <f>HYPERLINK("http://www.wyliefh.com/printguestbook.php?id=2166&amp;rid=15392","http://www.wyliefh.com/printguestbook.php?id=2166&amp;rid=15392")</f>
        <v>http://www.wyliefh.com/printguestbook.php?id=2166&amp;rid=15392</v>
      </c>
      <c r="F6529" s="67">
        <v>41652</v>
      </c>
      <c r="G6529" s="33" t="s">
        <v>11013</v>
      </c>
      <c r="H6529" s="33" t="s">
        <v>1487</v>
      </c>
      <c r="I6529" s="33" t="s">
        <v>46</v>
      </c>
      <c r="J6529" s="33" t="s">
        <v>11014</v>
      </c>
      <c r="K6529" s="33" t="s">
        <v>4324</v>
      </c>
      <c r="L6529" s="33" t="s">
        <v>2556</v>
      </c>
      <c r="M6529" s="33" t="s">
        <v>21</v>
      </c>
      <c r="N6529" s="33" t="s">
        <v>11015</v>
      </c>
      <c r="O6529" s="33" t="s">
        <v>950</v>
      </c>
      <c r="P6529" s="33" t="s">
        <v>30089</v>
      </c>
      <c r="Q6529" s="40" t="str">
        <f>HYPERLINK("http://www.baltimoresun.com/news/maryland/crime/blog/bal-police-investigating-officerinvolved-shooting-in-east-baltimore-20140113,0,4169034.story","http://www.baltimoresun.com/news/maryland/crime/blog/bal-police-investigating-officerinvolved-shooting-in-east-baltimore-20140113,0,4169034.story")</f>
        <v>http://www.baltimoresun.com/news/maryland/crime/blog/bal-police-investigating-officerinvolved-shooting-in-east-baltimore-20140113,0,4169034.story</v>
      </c>
      <c r="R6529" s="33" t="s">
        <v>94</v>
      </c>
      <c r="S6529" s="33" t="s">
        <v>22</v>
      </c>
      <c r="T6529" s="1" t="s">
        <v>26781</v>
      </c>
      <c r="Z6529" s="33" t="s">
        <v>42966</v>
      </c>
      <c r="AA6529" s="33">
        <v>1136</v>
      </c>
    </row>
    <row r="6530" spans="1:31" ht="13.5" customHeight="1" x14ac:dyDescent="0.15">
      <c r="A6530" s="33" t="s">
        <v>11016</v>
      </c>
      <c r="B6530" s="33">
        <v>32</v>
      </c>
      <c r="C6530" s="33" t="s">
        <v>14</v>
      </c>
      <c r="D6530" s="33" t="s">
        <v>42</v>
      </c>
      <c r="F6530" s="67">
        <v>41651</v>
      </c>
      <c r="G6530" s="33" t="s">
        <v>11017</v>
      </c>
      <c r="H6530" s="33" t="s">
        <v>7206</v>
      </c>
      <c r="I6530" s="33" t="s">
        <v>39</v>
      </c>
      <c r="J6530" s="33" t="s">
        <v>11018</v>
      </c>
      <c r="K6530" s="33" t="s">
        <v>288</v>
      </c>
      <c r="L6530" s="33" t="s">
        <v>289</v>
      </c>
      <c r="M6530" s="33" t="s">
        <v>21</v>
      </c>
      <c r="N6530" s="33" t="s">
        <v>19068</v>
      </c>
      <c r="O6530" s="33" t="s">
        <v>950</v>
      </c>
      <c r="P6530" s="33" t="s">
        <v>30089</v>
      </c>
      <c r="Q6530" s="40" t="s">
        <v>19069</v>
      </c>
      <c r="R6530" s="33" t="s">
        <v>94</v>
      </c>
      <c r="S6530" s="33" t="s">
        <v>12</v>
      </c>
      <c r="T6530" s="33" t="s">
        <v>29425</v>
      </c>
      <c r="Z6530" s="33" t="s">
        <v>42968</v>
      </c>
      <c r="AA6530" s="33">
        <v>1135</v>
      </c>
    </row>
    <row r="6531" spans="1:31" ht="13.5" customHeight="1" x14ac:dyDescent="0.15">
      <c r="A6531" s="33" t="s">
        <v>11019</v>
      </c>
      <c r="B6531" s="33">
        <v>35</v>
      </c>
      <c r="C6531" s="33" t="s">
        <v>14</v>
      </c>
      <c r="D6531" s="33" t="s">
        <v>31</v>
      </c>
      <c r="E6531" s="33" t="s">
        <v>11020</v>
      </c>
      <c r="F6531" s="67">
        <v>41651</v>
      </c>
      <c r="G6531" s="33" t="s">
        <v>11021</v>
      </c>
      <c r="H6531" s="33" t="s">
        <v>639</v>
      </c>
      <c r="I6531" s="33" t="s">
        <v>112</v>
      </c>
      <c r="J6531" s="33" t="s">
        <v>11022</v>
      </c>
      <c r="K6531" s="33" t="s">
        <v>585</v>
      </c>
      <c r="L6531" s="33" t="s">
        <v>4494</v>
      </c>
      <c r="M6531" s="33" t="s">
        <v>21</v>
      </c>
      <c r="N6531" s="33" t="s">
        <v>11023</v>
      </c>
      <c r="O6531" s="33" t="s">
        <v>23</v>
      </c>
      <c r="P6531" s="33" t="s">
        <v>30089</v>
      </c>
      <c r="Q6531" s="40" t="s">
        <v>11024</v>
      </c>
      <c r="R6531" s="33" t="s">
        <v>23</v>
      </c>
      <c r="S6531" s="33" t="s">
        <v>22</v>
      </c>
      <c r="T6531" s="1" t="s">
        <v>26781</v>
      </c>
      <c r="Z6531" s="33" t="s">
        <v>42966</v>
      </c>
      <c r="AA6531" s="33">
        <v>1134</v>
      </c>
    </row>
    <row r="6532" spans="1:31" ht="13.5" customHeight="1" x14ac:dyDescent="0.15">
      <c r="A6532" s="33" t="s">
        <v>11025</v>
      </c>
      <c r="B6532" s="33">
        <v>50</v>
      </c>
      <c r="C6532" s="33" t="s">
        <v>14</v>
      </c>
      <c r="D6532" s="33" t="s">
        <v>79</v>
      </c>
      <c r="E6532" s="33" t="s">
        <v>11026</v>
      </c>
      <c r="F6532" s="67">
        <v>41649</v>
      </c>
      <c r="G6532" s="33" t="s">
        <v>11027</v>
      </c>
      <c r="H6532" s="33" t="s">
        <v>700</v>
      </c>
      <c r="I6532" s="33" t="s">
        <v>395</v>
      </c>
      <c r="J6532" s="33" t="s">
        <v>11028</v>
      </c>
      <c r="K6532" s="33" t="s">
        <v>2474</v>
      </c>
      <c r="L6532" s="33" t="s">
        <v>539</v>
      </c>
      <c r="M6532" s="33" t="s">
        <v>21</v>
      </c>
      <c r="N6532" s="33" t="s">
        <v>11029</v>
      </c>
      <c r="O6532" s="33" t="s">
        <v>950</v>
      </c>
      <c r="P6532" s="33" t="s">
        <v>30089</v>
      </c>
      <c r="Q6532" s="40" t="s">
        <v>11030</v>
      </c>
      <c r="R6532" s="33" t="s">
        <v>94</v>
      </c>
      <c r="S6532" s="33" t="s">
        <v>12</v>
      </c>
      <c r="T6532" s="54" t="s">
        <v>29705</v>
      </c>
      <c r="Z6532" s="33" t="s">
        <v>42966</v>
      </c>
      <c r="AA6532" s="33">
        <v>1133</v>
      </c>
    </row>
    <row r="6533" spans="1:31" ht="13.5" customHeight="1" x14ac:dyDescent="0.15">
      <c r="A6533" s="33" t="s">
        <v>11031</v>
      </c>
      <c r="B6533" s="33">
        <v>40</v>
      </c>
      <c r="C6533" s="33" t="s">
        <v>14</v>
      </c>
      <c r="D6533" s="33" t="s">
        <v>42</v>
      </c>
      <c r="E6533" s="33" t="s">
        <v>11032</v>
      </c>
      <c r="F6533" s="67">
        <v>41648</v>
      </c>
      <c r="G6533" s="33" t="s">
        <v>11033</v>
      </c>
      <c r="H6533" s="33" t="s">
        <v>143</v>
      </c>
      <c r="I6533" s="33" t="s">
        <v>39</v>
      </c>
      <c r="J6533" s="33" t="s">
        <v>11034</v>
      </c>
      <c r="K6533" s="33" t="s">
        <v>143</v>
      </c>
      <c r="L6533" s="33" t="s">
        <v>144</v>
      </c>
      <c r="M6533" s="33" t="s">
        <v>21</v>
      </c>
      <c r="N6533" s="33" t="s">
        <v>11035</v>
      </c>
      <c r="O6533" s="33" t="s">
        <v>950</v>
      </c>
      <c r="P6533" s="33" t="s">
        <v>30089</v>
      </c>
      <c r="Q6533" s="40" t="s">
        <v>11036</v>
      </c>
      <c r="R6533" s="33" t="s">
        <v>94</v>
      </c>
      <c r="S6533" s="33" t="s">
        <v>22</v>
      </c>
      <c r="T6533" s="1" t="s">
        <v>26781</v>
      </c>
      <c r="Z6533" s="33" t="s">
        <v>42966</v>
      </c>
      <c r="AA6533" s="33">
        <v>1130</v>
      </c>
    </row>
    <row r="6534" spans="1:31" ht="13.5" customHeight="1" x14ac:dyDescent="0.15">
      <c r="A6534" s="33" t="s">
        <v>11045</v>
      </c>
      <c r="B6534" s="33">
        <v>35</v>
      </c>
      <c r="C6534" s="33" t="s">
        <v>14</v>
      </c>
      <c r="D6534" s="33" t="s">
        <v>31</v>
      </c>
      <c r="F6534" s="67">
        <v>41648</v>
      </c>
      <c r="G6534" s="33" t="s">
        <v>11046</v>
      </c>
      <c r="H6534" s="33" t="s">
        <v>2659</v>
      </c>
      <c r="I6534" s="33" t="s">
        <v>918</v>
      </c>
      <c r="J6534" s="33" t="s">
        <v>11047</v>
      </c>
      <c r="K6534" s="33" t="s">
        <v>2660</v>
      </c>
      <c r="L6534" s="33" t="s">
        <v>2661</v>
      </c>
      <c r="M6534" s="33" t="s">
        <v>21</v>
      </c>
      <c r="N6534" s="33" t="s">
        <v>11048</v>
      </c>
      <c r="O6534" s="33" t="s">
        <v>372</v>
      </c>
      <c r="P6534" s="33" t="s">
        <v>30089</v>
      </c>
      <c r="Q6534" s="40" t="s">
        <v>11049</v>
      </c>
      <c r="R6534" s="33" t="s">
        <v>94</v>
      </c>
      <c r="S6534" s="33" t="s">
        <v>22</v>
      </c>
      <c r="T6534" s="1" t="s">
        <v>26781</v>
      </c>
      <c r="Z6534" s="33" t="s">
        <v>42966</v>
      </c>
      <c r="AA6534" s="33">
        <v>1131</v>
      </c>
    </row>
    <row r="6535" spans="1:31" ht="13.5" customHeight="1" x14ac:dyDescent="0.15">
      <c r="A6535" s="33" t="s">
        <v>11037</v>
      </c>
      <c r="B6535" s="33">
        <v>51</v>
      </c>
      <c r="C6535" s="33" t="s">
        <v>14</v>
      </c>
      <c r="D6535" s="33" t="s">
        <v>24</v>
      </c>
      <c r="F6535" s="67">
        <v>41648</v>
      </c>
      <c r="G6535" s="33" t="s">
        <v>11038</v>
      </c>
      <c r="H6535" s="33" t="s">
        <v>11039</v>
      </c>
      <c r="I6535" s="33" t="s">
        <v>67</v>
      </c>
      <c r="J6535" s="33" t="s">
        <v>11040</v>
      </c>
      <c r="K6535" s="33" t="s">
        <v>11041</v>
      </c>
      <c r="L6535" s="33" t="s">
        <v>11042</v>
      </c>
      <c r="M6535" s="33" t="s">
        <v>21</v>
      </c>
      <c r="N6535" s="33" t="s">
        <v>11043</v>
      </c>
      <c r="O6535" s="33" t="s">
        <v>507</v>
      </c>
      <c r="P6535" s="33" t="s">
        <v>30089</v>
      </c>
      <c r="Q6535" s="40" t="s">
        <v>11044</v>
      </c>
      <c r="R6535" s="33" t="s">
        <v>94</v>
      </c>
      <c r="S6535" s="33" t="s">
        <v>351</v>
      </c>
      <c r="T6535" s="1" t="s">
        <v>42983</v>
      </c>
      <c r="Z6535" s="33" t="s">
        <v>42967</v>
      </c>
      <c r="AA6535" s="33">
        <v>1132</v>
      </c>
    </row>
    <row r="6536" spans="1:31" ht="13.5" customHeight="1" x14ac:dyDescent="0.15">
      <c r="A6536" s="33" t="s">
        <v>11050</v>
      </c>
      <c r="B6536" s="33" t="s">
        <v>23</v>
      </c>
      <c r="C6536" s="33" t="s">
        <v>14</v>
      </c>
      <c r="D6536" s="33" t="s">
        <v>31</v>
      </c>
      <c r="E6536" s="33" t="s">
        <v>11051</v>
      </c>
      <c r="F6536" s="67">
        <v>41647</v>
      </c>
      <c r="G6536" s="33" t="s">
        <v>11052</v>
      </c>
      <c r="H6536" s="33" t="s">
        <v>979</v>
      </c>
      <c r="I6536" s="33" t="s">
        <v>19</v>
      </c>
      <c r="J6536" s="33">
        <v>70113</v>
      </c>
      <c r="K6536" s="33" t="s">
        <v>2393</v>
      </c>
      <c r="L6536" s="33" t="s">
        <v>980</v>
      </c>
      <c r="M6536" s="33" t="s">
        <v>21</v>
      </c>
      <c r="N6536" s="33" t="s">
        <v>11053</v>
      </c>
      <c r="P6536" s="33" t="s">
        <v>30089</v>
      </c>
      <c r="Q6536" s="40" t="s">
        <v>11054</v>
      </c>
      <c r="R6536" s="33" t="s">
        <v>23</v>
      </c>
      <c r="S6536" s="33" t="s">
        <v>22</v>
      </c>
      <c r="T6536" s="33" t="s">
        <v>26781</v>
      </c>
      <c r="Z6536" s="33" t="s">
        <v>42966</v>
      </c>
      <c r="AA6536" s="33">
        <v>1129</v>
      </c>
    </row>
    <row r="6537" spans="1:31" ht="13.5" customHeight="1" x14ac:dyDescent="0.15">
      <c r="A6537" s="33" t="s">
        <v>11055</v>
      </c>
      <c r="B6537" s="33">
        <v>40</v>
      </c>
      <c r="C6537" s="33" t="s">
        <v>14</v>
      </c>
      <c r="D6537" s="33" t="s">
        <v>31</v>
      </c>
      <c r="E6537" s="33" t="s">
        <v>11056</v>
      </c>
      <c r="F6537" s="67">
        <v>41646</v>
      </c>
      <c r="G6537" s="33" t="s">
        <v>11057</v>
      </c>
      <c r="H6537" s="33" t="s">
        <v>11058</v>
      </c>
      <c r="I6537" s="33" t="s">
        <v>178</v>
      </c>
      <c r="J6537" s="33" t="s">
        <v>11059</v>
      </c>
      <c r="K6537" s="33" t="s">
        <v>11060</v>
      </c>
      <c r="L6537" s="33" t="s">
        <v>2847</v>
      </c>
      <c r="M6537" s="33" t="s">
        <v>21</v>
      </c>
      <c r="N6537" s="33" t="s">
        <v>11061</v>
      </c>
      <c r="O6537" s="33" t="s">
        <v>950</v>
      </c>
      <c r="P6537" s="33" t="s">
        <v>30089</v>
      </c>
      <c r="Q6537" s="40" t="s">
        <v>11062</v>
      </c>
      <c r="R6537" s="33" t="s">
        <v>23</v>
      </c>
      <c r="S6537" s="33" t="s">
        <v>22</v>
      </c>
      <c r="T6537" s="1" t="s">
        <v>26781</v>
      </c>
      <c r="Z6537" s="33" t="s">
        <v>42967</v>
      </c>
      <c r="AA6537" s="33">
        <v>1127</v>
      </c>
    </row>
    <row r="6538" spans="1:31" ht="13.5" customHeight="1" x14ac:dyDescent="0.15">
      <c r="A6538" s="33" t="s">
        <v>11063</v>
      </c>
      <c r="B6538" s="33">
        <v>47</v>
      </c>
      <c r="C6538" s="33" t="s">
        <v>14</v>
      </c>
      <c r="D6538" s="33" t="s">
        <v>31</v>
      </c>
      <c r="F6538" s="67">
        <v>41646</v>
      </c>
      <c r="G6538" s="33" t="s">
        <v>11064</v>
      </c>
      <c r="H6538" s="33" t="s">
        <v>11065</v>
      </c>
      <c r="I6538" s="33" t="s">
        <v>56</v>
      </c>
      <c r="J6538" s="33" t="s">
        <v>11066</v>
      </c>
      <c r="K6538" s="33" t="s">
        <v>1179</v>
      </c>
      <c r="L6538" s="33" t="s">
        <v>11067</v>
      </c>
      <c r="M6538" s="33" t="s">
        <v>21</v>
      </c>
      <c r="N6538" s="33" t="s">
        <v>11068</v>
      </c>
      <c r="O6538" s="33" t="s">
        <v>507</v>
      </c>
      <c r="P6538" s="33" t="s">
        <v>30089</v>
      </c>
      <c r="Q6538" s="40" t="s">
        <v>11069</v>
      </c>
      <c r="R6538" s="33" t="s">
        <v>94</v>
      </c>
      <c r="S6538" s="33" t="s">
        <v>22</v>
      </c>
      <c r="T6538" s="1" t="s">
        <v>26781</v>
      </c>
      <c r="Z6538" s="33" t="s">
        <v>42968</v>
      </c>
      <c r="AA6538" s="33">
        <v>1128</v>
      </c>
    </row>
    <row r="6539" spans="1:31" ht="13.5" customHeight="1" x14ac:dyDescent="0.15">
      <c r="A6539" s="33" t="s">
        <v>11070</v>
      </c>
      <c r="B6539" s="33">
        <v>49</v>
      </c>
      <c r="C6539" s="33" t="s">
        <v>14</v>
      </c>
      <c r="D6539" s="33" t="s">
        <v>31</v>
      </c>
      <c r="E6539" s="33" t="s">
        <v>11071</v>
      </c>
      <c r="F6539" s="67">
        <v>41645</v>
      </c>
      <c r="G6539" s="33" t="s">
        <v>11072</v>
      </c>
      <c r="H6539" s="33" t="s">
        <v>11073</v>
      </c>
      <c r="I6539" s="33" t="s">
        <v>139</v>
      </c>
      <c r="J6539" s="33" t="s">
        <v>11074</v>
      </c>
      <c r="K6539" s="33" t="s">
        <v>3687</v>
      </c>
      <c r="L6539" s="33" t="s">
        <v>11075</v>
      </c>
      <c r="M6539" s="33" t="s">
        <v>21</v>
      </c>
      <c r="N6539" s="33" t="s">
        <v>11076</v>
      </c>
      <c r="O6539" s="33" t="s">
        <v>950</v>
      </c>
      <c r="P6539" s="33" t="s">
        <v>30089</v>
      </c>
      <c r="Q6539" s="40" t="s">
        <v>11077</v>
      </c>
      <c r="R6539" s="33" t="s">
        <v>94</v>
      </c>
      <c r="S6539" s="33" t="s">
        <v>351</v>
      </c>
      <c r="T6539" s="1" t="s">
        <v>42983</v>
      </c>
      <c r="Z6539" s="33" t="s">
        <v>42968</v>
      </c>
      <c r="AA6539" s="33">
        <v>1126</v>
      </c>
    </row>
    <row r="6540" spans="1:31" ht="13.5" customHeight="1" x14ac:dyDescent="0.15">
      <c r="A6540" s="33" t="s">
        <v>11078</v>
      </c>
      <c r="B6540" s="33">
        <v>18</v>
      </c>
      <c r="C6540" s="33" t="s">
        <v>14</v>
      </c>
      <c r="D6540" s="33" t="s">
        <v>31</v>
      </c>
      <c r="E6540" s="33" t="s">
        <v>11079</v>
      </c>
      <c r="F6540" s="67">
        <v>41644</v>
      </c>
      <c r="G6540" s="33" t="s">
        <v>11080</v>
      </c>
      <c r="H6540" s="33" t="s">
        <v>11081</v>
      </c>
      <c r="I6540" s="33" t="s">
        <v>338</v>
      </c>
      <c r="J6540" s="33" t="s">
        <v>11082</v>
      </c>
      <c r="K6540" s="33" t="s">
        <v>11083</v>
      </c>
      <c r="L6540" s="33" t="s">
        <v>11084</v>
      </c>
      <c r="M6540" s="33" t="s">
        <v>21</v>
      </c>
      <c r="N6540" s="33" t="s">
        <v>19207</v>
      </c>
      <c r="O6540" s="33" t="s">
        <v>18576</v>
      </c>
      <c r="P6540" s="33" t="s">
        <v>18576</v>
      </c>
      <c r="Q6540" s="40" t="s">
        <v>11085</v>
      </c>
      <c r="R6540" s="33" t="s">
        <v>512</v>
      </c>
      <c r="S6540" s="1" t="s">
        <v>29</v>
      </c>
      <c r="T6540" s="33" t="s">
        <v>43032</v>
      </c>
      <c r="Z6540" s="33" t="s">
        <v>42967</v>
      </c>
      <c r="AA6540" s="33">
        <v>1125</v>
      </c>
    </row>
    <row r="6541" spans="1:31" ht="13.5" customHeight="1" x14ac:dyDescent="0.15">
      <c r="A6541" s="33" t="s">
        <v>11086</v>
      </c>
      <c r="B6541" s="33">
        <v>30</v>
      </c>
      <c r="C6541" s="33" t="s">
        <v>14</v>
      </c>
      <c r="D6541" s="33" t="s">
        <v>31</v>
      </c>
      <c r="E6541" s="33" t="s">
        <v>11087</v>
      </c>
      <c r="F6541" s="67">
        <v>41644</v>
      </c>
      <c r="G6541" s="33" t="s">
        <v>11088</v>
      </c>
      <c r="H6541" s="33" t="s">
        <v>1774</v>
      </c>
      <c r="I6541" s="33" t="s">
        <v>56</v>
      </c>
      <c r="J6541" s="33" t="s">
        <v>11089</v>
      </c>
      <c r="K6541" s="33" t="s">
        <v>1774</v>
      </c>
      <c r="L6541" s="33" t="s">
        <v>2275</v>
      </c>
      <c r="M6541" s="33" t="s">
        <v>21</v>
      </c>
      <c r="N6541" s="33" t="s">
        <v>11090</v>
      </c>
      <c r="O6541" s="33" t="s">
        <v>507</v>
      </c>
      <c r="P6541" s="33" t="s">
        <v>30089</v>
      </c>
      <c r="Q6541" s="40" t="s">
        <v>11091</v>
      </c>
      <c r="R6541" s="33" t="s">
        <v>904</v>
      </c>
      <c r="S6541" s="33" t="s">
        <v>22</v>
      </c>
      <c r="T6541" s="1" t="s">
        <v>26781</v>
      </c>
      <c r="Z6541" s="33" t="s">
        <v>42968</v>
      </c>
      <c r="AA6541" s="33">
        <v>1124</v>
      </c>
    </row>
    <row r="6542" spans="1:31" ht="13.5" customHeight="1" x14ac:dyDescent="0.15">
      <c r="A6542" s="33" t="s">
        <v>11106</v>
      </c>
      <c r="B6542" s="33">
        <v>23</v>
      </c>
      <c r="C6542" s="33" t="s">
        <v>14</v>
      </c>
      <c r="D6542" s="33" t="s">
        <v>31</v>
      </c>
      <c r="E6542" s="33" t="s">
        <v>11107</v>
      </c>
      <c r="F6542" s="67">
        <v>41643</v>
      </c>
      <c r="G6542" s="33" t="s">
        <v>11108</v>
      </c>
      <c r="H6542" s="33" t="s">
        <v>10673</v>
      </c>
      <c r="I6542" s="33" t="s">
        <v>192</v>
      </c>
      <c r="J6542" s="33" t="s">
        <v>11109</v>
      </c>
      <c r="K6542" s="33" t="s">
        <v>1659</v>
      </c>
      <c r="L6542" s="33" t="s">
        <v>10675</v>
      </c>
      <c r="M6542" s="33" t="s">
        <v>21</v>
      </c>
      <c r="N6542" s="33" t="s">
        <v>11110</v>
      </c>
      <c r="O6542" s="33" t="s">
        <v>950</v>
      </c>
      <c r="P6542" s="33" t="s">
        <v>30089</v>
      </c>
      <c r="Q6542" s="40" t="s">
        <v>11111</v>
      </c>
      <c r="R6542" s="33" t="s">
        <v>94</v>
      </c>
      <c r="S6542" s="33" t="s">
        <v>351</v>
      </c>
      <c r="T6542" s="33" t="s">
        <v>26867</v>
      </c>
      <c r="Z6542" s="33" t="s">
        <v>42968</v>
      </c>
      <c r="AA6542" s="33">
        <v>1123</v>
      </c>
      <c r="AE6542" s="33"/>
    </row>
    <row r="6543" spans="1:31" ht="13.5" customHeight="1" x14ac:dyDescent="0.15">
      <c r="A6543" s="33" t="s">
        <v>11099</v>
      </c>
      <c r="B6543" s="33">
        <v>31</v>
      </c>
      <c r="C6543" s="33" t="s">
        <v>14</v>
      </c>
      <c r="D6543" s="33" t="s">
        <v>24</v>
      </c>
      <c r="F6543" s="67">
        <v>41643</v>
      </c>
      <c r="G6543" s="33" t="s">
        <v>11100</v>
      </c>
      <c r="H6543" s="33" t="s">
        <v>11101</v>
      </c>
      <c r="I6543" s="33" t="s">
        <v>75</v>
      </c>
      <c r="J6543" s="33" t="s">
        <v>11102</v>
      </c>
      <c r="K6543" s="33" t="s">
        <v>8605</v>
      </c>
      <c r="L6543" s="33" t="s">
        <v>11103</v>
      </c>
      <c r="M6543" s="33" t="s">
        <v>21</v>
      </c>
      <c r="N6543" s="33" t="s">
        <v>11104</v>
      </c>
      <c r="O6543" s="33" t="s">
        <v>950</v>
      </c>
      <c r="P6543" s="33" t="s">
        <v>30089</v>
      </c>
      <c r="Q6543" s="40" t="s">
        <v>11105</v>
      </c>
      <c r="R6543" s="33" t="s">
        <v>94</v>
      </c>
      <c r="S6543" s="33" t="s">
        <v>22</v>
      </c>
      <c r="T6543" s="1" t="s">
        <v>26774</v>
      </c>
      <c r="Z6543" s="33" t="s">
        <v>42966</v>
      </c>
      <c r="AA6543" s="33">
        <v>1118</v>
      </c>
    </row>
    <row r="6544" spans="1:31" ht="13.5" customHeight="1" x14ac:dyDescent="0.15">
      <c r="A6544" s="33" t="s">
        <v>11118</v>
      </c>
      <c r="B6544" s="33">
        <v>30</v>
      </c>
      <c r="C6544" s="33" t="s">
        <v>14</v>
      </c>
      <c r="D6544" s="33" t="s">
        <v>31</v>
      </c>
      <c r="F6544" s="67">
        <v>41643</v>
      </c>
      <c r="G6544" s="33" t="s">
        <v>11119</v>
      </c>
      <c r="H6544" s="33" t="s">
        <v>2278</v>
      </c>
      <c r="I6544" s="33" t="s">
        <v>160</v>
      </c>
      <c r="J6544" s="33" t="s">
        <v>2279</v>
      </c>
      <c r="K6544" s="33" t="s">
        <v>1239</v>
      </c>
      <c r="L6544" s="33" t="s">
        <v>1240</v>
      </c>
      <c r="M6544" s="33" t="s">
        <v>21</v>
      </c>
      <c r="N6544" s="33" t="s">
        <v>11120</v>
      </c>
      <c r="O6544" s="33" t="s">
        <v>950</v>
      </c>
      <c r="P6544" s="33" t="s">
        <v>30089</v>
      </c>
      <c r="Q6544" s="40" t="s">
        <v>11121</v>
      </c>
      <c r="R6544" s="33" t="s">
        <v>94</v>
      </c>
      <c r="S6544" s="33" t="s">
        <v>12</v>
      </c>
      <c r="T6544" s="1" t="s">
        <v>29705</v>
      </c>
      <c r="Z6544" s="33" t="s">
        <v>42968</v>
      </c>
      <c r="AA6544" s="33">
        <v>1121</v>
      </c>
    </row>
    <row r="6545" spans="1:27" ht="13.5" customHeight="1" x14ac:dyDescent="0.15">
      <c r="A6545" s="33" t="s">
        <v>11096</v>
      </c>
      <c r="B6545" s="33">
        <v>66</v>
      </c>
      <c r="C6545" s="33" t="s">
        <v>14</v>
      </c>
      <c r="D6545" s="33" t="s">
        <v>42</v>
      </c>
      <c r="F6545" s="67">
        <v>41643</v>
      </c>
      <c r="G6545" s="33" t="s">
        <v>11097</v>
      </c>
      <c r="H6545" s="33" t="s">
        <v>4307</v>
      </c>
      <c r="I6545" s="33" t="s">
        <v>192</v>
      </c>
      <c r="J6545" s="33" t="s">
        <v>10263</v>
      </c>
      <c r="K6545" s="33" t="s">
        <v>4307</v>
      </c>
      <c r="L6545" s="33" t="s">
        <v>4309</v>
      </c>
      <c r="M6545" s="33" t="s">
        <v>21</v>
      </c>
      <c r="N6545" s="33" t="s">
        <v>36840</v>
      </c>
      <c r="O6545" s="33" t="s">
        <v>507</v>
      </c>
      <c r="P6545" s="33" t="s">
        <v>30089</v>
      </c>
      <c r="Q6545" s="40" t="s">
        <v>11098</v>
      </c>
      <c r="R6545" s="33" t="s">
        <v>94</v>
      </c>
      <c r="S6545" s="33" t="s">
        <v>22</v>
      </c>
      <c r="T6545" s="1" t="s">
        <v>26781</v>
      </c>
      <c r="Z6545" s="33" t="s">
        <v>42968</v>
      </c>
      <c r="AA6545" s="33">
        <v>1117</v>
      </c>
    </row>
    <row r="6546" spans="1:27" ht="13.5" customHeight="1" x14ac:dyDescent="0.15">
      <c r="A6546" s="33" t="s">
        <v>11122</v>
      </c>
      <c r="B6546" s="33">
        <v>29</v>
      </c>
      <c r="C6546" s="33" t="s">
        <v>14</v>
      </c>
      <c r="D6546" s="33" t="s">
        <v>31</v>
      </c>
      <c r="E6546" s="33" t="s">
        <v>11123</v>
      </c>
      <c r="F6546" s="67">
        <v>41643</v>
      </c>
      <c r="G6546" s="33" t="s">
        <v>11124</v>
      </c>
      <c r="H6546" s="33" t="s">
        <v>8915</v>
      </c>
      <c r="I6546" s="33" t="s">
        <v>19</v>
      </c>
      <c r="J6546" s="33" t="s">
        <v>11125</v>
      </c>
      <c r="K6546" s="33" t="s">
        <v>1659</v>
      </c>
      <c r="L6546" s="33" t="s">
        <v>2258</v>
      </c>
      <c r="M6546" s="33" t="s">
        <v>21</v>
      </c>
      <c r="N6546" s="33" t="s">
        <v>11126</v>
      </c>
      <c r="O6546" s="33" t="s">
        <v>507</v>
      </c>
      <c r="P6546" s="33" t="s">
        <v>30089</v>
      </c>
      <c r="Q6546" s="40" t="s">
        <v>11127</v>
      </c>
      <c r="R6546" s="33" t="s">
        <v>512</v>
      </c>
      <c r="S6546" s="33" t="s">
        <v>22</v>
      </c>
      <c r="T6546" s="1" t="s">
        <v>26774</v>
      </c>
      <c r="Z6546" s="33" t="s">
        <v>42966</v>
      </c>
      <c r="AA6546" s="33">
        <v>1119</v>
      </c>
    </row>
    <row r="6547" spans="1:27" ht="13.5" customHeight="1" x14ac:dyDescent="0.15">
      <c r="A6547" s="33" t="s">
        <v>11112</v>
      </c>
      <c r="B6547" s="33">
        <v>49</v>
      </c>
      <c r="C6547" s="33" t="s">
        <v>14</v>
      </c>
      <c r="D6547" s="33" t="s">
        <v>31</v>
      </c>
      <c r="E6547" s="33" t="s">
        <v>11113</v>
      </c>
      <c r="F6547" s="67">
        <v>41643</v>
      </c>
      <c r="G6547" s="33" t="s">
        <v>11114</v>
      </c>
      <c r="H6547" s="33" t="s">
        <v>111</v>
      </c>
      <c r="I6547" s="33" t="s">
        <v>112</v>
      </c>
      <c r="J6547" s="33" t="s">
        <v>11115</v>
      </c>
      <c r="K6547" s="33" t="s">
        <v>113</v>
      </c>
      <c r="L6547" s="33" t="s">
        <v>9523</v>
      </c>
      <c r="M6547" s="33" t="s">
        <v>21</v>
      </c>
      <c r="N6547" s="33" t="s">
        <v>11116</v>
      </c>
      <c r="O6547" s="33" t="s">
        <v>372</v>
      </c>
      <c r="P6547" s="33" t="s">
        <v>30089</v>
      </c>
      <c r="Q6547" s="40" t="s">
        <v>11117</v>
      </c>
      <c r="R6547" s="33" t="s">
        <v>94</v>
      </c>
      <c r="S6547" s="33" t="s">
        <v>22</v>
      </c>
      <c r="T6547" s="1" t="s">
        <v>26593</v>
      </c>
      <c r="Z6547" s="33" t="s">
        <v>42968</v>
      </c>
      <c r="AA6547" s="33">
        <v>1120</v>
      </c>
    </row>
    <row r="6548" spans="1:27" ht="13.5" customHeight="1" x14ac:dyDescent="0.15">
      <c r="A6548" s="33" t="s">
        <v>11092</v>
      </c>
      <c r="B6548" s="33">
        <v>23</v>
      </c>
      <c r="C6548" s="33" t="s">
        <v>14</v>
      </c>
      <c r="D6548" s="33" t="s">
        <v>42</v>
      </c>
      <c r="E6548" s="33" t="s">
        <v>11093</v>
      </c>
      <c r="F6548" s="67">
        <v>41643</v>
      </c>
      <c r="G6548" s="33" t="s">
        <v>11094</v>
      </c>
      <c r="H6548" s="33" t="s">
        <v>5737</v>
      </c>
      <c r="I6548" s="33" t="s">
        <v>282</v>
      </c>
      <c r="J6548" s="33" t="s">
        <v>9554</v>
      </c>
      <c r="K6548" s="33" t="s">
        <v>5737</v>
      </c>
      <c r="L6548" s="33" t="s">
        <v>9555</v>
      </c>
      <c r="M6548" s="33" t="s">
        <v>21</v>
      </c>
      <c r="N6548" s="33" t="s">
        <v>36841</v>
      </c>
      <c r="O6548" s="33" t="s">
        <v>950</v>
      </c>
      <c r="P6548" s="33" t="s">
        <v>30089</v>
      </c>
      <c r="Q6548" s="40" t="s">
        <v>11095</v>
      </c>
      <c r="R6548" s="33" t="s">
        <v>94</v>
      </c>
      <c r="S6548" s="33" t="s">
        <v>29</v>
      </c>
      <c r="T6548" s="33" t="s">
        <v>41840</v>
      </c>
      <c r="Z6548" s="33" t="s">
        <v>42968</v>
      </c>
      <c r="AA6548" s="33">
        <v>1122</v>
      </c>
    </row>
    <row r="6549" spans="1:27" ht="13.5" customHeight="1" x14ac:dyDescent="0.15">
      <c r="A6549" s="33" t="s">
        <v>11128</v>
      </c>
      <c r="B6549" s="33">
        <v>21</v>
      </c>
      <c r="C6549" s="33" t="s">
        <v>14</v>
      </c>
      <c r="D6549" s="33" t="s">
        <v>79</v>
      </c>
      <c r="E6549" s="33" t="s">
        <v>11129</v>
      </c>
      <c r="F6549" s="67">
        <v>41642</v>
      </c>
      <c r="G6549" s="33" t="s">
        <v>11130</v>
      </c>
      <c r="H6549" s="33" t="s">
        <v>1027</v>
      </c>
      <c r="I6549" s="33" t="s">
        <v>367</v>
      </c>
      <c r="J6549" s="33" t="s">
        <v>11131</v>
      </c>
      <c r="K6549" s="33" t="s">
        <v>1028</v>
      </c>
      <c r="L6549" s="33" t="s">
        <v>1029</v>
      </c>
      <c r="M6549" s="33" t="s">
        <v>21</v>
      </c>
      <c r="N6549" s="33" t="s">
        <v>11132</v>
      </c>
      <c r="O6549" s="33" t="s">
        <v>950</v>
      </c>
      <c r="P6549" s="33" t="s">
        <v>30089</v>
      </c>
      <c r="Q6549" s="40" t="str">
        <f>HYPERLINK("http://newsok.com/police-release-name-of-man-killed-in-officer-involved-shooting/article/3920773","http://newsok.com/police-release-name-of-man-killed-in-officer-involved-shooting/article/3920773")</f>
        <v>http://newsok.com/police-release-name-of-man-killed-in-officer-involved-shooting/article/3920773</v>
      </c>
      <c r="R6549" s="33" t="s">
        <v>94</v>
      </c>
      <c r="S6549" s="33" t="s">
        <v>22</v>
      </c>
      <c r="T6549" s="1" t="s">
        <v>26781</v>
      </c>
      <c r="Z6549" s="33" t="s">
        <v>42968</v>
      </c>
      <c r="AA6549" s="33">
        <v>1113</v>
      </c>
    </row>
    <row r="6550" spans="1:27" ht="13.5" customHeight="1" x14ac:dyDescent="0.15">
      <c r="A6550" s="33" t="s">
        <v>11133</v>
      </c>
      <c r="B6550" s="33">
        <v>35</v>
      </c>
      <c r="C6550" s="33" t="s">
        <v>14</v>
      </c>
      <c r="D6550" s="33" t="s">
        <v>42</v>
      </c>
      <c r="E6550" s="33" t="s">
        <v>11134</v>
      </c>
      <c r="F6550" s="67">
        <v>41642</v>
      </c>
      <c r="G6550" s="33" t="s">
        <v>11135</v>
      </c>
      <c r="H6550" s="33" t="s">
        <v>11136</v>
      </c>
      <c r="I6550" s="33" t="s">
        <v>192</v>
      </c>
      <c r="J6550" s="33" t="s">
        <v>11137</v>
      </c>
      <c r="K6550" s="33" t="s">
        <v>1790</v>
      </c>
      <c r="L6550" s="33" t="s">
        <v>11138</v>
      </c>
      <c r="M6550" s="33" t="s">
        <v>21</v>
      </c>
      <c r="N6550" s="33" t="s">
        <v>11139</v>
      </c>
      <c r="O6550" s="33" t="s">
        <v>507</v>
      </c>
      <c r="P6550" s="33" t="s">
        <v>30089</v>
      </c>
      <c r="Q6550" s="40" t="s">
        <v>11140</v>
      </c>
      <c r="R6550" s="33" t="s">
        <v>904</v>
      </c>
      <c r="S6550" s="33" t="s">
        <v>22</v>
      </c>
      <c r="T6550" s="1" t="s">
        <v>26781</v>
      </c>
      <c r="Z6550" s="33" t="s">
        <v>42968</v>
      </c>
      <c r="AA6550" s="33">
        <v>1114</v>
      </c>
    </row>
    <row r="6551" spans="1:27" ht="15" customHeight="1" x14ac:dyDescent="0.15">
      <c r="A6551" s="33" t="s">
        <v>11149</v>
      </c>
      <c r="B6551" s="33">
        <v>47</v>
      </c>
      <c r="C6551" s="33" t="s">
        <v>14</v>
      </c>
      <c r="D6551" s="33" t="s">
        <v>31</v>
      </c>
      <c r="F6551" s="67">
        <v>41642</v>
      </c>
      <c r="G6551" s="33" t="s">
        <v>11150</v>
      </c>
      <c r="H6551" s="33" t="s">
        <v>1202</v>
      </c>
      <c r="I6551" s="33" t="s">
        <v>63</v>
      </c>
      <c r="J6551" s="33" t="s">
        <v>11151</v>
      </c>
      <c r="K6551" s="33" t="s">
        <v>1203</v>
      </c>
      <c r="L6551" s="33" t="s">
        <v>11441</v>
      </c>
      <c r="M6551" s="33" t="s">
        <v>21</v>
      </c>
      <c r="N6551" s="33" t="s">
        <v>11152</v>
      </c>
      <c r="O6551" s="33" t="s">
        <v>950</v>
      </c>
      <c r="P6551" s="33" t="s">
        <v>30089</v>
      </c>
      <c r="Q6551" s="40" t="s">
        <v>11153</v>
      </c>
      <c r="R6551" s="33" t="s">
        <v>512</v>
      </c>
      <c r="S6551" s="33" t="s">
        <v>22</v>
      </c>
      <c r="T6551" s="1" t="s">
        <v>26774</v>
      </c>
      <c r="Z6551" s="33" t="s">
        <v>42968</v>
      </c>
      <c r="AA6551" s="33">
        <v>1116</v>
      </c>
    </row>
    <row r="6552" spans="1:27" ht="15" customHeight="1" x14ac:dyDescent="0.15">
      <c r="A6552" s="33" t="s">
        <v>11141</v>
      </c>
      <c r="B6552" s="33">
        <v>25</v>
      </c>
      <c r="C6552" s="33" t="s">
        <v>14</v>
      </c>
      <c r="D6552" s="33" t="s">
        <v>31</v>
      </c>
      <c r="E6552" s="33" t="s">
        <v>11142</v>
      </c>
      <c r="F6552" s="67">
        <v>41642</v>
      </c>
      <c r="G6552" s="33" t="s">
        <v>11143</v>
      </c>
      <c r="H6552" s="33" t="s">
        <v>11144</v>
      </c>
      <c r="I6552" s="33" t="s">
        <v>67</v>
      </c>
      <c r="J6552" s="33" t="s">
        <v>11145</v>
      </c>
      <c r="K6552" s="33" t="s">
        <v>68</v>
      </c>
      <c r="L6552" s="33" t="s">
        <v>11146</v>
      </c>
      <c r="M6552" s="33" t="s">
        <v>21</v>
      </c>
      <c r="N6552" s="33" t="s">
        <v>11147</v>
      </c>
      <c r="O6552" s="33" t="s">
        <v>507</v>
      </c>
      <c r="P6552" s="33" t="s">
        <v>30089</v>
      </c>
      <c r="Q6552" s="40" t="s">
        <v>11148</v>
      </c>
      <c r="R6552" s="33" t="s">
        <v>94</v>
      </c>
      <c r="S6552" s="33" t="s">
        <v>22</v>
      </c>
      <c r="T6552" s="1" t="s">
        <v>26774</v>
      </c>
      <c r="Z6552" s="33" t="s">
        <v>42968</v>
      </c>
      <c r="AA6552" s="33">
        <v>1115</v>
      </c>
    </row>
    <row r="6553" spans="1:27" ht="15" customHeight="1" x14ac:dyDescent="0.15">
      <c r="A6553" s="33" t="s">
        <v>11154</v>
      </c>
      <c r="B6553" s="33">
        <v>30</v>
      </c>
      <c r="C6553" s="33" t="s">
        <v>14</v>
      </c>
      <c r="D6553" s="33" t="s">
        <v>31</v>
      </c>
      <c r="F6553" s="67">
        <v>41642</v>
      </c>
      <c r="G6553" s="33" t="s">
        <v>11155</v>
      </c>
      <c r="H6553" s="33" t="s">
        <v>11156</v>
      </c>
      <c r="I6553" s="33" t="s">
        <v>282</v>
      </c>
      <c r="J6553" s="33" t="s">
        <v>11157</v>
      </c>
      <c r="K6553" s="33" t="s">
        <v>5737</v>
      </c>
      <c r="L6553" s="33" t="s">
        <v>43034</v>
      </c>
      <c r="M6553" s="33" t="s">
        <v>21</v>
      </c>
      <c r="N6553" s="33" t="s">
        <v>11158</v>
      </c>
      <c r="O6553" s="33" t="s">
        <v>950</v>
      </c>
      <c r="P6553" s="33" t="s">
        <v>30089</v>
      </c>
      <c r="Q6553" s="40" t="s">
        <v>11159</v>
      </c>
      <c r="R6553" s="33" t="s">
        <v>904</v>
      </c>
      <c r="S6553" s="33" t="s">
        <v>22</v>
      </c>
      <c r="T6553" s="1" t="s">
        <v>26781</v>
      </c>
      <c r="Z6553" s="33" t="s">
        <v>42968</v>
      </c>
      <c r="AA6553" s="33">
        <v>1112</v>
      </c>
    </row>
    <row r="6554" spans="1:27" ht="15" customHeight="1" x14ac:dyDescent="0.15">
      <c r="A6554" s="33" t="s">
        <v>11168</v>
      </c>
      <c r="B6554" s="33">
        <v>47</v>
      </c>
      <c r="C6554" s="33" t="s">
        <v>14</v>
      </c>
      <c r="D6554" s="33" t="s">
        <v>31</v>
      </c>
      <c r="E6554" s="33" t="s">
        <v>11169</v>
      </c>
      <c r="F6554" s="67">
        <v>41641</v>
      </c>
      <c r="G6554" s="33" t="s">
        <v>11170</v>
      </c>
      <c r="H6554" s="33" t="s">
        <v>266</v>
      </c>
      <c r="I6554" s="33" t="s">
        <v>67</v>
      </c>
      <c r="J6554" s="33" t="s">
        <v>11171</v>
      </c>
      <c r="K6554" s="33" t="s">
        <v>266</v>
      </c>
      <c r="L6554" s="33" t="s">
        <v>267</v>
      </c>
      <c r="M6554" s="33" t="s">
        <v>21</v>
      </c>
      <c r="N6554" s="33" t="s">
        <v>11172</v>
      </c>
      <c r="O6554" s="33" t="s">
        <v>507</v>
      </c>
      <c r="P6554" s="33" t="s">
        <v>30089</v>
      </c>
      <c r="Q6554" s="40" t="s">
        <v>11173</v>
      </c>
      <c r="R6554" s="33" t="s">
        <v>904</v>
      </c>
      <c r="S6554" s="33" t="s">
        <v>22</v>
      </c>
      <c r="T6554" s="1" t="s">
        <v>26781</v>
      </c>
      <c r="Z6554" s="33" t="s">
        <v>42966</v>
      </c>
      <c r="AA6554" s="33">
        <v>1110</v>
      </c>
    </row>
    <row r="6555" spans="1:27" ht="15" customHeight="1" x14ac:dyDescent="0.15">
      <c r="A6555" s="33" t="s">
        <v>11174</v>
      </c>
      <c r="B6555" s="33">
        <v>35</v>
      </c>
      <c r="C6555" s="33" t="s">
        <v>14</v>
      </c>
      <c r="D6555" s="33" t="s">
        <v>31</v>
      </c>
      <c r="F6555" s="67">
        <v>41641</v>
      </c>
      <c r="G6555" s="33" t="s">
        <v>11175</v>
      </c>
      <c r="H6555" s="33" t="s">
        <v>11176</v>
      </c>
      <c r="I6555" s="33" t="s">
        <v>67</v>
      </c>
      <c r="J6555" s="33" t="s">
        <v>11177</v>
      </c>
      <c r="K6555" s="33" t="s">
        <v>11178</v>
      </c>
      <c r="L6555" s="33" t="s">
        <v>4359</v>
      </c>
      <c r="M6555" s="33" t="s">
        <v>21</v>
      </c>
      <c r="N6555" s="33" t="s">
        <v>11179</v>
      </c>
      <c r="O6555" s="33" t="s">
        <v>26759</v>
      </c>
      <c r="P6555" s="33" t="s">
        <v>26764</v>
      </c>
      <c r="Q6555" s="40" t="s">
        <v>11180</v>
      </c>
      <c r="R6555" s="33" t="s">
        <v>94</v>
      </c>
      <c r="S6555" s="33" t="s">
        <v>12</v>
      </c>
      <c r="T6555" s="54" t="s">
        <v>29705</v>
      </c>
      <c r="Y6555" s="33" t="s">
        <v>42476</v>
      </c>
      <c r="Z6555" s="33" t="s">
        <v>42967</v>
      </c>
      <c r="AA6555" s="33">
        <v>1111</v>
      </c>
    </row>
    <row r="6556" spans="1:27" ht="15" customHeight="1" x14ac:dyDescent="0.15">
      <c r="A6556" s="33" t="s">
        <v>11160</v>
      </c>
      <c r="B6556" s="33">
        <v>33</v>
      </c>
      <c r="C6556" s="33" t="s">
        <v>14</v>
      </c>
      <c r="D6556" s="33" t="s">
        <v>79</v>
      </c>
      <c r="E6556" s="33" t="s">
        <v>11161</v>
      </c>
      <c r="F6556" s="67">
        <v>41641</v>
      </c>
      <c r="G6556" s="33" t="s">
        <v>11162</v>
      </c>
      <c r="H6556" s="33" t="s">
        <v>11163</v>
      </c>
      <c r="I6556" s="33" t="s">
        <v>56</v>
      </c>
      <c r="J6556" s="33" t="s">
        <v>11164</v>
      </c>
      <c r="K6556" s="33" t="s">
        <v>11165</v>
      </c>
      <c r="L6556" s="33" t="s">
        <v>11166</v>
      </c>
      <c r="M6556" s="33" t="s">
        <v>21</v>
      </c>
      <c r="N6556" s="33" t="s">
        <v>11167</v>
      </c>
      <c r="O6556" s="33" t="s">
        <v>507</v>
      </c>
      <c r="P6556" s="33" t="s">
        <v>30089</v>
      </c>
      <c r="Q6556" s="40" t="str">
        <f>HYPERLINK("http://www.nwfdailynews.com/local/suspect-killed-officers-shot-in-crestview-incident-1.257150","http://www.nwfdailynews.com/local/suspect-killed-officers-shot-in-crestview-incident-1.257150")</f>
        <v>http://www.nwfdailynews.com/local/suspect-killed-officers-shot-in-crestview-incident-1.257150</v>
      </c>
      <c r="R6556" s="33" t="s">
        <v>94</v>
      </c>
      <c r="S6556" s="33" t="s">
        <v>22</v>
      </c>
      <c r="T6556" s="1" t="s">
        <v>26781</v>
      </c>
      <c r="Z6556" s="33" t="s">
        <v>42966</v>
      </c>
      <c r="AA6556" s="33">
        <v>1109</v>
      </c>
    </row>
    <row r="6557" spans="1:27" ht="15" customHeight="1" x14ac:dyDescent="0.15">
      <c r="A6557" s="33" t="s">
        <v>11181</v>
      </c>
      <c r="B6557" s="33">
        <v>20</v>
      </c>
      <c r="C6557" s="33" t="s">
        <v>14</v>
      </c>
      <c r="D6557" s="33" t="s">
        <v>79</v>
      </c>
      <c r="E6557" s="33" t="s">
        <v>11182</v>
      </c>
      <c r="F6557" s="67">
        <v>41640</v>
      </c>
      <c r="G6557" s="33" t="s">
        <v>11183</v>
      </c>
      <c r="H6557" s="33" t="s">
        <v>11184</v>
      </c>
      <c r="I6557" s="33" t="s">
        <v>51</v>
      </c>
      <c r="J6557" s="33" t="s">
        <v>11185</v>
      </c>
      <c r="K6557" s="33" t="s">
        <v>1057</v>
      </c>
      <c r="L6557" s="33" t="s">
        <v>11186</v>
      </c>
      <c r="M6557" s="33" t="s">
        <v>21</v>
      </c>
      <c r="N6557" s="33" t="s">
        <v>11187</v>
      </c>
      <c r="O6557" s="33" t="s">
        <v>950</v>
      </c>
      <c r="P6557" s="33" t="s">
        <v>30089</v>
      </c>
      <c r="Q6557" s="40" t="s">
        <v>11188</v>
      </c>
      <c r="R6557" s="33" t="s">
        <v>94</v>
      </c>
      <c r="S6557" s="33" t="s">
        <v>29</v>
      </c>
      <c r="T6557" s="33" t="s">
        <v>41840</v>
      </c>
      <c r="Z6557" s="33" t="s">
        <v>42968</v>
      </c>
      <c r="AA6557" s="33">
        <v>1108</v>
      </c>
    </row>
    <row r="6558" spans="1:27" ht="15" customHeight="1" x14ac:dyDescent="0.15">
      <c r="A6558" s="33" t="s">
        <v>11189</v>
      </c>
      <c r="B6558" s="33">
        <v>33</v>
      </c>
      <c r="C6558" s="33" t="s">
        <v>14</v>
      </c>
      <c r="D6558" s="33" t="s">
        <v>31</v>
      </c>
      <c r="F6558" s="67">
        <v>41640</v>
      </c>
      <c r="G6558" s="33" t="s">
        <v>11190</v>
      </c>
      <c r="H6558" s="33" t="s">
        <v>8085</v>
      </c>
      <c r="I6558" s="33" t="s">
        <v>367</v>
      </c>
      <c r="J6558" s="33" t="s">
        <v>11191</v>
      </c>
      <c r="K6558" s="33" t="s">
        <v>11192</v>
      </c>
      <c r="L6558" s="33" t="s">
        <v>16415</v>
      </c>
      <c r="M6558" s="33" t="s">
        <v>21</v>
      </c>
      <c r="N6558" s="33" t="s">
        <v>11193</v>
      </c>
      <c r="O6558" s="33" t="s">
        <v>23</v>
      </c>
      <c r="P6558" s="33" t="s">
        <v>30089</v>
      </c>
      <c r="Q6558" s="40" t="s">
        <v>11194</v>
      </c>
      <c r="R6558" s="33" t="s">
        <v>94</v>
      </c>
      <c r="S6558" s="33" t="s">
        <v>22</v>
      </c>
      <c r="T6558" s="1" t="s">
        <v>26781</v>
      </c>
      <c r="Z6558" s="33" t="s">
        <v>42967</v>
      </c>
      <c r="AA6558" s="33">
        <v>1107</v>
      </c>
    </row>
    <row r="6559" spans="1:27" ht="12" customHeight="1" x14ac:dyDescent="0.15">
      <c r="A6559" s="33" t="s">
        <v>11200</v>
      </c>
      <c r="B6559" s="103">
        <v>20</v>
      </c>
      <c r="C6559" s="33" t="s">
        <v>14</v>
      </c>
      <c r="D6559" s="33" t="s">
        <v>79</v>
      </c>
      <c r="F6559" s="67">
        <v>41639</v>
      </c>
      <c r="G6559" s="33" t="s">
        <v>11201</v>
      </c>
      <c r="H6559" s="33" t="s">
        <v>728</v>
      </c>
      <c r="I6559" s="33" t="s">
        <v>39</v>
      </c>
      <c r="J6559" s="33" t="s">
        <v>11202</v>
      </c>
      <c r="K6559" s="33" t="s">
        <v>728</v>
      </c>
      <c r="L6559" s="33" t="s">
        <v>5461</v>
      </c>
      <c r="M6559" s="33" t="s">
        <v>21</v>
      </c>
      <c r="N6559" s="33" t="s">
        <v>11203</v>
      </c>
      <c r="O6559" s="33" t="s">
        <v>23</v>
      </c>
      <c r="P6559" s="33" t="s">
        <v>30089</v>
      </c>
      <c r="Q6559" s="40" t="s">
        <v>11204</v>
      </c>
      <c r="R6559" s="33" t="s">
        <v>94</v>
      </c>
      <c r="S6559" s="33" t="s">
        <v>22</v>
      </c>
      <c r="T6559" s="1" t="s">
        <v>26781</v>
      </c>
      <c r="Z6559" s="33" t="s">
        <v>42968</v>
      </c>
      <c r="AA6559" s="33">
        <v>1105</v>
      </c>
    </row>
    <row r="6560" spans="1:27" ht="12" customHeight="1" x14ac:dyDescent="0.15">
      <c r="A6560" s="33" t="s">
        <v>11195</v>
      </c>
      <c r="B6560" s="33">
        <v>34</v>
      </c>
      <c r="C6560" s="33" t="s">
        <v>14</v>
      </c>
      <c r="D6560" s="33" t="s">
        <v>79</v>
      </c>
      <c r="E6560" s="33" t="s">
        <v>11196</v>
      </c>
      <c r="F6560" s="67">
        <v>41639</v>
      </c>
      <c r="G6560" s="33" t="s">
        <v>11197</v>
      </c>
      <c r="H6560" s="33" t="s">
        <v>1194</v>
      </c>
      <c r="I6560" s="33" t="s">
        <v>338</v>
      </c>
      <c r="J6560" s="33" t="s">
        <v>11198</v>
      </c>
      <c r="K6560" s="33" t="s">
        <v>1203</v>
      </c>
      <c r="L6560" s="33" t="s">
        <v>1204</v>
      </c>
      <c r="M6560" s="33" t="s">
        <v>21</v>
      </c>
      <c r="N6560" s="33" t="s">
        <v>11199</v>
      </c>
      <c r="O6560" s="33" t="s">
        <v>950</v>
      </c>
      <c r="P6560" s="33" t="s">
        <v>30089</v>
      </c>
      <c r="Q6560" s="40" t="str">
        <f>HYPERLINK("http://www.wilsontimes.com/News/Feature/Story/28048226---Deputies--Man-fatally-shot-after-killing-2","http://www.wilsontimes.com/News/Feature/Story/28048226---Deputies--Man-fatally-shot-after-killing-2")</f>
        <v>http://www.wilsontimes.com/News/Feature/Story/28048226---Deputies--Man-fatally-shot-after-killing-2</v>
      </c>
      <c r="R6560" s="33" t="s">
        <v>23</v>
      </c>
      <c r="S6560" s="33" t="s">
        <v>351</v>
      </c>
      <c r="T6560" s="1" t="s">
        <v>26867</v>
      </c>
      <c r="Z6560" s="33" t="s">
        <v>42967</v>
      </c>
      <c r="AA6560" s="33">
        <v>1106</v>
      </c>
    </row>
    <row r="6561" spans="1:27" ht="12" customHeight="1" x14ac:dyDescent="0.15">
      <c r="A6561" s="33" t="s">
        <v>11205</v>
      </c>
      <c r="B6561" s="33">
        <v>54</v>
      </c>
      <c r="C6561" s="33" t="s">
        <v>14</v>
      </c>
      <c r="D6561" s="33" t="s">
        <v>24</v>
      </c>
      <c r="F6561" s="67">
        <v>41638</v>
      </c>
      <c r="G6561" s="33" t="s">
        <v>11206</v>
      </c>
      <c r="H6561" s="33" t="s">
        <v>11207</v>
      </c>
      <c r="I6561" s="33" t="s">
        <v>282</v>
      </c>
      <c r="J6561" s="33" t="s">
        <v>11208</v>
      </c>
      <c r="K6561" s="33" t="s">
        <v>369</v>
      </c>
      <c r="L6561" s="33" t="s">
        <v>11209</v>
      </c>
      <c r="M6561" s="33" t="s">
        <v>21</v>
      </c>
      <c r="N6561" s="33" t="s">
        <v>11210</v>
      </c>
      <c r="O6561" s="33" t="s">
        <v>950</v>
      </c>
      <c r="P6561" s="33" t="s">
        <v>30089</v>
      </c>
      <c r="Q6561" s="40" t="s">
        <v>11211</v>
      </c>
      <c r="R6561" s="33" t="s">
        <v>23</v>
      </c>
      <c r="S6561" s="33" t="s">
        <v>22</v>
      </c>
      <c r="T6561" s="1" t="s">
        <v>26774</v>
      </c>
      <c r="Z6561" s="33" t="s">
        <v>42968</v>
      </c>
      <c r="AA6561" s="33">
        <v>1104</v>
      </c>
    </row>
    <row r="6562" spans="1:27" ht="12" customHeight="1" x14ac:dyDescent="0.15">
      <c r="A6562" s="33" t="s">
        <v>11215</v>
      </c>
      <c r="B6562" s="33">
        <v>43</v>
      </c>
      <c r="C6562" s="33" t="s">
        <v>14</v>
      </c>
      <c r="D6562" s="33" t="s">
        <v>79</v>
      </c>
      <c r="E6562" s="33" t="s">
        <v>11216</v>
      </c>
      <c r="F6562" s="67">
        <v>41637</v>
      </c>
      <c r="G6562" s="33" t="s">
        <v>11217</v>
      </c>
      <c r="H6562" s="33" t="s">
        <v>11218</v>
      </c>
      <c r="I6562" s="33" t="s">
        <v>376</v>
      </c>
      <c r="J6562" s="33" t="s">
        <v>11219</v>
      </c>
      <c r="K6562" s="33" t="s">
        <v>4183</v>
      </c>
      <c r="L6562" s="33" t="s">
        <v>11220</v>
      </c>
      <c r="M6562" s="33" t="s">
        <v>21</v>
      </c>
      <c r="N6562" s="33" t="s">
        <v>11221</v>
      </c>
      <c r="O6562" s="33" t="s">
        <v>950</v>
      </c>
      <c r="P6562" s="33" t="s">
        <v>30089</v>
      </c>
      <c r="Q6562" s="40" t="s">
        <v>11222</v>
      </c>
      <c r="R6562" s="33" t="s">
        <v>94</v>
      </c>
      <c r="S6562" s="33" t="s">
        <v>351</v>
      </c>
      <c r="T6562" s="1" t="s">
        <v>42983</v>
      </c>
      <c r="Z6562" s="33" t="s">
        <v>42968</v>
      </c>
      <c r="AA6562" s="33">
        <v>1103</v>
      </c>
    </row>
    <row r="6563" spans="1:27" ht="12" customHeight="1" x14ac:dyDescent="0.15">
      <c r="A6563" s="33" t="s">
        <v>11242</v>
      </c>
      <c r="B6563" s="33">
        <v>51</v>
      </c>
      <c r="C6563" s="33" t="s">
        <v>14</v>
      </c>
      <c r="D6563" s="33" t="s">
        <v>31</v>
      </c>
      <c r="E6563" s="33" t="s">
        <v>11243</v>
      </c>
      <c r="F6563" s="67">
        <v>41637</v>
      </c>
      <c r="G6563" s="33" t="s">
        <v>11244</v>
      </c>
      <c r="H6563" s="33" t="s">
        <v>11245</v>
      </c>
      <c r="I6563" s="33" t="s">
        <v>338</v>
      </c>
      <c r="J6563" s="33" t="s">
        <v>11246</v>
      </c>
      <c r="K6563" s="33" t="s">
        <v>11247</v>
      </c>
      <c r="L6563" s="33" t="s">
        <v>36477</v>
      </c>
      <c r="M6563" s="33" t="s">
        <v>21</v>
      </c>
      <c r="N6563" s="33" t="s">
        <v>11248</v>
      </c>
      <c r="O6563" s="33" t="s">
        <v>950</v>
      </c>
      <c r="P6563" s="33" t="s">
        <v>30089</v>
      </c>
      <c r="Q6563" s="40" t="s">
        <v>11249</v>
      </c>
      <c r="R6563" s="33" t="s">
        <v>94</v>
      </c>
      <c r="S6563" s="33" t="s">
        <v>22</v>
      </c>
      <c r="T6563" s="1" t="s">
        <v>26781</v>
      </c>
      <c r="Z6563" s="33" t="s">
        <v>42967</v>
      </c>
      <c r="AA6563" s="33">
        <v>1099</v>
      </c>
    </row>
    <row r="6564" spans="1:27" ht="12" customHeight="1" x14ac:dyDescent="0.15">
      <c r="A6564" s="33" t="s">
        <v>11223</v>
      </c>
      <c r="B6564" s="33">
        <v>34</v>
      </c>
      <c r="C6564" s="33" t="s">
        <v>14</v>
      </c>
      <c r="D6564" s="33" t="s">
        <v>79</v>
      </c>
      <c r="E6564" s="33" t="s">
        <v>11224</v>
      </c>
      <c r="F6564" s="67">
        <v>41637</v>
      </c>
      <c r="G6564" s="33" t="s">
        <v>11225</v>
      </c>
      <c r="H6564" s="33" t="s">
        <v>11226</v>
      </c>
      <c r="I6564" s="33" t="s">
        <v>19</v>
      </c>
      <c r="J6564" s="33" t="s">
        <v>11227</v>
      </c>
      <c r="K6564" s="33" t="s">
        <v>11228</v>
      </c>
      <c r="L6564" s="33" t="s">
        <v>11229</v>
      </c>
      <c r="M6564" s="33" t="s">
        <v>21</v>
      </c>
      <c r="N6564" s="33" t="s">
        <v>11230</v>
      </c>
      <c r="O6564" s="33" t="s">
        <v>27768</v>
      </c>
      <c r="P6564" s="33" t="s">
        <v>1084</v>
      </c>
      <c r="Q6564" s="40" t="s">
        <v>11231</v>
      </c>
      <c r="R6564" s="33" t="s">
        <v>94</v>
      </c>
      <c r="S6564" s="33" t="s">
        <v>12</v>
      </c>
      <c r="T6564" s="54" t="s">
        <v>29705</v>
      </c>
      <c r="Y6564" s="33" t="s">
        <v>42476</v>
      </c>
      <c r="Z6564" s="33" t="s">
        <v>42967</v>
      </c>
      <c r="AA6564" s="33">
        <v>1102</v>
      </c>
    </row>
    <row r="6565" spans="1:27" ht="12" customHeight="1" x14ac:dyDescent="0.15">
      <c r="A6565" s="33" t="s">
        <v>11212</v>
      </c>
      <c r="B6565" s="33">
        <v>45</v>
      </c>
      <c r="C6565" s="33" t="s">
        <v>14</v>
      </c>
      <c r="D6565" s="33" t="s">
        <v>15</v>
      </c>
      <c r="F6565" s="67">
        <v>41637</v>
      </c>
      <c r="G6565" s="33" t="s">
        <v>22176</v>
      </c>
      <c r="H6565" s="33" t="s">
        <v>631</v>
      </c>
      <c r="I6565" s="33" t="s">
        <v>39</v>
      </c>
      <c r="J6565" s="33" t="s">
        <v>7369</v>
      </c>
      <c r="K6565" s="33" t="s">
        <v>632</v>
      </c>
      <c r="L6565" s="33" t="s">
        <v>633</v>
      </c>
      <c r="M6565" s="33" t="s">
        <v>21</v>
      </c>
      <c r="N6565" s="33" t="s">
        <v>11213</v>
      </c>
      <c r="O6565" s="33" t="s">
        <v>950</v>
      </c>
      <c r="P6565" s="33" t="s">
        <v>30089</v>
      </c>
      <c r="Q6565" s="40" t="s">
        <v>11214</v>
      </c>
      <c r="R6565" s="33" t="s">
        <v>23</v>
      </c>
      <c r="S6565" s="33" t="s">
        <v>22</v>
      </c>
      <c r="T6565" s="1" t="s">
        <v>26781</v>
      </c>
      <c r="Z6565" s="33" t="s">
        <v>42968</v>
      </c>
      <c r="AA6565" s="33">
        <v>1096</v>
      </c>
    </row>
    <row r="6566" spans="1:27" ht="12" customHeight="1" x14ac:dyDescent="0.15">
      <c r="A6566" s="33" t="s">
        <v>11237</v>
      </c>
      <c r="B6566" s="33">
        <v>30</v>
      </c>
      <c r="C6566" s="33" t="s">
        <v>14</v>
      </c>
      <c r="D6566" s="33" t="s">
        <v>24</v>
      </c>
      <c r="F6566" s="67">
        <v>41637</v>
      </c>
      <c r="G6566" s="33" t="s">
        <v>11238</v>
      </c>
      <c r="H6566" s="33" t="s">
        <v>615</v>
      </c>
      <c r="I6566" s="33" t="s">
        <v>63</v>
      </c>
      <c r="J6566" s="33" t="s">
        <v>11239</v>
      </c>
      <c r="K6566" s="33" t="s">
        <v>196</v>
      </c>
      <c r="L6566" s="33" t="s">
        <v>617</v>
      </c>
      <c r="M6566" s="33" t="s">
        <v>21</v>
      </c>
      <c r="N6566" s="33" t="s">
        <v>11240</v>
      </c>
      <c r="O6566" s="33" t="s">
        <v>950</v>
      </c>
      <c r="P6566" s="33" t="s">
        <v>30089</v>
      </c>
      <c r="Q6566" s="40" t="s">
        <v>11241</v>
      </c>
      <c r="R6566" s="33" t="s">
        <v>94</v>
      </c>
      <c r="S6566" s="33" t="s">
        <v>22</v>
      </c>
      <c r="T6566" s="1" t="s">
        <v>26781</v>
      </c>
      <c r="Z6566" s="33" t="s">
        <v>42968</v>
      </c>
      <c r="AA6566" s="33">
        <v>1097</v>
      </c>
    </row>
    <row r="6567" spans="1:27" ht="12" customHeight="1" x14ac:dyDescent="0.15">
      <c r="A6567" s="33" t="s">
        <v>11250</v>
      </c>
      <c r="B6567" s="33">
        <v>44</v>
      </c>
      <c r="C6567" s="33" t="s">
        <v>14</v>
      </c>
      <c r="D6567" s="33" t="s">
        <v>31</v>
      </c>
      <c r="E6567" s="33" t="s">
        <v>11251</v>
      </c>
      <c r="F6567" s="67">
        <v>41637</v>
      </c>
      <c r="G6567" s="33" t="s">
        <v>11252</v>
      </c>
      <c r="H6567" s="33" t="s">
        <v>11253</v>
      </c>
      <c r="I6567" s="33" t="s">
        <v>192</v>
      </c>
      <c r="J6567" s="33" t="s">
        <v>11254</v>
      </c>
      <c r="K6567" s="33" t="s">
        <v>936</v>
      </c>
      <c r="L6567" s="33" t="s">
        <v>2485</v>
      </c>
      <c r="M6567" s="33" t="s">
        <v>21</v>
      </c>
      <c r="N6567" s="33" t="s">
        <v>11255</v>
      </c>
      <c r="O6567" s="33" t="s">
        <v>950</v>
      </c>
      <c r="P6567" s="33" t="s">
        <v>30089</v>
      </c>
      <c r="Q6567" s="40" t="s">
        <v>11256</v>
      </c>
      <c r="R6567" s="33" t="s">
        <v>23</v>
      </c>
      <c r="S6567" s="33" t="s">
        <v>22</v>
      </c>
      <c r="T6567" s="1" t="s">
        <v>26781</v>
      </c>
      <c r="Z6567" s="33" t="s">
        <v>42968</v>
      </c>
      <c r="AA6567" s="33">
        <v>1098</v>
      </c>
    </row>
    <row r="6568" spans="1:27" ht="12" customHeight="1" x14ac:dyDescent="0.15">
      <c r="A6568" s="33" t="s">
        <v>11232</v>
      </c>
      <c r="B6568" s="33">
        <v>22</v>
      </c>
      <c r="C6568" s="33" t="s">
        <v>14</v>
      </c>
      <c r="D6568" s="33" t="s">
        <v>24</v>
      </c>
      <c r="F6568" s="67">
        <v>41637</v>
      </c>
      <c r="G6568" s="33" t="s">
        <v>11233</v>
      </c>
      <c r="H6568" s="33" t="s">
        <v>10620</v>
      </c>
      <c r="I6568" s="33" t="s">
        <v>19</v>
      </c>
      <c r="J6568" s="33" t="s">
        <v>10621</v>
      </c>
      <c r="K6568" s="33" t="s">
        <v>2159</v>
      </c>
      <c r="L6568" s="33" t="s">
        <v>11234</v>
      </c>
      <c r="M6568" s="33" t="s">
        <v>21</v>
      </c>
      <c r="N6568" s="33" t="s">
        <v>11235</v>
      </c>
      <c r="O6568" s="33" t="s">
        <v>950</v>
      </c>
      <c r="P6568" s="33" t="s">
        <v>30089</v>
      </c>
      <c r="Q6568" s="40" t="s">
        <v>11236</v>
      </c>
      <c r="R6568" s="33" t="s">
        <v>23</v>
      </c>
      <c r="S6568" s="33" t="s">
        <v>12</v>
      </c>
      <c r="T6568" s="54" t="s">
        <v>29425</v>
      </c>
      <c r="Z6568" s="33" t="s">
        <v>42968</v>
      </c>
      <c r="AA6568" s="33">
        <v>1101</v>
      </c>
    </row>
    <row r="6569" spans="1:27" ht="12" customHeight="1" x14ac:dyDescent="0.15">
      <c r="A6569" s="33" t="s">
        <v>11257</v>
      </c>
      <c r="B6569" s="33">
        <v>31</v>
      </c>
      <c r="C6569" s="33" t="s">
        <v>103</v>
      </c>
      <c r="D6569" s="33" t="s">
        <v>31</v>
      </c>
      <c r="F6569" s="67">
        <v>41637</v>
      </c>
      <c r="G6569" s="33" t="s">
        <v>22177</v>
      </c>
      <c r="H6569" s="33" t="s">
        <v>11258</v>
      </c>
      <c r="I6569" s="33" t="s">
        <v>39</v>
      </c>
      <c r="J6569" s="33" t="s">
        <v>11259</v>
      </c>
      <c r="K6569" s="33" t="s">
        <v>632</v>
      </c>
      <c r="L6569" s="33" t="s">
        <v>693</v>
      </c>
      <c r="M6569" s="33" t="s">
        <v>21</v>
      </c>
      <c r="N6569" s="33" t="s">
        <v>36842</v>
      </c>
      <c r="O6569" s="33" t="s">
        <v>950</v>
      </c>
      <c r="P6569" s="33" t="s">
        <v>30089</v>
      </c>
      <c r="Q6569" s="40" t="s">
        <v>11260</v>
      </c>
      <c r="R6569" s="33" t="s">
        <v>23</v>
      </c>
      <c r="S6569" s="33" t="s">
        <v>22</v>
      </c>
      <c r="T6569" s="1" t="s">
        <v>26774</v>
      </c>
      <c r="Z6569" s="33" t="s">
        <v>42968</v>
      </c>
      <c r="AA6569" s="33">
        <v>1100</v>
      </c>
    </row>
    <row r="6570" spans="1:27" ht="12" customHeight="1" x14ac:dyDescent="0.15">
      <c r="A6570" s="33" t="s">
        <v>11261</v>
      </c>
      <c r="B6570" s="33">
        <v>24</v>
      </c>
      <c r="C6570" s="33" t="s">
        <v>14</v>
      </c>
      <c r="D6570" s="33" t="s">
        <v>79</v>
      </c>
      <c r="E6570" s="33" t="s">
        <v>11262</v>
      </c>
      <c r="F6570" s="67">
        <v>41636</v>
      </c>
      <c r="G6570" s="33" t="s">
        <v>11263</v>
      </c>
      <c r="H6570" s="33" t="s">
        <v>3110</v>
      </c>
      <c r="I6570" s="33" t="s">
        <v>56</v>
      </c>
      <c r="J6570" s="33" t="s">
        <v>3111</v>
      </c>
      <c r="K6570" s="33" t="s">
        <v>1950</v>
      </c>
      <c r="L6570" s="33" t="s">
        <v>965</v>
      </c>
      <c r="M6570" s="33" t="s">
        <v>21</v>
      </c>
      <c r="N6570" s="33" t="s">
        <v>11264</v>
      </c>
      <c r="O6570" s="33" t="s">
        <v>950</v>
      </c>
      <c r="P6570" s="33" t="s">
        <v>30089</v>
      </c>
      <c r="Q6570" s="40" t="s">
        <v>11265</v>
      </c>
      <c r="R6570" s="33" t="s">
        <v>94</v>
      </c>
      <c r="S6570" s="33" t="s">
        <v>22</v>
      </c>
      <c r="T6570" s="1" t="s">
        <v>26781</v>
      </c>
      <c r="Z6570" s="33" t="s">
        <v>42967</v>
      </c>
      <c r="AA6570" s="33">
        <v>1093</v>
      </c>
    </row>
    <row r="6571" spans="1:27" ht="12" customHeight="1" x14ac:dyDescent="0.15">
      <c r="A6571" s="33" t="s">
        <v>11269</v>
      </c>
      <c r="B6571" s="33">
        <v>25</v>
      </c>
      <c r="C6571" s="33" t="s">
        <v>14</v>
      </c>
      <c r="D6571" s="33" t="s">
        <v>42</v>
      </c>
      <c r="F6571" s="67">
        <v>41636</v>
      </c>
      <c r="G6571" s="33" t="s">
        <v>11270</v>
      </c>
      <c r="H6571" s="33" t="s">
        <v>584</v>
      </c>
      <c r="I6571" s="33" t="s">
        <v>112</v>
      </c>
      <c r="J6571" s="33" t="s">
        <v>4254</v>
      </c>
      <c r="K6571" s="33" t="s">
        <v>585</v>
      </c>
      <c r="L6571" s="33" t="s">
        <v>586</v>
      </c>
      <c r="M6571" s="33" t="s">
        <v>21</v>
      </c>
      <c r="N6571" s="33" t="s">
        <v>11271</v>
      </c>
      <c r="O6571" s="33" t="s">
        <v>950</v>
      </c>
      <c r="P6571" s="33" t="s">
        <v>30089</v>
      </c>
      <c r="Q6571" s="40" t="s">
        <v>11272</v>
      </c>
      <c r="R6571" s="33" t="s">
        <v>94</v>
      </c>
      <c r="S6571" s="33" t="s">
        <v>22</v>
      </c>
      <c r="T6571" s="1" t="s">
        <v>26781</v>
      </c>
      <c r="Z6571" s="33" t="s">
        <v>42968</v>
      </c>
      <c r="AA6571" s="33">
        <v>1094</v>
      </c>
    </row>
    <row r="6572" spans="1:27" ht="12" customHeight="1" x14ac:dyDescent="0.15">
      <c r="A6572" s="33" t="s">
        <v>11266</v>
      </c>
      <c r="B6572" s="33">
        <v>37</v>
      </c>
      <c r="C6572" s="33" t="s">
        <v>14</v>
      </c>
      <c r="D6572" s="33" t="s">
        <v>79</v>
      </c>
      <c r="F6572" s="67">
        <v>41636</v>
      </c>
      <c r="G6572" s="33" t="s">
        <v>36843</v>
      </c>
      <c r="H6572" s="33" t="s">
        <v>674</v>
      </c>
      <c r="I6572" s="33" t="s">
        <v>67</v>
      </c>
      <c r="K6572" s="33" t="s">
        <v>515</v>
      </c>
      <c r="L6572" s="33" t="s">
        <v>11267</v>
      </c>
      <c r="M6572" s="33" t="s">
        <v>21</v>
      </c>
      <c r="P6572" s="33" t="s">
        <v>30089</v>
      </c>
      <c r="Q6572" s="40" t="s">
        <v>11268</v>
      </c>
      <c r="R6572" s="33" t="s">
        <v>23</v>
      </c>
      <c r="S6572" s="33" t="s">
        <v>351</v>
      </c>
      <c r="T6572" s="1" t="s">
        <v>26867</v>
      </c>
      <c r="Z6572" s="33" t="e">
        <v>#N/A</v>
      </c>
      <c r="AA6572" s="33">
        <v>1095</v>
      </c>
    </row>
    <row r="6573" spans="1:27" ht="12" customHeight="1" x14ac:dyDescent="0.15">
      <c r="A6573" s="33" t="s">
        <v>11273</v>
      </c>
      <c r="B6573" s="33">
        <v>22</v>
      </c>
      <c r="C6573" s="33" t="s">
        <v>14</v>
      </c>
      <c r="D6573" s="33" t="s">
        <v>79</v>
      </c>
      <c r="E6573" s="33" t="s">
        <v>11274</v>
      </c>
      <c r="F6573" s="67">
        <v>41635</v>
      </c>
      <c r="G6573" s="33" t="s">
        <v>22180</v>
      </c>
      <c r="H6573" s="33" t="s">
        <v>1027</v>
      </c>
      <c r="I6573" s="33" t="s">
        <v>367</v>
      </c>
      <c r="J6573" s="33" t="s">
        <v>10514</v>
      </c>
      <c r="K6573" s="33" t="s">
        <v>924</v>
      </c>
      <c r="L6573" s="33" t="s">
        <v>1904</v>
      </c>
      <c r="M6573" s="33" t="s">
        <v>21</v>
      </c>
      <c r="N6573" s="33" t="s">
        <v>11275</v>
      </c>
      <c r="O6573" s="33" t="s">
        <v>950</v>
      </c>
      <c r="P6573" s="33" t="s">
        <v>30089</v>
      </c>
      <c r="Q6573" s="40" t="str">
        <f>HYPERLINK("http://newsok.com/man-shot-by-oklahoma-highway-patrol-trooper-was-correction-center-escapee/article/3919183","http://newsok.com/man-shot-by-oklahoma-highway-patrol-trooper-was-correction-center-escapee/article/3919183")</f>
        <v>http://newsok.com/man-shot-by-oklahoma-highway-patrol-trooper-was-correction-center-escapee/article/3919183</v>
      </c>
      <c r="R6573" s="33" t="s">
        <v>94</v>
      </c>
      <c r="S6573" s="33" t="s">
        <v>29</v>
      </c>
      <c r="T6573" s="1" t="s">
        <v>41840</v>
      </c>
      <c r="Y6573" s="33" t="s">
        <v>42476</v>
      </c>
      <c r="Z6573" s="33" t="s">
        <v>42968</v>
      </c>
      <c r="AA6573" s="33">
        <v>1091</v>
      </c>
    </row>
    <row r="6574" spans="1:27" ht="12" customHeight="1" x14ac:dyDescent="0.15">
      <c r="A6574" s="33" t="s">
        <v>11279</v>
      </c>
      <c r="B6574" s="33">
        <v>30</v>
      </c>
      <c r="C6574" s="33" t="s">
        <v>14</v>
      </c>
      <c r="D6574" s="33" t="s">
        <v>24</v>
      </c>
      <c r="F6574" s="67">
        <v>41635</v>
      </c>
      <c r="G6574" s="33" t="s">
        <v>22178</v>
      </c>
      <c r="H6574" s="33" t="s">
        <v>5762</v>
      </c>
      <c r="I6574" s="33" t="s">
        <v>160</v>
      </c>
      <c r="J6574" s="33" t="s">
        <v>11280</v>
      </c>
      <c r="K6574" s="33" t="s">
        <v>3052</v>
      </c>
      <c r="L6574" s="33" t="s">
        <v>3053</v>
      </c>
      <c r="M6574" s="33" t="s">
        <v>21</v>
      </c>
      <c r="N6574" s="33" t="s">
        <v>11281</v>
      </c>
      <c r="O6574" s="33" t="s">
        <v>950</v>
      </c>
      <c r="P6574" s="33" t="s">
        <v>30089</v>
      </c>
      <c r="Q6574" s="40" t="s">
        <v>11282</v>
      </c>
      <c r="R6574" s="33" t="s">
        <v>512</v>
      </c>
      <c r="S6574" s="33" t="s">
        <v>22</v>
      </c>
      <c r="T6574" s="1" t="s">
        <v>26781</v>
      </c>
      <c r="Z6574" s="33" t="s">
        <v>42968</v>
      </c>
      <c r="AA6574" s="33">
        <v>1089</v>
      </c>
    </row>
    <row r="6575" spans="1:27" ht="12" customHeight="1" x14ac:dyDescent="0.15">
      <c r="A6575" s="33" t="s">
        <v>11276</v>
      </c>
      <c r="B6575" s="33">
        <v>22</v>
      </c>
      <c r="C6575" s="33" t="s">
        <v>14</v>
      </c>
      <c r="D6575" s="33" t="s">
        <v>79</v>
      </c>
      <c r="F6575" s="67">
        <v>41635</v>
      </c>
      <c r="G6575" s="33" t="s">
        <v>11277</v>
      </c>
      <c r="H6575" s="33" t="s">
        <v>2307</v>
      </c>
      <c r="I6575" s="33" t="s">
        <v>367</v>
      </c>
      <c r="K6575" s="33" t="s">
        <v>2307</v>
      </c>
      <c r="L6575" s="33" t="s">
        <v>1904</v>
      </c>
      <c r="M6575" s="33" t="s">
        <v>21</v>
      </c>
      <c r="P6575" s="33" t="s">
        <v>30089</v>
      </c>
      <c r="Q6575" s="40" t="s">
        <v>11278</v>
      </c>
      <c r="R6575" s="33" t="s">
        <v>23</v>
      </c>
      <c r="S6575" s="33" t="s">
        <v>22</v>
      </c>
      <c r="T6575" s="1" t="s">
        <v>26576</v>
      </c>
      <c r="Z6575" s="33" t="e">
        <v>#N/A</v>
      </c>
      <c r="AA6575" s="33">
        <v>1092</v>
      </c>
    </row>
    <row r="6576" spans="1:27" ht="12" customHeight="1" x14ac:dyDescent="0.15">
      <c r="A6576" s="33" t="s">
        <v>11283</v>
      </c>
      <c r="B6576" s="33">
        <v>49</v>
      </c>
      <c r="C6576" s="33" t="s">
        <v>14</v>
      </c>
      <c r="D6576" s="33" t="s">
        <v>31</v>
      </c>
      <c r="E6576" s="33" t="s">
        <v>11284</v>
      </c>
      <c r="F6576" s="67">
        <v>41635</v>
      </c>
      <c r="G6576" s="33" t="s">
        <v>22179</v>
      </c>
      <c r="H6576" s="33" t="s">
        <v>11285</v>
      </c>
      <c r="I6576" s="33" t="s">
        <v>67</v>
      </c>
      <c r="J6576" s="33" t="s">
        <v>11286</v>
      </c>
      <c r="K6576" s="33" t="s">
        <v>68</v>
      </c>
      <c r="L6576" s="33" t="s">
        <v>11287</v>
      </c>
      <c r="M6576" s="33" t="s">
        <v>21</v>
      </c>
      <c r="N6576" s="33" t="s">
        <v>11288</v>
      </c>
      <c r="O6576" s="33" t="s">
        <v>950</v>
      </c>
      <c r="P6576" s="33" t="s">
        <v>30089</v>
      </c>
      <c r="Q6576" s="40" t="s">
        <v>11289</v>
      </c>
      <c r="R6576" s="33" t="s">
        <v>512</v>
      </c>
      <c r="S6576" s="33" t="s">
        <v>22</v>
      </c>
      <c r="T6576" s="1" t="s">
        <v>26781</v>
      </c>
      <c r="Z6576" s="33" t="s">
        <v>42968</v>
      </c>
      <c r="AA6576" s="33">
        <v>1090</v>
      </c>
    </row>
    <row r="6577" spans="1:27" ht="12" customHeight="1" x14ac:dyDescent="0.15">
      <c r="A6577" s="33" t="s">
        <v>11296</v>
      </c>
      <c r="B6577" s="33">
        <v>19</v>
      </c>
      <c r="C6577" s="33" t="s">
        <v>14</v>
      </c>
      <c r="D6577" s="33" t="s">
        <v>31</v>
      </c>
      <c r="E6577" s="33" t="s">
        <v>11297</v>
      </c>
      <c r="F6577" s="67">
        <v>41634</v>
      </c>
      <c r="G6577" s="33" t="s">
        <v>11298</v>
      </c>
      <c r="H6577" s="33" t="s">
        <v>11060</v>
      </c>
      <c r="I6577" s="33" t="s">
        <v>39</v>
      </c>
      <c r="J6577" s="33" t="s">
        <v>11299</v>
      </c>
      <c r="K6577" s="33" t="s">
        <v>92</v>
      </c>
      <c r="L6577" s="33" t="s">
        <v>11300</v>
      </c>
      <c r="M6577" s="33" t="s">
        <v>21</v>
      </c>
      <c r="N6577" s="33" t="s">
        <v>11301</v>
      </c>
      <c r="O6577" s="33" t="s">
        <v>950</v>
      </c>
      <c r="P6577" s="33" t="s">
        <v>30089</v>
      </c>
      <c r="Q6577" s="40" t="s">
        <v>11302</v>
      </c>
      <c r="R6577" s="33" t="s">
        <v>94</v>
      </c>
      <c r="S6577" s="33" t="s">
        <v>22</v>
      </c>
      <c r="T6577" s="1" t="s">
        <v>26774</v>
      </c>
      <c r="Z6577" s="33" t="s">
        <v>42966</v>
      </c>
      <c r="AA6577" s="33">
        <v>1088</v>
      </c>
    </row>
    <row r="6578" spans="1:27" ht="12" customHeight="1" x14ac:dyDescent="0.15">
      <c r="A6578" s="33" t="s">
        <v>11290</v>
      </c>
      <c r="B6578" s="33">
        <v>44</v>
      </c>
      <c r="C6578" s="33" t="s">
        <v>14</v>
      </c>
      <c r="D6578" s="33" t="s">
        <v>79</v>
      </c>
      <c r="E6578" s="33" t="s">
        <v>11291</v>
      </c>
      <c r="F6578" s="67">
        <v>41634</v>
      </c>
      <c r="G6578" s="33" t="s">
        <v>11292</v>
      </c>
      <c r="H6578" s="33" t="s">
        <v>1716</v>
      </c>
      <c r="I6578" s="33" t="s">
        <v>395</v>
      </c>
      <c r="J6578" s="33" t="s">
        <v>11293</v>
      </c>
      <c r="K6578" s="33" t="s">
        <v>700</v>
      </c>
      <c r="L6578" s="33" t="s">
        <v>539</v>
      </c>
      <c r="M6578" s="33" t="s">
        <v>21</v>
      </c>
      <c r="N6578" s="33" t="s">
        <v>11294</v>
      </c>
      <c r="O6578" s="33" t="s">
        <v>950</v>
      </c>
      <c r="P6578" s="33" t="s">
        <v>30089</v>
      </c>
      <c r="Q6578" s="40" t="s">
        <v>11295</v>
      </c>
      <c r="R6578" s="33" t="s">
        <v>94</v>
      </c>
      <c r="S6578" s="33" t="s">
        <v>22</v>
      </c>
      <c r="T6578" s="1" t="s">
        <v>26781</v>
      </c>
      <c r="Z6578" s="33" t="s">
        <v>42966</v>
      </c>
      <c r="AA6578" s="33">
        <v>1087</v>
      </c>
    </row>
    <row r="6579" spans="1:27" ht="12" customHeight="1" x14ac:dyDescent="0.15">
      <c r="A6579" s="33" t="s">
        <v>11303</v>
      </c>
      <c r="B6579" s="33">
        <v>16</v>
      </c>
      <c r="C6579" s="33" t="s">
        <v>14</v>
      </c>
      <c r="D6579" s="33" t="s">
        <v>31</v>
      </c>
      <c r="E6579" s="33" t="s">
        <v>11304</v>
      </c>
      <c r="F6579" s="67">
        <v>41633</v>
      </c>
      <c r="G6579" s="33" t="s">
        <v>11305</v>
      </c>
      <c r="H6579" s="33" t="s">
        <v>11306</v>
      </c>
      <c r="I6579" s="33" t="s">
        <v>67</v>
      </c>
      <c r="J6579" s="33" t="s">
        <v>11307</v>
      </c>
      <c r="K6579" s="33" t="s">
        <v>68</v>
      </c>
      <c r="L6579" s="33" t="s">
        <v>11308</v>
      </c>
      <c r="M6579" s="33" t="s">
        <v>21</v>
      </c>
      <c r="N6579" s="33" t="s">
        <v>11309</v>
      </c>
      <c r="O6579" s="33" t="s">
        <v>507</v>
      </c>
      <c r="P6579" s="33" t="s">
        <v>30089</v>
      </c>
      <c r="Q6579" s="40" t="s">
        <v>11310</v>
      </c>
      <c r="R6579" s="33" t="s">
        <v>94</v>
      </c>
      <c r="S6579" s="33" t="s">
        <v>22</v>
      </c>
      <c r="T6579" s="1" t="s">
        <v>26781</v>
      </c>
      <c r="Z6579" s="33" t="s">
        <v>42968</v>
      </c>
      <c r="AA6579" s="33">
        <v>1086</v>
      </c>
    </row>
    <row r="6580" spans="1:27" ht="12" customHeight="1" x14ac:dyDescent="0.15">
      <c r="A6580" s="33" t="s">
        <v>11311</v>
      </c>
      <c r="B6580" s="33">
        <v>44</v>
      </c>
      <c r="C6580" s="33" t="s">
        <v>14</v>
      </c>
      <c r="D6580" s="33" t="s">
        <v>42</v>
      </c>
      <c r="E6580" s="33" t="s">
        <v>11312</v>
      </c>
      <c r="F6580" s="67">
        <v>41632</v>
      </c>
      <c r="G6580" s="33" t="s">
        <v>11313</v>
      </c>
      <c r="H6580" s="33" t="s">
        <v>11314</v>
      </c>
      <c r="I6580" s="33" t="s">
        <v>67</v>
      </c>
      <c r="J6580" s="33" t="s">
        <v>11315</v>
      </c>
      <c r="K6580" s="33" t="s">
        <v>11316</v>
      </c>
      <c r="L6580" s="33" t="s">
        <v>11317</v>
      </c>
      <c r="M6580" s="33" t="s">
        <v>21</v>
      </c>
      <c r="N6580" s="33" t="s">
        <v>11318</v>
      </c>
      <c r="O6580" s="33" t="s">
        <v>507</v>
      </c>
      <c r="P6580" s="33" t="s">
        <v>30089</v>
      </c>
      <c r="Q6580" s="40" t="s">
        <v>11319</v>
      </c>
      <c r="R6580" s="33" t="s">
        <v>904</v>
      </c>
      <c r="S6580" s="33" t="s">
        <v>22</v>
      </c>
      <c r="T6580" s="1" t="s">
        <v>26781</v>
      </c>
      <c r="Z6580" s="33" t="s">
        <v>42966</v>
      </c>
      <c r="AA6580" s="33">
        <v>1084</v>
      </c>
    </row>
    <row r="6581" spans="1:27" ht="12" customHeight="1" x14ac:dyDescent="0.15">
      <c r="A6581" s="33" t="s">
        <v>11320</v>
      </c>
      <c r="B6581" s="33">
        <v>17</v>
      </c>
      <c r="C6581" s="33" t="s">
        <v>14</v>
      </c>
      <c r="D6581" s="33" t="s">
        <v>24</v>
      </c>
      <c r="F6581" s="67">
        <v>41632</v>
      </c>
      <c r="G6581" s="33" t="s">
        <v>11321</v>
      </c>
      <c r="H6581" s="33" t="s">
        <v>4990</v>
      </c>
      <c r="I6581" s="33" t="s">
        <v>56</v>
      </c>
      <c r="J6581" s="33" t="s">
        <v>11322</v>
      </c>
      <c r="K6581" s="33" t="s">
        <v>4991</v>
      </c>
      <c r="L6581" s="33" t="s">
        <v>11323</v>
      </c>
      <c r="M6581" s="33" t="s">
        <v>21</v>
      </c>
      <c r="N6581" s="33" t="s">
        <v>11324</v>
      </c>
      <c r="O6581" s="33" t="s">
        <v>507</v>
      </c>
      <c r="P6581" s="33" t="s">
        <v>30089</v>
      </c>
      <c r="Q6581" s="40" t="s">
        <v>11325</v>
      </c>
      <c r="R6581" s="33" t="s">
        <v>904</v>
      </c>
      <c r="S6581" s="33" t="s">
        <v>351</v>
      </c>
      <c r="T6581" s="1" t="s">
        <v>42983</v>
      </c>
      <c r="Z6581" s="33" t="s">
        <v>42966</v>
      </c>
      <c r="AA6581" s="33">
        <v>1085</v>
      </c>
    </row>
    <row r="6582" spans="1:27" ht="12" customHeight="1" x14ac:dyDescent="0.15">
      <c r="A6582" s="33" t="s">
        <v>11326</v>
      </c>
      <c r="B6582" s="33">
        <v>32</v>
      </c>
      <c r="C6582" s="33" t="s">
        <v>14</v>
      </c>
      <c r="D6582" s="33" t="s">
        <v>31</v>
      </c>
      <c r="E6582" s="33" t="s">
        <v>11327</v>
      </c>
      <c r="F6582" s="67">
        <v>41631</v>
      </c>
      <c r="G6582" s="33" t="s">
        <v>11328</v>
      </c>
      <c r="H6582" s="33" t="s">
        <v>9006</v>
      </c>
      <c r="I6582" s="33" t="s">
        <v>112</v>
      </c>
      <c r="J6582" s="33" t="s">
        <v>9007</v>
      </c>
      <c r="K6582" s="33" t="s">
        <v>2223</v>
      </c>
      <c r="L6582" s="33" t="s">
        <v>2224</v>
      </c>
      <c r="M6582" s="33" t="s">
        <v>21</v>
      </c>
      <c r="N6582" s="33" t="s">
        <v>11329</v>
      </c>
      <c r="O6582" s="33" t="s">
        <v>23</v>
      </c>
      <c r="P6582" s="33" t="s">
        <v>30089</v>
      </c>
      <c r="Q6582" s="40" t="s">
        <v>11330</v>
      </c>
      <c r="R6582" s="33" t="s">
        <v>94</v>
      </c>
      <c r="S6582" s="33" t="s">
        <v>12</v>
      </c>
      <c r="T6582" s="54" t="s">
        <v>29705</v>
      </c>
      <c r="Z6582" s="33" t="s">
        <v>42967</v>
      </c>
      <c r="AA6582" s="33">
        <v>1083</v>
      </c>
    </row>
    <row r="6583" spans="1:27" ht="12" customHeight="1" x14ac:dyDescent="0.15">
      <c r="A6583" s="33" t="s">
        <v>11331</v>
      </c>
      <c r="B6583" s="33">
        <v>24</v>
      </c>
      <c r="C6583" s="33" t="s">
        <v>14</v>
      </c>
      <c r="D6583" s="33" t="s">
        <v>31</v>
      </c>
      <c r="E6583" s="33" t="s">
        <v>11332</v>
      </c>
      <c r="F6583" s="67">
        <v>41630</v>
      </c>
      <c r="G6583" s="33" t="s">
        <v>11333</v>
      </c>
      <c r="H6583" s="33" t="s">
        <v>11334</v>
      </c>
      <c r="I6583" s="33" t="s">
        <v>338</v>
      </c>
      <c r="J6583" s="33" t="s">
        <v>11335</v>
      </c>
      <c r="K6583" s="33" t="s">
        <v>770</v>
      </c>
      <c r="L6583" s="33" t="s">
        <v>771</v>
      </c>
      <c r="M6583" s="33" t="s">
        <v>21</v>
      </c>
      <c r="N6583" s="33" t="s">
        <v>11336</v>
      </c>
      <c r="O6583" s="33" t="s">
        <v>507</v>
      </c>
      <c r="P6583" s="33" t="s">
        <v>30089</v>
      </c>
      <c r="Q6583" s="40" t="s">
        <v>11337</v>
      </c>
      <c r="R6583" s="33" t="s">
        <v>512</v>
      </c>
      <c r="S6583" s="33" t="s">
        <v>22</v>
      </c>
      <c r="T6583" s="1" t="s">
        <v>26781</v>
      </c>
      <c r="Z6583" s="33" t="s">
        <v>42968</v>
      </c>
      <c r="AA6583" s="33">
        <v>1082</v>
      </c>
    </row>
    <row r="6584" spans="1:27" ht="12" customHeight="1" x14ac:dyDescent="0.15">
      <c r="A6584" s="33" t="s">
        <v>11345</v>
      </c>
      <c r="B6584" s="33">
        <v>22</v>
      </c>
      <c r="C6584" s="33" t="s">
        <v>14</v>
      </c>
      <c r="D6584" s="33" t="s">
        <v>31</v>
      </c>
      <c r="E6584" s="33" t="s">
        <v>11346</v>
      </c>
      <c r="F6584" s="67">
        <v>41629</v>
      </c>
      <c r="G6584" s="33" t="s">
        <v>11347</v>
      </c>
      <c r="H6584" s="33" t="s">
        <v>11348</v>
      </c>
      <c r="I6584" s="33" t="s">
        <v>376</v>
      </c>
      <c r="J6584" s="33" t="s">
        <v>11349</v>
      </c>
      <c r="K6584" s="33" t="s">
        <v>1397</v>
      </c>
      <c r="L6584" s="33" t="s">
        <v>11350</v>
      </c>
      <c r="M6584" s="33" t="s">
        <v>21</v>
      </c>
      <c r="N6584" s="33" t="s">
        <v>11351</v>
      </c>
      <c r="O6584" s="33" t="s">
        <v>507</v>
      </c>
      <c r="P6584" s="33" t="s">
        <v>30089</v>
      </c>
      <c r="Q6584" s="40" t="s">
        <v>11352</v>
      </c>
      <c r="R6584" s="33" t="s">
        <v>512</v>
      </c>
      <c r="S6584" s="33" t="s">
        <v>22</v>
      </c>
      <c r="T6584" s="1" t="s">
        <v>26774</v>
      </c>
      <c r="Z6584" s="33" t="s">
        <v>42968</v>
      </c>
      <c r="AA6584" s="33">
        <v>1081</v>
      </c>
    </row>
    <row r="6585" spans="1:27" ht="12" customHeight="1" x14ac:dyDescent="0.15">
      <c r="A6585" s="33" t="s">
        <v>11338</v>
      </c>
      <c r="B6585" s="33">
        <v>18</v>
      </c>
      <c r="C6585" s="33" t="s">
        <v>14</v>
      </c>
      <c r="D6585" s="33" t="s">
        <v>128</v>
      </c>
      <c r="E6585" s="33" t="s">
        <v>11339</v>
      </c>
      <c r="F6585" s="67">
        <v>41629</v>
      </c>
      <c r="G6585" s="33" t="s">
        <v>11340</v>
      </c>
      <c r="H6585" s="33" t="s">
        <v>5836</v>
      </c>
      <c r="I6585" s="33" t="s">
        <v>367</v>
      </c>
      <c r="J6585" s="33" t="s">
        <v>11341</v>
      </c>
      <c r="K6585" s="33" t="s">
        <v>11342</v>
      </c>
      <c r="L6585" s="33" t="s">
        <v>11343</v>
      </c>
      <c r="M6585" s="33" t="s">
        <v>21</v>
      </c>
      <c r="N6585" s="33" t="s">
        <v>11344</v>
      </c>
      <c r="O6585" s="33" t="s">
        <v>507</v>
      </c>
      <c r="P6585" s="33" t="s">
        <v>30089</v>
      </c>
      <c r="Q6585" s="40" t="str">
        <f>HYPERLINK("http://newsok.com/oklahoma-parents-say-son-needed-help-instead-custer-county-sheriffs-deputies-shot-him/article/3929841","http://newsok.com/oklahoma-parents-say-son-needed-help-instead-custer-county-sheriffs-deputies-shot-him/article/3929841")</f>
        <v>http://newsok.com/oklahoma-parents-say-son-needed-help-instead-custer-county-sheriffs-deputies-shot-him/article/3929841</v>
      </c>
      <c r="R6585" s="33" t="s">
        <v>512</v>
      </c>
      <c r="S6585" s="33" t="s">
        <v>22</v>
      </c>
      <c r="T6585" s="1" t="s">
        <v>26774</v>
      </c>
      <c r="Z6585" s="33" t="s">
        <v>42967</v>
      </c>
      <c r="AA6585" s="33">
        <v>1080</v>
      </c>
    </row>
    <row r="6586" spans="1:27" ht="12" customHeight="1" x14ac:dyDescent="0.15">
      <c r="A6586" s="33" t="s">
        <v>11353</v>
      </c>
      <c r="B6586" s="33">
        <v>49</v>
      </c>
      <c r="C6586" s="33" t="s">
        <v>103</v>
      </c>
      <c r="D6586" s="33" t="s">
        <v>79</v>
      </c>
      <c r="E6586" s="33" t="s">
        <v>11354</v>
      </c>
      <c r="F6586" s="67">
        <v>41628</v>
      </c>
      <c r="G6586" s="33" t="s">
        <v>11355</v>
      </c>
      <c r="H6586" s="33" t="s">
        <v>233</v>
      </c>
      <c r="I6586" s="33" t="s">
        <v>26</v>
      </c>
      <c r="J6586" s="33" t="s">
        <v>5226</v>
      </c>
      <c r="K6586" s="33" t="s">
        <v>233</v>
      </c>
      <c r="L6586" s="33" t="s">
        <v>11356</v>
      </c>
      <c r="M6586" s="33" t="s">
        <v>21</v>
      </c>
      <c r="N6586" s="33" t="s">
        <v>11357</v>
      </c>
      <c r="O6586" s="33" t="s">
        <v>23</v>
      </c>
      <c r="P6586" s="33" t="s">
        <v>30089</v>
      </c>
      <c r="Q6586" s="40" t="s">
        <v>11358</v>
      </c>
      <c r="R6586" s="33" t="s">
        <v>94</v>
      </c>
      <c r="S6586" s="33" t="s">
        <v>351</v>
      </c>
      <c r="T6586" s="1" t="s">
        <v>42983</v>
      </c>
      <c r="Z6586" s="33" t="s">
        <v>42968</v>
      </c>
      <c r="AA6586" s="33">
        <v>1079</v>
      </c>
    </row>
    <row r="6587" spans="1:27" ht="12" customHeight="1" x14ac:dyDescent="0.15">
      <c r="A6587" s="33" t="s">
        <v>11362</v>
      </c>
      <c r="B6587" s="33">
        <v>33</v>
      </c>
      <c r="C6587" s="33" t="s">
        <v>14</v>
      </c>
      <c r="D6587" s="33" t="s">
        <v>79</v>
      </c>
      <c r="E6587" s="33" t="s">
        <v>11363</v>
      </c>
      <c r="F6587" s="67">
        <v>41627</v>
      </c>
      <c r="G6587" s="33" t="s">
        <v>11364</v>
      </c>
      <c r="H6587" s="33" t="s">
        <v>11365</v>
      </c>
      <c r="I6587" s="33" t="s">
        <v>88</v>
      </c>
      <c r="J6587" s="33" t="s">
        <v>11366</v>
      </c>
      <c r="K6587" s="33" t="s">
        <v>11367</v>
      </c>
      <c r="L6587" s="33" t="s">
        <v>11368</v>
      </c>
      <c r="M6587" s="33" t="s">
        <v>21</v>
      </c>
      <c r="N6587" s="33" t="s">
        <v>11369</v>
      </c>
      <c r="O6587" s="33" t="s">
        <v>23</v>
      </c>
      <c r="P6587" s="33" t="s">
        <v>30089</v>
      </c>
      <c r="Q6587" s="40" t="str">
        <f>HYPERLINK("http://blog.al.com/montgomery/2013/12/phenix_city_police_fatally_sho.html","http://blog.al.com/montgomery/2013/12/phenix_city_police_fatally_sho.html")</f>
        <v>http://blog.al.com/montgomery/2013/12/phenix_city_police_fatally_sho.html</v>
      </c>
      <c r="R6587" s="33" t="s">
        <v>23</v>
      </c>
      <c r="S6587" s="33" t="s">
        <v>12</v>
      </c>
      <c r="T6587" s="1" t="s">
        <v>29705</v>
      </c>
      <c r="Z6587" s="33" t="s">
        <v>42968</v>
      </c>
      <c r="AA6587" s="33">
        <v>1078</v>
      </c>
    </row>
    <row r="6588" spans="1:27" ht="12" customHeight="1" x14ac:dyDescent="0.15">
      <c r="A6588" s="33" t="s">
        <v>11370</v>
      </c>
      <c r="B6588" s="33">
        <v>49</v>
      </c>
      <c r="C6588" s="33" t="s">
        <v>14</v>
      </c>
      <c r="D6588" s="33" t="s">
        <v>31</v>
      </c>
      <c r="E6588" s="33" t="s">
        <v>11371</v>
      </c>
      <c r="F6588" s="67">
        <v>41626</v>
      </c>
      <c r="G6588" s="33" t="s">
        <v>11372</v>
      </c>
      <c r="H6588" s="33" t="s">
        <v>197</v>
      </c>
      <c r="I6588" s="33" t="s">
        <v>198</v>
      </c>
      <c r="J6588" s="33" t="s">
        <v>11373</v>
      </c>
      <c r="K6588" s="33" t="s">
        <v>392</v>
      </c>
      <c r="L6588" s="33" t="s">
        <v>199</v>
      </c>
      <c r="M6588" s="33" t="s">
        <v>21</v>
      </c>
      <c r="N6588" s="33" t="s">
        <v>11374</v>
      </c>
      <c r="O6588" s="33" t="s">
        <v>950</v>
      </c>
      <c r="P6588" s="33" t="s">
        <v>30089</v>
      </c>
      <c r="Q6588" s="40" t="str">
        <f>HYPERLINK("http://www.indystar.com/story/news/crime/2013/12/18/impd-officer-fatally-shoots-man-on-southeastside/4110911/","http://www.indystar.com/story/news/crime/2013/12/18/impd-officer-fatally-shoots-man-on-southeastside/4110911/")</f>
        <v>http://www.indystar.com/story/news/crime/2013/12/18/impd-officer-fatally-shoots-man-on-southeastside/4110911/</v>
      </c>
      <c r="R6588" s="33" t="s">
        <v>904</v>
      </c>
      <c r="S6588" s="33" t="s">
        <v>22</v>
      </c>
      <c r="T6588" s="1" t="s">
        <v>26781</v>
      </c>
      <c r="Z6588" s="33" t="s">
        <v>42968</v>
      </c>
      <c r="AA6588" s="33">
        <v>1077</v>
      </c>
    </row>
    <row r="6589" spans="1:27" ht="12" customHeight="1" x14ac:dyDescent="0.15">
      <c r="A6589" s="33" t="s">
        <v>11375</v>
      </c>
      <c r="B6589" s="33">
        <v>29</v>
      </c>
      <c r="C6589" s="33" t="s">
        <v>14</v>
      </c>
      <c r="D6589" s="33" t="s">
        <v>31</v>
      </c>
      <c r="E6589" s="33" t="s">
        <v>11376</v>
      </c>
      <c r="F6589" s="67">
        <v>41624</v>
      </c>
      <c r="G6589" s="33" t="s">
        <v>11377</v>
      </c>
      <c r="H6589" s="33" t="s">
        <v>11378</v>
      </c>
      <c r="I6589" s="33" t="s">
        <v>38</v>
      </c>
      <c r="J6589" s="33" t="s">
        <v>11379</v>
      </c>
      <c r="K6589" s="33" t="s">
        <v>82</v>
      </c>
      <c r="L6589" s="33" t="s">
        <v>11380</v>
      </c>
      <c r="M6589" s="33" t="s">
        <v>21</v>
      </c>
      <c r="N6589" s="33" t="s">
        <v>11381</v>
      </c>
      <c r="O6589" s="33" t="s">
        <v>950</v>
      </c>
      <c r="P6589" s="33" t="s">
        <v>30089</v>
      </c>
      <c r="Q6589" s="40" t="s">
        <v>11382</v>
      </c>
      <c r="R6589" s="33" t="s">
        <v>94</v>
      </c>
      <c r="S6589" s="33" t="s">
        <v>22</v>
      </c>
      <c r="T6589" s="1" t="s">
        <v>43001</v>
      </c>
      <c r="Z6589" s="33" t="s">
        <v>42966</v>
      </c>
      <c r="AA6589" s="33">
        <v>1076</v>
      </c>
    </row>
    <row r="6590" spans="1:27" ht="12" customHeight="1" x14ac:dyDescent="0.15">
      <c r="A6590" s="33" t="s">
        <v>11383</v>
      </c>
      <c r="B6590" s="33">
        <v>63</v>
      </c>
      <c r="C6590" s="33" t="s">
        <v>14</v>
      </c>
      <c r="D6590" s="33" t="s">
        <v>31</v>
      </c>
      <c r="E6590" s="33" t="s">
        <v>11384</v>
      </c>
      <c r="F6590" s="67">
        <v>41624</v>
      </c>
      <c r="G6590" s="33" t="s">
        <v>11385</v>
      </c>
      <c r="H6590" s="33" t="s">
        <v>408</v>
      </c>
      <c r="I6590" s="33" t="s">
        <v>409</v>
      </c>
      <c r="J6590" s="33" t="s">
        <v>3727</v>
      </c>
      <c r="K6590" s="33" t="s">
        <v>3728</v>
      </c>
      <c r="L6590" s="33" t="s">
        <v>3729</v>
      </c>
      <c r="M6590" s="33" t="s">
        <v>21</v>
      </c>
      <c r="N6590" s="33" t="s">
        <v>11386</v>
      </c>
      <c r="O6590" s="33" t="s">
        <v>507</v>
      </c>
      <c r="P6590" s="33" t="s">
        <v>30089</v>
      </c>
      <c r="Q6590" s="40" t="s">
        <v>11387</v>
      </c>
      <c r="R6590" s="33" t="s">
        <v>94</v>
      </c>
      <c r="S6590" s="33" t="s">
        <v>22</v>
      </c>
      <c r="T6590" s="1" t="s">
        <v>26781</v>
      </c>
      <c r="Z6590" s="33" t="s">
        <v>42968</v>
      </c>
      <c r="AA6590" s="33">
        <v>1075</v>
      </c>
    </row>
    <row r="6591" spans="1:27" ht="12" customHeight="1" x14ac:dyDescent="0.15">
      <c r="A6591" s="33" t="s">
        <v>11402</v>
      </c>
      <c r="B6591" s="33">
        <v>58</v>
      </c>
      <c r="C6591" s="33" t="s">
        <v>14</v>
      </c>
      <c r="D6591" s="33" t="s">
        <v>24</v>
      </c>
      <c r="F6591" s="67">
        <v>41622</v>
      </c>
      <c r="G6591" s="33" t="s">
        <v>11403</v>
      </c>
      <c r="H6591" s="33" t="s">
        <v>11404</v>
      </c>
      <c r="I6591" s="33" t="s">
        <v>206</v>
      </c>
      <c r="J6591" s="33" t="s">
        <v>11405</v>
      </c>
      <c r="K6591" s="33" t="s">
        <v>1850</v>
      </c>
      <c r="L6591" s="33" t="s">
        <v>11406</v>
      </c>
      <c r="M6591" s="33" t="s">
        <v>21</v>
      </c>
      <c r="N6591" s="33" t="s">
        <v>11407</v>
      </c>
      <c r="O6591" s="33" t="s">
        <v>950</v>
      </c>
      <c r="P6591" s="33" t="s">
        <v>30089</v>
      </c>
      <c r="Q6591" s="40" t="s">
        <v>11408</v>
      </c>
      <c r="R6591" s="33" t="s">
        <v>23</v>
      </c>
      <c r="S6591" s="33" t="s">
        <v>22</v>
      </c>
      <c r="T6591" s="1" t="s">
        <v>26781</v>
      </c>
      <c r="Z6591" s="33" t="s">
        <v>42967</v>
      </c>
      <c r="AA6591" s="33">
        <v>1072</v>
      </c>
    </row>
    <row r="6592" spans="1:27" ht="12" customHeight="1" x14ac:dyDescent="0.15">
      <c r="A6592" s="33" t="s">
        <v>11395</v>
      </c>
      <c r="B6592" s="33">
        <v>49</v>
      </c>
      <c r="C6592" s="33" t="s">
        <v>14</v>
      </c>
      <c r="D6592" s="33" t="s">
        <v>42</v>
      </c>
      <c r="E6592" s="33" t="s">
        <v>11396</v>
      </c>
      <c r="F6592" s="67">
        <v>41622</v>
      </c>
      <c r="G6592" s="33" t="s">
        <v>11397</v>
      </c>
      <c r="H6592" s="33" t="s">
        <v>2129</v>
      </c>
      <c r="I6592" s="33" t="s">
        <v>192</v>
      </c>
      <c r="J6592" s="33" t="s">
        <v>11398</v>
      </c>
      <c r="K6592" s="33" t="s">
        <v>1337</v>
      </c>
      <c r="L6592" s="33" t="s">
        <v>11399</v>
      </c>
      <c r="M6592" s="33" t="s">
        <v>21</v>
      </c>
      <c r="N6592" s="33" t="s">
        <v>11400</v>
      </c>
      <c r="O6592" s="33" t="s">
        <v>507</v>
      </c>
      <c r="P6592" s="33" t="s">
        <v>30089</v>
      </c>
      <c r="Q6592" s="40" t="s">
        <v>11401</v>
      </c>
      <c r="R6592" s="33" t="s">
        <v>904</v>
      </c>
      <c r="S6592" s="33" t="s">
        <v>22</v>
      </c>
      <c r="T6592" s="1" t="s">
        <v>43001</v>
      </c>
      <c r="Z6592" s="33" t="s">
        <v>42968</v>
      </c>
      <c r="AA6592" s="33">
        <v>1074</v>
      </c>
    </row>
    <row r="6593" spans="1:31" ht="12" customHeight="1" x14ac:dyDescent="0.15">
      <c r="A6593" s="33" t="s">
        <v>11389</v>
      </c>
      <c r="B6593" s="33">
        <v>43</v>
      </c>
      <c r="C6593" s="33" t="s">
        <v>14</v>
      </c>
      <c r="D6593" s="33" t="s">
        <v>42</v>
      </c>
      <c r="F6593" s="67">
        <v>41622</v>
      </c>
      <c r="G6593" s="33" t="s">
        <v>11390</v>
      </c>
      <c r="H6593" s="33" t="s">
        <v>11391</v>
      </c>
      <c r="I6593" s="33" t="s">
        <v>814</v>
      </c>
      <c r="J6593" s="33" t="s">
        <v>11392</v>
      </c>
      <c r="K6593" s="33" t="s">
        <v>2196</v>
      </c>
      <c r="L6593" s="33" t="s">
        <v>3281</v>
      </c>
      <c r="M6593" s="33" t="s">
        <v>21</v>
      </c>
      <c r="N6593" s="33" t="s">
        <v>11393</v>
      </c>
      <c r="O6593" s="33" t="s">
        <v>950</v>
      </c>
      <c r="P6593" s="33" t="s">
        <v>30089</v>
      </c>
      <c r="Q6593" s="40" t="s">
        <v>11394</v>
      </c>
      <c r="R6593" s="33" t="s">
        <v>512</v>
      </c>
      <c r="S6593" s="33" t="s">
        <v>22</v>
      </c>
      <c r="T6593" s="1" t="s">
        <v>26774</v>
      </c>
      <c r="Z6593" s="33" t="s">
        <v>42968</v>
      </c>
      <c r="AA6593" s="33">
        <v>1073</v>
      </c>
    </row>
    <row r="6594" spans="1:31" ht="12" customHeight="1" x14ac:dyDescent="0.15">
      <c r="A6594" s="33" t="s">
        <v>11423</v>
      </c>
      <c r="B6594" s="33">
        <v>43</v>
      </c>
      <c r="C6594" s="33" t="s">
        <v>14</v>
      </c>
      <c r="D6594" s="33" t="s">
        <v>31</v>
      </c>
      <c r="E6594" s="33" t="s">
        <v>11424</v>
      </c>
      <c r="F6594" s="67">
        <v>41621</v>
      </c>
      <c r="G6594" s="33" t="s">
        <v>11425</v>
      </c>
      <c r="H6594" s="33" t="s">
        <v>11426</v>
      </c>
      <c r="I6594" s="33" t="s">
        <v>35</v>
      </c>
      <c r="J6594" s="33" t="s">
        <v>11427</v>
      </c>
      <c r="K6594" s="33" t="s">
        <v>793</v>
      </c>
      <c r="L6594" s="33" t="s">
        <v>11428</v>
      </c>
      <c r="M6594" s="33" t="s">
        <v>21</v>
      </c>
      <c r="N6594" s="33" t="s">
        <v>11429</v>
      </c>
      <c r="O6594" s="33" t="s">
        <v>950</v>
      </c>
      <c r="P6594" s="33" t="s">
        <v>30089</v>
      </c>
      <c r="Q6594" s="40" t="s">
        <v>11430</v>
      </c>
      <c r="R6594" s="33" t="s">
        <v>23</v>
      </c>
      <c r="S6594" s="33" t="s">
        <v>22</v>
      </c>
      <c r="T6594" s="1" t="s">
        <v>26781</v>
      </c>
      <c r="Z6594" s="33" t="s">
        <v>42968</v>
      </c>
      <c r="AA6594" s="33">
        <v>1069</v>
      </c>
    </row>
    <row r="6595" spans="1:31" ht="12" customHeight="1" x14ac:dyDescent="0.15">
      <c r="A6595" s="33" t="s">
        <v>11409</v>
      </c>
      <c r="B6595" s="33">
        <v>41</v>
      </c>
      <c r="C6595" s="33" t="s">
        <v>14</v>
      </c>
      <c r="D6595" s="33" t="s">
        <v>31</v>
      </c>
      <c r="E6595" s="33" t="s">
        <v>11410</v>
      </c>
      <c r="F6595" s="67">
        <v>41621</v>
      </c>
      <c r="G6595" s="33" t="s">
        <v>22182</v>
      </c>
      <c r="H6595" s="33" t="s">
        <v>11411</v>
      </c>
      <c r="I6595" s="33" t="s">
        <v>38</v>
      </c>
      <c r="J6595" s="33" t="s">
        <v>11412</v>
      </c>
      <c r="K6595" s="33" t="s">
        <v>82</v>
      </c>
      <c r="L6595" s="33" t="s">
        <v>11413</v>
      </c>
      <c r="M6595" s="33" t="s">
        <v>21</v>
      </c>
      <c r="N6595" s="33" t="s">
        <v>11414</v>
      </c>
      <c r="O6595" s="33" t="s">
        <v>950</v>
      </c>
      <c r="P6595" s="33" t="s">
        <v>30089</v>
      </c>
      <c r="Q6595" s="40" t="s">
        <v>11415</v>
      </c>
      <c r="R6595" s="33" t="s">
        <v>23</v>
      </c>
      <c r="S6595" s="33" t="s">
        <v>22</v>
      </c>
      <c r="T6595" s="1" t="s">
        <v>26781</v>
      </c>
      <c r="Z6595" s="33" t="s">
        <v>42968</v>
      </c>
      <c r="AA6595" s="33">
        <v>1068</v>
      </c>
    </row>
    <row r="6596" spans="1:31" ht="12" customHeight="1" x14ac:dyDescent="0.15">
      <c r="A6596" s="33" t="s">
        <v>11431</v>
      </c>
      <c r="B6596" s="33">
        <v>51</v>
      </c>
      <c r="C6596" s="33" t="s">
        <v>14</v>
      </c>
      <c r="D6596" s="33" t="s">
        <v>31</v>
      </c>
      <c r="E6596" s="33" t="s">
        <v>11432</v>
      </c>
      <c r="F6596" s="67">
        <v>41621</v>
      </c>
      <c r="G6596" s="33" t="s">
        <v>11433</v>
      </c>
      <c r="H6596" s="33" t="s">
        <v>92</v>
      </c>
      <c r="I6596" s="33" t="s">
        <v>39</v>
      </c>
      <c r="J6596" s="33" t="s">
        <v>11434</v>
      </c>
      <c r="K6596" s="33" t="s">
        <v>92</v>
      </c>
      <c r="L6596" s="33" t="s">
        <v>93</v>
      </c>
      <c r="M6596" s="33" t="s">
        <v>21</v>
      </c>
      <c r="N6596" s="33" t="s">
        <v>11435</v>
      </c>
      <c r="O6596" s="33" t="s">
        <v>11436</v>
      </c>
      <c r="P6596" s="33" t="s">
        <v>30089</v>
      </c>
      <c r="Q6596" s="40" t="s">
        <v>11437</v>
      </c>
      <c r="R6596" s="33" t="s">
        <v>512</v>
      </c>
      <c r="S6596" s="33" t="s">
        <v>12</v>
      </c>
      <c r="T6596" s="54" t="s">
        <v>29705</v>
      </c>
      <c r="Z6596" s="33" t="s">
        <v>42966</v>
      </c>
      <c r="AA6596" s="33">
        <v>1071</v>
      </c>
    </row>
    <row r="6597" spans="1:31" ht="12" customHeight="1" x14ac:dyDescent="0.15">
      <c r="A6597" s="33" t="s">
        <v>11416</v>
      </c>
      <c r="B6597" s="33">
        <v>23</v>
      </c>
      <c r="C6597" s="33" t="s">
        <v>14</v>
      </c>
      <c r="D6597" s="33" t="s">
        <v>31</v>
      </c>
      <c r="E6597" s="33" t="s">
        <v>11417</v>
      </c>
      <c r="F6597" s="67">
        <v>41621</v>
      </c>
      <c r="G6597" s="33" t="s">
        <v>11418</v>
      </c>
      <c r="H6597" s="33" t="s">
        <v>11419</v>
      </c>
      <c r="I6597" s="33" t="s">
        <v>409</v>
      </c>
      <c r="J6597" s="33" t="s">
        <v>11420</v>
      </c>
      <c r="K6597" s="33" t="s">
        <v>527</v>
      </c>
      <c r="L6597" s="33" t="s">
        <v>3087</v>
      </c>
      <c r="M6597" s="33" t="s">
        <v>21</v>
      </c>
      <c r="N6597" s="33" t="s">
        <v>11421</v>
      </c>
      <c r="O6597" s="33" t="s">
        <v>507</v>
      </c>
      <c r="P6597" s="33" t="s">
        <v>30089</v>
      </c>
      <c r="Q6597" s="40" t="s">
        <v>11422</v>
      </c>
      <c r="R6597" s="33" t="s">
        <v>904</v>
      </c>
      <c r="S6597" s="33" t="s">
        <v>22</v>
      </c>
      <c r="T6597" s="1" t="s">
        <v>26774</v>
      </c>
      <c r="Z6597" s="33" t="s">
        <v>42967</v>
      </c>
      <c r="AA6597" s="33">
        <v>1070</v>
      </c>
    </row>
    <row r="6598" spans="1:31" ht="12" customHeight="1" x14ac:dyDescent="0.15">
      <c r="A6598" s="33" t="s">
        <v>11451</v>
      </c>
      <c r="B6598" s="33">
        <v>43</v>
      </c>
      <c r="C6598" s="33" t="s">
        <v>14</v>
      </c>
      <c r="D6598" s="33" t="s">
        <v>31</v>
      </c>
      <c r="F6598" s="67">
        <v>41620</v>
      </c>
      <c r="G6598" s="33" t="s">
        <v>11452</v>
      </c>
      <c r="H6598" s="33" t="s">
        <v>11453</v>
      </c>
      <c r="I6598" s="33" t="s">
        <v>282</v>
      </c>
      <c r="J6598" s="33" t="s">
        <v>11454</v>
      </c>
      <c r="K6598" s="33" t="s">
        <v>882</v>
      </c>
      <c r="L6598" s="33" t="s">
        <v>11455</v>
      </c>
      <c r="M6598" s="33" t="s">
        <v>21</v>
      </c>
      <c r="N6598" s="33" t="s">
        <v>11456</v>
      </c>
      <c r="O6598" s="33" t="s">
        <v>507</v>
      </c>
      <c r="P6598" s="33" t="s">
        <v>30089</v>
      </c>
      <c r="Q6598" s="40" t="s">
        <v>11457</v>
      </c>
      <c r="R6598" s="33" t="s">
        <v>23</v>
      </c>
      <c r="S6598" s="33" t="s">
        <v>351</v>
      </c>
      <c r="T6598" s="1" t="s">
        <v>42983</v>
      </c>
      <c r="Z6598" s="33" t="s">
        <v>42967</v>
      </c>
      <c r="AA6598" s="33">
        <v>1067</v>
      </c>
    </row>
    <row r="6599" spans="1:31" ht="12" customHeight="1" x14ac:dyDescent="0.15">
      <c r="A6599" s="33" t="s">
        <v>11438</v>
      </c>
      <c r="B6599" s="33">
        <v>50</v>
      </c>
      <c r="C6599" s="33" t="s">
        <v>14</v>
      </c>
      <c r="D6599" s="33" t="s">
        <v>79</v>
      </c>
      <c r="E6599" s="33" t="s">
        <v>11439</v>
      </c>
      <c r="F6599" s="67">
        <v>41620</v>
      </c>
      <c r="G6599" s="33" t="s">
        <v>22183</v>
      </c>
      <c r="H6599" s="33" t="s">
        <v>1202</v>
      </c>
      <c r="I6599" s="33" t="s">
        <v>63</v>
      </c>
      <c r="J6599" s="33" t="s">
        <v>11440</v>
      </c>
      <c r="K6599" s="33" t="s">
        <v>1203</v>
      </c>
      <c r="L6599" s="33" t="s">
        <v>11441</v>
      </c>
      <c r="M6599" s="33" t="s">
        <v>21</v>
      </c>
      <c r="N6599" s="33" t="s">
        <v>11442</v>
      </c>
      <c r="O6599" s="33" t="s">
        <v>507</v>
      </c>
      <c r="P6599" s="33" t="s">
        <v>30089</v>
      </c>
      <c r="Q6599" s="40" t="s">
        <v>11443</v>
      </c>
      <c r="R6599" s="33" t="s">
        <v>23</v>
      </c>
      <c r="S6599" s="33" t="s">
        <v>22</v>
      </c>
      <c r="T6599" s="33" t="s">
        <v>26781</v>
      </c>
      <c r="Z6599" s="33" t="s">
        <v>42966</v>
      </c>
      <c r="AA6599" s="33">
        <v>1065</v>
      </c>
      <c r="AE6599" s="33"/>
    </row>
    <row r="6600" spans="1:31" ht="12" customHeight="1" x14ac:dyDescent="0.15">
      <c r="A6600" s="33" t="s">
        <v>11444</v>
      </c>
      <c r="B6600" s="33">
        <v>61</v>
      </c>
      <c r="C6600" s="33" t="s">
        <v>14</v>
      </c>
      <c r="D6600" s="33" t="s">
        <v>31</v>
      </c>
      <c r="E6600" s="33" t="s">
        <v>11445</v>
      </c>
      <c r="F6600" s="67">
        <v>41620</v>
      </c>
      <c r="G6600" s="33" t="s">
        <v>11446</v>
      </c>
      <c r="H6600" s="33" t="s">
        <v>11447</v>
      </c>
      <c r="I6600" s="33" t="s">
        <v>4034</v>
      </c>
      <c r="J6600" s="33" t="s">
        <v>11448</v>
      </c>
      <c r="K6600" s="33" t="s">
        <v>1499</v>
      </c>
      <c r="L6600" s="33" t="s">
        <v>4037</v>
      </c>
      <c r="M6600" s="33" t="s">
        <v>21</v>
      </c>
      <c r="N6600" s="33" t="s">
        <v>11449</v>
      </c>
      <c r="O6600" s="33" t="s">
        <v>507</v>
      </c>
      <c r="P6600" s="33" t="s">
        <v>30089</v>
      </c>
      <c r="Q6600" s="40" t="s">
        <v>11450</v>
      </c>
      <c r="R6600" s="33" t="s">
        <v>904</v>
      </c>
      <c r="S6600" s="33" t="s">
        <v>22</v>
      </c>
      <c r="T6600" s="1" t="s">
        <v>26781</v>
      </c>
      <c r="Z6600" s="33" t="s">
        <v>42967</v>
      </c>
      <c r="AA6600" s="33">
        <v>1066</v>
      </c>
    </row>
    <row r="6601" spans="1:31" ht="12" customHeight="1" x14ac:dyDescent="0.15">
      <c r="A6601" s="33" t="s">
        <v>11466</v>
      </c>
      <c r="B6601" s="33">
        <v>64</v>
      </c>
      <c r="C6601" s="33" t="s">
        <v>14</v>
      </c>
      <c r="D6601" s="33" t="s">
        <v>31</v>
      </c>
      <c r="E6601" s="33" t="s">
        <v>11467</v>
      </c>
      <c r="F6601" s="67">
        <v>41619</v>
      </c>
      <c r="G6601" s="33" t="s">
        <v>11468</v>
      </c>
      <c r="H6601" s="33" t="s">
        <v>4802</v>
      </c>
      <c r="I6601" s="33" t="s">
        <v>56</v>
      </c>
      <c r="J6601" s="33" t="s">
        <v>11469</v>
      </c>
      <c r="K6601" s="33" t="s">
        <v>2230</v>
      </c>
      <c r="L6601" s="33" t="s">
        <v>11470</v>
      </c>
      <c r="M6601" s="33" t="s">
        <v>21</v>
      </c>
      <c r="N6601" s="33" t="s">
        <v>11471</v>
      </c>
      <c r="O6601" s="33" t="s">
        <v>950</v>
      </c>
      <c r="P6601" s="33" t="s">
        <v>30089</v>
      </c>
      <c r="Q6601" s="40" t="s">
        <v>11472</v>
      </c>
      <c r="R6601" s="33" t="s">
        <v>904</v>
      </c>
      <c r="S6601" s="33" t="s">
        <v>22</v>
      </c>
      <c r="T6601" s="33" t="s">
        <v>26781</v>
      </c>
      <c r="Z6601" s="33" t="s">
        <v>42967</v>
      </c>
      <c r="AA6601" s="33">
        <v>1063</v>
      </c>
      <c r="AE6601" s="33"/>
    </row>
    <row r="6602" spans="1:31" ht="12" customHeight="1" x14ac:dyDescent="0.15">
      <c r="A6602" s="33" t="s">
        <v>11458</v>
      </c>
      <c r="B6602" s="33">
        <v>35</v>
      </c>
      <c r="C6602" s="33" t="s">
        <v>103</v>
      </c>
      <c r="D6602" s="33" t="s">
        <v>31</v>
      </c>
      <c r="E6602" s="33" t="s">
        <v>11459</v>
      </c>
      <c r="F6602" s="67">
        <v>41619</v>
      </c>
      <c r="G6602" s="33" t="s">
        <v>11460</v>
      </c>
      <c r="H6602" s="33" t="s">
        <v>11461</v>
      </c>
      <c r="I6602" s="33" t="s">
        <v>63</v>
      </c>
      <c r="J6602" s="33" t="s">
        <v>11462</v>
      </c>
      <c r="K6602" s="33" t="s">
        <v>2973</v>
      </c>
      <c r="L6602" s="33" t="s">
        <v>11463</v>
      </c>
      <c r="M6602" s="33" t="s">
        <v>21</v>
      </c>
      <c r="N6602" s="33" t="s">
        <v>11464</v>
      </c>
      <c r="O6602" s="33" t="s">
        <v>507</v>
      </c>
      <c r="P6602" s="33" t="s">
        <v>30089</v>
      </c>
      <c r="Q6602" s="40" t="s">
        <v>11465</v>
      </c>
      <c r="R6602" s="33" t="s">
        <v>94</v>
      </c>
      <c r="S6602" s="33" t="s">
        <v>12</v>
      </c>
      <c r="T6602" s="54" t="s">
        <v>29705</v>
      </c>
      <c r="Z6602" s="33" t="s">
        <v>42967</v>
      </c>
      <c r="AA6602" s="33">
        <v>1064</v>
      </c>
    </row>
    <row r="6603" spans="1:31" ht="12" customHeight="1" x14ac:dyDescent="0.15">
      <c r="A6603" s="33" t="s">
        <v>11478</v>
      </c>
      <c r="B6603" s="33">
        <v>27</v>
      </c>
      <c r="C6603" s="33" t="s">
        <v>14</v>
      </c>
      <c r="D6603" s="33" t="s">
        <v>31</v>
      </c>
      <c r="E6603" s="33" t="s">
        <v>11479</v>
      </c>
      <c r="F6603" s="67">
        <v>41618</v>
      </c>
      <c r="G6603" s="33" t="s">
        <v>11475</v>
      </c>
      <c r="H6603" s="33" t="s">
        <v>196</v>
      </c>
      <c r="I6603" s="33" t="s">
        <v>56</v>
      </c>
      <c r="J6603" s="33" t="s">
        <v>8232</v>
      </c>
      <c r="K6603" s="33" t="s">
        <v>148</v>
      </c>
      <c r="L6603" s="33" t="s">
        <v>149</v>
      </c>
      <c r="M6603" s="33" t="s">
        <v>21</v>
      </c>
      <c r="N6603" s="33" t="s">
        <v>11480</v>
      </c>
      <c r="O6603" s="33" t="s">
        <v>372</v>
      </c>
      <c r="P6603" s="33" t="s">
        <v>30089</v>
      </c>
      <c r="Q6603" s="40" t="s">
        <v>11477</v>
      </c>
      <c r="R6603" s="33" t="s">
        <v>904</v>
      </c>
      <c r="S6603" s="33" t="s">
        <v>12</v>
      </c>
      <c r="T6603" s="54" t="s">
        <v>29705</v>
      </c>
      <c r="Z6603" s="33" t="s">
        <v>42968</v>
      </c>
      <c r="AA6603" s="33">
        <v>1061</v>
      </c>
    </row>
    <row r="6604" spans="1:31" ht="12" customHeight="1" x14ac:dyDescent="0.15">
      <c r="A6604" s="33" t="s">
        <v>11473</v>
      </c>
      <c r="B6604" s="33">
        <v>50</v>
      </c>
      <c r="C6604" s="33" t="s">
        <v>14</v>
      </c>
      <c r="D6604" s="33" t="s">
        <v>42</v>
      </c>
      <c r="E6604" s="33" t="s">
        <v>11474</v>
      </c>
      <c r="F6604" s="67">
        <v>41618</v>
      </c>
      <c r="G6604" s="33" t="s">
        <v>11475</v>
      </c>
      <c r="H6604" s="33" t="s">
        <v>196</v>
      </c>
      <c r="I6604" s="33" t="s">
        <v>56</v>
      </c>
      <c r="J6604" s="33" t="s">
        <v>8232</v>
      </c>
      <c r="K6604" s="33" t="s">
        <v>148</v>
      </c>
      <c r="L6604" s="33" t="s">
        <v>149</v>
      </c>
      <c r="M6604" s="33" t="s">
        <v>21</v>
      </c>
      <c r="N6604" s="33" t="s">
        <v>11476</v>
      </c>
      <c r="O6604" s="33" t="s">
        <v>950</v>
      </c>
      <c r="P6604" s="33" t="s">
        <v>30089</v>
      </c>
      <c r="Q6604" s="40" t="s">
        <v>11477</v>
      </c>
      <c r="R6604" s="33" t="s">
        <v>94</v>
      </c>
      <c r="S6604" s="33" t="s">
        <v>12</v>
      </c>
      <c r="T6604" s="54" t="s">
        <v>29705</v>
      </c>
      <c r="Z6604" s="33" t="s">
        <v>42968</v>
      </c>
      <c r="AA6604" s="33">
        <v>1060</v>
      </c>
    </row>
    <row r="6605" spans="1:31" ht="12" customHeight="1" x14ac:dyDescent="0.15">
      <c r="A6605" s="33" t="s">
        <v>11481</v>
      </c>
      <c r="B6605" s="33">
        <v>43</v>
      </c>
      <c r="C6605" s="33" t="s">
        <v>14</v>
      </c>
      <c r="D6605" s="33" t="s">
        <v>31</v>
      </c>
      <c r="E6605" s="33" t="s">
        <v>11482</v>
      </c>
      <c r="F6605" s="67">
        <v>41618</v>
      </c>
      <c r="G6605" s="33" t="s">
        <v>11483</v>
      </c>
      <c r="H6605" s="33" t="s">
        <v>6491</v>
      </c>
      <c r="I6605" s="33" t="s">
        <v>39</v>
      </c>
      <c r="J6605" s="33" t="s">
        <v>11484</v>
      </c>
      <c r="K6605" s="33" t="s">
        <v>561</v>
      </c>
      <c r="L6605" s="33" t="s">
        <v>18994</v>
      </c>
      <c r="M6605" s="33" t="s">
        <v>21</v>
      </c>
      <c r="N6605" s="33" t="s">
        <v>11485</v>
      </c>
      <c r="O6605" s="33" t="s">
        <v>950</v>
      </c>
      <c r="P6605" s="33" t="s">
        <v>30089</v>
      </c>
      <c r="Q6605" s="40" t="s">
        <v>11486</v>
      </c>
      <c r="R6605" s="33" t="s">
        <v>512</v>
      </c>
      <c r="S6605" s="33" t="s">
        <v>29</v>
      </c>
      <c r="T6605" s="33" t="s">
        <v>41840</v>
      </c>
      <c r="Z6605" s="33" t="s">
        <v>42968</v>
      </c>
      <c r="AA6605" s="33">
        <v>1062</v>
      </c>
    </row>
    <row r="6606" spans="1:31" ht="12" customHeight="1" x14ac:dyDescent="0.15">
      <c r="A6606" s="33" t="s">
        <v>11487</v>
      </c>
      <c r="B6606" s="33">
        <v>26</v>
      </c>
      <c r="C6606" s="33" t="s">
        <v>14</v>
      </c>
      <c r="D6606" s="33" t="s">
        <v>31</v>
      </c>
      <c r="E6606" s="33" t="s">
        <v>11488</v>
      </c>
      <c r="F6606" s="67">
        <v>41617</v>
      </c>
      <c r="G6606" s="33" t="s">
        <v>22184</v>
      </c>
      <c r="H6606" s="33" t="s">
        <v>11489</v>
      </c>
      <c r="I6606" s="33" t="s">
        <v>376</v>
      </c>
      <c r="J6606" s="33" t="s">
        <v>11490</v>
      </c>
      <c r="K6606" s="33" t="s">
        <v>1530</v>
      </c>
      <c r="L6606" s="33" t="s">
        <v>11491</v>
      </c>
      <c r="M6606" s="33" t="s">
        <v>21</v>
      </c>
      <c r="N6606" s="33" t="s">
        <v>11492</v>
      </c>
      <c r="O6606" s="33" t="s">
        <v>950</v>
      </c>
      <c r="P6606" s="33" t="s">
        <v>30089</v>
      </c>
      <c r="Q6606" s="40" t="s">
        <v>11493</v>
      </c>
      <c r="R6606" s="33" t="s">
        <v>23</v>
      </c>
      <c r="S6606" s="33" t="s">
        <v>22</v>
      </c>
      <c r="T6606" s="1" t="s">
        <v>26781</v>
      </c>
      <c r="Z6606" s="33" t="s">
        <v>42968</v>
      </c>
      <c r="AA6606" s="33">
        <v>1059</v>
      </c>
    </row>
    <row r="6607" spans="1:31" ht="12" customHeight="1" x14ac:dyDescent="0.15">
      <c r="A6607" s="33" t="s">
        <v>11511</v>
      </c>
      <c r="B6607" s="103">
        <v>37</v>
      </c>
      <c r="C6607" s="33" t="s">
        <v>14</v>
      </c>
      <c r="D6607" s="33" t="s">
        <v>31</v>
      </c>
      <c r="E6607" s="33" t="s">
        <v>11512</v>
      </c>
      <c r="F6607" s="67">
        <v>41616</v>
      </c>
      <c r="G6607" s="33" t="s">
        <v>11513</v>
      </c>
      <c r="H6607" s="33" t="s">
        <v>866</v>
      </c>
      <c r="I6607" s="33" t="s">
        <v>178</v>
      </c>
      <c r="J6607" s="33" t="s">
        <v>11514</v>
      </c>
      <c r="K6607" s="33" t="s">
        <v>433</v>
      </c>
      <c r="L6607" s="33" t="s">
        <v>4562</v>
      </c>
      <c r="M6607" s="33" t="s">
        <v>21</v>
      </c>
      <c r="N6607" s="33" t="s">
        <v>11515</v>
      </c>
      <c r="O6607" s="33" t="s">
        <v>23</v>
      </c>
      <c r="P6607" s="33" t="s">
        <v>30089</v>
      </c>
      <c r="Q6607" s="40" t="s">
        <v>9174</v>
      </c>
      <c r="R6607" s="33" t="s">
        <v>94</v>
      </c>
      <c r="S6607" s="33" t="s">
        <v>22</v>
      </c>
      <c r="T6607" s="1" t="s">
        <v>26781</v>
      </c>
      <c r="Z6607" s="33" t="s">
        <v>42966</v>
      </c>
      <c r="AA6607" s="33">
        <v>1056</v>
      </c>
    </row>
    <row r="6608" spans="1:31" ht="12" customHeight="1" x14ac:dyDescent="0.15">
      <c r="A6608" s="33" t="s">
        <v>11501</v>
      </c>
      <c r="B6608" s="33">
        <v>54</v>
      </c>
      <c r="C6608" s="33" t="s">
        <v>14</v>
      </c>
      <c r="D6608" s="33" t="s">
        <v>42</v>
      </c>
      <c r="F6608" s="67">
        <v>41616</v>
      </c>
      <c r="G6608" s="33" t="s">
        <v>11502</v>
      </c>
      <c r="H6608" s="33" t="s">
        <v>196</v>
      </c>
      <c r="I6608" s="33" t="s">
        <v>56</v>
      </c>
      <c r="J6608" s="33" t="s">
        <v>11503</v>
      </c>
      <c r="K6608" s="33" t="s">
        <v>148</v>
      </c>
      <c r="L6608" s="33" t="s">
        <v>149</v>
      </c>
      <c r="M6608" s="33" t="s">
        <v>21</v>
      </c>
      <c r="N6608" s="33" t="s">
        <v>11504</v>
      </c>
      <c r="O6608" s="33" t="s">
        <v>950</v>
      </c>
      <c r="P6608" s="33" t="s">
        <v>30089</v>
      </c>
      <c r="Q6608" s="40" t="str">
        <f>HYPERLINK("http://www.local10.com/news/man-dead-after-shootout-with-swat/23386254","http://www.local10.com/news/man-dead-after-shootout-with-swat/23386254")</f>
        <v>http://www.local10.com/news/man-dead-after-shootout-with-swat/23386254</v>
      </c>
      <c r="R6608" s="33" t="s">
        <v>94</v>
      </c>
      <c r="S6608" s="33" t="s">
        <v>22</v>
      </c>
      <c r="T6608" s="1" t="s">
        <v>26781</v>
      </c>
      <c r="Z6608" s="33" t="s">
        <v>42968</v>
      </c>
      <c r="AA6608" s="33">
        <v>1055</v>
      </c>
    </row>
    <row r="6609" spans="1:64" ht="12" customHeight="1" x14ac:dyDescent="0.15">
      <c r="A6609" s="33" t="s">
        <v>11505</v>
      </c>
      <c r="B6609" s="33">
        <v>57</v>
      </c>
      <c r="C6609" s="33" t="s">
        <v>14</v>
      </c>
      <c r="D6609" s="33" t="s">
        <v>42</v>
      </c>
      <c r="E6609" s="33" t="s">
        <v>11506</v>
      </c>
      <c r="F6609" s="67">
        <v>41616</v>
      </c>
      <c r="G6609" s="33" t="s">
        <v>11507</v>
      </c>
      <c r="H6609" s="33" t="s">
        <v>196</v>
      </c>
      <c r="I6609" s="33" t="s">
        <v>56</v>
      </c>
      <c r="J6609" s="33" t="s">
        <v>11508</v>
      </c>
      <c r="K6609" s="33" t="s">
        <v>148</v>
      </c>
      <c r="L6609" s="33" t="s">
        <v>427</v>
      </c>
      <c r="M6609" s="33" t="s">
        <v>21</v>
      </c>
      <c r="N6609" s="33" t="s">
        <v>11509</v>
      </c>
      <c r="O6609" s="33" t="s">
        <v>950</v>
      </c>
      <c r="P6609" s="33" t="s">
        <v>30089</v>
      </c>
      <c r="Q6609" s="40" t="s">
        <v>11510</v>
      </c>
      <c r="R6609" s="33" t="s">
        <v>23</v>
      </c>
      <c r="S6609" s="33" t="s">
        <v>29</v>
      </c>
      <c r="T6609" s="1" t="s">
        <v>41840</v>
      </c>
      <c r="Z6609" s="33" t="s">
        <v>42966</v>
      </c>
      <c r="AA6609" s="33">
        <v>1058</v>
      </c>
    </row>
    <row r="6610" spans="1:64" ht="12" customHeight="1" x14ac:dyDescent="0.15">
      <c r="A6610" s="33" t="s">
        <v>11494</v>
      </c>
      <c r="B6610" s="33">
        <v>21</v>
      </c>
      <c r="C6610" s="33" t="s">
        <v>14</v>
      </c>
      <c r="D6610" s="33" t="s">
        <v>79</v>
      </c>
      <c r="E6610" s="33" t="s">
        <v>11495</v>
      </c>
      <c r="F6610" s="67">
        <v>41616</v>
      </c>
      <c r="G6610" s="33" t="s">
        <v>11496</v>
      </c>
      <c r="H6610" s="33" t="s">
        <v>11497</v>
      </c>
      <c r="I6610" s="33" t="s">
        <v>376</v>
      </c>
      <c r="J6610" s="33" t="s">
        <v>11498</v>
      </c>
      <c r="K6610" s="33" t="s">
        <v>1530</v>
      </c>
      <c r="L6610" s="33" t="s">
        <v>8484</v>
      </c>
      <c r="M6610" s="33" t="s">
        <v>21</v>
      </c>
      <c r="N6610" s="33" t="s">
        <v>11499</v>
      </c>
      <c r="O6610" s="33" t="s">
        <v>507</v>
      </c>
      <c r="P6610" s="33" t="s">
        <v>30089</v>
      </c>
      <c r="Q6610" s="40" t="s">
        <v>11500</v>
      </c>
      <c r="R6610" s="33" t="s">
        <v>23</v>
      </c>
      <c r="S6610" s="33" t="s">
        <v>22</v>
      </c>
      <c r="T6610" s="1" t="s">
        <v>26774</v>
      </c>
      <c r="Z6610" s="33" t="s">
        <v>42968</v>
      </c>
      <c r="AA6610" s="33">
        <v>1057</v>
      </c>
    </row>
    <row r="6611" spans="1:64" ht="12" customHeight="1" x14ac:dyDescent="0.15">
      <c r="A6611" s="33" t="s">
        <v>11529</v>
      </c>
      <c r="B6611" s="33">
        <v>26</v>
      </c>
      <c r="C6611" s="33" t="s">
        <v>14</v>
      </c>
      <c r="D6611" s="33" t="s">
        <v>31</v>
      </c>
      <c r="E6611" s="33" t="s">
        <v>11530</v>
      </c>
      <c r="F6611" s="67">
        <v>41615</v>
      </c>
      <c r="G6611" s="33" t="s">
        <v>11531</v>
      </c>
      <c r="H6611" s="33" t="s">
        <v>607</v>
      </c>
      <c r="I6611" s="33" t="s">
        <v>250</v>
      </c>
      <c r="J6611" s="33" t="s">
        <v>11532</v>
      </c>
      <c r="K6611" s="33" t="s">
        <v>527</v>
      </c>
      <c r="L6611" s="33" t="s">
        <v>528</v>
      </c>
      <c r="M6611" s="33" t="s">
        <v>21</v>
      </c>
      <c r="N6611" s="33" t="s">
        <v>11533</v>
      </c>
      <c r="O6611" s="33" t="s">
        <v>950</v>
      </c>
      <c r="P6611" s="33" t="s">
        <v>30089</v>
      </c>
      <c r="Q6611" s="40" t="s">
        <v>11528</v>
      </c>
      <c r="R6611" s="33" t="s">
        <v>23</v>
      </c>
      <c r="S6611" s="33" t="s">
        <v>22</v>
      </c>
      <c r="T6611" s="1" t="s">
        <v>26781</v>
      </c>
      <c r="Z6611" s="33" t="s">
        <v>42966</v>
      </c>
      <c r="AA6611" s="33">
        <v>1052</v>
      </c>
    </row>
    <row r="6612" spans="1:64" ht="12" customHeight="1" x14ac:dyDescent="0.15">
      <c r="A6612" s="33" t="s">
        <v>11516</v>
      </c>
      <c r="B6612" s="33">
        <v>20</v>
      </c>
      <c r="C6612" s="33" t="s">
        <v>14</v>
      </c>
      <c r="D6612" s="33" t="s">
        <v>79</v>
      </c>
      <c r="E6612" s="33" t="s">
        <v>11517</v>
      </c>
      <c r="F6612" s="67">
        <v>41615</v>
      </c>
      <c r="G6612" s="33" t="s">
        <v>11518</v>
      </c>
      <c r="H6612" s="33" t="s">
        <v>766</v>
      </c>
      <c r="I6612" s="33" t="s">
        <v>40</v>
      </c>
      <c r="J6612" s="33" t="s">
        <v>11519</v>
      </c>
      <c r="K6612" s="33" t="s">
        <v>1588</v>
      </c>
      <c r="L6612" s="33" t="s">
        <v>2980</v>
      </c>
      <c r="M6612" s="33" t="s">
        <v>21</v>
      </c>
      <c r="N6612" s="33" t="s">
        <v>11520</v>
      </c>
      <c r="O6612" s="33" t="s">
        <v>950</v>
      </c>
      <c r="P6612" s="33" t="s">
        <v>30089</v>
      </c>
      <c r="Q6612" s="40" t="s">
        <v>11521</v>
      </c>
      <c r="R6612" s="33" t="s">
        <v>94</v>
      </c>
      <c r="S6612" s="33" t="s">
        <v>22</v>
      </c>
      <c r="T6612" s="33" t="s">
        <v>26781</v>
      </c>
      <c r="U6612" s="33" t="s">
        <v>26572</v>
      </c>
      <c r="V6612" s="33" t="s">
        <v>26574</v>
      </c>
      <c r="Z6612" s="33" t="s">
        <v>42966</v>
      </c>
      <c r="AA6612" s="33">
        <v>1053</v>
      </c>
    </row>
    <row r="6613" spans="1:64" ht="12" customHeight="1" x14ac:dyDescent="0.15">
      <c r="A6613" s="92" t="s">
        <v>42824</v>
      </c>
      <c r="B6613" s="99">
        <v>33</v>
      </c>
      <c r="C6613" s="10" t="s">
        <v>14</v>
      </c>
      <c r="D6613" s="10" t="s">
        <v>31</v>
      </c>
      <c r="E6613" s="62" t="s">
        <v>42825</v>
      </c>
      <c r="F6613" s="67">
        <v>41615</v>
      </c>
      <c r="G6613" s="10" t="s">
        <v>42826</v>
      </c>
      <c r="H6613" s="10" t="s">
        <v>4913</v>
      </c>
      <c r="I6613" s="10" t="s">
        <v>402</v>
      </c>
      <c r="J6613" s="65">
        <v>64055</v>
      </c>
      <c r="K6613" s="10" t="s">
        <v>404</v>
      </c>
      <c r="L6613" s="10" t="s">
        <v>8998</v>
      </c>
      <c r="M6613" s="10" t="s">
        <v>21</v>
      </c>
      <c r="N6613" s="10" t="s">
        <v>42827</v>
      </c>
      <c r="O6613" s="10" t="s">
        <v>950</v>
      </c>
      <c r="P6613" s="10" t="s">
        <v>30089</v>
      </c>
      <c r="Q6613" s="62" t="s">
        <v>42828</v>
      </c>
      <c r="R6613" s="10" t="s">
        <v>94</v>
      </c>
      <c r="S6613" s="10" t="s">
        <v>12</v>
      </c>
      <c r="T6613" s="10" t="s">
        <v>29705</v>
      </c>
      <c r="U6613" s="10"/>
      <c r="V6613" s="10"/>
      <c r="W6613" s="69"/>
      <c r="X6613" s="89"/>
      <c r="Y6613" s="68"/>
      <c r="Z6613" s="68" t="s">
        <v>42968</v>
      </c>
      <c r="AA6613" s="33">
        <v>1054</v>
      </c>
      <c r="AG6613" s="68"/>
      <c r="AK6613" s="68"/>
      <c r="AL6613" s="68"/>
      <c r="AM6613" s="68"/>
      <c r="AN6613" s="68"/>
      <c r="AO6613" s="68"/>
      <c r="AP6613" s="68"/>
      <c r="AQ6613" s="68"/>
      <c r="AR6613" s="68"/>
      <c r="AS6613" s="68"/>
      <c r="AT6613" s="68"/>
      <c r="AU6613" s="68"/>
      <c r="AV6613" s="68"/>
      <c r="AW6613" s="68"/>
      <c r="AX6613" s="68"/>
      <c r="AY6613" s="68"/>
      <c r="AZ6613" s="68"/>
      <c r="BA6613" s="68"/>
      <c r="BB6613" s="68"/>
      <c r="BC6613" s="68"/>
      <c r="BD6613" s="68"/>
      <c r="BE6613" s="68"/>
      <c r="BF6613" s="68"/>
      <c r="BG6613" s="68"/>
      <c r="BH6613" s="68"/>
      <c r="BI6613" s="68"/>
      <c r="BJ6613" s="68"/>
      <c r="BK6613" s="68"/>
      <c r="BL6613" s="68"/>
    </row>
    <row r="6614" spans="1:64" ht="12" customHeight="1" x14ac:dyDescent="0.15">
      <c r="A6614" s="33" t="s">
        <v>36844</v>
      </c>
      <c r="B6614" s="33">
        <v>23</v>
      </c>
      <c r="C6614" s="33" t="s">
        <v>14</v>
      </c>
      <c r="D6614" s="33" t="s">
        <v>79</v>
      </c>
      <c r="F6614" s="67">
        <v>41615</v>
      </c>
      <c r="G6614" s="33" t="s">
        <v>11522</v>
      </c>
      <c r="H6614" s="33" t="s">
        <v>11523</v>
      </c>
      <c r="I6614" s="33" t="s">
        <v>282</v>
      </c>
      <c r="J6614" s="33" t="s">
        <v>11524</v>
      </c>
      <c r="K6614" s="33" t="s">
        <v>1133</v>
      </c>
      <c r="L6614" s="33" t="s">
        <v>11525</v>
      </c>
      <c r="M6614" s="33" t="s">
        <v>21</v>
      </c>
      <c r="N6614" s="33" t="s">
        <v>11526</v>
      </c>
      <c r="O6614" s="33" t="s">
        <v>950</v>
      </c>
      <c r="P6614" s="33" t="s">
        <v>30089</v>
      </c>
      <c r="Q6614" s="40" t="s">
        <v>11527</v>
      </c>
      <c r="R6614" s="33" t="s">
        <v>23</v>
      </c>
      <c r="S6614" s="33" t="s">
        <v>22</v>
      </c>
      <c r="T6614" s="1" t="s">
        <v>26781</v>
      </c>
      <c r="Z6614" s="33" t="s">
        <v>42968</v>
      </c>
      <c r="AA6614" s="33">
        <v>1051</v>
      </c>
    </row>
    <row r="6615" spans="1:64" ht="12" customHeight="1" x14ac:dyDescent="0.15">
      <c r="A6615" s="33" t="s">
        <v>11534</v>
      </c>
      <c r="B6615" s="33">
        <v>42</v>
      </c>
      <c r="C6615" s="33" t="s">
        <v>14</v>
      </c>
      <c r="D6615" s="33" t="s">
        <v>31</v>
      </c>
      <c r="E6615" s="33" t="s">
        <v>11535</v>
      </c>
      <c r="F6615" s="67">
        <v>41614</v>
      </c>
      <c r="G6615" s="33" t="s">
        <v>11536</v>
      </c>
      <c r="H6615" s="33" t="s">
        <v>584</v>
      </c>
      <c r="I6615" s="33" t="s">
        <v>112</v>
      </c>
      <c r="J6615" s="33" t="s">
        <v>11537</v>
      </c>
      <c r="K6615" s="33" t="s">
        <v>585</v>
      </c>
      <c r="L6615" s="33" t="s">
        <v>586</v>
      </c>
      <c r="M6615" s="33" t="s">
        <v>21</v>
      </c>
      <c r="N6615" s="33" t="s">
        <v>11538</v>
      </c>
      <c r="O6615" s="33" t="s">
        <v>950</v>
      </c>
      <c r="P6615" s="33" t="s">
        <v>30089</v>
      </c>
      <c r="Q6615" s="40" t="s">
        <v>11539</v>
      </c>
      <c r="R6615" s="33" t="s">
        <v>94</v>
      </c>
      <c r="S6615" s="33" t="s">
        <v>22</v>
      </c>
      <c r="T6615" s="1" t="s">
        <v>42992</v>
      </c>
      <c r="Z6615" s="33" t="s">
        <v>42966</v>
      </c>
      <c r="AA6615" s="33">
        <v>1048</v>
      </c>
    </row>
    <row r="6616" spans="1:64" ht="12" customHeight="1" x14ac:dyDescent="0.15">
      <c r="A6616" s="33" t="s">
        <v>27523</v>
      </c>
      <c r="B6616" s="33">
        <v>23</v>
      </c>
      <c r="C6616" s="33" t="s">
        <v>14</v>
      </c>
      <c r="D6616" s="33" t="s">
        <v>79</v>
      </c>
      <c r="F6616" s="67">
        <v>41614</v>
      </c>
      <c r="G6616" s="33" t="s">
        <v>27524</v>
      </c>
      <c r="H6616" s="33" t="s">
        <v>12907</v>
      </c>
      <c r="I6616" s="33" t="s">
        <v>918</v>
      </c>
      <c r="J6616" s="33" t="s">
        <v>12908</v>
      </c>
      <c r="K6616" s="33" t="s">
        <v>1659</v>
      </c>
      <c r="L6616" s="33" t="s">
        <v>27525</v>
      </c>
      <c r="M6616" s="33" t="s">
        <v>21</v>
      </c>
      <c r="N6616" s="33" t="s">
        <v>27526</v>
      </c>
      <c r="O6616" s="33" t="s">
        <v>507</v>
      </c>
      <c r="P6616" s="33" t="s">
        <v>30089</v>
      </c>
      <c r="Q6616" s="40" t="s">
        <v>27527</v>
      </c>
      <c r="R6616" s="33" t="s">
        <v>94</v>
      </c>
      <c r="S6616" s="33" t="s">
        <v>22</v>
      </c>
      <c r="T6616" s="1" t="s">
        <v>26781</v>
      </c>
      <c r="Z6616" s="33" t="s">
        <v>42968</v>
      </c>
      <c r="AA6616" s="33">
        <v>1049</v>
      </c>
    </row>
    <row r="6617" spans="1:64" ht="12" customHeight="1" x14ac:dyDescent="0.15">
      <c r="A6617" s="33" t="s">
        <v>11540</v>
      </c>
      <c r="B6617" s="33">
        <v>23</v>
      </c>
      <c r="C6617" s="33" t="s">
        <v>14</v>
      </c>
      <c r="D6617" s="33" t="s">
        <v>31</v>
      </c>
      <c r="E6617" s="33" t="s">
        <v>11543</v>
      </c>
      <c r="F6617" s="67">
        <v>41614</v>
      </c>
      <c r="G6617" s="33" t="s">
        <v>11541</v>
      </c>
      <c r="H6617" s="33" t="s">
        <v>11544</v>
      </c>
      <c r="I6617" s="33" t="s">
        <v>67</v>
      </c>
      <c r="J6617" s="33" t="s">
        <v>11542</v>
      </c>
      <c r="K6617" s="33" t="s">
        <v>533</v>
      </c>
      <c r="L6617" s="33" t="s">
        <v>11545</v>
      </c>
      <c r="M6617" s="33" t="s">
        <v>21</v>
      </c>
      <c r="N6617" s="33" t="s">
        <v>36845</v>
      </c>
      <c r="O6617" s="33" t="s">
        <v>507</v>
      </c>
      <c r="P6617" s="33" t="s">
        <v>30089</v>
      </c>
      <c r="Q6617" s="40" t="str">
        <f>HYPERLINK("http://www.today.com/news/unjustified-family-student-killed-campus-police-speaks-out-2D11723684","http://www.today.com/news/unjustified-family-student-killed-campus-police-speaks-out-2D11723684")</f>
        <v>http://www.today.com/news/unjustified-family-student-killed-campus-police-speaks-out-2D11723684</v>
      </c>
      <c r="R6617" s="33" t="s">
        <v>904</v>
      </c>
      <c r="S6617" s="33" t="s">
        <v>29</v>
      </c>
      <c r="T6617" s="33" t="s">
        <v>41840</v>
      </c>
      <c r="Z6617" s="33" t="s">
        <v>42968</v>
      </c>
      <c r="AA6617" s="33">
        <v>1050</v>
      </c>
    </row>
    <row r="6618" spans="1:64" ht="12" customHeight="1" x14ac:dyDescent="0.15">
      <c r="A6618" s="33" t="s">
        <v>11550</v>
      </c>
      <c r="B6618" s="33">
        <v>43</v>
      </c>
      <c r="C6618" s="33" t="s">
        <v>14</v>
      </c>
      <c r="D6618" s="33" t="s">
        <v>24</v>
      </c>
      <c r="F6618" s="67">
        <v>41613</v>
      </c>
      <c r="G6618" s="33" t="s">
        <v>11551</v>
      </c>
      <c r="H6618" s="33" t="s">
        <v>1645</v>
      </c>
      <c r="I6618" s="33" t="s">
        <v>39</v>
      </c>
      <c r="J6618" s="33" t="s">
        <v>1646</v>
      </c>
      <c r="K6618" s="33" t="s">
        <v>1647</v>
      </c>
      <c r="L6618" s="33" t="s">
        <v>1648</v>
      </c>
      <c r="M6618" s="33" t="s">
        <v>21</v>
      </c>
      <c r="N6618" s="33" t="s">
        <v>11552</v>
      </c>
      <c r="O6618" s="33" t="s">
        <v>950</v>
      </c>
      <c r="P6618" s="33" t="s">
        <v>30089</v>
      </c>
      <c r="Q6618" s="40" t="s">
        <v>11553</v>
      </c>
      <c r="R6618" s="33" t="s">
        <v>94</v>
      </c>
      <c r="S6618" s="33" t="s">
        <v>22</v>
      </c>
      <c r="T6618" s="1" t="s">
        <v>26774</v>
      </c>
      <c r="Z6618" s="33" t="s">
        <v>42968</v>
      </c>
      <c r="AA6618" s="33">
        <v>1047</v>
      </c>
    </row>
    <row r="6619" spans="1:64" ht="12" customHeight="1" x14ac:dyDescent="0.15">
      <c r="A6619" s="33" t="s">
        <v>11546</v>
      </c>
      <c r="B6619" s="33">
        <v>49</v>
      </c>
      <c r="C6619" s="33" t="s">
        <v>14</v>
      </c>
      <c r="D6619" s="33" t="s">
        <v>24</v>
      </c>
      <c r="F6619" s="67">
        <v>41613</v>
      </c>
      <c r="G6619" s="33" t="s">
        <v>22185</v>
      </c>
      <c r="H6619" s="33" t="s">
        <v>4913</v>
      </c>
      <c r="I6619" s="33" t="s">
        <v>402</v>
      </c>
      <c r="J6619" s="33" t="s">
        <v>11547</v>
      </c>
      <c r="K6619" s="33" t="s">
        <v>404</v>
      </c>
      <c r="L6619" s="33" t="s">
        <v>1321</v>
      </c>
      <c r="M6619" s="33" t="s">
        <v>21</v>
      </c>
      <c r="N6619" s="33" t="s">
        <v>11548</v>
      </c>
      <c r="O6619" s="33" t="s">
        <v>950</v>
      </c>
      <c r="P6619" s="33" t="s">
        <v>30089</v>
      </c>
      <c r="Q6619" s="40" t="s">
        <v>11549</v>
      </c>
      <c r="R6619" s="33" t="s">
        <v>23</v>
      </c>
      <c r="S6619" s="33" t="s">
        <v>22</v>
      </c>
      <c r="T6619" s="1" t="s">
        <v>26781</v>
      </c>
      <c r="Z6619" s="33" t="s">
        <v>42968</v>
      </c>
      <c r="AA6619" s="33">
        <v>1046</v>
      </c>
    </row>
    <row r="6620" spans="1:64" ht="12" customHeight="1" x14ac:dyDescent="0.15">
      <c r="A6620" s="33" t="s">
        <v>11561</v>
      </c>
      <c r="B6620" s="33">
        <v>31</v>
      </c>
      <c r="C6620" s="33" t="s">
        <v>14</v>
      </c>
      <c r="D6620" s="33" t="s">
        <v>42</v>
      </c>
      <c r="E6620" s="33" t="s">
        <v>11562</v>
      </c>
      <c r="F6620" s="67">
        <v>41612</v>
      </c>
      <c r="G6620" s="33" t="s">
        <v>11563</v>
      </c>
      <c r="H6620" s="33" t="s">
        <v>11564</v>
      </c>
      <c r="I6620" s="33" t="s">
        <v>75</v>
      </c>
      <c r="J6620" s="33" t="s">
        <v>11565</v>
      </c>
      <c r="K6620" s="33" t="s">
        <v>36</v>
      </c>
      <c r="L6620" s="33" t="s">
        <v>11566</v>
      </c>
      <c r="M6620" s="33" t="s">
        <v>21</v>
      </c>
      <c r="N6620" s="33" t="s">
        <v>11567</v>
      </c>
      <c r="O6620" s="33" t="s">
        <v>507</v>
      </c>
      <c r="P6620" s="33" t="s">
        <v>30089</v>
      </c>
      <c r="Q6620" s="40" t="s">
        <v>11568</v>
      </c>
      <c r="R6620" s="33" t="s">
        <v>23</v>
      </c>
      <c r="S6620" s="33" t="s">
        <v>22</v>
      </c>
      <c r="T6620" s="1" t="s">
        <v>26774</v>
      </c>
      <c r="Z6620" s="33" t="s">
        <v>42966</v>
      </c>
      <c r="AA6620" s="33">
        <v>1045</v>
      </c>
    </row>
    <row r="6621" spans="1:64" ht="12" customHeight="1" x14ac:dyDescent="0.15">
      <c r="A6621" s="33" t="s">
        <v>11554</v>
      </c>
      <c r="B6621" s="33">
        <v>73</v>
      </c>
      <c r="C6621" s="33" t="s">
        <v>14</v>
      </c>
      <c r="D6621" s="33" t="s">
        <v>79</v>
      </c>
      <c r="F6621" s="67">
        <v>41612</v>
      </c>
      <c r="G6621" s="33" t="s">
        <v>11555</v>
      </c>
      <c r="H6621" s="33" t="s">
        <v>11556</v>
      </c>
      <c r="I6621" s="33" t="s">
        <v>88</v>
      </c>
      <c r="J6621" s="33" t="s">
        <v>11557</v>
      </c>
      <c r="K6621" s="33" t="s">
        <v>266</v>
      </c>
      <c r="L6621" s="33" t="s">
        <v>11558</v>
      </c>
      <c r="M6621" s="33" t="s">
        <v>21</v>
      </c>
      <c r="N6621" s="33" t="s">
        <v>11559</v>
      </c>
      <c r="O6621" s="33" t="s">
        <v>950</v>
      </c>
      <c r="P6621" s="33" t="s">
        <v>30089</v>
      </c>
      <c r="Q6621" s="40" t="s">
        <v>11560</v>
      </c>
      <c r="R6621" s="33" t="s">
        <v>23</v>
      </c>
      <c r="S6621" s="33" t="s">
        <v>22</v>
      </c>
      <c r="T6621" s="1" t="s">
        <v>26585</v>
      </c>
      <c r="Z6621" s="33" t="s">
        <v>42968</v>
      </c>
      <c r="AA6621" s="33">
        <v>1044</v>
      </c>
    </row>
    <row r="6622" spans="1:64" ht="12" customHeight="1" x14ac:dyDescent="0.15">
      <c r="A6622" s="33" t="s">
        <v>11573</v>
      </c>
      <c r="B6622" s="33">
        <v>38</v>
      </c>
      <c r="C6622" s="33" t="s">
        <v>14</v>
      </c>
      <c r="D6622" s="33" t="s">
        <v>31</v>
      </c>
      <c r="E6622" s="33" t="s">
        <v>11574</v>
      </c>
      <c r="F6622" s="67">
        <v>41611</v>
      </c>
      <c r="G6622" s="33" t="s">
        <v>22187</v>
      </c>
      <c r="H6622" s="33" t="s">
        <v>1734</v>
      </c>
      <c r="I6622" s="33" t="s">
        <v>342</v>
      </c>
      <c r="J6622" s="33" t="s">
        <v>6554</v>
      </c>
      <c r="K6622" s="33" t="s">
        <v>1736</v>
      </c>
      <c r="L6622" s="33" t="s">
        <v>1737</v>
      </c>
      <c r="M6622" s="33" t="s">
        <v>21</v>
      </c>
      <c r="N6622" s="33" t="s">
        <v>11575</v>
      </c>
      <c r="O6622" s="33" t="s">
        <v>950</v>
      </c>
      <c r="P6622" s="33" t="s">
        <v>30089</v>
      </c>
      <c r="Q6622" s="40" t="s">
        <v>11576</v>
      </c>
      <c r="R6622" s="33" t="s">
        <v>23</v>
      </c>
      <c r="S6622" s="33" t="s">
        <v>22</v>
      </c>
      <c r="T6622" s="1" t="s">
        <v>26781</v>
      </c>
      <c r="Z6622" s="33" t="s">
        <v>42968</v>
      </c>
      <c r="AA6622" s="33">
        <v>1043</v>
      </c>
    </row>
    <row r="6623" spans="1:64" ht="12" customHeight="1" x14ac:dyDescent="0.15">
      <c r="A6623" s="33" t="s">
        <v>11569</v>
      </c>
      <c r="B6623" s="33">
        <v>19</v>
      </c>
      <c r="C6623" s="33" t="s">
        <v>14</v>
      </c>
      <c r="D6623" s="33" t="s">
        <v>79</v>
      </c>
      <c r="F6623" s="67">
        <v>41611</v>
      </c>
      <c r="G6623" s="33" t="s">
        <v>22186</v>
      </c>
      <c r="H6623" s="33" t="s">
        <v>107</v>
      </c>
      <c r="I6623" s="33" t="s">
        <v>3357</v>
      </c>
      <c r="J6623" s="33" t="s">
        <v>11570</v>
      </c>
      <c r="K6623" s="33" t="s">
        <v>3359</v>
      </c>
      <c r="L6623" s="33" t="s">
        <v>17581</v>
      </c>
      <c r="M6623" s="33" t="s">
        <v>21</v>
      </c>
      <c r="N6623" s="33" t="s">
        <v>11571</v>
      </c>
      <c r="O6623" s="33" t="s">
        <v>950</v>
      </c>
      <c r="P6623" s="33" t="s">
        <v>30089</v>
      </c>
      <c r="Q6623" s="40" t="s">
        <v>11572</v>
      </c>
      <c r="R6623" s="33" t="s">
        <v>94</v>
      </c>
      <c r="S6623" s="33" t="s">
        <v>22</v>
      </c>
      <c r="T6623" s="1" t="s">
        <v>26781</v>
      </c>
      <c r="Z6623" s="33" t="s">
        <v>42966</v>
      </c>
      <c r="AA6623" s="33">
        <v>1042</v>
      </c>
    </row>
    <row r="6624" spans="1:64" ht="12" customHeight="1" x14ac:dyDescent="0.15">
      <c r="A6624" s="33" t="s">
        <v>11577</v>
      </c>
      <c r="B6624" s="33">
        <v>22</v>
      </c>
      <c r="C6624" s="33" t="s">
        <v>14</v>
      </c>
      <c r="D6624" s="33" t="s">
        <v>79</v>
      </c>
      <c r="E6624" s="33" t="s">
        <v>11578</v>
      </c>
      <c r="F6624" s="67">
        <v>41610</v>
      </c>
      <c r="G6624" s="33" t="s">
        <v>11579</v>
      </c>
      <c r="H6624" s="33" t="s">
        <v>1202</v>
      </c>
      <c r="I6624" s="33" t="s">
        <v>63</v>
      </c>
      <c r="J6624" s="33" t="s">
        <v>3123</v>
      </c>
      <c r="K6624" s="33" t="s">
        <v>1203</v>
      </c>
      <c r="L6624" s="33" t="s">
        <v>11441</v>
      </c>
      <c r="M6624" s="33" t="s">
        <v>21</v>
      </c>
      <c r="N6624" s="33" t="s">
        <v>11580</v>
      </c>
      <c r="O6624" s="33" t="s">
        <v>507</v>
      </c>
      <c r="P6624" s="33" t="s">
        <v>30089</v>
      </c>
      <c r="Q6624" s="40" t="s">
        <v>11581</v>
      </c>
      <c r="R6624" s="33" t="s">
        <v>94</v>
      </c>
      <c r="S6624" s="33" t="s">
        <v>22</v>
      </c>
      <c r="T6624" s="1" t="s">
        <v>26781</v>
      </c>
      <c r="Z6624" s="33" t="s">
        <v>42966</v>
      </c>
      <c r="AA6624" s="33">
        <v>1039</v>
      </c>
    </row>
    <row r="6625" spans="1:64" ht="12" customHeight="1" x14ac:dyDescent="0.15">
      <c r="A6625" s="33" t="s">
        <v>11582</v>
      </c>
      <c r="B6625" s="33">
        <v>46</v>
      </c>
      <c r="C6625" s="33" t="s">
        <v>14</v>
      </c>
      <c r="D6625" s="33" t="s">
        <v>24</v>
      </c>
      <c r="F6625" s="67">
        <v>41610</v>
      </c>
      <c r="G6625" s="33" t="s">
        <v>22189</v>
      </c>
      <c r="H6625" s="33" t="s">
        <v>518</v>
      </c>
      <c r="I6625" s="33" t="s">
        <v>112</v>
      </c>
      <c r="J6625" s="33" t="s">
        <v>5802</v>
      </c>
      <c r="K6625" s="33" t="s">
        <v>519</v>
      </c>
      <c r="L6625" s="33" t="s">
        <v>11583</v>
      </c>
      <c r="M6625" s="33" t="s">
        <v>21</v>
      </c>
      <c r="N6625" s="33" t="s">
        <v>11584</v>
      </c>
      <c r="O6625" s="33" t="s">
        <v>950</v>
      </c>
      <c r="P6625" s="33" t="s">
        <v>30089</v>
      </c>
      <c r="Q6625" s="40" t="s">
        <v>11585</v>
      </c>
      <c r="R6625" s="33" t="s">
        <v>94</v>
      </c>
      <c r="S6625" s="33" t="s">
        <v>22</v>
      </c>
      <c r="T6625" s="1" t="s">
        <v>26781</v>
      </c>
      <c r="Z6625" s="33" t="s">
        <v>42968</v>
      </c>
      <c r="AA6625" s="33">
        <v>1040</v>
      </c>
    </row>
    <row r="6626" spans="1:64" ht="12" customHeight="1" x14ac:dyDescent="0.15">
      <c r="A6626" s="33" t="s">
        <v>11586</v>
      </c>
      <c r="B6626" s="33">
        <v>49</v>
      </c>
      <c r="C6626" s="33" t="s">
        <v>14</v>
      </c>
      <c r="D6626" s="33" t="s">
        <v>31</v>
      </c>
      <c r="E6626" s="33" t="s">
        <v>11587</v>
      </c>
      <c r="F6626" s="67">
        <v>41610</v>
      </c>
      <c r="G6626" s="33" t="s">
        <v>22188</v>
      </c>
      <c r="H6626" s="33" t="s">
        <v>11588</v>
      </c>
      <c r="I6626" s="33" t="s">
        <v>298</v>
      </c>
      <c r="J6626" s="33" t="s">
        <v>11589</v>
      </c>
      <c r="K6626" s="33" t="s">
        <v>11590</v>
      </c>
      <c r="L6626" s="33" t="s">
        <v>11591</v>
      </c>
      <c r="M6626" s="33" t="s">
        <v>21</v>
      </c>
      <c r="N6626" s="33" t="s">
        <v>11592</v>
      </c>
      <c r="O6626" s="33" t="s">
        <v>507</v>
      </c>
      <c r="P6626" s="33" t="s">
        <v>30089</v>
      </c>
      <c r="Q6626" s="40" t="s">
        <v>11593</v>
      </c>
      <c r="R6626" s="33" t="s">
        <v>94</v>
      </c>
      <c r="S6626" s="33" t="s">
        <v>22</v>
      </c>
      <c r="T6626" s="1" t="s">
        <v>26781</v>
      </c>
      <c r="Z6626" s="33" t="s">
        <v>42967</v>
      </c>
      <c r="AA6626" s="33">
        <v>1041</v>
      </c>
    </row>
    <row r="6627" spans="1:64" ht="12" customHeight="1" x14ac:dyDescent="0.15">
      <c r="A6627" s="33" t="s">
        <v>11601</v>
      </c>
      <c r="B6627" s="33">
        <v>26</v>
      </c>
      <c r="C6627" s="33" t="s">
        <v>14</v>
      </c>
      <c r="D6627" s="33" t="s">
        <v>31</v>
      </c>
      <c r="E6627" s="33" t="s">
        <v>11602</v>
      </c>
      <c r="F6627" s="67">
        <v>41609</v>
      </c>
      <c r="G6627" s="33" t="s">
        <v>11603</v>
      </c>
      <c r="H6627" s="33" t="s">
        <v>401</v>
      </c>
      <c r="I6627" s="33" t="s">
        <v>402</v>
      </c>
      <c r="J6627" s="33" t="s">
        <v>11604</v>
      </c>
      <c r="K6627" s="33" t="s">
        <v>404</v>
      </c>
      <c r="L6627" s="33" t="s">
        <v>405</v>
      </c>
      <c r="M6627" s="33" t="s">
        <v>21</v>
      </c>
      <c r="N6627" s="33" t="s">
        <v>19057</v>
      </c>
      <c r="O6627" s="33" t="s">
        <v>507</v>
      </c>
      <c r="P6627" s="33" t="s">
        <v>30089</v>
      </c>
      <c r="Q6627" s="40" t="s">
        <v>11605</v>
      </c>
      <c r="R6627" s="33" t="s">
        <v>904</v>
      </c>
      <c r="S6627" s="33" t="s">
        <v>12</v>
      </c>
      <c r="T6627" s="54" t="s">
        <v>29705</v>
      </c>
      <c r="Y6627" s="33" t="s">
        <v>42476</v>
      </c>
      <c r="Z6627" s="33" t="s">
        <v>42966</v>
      </c>
      <c r="AA6627" s="33">
        <v>1037</v>
      </c>
    </row>
    <row r="6628" spans="1:64" ht="12" customHeight="1" x14ac:dyDescent="0.15">
      <c r="A6628" s="33" t="s">
        <v>11595</v>
      </c>
      <c r="B6628" s="33">
        <v>33</v>
      </c>
      <c r="C6628" s="33" t="s">
        <v>14</v>
      </c>
      <c r="D6628" s="33" t="s">
        <v>31</v>
      </c>
      <c r="E6628" s="33" t="s">
        <v>11596</v>
      </c>
      <c r="F6628" s="67">
        <v>41609</v>
      </c>
      <c r="G6628" s="33" t="s">
        <v>22190</v>
      </c>
      <c r="H6628" s="33" t="s">
        <v>36846</v>
      </c>
      <c r="I6628" s="33" t="s">
        <v>402</v>
      </c>
      <c r="J6628" s="33" t="s">
        <v>11597</v>
      </c>
      <c r="K6628" s="33" t="s">
        <v>4549</v>
      </c>
      <c r="L6628" s="33" t="s">
        <v>11598</v>
      </c>
      <c r="M6628" s="33" t="s">
        <v>21</v>
      </c>
      <c r="N6628" s="33" t="s">
        <v>11599</v>
      </c>
      <c r="O6628" s="33" t="s">
        <v>507</v>
      </c>
      <c r="P6628" s="33" t="s">
        <v>30089</v>
      </c>
      <c r="Q6628" s="40" t="s">
        <v>11600</v>
      </c>
      <c r="R6628" s="33" t="s">
        <v>23</v>
      </c>
      <c r="S6628" s="33" t="s">
        <v>12</v>
      </c>
      <c r="T6628" s="54" t="s">
        <v>29705</v>
      </c>
      <c r="Z6628" s="33" t="s">
        <v>42967</v>
      </c>
      <c r="AA6628" s="33">
        <v>1038</v>
      </c>
    </row>
    <row r="6629" spans="1:64" ht="12" customHeight="1" x14ac:dyDescent="0.15">
      <c r="A6629" s="63" t="s">
        <v>42746</v>
      </c>
      <c r="B6629" s="99">
        <v>34</v>
      </c>
      <c r="C6629" s="10" t="s">
        <v>14</v>
      </c>
      <c r="D6629" s="10" t="s">
        <v>31</v>
      </c>
      <c r="E6629" s="10"/>
      <c r="F6629" s="67">
        <v>41609</v>
      </c>
      <c r="G6629" s="10" t="s">
        <v>42747</v>
      </c>
      <c r="H6629" s="10" t="s">
        <v>866</v>
      </c>
      <c r="I6629" s="10" t="s">
        <v>178</v>
      </c>
      <c r="J6629" s="65">
        <v>87108</v>
      </c>
      <c r="K6629" s="10" t="s">
        <v>433</v>
      </c>
      <c r="L6629" s="10" t="s">
        <v>4562</v>
      </c>
      <c r="M6629" s="10" t="s">
        <v>21</v>
      </c>
      <c r="N6629" s="10" t="s">
        <v>42748</v>
      </c>
      <c r="O6629" s="10" t="s">
        <v>507</v>
      </c>
      <c r="P6629" s="10" t="s">
        <v>30089</v>
      </c>
      <c r="Q6629" s="62" t="s">
        <v>42749</v>
      </c>
      <c r="R6629" s="10" t="s">
        <v>512</v>
      </c>
      <c r="S6629" s="10" t="s">
        <v>22</v>
      </c>
      <c r="T6629" s="10" t="s">
        <v>26774</v>
      </c>
      <c r="U6629" s="63"/>
      <c r="V6629" s="10"/>
      <c r="W6629" s="69"/>
      <c r="X6629" s="89"/>
      <c r="Y6629" s="68"/>
      <c r="Z6629" s="68" t="s">
        <v>42966</v>
      </c>
      <c r="AA6629" s="33">
        <v>1036</v>
      </c>
      <c r="AG6629" s="68"/>
      <c r="AK6629" s="68"/>
      <c r="AL6629" s="68"/>
      <c r="AM6629" s="68"/>
      <c r="AN6629" s="68"/>
      <c r="AO6629" s="68"/>
      <c r="AP6629" s="68"/>
      <c r="AQ6629" s="68"/>
      <c r="AR6629" s="68"/>
      <c r="AS6629" s="68"/>
      <c r="AT6629" s="68"/>
      <c r="AU6629" s="68"/>
      <c r="AV6629" s="68"/>
      <c r="AW6629" s="68"/>
      <c r="AX6629" s="68"/>
      <c r="AY6629" s="68"/>
      <c r="AZ6629" s="68"/>
      <c r="BA6629" s="68"/>
      <c r="BB6629" s="68"/>
      <c r="BC6629" s="68"/>
      <c r="BD6629" s="68"/>
      <c r="BE6629" s="68"/>
      <c r="BF6629" s="68"/>
      <c r="BG6629" s="68"/>
      <c r="BH6629" s="68"/>
      <c r="BI6629" s="68"/>
      <c r="BJ6629" s="68"/>
      <c r="BK6629" s="68"/>
      <c r="BL6629" s="68"/>
    </row>
    <row r="6630" spans="1:64" ht="12" customHeight="1" x14ac:dyDescent="0.15">
      <c r="A6630" s="33" t="s">
        <v>11610</v>
      </c>
      <c r="B6630" s="33">
        <v>22</v>
      </c>
      <c r="C6630" s="33" t="s">
        <v>14</v>
      </c>
      <c r="D6630" s="33" t="s">
        <v>31</v>
      </c>
      <c r="E6630" s="33" t="s">
        <v>11611</v>
      </c>
      <c r="F6630" s="67">
        <v>41607</v>
      </c>
      <c r="G6630" s="33" t="s">
        <v>11612</v>
      </c>
      <c r="H6630" s="33" t="s">
        <v>11613</v>
      </c>
      <c r="I6630" s="33" t="s">
        <v>67</v>
      </c>
      <c r="J6630" s="33" t="s">
        <v>11614</v>
      </c>
      <c r="K6630" s="33" t="s">
        <v>11615</v>
      </c>
      <c r="L6630" s="33" t="s">
        <v>11616</v>
      </c>
      <c r="M6630" s="33" t="s">
        <v>21</v>
      </c>
      <c r="N6630" s="33" t="s">
        <v>11617</v>
      </c>
      <c r="O6630" s="33" t="s">
        <v>372</v>
      </c>
      <c r="P6630" s="33" t="s">
        <v>30089</v>
      </c>
      <c r="Q6630" s="40" t="s">
        <v>11618</v>
      </c>
      <c r="R6630" s="33" t="s">
        <v>23</v>
      </c>
      <c r="S6630" s="33" t="s">
        <v>22</v>
      </c>
      <c r="T6630" s="1" t="s">
        <v>26781</v>
      </c>
      <c r="Z6630" s="33" t="s">
        <v>42967</v>
      </c>
      <c r="AA6630" s="33">
        <v>1034</v>
      </c>
    </row>
    <row r="6631" spans="1:64" ht="12" customHeight="1" x14ac:dyDescent="0.15">
      <c r="A6631" s="33" t="s">
        <v>11619</v>
      </c>
      <c r="B6631" s="33">
        <v>51</v>
      </c>
      <c r="C6631" s="33" t="s">
        <v>14</v>
      </c>
      <c r="D6631" s="33" t="s">
        <v>31</v>
      </c>
      <c r="F6631" s="67">
        <v>41607</v>
      </c>
      <c r="G6631" s="33" t="s">
        <v>11620</v>
      </c>
      <c r="H6631" s="33" t="s">
        <v>1132</v>
      </c>
      <c r="I6631" s="33" t="s">
        <v>282</v>
      </c>
      <c r="J6631" s="33" t="s">
        <v>9730</v>
      </c>
      <c r="K6631" s="33" t="s">
        <v>1133</v>
      </c>
      <c r="L6631" s="33" t="s">
        <v>1134</v>
      </c>
      <c r="M6631" s="33" t="s">
        <v>21</v>
      </c>
      <c r="N6631" s="33" t="s">
        <v>11621</v>
      </c>
      <c r="O6631" s="33" t="s">
        <v>4311</v>
      </c>
      <c r="P6631" s="33" t="s">
        <v>30089</v>
      </c>
      <c r="Q6631" s="40" t="s">
        <v>11622</v>
      </c>
      <c r="R6631" s="33" t="s">
        <v>94</v>
      </c>
      <c r="S6631" s="33" t="s">
        <v>22</v>
      </c>
      <c r="T6631" s="1" t="s">
        <v>26781</v>
      </c>
      <c r="Z6631" s="33" t="s">
        <v>42966</v>
      </c>
      <c r="AA6631" s="33">
        <v>1035</v>
      </c>
    </row>
    <row r="6632" spans="1:64" ht="12" customHeight="1" x14ac:dyDescent="0.15">
      <c r="A6632" s="33" t="s">
        <v>11606</v>
      </c>
      <c r="B6632" s="33">
        <v>23</v>
      </c>
      <c r="C6632" s="33" t="s">
        <v>14</v>
      </c>
      <c r="D6632" s="33" t="s">
        <v>42</v>
      </c>
      <c r="F6632" s="67">
        <v>41607</v>
      </c>
      <c r="G6632" s="33" t="s">
        <v>11607</v>
      </c>
      <c r="H6632" s="33" t="s">
        <v>1558</v>
      </c>
      <c r="I6632" s="33" t="s">
        <v>39</v>
      </c>
      <c r="J6632" s="33" t="s">
        <v>1559</v>
      </c>
      <c r="K6632" s="33" t="s">
        <v>92</v>
      </c>
      <c r="L6632" s="33" t="s">
        <v>11608</v>
      </c>
      <c r="M6632" s="33" t="s">
        <v>21</v>
      </c>
      <c r="N6632" s="33" t="s">
        <v>36847</v>
      </c>
      <c r="O6632" s="33" t="s">
        <v>950</v>
      </c>
      <c r="P6632" s="33" t="s">
        <v>30089</v>
      </c>
      <c r="Q6632" s="40" t="s">
        <v>11609</v>
      </c>
      <c r="R6632" s="33" t="s">
        <v>94</v>
      </c>
      <c r="S6632" s="33" t="s">
        <v>22</v>
      </c>
      <c r="T6632" s="1" t="s">
        <v>26781</v>
      </c>
      <c r="Z6632" s="33" t="s">
        <v>42968</v>
      </c>
      <c r="AA6632" s="33">
        <v>1033</v>
      </c>
    </row>
    <row r="6633" spans="1:64" ht="12" customHeight="1" x14ac:dyDescent="0.15">
      <c r="A6633" s="33" t="s">
        <v>11640</v>
      </c>
      <c r="B6633" s="33">
        <v>61</v>
      </c>
      <c r="C6633" s="33" t="s">
        <v>14</v>
      </c>
      <c r="D6633" s="33" t="s">
        <v>31</v>
      </c>
      <c r="E6633" s="33" t="s">
        <v>11641</v>
      </c>
      <c r="F6633" s="67">
        <v>41606</v>
      </c>
      <c r="G6633" s="33" t="s">
        <v>11642</v>
      </c>
      <c r="H6633" s="33" t="s">
        <v>11643</v>
      </c>
      <c r="I6633" s="33" t="s">
        <v>56</v>
      </c>
      <c r="J6633" s="33" t="s">
        <v>11644</v>
      </c>
      <c r="K6633" s="33" t="s">
        <v>1037</v>
      </c>
      <c r="L6633" s="33" t="s">
        <v>11645</v>
      </c>
      <c r="M6633" s="33" t="s">
        <v>11646</v>
      </c>
      <c r="N6633" s="33" t="s">
        <v>36848</v>
      </c>
      <c r="O6633" s="33" t="s">
        <v>3109</v>
      </c>
      <c r="P6633" s="33" t="s">
        <v>30089</v>
      </c>
      <c r="Q6633" s="40" t="s">
        <v>11647</v>
      </c>
      <c r="R6633" s="33" t="s">
        <v>94</v>
      </c>
      <c r="S6633" s="33" t="s">
        <v>12</v>
      </c>
      <c r="T6633" s="54" t="s">
        <v>29705</v>
      </c>
      <c r="Z6633" s="33" t="s">
        <v>42968</v>
      </c>
      <c r="AA6633" s="33">
        <v>1031</v>
      </c>
    </row>
    <row r="6634" spans="1:64" ht="12" customHeight="1" x14ac:dyDescent="0.15">
      <c r="A6634" s="33" t="s">
        <v>11628</v>
      </c>
      <c r="B6634" s="33">
        <v>48</v>
      </c>
      <c r="C6634" s="33" t="s">
        <v>14</v>
      </c>
      <c r="D6634" s="33" t="s">
        <v>31</v>
      </c>
      <c r="E6634" s="33" t="s">
        <v>11629</v>
      </c>
      <c r="F6634" s="67">
        <v>41606</v>
      </c>
      <c r="G6634" s="33" t="s">
        <v>11630</v>
      </c>
      <c r="H6634" s="33" t="s">
        <v>1788</v>
      </c>
      <c r="I6634" s="33" t="s">
        <v>192</v>
      </c>
      <c r="J6634" s="33" t="s">
        <v>1789</v>
      </c>
      <c r="K6634" s="33" t="s">
        <v>3510</v>
      </c>
      <c r="L6634" s="33" t="s">
        <v>9286</v>
      </c>
      <c r="M6634" s="33" t="s">
        <v>21</v>
      </c>
      <c r="N6634" s="33" t="s">
        <v>11631</v>
      </c>
      <c r="O6634" s="33" t="s">
        <v>507</v>
      </c>
      <c r="P6634" s="33" t="s">
        <v>30089</v>
      </c>
      <c r="Q6634" s="40" t="s">
        <v>11632</v>
      </c>
      <c r="R6634" s="33" t="s">
        <v>94</v>
      </c>
      <c r="S6634" s="33" t="s">
        <v>22</v>
      </c>
      <c r="T6634" s="1" t="s">
        <v>26781</v>
      </c>
      <c r="Z6634" s="33" t="s">
        <v>42967</v>
      </c>
      <c r="AA6634" s="33">
        <v>1029</v>
      </c>
    </row>
    <row r="6635" spans="1:64" ht="12" customHeight="1" x14ac:dyDescent="0.15">
      <c r="A6635" s="33" t="s">
        <v>11623</v>
      </c>
      <c r="B6635" s="33">
        <v>42</v>
      </c>
      <c r="C6635" s="33" t="s">
        <v>14</v>
      </c>
      <c r="D6635" s="33" t="s">
        <v>42</v>
      </c>
      <c r="E6635" s="33" t="s">
        <v>11624</v>
      </c>
      <c r="F6635" s="67">
        <v>41606</v>
      </c>
      <c r="G6635" s="33" t="s">
        <v>22191</v>
      </c>
      <c r="H6635" s="33" t="s">
        <v>560</v>
      </c>
      <c r="I6635" s="33" t="s">
        <v>39</v>
      </c>
      <c r="J6635" s="33" t="s">
        <v>11625</v>
      </c>
      <c r="K6635" s="33" t="s">
        <v>561</v>
      </c>
      <c r="L6635" s="33" t="s">
        <v>678</v>
      </c>
      <c r="M6635" s="33" t="s">
        <v>21</v>
      </c>
      <c r="N6635" s="33" t="s">
        <v>11626</v>
      </c>
      <c r="O6635" s="33" t="s">
        <v>4311</v>
      </c>
      <c r="P6635" s="33" t="s">
        <v>30089</v>
      </c>
      <c r="Q6635" s="40" t="s">
        <v>11627</v>
      </c>
      <c r="R6635" s="33" t="s">
        <v>94</v>
      </c>
      <c r="S6635" s="33" t="s">
        <v>351</v>
      </c>
      <c r="T6635" s="1" t="s">
        <v>42983</v>
      </c>
      <c r="Z6635" s="33" t="s">
        <v>42966</v>
      </c>
      <c r="AA6635" s="33">
        <v>1032</v>
      </c>
    </row>
    <row r="6636" spans="1:64" ht="12" customHeight="1" x14ac:dyDescent="0.15">
      <c r="A6636" s="33" t="s">
        <v>11633</v>
      </c>
      <c r="B6636" s="33">
        <v>44</v>
      </c>
      <c r="C6636" s="33" t="s">
        <v>14</v>
      </c>
      <c r="D6636" s="33" t="s">
        <v>31</v>
      </c>
      <c r="E6636" s="33" t="s">
        <v>11634</v>
      </c>
      <c r="F6636" s="67">
        <v>41606</v>
      </c>
      <c r="G6636" s="33" t="s">
        <v>11635</v>
      </c>
      <c r="H6636" s="33" t="s">
        <v>1888</v>
      </c>
      <c r="I6636" s="33" t="s">
        <v>198</v>
      </c>
      <c r="J6636" s="33" t="s">
        <v>11636</v>
      </c>
      <c r="K6636" s="33" t="s">
        <v>3728</v>
      </c>
      <c r="L6636" s="33" t="s">
        <v>11637</v>
      </c>
      <c r="M6636" s="33" t="s">
        <v>21</v>
      </c>
      <c r="N6636" s="33" t="s">
        <v>11638</v>
      </c>
      <c r="O6636" s="33" t="s">
        <v>950</v>
      </c>
      <c r="P6636" s="33" t="s">
        <v>30089</v>
      </c>
      <c r="Q6636" s="40" t="s">
        <v>11639</v>
      </c>
      <c r="R6636" s="33" t="s">
        <v>94</v>
      </c>
      <c r="S6636" s="33" t="s">
        <v>22</v>
      </c>
      <c r="T6636" s="1" t="s">
        <v>26781</v>
      </c>
      <c r="Z6636" s="33" t="s">
        <v>42967</v>
      </c>
      <c r="AA6636" s="33">
        <v>1030</v>
      </c>
    </row>
    <row r="6637" spans="1:64" ht="12" customHeight="1" x14ac:dyDescent="0.15">
      <c r="A6637" s="63" t="s">
        <v>42865</v>
      </c>
      <c r="B6637" s="99">
        <v>28</v>
      </c>
      <c r="C6637" s="10" t="s">
        <v>14</v>
      </c>
      <c r="D6637" s="10" t="s">
        <v>79</v>
      </c>
      <c r="E6637" s="10"/>
      <c r="F6637" s="67">
        <v>41605</v>
      </c>
      <c r="G6637" s="10" t="s">
        <v>42866</v>
      </c>
      <c r="H6637" s="10" t="s">
        <v>2012</v>
      </c>
      <c r="I6637" s="10" t="s">
        <v>88</v>
      </c>
      <c r="J6637" s="65">
        <v>35816</v>
      </c>
      <c r="K6637" s="10" t="s">
        <v>2014</v>
      </c>
      <c r="L6637" s="10" t="s">
        <v>6382</v>
      </c>
      <c r="M6637" s="10" t="s">
        <v>21</v>
      </c>
      <c r="N6637" s="10" t="s">
        <v>42867</v>
      </c>
      <c r="O6637" s="10" t="s">
        <v>372</v>
      </c>
      <c r="P6637" s="10" t="s">
        <v>30089</v>
      </c>
      <c r="Q6637" s="62" t="s">
        <v>42868</v>
      </c>
      <c r="R6637" s="10" t="s">
        <v>23</v>
      </c>
      <c r="S6637" s="10" t="s">
        <v>29</v>
      </c>
      <c r="T6637" s="10" t="s">
        <v>41840</v>
      </c>
      <c r="U6637" s="10"/>
      <c r="V6637" s="10"/>
      <c r="W6637" s="10"/>
      <c r="X6637" s="89"/>
      <c r="Y6637" s="68" t="s">
        <v>42476</v>
      </c>
      <c r="Z6637" s="68" t="s">
        <v>42968</v>
      </c>
      <c r="AA6637" s="33">
        <v>1027</v>
      </c>
      <c r="AG6637" s="68"/>
      <c r="AK6637" s="68"/>
      <c r="AL6637" s="68"/>
      <c r="AM6637" s="68"/>
      <c r="AN6637" s="68"/>
      <c r="AO6637" s="68"/>
      <c r="AP6637" s="68"/>
      <c r="AQ6637" s="68"/>
      <c r="AR6637" s="68"/>
      <c r="AS6637" s="68"/>
      <c r="AT6637" s="68"/>
      <c r="AU6637" s="68"/>
      <c r="AV6637" s="68"/>
      <c r="AW6637" s="68"/>
      <c r="AX6637" s="68"/>
      <c r="AY6637" s="68"/>
      <c r="AZ6637" s="68"/>
      <c r="BA6637" s="68"/>
      <c r="BB6637" s="68"/>
      <c r="BC6637" s="68"/>
      <c r="BD6637" s="68"/>
      <c r="BE6637" s="68"/>
      <c r="BF6637" s="68"/>
      <c r="BG6637" s="68"/>
      <c r="BH6637" s="68"/>
      <c r="BI6637" s="68"/>
      <c r="BJ6637" s="68"/>
      <c r="BK6637" s="68"/>
      <c r="BL6637" s="68"/>
    </row>
    <row r="6638" spans="1:64" ht="12" customHeight="1" x14ac:dyDescent="0.15">
      <c r="A6638" s="33" t="s">
        <v>11648</v>
      </c>
      <c r="B6638" s="33">
        <v>30</v>
      </c>
      <c r="C6638" s="33" t="s">
        <v>14</v>
      </c>
      <c r="D6638" s="33" t="s">
        <v>42</v>
      </c>
      <c r="E6638" s="33" t="s">
        <v>11649</v>
      </c>
      <c r="F6638" s="67">
        <v>41605</v>
      </c>
      <c r="G6638" s="33" t="s">
        <v>11650</v>
      </c>
      <c r="H6638" s="33" t="s">
        <v>1027</v>
      </c>
      <c r="I6638" s="33" t="s">
        <v>367</v>
      </c>
      <c r="J6638" s="33" t="s">
        <v>11651</v>
      </c>
      <c r="K6638" s="33" t="s">
        <v>1028</v>
      </c>
      <c r="L6638" s="33" t="s">
        <v>1029</v>
      </c>
      <c r="M6638" s="33" t="s">
        <v>21</v>
      </c>
      <c r="N6638" s="33" t="s">
        <v>11652</v>
      </c>
      <c r="O6638" s="33" t="s">
        <v>4311</v>
      </c>
      <c r="P6638" s="33" t="s">
        <v>30089</v>
      </c>
      <c r="Q6638" s="40" t="s">
        <v>11653</v>
      </c>
      <c r="R6638" s="33" t="s">
        <v>94</v>
      </c>
      <c r="S6638" s="33" t="s">
        <v>22</v>
      </c>
      <c r="T6638" s="1" t="s">
        <v>26576</v>
      </c>
      <c r="Z6638" s="33" t="s">
        <v>42968</v>
      </c>
      <c r="AA6638" s="33">
        <v>1028</v>
      </c>
    </row>
    <row r="6639" spans="1:64" ht="12" customHeight="1" x14ac:dyDescent="0.15">
      <c r="A6639" s="33" t="s">
        <v>11654</v>
      </c>
      <c r="B6639" s="33">
        <v>38</v>
      </c>
      <c r="C6639" s="33" t="s">
        <v>14</v>
      </c>
      <c r="D6639" s="33" t="s">
        <v>79</v>
      </c>
      <c r="F6639" s="67">
        <v>41604</v>
      </c>
      <c r="G6639" s="33" t="s">
        <v>11655</v>
      </c>
      <c r="H6639" s="33" t="s">
        <v>11656</v>
      </c>
      <c r="I6639" s="33" t="s">
        <v>19</v>
      </c>
      <c r="K6639" s="33" t="s">
        <v>11657</v>
      </c>
      <c r="L6639" s="33" t="s">
        <v>11658</v>
      </c>
      <c r="M6639" s="33" t="s">
        <v>363</v>
      </c>
      <c r="P6639" s="33" t="s">
        <v>30089</v>
      </c>
      <c r="Q6639" s="40" t="s">
        <v>11659</v>
      </c>
      <c r="R6639" s="33" t="s">
        <v>23</v>
      </c>
      <c r="S6639" s="33" t="s">
        <v>12</v>
      </c>
      <c r="T6639" s="1" t="s">
        <v>29705</v>
      </c>
      <c r="Z6639" s="33" t="e">
        <v>#N/A</v>
      </c>
      <c r="AA6639" s="33">
        <v>1025</v>
      </c>
    </row>
    <row r="6640" spans="1:64" ht="12" customHeight="1" x14ac:dyDescent="0.15">
      <c r="A6640" s="33" t="s">
        <v>11660</v>
      </c>
      <c r="B6640" s="33">
        <v>31</v>
      </c>
      <c r="C6640" s="33" t="s">
        <v>14</v>
      </c>
      <c r="D6640" s="33" t="s">
        <v>31</v>
      </c>
      <c r="E6640" s="33" t="s">
        <v>11661</v>
      </c>
      <c r="F6640" s="67">
        <v>41604</v>
      </c>
      <c r="G6640" s="33" t="s">
        <v>11662</v>
      </c>
      <c r="H6640" s="33" t="s">
        <v>997</v>
      </c>
      <c r="I6640" s="33" t="s">
        <v>56</v>
      </c>
      <c r="J6640" s="33" t="s">
        <v>11663</v>
      </c>
      <c r="K6640" s="33" t="s">
        <v>998</v>
      </c>
      <c r="L6640" s="33" t="s">
        <v>999</v>
      </c>
      <c r="M6640" s="33" t="s">
        <v>21</v>
      </c>
      <c r="N6640" s="33" t="s">
        <v>11664</v>
      </c>
      <c r="O6640" s="33" t="s">
        <v>4311</v>
      </c>
      <c r="P6640" s="33" t="s">
        <v>30089</v>
      </c>
      <c r="Q6640" s="40" t="s">
        <v>11665</v>
      </c>
      <c r="R6640" s="33" t="s">
        <v>94</v>
      </c>
      <c r="S6640" s="33" t="s">
        <v>351</v>
      </c>
      <c r="T6640" s="1" t="s">
        <v>42983</v>
      </c>
      <c r="Z6640" s="33" t="s">
        <v>42966</v>
      </c>
      <c r="AA6640" s="33">
        <v>1026</v>
      </c>
    </row>
    <row r="6641" spans="1:64" ht="12" customHeight="1" x14ac:dyDescent="0.15">
      <c r="A6641" s="33" t="s">
        <v>11686</v>
      </c>
      <c r="B6641" s="33">
        <v>26</v>
      </c>
      <c r="C6641" s="33" t="s">
        <v>14</v>
      </c>
      <c r="D6641" s="33" t="s">
        <v>79</v>
      </c>
      <c r="F6641" s="67">
        <v>41603</v>
      </c>
      <c r="G6641" s="33" t="s">
        <v>19221</v>
      </c>
      <c r="H6641" s="33" t="s">
        <v>107</v>
      </c>
      <c r="I6641" s="33" t="s">
        <v>3357</v>
      </c>
      <c r="J6641" s="33" t="s">
        <v>9681</v>
      </c>
      <c r="K6641" s="33" t="s">
        <v>3359</v>
      </c>
      <c r="L6641" s="33" t="s">
        <v>17581</v>
      </c>
      <c r="M6641" s="33" t="s">
        <v>21</v>
      </c>
      <c r="N6641" s="33" t="s">
        <v>11687</v>
      </c>
      <c r="O6641" s="33" t="s">
        <v>950</v>
      </c>
      <c r="P6641" s="33" t="s">
        <v>30089</v>
      </c>
      <c r="Q6641" s="40" t="s">
        <v>11688</v>
      </c>
      <c r="R6641" s="33" t="s">
        <v>94</v>
      </c>
      <c r="S6641" s="33" t="s">
        <v>22</v>
      </c>
      <c r="T6641" s="1" t="s">
        <v>26781</v>
      </c>
      <c r="Z6641" s="33" t="s">
        <v>42966</v>
      </c>
      <c r="AA6641" s="33">
        <v>1022</v>
      </c>
    </row>
    <row r="6642" spans="1:64" ht="12" customHeight="1" x14ac:dyDescent="0.15">
      <c r="A6642" s="33" t="s">
        <v>11680</v>
      </c>
      <c r="B6642" s="33">
        <v>72</v>
      </c>
      <c r="C6642" s="33" t="s">
        <v>14</v>
      </c>
      <c r="D6642" s="33" t="s">
        <v>42</v>
      </c>
      <c r="F6642" s="67">
        <v>41603</v>
      </c>
      <c r="G6642" s="33" t="s">
        <v>11681</v>
      </c>
      <c r="H6642" s="33" t="s">
        <v>11682</v>
      </c>
      <c r="I6642" s="33" t="s">
        <v>39</v>
      </c>
      <c r="J6642" s="33" t="s">
        <v>11683</v>
      </c>
      <c r="K6642" s="33" t="s">
        <v>92</v>
      </c>
      <c r="L6642" s="33" t="s">
        <v>93</v>
      </c>
      <c r="M6642" s="33" t="s">
        <v>21</v>
      </c>
      <c r="N6642" s="33" t="s">
        <v>11684</v>
      </c>
      <c r="O6642" s="33" t="s">
        <v>4311</v>
      </c>
      <c r="P6642" s="33" t="s">
        <v>30089</v>
      </c>
      <c r="Q6642" s="40" t="s">
        <v>11685</v>
      </c>
      <c r="R6642" s="33" t="s">
        <v>94</v>
      </c>
      <c r="S6642" s="33" t="s">
        <v>22</v>
      </c>
      <c r="T6642" s="1" t="s">
        <v>26781</v>
      </c>
      <c r="Z6642" s="33" t="s">
        <v>42968</v>
      </c>
      <c r="AA6642" s="33">
        <v>1023</v>
      </c>
    </row>
    <row r="6643" spans="1:64" ht="12" customHeight="1" x14ac:dyDescent="0.15">
      <c r="A6643" s="33" t="s">
        <v>11674</v>
      </c>
      <c r="B6643" s="33">
        <v>53</v>
      </c>
      <c r="C6643" s="33" t="s">
        <v>14</v>
      </c>
      <c r="D6643" s="33" t="s">
        <v>79</v>
      </c>
      <c r="F6643" s="67">
        <v>41603</v>
      </c>
      <c r="G6643" s="33" t="s">
        <v>11675</v>
      </c>
      <c r="H6643" s="33" t="s">
        <v>11676</v>
      </c>
      <c r="I6643" s="33" t="s">
        <v>160</v>
      </c>
      <c r="J6643" s="33" t="s">
        <v>11677</v>
      </c>
      <c r="K6643" s="33" t="s">
        <v>3052</v>
      </c>
      <c r="L6643" s="33" t="s">
        <v>3053</v>
      </c>
      <c r="M6643" s="33" t="s">
        <v>21</v>
      </c>
      <c r="N6643" s="33" t="s">
        <v>11678</v>
      </c>
      <c r="O6643" s="33" t="s">
        <v>950</v>
      </c>
      <c r="P6643" s="33" t="s">
        <v>30089</v>
      </c>
      <c r="Q6643" s="40" t="s">
        <v>11679</v>
      </c>
      <c r="R6643" s="33" t="s">
        <v>94</v>
      </c>
      <c r="S6643" s="33" t="s">
        <v>22</v>
      </c>
      <c r="T6643" s="1" t="s">
        <v>26576</v>
      </c>
      <c r="Z6643" s="33" t="s">
        <v>42968</v>
      </c>
      <c r="AA6643" s="33">
        <v>1024</v>
      </c>
    </row>
    <row r="6644" spans="1:64" ht="12" customHeight="1" x14ac:dyDescent="0.15">
      <c r="A6644" s="33" t="s">
        <v>11666</v>
      </c>
      <c r="B6644" s="33">
        <v>23</v>
      </c>
      <c r="C6644" s="33" t="s">
        <v>14</v>
      </c>
      <c r="D6644" s="33" t="s">
        <v>79</v>
      </c>
      <c r="E6644" s="33" t="s">
        <v>11667</v>
      </c>
      <c r="F6644" s="67">
        <v>41603</v>
      </c>
      <c r="G6644" s="33" t="s">
        <v>11668</v>
      </c>
      <c r="H6644" s="33" t="s">
        <v>11669</v>
      </c>
      <c r="I6644" s="33" t="s">
        <v>35</v>
      </c>
      <c r="J6644" s="33" t="s">
        <v>11670</v>
      </c>
      <c r="K6644" s="33" t="s">
        <v>4499</v>
      </c>
      <c r="L6644" s="33" t="s">
        <v>11671</v>
      </c>
      <c r="M6644" s="33" t="s">
        <v>21</v>
      </c>
      <c r="N6644" s="33" t="s">
        <v>11672</v>
      </c>
      <c r="O6644" s="33" t="s">
        <v>4311</v>
      </c>
      <c r="P6644" s="33" t="s">
        <v>30089</v>
      </c>
      <c r="Q6644" s="40" t="s">
        <v>11673</v>
      </c>
      <c r="R6644" s="33" t="s">
        <v>94</v>
      </c>
      <c r="S6644" s="33" t="s">
        <v>22</v>
      </c>
      <c r="T6644" s="1" t="s">
        <v>26781</v>
      </c>
      <c r="Z6644" s="33" t="s">
        <v>42966</v>
      </c>
      <c r="AA6644" s="33">
        <v>1021</v>
      </c>
    </row>
    <row r="6645" spans="1:64" ht="12" customHeight="1" x14ac:dyDescent="0.15">
      <c r="A6645" s="33" t="s">
        <v>11689</v>
      </c>
      <c r="B6645" s="33">
        <v>35</v>
      </c>
      <c r="C6645" s="33" t="s">
        <v>14</v>
      </c>
      <c r="D6645" s="33" t="s">
        <v>79</v>
      </c>
      <c r="F6645" s="67">
        <v>41602</v>
      </c>
      <c r="G6645" s="33" t="s">
        <v>11690</v>
      </c>
      <c r="H6645" s="33" t="s">
        <v>11691</v>
      </c>
      <c r="I6645" s="33" t="s">
        <v>39</v>
      </c>
      <c r="K6645" s="33" t="s">
        <v>728</v>
      </c>
      <c r="L6645" s="33" t="s">
        <v>729</v>
      </c>
      <c r="M6645" s="33" t="s">
        <v>21</v>
      </c>
      <c r="P6645" s="33" t="s">
        <v>30089</v>
      </c>
      <c r="Q6645" s="40" t="s">
        <v>5344</v>
      </c>
      <c r="R6645" s="33" t="s">
        <v>23</v>
      </c>
      <c r="S6645" s="33" t="s">
        <v>22</v>
      </c>
      <c r="T6645" s="1" t="s">
        <v>26781</v>
      </c>
      <c r="Z6645" s="33" t="e">
        <v>#N/A</v>
      </c>
      <c r="AA6645" s="33">
        <v>1019</v>
      </c>
    </row>
    <row r="6646" spans="1:64" ht="12" customHeight="1" x14ac:dyDescent="0.15">
      <c r="A6646" s="33" t="s">
        <v>11692</v>
      </c>
      <c r="B6646" s="33">
        <v>42</v>
      </c>
      <c r="C6646" s="33" t="s">
        <v>14</v>
      </c>
      <c r="D6646" s="33" t="s">
        <v>31</v>
      </c>
      <c r="F6646" s="67">
        <v>41602</v>
      </c>
      <c r="G6646" s="33" t="s">
        <v>11693</v>
      </c>
      <c r="H6646" s="33" t="s">
        <v>936</v>
      </c>
      <c r="I6646" s="33" t="s">
        <v>192</v>
      </c>
      <c r="J6646" s="33" t="s">
        <v>11694</v>
      </c>
      <c r="K6646" s="33" t="s">
        <v>936</v>
      </c>
      <c r="L6646" s="33" t="s">
        <v>937</v>
      </c>
      <c r="M6646" s="33" t="s">
        <v>21</v>
      </c>
      <c r="N6646" s="33" t="s">
        <v>11695</v>
      </c>
      <c r="O6646" s="33" t="s">
        <v>507</v>
      </c>
      <c r="P6646" s="33" t="s">
        <v>30089</v>
      </c>
      <c r="Q6646" s="40" t="s">
        <v>11696</v>
      </c>
      <c r="R6646" s="33" t="s">
        <v>94</v>
      </c>
      <c r="S6646" s="33" t="s">
        <v>22</v>
      </c>
      <c r="T6646" s="1" t="s">
        <v>26774</v>
      </c>
      <c r="Z6646" s="33" t="s">
        <v>42968</v>
      </c>
      <c r="AA6646" s="33">
        <v>1020</v>
      </c>
    </row>
    <row r="6647" spans="1:64" ht="12" customHeight="1" x14ac:dyDescent="0.15">
      <c r="A6647" s="33" t="s">
        <v>11697</v>
      </c>
      <c r="B6647" s="33">
        <v>24</v>
      </c>
      <c r="C6647" s="33" t="s">
        <v>14</v>
      </c>
      <c r="D6647" s="33" t="s">
        <v>24</v>
      </c>
      <c r="F6647" s="67">
        <v>41601</v>
      </c>
      <c r="G6647" s="33" t="s">
        <v>22192</v>
      </c>
      <c r="H6647" s="33" t="s">
        <v>3390</v>
      </c>
      <c r="I6647" s="33" t="s">
        <v>39</v>
      </c>
      <c r="J6647" s="33" t="s">
        <v>3391</v>
      </c>
      <c r="K6647" s="33" t="s">
        <v>92</v>
      </c>
      <c r="L6647" s="33" t="s">
        <v>3392</v>
      </c>
      <c r="M6647" s="33" t="s">
        <v>21</v>
      </c>
      <c r="N6647" s="33" t="s">
        <v>11698</v>
      </c>
      <c r="O6647" s="33" t="s">
        <v>4311</v>
      </c>
      <c r="P6647" s="33" t="s">
        <v>30089</v>
      </c>
      <c r="Q6647" s="40" t="s">
        <v>11699</v>
      </c>
      <c r="R6647" s="33" t="s">
        <v>94</v>
      </c>
      <c r="S6647" s="33" t="s">
        <v>12</v>
      </c>
      <c r="T6647" s="54" t="s">
        <v>29705</v>
      </c>
      <c r="Z6647" s="33" t="s">
        <v>42966</v>
      </c>
      <c r="AA6647" s="33">
        <v>1016</v>
      </c>
    </row>
    <row r="6648" spans="1:64" ht="12" customHeight="1" x14ac:dyDescent="0.15">
      <c r="A6648" s="33" t="s">
        <v>11700</v>
      </c>
      <c r="B6648" s="33">
        <v>24</v>
      </c>
      <c r="C6648" s="33" t="s">
        <v>14</v>
      </c>
      <c r="D6648" s="33" t="s">
        <v>31</v>
      </c>
      <c r="E6648" s="33" t="s">
        <v>11701</v>
      </c>
      <c r="F6648" s="67">
        <v>41601</v>
      </c>
      <c r="G6648" s="33" t="s">
        <v>11702</v>
      </c>
      <c r="H6648" s="33" t="s">
        <v>870</v>
      </c>
      <c r="I6648" s="33" t="s">
        <v>67</v>
      </c>
      <c r="J6648" s="33" t="s">
        <v>11703</v>
      </c>
      <c r="K6648" s="33" t="s">
        <v>68</v>
      </c>
      <c r="L6648" s="33" t="s">
        <v>871</v>
      </c>
      <c r="M6648" s="33" t="s">
        <v>21</v>
      </c>
      <c r="N6648" s="33" t="s">
        <v>11704</v>
      </c>
      <c r="O6648" s="33" t="s">
        <v>507</v>
      </c>
      <c r="P6648" s="33" t="s">
        <v>30089</v>
      </c>
      <c r="Q6648" s="40" t="s">
        <v>11705</v>
      </c>
      <c r="R6648" s="33" t="s">
        <v>94</v>
      </c>
      <c r="S6648" s="33" t="s">
        <v>351</v>
      </c>
      <c r="T6648" s="1" t="s">
        <v>42983</v>
      </c>
      <c r="Z6648" s="33" t="s">
        <v>42968</v>
      </c>
      <c r="AA6648" s="33">
        <v>1018</v>
      </c>
    </row>
    <row r="6649" spans="1:64" ht="12" customHeight="1" x14ac:dyDescent="0.15">
      <c r="A6649" s="63" t="s">
        <v>42891</v>
      </c>
      <c r="B6649" s="99">
        <v>24</v>
      </c>
      <c r="C6649" s="10" t="s">
        <v>14</v>
      </c>
      <c r="D6649" s="10" t="s">
        <v>31</v>
      </c>
      <c r="E6649" s="62" t="s">
        <v>11701</v>
      </c>
      <c r="F6649" s="67">
        <v>41601</v>
      </c>
      <c r="G6649" s="10" t="s">
        <v>42892</v>
      </c>
      <c r="H6649" s="10" t="s">
        <v>870</v>
      </c>
      <c r="I6649" s="10" t="s">
        <v>67</v>
      </c>
      <c r="J6649" s="65">
        <v>76116</v>
      </c>
      <c r="K6649" s="10" t="s">
        <v>68</v>
      </c>
      <c r="L6649" s="10" t="s">
        <v>871</v>
      </c>
      <c r="M6649" s="10" t="s">
        <v>21</v>
      </c>
      <c r="N6649" s="10" t="s">
        <v>42893</v>
      </c>
      <c r="O6649" s="10" t="s">
        <v>507</v>
      </c>
      <c r="P6649" s="10" t="s">
        <v>30089</v>
      </c>
      <c r="Q6649" s="62" t="s">
        <v>42894</v>
      </c>
      <c r="R6649" s="10" t="s">
        <v>94</v>
      </c>
      <c r="S6649" s="10" t="s">
        <v>351</v>
      </c>
      <c r="T6649" s="10" t="s">
        <v>26867</v>
      </c>
      <c r="U6649" s="10"/>
      <c r="V6649" s="10"/>
      <c r="W6649" s="10"/>
      <c r="X6649" s="89"/>
      <c r="Y6649" s="68"/>
      <c r="Z6649" s="68" t="s">
        <v>42968</v>
      </c>
      <c r="AA6649" s="33">
        <v>1017</v>
      </c>
      <c r="AG6649" s="68"/>
      <c r="AK6649" s="68"/>
      <c r="AL6649" s="68"/>
      <c r="AM6649" s="68"/>
      <c r="AN6649" s="68"/>
      <c r="AO6649" s="68"/>
      <c r="AP6649" s="68"/>
      <c r="AQ6649" s="68"/>
      <c r="AR6649" s="68"/>
      <c r="AS6649" s="68"/>
      <c r="AT6649" s="68"/>
      <c r="AU6649" s="68"/>
      <c r="AV6649" s="68"/>
      <c r="AW6649" s="68"/>
      <c r="AX6649" s="68"/>
      <c r="AY6649" s="68"/>
      <c r="AZ6649" s="68"/>
      <c r="BA6649" s="68"/>
      <c r="BB6649" s="68"/>
      <c r="BC6649" s="68"/>
      <c r="BD6649" s="68"/>
      <c r="BE6649" s="68"/>
      <c r="BF6649" s="68"/>
      <c r="BG6649" s="68"/>
      <c r="BH6649" s="68"/>
      <c r="BI6649" s="68"/>
      <c r="BJ6649" s="68"/>
      <c r="BK6649" s="68"/>
      <c r="BL6649" s="68"/>
    </row>
    <row r="6650" spans="1:64" ht="12" customHeight="1" x14ac:dyDescent="0.15">
      <c r="A6650" s="33" t="s">
        <v>11716</v>
      </c>
      <c r="B6650" s="103">
        <v>37</v>
      </c>
      <c r="C6650" s="33" t="s">
        <v>14</v>
      </c>
      <c r="D6650" s="33" t="s">
        <v>42</v>
      </c>
      <c r="F6650" s="67">
        <v>41600</v>
      </c>
      <c r="G6650" s="33" t="s">
        <v>11717</v>
      </c>
      <c r="H6650" s="33" t="s">
        <v>728</v>
      </c>
      <c r="I6650" s="33" t="s">
        <v>39</v>
      </c>
      <c r="J6650" s="33" t="s">
        <v>11718</v>
      </c>
      <c r="K6650" s="33" t="s">
        <v>728</v>
      </c>
      <c r="L6650" s="33" t="s">
        <v>5461</v>
      </c>
      <c r="M6650" s="33" t="s">
        <v>21</v>
      </c>
      <c r="N6650" s="33" t="s">
        <v>11719</v>
      </c>
      <c r="O6650" s="33" t="s">
        <v>23</v>
      </c>
      <c r="P6650" s="33" t="s">
        <v>30089</v>
      </c>
      <c r="Q6650" s="40" t="s">
        <v>11720</v>
      </c>
      <c r="R6650" s="33" t="s">
        <v>94</v>
      </c>
      <c r="S6650" s="33" t="s">
        <v>22</v>
      </c>
      <c r="T6650" s="1" t="s">
        <v>26781</v>
      </c>
      <c r="Z6650" s="33" t="s">
        <v>42968</v>
      </c>
      <c r="AA6650" s="33">
        <v>1011</v>
      </c>
    </row>
    <row r="6651" spans="1:64" ht="12" customHeight="1" x14ac:dyDescent="0.15">
      <c r="A6651" s="33" t="s">
        <v>11721</v>
      </c>
      <c r="B6651" s="33">
        <v>31</v>
      </c>
      <c r="C6651" s="33" t="s">
        <v>14</v>
      </c>
      <c r="D6651" s="33" t="s">
        <v>31</v>
      </c>
      <c r="E6651" s="33" t="s">
        <v>11722</v>
      </c>
      <c r="F6651" s="67">
        <v>41600</v>
      </c>
      <c r="G6651" s="33" t="s">
        <v>11723</v>
      </c>
      <c r="H6651" s="33" t="s">
        <v>11724</v>
      </c>
      <c r="I6651" s="33" t="s">
        <v>106</v>
      </c>
      <c r="J6651" s="33" t="s">
        <v>11725</v>
      </c>
      <c r="K6651" s="33" t="s">
        <v>11726</v>
      </c>
      <c r="L6651" s="33" t="s">
        <v>11727</v>
      </c>
      <c r="M6651" s="33" t="s">
        <v>21</v>
      </c>
      <c r="N6651" s="33" t="s">
        <v>11728</v>
      </c>
      <c r="O6651" s="33" t="s">
        <v>507</v>
      </c>
      <c r="P6651" s="33" t="s">
        <v>30089</v>
      </c>
      <c r="Q6651" s="40" t="s">
        <v>19070</v>
      </c>
      <c r="R6651" s="33" t="s">
        <v>94</v>
      </c>
      <c r="S6651" s="33" t="s">
        <v>12</v>
      </c>
      <c r="T6651" s="54" t="s">
        <v>29705</v>
      </c>
      <c r="Z6651" s="33" t="s">
        <v>42968</v>
      </c>
      <c r="AA6651" s="33">
        <v>1014</v>
      </c>
    </row>
    <row r="6652" spans="1:64" ht="12" customHeight="1" x14ac:dyDescent="0.15">
      <c r="A6652" s="33" t="s">
        <v>11734</v>
      </c>
      <c r="B6652" s="33">
        <v>30</v>
      </c>
      <c r="C6652" s="33" t="s">
        <v>14</v>
      </c>
      <c r="D6652" s="33" t="s">
        <v>31</v>
      </c>
      <c r="E6652" s="33" t="s">
        <v>11735</v>
      </c>
      <c r="F6652" s="67">
        <v>41600</v>
      </c>
      <c r="G6652" s="33" t="s">
        <v>11736</v>
      </c>
      <c r="H6652" s="33" t="s">
        <v>11737</v>
      </c>
      <c r="I6652" s="33" t="s">
        <v>38</v>
      </c>
      <c r="J6652" s="33" t="s">
        <v>11738</v>
      </c>
      <c r="K6652" s="33" t="s">
        <v>11739</v>
      </c>
      <c r="L6652" s="33" t="s">
        <v>11740</v>
      </c>
      <c r="M6652" s="33" t="s">
        <v>21</v>
      </c>
      <c r="N6652" s="33" t="s">
        <v>11741</v>
      </c>
      <c r="O6652" s="33" t="s">
        <v>507</v>
      </c>
      <c r="P6652" s="33" t="s">
        <v>30089</v>
      </c>
      <c r="Q6652" s="40" t="s">
        <v>11742</v>
      </c>
      <c r="R6652" s="33" t="s">
        <v>94</v>
      </c>
      <c r="S6652" s="33" t="s">
        <v>351</v>
      </c>
      <c r="T6652" s="1" t="s">
        <v>26867</v>
      </c>
      <c r="Z6652" s="33" t="s">
        <v>42967</v>
      </c>
      <c r="AA6652" s="33">
        <v>1015</v>
      </c>
    </row>
    <row r="6653" spans="1:64" ht="12" customHeight="1" x14ac:dyDescent="0.15">
      <c r="A6653" s="33" t="s">
        <v>11711</v>
      </c>
      <c r="B6653" s="33">
        <v>18</v>
      </c>
      <c r="C6653" s="33" t="s">
        <v>14</v>
      </c>
      <c r="D6653" s="33" t="s">
        <v>42</v>
      </c>
      <c r="F6653" s="67">
        <v>41600</v>
      </c>
      <c r="G6653" s="33" t="s">
        <v>11712</v>
      </c>
      <c r="H6653" s="33" t="s">
        <v>92</v>
      </c>
      <c r="I6653" s="33" t="s">
        <v>39</v>
      </c>
      <c r="J6653" s="33" t="s">
        <v>11713</v>
      </c>
      <c r="K6653" s="33" t="s">
        <v>92</v>
      </c>
      <c r="L6653" s="33" t="s">
        <v>93</v>
      </c>
      <c r="M6653" s="33" t="s">
        <v>21</v>
      </c>
      <c r="N6653" s="33" t="s">
        <v>11714</v>
      </c>
      <c r="O6653" s="33" t="s">
        <v>4311</v>
      </c>
      <c r="P6653" s="33" t="s">
        <v>30089</v>
      </c>
      <c r="Q6653" s="40" t="s">
        <v>11715</v>
      </c>
      <c r="R6653" s="33" t="s">
        <v>94</v>
      </c>
      <c r="S6653" s="33" t="s">
        <v>22</v>
      </c>
      <c r="T6653" s="1" t="s">
        <v>26781</v>
      </c>
      <c r="Z6653" s="33" t="s">
        <v>42966</v>
      </c>
      <c r="AA6653" s="33">
        <v>1012</v>
      </c>
    </row>
    <row r="6654" spans="1:64" ht="12" customHeight="1" x14ac:dyDescent="0.15">
      <c r="A6654" s="33" t="s">
        <v>11706</v>
      </c>
      <c r="B6654" s="33">
        <v>47</v>
      </c>
      <c r="C6654" s="33" t="s">
        <v>14</v>
      </c>
      <c r="D6654" s="33" t="s">
        <v>79</v>
      </c>
      <c r="E6654" s="33" t="s">
        <v>11707</v>
      </c>
      <c r="F6654" s="67">
        <v>41600</v>
      </c>
      <c r="G6654" s="33" t="s">
        <v>11708</v>
      </c>
      <c r="H6654" s="33" t="s">
        <v>1202</v>
      </c>
      <c r="I6654" s="33" t="s">
        <v>63</v>
      </c>
      <c r="J6654" s="33" t="s">
        <v>4630</v>
      </c>
      <c r="K6654" s="33" t="s">
        <v>1203</v>
      </c>
      <c r="L6654" s="33" t="s">
        <v>11441</v>
      </c>
      <c r="M6654" s="33" t="s">
        <v>21</v>
      </c>
      <c r="N6654" s="33" t="s">
        <v>11709</v>
      </c>
      <c r="O6654" s="33" t="s">
        <v>950</v>
      </c>
      <c r="P6654" s="33" t="s">
        <v>30089</v>
      </c>
      <c r="Q6654" s="40" t="s">
        <v>11710</v>
      </c>
      <c r="R6654" s="33" t="s">
        <v>94</v>
      </c>
      <c r="S6654" s="33" t="s">
        <v>22</v>
      </c>
      <c r="T6654" s="1" t="s">
        <v>26781</v>
      </c>
      <c r="Z6654" s="33" t="s">
        <v>42968</v>
      </c>
      <c r="AA6654" s="33">
        <v>1010</v>
      </c>
    </row>
    <row r="6655" spans="1:64" ht="12" customHeight="1" x14ac:dyDescent="0.15">
      <c r="A6655" s="33" t="s">
        <v>11729</v>
      </c>
      <c r="B6655" s="33">
        <v>26</v>
      </c>
      <c r="C6655" s="33" t="s">
        <v>14</v>
      </c>
      <c r="D6655" s="33" t="s">
        <v>31</v>
      </c>
      <c r="E6655" s="33" t="s">
        <v>11730</v>
      </c>
      <c r="F6655" s="67">
        <v>41600</v>
      </c>
      <c r="G6655" s="33" t="s">
        <v>22193</v>
      </c>
      <c r="H6655" s="33" t="s">
        <v>870</v>
      </c>
      <c r="I6655" s="33" t="s">
        <v>67</v>
      </c>
      <c r="J6655" s="33" t="s">
        <v>11731</v>
      </c>
      <c r="K6655" s="33" t="s">
        <v>68</v>
      </c>
      <c r="L6655" s="33" t="s">
        <v>871</v>
      </c>
      <c r="M6655" s="33" t="s">
        <v>21</v>
      </c>
      <c r="N6655" s="33" t="s">
        <v>11732</v>
      </c>
      <c r="O6655" s="33" t="s">
        <v>507</v>
      </c>
      <c r="P6655" s="33" t="s">
        <v>30089</v>
      </c>
      <c r="Q6655" s="40" t="s">
        <v>11733</v>
      </c>
      <c r="R6655" s="33" t="s">
        <v>94</v>
      </c>
      <c r="S6655" s="33" t="s">
        <v>22</v>
      </c>
      <c r="T6655" s="1" t="s">
        <v>26781</v>
      </c>
      <c r="Z6655" s="33" t="s">
        <v>42968</v>
      </c>
      <c r="AA6655" s="33">
        <v>1013</v>
      </c>
    </row>
    <row r="6656" spans="1:64" ht="12" customHeight="1" x14ac:dyDescent="0.15">
      <c r="A6656" s="33" t="s">
        <v>11751</v>
      </c>
      <c r="B6656" s="33">
        <v>58</v>
      </c>
      <c r="C6656" s="33" t="s">
        <v>14</v>
      </c>
      <c r="D6656" s="33" t="s">
        <v>31</v>
      </c>
      <c r="E6656" s="33" t="s">
        <v>11752</v>
      </c>
      <c r="F6656" s="67">
        <v>41599</v>
      </c>
      <c r="G6656" s="33" t="s">
        <v>22194</v>
      </c>
      <c r="H6656" s="33" t="s">
        <v>4269</v>
      </c>
      <c r="I6656" s="33" t="s">
        <v>56</v>
      </c>
      <c r="J6656" s="33" t="s">
        <v>11753</v>
      </c>
      <c r="K6656" s="33" t="s">
        <v>1950</v>
      </c>
      <c r="L6656" s="33" t="s">
        <v>3112</v>
      </c>
      <c r="M6656" s="33" t="s">
        <v>21</v>
      </c>
      <c r="N6656" s="33" t="s">
        <v>11754</v>
      </c>
      <c r="O6656" s="33" t="s">
        <v>372</v>
      </c>
      <c r="P6656" s="33" t="s">
        <v>30089</v>
      </c>
      <c r="Q6656" s="40" t="s">
        <v>11755</v>
      </c>
      <c r="R6656" s="33" t="s">
        <v>94</v>
      </c>
      <c r="S6656" s="33" t="s">
        <v>22</v>
      </c>
      <c r="T6656" s="1" t="s">
        <v>26781</v>
      </c>
      <c r="Z6656" s="33" t="s">
        <v>42967</v>
      </c>
      <c r="AA6656" s="33">
        <v>1009</v>
      </c>
    </row>
    <row r="6657" spans="1:31" ht="12" customHeight="1" x14ac:dyDescent="0.15">
      <c r="A6657" s="33" t="s">
        <v>11743</v>
      </c>
      <c r="B6657" s="33">
        <v>28</v>
      </c>
      <c r="C6657" s="33" t="s">
        <v>14</v>
      </c>
      <c r="D6657" s="33" t="s">
        <v>31</v>
      </c>
      <c r="E6657" s="33" t="s">
        <v>11744</v>
      </c>
      <c r="F6657" s="67">
        <v>41599</v>
      </c>
      <c r="G6657" s="33" t="s">
        <v>11745</v>
      </c>
      <c r="H6657" s="33" t="s">
        <v>11746</v>
      </c>
      <c r="I6657" s="33" t="s">
        <v>75</v>
      </c>
      <c r="J6657" s="33" t="s">
        <v>11747</v>
      </c>
      <c r="K6657" s="33" t="s">
        <v>36</v>
      </c>
      <c r="L6657" s="33" t="s">
        <v>11748</v>
      </c>
      <c r="M6657" s="33" t="s">
        <v>21</v>
      </c>
      <c r="N6657" s="33" t="s">
        <v>11749</v>
      </c>
      <c r="O6657" s="33" t="s">
        <v>23</v>
      </c>
      <c r="P6657" s="33" t="s">
        <v>30089</v>
      </c>
      <c r="Q6657" s="40" t="s">
        <v>11750</v>
      </c>
      <c r="R6657" s="33" t="s">
        <v>512</v>
      </c>
      <c r="S6657" s="33" t="s">
        <v>22</v>
      </c>
      <c r="T6657" s="1" t="s">
        <v>43000</v>
      </c>
      <c r="Z6657" s="33" t="s">
        <v>42968</v>
      </c>
      <c r="AA6657" s="33">
        <v>1008</v>
      </c>
    </row>
    <row r="6658" spans="1:31" ht="12" customHeight="1" x14ac:dyDescent="0.15">
      <c r="A6658" s="33" t="s">
        <v>11756</v>
      </c>
      <c r="B6658" s="33">
        <v>20</v>
      </c>
      <c r="C6658" s="33" t="s">
        <v>14</v>
      </c>
      <c r="D6658" s="33" t="s">
        <v>79</v>
      </c>
      <c r="E6658" s="33" t="s">
        <v>11757</v>
      </c>
      <c r="F6658" s="67">
        <v>41598</v>
      </c>
      <c r="G6658" s="33" t="s">
        <v>22195</v>
      </c>
      <c r="H6658" s="33" t="s">
        <v>11758</v>
      </c>
      <c r="I6658" s="33" t="s">
        <v>112</v>
      </c>
      <c r="J6658" s="33" t="s">
        <v>11759</v>
      </c>
      <c r="K6658" s="33" t="s">
        <v>519</v>
      </c>
      <c r="L6658" s="33" t="s">
        <v>11583</v>
      </c>
      <c r="M6658" s="33" t="s">
        <v>21</v>
      </c>
      <c r="N6658" s="33" t="s">
        <v>11760</v>
      </c>
      <c r="O6658" s="33" t="s">
        <v>4311</v>
      </c>
      <c r="P6658" s="33" t="s">
        <v>30089</v>
      </c>
      <c r="Q6658" s="40" t="s">
        <v>11761</v>
      </c>
      <c r="R6658" s="33" t="s">
        <v>512</v>
      </c>
      <c r="S6658" s="33" t="s">
        <v>22</v>
      </c>
      <c r="T6658" s="1" t="s">
        <v>42999</v>
      </c>
      <c r="Z6658" s="33" t="s">
        <v>42968</v>
      </c>
      <c r="AA6658" s="33">
        <v>1006</v>
      </c>
    </row>
    <row r="6659" spans="1:31" ht="12" customHeight="1" x14ac:dyDescent="0.15">
      <c r="A6659" s="33" t="s">
        <v>11769</v>
      </c>
      <c r="B6659" s="33">
        <v>44</v>
      </c>
      <c r="C6659" s="33" t="s">
        <v>14</v>
      </c>
      <c r="D6659" s="33" t="s">
        <v>31</v>
      </c>
      <c r="F6659" s="67">
        <v>41598</v>
      </c>
      <c r="G6659" s="33" t="s">
        <v>11770</v>
      </c>
      <c r="H6659" s="33" t="s">
        <v>2944</v>
      </c>
      <c r="I6659" s="33" t="s">
        <v>106</v>
      </c>
      <c r="J6659" s="33" t="s">
        <v>11771</v>
      </c>
      <c r="K6659" s="33" t="s">
        <v>2946</v>
      </c>
      <c r="L6659" s="33" t="s">
        <v>2947</v>
      </c>
      <c r="M6659" s="33" t="s">
        <v>21</v>
      </c>
      <c r="N6659" s="33" t="s">
        <v>36849</v>
      </c>
      <c r="O6659" s="33" t="s">
        <v>507</v>
      </c>
      <c r="P6659" s="33" t="s">
        <v>30089</v>
      </c>
      <c r="Q6659" s="40" t="s">
        <v>11772</v>
      </c>
      <c r="R6659" s="33" t="s">
        <v>23</v>
      </c>
      <c r="S6659" s="33" t="s">
        <v>22</v>
      </c>
      <c r="T6659" s="1" t="s">
        <v>26781</v>
      </c>
      <c r="Z6659" s="33" t="s">
        <v>42968</v>
      </c>
      <c r="AA6659" s="33">
        <v>1004</v>
      </c>
    </row>
    <row r="6660" spans="1:31" ht="12" customHeight="1" x14ac:dyDescent="0.15">
      <c r="A6660" s="33" t="s">
        <v>11762</v>
      </c>
      <c r="B6660" s="33">
        <v>25</v>
      </c>
      <c r="C6660" s="33" t="s">
        <v>14</v>
      </c>
      <c r="D6660" s="33" t="s">
        <v>79</v>
      </c>
      <c r="E6660" s="33" t="s">
        <v>11763</v>
      </c>
      <c r="F6660" s="67">
        <v>41598</v>
      </c>
      <c r="G6660" s="33" t="s">
        <v>11764</v>
      </c>
      <c r="H6660" s="33" t="s">
        <v>1979</v>
      </c>
      <c r="I6660" s="33" t="s">
        <v>395</v>
      </c>
      <c r="J6660" s="33" t="s">
        <v>11765</v>
      </c>
      <c r="K6660" s="33" t="s">
        <v>998</v>
      </c>
      <c r="L6660" s="33" t="s">
        <v>11766</v>
      </c>
      <c r="M6660" s="33" t="s">
        <v>21</v>
      </c>
      <c r="N6660" s="33" t="s">
        <v>11767</v>
      </c>
      <c r="O6660" s="33" t="s">
        <v>507</v>
      </c>
      <c r="P6660" s="33" t="s">
        <v>30089</v>
      </c>
      <c r="Q6660" s="40" t="s">
        <v>11768</v>
      </c>
      <c r="R6660" s="33" t="s">
        <v>94</v>
      </c>
      <c r="S6660" s="33" t="s">
        <v>22</v>
      </c>
      <c r="T6660" s="1" t="s">
        <v>26774</v>
      </c>
      <c r="Z6660" s="33" t="s">
        <v>42968</v>
      </c>
      <c r="AA6660" s="33">
        <v>1007</v>
      </c>
    </row>
    <row r="6661" spans="1:31" ht="12" customHeight="1" x14ac:dyDescent="0.15">
      <c r="A6661" s="33" t="s">
        <v>11359</v>
      </c>
      <c r="B6661" s="33">
        <v>46</v>
      </c>
      <c r="C6661" s="33" t="s">
        <v>14</v>
      </c>
      <c r="D6661" s="33" t="s">
        <v>24</v>
      </c>
      <c r="F6661" s="67">
        <v>41598</v>
      </c>
      <c r="G6661" s="33" t="s">
        <v>22181</v>
      </c>
      <c r="H6661" s="33" t="s">
        <v>532</v>
      </c>
      <c r="I6661" s="33" t="s">
        <v>67</v>
      </c>
      <c r="J6661" s="33" t="s">
        <v>11360</v>
      </c>
      <c r="K6661" s="33" t="s">
        <v>533</v>
      </c>
      <c r="L6661" s="33" t="s">
        <v>534</v>
      </c>
      <c r="M6661" s="33" t="s">
        <v>21</v>
      </c>
      <c r="N6661" s="33" t="s">
        <v>11361</v>
      </c>
      <c r="O6661" s="33" t="s">
        <v>507</v>
      </c>
      <c r="P6661" s="33" t="s">
        <v>30089</v>
      </c>
      <c r="Q6661" s="40" t="str">
        <f>HYPERLINK("http://www.kens5.com/story/local/2014/09/26/10621720/","http://www.kens5.com/story/local/2014/09/26/10621720/")</f>
        <v>http://www.kens5.com/story/local/2014/09/26/10621720/</v>
      </c>
      <c r="R6661" s="33" t="s">
        <v>512</v>
      </c>
      <c r="S6661" s="33" t="s">
        <v>22</v>
      </c>
      <c r="T6661" s="1" t="s">
        <v>26781</v>
      </c>
      <c r="Z6661" s="33" t="s">
        <v>42968</v>
      </c>
      <c r="AA6661" s="33">
        <v>1005</v>
      </c>
    </row>
    <row r="6662" spans="1:31" ht="12" customHeight="1" x14ac:dyDescent="0.15">
      <c r="A6662" s="33" t="s">
        <v>11799</v>
      </c>
      <c r="B6662" s="33">
        <v>47</v>
      </c>
      <c r="C6662" s="33" t="s">
        <v>14</v>
      </c>
      <c r="D6662" s="33" t="s">
        <v>31</v>
      </c>
      <c r="E6662" s="33" t="s">
        <v>11800</v>
      </c>
      <c r="F6662" s="67">
        <v>41597</v>
      </c>
      <c r="G6662" s="33" t="s">
        <v>11801</v>
      </c>
      <c r="H6662" s="33" t="s">
        <v>9813</v>
      </c>
      <c r="I6662" s="33" t="s">
        <v>39</v>
      </c>
      <c r="J6662" s="33" t="s">
        <v>9814</v>
      </c>
      <c r="K6662" s="33" t="s">
        <v>288</v>
      </c>
      <c r="L6662" s="33" t="s">
        <v>289</v>
      </c>
      <c r="M6662" s="33" t="s">
        <v>21</v>
      </c>
      <c r="N6662" s="33" t="s">
        <v>11802</v>
      </c>
      <c r="O6662" s="33" t="s">
        <v>950</v>
      </c>
      <c r="P6662" s="33" t="s">
        <v>30089</v>
      </c>
      <c r="Q6662" s="40" t="s">
        <v>11803</v>
      </c>
      <c r="R6662" s="33" t="s">
        <v>94</v>
      </c>
      <c r="S6662" s="33" t="s">
        <v>22</v>
      </c>
      <c r="T6662" s="1" t="s">
        <v>26774</v>
      </c>
      <c r="Z6662" s="33" t="s">
        <v>42968</v>
      </c>
      <c r="AA6662" s="33">
        <v>1001</v>
      </c>
    </row>
    <row r="6663" spans="1:31" ht="12" customHeight="1" x14ac:dyDescent="0.15">
      <c r="A6663" s="33" t="s">
        <v>11793</v>
      </c>
      <c r="B6663" s="33">
        <v>44</v>
      </c>
      <c r="C6663" s="33" t="s">
        <v>14</v>
      </c>
      <c r="D6663" s="33" t="s">
        <v>31</v>
      </c>
      <c r="E6663" s="33" t="s">
        <v>11794</v>
      </c>
      <c r="F6663" s="67">
        <v>41597</v>
      </c>
      <c r="G6663" s="33" t="s">
        <v>22196</v>
      </c>
      <c r="H6663" s="33" t="s">
        <v>484</v>
      </c>
      <c r="I6663" s="33" t="s">
        <v>112</v>
      </c>
      <c r="J6663" s="33" t="s">
        <v>11795</v>
      </c>
      <c r="K6663" s="33" t="s">
        <v>166</v>
      </c>
      <c r="L6663" s="33" t="s">
        <v>11796</v>
      </c>
      <c r="M6663" s="33" t="s">
        <v>21</v>
      </c>
      <c r="N6663" s="33" t="s">
        <v>11797</v>
      </c>
      <c r="O6663" s="33" t="s">
        <v>507</v>
      </c>
      <c r="P6663" s="33" t="s">
        <v>30089</v>
      </c>
      <c r="Q6663" s="40" t="s">
        <v>11798</v>
      </c>
      <c r="R6663" s="33" t="s">
        <v>512</v>
      </c>
      <c r="S6663" s="33" t="s">
        <v>22</v>
      </c>
      <c r="T6663" s="1" t="s">
        <v>26774</v>
      </c>
      <c r="Z6663" s="33" t="s">
        <v>42966</v>
      </c>
      <c r="AA6663" s="33">
        <v>1000</v>
      </c>
    </row>
    <row r="6664" spans="1:31" ht="12" customHeight="1" x14ac:dyDescent="0.15">
      <c r="A6664" s="33" t="s">
        <v>11784</v>
      </c>
      <c r="B6664" s="33">
        <v>19</v>
      </c>
      <c r="C6664" s="33" t="s">
        <v>14</v>
      </c>
      <c r="D6664" s="33" t="s">
        <v>31</v>
      </c>
      <c r="E6664" s="33" t="s">
        <v>11785</v>
      </c>
      <c r="F6664" s="67">
        <v>41597</v>
      </c>
      <c r="G6664" s="33" t="s">
        <v>11786</v>
      </c>
      <c r="H6664" s="33" t="s">
        <v>11787</v>
      </c>
      <c r="I6664" s="33" t="s">
        <v>225</v>
      </c>
      <c r="J6664" s="33" t="s">
        <v>11788</v>
      </c>
      <c r="K6664" s="33" t="s">
        <v>11789</v>
      </c>
      <c r="L6664" s="33" t="s">
        <v>11790</v>
      </c>
      <c r="M6664" s="33" t="s">
        <v>21</v>
      </c>
      <c r="N6664" s="33" t="s">
        <v>11791</v>
      </c>
      <c r="O6664" s="33" t="s">
        <v>507</v>
      </c>
      <c r="P6664" s="33" t="s">
        <v>30089</v>
      </c>
      <c r="Q6664" s="40" t="s">
        <v>11792</v>
      </c>
      <c r="R6664" s="33" t="s">
        <v>23</v>
      </c>
      <c r="S6664" s="33" t="s">
        <v>22</v>
      </c>
      <c r="T6664" s="1" t="s">
        <v>42998</v>
      </c>
      <c r="Z6664" s="33" t="s">
        <v>42968</v>
      </c>
      <c r="AA6664" s="33">
        <v>1002</v>
      </c>
    </row>
    <row r="6665" spans="1:31" ht="12" customHeight="1" x14ac:dyDescent="0.15">
      <c r="A6665" s="33" t="s">
        <v>11778</v>
      </c>
      <c r="B6665" s="33">
        <v>58</v>
      </c>
      <c r="C6665" s="33" t="s">
        <v>14</v>
      </c>
      <c r="D6665" s="33" t="s">
        <v>24</v>
      </c>
      <c r="F6665" s="67">
        <v>41597</v>
      </c>
      <c r="G6665" s="33" t="s">
        <v>11779</v>
      </c>
      <c r="H6665" s="33" t="s">
        <v>11780</v>
      </c>
      <c r="I6665" s="33" t="s">
        <v>39</v>
      </c>
      <c r="J6665" s="33" t="s">
        <v>11781</v>
      </c>
      <c r="K6665" s="33" t="s">
        <v>2469</v>
      </c>
      <c r="L6665" s="33" t="s">
        <v>12301</v>
      </c>
      <c r="M6665" s="33" t="s">
        <v>21</v>
      </c>
      <c r="N6665" s="33" t="s">
        <v>11782</v>
      </c>
      <c r="O6665" s="33" t="s">
        <v>950</v>
      </c>
      <c r="P6665" s="33" t="s">
        <v>30089</v>
      </c>
      <c r="Q6665" s="40" t="s">
        <v>11783</v>
      </c>
      <c r="R6665" s="33" t="s">
        <v>904</v>
      </c>
      <c r="S6665" s="33" t="s">
        <v>22</v>
      </c>
      <c r="T6665" s="1" t="s">
        <v>26781</v>
      </c>
      <c r="Z6665" s="33" t="s">
        <v>42967</v>
      </c>
      <c r="AA6665" s="33">
        <v>999</v>
      </c>
    </row>
    <row r="6666" spans="1:31" ht="12" customHeight="1" x14ac:dyDescent="0.15">
      <c r="A6666" s="33" t="s">
        <v>11773</v>
      </c>
      <c r="B6666" s="33">
        <v>19</v>
      </c>
      <c r="C6666" s="33" t="s">
        <v>14</v>
      </c>
      <c r="D6666" s="33" t="s">
        <v>79</v>
      </c>
      <c r="E6666" s="33" t="s">
        <v>11774</v>
      </c>
      <c r="F6666" s="67">
        <v>41597</v>
      </c>
      <c r="G6666" s="33" t="s">
        <v>11775</v>
      </c>
      <c r="H6666" s="33" t="s">
        <v>451</v>
      </c>
      <c r="I6666" s="33" t="s">
        <v>39</v>
      </c>
      <c r="J6666" s="33" t="s">
        <v>5813</v>
      </c>
      <c r="K6666" s="33" t="s">
        <v>92</v>
      </c>
      <c r="L6666" s="33" t="s">
        <v>452</v>
      </c>
      <c r="M6666" s="33" t="s">
        <v>21</v>
      </c>
      <c r="N6666" s="33" t="s">
        <v>11776</v>
      </c>
      <c r="O6666" s="33" t="s">
        <v>950</v>
      </c>
      <c r="P6666" s="33" t="s">
        <v>30089</v>
      </c>
      <c r="Q6666" s="40" t="str">
        <f>HYPERLINK("http://www.presstelegram.com/general-news/20131120/man-shot-killed-by-long-beach-police-identified-as-from-rialto","http://www.presstelegram.com/general-news/20131120/man-shot-killed-by-long-beach-police-identified-as-from-rialto")</f>
        <v>http://www.presstelegram.com/general-news/20131120/man-shot-killed-by-long-beach-police-identified-as-from-rialto</v>
      </c>
      <c r="R6666" s="33" t="s">
        <v>94</v>
      </c>
      <c r="S6666" s="33" t="s">
        <v>29</v>
      </c>
      <c r="T6666" s="33" t="s">
        <v>41840</v>
      </c>
      <c r="Z6666" s="33" t="s">
        <v>42966</v>
      </c>
      <c r="AA6666" s="33">
        <v>1003</v>
      </c>
    </row>
    <row r="6667" spans="1:31" ht="12" customHeight="1" x14ac:dyDescent="0.15">
      <c r="A6667" s="33" t="s">
        <v>11815</v>
      </c>
      <c r="B6667" s="33">
        <v>55</v>
      </c>
      <c r="C6667" s="33" t="s">
        <v>14</v>
      </c>
      <c r="D6667" s="33" t="s">
        <v>31</v>
      </c>
      <c r="E6667" s="33" t="s">
        <v>11816</v>
      </c>
      <c r="F6667" s="67">
        <v>41596</v>
      </c>
      <c r="G6667" s="33" t="s">
        <v>11817</v>
      </c>
      <c r="H6667" s="33" t="s">
        <v>11818</v>
      </c>
      <c r="I6667" s="33" t="s">
        <v>56</v>
      </c>
      <c r="J6667" s="33" t="s">
        <v>11819</v>
      </c>
      <c r="K6667" s="33" t="s">
        <v>4878</v>
      </c>
      <c r="L6667" s="33" t="s">
        <v>57</v>
      </c>
      <c r="M6667" s="33" t="s">
        <v>21</v>
      </c>
      <c r="N6667" s="33" t="s">
        <v>11820</v>
      </c>
      <c r="O6667" s="33" t="s">
        <v>950</v>
      </c>
      <c r="P6667" s="33" t="s">
        <v>30089</v>
      </c>
      <c r="Q6667" s="40" t="s">
        <v>11821</v>
      </c>
      <c r="R6667" s="33" t="s">
        <v>94</v>
      </c>
      <c r="S6667" s="33" t="s">
        <v>22</v>
      </c>
      <c r="T6667" s="1" t="s">
        <v>26781</v>
      </c>
      <c r="Z6667" s="33" t="s">
        <v>42968</v>
      </c>
      <c r="AA6667" s="33">
        <v>996</v>
      </c>
    </row>
    <row r="6668" spans="1:31" ht="12" customHeight="1" x14ac:dyDescent="0.15">
      <c r="A6668" s="33" t="s">
        <v>11804</v>
      </c>
      <c r="B6668" s="33">
        <v>27</v>
      </c>
      <c r="C6668" s="33" t="s">
        <v>14</v>
      </c>
      <c r="D6668" s="33" t="s">
        <v>79</v>
      </c>
      <c r="F6668" s="67">
        <v>41596</v>
      </c>
      <c r="G6668" s="33" t="s">
        <v>11805</v>
      </c>
      <c r="H6668" s="33" t="s">
        <v>7759</v>
      </c>
      <c r="I6668" s="33" t="s">
        <v>46</v>
      </c>
      <c r="J6668" s="33" t="s">
        <v>11806</v>
      </c>
      <c r="K6668" s="33" t="s">
        <v>995</v>
      </c>
      <c r="L6668" s="33" t="s">
        <v>2191</v>
      </c>
      <c r="M6668" s="33" t="s">
        <v>21</v>
      </c>
      <c r="N6668" s="33" t="s">
        <v>11807</v>
      </c>
      <c r="O6668" s="33" t="s">
        <v>950</v>
      </c>
      <c r="P6668" s="33" t="s">
        <v>30089</v>
      </c>
      <c r="Q6668" s="40" t="s">
        <v>11808</v>
      </c>
      <c r="R6668" s="33" t="s">
        <v>94</v>
      </c>
      <c r="S6668" s="33" t="s">
        <v>22</v>
      </c>
      <c r="T6668" s="1" t="s">
        <v>26781</v>
      </c>
      <c r="Z6668" s="33" t="s">
        <v>42968</v>
      </c>
      <c r="AA6668" s="33">
        <v>995</v>
      </c>
    </row>
    <row r="6669" spans="1:31" ht="12" customHeight="1" x14ac:dyDescent="0.15">
      <c r="A6669" s="33" t="s">
        <v>11809</v>
      </c>
      <c r="B6669" s="33">
        <v>22</v>
      </c>
      <c r="C6669" s="33" t="s">
        <v>14</v>
      </c>
      <c r="D6669" s="33" t="s">
        <v>79</v>
      </c>
      <c r="E6669" s="33" t="s">
        <v>11810</v>
      </c>
      <c r="F6669" s="67">
        <v>41596</v>
      </c>
      <c r="G6669" s="33" t="s">
        <v>22197</v>
      </c>
      <c r="H6669" s="33" t="s">
        <v>700</v>
      </c>
      <c r="I6669" s="33" t="s">
        <v>395</v>
      </c>
      <c r="J6669" s="33" t="s">
        <v>11811</v>
      </c>
      <c r="K6669" s="33" t="s">
        <v>1601</v>
      </c>
      <c r="L6669" s="33" t="s">
        <v>539</v>
      </c>
      <c r="M6669" s="33" t="s">
        <v>21</v>
      </c>
      <c r="N6669" s="33" t="s">
        <v>11812</v>
      </c>
      <c r="O6669" s="33" t="s">
        <v>23</v>
      </c>
      <c r="P6669" s="33" t="s">
        <v>30089</v>
      </c>
      <c r="Q6669" s="40" t="s">
        <v>11813</v>
      </c>
      <c r="R6669" s="33" t="s">
        <v>512</v>
      </c>
      <c r="S6669" s="33" t="s">
        <v>22</v>
      </c>
      <c r="T6669" s="1" t="s">
        <v>26774</v>
      </c>
      <c r="Z6669" s="33" t="s">
        <v>42966</v>
      </c>
      <c r="AA6669" s="33">
        <v>997</v>
      </c>
    </row>
    <row r="6670" spans="1:31" ht="12" customHeight="1" x14ac:dyDescent="0.15">
      <c r="A6670" s="33" t="s">
        <v>11822</v>
      </c>
      <c r="B6670" s="33">
        <v>38</v>
      </c>
      <c r="C6670" s="33" t="s">
        <v>14</v>
      </c>
      <c r="D6670" s="33" t="s">
        <v>31</v>
      </c>
      <c r="E6670" s="33" t="s">
        <v>11823</v>
      </c>
      <c r="F6670" s="67">
        <v>41596</v>
      </c>
      <c r="G6670" s="33" t="s">
        <v>11824</v>
      </c>
      <c r="H6670" s="33" t="s">
        <v>7487</v>
      </c>
      <c r="I6670" s="33" t="s">
        <v>395</v>
      </c>
      <c r="J6670" s="33" t="s">
        <v>11825</v>
      </c>
      <c r="K6670" s="33" t="s">
        <v>616</v>
      </c>
      <c r="L6670" s="33" t="s">
        <v>11826</v>
      </c>
      <c r="M6670" s="33" t="s">
        <v>21</v>
      </c>
      <c r="N6670" s="33" t="s">
        <v>11827</v>
      </c>
      <c r="O6670" s="33" t="s">
        <v>507</v>
      </c>
      <c r="P6670" s="33" t="s">
        <v>30089</v>
      </c>
      <c r="Q6670" s="40" t="s">
        <v>11828</v>
      </c>
      <c r="R6670" s="33" t="s">
        <v>94</v>
      </c>
      <c r="S6670" s="33" t="s">
        <v>12</v>
      </c>
      <c r="T6670" s="33" t="s">
        <v>29705</v>
      </c>
      <c r="Z6670" s="33" t="s">
        <v>42967</v>
      </c>
      <c r="AA6670" s="33">
        <v>998</v>
      </c>
      <c r="AE6670" s="33"/>
    </row>
    <row r="6671" spans="1:31" ht="12" customHeight="1" x14ac:dyDescent="0.15">
      <c r="A6671" s="33" t="s">
        <v>11844</v>
      </c>
      <c r="B6671" s="33">
        <v>78</v>
      </c>
      <c r="C6671" s="33" t="s">
        <v>14</v>
      </c>
      <c r="D6671" s="33" t="s">
        <v>31</v>
      </c>
      <c r="E6671" s="33" t="s">
        <v>11845</v>
      </c>
      <c r="F6671" s="67">
        <v>41595</v>
      </c>
      <c r="G6671" s="33" t="s">
        <v>11846</v>
      </c>
      <c r="H6671" s="33" t="s">
        <v>92</v>
      </c>
      <c r="I6671" s="33" t="s">
        <v>39</v>
      </c>
      <c r="J6671" s="33" t="s">
        <v>11847</v>
      </c>
      <c r="K6671" s="33" t="s">
        <v>92</v>
      </c>
      <c r="L6671" s="33" t="s">
        <v>93</v>
      </c>
      <c r="M6671" s="33" t="s">
        <v>21</v>
      </c>
      <c r="N6671" s="33" t="s">
        <v>11848</v>
      </c>
      <c r="O6671" s="33" t="s">
        <v>950</v>
      </c>
      <c r="P6671" s="33" t="s">
        <v>30089</v>
      </c>
      <c r="Q6671" s="40" t="s">
        <v>11849</v>
      </c>
      <c r="R6671" s="33" t="s">
        <v>23</v>
      </c>
      <c r="S6671" s="33" t="s">
        <v>22</v>
      </c>
      <c r="T6671" s="1" t="s">
        <v>26781</v>
      </c>
      <c r="Z6671" s="33" t="s">
        <v>42968</v>
      </c>
      <c r="AA6671" s="33">
        <v>993</v>
      </c>
    </row>
    <row r="6672" spans="1:31" ht="12" customHeight="1" x14ac:dyDescent="0.15">
      <c r="A6672" s="33" t="s">
        <v>11829</v>
      </c>
      <c r="B6672" s="33">
        <v>31</v>
      </c>
      <c r="C6672" s="33" t="s">
        <v>14</v>
      </c>
      <c r="D6672" s="33" t="s">
        <v>79</v>
      </c>
      <c r="E6672" s="33" t="s">
        <v>11830</v>
      </c>
      <c r="F6672" s="67">
        <v>41595</v>
      </c>
      <c r="G6672" s="33" t="s">
        <v>11831</v>
      </c>
      <c r="H6672" s="33" t="s">
        <v>11832</v>
      </c>
      <c r="I6672" s="33" t="s">
        <v>63</v>
      </c>
      <c r="J6672" s="33" t="s">
        <v>11833</v>
      </c>
      <c r="K6672" s="33" t="s">
        <v>1203</v>
      </c>
      <c r="L6672" s="33" t="s">
        <v>11441</v>
      </c>
      <c r="M6672" s="33" t="s">
        <v>21</v>
      </c>
      <c r="N6672" s="33" t="s">
        <v>11834</v>
      </c>
      <c r="O6672" s="33" t="s">
        <v>507</v>
      </c>
      <c r="P6672" s="33" t="s">
        <v>30089</v>
      </c>
      <c r="Q6672" s="40" t="s">
        <v>11835</v>
      </c>
      <c r="R6672" s="33" t="s">
        <v>512</v>
      </c>
      <c r="S6672" s="33" t="s">
        <v>22</v>
      </c>
      <c r="T6672" s="1" t="s">
        <v>26774</v>
      </c>
      <c r="Z6672" s="33" t="s">
        <v>42968</v>
      </c>
      <c r="AA6672" s="33">
        <v>994</v>
      </c>
    </row>
    <row r="6673" spans="1:64" ht="12" customHeight="1" x14ac:dyDescent="0.15">
      <c r="A6673" s="33" t="s">
        <v>11836</v>
      </c>
      <c r="B6673" s="33">
        <v>26</v>
      </c>
      <c r="C6673" s="33" t="s">
        <v>14</v>
      </c>
      <c r="D6673" s="33" t="s">
        <v>79</v>
      </c>
      <c r="E6673" s="33" t="s">
        <v>11837</v>
      </c>
      <c r="F6673" s="67">
        <v>41595</v>
      </c>
      <c r="G6673" s="33" t="s">
        <v>11838</v>
      </c>
      <c r="H6673" s="33" t="s">
        <v>11839</v>
      </c>
      <c r="I6673" s="33" t="s">
        <v>56</v>
      </c>
      <c r="J6673" s="33" t="s">
        <v>11840</v>
      </c>
      <c r="K6673" s="33" t="s">
        <v>1654</v>
      </c>
      <c r="L6673" s="33" t="s">
        <v>11841</v>
      </c>
      <c r="M6673" s="33" t="s">
        <v>21</v>
      </c>
      <c r="N6673" s="33" t="s">
        <v>11842</v>
      </c>
      <c r="O6673" s="33" t="s">
        <v>950</v>
      </c>
      <c r="P6673" s="33" t="s">
        <v>30089</v>
      </c>
      <c r="Q6673" s="40" t="s">
        <v>11843</v>
      </c>
      <c r="R6673" s="33" t="s">
        <v>94</v>
      </c>
      <c r="S6673" s="33" t="s">
        <v>22</v>
      </c>
      <c r="T6673" s="1" t="s">
        <v>26781</v>
      </c>
      <c r="Z6673" s="33" t="s">
        <v>42968</v>
      </c>
      <c r="AA6673" s="33">
        <v>992</v>
      </c>
    </row>
    <row r="6674" spans="1:64" ht="12" customHeight="1" x14ac:dyDescent="0.15">
      <c r="A6674" s="63" t="s">
        <v>42738</v>
      </c>
      <c r="B6674" s="99">
        <v>32</v>
      </c>
      <c r="C6674" s="10" t="s">
        <v>14</v>
      </c>
      <c r="D6674" s="10" t="s">
        <v>79</v>
      </c>
      <c r="E6674" s="10"/>
      <c r="F6674" s="67">
        <v>41594</v>
      </c>
      <c r="G6674" s="10" t="s">
        <v>42739</v>
      </c>
      <c r="H6674" s="10" t="s">
        <v>197</v>
      </c>
      <c r="I6674" s="10" t="s">
        <v>198</v>
      </c>
      <c r="J6674" s="65">
        <v>46219</v>
      </c>
      <c r="K6674" s="10" t="s">
        <v>392</v>
      </c>
      <c r="L6674" s="10" t="s">
        <v>199</v>
      </c>
      <c r="M6674" s="10" t="s">
        <v>21</v>
      </c>
      <c r="N6674" s="10" t="s">
        <v>42740</v>
      </c>
      <c r="O6674" s="10" t="s">
        <v>950</v>
      </c>
      <c r="P6674" s="10" t="s">
        <v>30089</v>
      </c>
      <c r="Q6674" s="62" t="s">
        <v>42741</v>
      </c>
      <c r="R6674" s="10" t="s">
        <v>94</v>
      </c>
      <c r="S6674" s="10" t="s">
        <v>22</v>
      </c>
      <c r="T6674" s="10" t="s">
        <v>26781</v>
      </c>
      <c r="U6674" s="10"/>
      <c r="V6674" s="10"/>
      <c r="W6674" s="69"/>
      <c r="X6674" s="89"/>
      <c r="Y6674" s="68"/>
      <c r="Z6674" s="68" t="s">
        <v>42968</v>
      </c>
      <c r="AA6674" s="33">
        <v>990</v>
      </c>
      <c r="AG6674" s="68"/>
      <c r="AK6674" s="68"/>
      <c r="AL6674" s="68"/>
      <c r="AM6674" s="68"/>
      <c r="AN6674" s="68"/>
      <c r="AO6674" s="68"/>
      <c r="AP6674" s="68"/>
      <c r="AQ6674" s="68"/>
      <c r="AR6674" s="68"/>
      <c r="AS6674" s="68"/>
      <c r="AT6674" s="68"/>
      <c r="AU6674" s="68"/>
      <c r="AV6674" s="68"/>
      <c r="AW6674" s="68"/>
      <c r="AX6674" s="68"/>
      <c r="AY6674" s="68"/>
      <c r="AZ6674" s="68"/>
      <c r="BA6674" s="68"/>
      <c r="BB6674" s="68"/>
      <c r="BC6674" s="68"/>
      <c r="BD6674" s="68"/>
      <c r="BE6674" s="68"/>
      <c r="BF6674" s="68"/>
      <c r="BG6674" s="68"/>
      <c r="BH6674" s="68"/>
      <c r="BI6674" s="68"/>
      <c r="BJ6674" s="68"/>
      <c r="BK6674" s="68"/>
      <c r="BL6674" s="68"/>
    </row>
    <row r="6675" spans="1:64" ht="12" customHeight="1" x14ac:dyDescent="0.15">
      <c r="A6675" s="33" t="s">
        <v>11850</v>
      </c>
      <c r="B6675" s="33">
        <v>22</v>
      </c>
      <c r="C6675" s="33" t="s">
        <v>14</v>
      </c>
      <c r="D6675" s="33" t="s">
        <v>31</v>
      </c>
      <c r="E6675" s="33" t="s">
        <v>11851</v>
      </c>
      <c r="F6675" s="67">
        <v>41594</v>
      </c>
      <c r="G6675" s="33" t="s">
        <v>11852</v>
      </c>
      <c r="H6675" s="33" t="s">
        <v>401</v>
      </c>
      <c r="I6675" s="33" t="s">
        <v>337</v>
      </c>
      <c r="J6675" s="33" t="s">
        <v>10472</v>
      </c>
      <c r="K6675" s="33" t="s">
        <v>554</v>
      </c>
      <c r="L6675" s="33" t="s">
        <v>42466</v>
      </c>
      <c r="M6675" s="33" t="s">
        <v>21</v>
      </c>
      <c r="N6675" s="33" t="s">
        <v>11853</v>
      </c>
      <c r="O6675" s="33" t="s">
        <v>950</v>
      </c>
      <c r="P6675" s="33" t="s">
        <v>30089</v>
      </c>
      <c r="Q6675" s="40" t="s">
        <v>11854</v>
      </c>
      <c r="R6675" s="33" t="s">
        <v>94</v>
      </c>
      <c r="S6675" s="33" t="s">
        <v>22</v>
      </c>
      <c r="T6675" s="1" t="s">
        <v>26580</v>
      </c>
      <c r="Z6675" s="33" t="s">
        <v>42968</v>
      </c>
      <c r="AA6675" s="33">
        <v>989</v>
      </c>
    </row>
    <row r="6676" spans="1:64" ht="12" customHeight="1" x14ac:dyDescent="0.15">
      <c r="A6676" s="33" t="s">
        <v>11855</v>
      </c>
      <c r="B6676" s="33">
        <v>61</v>
      </c>
      <c r="C6676" s="33" t="s">
        <v>103</v>
      </c>
      <c r="D6676" s="33" t="s">
        <v>31</v>
      </c>
      <c r="E6676" s="33" t="s">
        <v>11856</v>
      </c>
      <c r="F6676" s="67">
        <v>41594</v>
      </c>
      <c r="G6676" s="33" t="s">
        <v>11857</v>
      </c>
      <c r="H6676" s="33" t="s">
        <v>560</v>
      </c>
      <c r="I6676" s="33" t="s">
        <v>39</v>
      </c>
      <c r="J6676" s="33" t="s">
        <v>11858</v>
      </c>
      <c r="K6676" s="33" t="s">
        <v>561</v>
      </c>
      <c r="L6676" s="33" t="s">
        <v>18994</v>
      </c>
      <c r="M6676" s="33" t="s">
        <v>21</v>
      </c>
      <c r="N6676" s="33" t="s">
        <v>11859</v>
      </c>
      <c r="O6676" s="33" t="s">
        <v>950</v>
      </c>
      <c r="P6676" s="33" t="s">
        <v>30089</v>
      </c>
      <c r="Q6676" s="40" t="s">
        <v>11860</v>
      </c>
      <c r="R6676" s="33" t="s">
        <v>23</v>
      </c>
      <c r="S6676" s="33" t="s">
        <v>22</v>
      </c>
      <c r="T6676" s="1" t="s">
        <v>26774</v>
      </c>
      <c r="Z6676" s="33" t="s">
        <v>42966</v>
      </c>
      <c r="AA6676" s="33">
        <v>991</v>
      </c>
    </row>
    <row r="6677" spans="1:64" ht="12" customHeight="1" x14ac:dyDescent="0.15">
      <c r="A6677" s="33" t="s">
        <v>11866</v>
      </c>
      <c r="B6677" s="33">
        <v>21</v>
      </c>
      <c r="C6677" s="33" t="s">
        <v>14</v>
      </c>
      <c r="D6677" s="33" t="s">
        <v>42</v>
      </c>
      <c r="F6677" s="67">
        <v>41593</v>
      </c>
      <c r="G6677" s="33" t="s">
        <v>11867</v>
      </c>
      <c r="H6677" s="33" t="s">
        <v>11868</v>
      </c>
      <c r="I6677" s="33" t="s">
        <v>39</v>
      </c>
      <c r="J6677" s="33" t="s">
        <v>11869</v>
      </c>
      <c r="K6677" s="33" t="s">
        <v>92</v>
      </c>
      <c r="L6677" s="33" t="s">
        <v>386</v>
      </c>
      <c r="M6677" s="33" t="s">
        <v>21</v>
      </c>
      <c r="N6677" s="33" t="s">
        <v>11870</v>
      </c>
      <c r="O6677" s="33" t="s">
        <v>950</v>
      </c>
      <c r="P6677" s="33" t="s">
        <v>30089</v>
      </c>
      <c r="Q6677" s="40" t="s">
        <v>11871</v>
      </c>
      <c r="R6677" s="33" t="s">
        <v>904</v>
      </c>
      <c r="S6677" s="33" t="s">
        <v>22</v>
      </c>
      <c r="T6677" s="1" t="s">
        <v>26774</v>
      </c>
      <c r="Z6677" s="33" t="s">
        <v>42966</v>
      </c>
      <c r="AA6677" s="33">
        <v>988</v>
      </c>
    </row>
    <row r="6678" spans="1:64" ht="12" customHeight="1" x14ac:dyDescent="0.15">
      <c r="A6678" s="33" t="s">
        <v>11861</v>
      </c>
      <c r="B6678" s="33">
        <v>42</v>
      </c>
      <c r="C6678" s="33" t="s">
        <v>14</v>
      </c>
      <c r="D6678" s="33" t="s">
        <v>79</v>
      </c>
      <c r="F6678" s="67">
        <v>41593</v>
      </c>
      <c r="G6678" s="33" t="s">
        <v>11862</v>
      </c>
      <c r="H6678" s="33" t="s">
        <v>2673</v>
      </c>
      <c r="I6678" s="33" t="s">
        <v>75</v>
      </c>
      <c r="J6678" s="33" t="s">
        <v>11863</v>
      </c>
      <c r="K6678" s="33" t="s">
        <v>2675</v>
      </c>
      <c r="L6678" s="33" t="s">
        <v>2676</v>
      </c>
      <c r="M6678" s="33" t="s">
        <v>21</v>
      </c>
      <c r="N6678" s="33" t="s">
        <v>11864</v>
      </c>
      <c r="O6678" s="33" t="s">
        <v>950</v>
      </c>
      <c r="P6678" s="33" t="s">
        <v>30089</v>
      </c>
      <c r="Q6678" s="40" t="s">
        <v>11865</v>
      </c>
      <c r="R6678" s="33" t="s">
        <v>23</v>
      </c>
      <c r="S6678" s="33" t="s">
        <v>22</v>
      </c>
      <c r="T6678" s="1" t="s">
        <v>26774</v>
      </c>
      <c r="Z6678" s="33" t="s">
        <v>42968</v>
      </c>
      <c r="AA6678" s="33">
        <v>987</v>
      </c>
    </row>
    <row r="6679" spans="1:64" ht="12" customHeight="1" x14ac:dyDescent="0.15">
      <c r="A6679" s="33" t="s">
        <v>11872</v>
      </c>
      <c r="B6679" s="33">
        <v>30</v>
      </c>
      <c r="C6679" s="33" t="s">
        <v>14</v>
      </c>
      <c r="D6679" s="33" t="s">
        <v>31</v>
      </c>
      <c r="E6679" s="33" t="s">
        <v>11873</v>
      </c>
      <c r="F6679" s="67">
        <v>41593</v>
      </c>
      <c r="G6679" s="33" t="s">
        <v>11874</v>
      </c>
      <c r="H6679" s="33" t="s">
        <v>11875</v>
      </c>
      <c r="I6679" s="33" t="s">
        <v>122</v>
      </c>
      <c r="J6679" s="33" t="s">
        <v>11876</v>
      </c>
      <c r="K6679" s="33" t="s">
        <v>1009</v>
      </c>
      <c r="L6679" s="33" t="s">
        <v>11877</v>
      </c>
      <c r="M6679" s="33" t="s">
        <v>21</v>
      </c>
      <c r="N6679" s="33" t="s">
        <v>11878</v>
      </c>
      <c r="O6679" s="33" t="s">
        <v>507</v>
      </c>
      <c r="P6679" s="33" t="s">
        <v>30089</v>
      </c>
      <c r="Q6679" s="40" t="str">
        <f>HYPERLINK("http://www.startribune.com/local/west/232358621.html","http://www.startribune.com/local/west/232358621.html")</f>
        <v>http://www.startribune.com/local/west/232358621.html</v>
      </c>
      <c r="R6679" s="33" t="s">
        <v>94</v>
      </c>
      <c r="S6679" s="33" t="s">
        <v>22</v>
      </c>
      <c r="T6679" s="1" t="s">
        <v>26781</v>
      </c>
      <c r="Z6679" s="33" t="s">
        <v>42968</v>
      </c>
      <c r="AA6679" s="33">
        <v>986</v>
      </c>
    </row>
    <row r="6680" spans="1:64" ht="12" customHeight="1" x14ac:dyDescent="0.15">
      <c r="A6680" s="33" t="s">
        <v>11879</v>
      </c>
      <c r="B6680" s="33">
        <v>49</v>
      </c>
      <c r="C6680" s="33" t="s">
        <v>14</v>
      </c>
      <c r="D6680" s="33" t="s">
        <v>24</v>
      </c>
      <c r="F6680" s="67">
        <v>41592</v>
      </c>
      <c r="G6680" s="33" t="s">
        <v>11880</v>
      </c>
      <c r="H6680" s="33" t="s">
        <v>11881</v>
      </c>
      <c r="I6680" s="33" t="s">
        <v>918</v>
      </c>
      <c r="J6680" s="33" t="s">
        <v>11882</v>
      </c>
      <c r="K6680" s="33" t="s">
        <v>4686</v>
      </c>
      <c r="L6680" s="33" t="s">
        <v>8863</v>
      </c>
      <c r="M6680" s="33" t="s">
        <v>21</v>
      </c>
      <c r="N6680" s="33" t="s">
        <v>11883</v>
      </c>
      <c r="O6680" s="33" t="s">
        <v>950</v>
      </c>
      <c r="P6680" s="33" t="s">
        <v>30089</v>
      </c>
      <c r="Q6680" s="40" t="s">
        <v>11884</v>
      </c>
      <c r="R6680" s="33" t="s">
        <v>512</v>
      </c>
      <c r="S6680" s="33" t="s">
        <v>22</v>
      </c>
      <c r="T6680" s="1" t="s">
        <v>26781</v>
      </c>
      <c r="Z6680" s="33" t="s">
        <v>42968</v>
      </c>
      <c r="AA6680" s="33">
        <v>984</v>
      </c>
    </row>
    <row r="6681" spans="1:64" ht="12" customHeight="1" x14ac:dyDescent="0.15">
      <c r="A6681" s="33" t="s">
        <v>11885</v>
      </c>
      <c r="B6681" s="33">
        <v>53</v>
      </c>
      <c r="C6681" s="33" t="s">
        <v>14</v>
      </c>
      <c r="D6681" s="33" t="s">
        <v>24</v>
      </c>
      <c r="F6681" s="67">
        <v>41592</v>
      </c>
      <c r="G6681" s="33" t="s">
        <v>11886</v>
      </c>
      <c r="H6681" s="33" t="s">
        <v>532</v>
      </c>
      <c r="I6681" s="33" t="s">
        <v>67</v>
      </c>
      <c r="J6681" s="33" t="s">
        <v>11887</v>
      </c>
      <c r="K6681" s="33" t="s">
        <v>533</v>
      </c>
      <c r="L6681" s="33" t="s">
        <v>534</v>
      </c>
      <c r="M6681" s="33" t="s">
        <v>21</v>
      </c>
      <c r="N6681" s="33" t="s">
        <v>11888</v>
      </c>
      <c r="O6681" s="33" t="s">
        <v>950</v>
      </c>
      <c r="P6681" s="33" t="s">
        <v>30089</v>
      </c>
      <c r="Q6681" s="40" t="s">
        <v>11889</v>
      </c>
      <c r="R6681" s="33" t="s">
        <v>94</v>
      </c>
      <c r="S6681" s="33" t="s">
        <v>22</v>
      </c>
      <c r="T6681" s="1" t="s">
        <v>42984</v>
      </c>
      <c r="Z6681" s="33" t="s">
        <v>42968</v>
      </c>
      <c r="AA6681" s="33">
        <v>985</v>
      </c>
    </row>
    <row r="6682" spans="1:64" ht="12" customHeight="1" x14ac:dyDescent="0.15">
      <c r="A6682" s="33" t="s">
        <v>11895</v>
      </c>
      <c r="B6682" s="33">
        <v>17</v>
      </c>
      <c r="C6682" s="33" t="s">
        <v>14</v>
      </c>
      <c r="D6682" s="33" t="s">
        <v>42</v>
      </c>
      <c r="E6682" s="33" t="s">
        <v>11896</v>
      </c>
      <c r="F6682" s="67">
        <v>41591</v>
      </c>
      <c r="G6682" s="33" t="s">
        <v>11897</v>
      </c>
      <c r="H6682" s="33" t="s">
        <v>674</v>
      </c>
      <c r="I6682" s="33" t="s">
        <v>67</v>
      </c>
      <c r="J6682" s="33" t="s">
        <v>11898</v>
      </c>
      <c r="K6682" s="33" t="s">
        <v>515</v>
      </c>
      <c r="L6682" s="33" t="s">
        <v>11899</v>
      </c>
      <c r="M6682" s="33" t="s">
        <v>21</v>
      </c>
      <c r="N6682" s="33" t="s">
        <v>11900</v>
      </c>
      <c r="O6682" s="33" t="s">
        <v>507</v>
      </c>
      <c r="P6682" s="33" t="s">
        <v>30089</v>
      </c>
      <c r="Q6682" s="40" t="s">
        <v>11901</v>
      </c>
      <c r="R6682" s="33" t="s">
        <v>94</v>
      </c>
      <c r="S6682" s="33" t="s">
        <v>351</v>
      </c>
      <c r="T6682" s="1" t="s">
        <v>42983</v>
      </c>
      <c r="Y6682" s="33" t="s">
        <v>42476</v>
      </c>
      <c r="Z6682" s="33" t="s">
        <v>42968</v>
      </c>
      <c r="AA6682" s="33">
        <v>983</v>
      </c>
    </row>
    <row r="6683" spans="1:64" ht="12" customHeight="1" x14ac:dyDescent="0.15">
      <c r="A6683" s="33" t="s">
        <v>3002</v>
      </c>
      <c r="C6683" s="33" t="s">
        <v>14</v>
      </c>
      <c r="D6683" s="33" t="s">
        <v>24</v>
      </c>
      <c r="F6683" s="67">
        <v>41591</v>
      </c>
      <c r="G6683" s="33" t="s">
        <v>11902</v>
      </c>
      <c r="H6683" s="33" t="s">
        <v>2893</v>
      </c>
      <c r="I6683" s="33" t="s">
        <v>39</v>
      </c>
      <c r="J6683" s="33" t="s">
        <v>11903</v>
      </c>
      <c r="K6683" s="33" t="s">
        <v>92</v>
      </c>
      <c r="L6683" s="33" t="s">
        <v>2894</v>
      </c>
      <c r="M6683" s="33" t="s">
        <v>21</v>
      </c>
      <c r="N6683" s="33" t="s">
        <v>11904</v>
      </c>
      <c r="O6683" s="33" t="s">
        <v>950</v>
      </c>
      <c r="P6683" s="33" t="s">
        <v>30089</v>
      </c>
      <c r="Q6683" s="40" t="s">
        <v>11905</v>
      </c>
      <c r="R6683" s="33" t="s">
        <v>94</v>
      </c>
      <c r="S6683" s="33" t="s">
        <v>22</v>
      </c>
      <c r="T6683" s="1" t="s">
        <v>26781</v>
      </c>
      <c r="Z6683" s="33" t="s">
        <v>42966</v>
      </c>
      <c r="AA6683" s="33">
        <v>981</v>
      </c>
    </row>
    <row r="6684" spans="1:64" ht="12" customHeight="1" x14ac:dyDescent="0.15">
      <c r="A6684" s="33" t="s">
        <v>11890</v>
      </c>
      <c r="B6684" s="33">
        <v>27</v>
      </c>
      <c r="C6684" s="33" t="s">
        <v>14</v>
      </c>
      <c r="D6684" s="33" t="s">
        <v>79</v>
      </c>
      <c r="F6684" s="67">
        <v>41591</v>
      </c>
      <c r="G6684" s="33" t="s">
        <v>11891</v>
      </c>
      <c r="H6684" s="33" t="s">
        <v>1202</v>
      </c>
      <c r="I6684" s="33" t="s">
        <v>160</v>
      </c>
      <c r="J6684" s="33" t="s">
        <v>11892</v>
      </c>
      <c r="K6684" s="33" t="s">
        <v>9779</v>
      </c>
      <c r="L6684" s="33" t="s">
        <v>17580</v>
      </c>
      <c r="M6684" s="33" t="s">
        <v>21</v>
      </c>
      <c r="N6684" s="33" t="s">
        <v>11893</v>
      </c>
      <c r="O6684" s="33" t="s">
        <v>950</v>
      </c>
      <c r="P6684" s="33" t="s">
        <v>30089</v>
      </c>
      <c r="Q6684" s="40" t="s">
        <v>11894</v>
      </c>
      <c r="R6684" s="33" t="s">
        <v>94</v>
      </c>
      <c r="S6684" s="33" t="s">
        <v>12</v>
      </c>
      <c r="T6684" s="33" t="s">
        <v>29425</v>
      </c>
      <c r="Z6684" s="33" t="s">
        <v>42966</v>
      </c>
      <c r="AA6684" s="33">
        <v>982</v>
      </c>
    </row>
    <row r="6685" spans="1:64" ht="12" customHeight="1" x14ac:dyDescent="0.15">
      <c r="A6685" s="33" t="s">
        <v>11919</v>
      </c>
      <c r="B6685" s="33">
        <v>59</v>
      </c>
      <c r="C6685" s="33" t="s">
        <v>14</v>
      </c>
      <c r="D6685" s="33" t="s">
        <v>24</v>
      </c>
      <c r="F6685" s="67">
        <v>41589</v>
      </c>
      <c r="G6685" s="33" t="s">
        <v>11920</v>
      </c>
      <c r="H6685" s="33" t="s">
        <v>1202</v>
      </c>
      <c r="I6685" s="33" t="s">
        <v>63</v>
      </c>
      <c r="J6685" s="33" t="s">
        <v>11921</v>
      </c>
      <c r="K6685" s="33" t="s">
        <v>850</v>
      </c>
      <c r="L6685" s="33" t="s">
        <v>11922</v>
      </c>
      <c r="M6685" s="33" t="s">
        <v>21</v>
      </c>
      <c r="N6685" s="33" t="s">
        <v>11923</v>
      </c>
      <c r="O6685" s="33" t="s">
        <v>950</v>
      </c>
      <c r="P6685" s="33" t="s">
        <v>30089</v>
      </c>
      <c r="Q6685" s="40" t="s">
        <v>11924</v>
      </c>
      <c r="R6685" s="33" t="s">
        <v>94</v>
      </c>
      <c r="S6685" s="33" t="s">
        <v>22</v>
      </c>
      <c r="T6685" s="1" t="s">
        <v>26781</v>
      </c>
      <c r="Z6685" s="33" t="s">
        <v>42966</v>
      </c>
      <c r="AA6685" s="33">
        <v>978</v>
      </c>
    </row>
    <row r="6686" spans="1:64" ht="12" customHeight="1" x14ac:dyDescent="0.15">
      <c r="A6686" s="33" t="s">
        <v>11914</v>
      </c>
      <c r="B6686" s="33">
        <v>17</v>
      </c>
      <c r="C6686" s="33" t="s">
        <v>14</v>
      </c>
      <c r="D6686" s="33" t="s">
        <v>79</v>
      </c>
      <c r="E6686" s="33" t="s">
        <v>11915</v>
      </c>
      <c r="F6686" s="67">
        <v>41589</v>
      </c>
      <c r="G6686" s="33" t="s">
        <v>11916</v>
      </c>
      <c r="H6686" s="33" t="s">
        <v>831</v>
      </c>
      <c r="I6686" s="33" t="s">
        <v>409</v>
      </c>
      <c r="J6686" s="33" t="s">
        <v>11917</v>
      </c>
      <c r="K6686" s="33" t="s">
        <v>831</v>
      </c>
      <c r="L6686" s="33" t="s">
        <v>3545</v>
      </c>
      <c r="M6686" s="33" t="s">
        <v>21</v>
      </c>
      <c r="N6686" s="33" t="s">
        <v>11918</v>
      </c>
      <c r="O6686" s="33" t="s">
        <v>950</v>
      </c>
      <c r="P6686" s="33" t="s">
        <v>30089</v>
      </c>
      <c r="Q6686" s="40" t="str">
        <f>HYPERLINK("http://www.jsonline.com/news/crime/shots-fired-in-downtown-milwaukee-b99139596z1-231430101.html","http://www.jsonline.com/news/crime/shots-fired-in-downtown-milwaukee-b99139596z1-231430101.html")</f>
        <v>http://www.jsonline.com/news/crime/shots-fired-in-downtown-milwaukee-b99139596z1-231430101.html</v>
      </c>
      <c r="R6686" s="33" t="s">
        <v>94</v>
      </c>
      <c r="S6686" s="33" t="s">
        <v>22</v>
      </c>
      <c r="T6686" s="1" t="s">
        <v>26781</v>
      </c>
      <c r="Z6686" s="33" t="s">
        <v>42966</v>
      </c>
      <c r="AA6686" s="33">
        <v>977</v>
      </c>
    </row>
    <row r="6687" spans="1:64" ht="12" customHeight="1" x14ac:dyDescent="0.15">
      <c r="A6687" s="33" t="s">
        <v>11906</v>
      </c>
      <c r="B6687" s="33">
        <v>30</v>
      </c>
      <c r="C6687" s="33" t="s">
        <v>14</v>
      </c>
      <c r="D6687" s="33" t="s">
        <v>79</v>
      </c>
      <c r="E6687" s="33" t="s">
        <v>11907</v>
      </c>
      <c r="F6687" s="67">
        <v>41589</v>
      </c>
      <c r="G6687" s="33" t="s">
        <v>11908</v>
      </c>
      <c r="H6687" s="33" t="s">
        <v>11909</v>
      </c>
      <c r="I6687" s="33" t="s">
        <v>75</v>
      </c>
      <c r="J6687" s="33" t="s">
        <v>11910</v>
      </c>
      <c r="K6687" s="33" t="s">
        <v>486</v>
      </c>
      <c r="L6687" s="33" t="s">
        <v>11911</v>
      </c>
      <c r="M6687" s="33" t="s">
        <v>21</v>
      </c>
      <c r="N6687" s="33" t="s">
        <v>11912</v>
      </c>
      <c r="O6687" s="33" t="s">
        <v>372</v>
      </c>
      <c r="P6687" s="33" t="s">
        <v>30089</v>
      </c>
      <c r="Q6687" s="40" t="s">
        <v>11913</v>
      </c>
      <c r="R6687" s="33" t="s">
        <v>94</v>
      </c>
      <c r="S6687" s="33" t="s">
        <v>12</v>
      </c>
      <c r="T6687" s="54" t="s">
        <v>29705</v>
      </c>
      <c r="Z6687" s="33" t="s">
        <v>42968</v>
      </c>
      <c r="AA6687" s="33">
        <v>979</v>
      </c>
    </row>
    <row r="6688" spans="1:64" ht="12" customHeight="1" x14ac:dyDescent="0.15">
      <c r="A6688" s="33" t="s">
        <v>11926</v>
      </c>
      <c r="B6688" s="33">
        <v>56</v>
      </c>
      <c r="C6688" s="33" t="s">
        <v>14</v>
      </c>
      <c r="D6688" s="33" t="s">
        <v>31</v>
      </c>
      <c r="E6688" s="33" t="s">
        <v>11927</v>
      </c>
      <c r="F6688" s="67">
        <v>41589</v>
      </c>
      <c r="G6688" s="33" t="s">
        <v>22198</v>
      </c>
      <c r="H6688" s="33" t="s">
        <v>11928</v>
      </c>
      <c r="I6688" s="33" t="s">
        <v>39</v>
      </c>
      <c r="J6688" s="33" t="s">
        <v>11929</v>
      </c>
      <c r="K6688" s="33" t="s">
        <v>288</v>
      </c>
      <c r="L6688" s="33" t="s">
        <v>289</v>
      </c>
      <c r="M6688" s="33" t="s">
        <v>21</v>
      </c>
      <c r="N6688" s="33" t="s">
        <v>11930</v>
      </c>
      <c r="O6688" s="33" t="s">
        <v>507</v>
      </c>
      <c r="P6688" s="33" t="s">
        <v>30089</v>
      </c>
      <c r="Q6688" s="40" t="s">
        <v>11931</v>
      </c>
      <c r="R6688" s="33" t="s">
        <v>23</v>
      </c>
      <c r="S6688" s="33" t="s">
        <v>12</v>
      </c>
      <c r="T6688" s="54" t="s">
        <v>29705</v>
      </c>
      <c r="Z6688" s="33" t="s">
        <v>42968</v>
      </c>
      <c r="AA6688" s="33">
        <v>980</v>
      </c>
    </row>
    <row r="6689" spans="1:31" ht="12" customHeight="1" x14ac:dyDescent="0.15">
      <c r="A6689" s="33" t="s">
        <v>11932</v>
      </c>
      <c r="B6689" s="33">
        <v>39</v>
      </c>
      <c r="C6689" s="33" t="s">
        <v>14</v>
      </c>
      <c r="D6689" s="33" t="s">
        <v>79</v>
      </c>
      <c r="E6689" s="33" t="s">
        <v>11933</v>
      </c>
      <c r="F6689" s="67">
        <v>41588</v>
      </c>
      <c r="G6689" s="33" t="s">
        <v>11934</v>
      </c>
      <c r="H6689" s="33" t="s">
        <v>451</v>
      </c>
      <c r="I6689" s="33" t="s">
        <v>39</v>
      </c>
      <c r="J6689" s="33" t="s">
        <v>8718</v>
      </c>
      <c r="K6689" s="33" t="s">
        <v>92</v>
      </c>
      <c r="L6689" s="33" t="s">
        <v>452</v>
      </c>
      <c r="M6689" s="33" t="s">
        <v>21</v>
      </c>
      <c r="N6689" s="33" t="s">
        <v>11935</v>
      </c>
      <c r="O6689" s="33" t="s">
        <v>23</v>
      </c>
      <c r="P6689" s="33" t="s">
        <v>30089</v>
      </c>
      <c r="Q6689" s="40" t="s">
        <v>11936</v>
      </c>
      <c r="R6689" s="33" t="s">
        <v>94</v>
      </c>
      <c r="S6689" s="33" t="s">
        <v>22</v>
      </c>
      <c r="T6689" s="1" t="s">
        <v>26781</v>
      </c>
      <c r="Z6689" s="33" t="s">
        <v>42966</v>
      </c>
      <c r="AA6689" s="33">
        <v>975</v>
      </c>
    </row>
    <row r="6690" spans="1:31" ht="12" customHeight="1" x14ac:dyDescent="0.15">
      <c r="A6690" s="33" t="s">
        <v>11937</v>
      </c>
      <c r="B6690" s="33">
        <v>31</v>
      </c>
      <c r="C6690" s="33" t="s">
        <v>14</v>
      </c>
      <c r="D6690" s="33" t="s">
        <v>31</v>
      </c>
      <c r="E6690" s="33" t="s">
        <v>11938</v>
      </c>
      <c r="F6690" s="67">
        <v>41588</v>
      </c>
      <c r="G6690" s="33" t="s">
        <v>11939</v>
      </c>
      <c r="H6690" s="33" t="s">
        <v>6461</v>
      </c>
      <c r="I6690" s="33" t="s">
        <v>198</v>
      </c>
      <c r="J6690" s="33" t="s">
        <v>6462</v>
      </c>
      <c r="K6690" s="33" t="s">
        <v>6461</v>
      </c>
      <c r="L6690" s="33" t="s">
        <v>6463</v>
      </c>
      <c r="M6690" s="33" t="s">
        <v>21</v>
      </c>
      <c r="N6690" s="33" t="s">
        <v>11940</v>
      </c>
      <c r="O6690" s="33" t="s">
        <v>507</v>
      </c>
      <c r="P6690" s="33" t="s">
        <v>30089</v>
      </c>
      <c r="Q6690" s="40" t="s">
        <v>11941</v>
      </c>
      <c r="R6690" s="33" t="s">
        <v>904</v>
      </c>
      <c r="S6690" s="33" t="s">
        <v>351</v>
      </c>
      <c r="T6690" s="1" t="s">
        <v>42983</v>
      </c>
      <c r="Z6690" s="33" t="s">
        <v>42966</v>
      </c>
      <c r="AA6690" s="33">
        <v>976</v>
      </c>
    </row>
    <row r="6691" spans="1:31" ht="12" customHeight="1" x14ac:dyDescent="0.15">
      <c r="A6691" s="33" t="s">
        <v>11942</v>
      </c>
      <c r="B6691" s="33">
        <v>24</v>
      </c>
      <c r="C6691" s="33" t="s">
        <v>14</v>
      </c>
      <c r="D6691" s="33" t="s">
        <v>79</v>
      </c>
      <c r="E6691" s="33" t="s">
        <v>11943</v>
      </c>
      <c r="F6691" s="67">
        <v>41586</v>
      </c>
      <c r="G6691" s="33" t="s">
        <v>11944</v>
      </c>
      <c r="H6691" s="33" t="s">
        <v>3152</v>
      </c>
      <c r="I6691" s="33" t="s">
        <v>19</v>
      </c>
      <c r="J6691" s="33" t="s">
        <v>11945</v>
      </c>
      <c r="K6691" s="33" t="s">
        <v>1659</v>
      </c>
      <c r="L6691" s="33" t="s">
        <v>10874</v>
      </c>
      <c r="M6691" s="33" t="s">
        <v>21</v>
      </c>
      <c r="N6691" s="33" t="s">
        <v>11946</v>
      </c>
      <c r="O6691" s="33" t="s">
        <v>950</v>
      </c>
      <c r="P6691" s="33" t="s">
        <v>30089</v>
      </c>
      <c r="Q6691" s="40" t="s">
        <v>11947</v>
      </c>
      <c r="R6691" s="33" t="s">
        <v>94</v>
      </c>
      <c r="S6691" s="33" t="s">
        <v>351</v>
      </c>
      <c r="T6691" s="1" t="s">
        <v>42983</v>
      </c>
      <c r="Z6691" s="33" t="s">
        <v>42966</v>
      </c>
      <c r="AA6691" s="33">
        <v>974</v>
      </c>
    </row>
    <row r="6692" spans="1:31" ht="12" customHeight="1" x14ac:dyDescent="0.15">
      <c r="A6692" s="33" t="s">
        <v>11948</v>
      </c>
      <c r="B6692" s="33">
        <v>39</v>
      </c>
      <c r="C6692" s="33" t="s">
        <v>103</v>
      </c>
      <c r="D6692" s="33" t="s">
        <v>42</v>
      </c>
      <c r="E6692" s="33" t="s">
        <v>11949</v>
      </c>
      <c r="F6692" s="67">
        <v>41585</v>
      </c>
      <c r="G6692" s="33" t="s">
        <v>11950</v>
      </c>
      <c r="H6692" s="33" t="s">
        <v>580</v>
      </c>
      <c r="I6692" s="33" t="s">
        <v>178</v>
      </c>
      <c r="J6692" s="33" t="s">
        <v>11951</v>
      </c>
      <c r="K6692" s="33" t="s">
        <v>580</v>
      </c>
      <c r="L6692" s="33" t="s">
        <v>2847</v>
      </c>
      <c r="M6692" s="33" t="s">
        <v>21</v>
      </c>
      <c r="N6692" s="33" t="s">
        <v>11952</v>
      </c>
      <c r="O6692" s="33" t="s">
        <v>507</v>
      </c>
      <c r="P6692" s="33" t="s">
        <v>30089</v>
      </c>
      <c r="Q6692" s="40" t="s">
        <v>11953</v>
      </c>
      <c r="R6692" s="33" t="s">
        <v>94</v>
      </c>
      <c r="S6692" s="33" t="s">
        <v>351</v>
      </c>
      <c r="T6692" s="1" t="s">
        <v>42983</v>
      </c>
      <c r="Z6692" s="33" t="s">
        <v>42968</v>
      </c>
      <c r="AA6692" s="33">
        <v>973</v>
      </c>
    </row>
    <row r="6693" spans="1:31" ht="12" customHeight="1" x14ac:dyDescent="0.15">
      <c r="A6693" s="33" t="s">
        <v>11960</v>
      </c>
      <c r="B6693" s="33">
        <v>49</v>
      </c>
      <c r="C6693" s="33" t="s">
        <v>14</v>
      </c>
      <c r="D6693" s="33" t="s">
        <v>31</v>
      </c>
      <c r="E6693" s="33" t="s">
        <v>11961</v>
      </c>
      <c r="F6693" s="67">
        <v>41584</v>
      </c>
      <c r="G6693" s="33" t="s">
        <v>11962</v>
      </c>
      <c r="H6693" s="33" t="s">
        <v>4692</v>
      </c>
      <c r="I6693" s="33" t="s">
        <v>9710</v>
      </c>
      <c r="J6693" s="33" t="s">
        <v>11963</v>
      </c>
      <c r="K6693" s="33" t="s">
        <v>11964</v>
      </c>
      <c r="L6693" s="33" t="s">
        <v>4694</v>
      </c>
      <c r="M6693" s="33" t="s">
        <v>21</v>
      </c>
      <c r="N6693" s="33" t="s">
        <v>11965</v>
      </c>
      <c r="O6693" s="33" t="s">
        <v>507</v>
      </c>
      <c r="P6693" s="33" t="s">
        <v>30089</v>
      </c>
      <c r="Q6693" s="40" t="s">
        <v>11966</v>
      </c>
      <c r="R6693" s="33" t="s">
        <v>512</v>
      </c>
      <c r="S6693" s="33" t="s">
        <v>22</v>
      </c>
      <c r="T6693" s="1" t="s">
        <v>26604</v>
      </c>
      <c r="Z6693" s="33" t="s">
        <v>42968</v>
      </c>
      <c r="AA6693" s="33">
        <v>971</v>
      </c>
    </row>
    <row r="6694" spans="1:31" ht="12" customHeight="1" x14ac:dyDescent="0.15">
      <c r="A6694" s="33" t="s">
        <v>11954</v>
      </c>
      <c r="B6694" s="33">
        <v>22</v>
      </c>
      <c r="C6694" s="33" t="s">
        <v>14</v>
      </c>
      <c r="D6694" s="33" t="s">
        <v>42</v>
      </c>
      <c r="E6694" s="33" t="s">
        <v>11955</v>
      </c>
      <c r="F6694" s="67">
        <v>41584</v>
      </c>
      <c r="G6694" s="33" t="s">
        <v>11956</v>
      </c>
      <c r="H6694" s="33" t="s">
        <v>485</v>
      </c>
      <c r="I6694" s="33" t="s">
        <v>75</v>
      </c>
      <c r="J6694" s="33" t="s">
        <v>11957</v>
      </c>
      <c r="K6694" s="33" t="s">
        <v>486</v>
      </c>
      <c r="L6694" s="33" t="s">
        <v>36739</v>
      </c>
      <c r="M6694" s="33" t="s">
        <v>21</v>
      </c>
      <c r="N6694" s="33" t="s">
        <v>11958</v>
      </c>
      <c r="O6694" s="33" t="s">
        <v>950</v>
      </c>
      <c r="P6694" s="33" t="s">
        <v>30089</v>
      </c>
      <c r="Q6694" s="40" t="s">
        <v>11959</v>
      </c>
      <c r="R6694" s="33" t="s">
        <v>94</v>
      </c>
      <c r="S6694" s="33" t="s">
        <v>29</v>
      </c>
      <c r="T6694" s="33" t="s">
        <v>41840</v>
      </c>
      <c r="Z6694" s="33" t="s">
        <v>42966</v>
      </c>
      <c r="AA6694" s="33">
        <v>972</v>
      </c>
    </row>
    <row r="6695" spans="1:31" ht="12" customHeight="1" x14ac:dyDescent="0.15">
      <c r="A6695" s="33" t="s">
        <v>11967</v>
      </c>
      <c r="B6695" s="33">
        <v>27</v>
      </c>
      <c r="C6695" s="33" t="s">
        <v>14</v>
      </c>
      <c r="D6695" s="33" t="s">
        <v>15</v>
      </c>
      <c r="E6695" s="33" t="s">
        <v>11968</v>
      </c>
      <c r="F6695" s="67">
        <v>41583</v>
      </c>
      <c r="G6695" s="33" t="s">
        <v>11969</v>
      </c>
      <c r="H6695" s="33" t="s">
        <v>183</v>
      </c>
      <c r="I6695" s="33" t="s">
        <v>39</v>
      </c>
      <c r="J6695" s="33" t="s">
        <v>11970</v>
      </c>
      <c r="K6695" s="33" t="s">
        <v>183</v>
      </c>
      <c r="L6695" s="33" t="s">
        <v>1493</v>
      </c>
      <c r="M6695" s="33" t="s">
        <v>21</v>
      </c>
      <c r="N6695" s="33" t="s">
        <v>11971</v>
      </c>
      <c r="O6695" s="33" t="s">
        <v>950</v>
      </c>
      <c r="P6695" s="33" t="s">
        <v>30089</v>
      </c>
      <c r="Q6695" s="40" t="s">
        <v>11972</v>
      </c>
      <c r="R6695" s="33" t="s">
        <v>94</v>
      </c>
      <c r="S6695" s="33" t="s">
        <v>22</v>
      </c>
      <c r="T6695" s="1" t="s">
        <v>26781</v>
      </c>
      <c r="Z6695" s="33" t="s">
        <v>42968</v>
      </c>
      <c r="AA6695" s="33">
        <v>969</v>
      </c>
    </row>
    <row r="6696" spans="1:31" ht="12" customHeight="1" x14ac:dyDescent="0.15">
      <c r="A6696" s="33" t="s">
        <v>11973</v>
      </c>
      <c r="B6696" s="33">
        <v>24</v>
      </c>
      <c r="C6696" s="33" t="s">
        <v>14</v>
      </c>
      <c r="D6696" s="33" t="s">
        <v>79</v>
      </c>
      <c r="E6696" s="33" t="s">
        <v>11974</v>
      </c>
      <c r="F6696" s="67">
        <v>41583</v>
      </c>
      <c r="G6696" s="33" t="s">
        <v>22199</v>
      </c>
      <c r="H6696" s="33" t="s">
        <v>4499</v>
      </c>
      <c r="I6696" s="33" t="s">
        <v>39</v>
      </c>
      <c r="J6696" s="33" t="s">
        <v>4500</v>
      </c>
      <c r="K6696" s="33" t="s">
        <v>3145</v>
      </c>
      <c r="L6696" s="33" t="s">
        <v>4501</v>
      </c>
      <c r="M6696" s="33" t="s">
        <v>21</v>
      </c>
      <c r="N6696" s="33" t="s">
        <v>11975</v>
      </c>
      <c r="O6696" s="33" t="s">
        <v>23</v>
      </c>
      <c r="P6696" s="33" t="s">
        <v>30089</v>
      </c>
      <c r="Q6696" s="40" t="s">
        <v>11976</v>
      </c>
      <c r="R6696" s="33" t="s">
        <v>94</v>
      </c>
      <c r="S6696" s="33" t="s">
        <v>22</v>
      </c>
      <c r="T6696" s="1" t="s">
        <v>26774</v>
      </c>
      <c r="Z6696" s="33" t="s">
        <v>42968</v>
      </c>
      <c r="AA6696" s="33">
        <v>970</v>
      </c>
    </row>
    <row r="6697" spans="1:31" ht="12" customHeight="1" x14ac:dyDescent="0.15">
      <c r="A6697" s="33" t="s">
        <v>11983</v>
      </c>
      <c r="B6697" s="33">
        <v>23</v>
      </c>
      <c r="C6697" s="33" t="s">
        <v>14</v>
      </c>
      <c r="D6697" s="33" t="s">
        <v>79</v>
      </c>
      <c r="E6697" s="33" t="s">
        <v>11984</v>
      </c>
      <c r="F6697" s="67">
        <v>41582</v>
      </c>
      <c r="G6697" s="33" t="s">
        <v>11985</v>
      </c>
      <c r="H6697" s="33" t="s">
        <v>3910</v>
      </c>
      <c r="I6697" s="33" t="s">
        <v>56</v>
      </c>
      <c r="J6697" s="33" t="s">
        <v>11986</v>
      </c>
      <c r="K6697" s="33" t="s">
        <v>148</v>
      </c>
      <c r="L6697" s="33" t="s">
        <v>3912</v>
      </c>
      <c r="M6697" s="33" t="s">
        <v>21</v>
      </c>
      <c r="N6697" s="33" t="s">
        <v>11987</v>
      </c>
      <c r="O6697" s="33" t="s">
        <v>950</v>
      </c>
      <c r="P6697" s="33" t="s">
        <v>30089</v>
      </c>
      <c r="Q6697" s="40" t="s">
        <v>11988</v>
      </c>
      <c r="R6697" s="33" t="s">
        <v>94</v>
      </c>
      <c r="S6697" s="33" t="s">
        <v>22</v>
      </c>
      <c r="T6697" s="1" t="s">
        <v>26781</v>
      </c>
      <c r="Z6697" s="33" t="s">
        <v>42968</v>
      </c>
      <c r="AA6697" s="33">
        <v>966</v>
      </c>
    </row>
    <row r="6698" spans="1:31" ht="12" customHeight="1" x14ac:dyDescent="0.15">
      <c r="A6698" s="33" t="s">
        <v>11977</v>
      </c>
      <c r="B6698" s="33">
        <v>26</v>
      </c>
      <c r="C6698" s="33" t="s">
        <v>14</v>
      </c>
      <c r="D6698" s="33" t="s">
        <v>79</v>
      </c>
      <c r="E6698" s="33" t="s">
        <v>11978</v>
      </c>
      <c r="F6698" s="67">
        <v>41582</v>
      </c>
      <c r="G6698" s="33" t="s">
        <v>22200</v>
      </c>
      <c r="H6698" s="33" t="s">
        <v>818</v>
      </c>
      <c r="I6698" s="33" t="s">
        <v>67</v>
      </c>
      <c r="J6698" s="33" t="s">
        <v>11979</v>
      </c>
      <c r="K6698" s="33" t="s">
        <v>1296</v>
      </c>
      <c r="L6698" s="33" t="s">
        <v>11980</v>
      </c>
      <c r="M6698" s="33" t="s">
        <v>21</v>
      </c>
      <c r="N6698" s="33" t="s">
        <v>11981</v>
      </c>
      <c r="O6698" s="33" t="s">
        <v>950</v>
      </c>
      <c r="P6698" s="33" t="s">
        <v>30089</v>
      </c>
      <c r="Q6698" s="40" t="s">
        <v>11982</v>
      </c>
      <c r="R6698" s="33" t="s">
        <v>512</v>
      </c>
      <c r="S6698" s="33" t="s">
        <v>22</v>
      </c>
      <c r="T6698" s="1" t="s">
        <v>26774</v>
      </c>
      <c r="Z6698" s="33" t="s">
        <v>42968</v>
      </c>
      <c r="AA6698" s="33">
        <v>967</v>
      </c>
    </row>
    <row r="6699" spans="1:31" ht="12" customHeight="1" x14ac:dyDescent="0.15">
      <c r="A6699" s="33" t="s">
        <v>11989</v>
      </c>
      <c r="B6699" s="33">
        <v>19</v>
      </c>
      <c r="C6699" s="33" t="s">
        <v>14</v>
      </c>
      <c r="D6699" s="33" t="s">
        <v>31</v>
      </c>
      <c r="E6699" s="33" t="s">
        <v>11990</v>
      </c>
      <c r="F6699" s="67">
        <v>41582</v>
      </c>
      <c r="G6699" s="33" t="s">
        <v>11991</v>
      </c>
      <c r="H6699" s="33" t="s">
        <v>11992</v>
      </c>
      <c r="I6699" s="33" t="s">
        <v>342</v>
      </c>
      <c r="J6699" s="33" t="s">
        <v>11993</v>
      </c>
      <c r="K6699" s="33" t="s">
        <v>11994</v>
      </c>
      <c r="L6699" s="33" t="s">
        <v>11995</v>
      </c>
      <c r="M6699" s="33" t="s">
        <v>21</v>
      </c>
      <c r="N6699" s="33" t="s">
        <v>11996</v>
      </c>
      <c r="O6699" s="33" t="s">
        <v>507</v>
      </c>
      <c r="P6699" s="33" t="s">
        <v>30089</v>
      </c>
      <c r="Q6699" s="40" t="s">
        <v>11997</v>
      </c>
      <c r="R6699" s="33" t="s">
        <v>94</v>
      </c>
      <c r="S6699" s="33" t="s">
        <v>351</v>
      </c>
      <c r="T6699" s="1" t="s">
        <v>42983</v>
      </c>
      <c r="Z6699" s="33" t="e">
        <v>#N/A</v>
      </c>
      <c r="AA6699" s="33">
        <v>968</v>
      </c>
    </row>
    <row r="6700" spans="1:31" ht="12" customHeight="1" x14ac:dyDescent="0.15">
      <c r="A6700" s="33" t="s">
        <v>11998</v>
      </c>
      <c r="B6700" s="33">
        <v>51</v>
      </c>
      <c r="C6700" s="33" t="s">
        <v>14</v>
      </c>
      <c r="D6700" s="33" t="s">
        <v>24</v>
      </c>
      <c r="F6700" s="67">
        <v>41581</v>
      </c>
      <c r="G6700" s="33" t="s">
        <v>11999</v>
      </c>
      <c r="H6700" s="33" t="s">
        <v>584</v>
      </c>
      <c r="I6700" s="33" t="s">
        <v>112</v>
      </c>
      <c r="J6700" s="33" t="s">
        <v>12000</v>
      </c>
      <c r="K6700" s="33" t="s">
        <v>585</v>
      </c>
      <c r="L6700" s="33" t="s">
        <v>586</v>
      </c>
      <c r="M6700" s="33" t="s">
        <v>21</v>
      </c>
      <c r="N6700" s="33" t="s">
        <v>12001</v>
      </c>
      <c r="O6700" s="33" t="s">
        <v>950</v>
      </c>
      <c r="P6700" s="33" t="s">
        <v>30089</v>
      </c>
      <c r="Q6700" s="40" t="s">
        <v>12002</v>
      </c>
      <c r="R6700" s="33" t="s">
        <v>94</v>
      </c>
      <c r="S6700" s="33" t="s">
        <v>22</v>
      </c>
      <c r="T6700" s="33" t="s">
        <v>26774</v>
      </c>
      <c r="Z6700" s="33" t="s">
        <v>42966</v>
      </c>
      <c r="AA6700" s="33">
        <v>965</v>
      </c>
    </row>
    <row r="6701" spans="1:31" ht="12" customHeight="1" x14ac:dyDescent="0.15">
      <c r="A6701" s="33" t="s">
        <v>12004</v>
      </c>
      <c r="B6701" s="33">
        <v>64</v>
      </c>
      <c r="C6701" s="33" t="s">
        <v>103</v>
      </c>
      <c r="D6701" s="33" t="s">
        <v>31</v>
      </c>
      <c r="E6701" s="33" t="s">
        <v>12005</v>
      </c>
      <c r="F6701" s="67">
        <v>41581</v>
      </c>
      <c r="G6701" s="33" t="s">
        <v>12006</v>
      </c>
      <c r="H6701" s="33" t="s">
        <v>1164</v>
      </c>
      <c r="I6701" s="33" t="s">
        <v>298</v>
      </c>
      <c r="J6701" s="33" t="s">
        <v>12007</v>
      </c>
      <c r="K6701" s="33" t="s">
        <v>12008</v>
      </c>
      <c r="L6701" s="33" t="s">
        <v>36850</v>
      </c>
      <c r="M6701" s="33" t="s">
        <v>21</v>
      </c>
      <c r="N6701" s="33" t="s">
        <v>12009</v>
      </c>
      <c r="O6701" s="33" t="s">
        <v>950</v>
      </c>
      <c r="P6701" s="33" t="s">
        <v>30089</v>
      </c>
      <c r="Q6701" s="40" t="s">
        <v>12010</v>
      </c>
      <c r="R6701" s="33" t="s">
        <v>512</v>
      </c>
      <c r="S6701" s="33" t="s">
        <v>22</v>
      </c>
      <c r="T6701" s="1" t="s">
        <v>26781</v>
      </c>
      <c r="Z6701" s="33" t="s">
        <v>42967</v>
      </c>
      <c r="AA6701" s="33">
        <v>964</v>
      </c>
    </row>
    <row r="6702" spans="1:31" ht="12" customHeight="1" x14ac:dyDescent="0.15">
      <c r="A6702" s="33" t="s">
        <v>12011</v>
      </c>
      <c r="B6702" s="33">
        <v>22</v>
      </c>
      <c r="C6702" s="33" t="s">
        <v>14</v>
      </c>
      <c r="D6702" s="33" t="s">
        <v>42</v>
      </c>
      <c r="E6702" s="33" t="s">
        <v>12012</v>
      </c>
      <c r="F6702" s="67">
        <v>41580</v>
      </c>
      <c r="G6702" s="33" t="s">
        <v>12013</v>
      </c>
      <c r="H6702" s="33" t="s">
        <v>266</v>
      </c>
      <c r="I6702" s="33" t="s">
        <v>67</v>
      </c>
      <c r="J6702" s="33" t="s">
        <v>8080</v>
      </c>
      <c r="K6702" s="33" t="s">
        <v>266</v>
      </c>
      <c r="L6702" s="33" t="s">
        <v>267</v>
      </c>
      <c r="M6702" s="33" t="s">
        <v>21</v>
      </c>
      <c r="N6702" s="33" t="s">
        <v>12014</v>
      </c>
      <c r="O6702" s="33" t="s">
        <v>950</v>
      </c>
      <c r="P6702" s="33" t="s">
        <v>30089</v>
      </c>
      <c r="Q6702" s="40" t="s">
        <v>12015</v>
      </c>
      <c r="R6702" s="33" t="s">
        <v>94</v>
      </c>
      <c r="S6702" s="33" t="s">
        <v>22</v>
      </c>
      <c r="T6702" s="33" t="s">
        <v>27803</v>
      </c>
      <c r="Z6702" s="33" t="s">
        <v>42966</v>
      </c>
      <c r="AA6702" s="33">
        <v>963</v>
      </c>
      <c r="AE6702" s="33"/>
    </row>
    <row r="6703" spans="1:31" ht="12" customHeight="1" x14ac:dyDescent="0.15">
      <c r="A6703" s="33" t="s">
        <v>12020</v>
      </c>
      <c r="B6703" s="33">
        <v>50</v>
      </c>
      <c r="C6703" s="33" t="s">
        <v>103</v>
      </c>
      <c r="D6703" s="33" t="s">
        <v>42</v>
      </c>
      <c r="E6703" s="33" t="s">
        <v>12021</v>
      </c>
      <c r="F6703" s="67">
        <v>41579</v>
      </c>
      <c r="G6703" s="33" t="s">
        <v>12022</v>
      </c>
      <c r="H6703" s="33" t="s">
        <v>7234</v>
      </c>
      <c r="I6703" s="33" t="s">
        <v>67</v>
      </c>
      <c r="J6703" s="33" t="s">
        <v>9823</v>
      </c>
      <c r="K6703" s="33" t="s">
        <v>1659</v>
      </c>
      <c r="L6703" s="33" t="s">
        <v>7235</v>
      </c>
      <c r="M6703" s="33" t="s">
        <v>21</v>
      </c>
      <c r="N6703" s="33" t="s">
        <v>12023</v>
      </c>
      <c r="O6703" s="33" t="s">
        <v>950</v>
      </c>
      <c r="P6703" s="33" t="s">
        <v>30089</v>
      </c>
      <c r="Q6703" s="40" t="s">
        <v>12024</v>
      </c>
      <c r="R6703" s="33" t="s">
        <v>512</v>
      </c>
      <c r="S6703" s="33" t="s">
        <v>22</v>
      </c>
      <c r="T6703" s="1" t="s">
        <v>26774</v>
      </c>
      <c r="Z6703" s="33" t="s">
        <v>42968</v>
      </c>
      <c r="AA6703" s="33">
        <v>962</v>
      </c>
    </row>
    <row r="6704" spans="1:31" ht="12" customHeight="1" x14ac:dyDescent="0.15">
      <c r="A6704" s="33" t="s">
        <v>12016</v>
      </c>
      <c r="B6704" s="33">
        <v>27</v>
      </c>
      <c r="C6704" s="33" t="s">
        <v>14</v>
      </c>
      <c r="D6704" s="33" t="s">
        <v>42</v>
      </c>
      <c r="F6704" s="67">
        <v>41579</v>
      </c>
      <c r="G6704" s="33" t="s">
        <v>22201</v>
      </c>
      <c r="H6704" s="33" t="s">
        <v>5882</v>
      </c>
      <c r="I6704" s="33" t="s">
        <v>39</v>
      </c>
      <c r="J6704" s="33" t="s">
        <v>12017</v>
      </c>
      <c r="K6704" s="33" t="s">
        <v>92</v>
      </c>
      <c r="L6704" s="33" t="s">
        <v>386</v>
      </c>
      <c r="M6704" s="33" t="s">
        <v>21</v>
      </c>
      <c r="N6704" s="33" t="s">
        <v>12018</v>
      </c>
      <c r="O6704" s="33" t="s">
        <v>950</v>
      </c>
      <c r="P6704" s="33" t="s">
        <v>30089</v>
      </c>
      <c r="Q6704" s="40" t="s">
        <v>12019</v>
      </c>
      <c r="R6704" s="33" t="s">
        <v>94</v>
      </c>
      <c r="S6704" s="33" t="s">
        <v>22</v>
      </c>
      <c r="T6704" s="1" t="s">
        <v>26781</v>
      </c>
      <c r="Z6704" s="33" t="s">
        <v>42966</v>
      </c>
      <c r="AA6704" s="33">
        <v>960</v>
      </c>
    </row>
    <row r="6705" spans="1:64" ht="12" customHeight="1" x14ac:dyDescent="0.15">
      <c r="A6705" s="63" t="s">
        <v>42599</v>
      </c>
      <c r="B6705" s="99">
        <v>44</v>
      </c>
      <c r="C6705" s="10" t="s">
        <v>14</v>
      </c>
      <c r="D6705" s="10" t="s">
        <v>79</v>
      </c>
      <c r="E6705" s="62" t="s">
        <v>42600</v>
      </c>
      <c r="F6705" s="67">
        <v>41579</v>
      </c>
      <c r="G6705" s="10" t="s">
        <v>42601</v>
      </c>
      <c r="H6705" s="10" t="s">
        <v>35457</v>
      </c>
      <c r="I6705" s="10" t="s">
        <v>621</v>
      </c>
      <c r="J6705" s="65">
        <v>39330</v>
      </c>
      <c r="K6705" s="10" t="s">
        <v>1281</v>
      </c>
      <c r="L6705" s="10" t="s">
        <v>30036</v>
      </c>
      <c r="M6705" s="10" t="s">
        <v>21</v>
      </c>
      <c r="N6705" s="10" t="s">
        <v>42602</v>
      </c>
      <c r="O6705" s="10" t="s">
        <v>507</v>
      </c>
      <c r="P6705" s="10" t="s">
        <v>30089</v>
      </c>
      <c r="Q6705" s="62" t="s">
        <v>42603</v>
      </c>
      <c r="R6705" s="10" t="s">
        <v>23</v>
      </c>
      <c r="S6705" s="10" t="s">
        <v>22</v>
      </c>
      <c r="T6705" s="10" t="s">
        <v>26781</v>
      </c>
      <c r="U6705" s="10"/>
      <c r="V6705" s="10"/>
      <c r="W6705" s="10"/>
      <c r="X6705" s="89"/>
      <c r="Y6705" s="68"/>
      <c r="Z6705" s="68" t="s">
        <v>42967</v>
      </c>
      <c r="AA6705" s="33">
        <v>961</v>
      </c>
      <c r="AG6705" s="68"/>
      <c r="AK6705" s="68"/>
      <c r="AL6705" s="68"/>
      <c r="AM6705" s="68"/>
      <c r="AN6705" s="68"/>
      <c r="AO6705" s="68"/>
      <c r="AP6705" s="68"/>
      <c r="AQ6705" s="68"/>
      <c r="AR6705" s="68"/>
      <c r="AS6705" s="68"/>
      <c r="AT6705" s="68"/>
      <c r="AU6705" s="68"/>
      <c r="AV6705" s="68"/>
      <c r="AW6705" s="68"/>
      <c r="AX6705" s="68"/>
      <c r="AY6705" s="68"/>
      <c r="AZ6705" s="68"/>
      <c r="BA6705" s="68"/>
      <c r="BB6705" s="68"/>
      <c r="BC6705" s="68"/>
      <c r="BD6705" s="68"/>
      <c r="BE6705" s="68"/>
      <c r="BF6705" s="68"/>
      <c r="BG6705" s="68"/>
      <c r="BH6705" s="68"/>
      <c r="BI6705" s="68"/>
      <c r="BJ6705" s="68"/>
      <c r="BK6705" s="68"/>
      <c r="BL6705" s="68"/>
    </row>
    <row r="6706" spans="1:64" ht="12" customHeight="1" x14ac:dyDescent="0.15">
      <c r="A6706" s="33" t="s">
        <v>12037</v>
      </c>
      <c r="B6706" s="33">
        <v>57</v>
      </c>
      <c r="C6706" s="33" t="s">
        <v>14</v>
      </c>
      <c r="D6706" s="33" t="s">
        <v>24</v>
      </c>
      <c r="F6706" s="67">
        <v>41578</v>
      </c>
      <c r="G6706" s="33" t="s">
        <v>12038</v>
      </c>
      <c r="H6706" s="33" t="s">
        <v>5063</v>
      </c>
      <c r="I6706" s="33" t="s">
        <v>160</v>
      </c>
      <c r="J6706" s="33" t="s">
        <v>12039</v>
      </c>
      <c r="K6706" s="33" t="s">
        <v>6654</v>
      </c>
      <c r="L6706" s="33" t="s">
        <v>10662</v>
      </c>
      <c r="M6706" s="33" t="s">
        <v>21</v>
      </c>
      <c r="N6706" s="33" t="s">
        <v>12040</v>
      </c>
      <c r="O6706" s="33" t="s">
        <v>950</v>
      </c>
      <c r="P6706" s="33" t="s">
        <v>30089</v>
      </c>
      <c r="Q6706" s="40" t="s">
        <v>12041</v>
      </c>
      <c r="R6706" s="33" t="s">
        <v>23</v>
      </c>
      <c r="S6706" s="33" t="s">
        <v>22</v>
      </c>
      <c r="T6706" s="1" t="s">
        <v>42997</v>
      </c>
      <c r="Z6706" s="33" t="s">
        <v>42967</v>
      </c>
      <c r="AA6706" s="33">
        <v>958</v>
      </c>
    </row>
    <row r="6707" spans="1:64" ht="12" customHeight="1" x14ac:dyDescent="0.15">
      <c r="A6707" s="33" t="s">
        <v>12042</v>
      </c>
      <c r="B6707" s="33">
        <v>28</v>
      </c>
      <c r="C6707" s="33" t="s">
        <v>14</v>
      </c>
      <c r="D6707" s="33" t="s">
        <v>31</v>
      </c>
      <c r="E6707" s="33" t="s">
        <v>12043</v>
      </c>
      <c r="F6707" s="67">
        <v>41578</v>
      </c>
      <c r="G6707" s="33" t="s">
        <v>12044</v>
      </c>
      <c r="H6707" s="33" t="s">
        <v>12045</v>
      </c>
      <c r="I6707" s="33" t="s">
        <v>402</v>
      </c>
      <c r="J6707" s="33" t="s">
        <v>12046</v>
      </c>
      <c r="K6707" s="33" t="s">
        <v>10134</v>
      </c>
      <c r="L6707" s="33" t="s">
        <v>12047</v>
      </c>
      <c r="M6707" s="33" t="s">
        <v>21</v>
      </c>
      <c r="N6707" s="33" t="s">
        <v>12048</v>
      </c>
      <c r="O6707" s="33" t="s">
        <v>507</v>
      </c>
      <c r="P6707" s="33" t="s">
        <v>30089</v>
      </c>
      <c r="Q6707" s="40" t="s">
        <v>12049</v>
      </c>
      <c r="R6707" s="33" t="s">
        <v>904</v>
      </c>
      <c r="S6707" s="33" t="s">
        <v>351</v>
      </c>
      <c r="T6707" s="1" t="s">
        <v>42983</v>
      </c>
      <c r="Z6707" s="33" t="s">
        <v>42967</v>
      </c>
      <c r="AA6707" s="33">
        <v>959</v>
      </c>
    </row>
    <row r="6708" spans="1:64" ht="12" customHeight="1" x14ac:dyDescent="0.15">
      <c r="A6708" s="33" t="s">
        <v>3002</v>
      </c>
      <c r="B6708" s="33">
        <v>26</v>
      </c>
      <c r="C6708" s="33" t="s">
        <v>14</v>
      </c>
      <c r="D6708" s="33" t="s">
        <v>24</v>
      </c>
      <c r="F6708" s="67">
        <v>41578</v>
      </c>
      <c r="G6708" s="33" t="s">
        <v>12033</v>
      </c>
      <c r="H6708" s="33" t="s">
        <v>1716</v>
      </c>
      <c r="I6708" s="33" t="s">
        <v>395</v>
      </c>
      <c r="J6708" s="33" t="s">
        <v>12034</v>
      </c>
      <c r="K6708" s="33" t="s">
        <v>700</v>
      </c>
      <c r="L6708" s="33" t="s">
        <v>539</v>
      </c>
      <c r="M6708" s="33" t="s">
        <v>21</v>
      </c>
      <c r="N6708" s="33" t="s">
        <v>12035</v>
      </c>
      <c r="O6708" s="33" t="s">
        <v>950</v>
      </c>
      <c r="P6708" s="33" t="s">
        <v>30089</v>
      </c>
      <c r="Q6708" s="40" t="s">
        <v>12036</v>
      </c>
      <c r="R6708" s="33" t="s">
        <v>94</v>
      </c>
      <c r="S6708" s="33" t="s">
        <v>22</v>
      </c>
      <c r="T6708" s="1" t="s">
        <v>26781</v>
      </c>
      <c r="Z6708" s="33" t="s">
        <v>42966</v>
      </c>
      <c r="AA6708" s="33">
        <v>957</v>
      </c>
    </row>
    <row r="6709" spans="1:64" ht="12" customHeight="1" x14ac:dyDescent="0.15">
      <c r="A6709" s="33" t="s">
        <v>12025</v>
      </c>
      <c r="C6709" s="33" t="s">
        <v>14</v>
      </c>
      <c r="D6709" s="33" t="s">
        <v>24</v>
      </c>
      <c r="F6709" s="67">
        <v>41578</v>
      </c>
      <c r="G6709" s="33" t="s">
        <v>12026</v>
      </c>
      <c r="H6709" s="33" t="s">
        <v>12027</v>
      </c>
      <c r="I6709" s="33" t="s">
        <v>338</v>
      </c>
      <c r="J6709" s="33" t="s">
        <v>12028</v>
      </c>
      <c r="K6709" s="33" t="s">
        <v>12029</v>
      </c>
      <c r="L6709" s="33" t="s">
        <v>12030</v>
      </c>
      <c r="M6709" s="33" t="s">
        <v>21</v>
      </c>
      <c r="N6709" s="33" t="s">
        <v>12031</v>
      </c>
      <c r="O6709" s="33" t="s">
        <v>507</v>
      </c>
      <c r="P6709" s="33" t="s">
        <v>30089</v>
      </c>
      <c r="Q6709" s="40" t="s">
        <v>12032</v>
      </c>
      <c r="R6709" s="33" t="s">
        <v>512</v>
      </c>
      <c r="S6709" s="33" t="s">
        <v>22</v>
      </c>
      <c r="T6709" s="1" t="s">
        <v>26781</v>
      </c>
      <c r="Z6709" s="33" t="s">
        <v>42967</v>
      </c>
      <c r="AA6709" s="33">
        <v>956</v>
      </c>
    </row>
    <row r="6710" spans="1:64" ht="12" customHeight="1" x14ac:dyDescent="0.15">
      <c r="A6710" s="33" t="s">
        <v>12071</v>
      </c>
      <c r="B6710" s="33">
        <v>28</v>
      </c>
      <c r="C6710" s="33" t="s">
        <v>14</v>
      </c>
      <c r="D6710" s="33" t="s">
        <v>24</v>
      </c>
      <c r="F6710" s="67">
        <v>41577</v>
      </c>
      <c r="G6710" s="33" t="s">
        <v>12072</v>
      </c>
      <c r="H6710" s="33" t="s">
        <v>12073</v>
      </c>
      <c r="I6710" s="33" t="s">
        <v>225</v>
      </c>
      <c r="J6710" s="33" t="s">
        <v>12074</v>
      </c>
      <c r="K6710" s="33" t="s">
        <v>4065</v>
      </c>
      <c r="L6710" s="33" t="s">
        <v>12075</v>
      </c>
      <c r="M6710" s="33" t="s">
        <v>21</v>
      </c>
      <c r="N6710" s="33" t="s">
        <v>12076</v>
      </c>
      <c r="O6710" s="33" t="s">
        <v>950</v>
      </c>
      <c r="P6710" s="33" t="s">
        <v>30089</v>
      </c>
      <c r="Q6710" s="40" t="s">
        <v>12077</v>
      </c>
      <c r="R6710" s="33" t="s">
        <v>94</v>
      </c>
      <c r="S6710" s="33" t="s">
        <v>22</v>
      </c>
      <c r="T6710" s="33" t="s">
        <v>26592</v>
      </c>
      <c r="Z6710" s="33" t="s">
        <v>42968</v>
      </c>
      <c r="AA6710" s="33">
        <v>951</v>
      </c>
      <c r="AE6710" s="33"/>
    </row>
    <row r="6711" spans="1:64" ht="12" customHeight="1" x14ac:dyDescent="0.15">
      <c r="A6711" s="33" t="s">
        <v>12078</v>
      </c>
      <c r="B6711" s="33">
        <v>30</v>
      </c>
      <c r="C6711" s="33" t="s">
        <v>14</v>
      </c>
      <c r="D6711" s="33" t="s">
        <v>24</v>
      </c>
      <c r="F6711" s="67">
        <v>41577</v>
      </c>
      <c r="G6711" s="33" t="s">
        <v>12079</v>
      </c>
      <c r="H6711" s="33" t="s">
        <v>439</v>
      </c>
      <c r="I6711" s="33" t="s">
        <v>225</v>
      </c>
      <c r="J6711" s="33" t="s">
        <v>12080</v>
      </c>
      <c r="K6711" s="33" t="s">
        <v>12081</v>
      </c>
      <c r="L6711" s="33" t="s">
        <v>441</v>
      </c>
      <c r="M6711" s="33" t="s">
        <v>21</v>
      </c>
      <c r="N6711" s="33" t="s">
        <v>12082</v>
      </c>
      <c r="O6711" s="33" t="s">
        <v>950</v>
      </c>
      <c r="P6711" s="33" t="s">
        <v>30089</v>
      </c>
      <c r="Q6711" s="40" t="s">
        <v>12083</v>
      </c>
      <c r="R6711" s="33" t="s">
        <v>512</v>
      </c>
      <c r="S6711" s="33" t="s">
        <v>22</v>
      </c>
      <c r="T6711" s="1" t="s">
        <v>26781</v>
      </c>
      <c r="Z6711" s="33" t="s">
        <v>42966</v>
      </c>
      <c r="AA6711" s="33">
        <v>953</v>
      </c>
    </row>
    <row r="6712" spans="1:64" ht="12" customHeight="1" x14ac:dyDescent="0.15">
      <c r="A6712" s="33" t="s">
        <v>12050</v>
      </c>
      <c r="B6712" s="33">
        <v>30</v>
      </c>
      <c r="C6712" s="33" t="s">
        <v>14</v>
      </c>
      <c r="D6712" s="33" t="s">
        <v>79</v>
      </c>
      <c r="E6712" s="33" t="s">
        <v>12051</v>
      </c>
      <c r="F6712" s="67">
        <v>41577</v>
      </c>
      <c r="G6712" s="33" t="s">
        <v>12052</v>
      </c>
      <c r="H6712" s="33" t="s">
        <v>7964</v>
      </c>
      <c r="I6712" s="33" t="s">
        <v>376</v>
      </c>
      <c r="J6712" s="33" t="s">
        <v>12053</v>
      </c>
      <c r="K6712" s="33" t="s">
        <v>7964</v>
      </c>
      <c r="L6712" s="33" t="s">
        <v>12054</v>
      </c>
      <c r="M6712" s="33" t="s">
        <v>21</v>
      </c>
      <c r="N6712" s="33" t="s">
        <v>12055</v>
      </c>
      <c r="O6712" s="33" t="s">
        <v>507</v>
      </c>
      <c r="P6712" s="33" t="s">
        <v>30089</v>
      </c>
      <c r="Q6712" s="40" t="s">
        <v>12056</v>
      </c>
      <c r="R6712" s="33" t="s">
        <v>94</v>
      </c>
      <c r="S6712" s="33" t="s">
        <v>22</v>
      </c>
      <c r="T6712" s="33" t="s">
        <v>26781</v>
      </c>
      <c r="Z6712" s="33" t="s">
        <v>42968</v>
      </c>
      <c r="AA6712" s="33">
        <v>954</v>
      </c>
    </row>
    <row r="6713" spans="1:64" ht="12" customHeight="1" x14ac:dyDescent="0.15">
      <c r="A6713" s="33" t="s">
        <v>12063</v>
      </c>
      <c r="B6713" s="33">
        <v>24</v>
      </c>
      <c r="C6713" s="33" t="s">
        <v>14</v>
      </c>
      <c r="D6713" s="33" t="s">
        <v>128</v>
      </c>
      <c r="E6713" s="33" t="s">
        <v>12064</v>
      </c>
      <c r="F6713" s="67">
        <v>41577</v>
      </c>
      <c r="G6713" s="33" t="s">
        <v>12065</v>
      </c>
      <c r="H6713" s="33" t="s">
        <v>12066</v>
      </c>
      <c r="I6713" s="33" t="s">
        <v>132</v>
      </c>
      <c r="J6713" s="33" t="s">
        <v>12067</v>
      </c>
      <c r="K6713" s="33" t="s">
        <v>12068</v>
      </c>
      <c r="L6713" s="33" t="s">
        <v>36939</v>
      </c>
      <c r="M6713" s="33" t="s">
        <v>21</v>
      </c>
      <c r="N6713" s="33" t="s">
        <v>12069</v>
      </c>
      <c r="O6713" s="33" t="s">
        <v>950</v>
      </c>
      <c r="P6713" s="33" t="s">
        <v>30089</v>
      </c>
      <c r="Q6713" s="40" t="s">
        <v>12070</v>
      </c>
      <c r="R6713" s="33" t="s">
        <v>94</v>
      </c>
      <c r="S6713" s="33" t="s">
        <v>29</v>
      </c>
      <c r="T6713" s="1" t="s">
        <v>41840</v>
      </c>
      <c r="Z6713" s="33" t="s">
        <v>42967</v>
      </c>
      <c r="AA6713" s="33">
        <v>955</v>
      </c>
    </row>
    <row r="6714" spans="1:64" ht="12" customHeight="1" x14ac:dyDescent="0.15">
      <c r="A6714" s="33" t="s">
        <v>12057</v>
      </c>
      <c r="B6714" s="33">
        <v>28</v>
      </c>
      <c r="C6714" s="33" t="s">
        <v>14</v>
      </c>
      <c r="D6714" s="33" t="s">
        <v>79</v>
      </c>
      <c r="E6714" s="33" t="s">
        <v>12058</v>
      </c>
      <c r="F6714" s="67">
        <v>41577</v>
      </c>
      <c r="G6714" s="33" t="s">
        <v>12059</v>
      </c>
      <c r="H6714" s="33" t="s">
        <v>197</v>
      </c>
      <c r="I6714" s="33" t="s">
        <v>198</v>
      </c>
      <c r="J6714" s="33" t="s">
        <v>12060</v>
      </c>
      <c r="K6714" s="33" t="s">
        <v>392</v>
      </c>
      <c r="L6714" s="33" t="s">
        <v>199</v>
      </c>
      <c r="M6714" s="33" t="s">
        <v>21</v>
      </c>
      <c r="N6714" s="33" t="s">
        <v>12061</v>
      </c>
      <c r="O6714" s="33" t="s">
        <v>950</v>
      </c>
      <c r="P6714" s="33" t="s">
        <v>30089</v>
      </c>
      <c r="Q6714" s="40" t="s">
        <v>12062</v>
      </c>
      <c r="R6714" s="33" t="s">
        <v>94</v>
      </c>
      <c r="S6714" s="33" t="s">
        <v>22</v>
      </c>
      <c r="T6714" s="1" t="s">
        <v>26781</v>
      </c>
      <c r="Z6714" s="33" t="s">
        <v>42966</v>
      </c>
      <c r="AA6714" s="33">
        <v>952</v>
      </c>
    </row>
    <row r="6715" spans="1:64" ht="12" customHeight="1" x14ac:dyDescent="0.15">
      <c r="A6715" s="33" t="s">
        <v>12084</v>
      </c>
      <c r="B6715" s="33">
        <v>25</v>
      </c>
      <c r="C6715" s="33" t="s">
        <v>14</v>
      </c>
      <c r="D6715" s="33" t="s">
        <v>79</v>
      </c>
      <c r="F6715" s="67">
        <v>41576</v>
      </c>
      <c r="G6715" s="33" t="s">
        <v>12085</v>
      </c>
      <c r="H6715" s="33" t="s">
        <v>674</v>
      </c>
      <c r="I6715" s="33" t="s">
        <v>67</v>
      </c>
      <c r="J6715" s="33" t="s">
        <v>12086</v>
      </c>
      <c r="K6715" s="33" t="s">
        <v>515</v>
      </c>
      <c r="L6715" s="33" t="s">
        <v>12087</v>
      </c>
      <c r="M6715" s="33" t="s">
        <v>21</v>
      </c>
      <c r="N6715" s="33" t="s">
        <v>12088</v>
      </c>
      <c r="O6715" s="33" t="s">
        <v>507</v>
      </c>
      <c r="P6715" s="33" t="s">
        <v>30089</v>
      </c>
      <c r="Q6715" s="40" t="s">
        <v>12089</v>
      </c>
      <c r="R6715" s="33" t="s">
        <v>94</v>
      </c>
      <c r="S6715" s="33" t="s">
        <v>22</v>
      </c>
      <c r="T6715" s="1" t="s">
        <v>26781</v>
      </c>
      <c r="Z6715" s="33" t="s">
        <v>42968</v>
      </c>
      <c r="AA6715" s="33">
        <v>947</v>
      </c>
    </row>
    <row r="6716" spans="1:64" ht="12" customHeight="1" x14ac:dyDescent="0.15">
      <c r="A6716" s="33" t="s">
        <v>12090</v>
      </c>
      <c r="B6716" s="33">
        <v>49</v>
      </c>
      <c r="C6716" s="33" t="s">
        <v>14</v>
      </c>
      <c r="D6716" s="33" t="s">
        <v>79</v>
      </c>
      <c r="F6716" s="67">
        <v>41576</v>
      </c>
      <c r="G6716" s="33" t="s">
        <v>12091</v>
      </c>
      <c r="H6716" s="33" t="s">
        <v>8049</v>
      </c>
      <c r="I6716" s="33" t="s">
        <v>39</v>
      </c>
      <c r="J6716" s="33" t="s">
        <v>8050</v>
      </c>
      <c r="K6716" s="33" t="s">
        <v>92</v>
      </c>
      <c r="L6716" s="33" t="s">
        <v>93</v>
      </c>
      <c r="M6716" s="33" t="s">
        <v>21</v>
      </c>
      <c r="N6716" s="33" t="s">
        <v>12092</v>
      </c>
      <c r="O6716" s="33" t="s">
        <v>507</v>
      </c>
      <c r="P6716" s="33" t="s">
        <v>30089</v>
      </c>
      <c r="Q6716" s="40" t="s">
        <v>12093</v>
      </c>
      <c r="R6716" s="33" t="s">
        <v>94</v>
      </c>
      <c r="S6716" s="33" t="s">
        <v>22</v>
      </c>
      <c r="T6716" s="1" t="s">
        <v>26781</v>
      </c>
      <c r="Z6716" s="33" t="s">
        <v>42966</v>
      </c>
      <c r="AA6716" s="33">
        <v>948</v>
      </c>
    </row>
    <row r="6717" spans="1:64" ht="12" customHeight="1" x14ac:dyDescent="0.15">
      <c r="A6717" s="33" t="s">
        <v>12100</v>
      </c>
      <c r="B6717" s="33">
        <v>57</v>
      </c>
      <c r="C6717" s="33" t="s">
        <v>14</v>
      </c>
      <c r="D6717" s="33" t="s">
        <v>31</v>
      </c>
      <c r="E6717" s="33" t="s">
        <v>12101</v>
      </c>
      <c r="F6717" s="67">
        <v>41576</v>
      </c>
      <c r="G6717" s="33" t="s">
        <v>12102</v>
      </c>
      <c r="H6717" s="33" t="s">
        <v>4600</v>
      </c>
      <c r="I6717" s="33" t="s">
        <v>395</v>
      </c>
      <c r="J6717" s="33" t="s">
        <v>12103</v>
      </c>
      <c r="K6717" s="33" t="s">
        <v>12104</v>
      </c>
      <c r="L6717" s="33" t="s">
        <v>12105</v>
      </c>
      <c r="M6717" s="33" t="s">
        <v>21</v>
      </c>
      <c r="N6717" s="33" t="s">
        <v>12106</v>
      </c>
      <c r="O6717" s="33" t="s">
        <v>507</v>
      </c>
      <c r="P6717" s="33" t="s">
        <v>30089</v>
      </c>
      <c r="Q6717" s="40" t="s">
        <v>12107</v>
      </c>
      <c r="R6717" s="33" t="s">
        <v>512</v>
      </c>
      <c r="S6717" s="33" t="s">
        <v>22</v>
      </c>
      <c r="T6717" s="1" t="s">
        <v>26781</v>
      </c>
      <c r="Z6717" s="33" t="s">
        <v>42968</v>
      </c>
      <c r="AA6717" s="33">
        <v>949</v>
      </c>
    </row>
    <row r="6718" spans="1:64" ht="12" customHeight="1" x14ac:dyDescent="0.15">
      <c r="A6718" s="33" t="s">
        <v>12094</v>
      </c>
      <c r="B6718" s="33">
        <v>51</v>
      </c>
      <c r="C6718" s="33" t="s">
        <v>14</v>
      </c>
      <c r="D6718" s="33" t="s">
        <v>79</v>
      </c>
      <c r="E6718" s="33" t="s">
        <v>12095</v>
      </c>
      <c r="F6718" s="67">
        <v>41576</v>
      </c>
      <c r="G6718" s="33" t="s">
        <v>12096</v>
      </c>
      <c r="H6718" s="33" t="s">
        <v>196</v>
      </c>
      <c r="I6718" s="33" t="s">
        <v>56</v>
      </c>
      <c r="J6718" s="33" t="s">
        <v>12097</v>
      </c>
      <c r="K6718" s="33" t="s">
        <v>148</v>
      </c>
      <c r="L6718" s="33" t="s">
        <v>149</v>
      </c>
      <c r="M6718" s="33" t="s">
        <v>21</v>
      </c>
      <c r="N6718" s="33" t="s">
        <v>12098</v>
      </c>
      <c r="O6718" s="33" t="s">
        <v>507</v>
      </c>
      <c r="P6718" s="33" t="s">
        <v>30089</v>
      </c>
      <c r="Q6718" s="40" t="s">
        <v>12099</v>
      </c>
      <c r="R6718" s="33" t="s">
        <v>94</v>
      </c>
      <c r="S6718" s="33" t="s">
        <v>22</v>
      </c>
      <c r="T6718" s="1" t="s">
        <v>42996</v>
      </c>
      <c r="Z6718" s="33" t="s">
        <v>42966</v>
      </c>
      <c r="AA6718" s="33">
        <v>950</v>
      </c>
    </row>
    <row r="6719" spans="1:64" ht="12" customHeight="1" x14ac:dyDescent="0.15">
      <c r="A6719" s="63" t="s">
        <v>42862</v>
      </c>
      <c r="B6719" s="99">
        <v>28</v>
      </c>
      <c r="C6719" s="10" t="s">
        <v>14</v>
      </c>
      <c r="D6719" s="10" t="s">
        <v>31</v>
      </c>
      <c r="E6719" s="62" t="s">
        <v>12118</v>
      </c>
      <c r="F6719" s="67">
        <v>41575</v>
      </c>
      <c r="G6719" s="10" t="s">
        <v>42863</v>
      </c>
      <c r="H6719" s="10" t="s">
        <v>8145</v>
      </c>
      <c r="I6719" s="10" t="s">
        <v>67</v>
      </c>
      <c r="J6719" s="65">
        <v>75137</v>
      </c>
      <c r="K6719" s="10" t="s">
        <v>266</v>
      </c>
      <c r="L6719" s="10" t="s">
        <v>24836</v>
      </c>
      <c r="M6719" s="10" t="s">
        <v>21</v>
      </c>
      <c r="N6719" s="10" t="s">
        <v>12119</v>
      </c>
      <c r="O6719" s="10" t="s">
        <v>507</v>
      </c>
      <c r="P6719" s="10" t="s">
        <v>30089</v>
      </c>
      <c r="Q6719" s="62" t="s">
        <v>42864</v>
      </c>
      <c r="R6719" s="10" t="s">
        <v>94</v>
      </c>
      <c r="S6719" s="10" t="s">
        <v>29</v>
      </c>
      <c r="T6719" s="10" t="s">
        <v>41840</v>
      </c>
      <c r="U6719" s="10"/>
      <c r="V6719" s="10"/>
      <c r="W6719" s="10"/>
      <c r="X6719" s="89"/>
      <c r="Y6719" s="68"/>
      <c r="Z6719" s="68" t="s">
        <v>42968</v>
      </c>
      <c r="AA6719" s="33">
        <v>945</v>
      </c>
      <c r="AG6719" s="68"/>
      <c r="AK6719" s="68"/>
      <c r="AL6719" s="68"/>
      <c r="AM6719" s="68"/>
      <c r="AN6719" s="68"/>
      <c r="AO6719" s="68"/>
      <c r="AP6719" s="68"/>
      <c r="AQ6719" s="68"/>
      <c r="AR6719" s="68"/>
      <c r="AS6719" s="68"/>
      <c r="AT6719" s="68"/>
      <c r="AU6719" s="68"/>
      <c r="AV6719" s="68"/>
      <c r="AW6719" s="68"/>
      <c r="AX6719" s="68"/>
      <c r="AY6719" s="68"/>
      <c r="AZ6719" s="68"/>
      <c r="BA6719" s="68"/>
      <c r="BB6719" s="68"/>
      <c r="BC6719" s="68"/>
      <c r="BD6719" s="68"/>
      <c r="BE6719" s="68"/>
      <c r="BF6719" s="68"/>
      <c r="BG6719" s="68"/>
      <c r="BH6719" s="68"/>
      <c r="BI6719" s="68"/>
      <c r="BJ6719" s="68"/>
      <c r="BK6719" s="68"/>
      <c r="BL6719" s="68"/>
    </row>
    <row r="6720" spans="1:64" ht="12" customHeight="1" x14ac:dyDescent="0.15">
      <c r="A6720" s="33" t="s">
        <v>12117</v>
      </c>
      <c r="B6720" s="33">
        <v>27</v>
      </c>
      <c r="C6720" s="33" t="s">
        <v>14</v>
      </c>
      <c r="D6720" s="33" t="s">
        <v>31</v>
      </c>
      <c r="E6720" s="33" t="s">
        <v>12118</v>
      </c>
      <c r="F6720" s="67">
        <v>41575</v>
      </c>
      <c r="G6720" s="33" t="s">
        <v>22202</v>
      </c>
      <c r="H6720" s="33" t="s">
        <v>8145</v>
      </c>
      <c r="I6720" s="33" t="s">
        <v>67</v>
      </c>
      <c r="J6720" s="33" t="s">
        <v>8146</v>
      </c>
      <c r="K6720" s="33" t="s">
        <v>266</v>
      </c>
      <c r="L6720" s="33" t="s">
        <v>24836</v>
      </c>
      <c r="M6720" s="33" t="s">
        <v>21</v>
      </c>
      <c r="N6720" s="33" t="s">
        <v>12119</v>
      </c>
      <c r="O6720" s="33" t="s">
        <v>507</v>
      </c>
      <c r="P6720" s="33" t="s">
        <v>30089</v>
      </c>
      <c r="Q6720" s="40" t="str">
        <f>HYPERLINK("http://crimeblog.dallasnews.com/2013/10/duncanville-police-fatally-shoot-suspect-monday-morning.html/","http://crimeblog.dallasnews.com/2013/10/duncanville-police-fatally-shoot-suspect-monday-morning.html/")</f>
        <v>http://crimeblog.dallasnews.com/2013/10/duncanville-police-fatally-shoot-suspect-monday-morning.html/</v>
      </c>
      <c r="R6720" s="33" t="s">
        <v>94</v>
      </c>
      <c r="S6720" s="33" t="s">
        <v>29</v>
      </c>
      <c r="T6720" s="33" t="s">
        <v>41840</v>
      </c>
      <c r="Z6720" s="33" t="s">
        <v>42968</v>
      </c>
      <c r="AA6720" s="33">
        <v>946</v>
      </c>
    </row>
    <row r="6721" spans="1:27" ht="12" customHeight="1" x14ac:dyDescent="0.15">
      <c r="A6721" s="33" t="s">
        <v>12120</v>
      </c>
      <c r="B6721" s="33">
        <v>71</v>
      </c>
      <c r="C6721" s="33" t="s">
        <v>14</v>
      </c>
      <c r="D6721" s="33" t="s">
        <v>31</v>
      </c>
      <c r="E6721" s="33" t="s">
        <v>12121</v>
      </c>
      <c r="F6721" s="67">
        <v>41575</v>
      </c>
      <c r="G6721" s="33" t="s">
        <v>12122</v>
      </c>
      <c r="H6721" s="33" t="s">
        <v>947</v>
      </c>
      <c r="I6721" s="33" t="s">
        <v>26</v>
      </c>
      <c r="J6721" s="33" t="s">
        <v>12123</v>
      </c>
      <c r="K6721" s="33" t="s">
        <v>947</v>
      </c>
      <c r="L6721" s="33" t="s">
        <v>2514</v>
      </c>
      <c r="M6721" s="33" t="s">
        <v>21</v>
      </c>
      <c r="N6721" s="33" t="s">
        <v>12124</v>
      </c>
      <c r="O6721" s="33" t="s">
        <v>950</v>
      </c>
      <c r="P6721" s="33" t="s">
        <v>30089</v>
      </c>
      <c r="Q6721" s="40" t="s">
        <v>12125</v>
      </c>
      <c r="R6721" s="33" t="s">
        <v>94</v>
      </c>
      <c r="S6721" s="33" t="s">
        <v>22</v>
      </c>
      <c r="T6721" s="1" t="s">
        <v>26781</v>
      </c>
      <c r="Z6721" s="33" t="s">
        <v>42968</v>
      </c>
      <c r="AA6721" s="33">
        <v>944</v>
      </c>
    </row>
    <row r="6722" spans="1:27" ht="12" customHeight="1" x14ac:dyDescent="0.15">
      <c r="A6722" s="33" t="s">
        <v>12108</v>
      </c>
      <c r="B6722" s="33">
        <v>61</v>
      </c>
      <c r="C6722" s="33" t="s">
        <v>14</v>
      </c>
      <c r="D6722" s="33" t="s">
        <v>79</v>
      </c>
      <c r="E6722" s="33" t="s">
        <v>12109</v>
      </c>
      <c r="F6722" s="67">
        <v>41575</v>
      </c>
      <c r="G6722" s="33" t="s">
        <v>12110</v>
      </c>
      <c r="H6722" s="33" t="s">
        <v>12111</v>
      </c>
      <c r="I6722" s="33" t="s">
        <v>160</v>
      </c>
      <c r="J6722" s="33" t="s">
        <v>12112</v>
      </c>
      <c r="K6722" s="33" t="s">
        <v>12113</v>
      </c>
      <c r="L6722" s="33" t="s">
        <v>12114</v>
      </c>
      <c r="M6722" s="33" t="s">
        <v>21</v>
      </c>
      <c r="N6722" s="33" t="s">
        <v>12115</v>
      </c>
      <c r="O6722" s="33" t="s">
        <v>950</v>
      </c>
      <c r="P6722" s="33" t="s">
        <v>30089</v>
      </c>
      <c r="Q6722" s="40" t="s">
        <v>12116</v>
      </c>
      <c r="R6722" s="33" t="s">
        <v>94</v>
      </c>
      <c r="S6722" s="33" t="s">
        <v>22</v>
      </c>
      <c r="T6722" s="1" t="s">
        <v>26781</v>
      </c>
      <c r="Z6722" s="33" t="s">
        <v>42966</v>
      </c>
      <c r="AA6722" s="33">
        <v>943</v>
      </c>
    </row>
    <row r="6723" spans="1:27" ht="12" customHeight="1" x14ac:dyDescent="0.15">
      <c r="A6723" s="33" t="s">
        <v>12136</v>
      </c>
      <c r="B6723" s="33">
        <v>51</v>
      </c>
      <c r="C6723" s="33" t="s">
        <v>14</v>
      </c>
      <c r="D6723" s="33" t="s">
        <v>42</v>
      </c>
      <c r="E6723" s="33" t="s">
        <v>12137</v>
      </c>
      <c r="F6723" s="67">
        <v>41574</v>
      </c>
      <c r="G6723" s="33" t="s">
        <v>12138</v>
      </c>
      <c r="H6723" s="33" t="s">
        <v>5902</v>
      </c>
      <c r="I6723" s="33" t="s">
        <v>56</v>
      </c>
      <c r="J6723" s="33" t="s">
        <v>10373</v>
      </c>
      <c r="K6723" s="33" t="s">
        <v>148</v>
      </c>
      <c r="L6723" s="33" t="s">
        <v>5903</v>
      </c>
      <c r="M6723" s="33" t="s">
        <v>21</v>
      </c>
      <c r="N6723" s="33" t="s">
        <v>12139</v>
      </c>
      <c r="O6723" s="33" t="s">
        <v>950</v>
      </c>
      <c r="P6723" s="33" t="s">
        <v>30089</v>
      </c>
      <c r="Q6723" s="40" t="s">
        <v>12140</v>
      </c>
      <c r="R6723" s="33" t="s">
        <v>94</v>
      </c>
      <c r="S6723" s="33" t="s">
        <v>29</v>
      </c>
      <c r="T6723" s="1" t="s">
        <v>41840</v>
      </c>
      <c r="Z6723" s="33" t="s">
        <v>42966</v>
      </c>
      <c r="AA6723" s="33">
        <v>942</v>
      </c>
    </row>
    <row r="6724" spans="1:27" ht="12" customHeight="1" x14ac:dyDescent="0.15">
      <c r="A6724" s="33" t="s">
        <v>12147</v>
      </c>
      <c r="B6724" s="33">
        <v>27</v>
      </c>
      <c r="C6724" s="33" t="s">
        <v>14</v>
      </c>
      <c r="D6724" s="33" t="s">
        <v>31</v>
      </c>
      <c r="E6724" s="33" t="s">
        <v>12142</v>
      </c>
      <c r="F6724" s="67">
        <v>41574</v>
      </c>
      <c r="G6724" s="33" t="s">
        <v>12143</v>
      </c>
      <c r="H6724" s="33" t="s">
        <v>1487</v>
      </c>
      <c r="I6724" s="33" t="s">
        <v>46</v>
      </c>
      <c r="J6724" s="33" t="s">
        <v>12144</v>
      </c>
      <c r="K6724" s="33" t="s">
        <v>4324</v>
      </c>
      <c r="L6724" s="33" t="s">
        <v>2556</v>
      </c>
      <c r="M6724" s="33" t="s">
        <v>21</v>
      </c>
      <c r="N6724" s="33" t="s">
        <v>12145</v>
      </c>
      <c r="O6724" s="33" t="s">
        <v>950</v>
      </c>
      <c r="P6724" s="33" t="s">
        <v>30089</v>
      </c>
      <c r="Q6724" s="40" t="s">
        <v>12146</v>
      </c>
      <c r="R6724" s="33" t="s">
        <v>94</v>
      </c>
      <c r="S6724" s="33" t="s">
        <v>12</v>
      </c>
      <c r="T6724" s="54" t="s">
        <v>29705</v>
      </c>
      <c r="Z6724" s="33" t="s">
        <v>42968</v>
      </c>
      <c r="AA6724" s="33">
        <v>941</v>
      </c>
    </row>
    <row r="6725" spans="1:27" ht="12" customHeight="1" x14ac:dyDescent="0.15">
      <c r="A6725" s="33" t="s">
        <v>12141</v>
      </c>
      <c r="B6725" s="33">
        <v>26</v>
      </c>
      <c r="C6725" s="33" t="s">
        <v>103</v>
      </c>
      <c r="D6725" s="33" t="s">
        <v>31</v>
      </c>
      <c r="E6725" s="33" t="s">
        <v>12142</v>
      </c>
      <c r="F6725" s="67">
        <v>41574</v>
      </c>
      <c r="G6725" s="33" t="s">
        <v>12143</v>
      </c>
      <c r="H6725" s="33" t="s">
        <v>1487</v>
      </c>
      <c r="I6725" s="33" t="s">
        <v>46</v>
      </c>
      <c r="J6725" s="33" t="s">
        <v>12144</v>
      </c>
      <c r="K6725" s="33" t="s">
        <v>4324</v>
      </c>
      <c r="L6725" s="33" t="s">
        <v>2556</v>
      </c>
      <c r="M6725" s="33" t="s">
        <v>21</v>
      </c>
      <c r="N6725" s="33" t="s">
        <v>12145</v>
      </c>
      <c r="O6725" s="33" t="s">
        <v>950</v>
      </c>
      <c r="P6725" s="33" t="s">
        <v>30089</v>
      </c>
      <c r="Q6725" s="40" t="s">
        <v>12146</v>
      </c>
      <c r="R6725" s="33" t="s">
        <v>94</v>
      </c>
      <c r="S6725" s="33" t="s">
        <v>12</v>
      </c>
      <c r="T6725" s="54" t="s">
        <v>29705</v>
      </c>
      <c r="Z6725" s="33" t="s">
        <v>42968</v>
      </c>
      <c r="AA6725" s="33">
        <v>939</v>
      </c>
    </row>
    <row r="6726" spans="1:27" ht="12" customHeight="1" x14ac:dyDescent="0.15">
      <c r="A6726" s="33" t="s">
        <v>12155</v>
      </c>
      <c r="B6726" s="33">
        <v>26</v>
      </c>
      <c r="C6726" s="33" t="s">
        <v>14</v>
      </c>
      <c r="D6726" s="33" t="s">
        <v>31</v>
      </c>
      <c r="E6726" s="33" t="s">
        <v>12156</v>
      </c>
      <c r="F6726" s="67">
        <v>41574</v>
      </c>
      <c r="G6726" s="33" t="s">
        <v>12157</v>
      </c>
      <c r="H6726" s="33" t="s">
        <v>12158</v>
      </c>
      <c r="I6726" s="33" t="s">
        <v>298</v>
      </c>
      <c r="J6726" s="33" t="s">
        <v>12159</v>
      </c>
      <c r="K6726" s="33" t="s">
        <v>12008</v>
      </c>
      <c r="L6726" s="33" t="s">
        <v>12160</v>
      </c>
      <c r="M6726" s="33" t="s">
        <v>21</v>
      </c>
      <c r="N6726" s="33" t="s">
        <v>12161</v>
      </c>
      <c r="O6726" s="33" t="s">
        <v>507</v>
      </c>
      <c r="P6726" s="33" t="s">
        <v>30089</v>
      </c>
      <c r="Q6726" s="40" t="s">
        <v>12162</v>
      </c>
      <c r="R6726" s="33" t="s">
        <v>94</v>
      </c>
      <c r="S6726" s="33" t="s">
        <v>22</v>
      </c>
      <c r="T6726" s="1" t="s">
        <v>42995</v>
      </c>
      <c r="Z6726" s="33" t="s">
        <v>42967</v>
      </c>
      <c r="AA6726" s="33">
        <v>937</v>
      </c>
    </row>
    <row r="6727" spans="1:27" ht="12" customHeight="1" x14ac:dyDescent="0.15">
      <c r="A6727" s="33" t="s">
        <v>12126</v>
      </c>
      <c r="B6727" s="33">
        <v>28</v>
      </c>
      <c r="C6727" s="33" t="s">
        <v>14</v>
      </c>
      <c r="D6727" s="33" t="s">
        <v>79</v>
      </c>
      <c r="E6727" s="33" t="s">
        <v>12127</v>
      </c>
      <c r="F6727" s="67">
        <v>41574</v>
      </c>
      <c r="G6727" s="33" t="s">
        <v>12128</v>
      </c>
      <c r="H6727" s="33" t="s">
        <v>603</v>
      </c>
      <c r="I6727" s="33" t="s">
        <v>56</v>
      </c>
      <c r="J6727" s="33" t="s">
        <v>12129</v>
      </c>
      <c r="K6727" s="33" t="s">
        <v>604</v>
      </c>
      <c r="L6727" s="33" t="s">
        <v>605</v>
      </c>
      <c r="M6727" s="33" t="s">
        <v>21</v>
      </c>
      <c r="N6727" s="33" t="s">
        <v>12130</v>
      </c>
      <c r="O6727" s="33" t="s">
        <v>950</v>
      </c>
      <c r="P6727" s="33" t="s">
        <v>30089</v>
      </c>
      <c r="Q6727" s="40" t="s">
        <v>12131</v>
      </c>
      <c r="R6727" s="33" t="s">
        <v>94</v>
      </c>
      <c r="S6727" s="33" t="s">
        <v>22</v>
      </c>
      <c r="T6727" s="1" t="s">
        <v>26781</v>
      </c>
      <c r="Z6727" s="33" t="s">
        <v>42968</v>
      </c>
      <c r="AA6727" s="33">
        <v>936</v>
      </c>
    </row>
    <row r="6728" spans="1:27" ht="12" customHeight="1" x14ac:dyDescent="0.15">
      <c r="A6728" s="33" t="s">
        <v>12132</v>
      </c>
      <c r="B6728" s="33">
        <v>57</v>
      </c>
      <c r="C6728" s="33" t="s">
        <v>14</v>
      </c>
      <c r="D6728" s="33" t="s">
        <v>79</v>
      </c>
      <c r="F6728" s="67">
        <v>41574</v>
      </c>
      <c r="G6728" s="33" t="s">
        <v>22203</v>
      </c>
      <c r="H6728" s="33" t="s">
        <v>12133</v>
      </c>
      <c r="I6728" s="33" t="s">
        <v>39</v>
      </c>
      <c r="J6728" s="33" t="s">
        <v>7112</v>
      </c>
      <c r="K6728" s="33" t="s">
        <v>92</v>
      </c>
      <c r="L6728" s="33" t="s">
        <v>386</v>
      </c>
      <c r="M6728" s="33" t="s">
        <v>21</v>
      </c>
      <c r="N6728" s="33" t="s">
        <v>12134</v>
      </c>
      <c r="O6728" s="33" t="s">
        <v>950</v>
      </c>
      <c r="P6728" s="33" t="s">
        <v>30089</v>
      </c>
      <c r="Q6728" s="40" t="s">
        <v>12135</v>
      </c>
      <c r="R6728" s="33" t="s">
        <v>512</v>
      </c>
      <c r="S6728" s="33" t="s">
        <v>12</v>
      </c>
      <c r="T6728" s="54" t="s">
        <v>29705</v>
      </c>
      <c r="Z6728" s="33" t="s">
        <v>42966</v>
      </c>
      <c r="AA6728" s="33">
        <v>940</v>
      </c>
    </row>
    <row r="6729" spans="1:27" ht="12" customHeight="1" x14ac:dyDescent="0.15">
      <c r="A6729" s="33" t="s">
        <v>12148</v>
      </c>
      <c r="B6729" s="33">
        <v>35</v>
      </c>
      <c r="C6729" s="33" t="s">
        <v>103</v>
      </c>
      <c r="D6729" s="33" t="s">
        <v>31</v>
      </c>
      <c r="E6729" s="33" t="s">
        <v>12149</v>
      </c>
      <c r="F6729" s="67">
        <v>41574</v>
      </c>
      <c r="G6729" s="33" t="s">
        <v>12150</v>
      </c>
      <c r="H6729" s="33" t="s">
        <v>420</v>
      </c>
      <c r="I6729" s="33" t="s">
        <v>178</v>
      </c>
      <c r="J6729" s="33" t="s">
        <v>12151</v>
      </c>
      <c r="K6729" s="33" t="s">
        <v>731</v>
      </c>
      <c r="L6729" s="33" t="s">
        <v>12152</v>
      </c>
      <c r="M6729" s="33" t="s">
        <v>21</v>
      </c>
      <c r="N6729" s="33" t="s">
        <v>12153</v>
      </c>
      <c r="O6729" s="33" t="s">
        <v>507</v>
      </c>
      <c r="P6729" s="33" t="s">
        <v>30089</v>
      </c>
      <c r="Q6729" s="40" t="s">
        <v>12154</v>
      </c>
      <c r="R6729" s="33" t="s">
        <v>904</v>
      </c>
      <c r="S6729" s="33" t="s">
        <v>12</v>
      </c>
      <c r="T6729" s="54" t="s">
        <v>29705</v>
      </c>
      <c r="Z6729" s="33" t="s">
        <v>42967</v>
      </c>
      <c r="AA6729" s="33">
        <v>938</v>
      </c>
    </row>
    <row r="6730" spans="1:27" ht="12" customHeight="1" x14ac:dyDescent="0.15">
      <c r="A6730" s="33" t="s">
        <v>12169</v>
      </c>
      <c r="B6730" s="33">
        <v>32</v>
      </c>
      <c r="C6730" s="33" t="s">
        <v>14</v>
      </c>
      <c r="D6730" s="33" t="s">
        <v>42</v>
      </c>
      <c r="F6730" s="67">
        <v>41573</v>
      </c>
      <c r="G6730" s="33" t="s">
        <v>22204</v>
      </c>
      <c r="H6730" s="33" t="s">
        <v>12170</v>
      </c>
      <c r="I6730" s="33" t="s">
        <v>39</v>
      </c>
      <c r="J6730" s="33" t="s">
        <v>12171</v>
      </c>
      <c r="K6730" s="33" t="s">
        <v>728</v>
      </c>
      <c r="L6730" s="33" t="s">
        <v>12172</v>
      </c>
      <c r="M6730" s="33" t="s">
        <v>21</v>
      </c>
      <c r="N6730" s="33" t="s">
        <v>12173</v>
      </c>
      <c r="O6730" s="33" t="s">
        <v>950</v>
      </c>
      <c r="P6730" s="33" t="s">
        <v>30089</v>
      </c>
      <c r="Q6730" s="40" t="s">
        <v>12174</v>
      </c>
      <c r="R6730" s="33" t="s">
        <v>94</v>
      </c>
      <c r="S6730" s="33" t="s">
        <v>22</v>
      </c>
      <c r="T6730" s="1" t="s">
        <v>26781</v>
      </c>
      <c r="Z6730" s="33" t="s">
        <v>42968</v>
      </c>
      <c r="AA6730" s="33">
        <v>932</v>
      </c>
    </row>
    <row r="6731" spans="1:27" ht="12" customHeight="1" x14ac:dyDescent="0.15">
      <c r="A6731" s="33" t="s">
        <v>12180</v>
      </c>
      <c r="B6731" s="103">
        <v>35</v>
      </c>
      <c r="C6731" s="33" t="s">
        <v>14</v>
      </c>
      <c r="D6731" s="33" t="s">
        <v>31</v>
      </c>
      <c r="E6731" s="33" t="s">
        <v>12181</v>
      </c>
      <c r="F6731" s="67">
        <v>41573</v>
      </c>
      <c r="G6731" s="33" t="s">
        <v>12182</v>
      </c>
      <c r="H6731" s="33" t="s">
        <v>866</v>
      </c>
      <c r="I6731" s="33" t="s">
        <v>178</v>
      </c>
      <c r="J6731" s="33" t="s">
        <v>12183</v>
      </c>
      <c r="K6731" s="33" t="s">
        <v>433</v>
      </c>
      <c r="L6731" s="33" t="s">
        <v>4562</v>
      </c>
      <c r="M6731" s="33" t="s">
        <v>21</v>
      </c>
      <c r="N6731" s="33" t="s">
        <v>12184</v>
      </c>
      <c r="O6731" s="33" t="s">
        <v>23</v>
      </c>
      <c r="P6731" s="33" t="s">
        <v>30089</v>
      </c>
      <c r="Q6731" s="40" t="s">
        <v>9174</v>
      </c>
      <c r="R6731" s="33" t="s">
        <v>94</v>
      </c>
      <c r="S6731" s="33" t="s">
        <v>22</v>
      </c>
      <c r="T6731" s="1" t="s">
        <v>26781</v>
      </c>
      <c r="Z6731" s="33" t="s">
        <v>42968</v>
      </c>
      <c r="AA6731" s="33">
        <v>934</v>
      </c>
    </row>
    <row r="6732" spans="1:27" ht="12" customHeight="1" x14ac:dyDescent="0.15">
      <c r="A6732" s="33" t="s">
        <v>12192</v>
      </c>
      <c r="B6732" s="103">
        <v>29</v>
      </c>
      <c r="C6732" s="33" t="s">
        <v>14</v>
      </c>
      <c r="D6732" s="33" t="s">
        <v>31</v>
      </c>
      <c r="E6732" s="33" t="s">
        <v>12193</v>
      </c>
      <c r="F6732" s="67">
        <v>41573</v>
      </c>
      <c r="G6732" s="33" t="s">
        <v>12194</v>
      </c>
      <c r="H6732" s="33" t="s">
        <v>12195</v>
      </c>
      <c r="I6732" s="33" t="s">
        <v>112</v>
      </c>
      <c r="J6732" s="33" t="s">
        <v>12196</v>
      </c>
      <c r="K6732" s="33" t="s">
        <v>12195</v>
      </c>
      <c r="L6732" s="33" t="s">
        <v>12197</v>
      </c>
      <c r="M6732" s="33" t="s">
        <v>21</v>
      </c>
      <c r="N6732" s="33" t="s">
        <v>12198</v>
      </c>
      <c r="O6732" s="33" t="s">
        <v>23</v>
      </c>
      <c r="P6732" s="33" t="s">
        <v>30089</v>
      </c>
      <c r="Q6732" s="40" t="s">
        <v>12199</v>
      </c>
      <c r="R6732" s="33" t="s">
        <v>94</v>
      </c>
      <c r="S6732" s="33" t="s">
        <v>22</v>
      </c>
      <c r="T6732" s="1" t="s">
        <v>40847</v>
      </c>
      <c r="Z6732" s="33" t="s">
        <v>42968</v>
      </c>
      <c r="AA6732" s="33">
        <v>930</v>
      </c>
    </row>
    <row r="6733" spans="1:27" ht="12" customHeight="1" x14ac:dyDescent="0.15">
      <c r="A6733" s="33" t="s">
        <v>12185</v>
      </c>
      <c r="B6733" s="33">
        <v>69</v>
      </c>
      <c r="C6733" s="33" t="s">
        <v>14</v>
      </c>
      <c r="D6733" s="33" t="s">
        <v>31</v>
      </c>
      <c r="E6733" s="33" t="s">
        <v>12186</v>
      </c>
      <c r="F6733" s="67">
        <v>41573</v>
      </c>
      <c r="G6733" s="33" t="s">
        <v>12187</v>
      </c>
      <c r="H6733" s="33" t="s">
        <v>8929</v>
      </c>
      <c r="I6733" s="33" t="s">
        <v>56</v>
      </c>
      <c r="J6733" s="33" t="s">
        <v>12188</v>
      </c>
      <c r="K6733" s="33" t="s">
        <v>2152</v>
      </c>
      <c r="L6733" s="33" t="s">
        <v>12189</v>
      </c>
      <c r="M6733" s="33" t="s">
        <v>21</v>
      </c>
      <c r="N6733" s="33" t="s">
        <v>12190</v>
      </c>
      <c r="O6733" s="33" t="s">
        <v>507</v>
      </c>
      <c r="P6733" s="33" t="s">
        <v>30089</v>
      </c>
      <c r="Q6733" s="40" t="s">
        <v>12191</v>
      </c>
      <c r="R6733" s="33" t="s">
        <v>512</v>
      </c>
      <c r="S6733" s="33" t="s">
        <v>22</v>
      </c>
      <c r="T6733" s="1" t="s">
        <v>26781</v>
      </c>
      <c r="Z6733" s="33" t="s">
        <v>42966</v>
      </c>
      <c r="AA6733" s="33">
        <v>935</v>
      </c>
    </row>
    <row r="6734" spans="1:27" ht="12" customHeight="1" x14ac:dyDescent="0.15">
      <c r="A6734" s="33" t="s">
        <v>12175</v>
      </c>
      <c r="B6734" s="33">
        <v>32</v>
      </c>
      <c r="C6734" s="33" t="s">
        <v>14</v>
      </c>
      <c r="D6734" s="33" t="s">
        <v>24</v>
      </c>
      <c r="F6734" s="67">
        <v>41573</v>
      </c>
      <c r="G6734" s="33" t="s">
        <v>12176</v>
      </c>
      <c r="H6734" s="33" t="s">
        <v>8885</v>
      </c>
      <c r="I6734" s="33" t="s">
        <v>225</v>
      </c>
      <c r="J6734" s="33" t="s">
        <v>8886</v>
      </c>
      <c r="K6734" s="33" t="s">
        <v>8887</v>
      </c>
      <c r="L6734" s="33" t="s">
        <v>12177</v>
      </c>
      <c r="M6734" s="33" t="s">
        <v>21</v>
      </c>
      <c r="N6734" s="33" t="s">
        <v>12178</v>
      </c>
      <c r="O6734" s="33" t="s">
        <v>507</v>
      </c>
      <c r="P6734" s="33" t="s">
        <v>30089</v>
      </c>
      <c r="Q6734" s="40" t="s">
        <v>12179</v>
      </c>
      <c r="R6734" s="33" t="s">
        <v>94</v>
      </c>
      <c r="S6734" s="33" t="s">
        <v>22</v>
      </c>
      <c r="T6734" s="1" t="s">
        <v>26781</v>
      </c>
      <c r="Z6734" s="33" t="s">
        <v>42967</v>
      </c>
      <c r="AA6734" s="33">
        <v>933</v>
      </c>
    </row>
    <row r="6735" spans="1:27" ht="12" customHeight="1" x14ac:dyDescent="0.15">
      <c r="A6735" s="33" t="s">
        <v>12163</v>
      </c>
      <c r="B6735" s="33">
        <v>24</v>
      </c>
      <c r="C6735" s="33" t="s">
        <v>14</v>
      </c>
      <c r="D6735" s="33" t="s">
        <v>79</v>
      </c>
      <c r="E6735" s="33" t="s">
        <v>12164</v>
      </c>
      <c r="F6735" s="67">
        <v>41573</v>
      </c>
      <c r="G6735" s="33" t="s">
        <v>12165</v>
      </c>
      <c r="H6735" s="33" t="s">
        <v>55</v>
      </c>
      <c r="I6735" s="33" t="s">
        <v>56</v>
      </c>
      <c r="J6735" s="33" t="s">
        <v>12166</v>
      </c>
      <c r="K6735" s="33" t="s">
        <v>4878</v>
      </c>
      <c r="L6735" s="33" t="s">
        <v>7009</v>
      </c>
      <c r="M6735" s="33" t="s">
        <v>21</v>
      </c>
      <c r="N6735" s="33" t="s">
        <v>12167</v>
      </c>
      <c r="O6735" s="33" t="s">
        <v>950</v>
      </c>
      <c r="P6735" s="33" t="s">
        <v>30089</v>
      </c>
      <c r="Q6735" s="40" t="s">
        <v>12168</v>
      </c>
      <c r="R6735" s="33" t="s">
        <v>94</v>
      </c>
      <c r="S6735" s="33" t="s">
        <v>22</v>
      </c>
      <c r="T6735" s="1" t="s">
        <v>26781</v>
      </c>
      <c r="Z6735" s="33" t="s">
        <v>42966</v>
      </c>
      <c r="AA6735" s="33">
        <v>931</v>
      </c>
    </row>
    <row r="6736" spans="1:27" ht="12" customHeight="1" x14ac:dyDescent="0.15">
      <c r="A6736" s="33" t="s">
        <v>12221</v>
      </c>
      <c r="B6736" s="33">
        <v>39</v>
      </c>
      <c r="C6736" s="33" t="s">
        <v>14</v>
      </c>
      <c r="D6736" s="33" t="s">
        <v>42</v>
      </c>
      <c r="E6736" s="33" t="s">
        <v>12222</v>
      </c>
      <c r="F6736" s="67">
        <v>41572</v>
      </c>
      <c r="G6736" s="33" t="s">
        <v>12223</v>
      </c>
      <c r="H6736" s="33" t="s">
        <v>12224</v>
      </c>
      <c r="I6736" s="33" t="s">
        <v>39</v>
      </c>
      <c r="J6736" s="33" t="s">
        <v>12225</v>
      </c>
      <c r="K6736" s="33" t="s">
        <v>632</v>
      </c>
      <c r="L6736" s="33" t="s">
        <v>693</v>
      </c>
      <c r="M6736" s="33" t="s">
        <v>21</v>
      </c>
      <c r="N6736" s="33" t="s">
        <v>12226</v>
      </c>
      <c r="O6736" s="33" t="s">
        <v>23</v>
      </c>
      <c r="P6736" s="33" t="s">
        <v>30089</v>
      </c>
      <c r="Q6736" s="40" t="s">
        <v>12227</v>
      </c>
      <c r="R6736" s="33" t="s">
        <v>94</v>
      </c>
      <c r="S6736" s="33" t="s">
        <v>22</v>
      </c>
      <c r="T6736" s="1" t="s">
        <v>26781</v>
      </c>
      <c r="Z6736" s="33" t="s">
        <v>42968</v>
      </c>
      <c r="AA6736" s="33">
        <v>924</v>
      </c>
    </row>
    <row r="6737" spans="1:64" ht="12" customHeight="1" x14ac:dyDescent="0.15">
      <c r="A6737" s="33" t="s">
        <v>12235</v>
      </c>
      <c r="B6737" s="33">
        <v>43</v>
      </c>
      <c r="C6737" s="33" t="s">
        <v>103</v>
      </c>
      <c r="D6737" s="33" t="s">
        <v>24</v>
      </c>
      <c r="F6737" s="67">
        <v>41572</v>
      </c>
      <c r="G6737" s="33" t="s">
        <v>12236</v>
      </c>
      <c r="H6737" s="33" t="s">
        <v>3253</v>
      </c>
      <c r="I6737" s="33" t="s">
        <v>63</v>
      </c>
      <c r="J6737" s="33" t="s">
        <v>12237</v>
      </c>
      <c r="K6737" s="33" t="s">
        <v>1203</v>
      </c>
      <c r="L6737" s="33" t="s">
        <v>11441</v>
      </c>
      <c r="M6737" s="33" t="s">
        <v>21</v>
      </c>
      <c r="N6737" s="33" t="s">
        <v>36851</v>
      </c>
      <c r="O6737" s="33" t="s">
        <v>507</v>
      </c>
      <c r="P6737" s="33" t="s">
        <v>30089</v>
      </c>
      <c r="Q6737" s="40" t="s">
        <v>12238</v>
      </c>
      <c r="R6737" s="33" t="s">
        <v>512</v>
      </c>
      <c r="S6737" s="33" t="s">
        <v>22</v>
      </c>
      <c r="T6737" s="1" t="s">
        <v>26781</v>
      </c>
      <c r="Z6737" s="33" t="s">
        <v>42968</v>
      </c>
      <c r="AA6737" s="33">
        <v>922</v>
      </c>
    </row>
    <row r="6738" spans="1:64" ht="12" customHeight="1" x14ac:dyDescent="0.15">
      <c r="A6738" s="33" t="s">
        <v>12239</v>
      </c>
      <c r="B6738" s="33">
        <v>73</v>
      </c>
      <c r="C6738" s="33" t="s">
        <v>14</v>
      </c>
      <c r="D6738" s="33" t="s">
        <v>31</v>
      </c>
      <c r="E6738" s="33" t="s">
        <v>12240</v>
      </c>
      <c r="F6738" s="67">
        <v>41572</v>
      </c>
      <c r="G6738" s="33" t="s">
        <v>12241</v>
      </c>
      <c r="H6738" s="33" t="s">
        <v>12242</v>
      </c>
      <c r="I6738" s="33" t="s">
        <v>56</v>
      </c>
      <c r="J6738" s="33">
        <v>33036</v>
      </c>
      <c r="K6738" s="33" t="s">
        <v>1037</v>
      </c>
      <c r="L6738" s="33" t="s">
        <v>36852</v>
      </c>
      <c r="M6738" s="33" t="s">
        <v>21</v>
      </c>
      <c r="N6738" s="33" t="s">
        <v>12243</v>
      </c>
      <c r="O6738" s="33" t="s">
        <v>507</v>
      </c>
      <c r="P6738" s="33" t="s">
        <v>30089</v>
      </c>
      <c r="Q6738" s="40" t="s">
        <v>12244</v>
      </c>
      <c r="R6738" s="33" t="s">
        <v>94</v>
      </c>
      <c r="S6738" s="33" t="s">
        <v>22</v>
      </c>
      <c r="T6738" s="1" t="s">
        <v>26781</v>
      </c>
      <c r="Z6738" s="33" t="s">
        <v>42968</v>
      </c>
      <c r="AA6738" s="33">
        <v>926</v>
      </c>
    </row>
    <row r="6739" spans="1:64" ht="12" customHeight="1" x14ac:dyDescent="0.15">
      <c r="A6739" s="33" t="s">
        <v>12214</v>
      </c>
      <c r="B6739" s="33">
        <v>30</v>
      </c>
      <c r="C6739" s="33" t="s">
        <v>14</v>
      </c>
      <c r="D6739" s="33" t="s">
        <v>42</v>
      </c>
      <c r="F6739" s="67">
        <v>41572</v>
      </c>
      <c r="G6739" s="33" t="s">
        <v>12215</v>
      </c>
      <c r="H6739" s="33" t="s">
        <v>12216</v>
      </c>
      <c r="I6739" s="33" t="s">
        <v>106</v>
      </c>
      <c r="J6739" s="33" t="s">
        <v>12217</v>
      </c>
      <c r="K6739" s="33" t="s">
        <v>107</v>
      </c>
      <c r="L6739" s="33" t="s">
        <v>12218</v>
      </c>
      <c r="M6739" s="33" t="s">
        <v>21</v>
      </c>
      <c r="N6739" s="33" t="s">
        <v>12219</v>
      </c>
      <c r="O6739" s="33" t="s">
        <v>950</v>
      </c>
      <c r="P6739" s="33" t="s">
        <v>30089</v>
      </c>
      <c r="Q6739" s="40" t="s">
        <v>12220</v>
      </c>
      <c r="R6739" s="33" t="s">
        <v>94</v>
      </c>
      <c r="S6739" s="33" t="s">
        <v>22</v>
      </c>
      <c r="T6739" s="1" t="s">
        <v>26781</v>
      </c>
      <c r="Z6739" s="33" t="s">
        <v>42968</v>
      </c>
      <c r="AA6739" s="33">
        <v>925</v>
      </c>
    </row>
    <row r="6740" spans="1:64" ht="12" customHeight="1" x14ac:dyDescent="0.15">
      <c r="A6740" s="33" t="s">
        <v>12205</v>
      </c>
      <c r="B6740" s="33">
        <v>18</v>
      </c>
      <c r="C6740" s="33" t="s">
        <v>14</v>
      </c>
      <c r="D6740" s="33" t="s">
        <v>79</v>
      </c>
      <c r="F6740" s="67">
        <v>41572</v>
      </c>
      <c r="G6740" s="33" t="s">
        <v>12206</v>
      </c>
      <c r="H6740" s="33" t="s">
        <v>205</v>
      </c>
      <c r="I6740" s="33" t="s">
        <v>338</v>
      </c>
      <c r="J6740" s="33" t="s">
        <v>12207</v>
      </c>
      <c r="K6740" s="33" t="s">
        <v>7811</v>
      </c>
      <c r="L6740" s="33" t="s">
        <v>207</v>
      </c>
      <c r="M6740" s="33" t="s">
        <v>21</v>
      </c>
      <c r="N6740" s="33" t="s">
        <v>12208</v>
      </c>
      <c r="O6740" s="33" t="s">
        <v>507</v>
      </c>
      <c r="P6740" s="33" t="s">
        <v>30089</v>
      </c>
      <c r="Q6740" s="40" t="s">
        <v>12209</v>
      </c>
      <c r="R6740" s="33" t="s">
        <v>94</v>
      </c>
      <c r="S6740" s="33" t="s">
        <v>29</v>
      </c>
      <c r="T6740" s="1" t="s">
        <v>41840</v>
      </c>
      <c r="Z6740" s="33" t="s">
        <v>42966</v>
      </c>
      <c r="AA6740" s="33">
        <v>928</v>
      </c>
    </row>
    <row r="6741" spans="1:64" ht="12" customHeight="1" x14ac:dyDescent="0.15">
      <c r="A6741" s="33" t="s">
        <v>12200</v>
      </c>
      <c r="B6741" s="33">
        <v>34</v>
      </c>
      <c r="C6741" s="33" t="s">
        <v>14</v>
      </c>
      <c r="D6741" s="33" t="s">
        <v>79</v>
      </c>
      <c r="F6741" s="67">
        <v>41572</v>
      </c>
      <c r="G6741" s="33" t="s">
        <v>12201</v>
      </c>
      <c r="H6741" s="33" t="s">
        <v>661</v>
      </c>
      <c r="I6741" s="33" t="s">
        <v>402</v>
      </c>
      <c r="J6741" s="33" t="s">
        <v>12202</v>
      </c>
      <c r="K6741" s="33" t="s">
        <v>661</v>
      </c>
      <c r="L6741" s="33" t="s">
        <v>4162</v>
      </c>
      <c r="M6741" s="33" t="s">
        <v>21</v>
      </c>
      <c r="N6741" s="33" t="s">
        <v>12203</v>
      </c>
      <c r="O6741" s="33" t="s">
        <v>950</v>
      </c>
      <c r="P6741" s="33" t="s">
        <v>30089</v>
      </c>
      <c r="Q6741" s="40" t="s">
        <v>12204</v>
      </c>
      <c r="R6741" s="33" t="s">
        <v>23</v>
      </c>
      <c r="S6741" s="33" t="s">
        <v>22</v>
      </c>
      <c r="T6741" s="1" t="s">
        <v>26781</v>
      </c>
      <c r="Z6741" s="33" t="s">
        <v>42966</v>
      </c>
      <c r="AA6741" s="33">
        <v>923</v>
      </c>
    </row>
    <row r="6742" spans="1:64" ht="12" customHeight="1" x14ac:dyDescent="0.15">
      <c r="A6742" s="33" t="s">
        <v>12228</v>
      </c>
      <c r="B6742" s="33">
        <v>68</v>
      </c>
      <c r="C6742" s="33" t="s">
        <v>14</v>
      </c>
      <c r="D6742" s="33" t="s">
        <v>24</v>
      </c>
      <c r="F6742" s="67">
        <v>41572</v>
      </c>
      <c r="G6742" s="33" t="s">
        <v>12229</v>
      </c>
      <c r="H6742" s="33" t="s">
        <v>12230</v>
      </c>
      <c r="I6742" s="33" t="s">
        <v>56</v>
      </c>
      <c r="J6742" s="33" t="s">
        <v>12231</v>
      </c>
      <c r="K6742" s="33" t="s">
        <v>2152</v>
      </c>
      <c r="L6742" s="33" t="s">
        <v>12232</v>
      </c>
      <c r="M6742" s="33" t="s">
        <v>21</v>
      </c>
      <c r="N6742" s="33" t="s">
        <v>12233</v>
      </c>
      <c r="O6742" s="33" t="s">
        <v>950</v>
      </c>
      <c r="P6742" s="33" t="s">
        <v>30089</v>
      </c>
      <c r="Q6742" s="40" t="s">
        <v>12234</v>
      </c>
      <c r="R6742" s="33" t="s">
        <v>23</v>
      </c>
      <c r="S6742" s="33" t="s">
        <v>22</v>
      </c>
      <c r="T6742" s="1" t="s">
        <v>26774</v>
      </c>
      <c r="Z6742" s="33" t="s">
        <v>42968</v>
      </c>
      <c r="AA6742" s="33">
        <v>927</v>
      </c>
    </row>
    <row r="6743" spans="1:64" ht="12" customHeight="1" x14ac:dyDescent="0.15">
      <c r="A6743" s="33" t="s">
        <v>12210</v>
      </c>
      <c r="B6743" s="33">
        <v>20</v>
      </c>
      <c r="C6743" s="33" t="s">
        <v>14</v>
      </c>
      <c r="D6743" s="33" t="s">
        <v>79</v>
      </c>
      <c r="F6743" s="67">
        <v>41572</v>
      </c>
      <c r="G6743" s="33" t="s">
        <v>12211</v>
      </c>
      <c r="H6743" s="33" t="s">
        <v>205</v>
      </c>
      <c r="I6743" s="33" t="s">
        <v>338</v>
      </c>
      <c r="J6743" s="33" t="s">
        <v>12207</v>
      </c>
      <c r="K6743" s="33" t="s">
        <v>7811</v>
      </c>
      <c r="L6743" s="33" t="s">
        <v>207</v>
      </c>
      <c r="M6743" s="33" t="s">
        <v>21</v>
      </c>
      <c r="N6743" s="33" t="s">
        <v>12212</v>
      </c>
      <c r="O6743" s="33" t="s">
        <v>507</v>
      </c>
      <c r="P6743" s="33" t="s">
        <v>30089</v>
      </c>
      <c r="Q6743" s="40" t="s">
        <v>12213</v>
      </c>
      <c r="R6743" s="33" t="s">
        <v>94</v>
      </c>
      <c r="S6743" s="33" t="s">
        <v>29</v>
      </c>
      <c r="T6743" s="1" t="s">
        <v>41840</v>
      </c>
      <c r="Z6743" s="33" t="s">
        <v>42966</v>
      </c>
      <c r="AA6743" s="33">
        <v>929</v>
      </c>
    </row>
    <row r="6744" spans="1:64" ht="12" customHeight="1" x14ac:dyDescent="0.15">
      <c r="A6744" s="33" t="s">
        <v>12249</v>
      </c>
      <c r="B6744" s="33">
        <v>22</v>
      </c>
      <c r="C6744" s="33" t="s">
        <v>14</v>
      </c>
      <c r="D6744" s="33" t="s">
        <v>79</v>
      </c>
      <c r="E6744" s="33" t="s">
        <v>12250</v>
      </c>
      <c r="F6744" s="67">
        <v>41571</v>
      </c>
      <c r="G6744" s="33" t="s">
        <v>12251</v>
      </c>
      <c r="H6744" s="33" t="s">
        <v>674</v>
      </c>
      <c r="I6744" s="33" t="s">
        <v>67</v>
      </c>
      <c r="J6744" s="33">
        <v>77051</v>
      </c>
      <c r="K6744" s="33" t="s">
        <v>515</v>
      </c>
      <c r="L6744" s="33" t="s">
        <v>675</v>
      </c>
      <c r="M6744" s="33" t="s">
        <v>21</v>
      </c>
      <c r="N6744" s="33" t="s">
        <v>12252</v>
      </c>
      <c r="O6744" s="33" t="s">
        <v>23</v>
      </c>
      <c r="P6744" s="33" t="s">
        <v>30089</v>
      </c>
      <c r="Q6744" s="40" t="s">
        <v>12253</v>
      </c>
      <c r="R6744" s="33" t="s">
        <v>94</v>
      </c>
      <c r="S6744" s="33" t="s">
        <v>22</v>
      </c>
      <c r="T6744" s="1" t="s">
        <v>42987</v>
      </c>
      <c r="Z6744" s="33" t="s">
        <v>42966</v>
      </c>
      <c r="AA6744" s="33">
        <v>919</v>
      </c>
    </row>
    <row r="6745" spans="1:64" ht="12" customHeight="1" x14ac:dyDescent="0.15">
      <c r="A6745" s="63" t="s">
        <v>5955</v>
      </c>
      <c r="B6745" s="99">
        <v>22</v>
      </c>
      <c r="C6745" s="10" t="s">
        <v>14</v>
      </c>
      <c r="D6745" s="10" t="s">
        <v>42</v>
      </c>
      <c r="E6745" s="62" t="s">
        <v>5956</v>
      </c>
      <c r="F6745" s="67">
        <v>41571</v>
      </c>
      <c r="G6745" s="10" t="s">
        <v>5957</v>
      </c>
      <c r="H6745" s="10" t="s">
        <v>5958</v>
      </c>
      <c r="I6745" s="10" t="s">
        <v>178</v>
      </c>
      <c r="J6745" s="65">
        <v>87532</v>
      </c>
      <c r="K6745" s="10" t="s">
        <v>5959</v>
      </c>
      <c r="L6745" s="10" t="s">
        <v>2847</v>
      </c>
      <c r="M6745" s="10" t="s">
        <v>21</v>
      </c>
      <c r="N6745" s="10" t="s">
        <v>5960</v>
      </c>
      <c r="O6745" s="10" t="s">
        <v>507</v>
      </c>
      <c r="P6745" s="10" t="s">
        <v>30089</v>
      </c>
      <c r="Q6745" s="62" t="s">
        <v>5961</v>
      </c>
      <c r="R6745" s="10" t="s">
        <v>94</v>
      </c>
      <c r="S6745" s="33" t="s">
        <v>22</v>
      </c>
      <c r="T6745" s="33" t="s">
        <v>26781</v>
      </c>
      <c r="U6745" s="10"/>
      <c r="V6745" s="10"/>
      <c r="W6745" s="10"/>
      <c r="X6745" s="89"/>
      <c r="Y6745" s="68"/>
      <c r="Z6745" s="68" t="s">
        <v>42967</v>
      </c>
      <c r="AA6745" s="33">
        <v>917</v>
      </c>
      <c r="AE6745" s="33"/>
      <c r="AG6745" s="68"/>
      <c r="AK6745" s="68"/>
      <c r="AL6745" s="68"/>
      <c r="AM6745" s="68"/>
      <c r="AN6745" s="68"/>
      <c r="AO6745" s="68"/>
      <c r="AP6745" s="68"/>
      <c r="AQ6745" s="68"/>
      <c r="AR6745" s="68"/>
      <c r="AS6745" s="68"/>
      <c r="AT6745" s="68"/>
      <c r="AU6745" s="68"/>
      <c r="AV6745" s="68"/>
      <c r="AW6745" s="68"/>
      <c r="AX6745" s="68"/>
      <c r="AY6745" s="68"/>
      <c r="AZ6745" s="68"/>
      <c r="BA6745" s="68"/>
      <c r="BB6745" s="68"/>
      <c r="BC6745" s="68"/>
      <c r="BD6745" s="68"/>
      <c r="BE6745" s="68"/>
      <c r="BF6745" s="68"/>
      <c r="BG6745" s="68"/>
      <c r="BH6745" s="68"/>
      <c r="BI6745" s="68"/>
      <c r="BJ6745" s="68"/>
      <c r="BK6745" s="68"/>
      <c r="BL6745" s="68"/>
    </row>
    <row r="6746" spans="1:64" ht="12" customHeight="1" x14ac:dyDescent="0.15">
      <c r="A6746" s="33" t="s">
        <v>12245</v>
      </c>
      <c r="B6746" s="33">
        <v>60</v>
      </c>
      <c r="C6746" s="33" t="s">
        <v>103</v>
      </c>
      <c r="D6746" s="33" t="s">
        <v>79</v>
      </c>
      <c r="E6746" s="33" t="s">
        <v>12246</v>
      </c>
      <c r="F6746" s="67">
        <v>41571</v>
      </c>
      <c r="G6746" s="33" t="s">
        <v>22205</v>
      </c>
      <c r="H6746" s="33" t="s">
        <v>81</v>
      </c>
      <c r="I6746" s="33" t="s">
        <v>38</v>
      </c>
      <c r="J6746" s="33">
        <v>60628</v>
      </c>
      <c r="K6746" s="33" t="s">
        <v>82</v>
      </c>
      <c r="L6746" s="33" t="s">
        <v>83</v>
      </c>
      <c r="M6746" s="33" t="s">
        <v>21</v>
      </c>
      <c r="N6746" s="33" t="s">
        <v>12247</v>
      </c>
      <c r="O6746" s="33" t="s">
        <v>23</v>
      </c>
      <c r="P6746" s="33" t="s">
        <v>30089</v>
      </c>
      <c r="Q6746" s="40" t="s">
        <v>12248</v>
      </c>
      <c r="R6746" s="33" t="s">
        <v>23</v>
      </c>
      <c r="S6746" s="33" t="s">
        <v>22</v>
      </c>
      <c r="T6746" s="1" t="s">
        <v>26774</v>
      </c>
      <c r="Z6746" s="33" t="s">
        <v>42966</v>
      </c>
      <c r="AA6746" s="33">
        <v>918</v>
      </c>
    </row>
    <row r="6747" spans="1:64" ht="12" customHeight="1" x14ac:dyDescent="0.15">
      <c r="A6747" s="33" t="s">
        <v>12261</v>
      </c>
      <c r="B6747" s="33">
        <v>32</v>
      </c>
      <c r="C6747" s="33" t="s">
        <v>14</v>
      </c>
      <c r="D6747" s="33" t="s">
        <v>31</v>
      </c>
      <c r="E6747" s="33" t="s">
        <v>12262</v>
      </c>
      <c r="F6747" s="67">
        <v>41571</v>
      </c>
      <c r="G6747" s="33" t="s">
        <v>12263</v>
      </c>
      <c r="H6747" s="33" t="s">
        <v>12264</v>
      </c>
      <c r="I6747" s="33" t="s">
        <v>39</v>
      </c>
      <c r="J6747" s="33" t="s">
        <v>12265</v>
      </c>
      <c r="K6747" s="33" t="s">
        <v>896</v>
      </c>
      <c r="L6747" s="33" t="s">
        <v>36853</v>
      </c>
      <c r="M6747" s="33" t="s">
        <v>21</v>
      </c>
      <c r="N6747" s="33" t="s">
        <v>36854</v>
      </c>
      <c r="O6747" s="33" t="s">
        <v>23</v>
      </c>
      <c r="P6747" s="33" t="s">
        <v>30089</v>
      </c>
      <c r="Q6747" s="40" t="s">
        <v>12266</v>
      </c>
      <c r="R6747" s="33" t="s">
        <v>23</v>
      </c>
      <c r="S6747" s="33" t="s">
        <v>29</v>
      </c>
      <c r="T6747" s="33" t="s">
        <v>41840</v>
      </c>
      <c r="Z6747" s="33" t="s">
        <v>42967</v>
      </c>
      <c r="AA6747" s="33">
        <v>921</v>
      </c>
    </row>
    <row r="6748" spans="1:64" ht="12" customHeight="1" x14ac:dyDescent="0.15">
      <c r="A6748" s="33" t="s">
        <v>12254</v>
      </c>
      <c r="B6748" s="33">
        <v>47</v>
      </c>
      <c r="C6748" s="33" t="s">
        <v>14</v>
      </c>
      <c r="D6748" s="33" t="s">
        <v>31</v>
      </c>
      <c r="E6748" s="33" t="s">
        <v>12255</v>
      </c>
      <c r="F6748" s="67">
        <v>41571</v>
      </c>
      <c r="G6748" s="33" t="s">
        <v>12256</v>
      </c>
      <c r="H6748" s="33" t="s">
        <v>1786</v>
      </c>
      <c r="I6748" s="33" t="s">
        <v>160</v>
      </c>
      <c r="J6748" s="33" t="s">
        <v>12257</v>
      </c>
      <c r="K6748" s="33" t="s">
        <v>1669</v>
      </c>
      <c r="L6748" s="33" t="s">
        <v>12258</v>
      </c>
      <c r="M6748" s="33" t="s">
        <v>21</v>
      </c>
      <c r="N6748" s="33" t="s">
        <v>12259</v>
      </c>
      <c r="O6748" s="33" t="s">
        <v>4311</v>
      </c>
      <c r="P6748" s="33" t="s">
        <v>30089</v>
      </c>
      <c r="Q6748" s="40" t="s">
        <v>12260</v>
      </c>
      <c r="R6748" s="33" t="s">
        <v>94</v>
      </c>
      <c r="S6748" s="33" t="s">
        <v>12</v>
      </c>
      <c r="T6748" s="54" t="s">
        <v>29705</v>
      </c>
      <c r="Z6748" s="33" t="e">
        <v>#N/A</v>
      </c>
      <c r="AA6748" s="33">
        <v>920</v>
      </c>
    </row>
    <row r="6749" spans="1:64" ht="12" customHeight="1" x14ac:dyDescent="0.15">
      <c r="A6749" s="33" t="s">
        <v>12274</v>
      </c>
      <c r="B6749" s="33">
        <v>28</v>
      </c>
      <c r="C6749" s="33" t="s">
        <v>14</v>
      </c>
      <c r="D6749" s="33" t="s">
        <v>31</v>
      </c>
      <c r="E6749" s="33" t="s">
        <v>12275</v>
      </c>
      <c r="F6749" s="67">
        <v>41570</v>
      </c>
      <c r="G6749" s="33" t="s">
        <v>12276</v>
      </c>
      <c r="H6749" s="33" t="s">
        <v>11404</v>
      </c>
      <c r="I6749" s="33" t="s">
        <v>35</v>
      </c>
      <c r="J6749" s="33" t="s">
        <v>12277</v>
      </c>
      <c r="K6749" s="33" t="s">
        <v>3298</v>
      </c>
      <c r="L6749" s="33" t="s">
        <v>37</v>
      </c>
      <c r="M6749" s="33" t="s">
        <v>21</v>
      </c>
      <c r="N6749" s="33" t="s">
        <v>12278</v>
      </c>
      <c r="O6749" s="33" t="s">
        <v>507</v>
      </c>
      <c r="P6749" s="33" t="s">
        <v>30089</v>
      </c>
      <c r="Q6749" s="40" t="s">
        <v>12279</v>
      </c>
      <c r="R6749" s="33" t="s">
        <v>94</v>
      </c>
      <c r="S6749" s="33" t="s">
        <v>22</v>
      </c>
      <c r="T6749" s="1" t="s">
        <v>26774</v>
      </c>
      <c r="Z6749" s="33" t="s">
        <v>42968</v>
      </c>
      <c r="AA6749" s="33">
        <v>916</v>
      </c>
    </row>
    <row r="6750" spans="1:64" ht="12" customHeight="1" x14ac:dyDescent="0.15">
      <c r="A6750" s="33" t="s">
        <v>12267</v>
      </c>
      <c r="B6750" s="103">
        <v>46</v>
      </c>
      <c r="C6750" s="33" t="s">
        <v>14</v>
      </c>
      <c r="D6750" s="33" t="s">
        <v>24</v>
      </c>
      <c r="F6750" s="67">
        <v>41570</v>
      </c>
      <c r="G6750" s="33" t="s">
        <v>12268</v>
      </c>
      <c r="H6750" s="33" t="s">
        <v>12269</v>
      </c>
      <c r="I6750" s="33" t="s">
        <v>250</v>
      </c>
      <c r="J6750" s="33" t="s">
        <v>12270</v>
      </c>
      <c r="K6750" s="33" t="s">
        <v>4965</v>
      </c>
      <c r="L6750" s="33" t="s">
        <v>12271</v>
      </c>
      <c r="M6750" s="33" t="s">
        <v>21</v>
      </c>
      <c r="N6750" s="33" t="s">
        <v>12272</v>
      </c>
      <c r="O6750" s="33" t="s">
        <v>23</v>
      </c>
      <c r="P6750" s="33" t="s">
        <v>30089</v>
      </c>
      <c r="Q6750" s="40" t="s">
        <v>12273</v>
      </c>
      <c r="R6750" s="33" t="s">
        <v>23</v>
      </c>
      <c r="S6750" s="33" t="s">
        <v>22</v>
      </c>
      <c r="T6750" s="1" t="s">
        <v>26781</v>
      </c>
      <c r="Z6750" s="33" t="s">
        <v>42967</v>
      </c>
      <c r="AA6750" s="33">
        <v>914</v>
      </c>
    </row>
    <row r="6751" spans="1:64" ht="12" customHeight="1" x14ac:dyDescent="0.15">
      <c r="A6751" s="33" t="s">
        <v>12280</v>
      </c>
      <c r="B6751" s="103">
        <v>27</v>
      </c>
      <c r="C6751" s="33" t="s">
        <v>14</v>
      </c>
      <c r="D6751" s="33" t="s">
        <v>31</v>
      </c>
      <c r="E6751" s="33" t="s">
        <v>12281</v>
      </c>
      <c r="F6751" s="67">
        <v>41570</v>
      </c>
      <c r="G6751" s="33" t="s">
        <v>12282</v>
      </c>
      <c r="H6751" s="33" t="s">
        <v>12283</v>
      </c>
      <c r="I6751" s="33" t="s">
        <v>122</v>
      </c>
      <c r="J6751" s="33" t="s">
        <v>12284</v>
      </c>
      <c r="K6751" s="33" t="s">
        <v>1009</v>
      </c>
      <c r="L6751" s="33" t="s">
        <v>12285</v>
      </c>
      <c r="M6751" s="33" t="s">
        <v>21</v>
      </c>
      <c r="N6751" s="33" t="s">
        <v>12286</v>
      </c>
      <c r="O6751" s="33" t="s">
        <v>507</v>
      </c>
      <c r="P6751" s="33" t="s">
        <v>30089</v>
      </c>
      <c r="Q6751" s="40" t="s">
        <v>12287</v>
      </c>
      <c r="R6751" s="33" t="s">
        <v>94</v>
      </c>
      <c r="S6751" s="33" t="s">
        <v>22</v>
      </c>
      <c r="T6751" s="1" t="s">
        <v>26781</v>
      </c>
      <c r="Z6751" s="33" t="s">
        <v>42968</v>
      </c>
      <c r="AA6751" s="33">
        <v>915</v>
      </c>
    </row>
    <row r="6752" spans="1:64" ht="12" customHeight="1" x14ac:dyDescent="0.15">
      <c r="A6752" s="33" t="s">
        <v>12292</v>
      </c>
      <c r="B6752" s="33">
        <v>25</v>
      </c>
      <c r="C6752" s="33" t="s">
        <v>14</v>
      </c>
      <c r="D6752" s="33" t="s">
        <v>42</v>
      </c>
      <c r="E6752" s="33" t="s">
        <v>12293</v>
      </c>
      <c r="F6752" s="67">
        <v>41569</v>
      </c>
      <c r="G6752" s="33" t="s">
        <v>22206</v>
      </c>
      <c r="H6752" s="33" t="s">
        <v>4268</v>
      </c>
      <c r="I6752" s="33" t="s">
        <v>39</v>
      </c>
      <c r="J6752" s="33" t="s">
        <v>12294</v>
      </c>
      <c r="K6752" s="33" t="s">
        <v>4269</v>
      </c>
      <c r="L6752" s="33" t="s">
        <v>12295</v>
      </c>
      <c r="M6752" s="33" t="s">
        <v>21</v>
      </c>
      <c r="N6752" s="33" t="s">
        <v>12296</v>
      </c>
      <c r="O6752" s="33" t="s">
        <v>507</v>
      </c>
      <c r="P6752" s="33" t="s">
        <v>30089</v>
      </c>
      <c r="Q6752" s="40" t="str">
        <f>HYPERLINK("http://sfappeal.com/2013/10/sf-man-shot-to-death-by-san-mateo-police/","http://sfappeal.com/2013/10/sf-man-shot-to-death-by-san-mateo-police/")</f>
        <v>http://sfappeal.com/2013/10/sf-man-shot-to-death-by-san-mateo-police/</v>
      </c>
      <c r="R6752" s="33" t="s">
        <v>94</v>
      </c>
      <c r="S6752" s="33" t="s">
        <v>12</v>
      </c>
      <c r="T6752" s="54" t="s">
        <v>29705</v>
      </c>
      <c r="Z6752" s="33" t="s">
        <v>42966</v>
      </c>
      <c r="AA6752" s="33">
        <v>913</v>
      </c>
    </row>
    <row r="6753" spans="1:31" ht="12" customHeight="1" x14ac:dyDescent="0.15">
      <c r="A6753" s="33" t="s">
        <v>12303</v>
      </c>
      <c r="B6753" s="33">
        <v>57</v>
      </c>
      <c r="C6753" s="33" t="s">
        <v>14</v>
      </c>
      <c r="D6753" s="33" t="s">
        <v>31</v>
      </c>
      <c r="E6753" s="33" t="s">
        <v>12304</v>
      </c>
      <c r="F6753" s="67">
        <v>41569</v>
      </c>
      <c r="G6753" s="33" t="s">
        <v>12305</v>
      </c>
      <c r="H6753" s="33" t="s">
        <v>1772</v>
      </c>
      <c r="I6753" s="33" t="s">
        <v>56</v>
      </c>
      <c r="J6753" s="33" t="s">
        <v>12306</v>
      </c>
      <c r="K6753" s="33" t="s">
        <v>1774</v>
      </c>
      <c r="L6753" s="33" t="s">
        <v>1775</v>
      </c>
      <c r="M6753" s="33" t="s">
        <v>21</v>
      </c>
      <c r="N6753" s="33" t="s">
        <v>12307</v>
      </c>
      <c r="O6753" s="33" t="s">
        <v>950</v>
      </c>
      <c r="P6753" s="33" t="s">
        <v>30089</v>
      </c>
      <c r="Q6753" s="40" t="s">
        <v>12308</v>
      </c>
      <c r="R6753" s="33" t="s">
        <v>94</v>
      </c>
      <c r="S6753" s="33" t="s">
        <v>22</v>
      </c>
      <c r="T6753" s="1" t="s">
        <v>26781</v>
      </c>
      <c r="Z6753" s="33" t="s">
        <v>42968</v>
      </c>
      <c r="AA6753" s="33">
        <v>910</v>
      </c>
    </row>
    <row r="6754" spans="1:31" ht="12" customHeight="1" x14ac:dyDescent="0.15">
      <c r="A6754" s="33" t="s">
        <v>12288</v>
      </c>
      <c r="B6754" s="33">
        <v>40</v>
      </c>
      <c r="C6754" s="33" t="s">
        <v>14</v>
      </c>
      <c r="D6754" s="33" t="s">
        <v>79</v>
      </c>
      <c r="F6754" s="67">
        <v>41569</v>
      </c>
      <c r="G6754" s="33" t="s">
        <v>12289</v>
      </c>
      <c r="H6754" s="33" t="s">
        <v>81</v>
      </c>
      <c r="I6754" s="33" t="s">
        <v>38</v>
      </c>
      <c r="J6754" s="33" t="s">
        <v>10592</v>
      </c>
      <c r="K6754" s="33" t="s">
        <v>82</v>
      </c>
      <c r="L6754" s="33" t="s">
        <v>83</v>
      </c>
      <c r="M6754" s="33" t="s">
        <v>21</v>
      </c>
      <c r="N6754" s="33" t="s">
        <v>12290</v>
      </c>
      <c r="O6754" s="33" t="s">
        <v>950</v>
      </c>
      <c r="P6754" s="33" t="s">
        <v>30089</v>
      </c>
      <c r="Q6754" s="40" t="s">
        <v>12291</v>
      </c>
      <c r="R6754" s="33" t="s">
        <v>94</v>
      </c>
      <c r="S6754" s="33" t="s">
        <v>22</v>
      </c>
      <c r="T6754" s="1" t="s">
        <v>26774</v>
      </c>
      <c r="Z6754" s="33" t="s">
        <v>42966</v>
      </c>
      <c r="AA6754" s="33">
        <v>911</v>
      </c>
    </row>
    <row r="6755" spans="1:31" ht="12" customHeight="1" x14ac:dyDescent="0.15">
      <c r="A6755" s="33" t="s">
        <v>12297</v>
      </c>
      <c r="B6755" s="33">
        <v>13</v>
      </c>
      <c r="C6755" s="33" t="s">
        <v>14</v>
      </c>
      <c r="D6755" s="33" t="s">
        <v>42</v>
      </c>
      <c r="E6755" s="33" t="s">
        <v>12298</v>
      </c>
      <c r="F6755" s="67">
        <v>41569</v>
      </c>
      <c r="G6755" s="33" t="s">
        <v>12299</v>
      </c>
      <c r="H6755" s="33" t="s">
        <v>2742</v>
      </c>
      <c r="I6755" s="33" t="s">
        <v>39</v>
      </c>
      <c r="J6755" s="33" t="s">
        <v>12300</v>
      </c>
      <c r="K6755" s="33" t="s">
        <v>2469</v>
      </c>
      <c r="L6755" s="33" t="s">
        <v>12301</v>
      </c>
      <c r="M6755" s="33" t="s">
        <v>21</v>
      </c>
      <c r="N6755" s="33" t="s">
        <v>36855</v>
      </c>
      <c r="O6755" s="33" t="s">
        <v>23</v>
      </c>
      <c r="P6755" s="33" t="s">
        <v>30089</v>
      </c>
      <c r="Q6755" s="40" t="s">
        <v>12302</v>
      </c>
      <c r="R6755" s="33" t="s">
        <v>94</v>
      </c>
      <c r="S6755" s="33" t="s">
        <v>12</v>
      </c>
      <c r="T6755" s="33" t="s">
        <v>29425</v>
      </c>
      <c r="Z6755" s="33" t="s">
        <v>42966</v>
      </c>
      <c r="AA6755" s="33">
        <v>912</v>
      </c>
    </row>
    <row r="6756" spans="1:31" ht="12" customHeight="1" x14ac:dyDescent="0.15">
      <c r="A6756" s="33" t="s">
        <v>12322</v>
      </c>
      <c r="B6756" s="103">
        <v>47</v>
      </c>
      <c r="C6756" s="33" t="s">
        <v>14</v>
      </c>
      <c r="D6756" s="33" t="s">
        <v>42</v>
      </c>
      <c r="E6756" s="33" t="s">
        <v>12323</v>
      </c>
      <c r="F6756" s="67">
        <v>41568</v>
      </c>
      <c r="G6756" s="33" t="s">
        <v>12324</v>
      </c>
      <c r="H6756" s="33" t="s">
        <v>12325</v>
      </c>
      <c r="I6756" s="33" t="s">
        <v>39</v>
      </c>
      <c r="J6756" s="33" t="s">
        <v>12326</v>
      </c>
      <c r="K6756" s="33" t="s">
        <v>558</v>
      </c>
      <c r="L6756" s="33" t="s">
        <v>12327</v>
      </c>
      <c r="M6756" s="33" t="s">
        <v>21</v>
      </c>
      <c r="N6756" s="33" t="s">
        <v>12328</v>
      </c>
      <c r="O6756" s="33" t="s">
        <v>23</v>
      </c>
      <c r="P6756" s="33" t="s">
        <v>30089</v>
      </c>
      <c r="Q6756" s="40" t="s">
        <v>12329</v>
      </c>
      <c r="R6756" s="33" t="s">
        <v>94</v>
      </c>
      <c r="S6756" s="33" t="s">
        <v>22</v>
      </c>
      <c r="T6756" s="1" t="s">
        <v>26584</v>
      </c>
      <c r="Z6756" s="33" t="s">
        <v>42968</v>
      </c>
      <c r="AA6756" s="33">
        <v>907</v>
      </c>
    </row>
    <row r="6757" spans="1:31" ht="12" customHeight="1" x14ac:dyDescent="0.15">
      <c r="A6757" s="33" t="s">
        <v>12330</v>
      </c>
      <c r="B6757" s="33">
        <v>55</v>
      </c>
      <c r="C6757" s="33" t="s">
        <v>14</v>
      </c>
      <c r="D6757" s="33" t="s">
        <v>31</v>
      </c>
      <c r="E6757" s="33" t="s">
        <v>12331</v>
      </c>
      <c r="F6757" s="67">
        <v>41568</v>
      </c>
      <c r="G6757" s="33" t="s">
        <v>12332</v>
      </c>
      <c r="H6757" s="33" t="s">
        <v>12333</v>
      </c>
      <c r="I6757" s="33" t="s">
        <v>282</v>
      </c>
      <c r="J6757" s="33" t="s">
        <v>12334</v>
      </c>
      <c r="K6757" s="33" t="s">
        <v>2004</v>
      </c>
      <c r="L6757" s="33" t="s">
        <v>2006</v>
      </c>
      <c r="M6757" s="33" t="s">
        <v>351</v>
      </c>
      <c r="N6757" s="33" t="s">
        <v>12335</v>
      </c>
      <c r="O6757" s="33" t="s">
        <v>507</v>
      </c>
      <c r="P6757" s="33" t="s">
        <v>30089</v>
      </c>
      <c r="Q6757" s="40" t="s">
        <v>12336</v>
      </c>
      <c r="R6757" s="33" t="s">
        <v>904</v>
      </c>
      <c r="S6757" s="33" t="s">
        <v>351</v>
      </c>
      <c r="T6757" s="33" t="s">
        <v>26867</v>
      </c>
      <c r="Z6757" s="33" t="s">
        <v>42967</v>
      </c>
      <c r="AA6757" s="33">
        <v>909</v>
      </c>
    </row>
    <row r="6758" spans="1:31" ht="12" customHeight="1" x14ac:dyDescent="0.15">
      <c r="A6758" s="33" t="s">
        <v>12316</v>
      </c>
      <c r="B6758" s="33">
        <v>30</v>
      </c>
      <c r="C6758" s="33" t="s">
        <v>14</v>
      </c>
      <c r="D6758" s="33" t="s">
        <v>42</v>
      </c>
      <c r="E6758" s="33" t="s">
        <v>12317</v>
      </c>
      <c r="F6758" s="67">
        <v>41568</v>
      </c>
      <c r="G6758" s="33" t="s">
        <v>12318</v>
      </c>
      <c r="H6758" s="33" t="s">
        <v>875</v>
      </c>
      <c r="I6758" s="33" t="s">
        <v>178</v>
      </c>
      <c r="J6758" s="33" t="s">
        <v>12319</v>
      </c>
      <c r="K6758" s="33" t="s">
        <v>12320</v>
      </c>
      <c r="L6758" s="33" t="s">
        <v>2847</v>
      </c>
      <c r="M6758" s="33" t="s">
        <v>21</v>
      </c>
      <c r="N6758" s="33" t="s">
        <v>12321</v>
      </c>
      <c r="O6758" s="33" t="s">
        <v>950</v>
      </c>
      <c r="P6758" s="33" t="s">
        <v>30089</v>
      </c>
      <c r="Q6758" s="40" t="str">
        <f>HYPERLINK("http://www.koat.com/news/fatal-roswell-shootout-caught-on-camera/22577824","http://www.koat.com/news/fatal-roswell-shootout-caught-on-camera/22577824")</f>
        <v>http://www.koat.com/news/fatal-roswell-shootout-caught-on-camera/22577824</v>
      </c>
      <c r="R6758" s="33" t="s">
        <v>94</v>
      </c>
      <c r="S6758" s="33" t="s">
        <v>22</v>
      </c>
      <c r="T6758" s="1" t="s">
        <v>26781</v>
      </c>
      <c r="Z6758" s="33" t="s">
        <v>42968</v>
      </c>
      <c r="AA6758" s="33">
        <v>906</v>
      </c>
    </row>
    <row r="6759" spans="1:31" ht="12" customHeight="1" x14ac:dyDescent="0.15">
      <c r="A6759" s="33" t="s">
        <v>12309</v>
      </c>
      <c r="B6759" s="33">
        <v>42</v>
      </c>
      <c r="C6759" s="33" t="s">
        <v>14</v>
      </c>
      <c r="D6759" s="33" t="s">
        <v>79</v>
      </c>
      <c r="E6759" s="33" t="s">
        <v>12310</v>
      </c>
      <c r="F6759" s="67">
        <v>41568</v>
      </c>
      <c r="G6759" s="33" t="s">
        <v>12311</v>
      </c>
      <c r="H6759" s="33" t="s">
        <v>11065</v>
      </c>
      <c r="I6759" s="33" t="s">
        <v>160</v>
      </c>
      <c r="J6759" s="33" t="s">
        <v>12312</v>
      </c>
      <c r="K6759" s="33" t="s">
        <v>5086</v>
      </c>
      <c r="L6759" s="33" t="s">
        <v>12313</v>
      </c>
      <c r="M6759" s="33" t="s">
        <v>21</v>
      </c>
      <c r="N6759" s="33" t="s">
        <v>12314</v>
      </c>
      <c r="O6759" s="33" t="s">
        <v>507</v>
      </c>
      <c r="P6759" s="33" t="s">
        <v>30089</v>
      </c>
      <c r="Q6759" s="40" t="s">
        <v>12315</v>
      </c>
      <c r="R6759" s="33" t="s">
        <v>94</v>
      </c>
      <c r="S6759" s="33" t="s">
        <v>12</v>
      </c>
      <c r="T6759" s="33" t="s">
        <v>29425</v>
      </c>
      <c r="Z6759" s="33" t="s">
        <v>42967</v>
      </c>
      <c r="AA6759" s="33">
        <v>908</v>
      </c>
    </row>
    <row r="6760" spans="1:31" ht="12" customHeight="1" x14ac:dyDescent="0.15">
      <c r="A6760" s="33" t="s">
        <v>12346</v>
      </c>
      <c r="B6760" s="33">
        <v>41</v>
      </c>
      <c r="C6760" s="33" t="s">
        <v>14</v>
      </c>
      <c r="D6760" s="33" t="s">
        <v>31</v>
      </c>
      <c r="E6760" s="33" t="s">
        <v>12347</v>
      </c>
      <c r="F6760" s="67">
        <v>41567</v>
      </c>
      <c r="G6760" s="33" t="s">
        <v>12348</v>
      </c>
      <c r="H6760" s="33" t="s">
        <v>9751</v>
      </c>
      <c r="I6760" s="33" t="s">
        <v>56</v>
      </c>
      <c r="J6760" s="33" t="s">
        <v>12349</v>
      </c>
      <c r="K6760" s="33" t="s">
        <v>4878</v>
      </c>
      <c r="L6760" s="33" t="s">
        <v>12350</v>
      </c>
      <c r="M6760" s="33" t="s">
        <v>21</v>
      </c>
      <c r="N6760" s="33" t="s">
        <v>12351</v>
      </c>
      <c r="O6760" s="33" t="s">
        <v>23</v>
      </c>
      <c r="P6760" s="33" t="s">
        <v>30089</v>
      </c>
      <c r="Q6760" s="40" t="s">
        <v>12352</v>
      </c>
      <c r="R6760" s="33" t="s">
        <v>94</v>
      </c>
      <c r="S6760" s="33" t="s">
        <v>22</v>
      </c>
      <c r="T6760" s="1" t="s">
        <v>26781</v>
      </c>
      <c r="Z6760" s="33" t="s">
        <v>42966</v>
      </c>
      <c r="AA6760" s="33">
        <v>904</v>
      </c>
    </row>
    <row r="6761" spans="1:31" ht="12" customHeight="1" x14ac:dyDescent="0.15">
      <c r="A6761" s="33" t="s">
        <v>12353</v>
      </c>
      <c r="B6761" s="33">
        <v>53</v>
      </c>
      <c r="C6761" s="33" t="s">
        <v>14</v>
      </c>
      <c r="D6761" s="33" t="s">
        <v>31</v>
      </c>
      <c r="E6761" s="33" t="s">
        <v>12354</v>
      </c>
      <c r="F6761" s="67">
        <v>41567</v>
      </c>
      <c r="G6761" s="33" t="s">
        <v>12355</v>
      </c>
      <c r="H6761" s="33" t="s">
        <v>12356</v>
      </c>
      <c r="I6761" s="33" t="s">
        <v>39</v>
      </c>
      <c r="J6761" s="33" t="s">
        <v>12357</v>
      </c>
      <c r="K6761" s="33" t="s">
        <v>12358</v>
      </c>
      <c r="L6761" s="33" t="s">
        <v>12359</v>
      </c>
      <c r="M6761" s="33" t="s">
        <v>21</v>
      </c>
      <c r="N6761" s="33" t="s">
        <v>12360</v>
      </c>
      <c r="O6761" s="33" t="s">
        <v>507</v>
      </c>
      <c r="P6761" s="33" t="s">
        <v>30089</v>
      </c>
      <c r="Q6761" s="40" t="s">
        <v>12361</v>
      </c>
      <c r="R6761" s="33" t="s">
        <v>512</v>
      </c>
      <c r="S6761" s="33" t="s">
        <v>22</v>
      </c>
      <c r="T6761" s="33" t="s">
        <v>43024</v>
      </c>
      <c r="Z6761" s="33" t="s">
        <v>42967</v>
      </c>
      <c r="AA6761" s="33">
        <v>905</v>
      </c>
      <c r="AE6761" s="33"/>
    </row>
    <row r="6762" spans="1:31" ht="12" customHeight="1" x14ac:dyDescent="0.15">
      <c r="A6762" s="33" t="s">
        <v>12337</v>
      </c>
      <c r="B6762" s="33">
        <v>42</v>
      </c>
      <c r="C6762" s="33" t="s">
        <v>14</v>
      </c>
      <c r="D6762" s="33" t="s">
        <v>79</v>
      </c>
      <c r="F6762" s="67">
        <v>41567</v>
      </c>
      <c r="G6762" s="33" t="s">
        <v>12338</v>
      </c>
      <c r="H6762" s="33" t="s">
        <v>12339</v>
      </c>
      <c r="I6762" s="33" t="s">
        <v>621</v>
      </c>
      <c r="J6762" s="33" t="s">
        <v>12340</v>
      </c>
      <c r="K6762" s="33" t="s">
        <v>12341</v>
      </c>
      <c r="L6762" s="33" t="s">
        <v>12342</v>
      </c>
      <c r="M6762" s="33" t="s">
        <v>21</v>
      </c>
      <c r="N6762" s="33" t="s">
        <v>12343</v>
      </c>
      <c r="O6762" s="33" t="s">
        <v>950</v>
      </c>
      <c r="P6762" s="33" t="s">
        <v>30089</v>
      </c>
      <c r="Q6762" s="40" t="s">
        <v>12344</v>
      </c>
      <c r="R6762" s="33" t="s">
        <v>94</v>
      </c>
      <c r="S6762" s="33" t="s">
        <v>22</v>
      </c>
      <c r="T6762" s="1" t="s">
        <v>26781</v>
      </c>
      <c r="Z6762" s="33" t="s">
        <v>42967</v>
      </c>
      <c r="AA6762" s="33">
        <v>903</v>
      </c>
    </row>
    <row r="6763" spans="1:31" ht="12" customHeight="1" x14ac:dyDescent="0.15">
      <c r="A6763" s="33" t="s">
        <v>12368</v>
      </c>
      <c r="B6763" s="33">
        <v>38</v>
      </c>
      <c r="C6763" s="33" t="s">
        <v>14</v>
      </c>
      <c r="D6763" s="33" t="s">
        <v>42</v>
      </c>
      <c r="F6763" s="67">
        <v>41566</v>
      </c>
      <c r="G6763" s="33" t="s">
        <v>12369</v>
      </c>
      <c r="H6763" s="33" t="s">
        <v>12370</v>
      </c>
      <c r="I6763" s="33" t="s">
        <v>39</v>
      </c>
      <c r="J6763" s="33" t="s">
        <v>10456</v>
      </c>
      <c r="K6763" s="33" t="s">
        <v>143</v>
      </c>
      <c r="L6763" s="33" t="s">
        <v>4359</v>
      </c>
      <c r="M6763" s="33" t="s">
        <v>21</v>
      </c>
      <c r="N6763" s="33" t="s">
        <v>12371</v>
      </c>
      <c r="O6763" s="33" t="s">
        <v>950</v>
      </c>
      <c r="P6763" s="33" t="s">
        <v>30089</v>
      </c>
      <c r="Q6763" s="40" t="s">
        <v>12372</v>
      </c>
      <c r="R6763" s="33" t="s">
        <v>94</v>
      </c>
      <c r="S6763" s="33" t="s">
        <v>351</v>
      </c>
      <c r="T6763" s="1" t="s">
        <v>42983</v>
      </c>
      <c r="Z6763" s="33" t="s">
        <v>42966</v>
      </c>
      <c r="AA6763" s="33">
        <v>901</v>
      </c>
    </row>
    <row r="6764" spans="1:31" ht="12" customHeight="1" x14ac:dyDescent="0.15">
      <c r="A6764" s="33" t="s">
        <v>3002</v>
      </c>
      <c r="B6764" s="33" t="s">
        <v>23</v>
      </c>
      <c r="C6764" s="33" t="s">
        <v>14</v>
      </c>
      <c r="D6764" s="33" t="s">
        <v>24</v>
      </c>
      <c r="F6764" s="67">
        <v>41566</v>
      </c>
      <c r="G6764" s="33" t="s">
        <v>12373</v>
      </c>
      <c r="H6764" s="33" t="s">
        <v>143</v>
      </c>
      <c r="I6764" s="33" t="s">
        <v>39</v>
      </c>
      <c r="J6764" s="33" t="s">
        <v>10456</v>
      </c>
      <c r="K6764" s="33" t="s">
        <v>143</v>
      </c>
      <c r="L6764" s="33" t="s">
        <v>4359</v>
      </c>
      <c r="M6764" s="33" t="s">
        <v>21</v>
      </c>
      <c r="N6764" s="33" t="s">
        <v>12374</v>
      </c>
      <c r="O6764" s="33" t="s">
        <v>4311</v>
      </c>
      <c r="P6764" s="33" t="s">
        <v>30089</v>
      </c>
      <c r="Q6764" s="40" t="s">
        <v>12372</v>
      </c>
      <c r="R6764" s="33" t="s">
        <v>94</v>
      </c>
      <c r="S6764" s="33" t="s">
        <v>351</v>
      </c>
      <c r="T6764" s="1" t="s">
        <v>42983</v>
      </c>
      <c r="Z6764" s="33" t="s">
        <v>42966</v>
      </c>
      <c r="AA6764" s="33">
        <v>902</v>
      </c>
    </row>
    <row r="6765" spans="1:31" ht="12" customHeight="1" x14ac:dyDescent="0.15">
      <c r="A6765" s="33" t="s">
        <v>12362</v>
      </c>
      <c r="B6765" s="33">
        <v>24</v>
      </c>
      <c r="C6765" s="33" t="s">
        <v>14</v>
      </c>
      <c r="D6765" s="33" t="s">
        <v>79</v>
      </c>
      <c r="E6765" s="33" t="s">
        <v>12363</v>
      </c>
      <c r="F6765" s="67">
        <v>41566</v>
      </c>
      <c r="G6765" s="33" t="s">
        <v>12364</v>
      </c>
      <c r="H6765" s="33" t="s">
        <v>5481</v>
      </c>
      <c r="I6765" s="33" t="s">
        <v>63</v>
      </c>
      <c r="J6765" s="33" t="s">
        <v>12365</v>
      </c>
      <c r="K6765" s="33" t="s">
        <v>1185</v>
      </c>
      <c r="L6765" s="33" t="s">
        <v>12366</v>
      </c>
      <c r="M6765" s="33" t="s">
        <v>21</v>
      </c>
      <c r="N6765" s="33" t="s">
        <v>36856</v>
      </c>
      <c r="O6765" s="33" t="s">
        <v>950</v>
      </c>
      <c r="P6765" s="33" t="s">
        <v>30089</v>
      </c>
      <c r="Q6765" s="40" t="s">
        <v>12367</v>
      </c>
      <c r="R6765" s="33" t="s">
        <v>94</v>
      </c>
      <c r="S6765" s="33" t="s">
        <v>22</v>
      </c>
      <c r="T6765" s="1" t="s">
        <v>26781</v>
      </c>
      <c r="Z6765" s="33" t="s">
        <v>42966</v>
      </c>
      <c r="AA6765" s="33">
        <v>900</v>
      </c>
    </row>
    <row r="6766" spans="1:31" ht="12" customHeight="1" x14ac:dyDescent="0.15">
      <c r="A6766" s="33" t="s">
        <v>12385</v>
      </c>
      <c r="B6766" s="33">
        <v>25</v>
      </c>
      <c r="C6766" s="33" t="s">
        <v>14</v>
      </c>
      <c r="D6766" s="33" t="s">
        <v>31</v>
      </c>
      <c r="E6766" s="33" t="s">
        <v>12386</v>
      </c>
      <c r="F6766" s="67">
        <v>41565</v>
      </c>
      <c r="G6766" s="33" t="s">
        <v>12387</v>
      </c>
      <c r="H6766" s="33" t="s">
        <v>1632</v>
      </c>
      <c r="I6766" s="33" t="s">
        <v>39</v>
      </c>
      <c r="J6766" s="33" t="s">
        <v>1633</v>
      </c>
      <c r="K6766" s="33" t="s">
        <v>1088</v>
      </c>
      <c r="L6766" s="33" t="s">
        <v>1634</v>
      </c>
      <c r="M6766" s="33" t="s">
        <v>21</v>
      </c>
      <c r="N6766" s="33" t="s">
        <v>12388</v>
      </c>
      <c r="O6766" s="33" t="s">
        <v>950</v>
      </c>
      <c r="P6766" s="33" t="s">
        <v>30089</v>
      </c>
      <c r="Q6766" s="40" t="s">
        <v>12389</v>
      </c>
      <c r="R6766" s="33" t="s">
        <v>512</v>
      </c>
      <c r="S6766" s="33" t="s">
        <v>22</v>
      </c>
      <c r="T6766" s="1" t="s">
        <v>26774</v>
      </c>
      <c r="Z6766" s="33" t="s">
        <v>42968</v>
      </c>
      <c r="AA6766" s="33">
        <v>898</v>
      </c>
    </row>
    <row r="6767" spans="1:31" ht="12" customHeight="1" x14ac:dyDescent="0.15">
      <c r="A6767" s="33" t="s">
        <v>12380</v>
      </c>
      <c r="B6767" s="33">
        <v>44</v>
      </c>
      <c r="C6767" s="33" t="s">
        <v>14</v>
      </c>
      <c r="D6767" s="33" t="s">
        <v>42</v>
      </c>
      <c r="F6767" s="67">
        <v>41565</v>
      </c>
      <c r="G6767" s="33" t="s">
        <v>12381</v>
      </c>
      <c r="H6767" s="33" t="s">
        <v>81</v>
      </c>
      <c r="I6767" s="33" t="s">
        <v>38</v>
      </c>
      <c r="J6767" s="33" t="s">
        <v>12382</v>
      </c>
      <c r="K6767" s="33" t="s">
        <v>82</v>
      </c>
      <c r="L6767" s="33" t="s">
        <v>83</v>
      </c>
      <c r="M6767" s="33" t="s">
        <v>21</v>
      </c>
      <c r="N6767" s="33" t="s">
        <v>12383</v>
      </c>
      <c r="O6767" s="33" t="s">
        <v>4311</v>
      </c>
      <c r="P6767" s="33" t="s">
        <v>30089</v>
      </c>
      <c r="Q6767" s="40" t="s">
        <v>12384</v>
      </c>
      <c r="R6767" s="33" t="s">
        <v>94</v>
      </c>
      <c r="S6767" s="33" t="s">
        <v>22</v>
      </c>
      <c r="T6767" s="1" t="s">
        <v>26774</v>
      </c>
      <c r="Z6767" s="33" t="s">
        <v>42966</v>
      </c>
      <c r="AA6767" s="33">
        <v>897</v>
      </c>
    </row>
    <row r="6768" spans="1:31" ht="12" customHeight="1" x14ac:dyDescent="0.15">
      <c r="A6768" s="33" t="s">
        <v>12375</v>
      </c>
      <c r="B6768" s="33">
        <v>33</v>
      </c>
      <c r="C6768" s="33" t="s">
        <v>14</v>
      </c>
      <c r="D6768" s="33" t="s">
        <v>79</v>
      </c>
      <c r="F6768" s="67">
        <v>41565</v>
      </c>
      <c r="G6768" s="33" t="s">
        <v>12376</v>
      </c>
      <c r="H6768" s="33" t="s">
        <v>45</v>
      </c>
      <c r="I6768" s="33" t="s">
        <v>26</v>
      </c>
      <c r="J6768" s="33" t="s">
        <v>12377</v>
      </c>
      <c r="K6768" s="33" t="s">
        <v>2402</v>
      </c>
      <c r="L6768" s="33" t="s">
        <v>10058</v>
      </c>
      <c r="M6768" s="33" t="s">
        <v>21</v>
      </c>
      <c r="N6768" s="33" t="s">
        <v>12378</v>
      </c>
      <c r="O6768" s="33" t="s">
        <v>4311</v>
      </c>
      <c r="P6768" s="33" t="s">
        <v>30089</v>
      </c>
      <c r="Q6768" s="40" t="s">
        <v>12379</v>
      </c>
      <c r="R6768" s="33" t="s">
        <v>94</v>
      </c>
      <c r="S6768" s="33" t="s">
        <v>351</v>
      </c>
      <c r="T6768" s="1" t="s">
        <v>42983</v>
      </c>
      <c r="Z6768" s="33" t="s">
        <v>42968</v>
      </c>
      <c r="AA6768" s="33">
        <v>899</v>
      </c>
    </row>
    <row r="6769" spans="1:64" ht="12" customHeight="1" x14ac:dyDescent="0.15">
      <c r="A6769" s="33" t="s">
        <v>12390</v>
      </c>
      <c r="B6769" s="33">
        <v>40</v>
      </c>
      <c r="C6769" s="33" t="s">
        <v>14</v>
      </c>
      <c r="D6769" s="33" t="s">
        <v>79</v>
      </c>
      <c r="F6769" s="67">
        <v>41564</v>
      </c>
      <c r="G6769" s="33" t="s">
        <v>12391</v>
      </c>
      <c r="H6769" s="33" t="s">
        <v>1487</v>
      </c>
      <c r="I6769" s="33" t="s">
        <v>46</v>
      </c>
      <c r="J6769" s="33" t="s">
        <v>11014</v>
      </c>
      <c r="K6769" s="33" t="s">
        <v>4324</v>
      </c>
      <c r="L6769" s="33" t="s">
        <v>2556</v>
      </c>
      <c r="M6769" s="33" t="s">
        <v>21</v>
      </c>
      <c r="N6769" s="33" t="s">
        <v>36857</v>
      </c>
      <c r="O6769" s="33" t="s">
        <v>12392</v>
      </c>
      <c r="P6769" s="33" t="s">
        <v>30089</v>
      </c>
      <c r="Q6769" s="40" t="s">
        <v>12393</v>
      </c>
      <c r="R6769" s="33" t="s">
        <v>94</v>
      </c>
      <c r="S6769" s="33" t="s">
        <v>351</v>
      </c>
      <c r="T6769" s="1" t="s">
        <v>42983</v>
      </c>
      <c r="Z6769" s="33" t="s">
        <v>42966</v>
      </c>
      <c r="AA6769" s="33">
        <v>896</v>
      </c>
    </row>
    <row r="6770" spans="1:64" ht="12" customHeight="1" x14ac:dyDescent="0.15">
      <c r="A6770" s="63" t="s">
        <v>42614</v>
      </c>
      <c r="B6770" s="99">
        <v>36</v>
      </c>
      <c r="C6770" s="10" t="s">
        <v>14</v>
      </c>
      <c r="D6770" s="10" t="s">
        <v>42</v>
      </c>
      <c r="E6770" s="10"/>
      <c r="F6770" s="67">
        <v>41564</v>
      </c>
      <c r="G6770" s="10" t="s">
        <v>42615</v>
      </c>
      <c r="H6770" s="10" t="s">
        <v>197</v>
      </c>
      <c r="I6770" s="10" t="s">
        <v>198</v>
      </c>
      <c r="J6770" s="65">
        <v>46224</v>
      </c>
      <c r="K6770" s="10" t="s">
        <v>392</v>
      </c>
      <c r="L6770" s="10" t="s">
        <v>12394</v>
      </c>
      <c r="M6770" s="10" t="s">
        <v>21</v>
      </c>
      <c r="N6770" s="10" t="s">
        <v>12395</v>
      </c>
      <c r="O6770" s="10" t="s">
        <v>372</v>
      </c>
      <c r="P6770" s="10" t="s">
        <v>30089</v>
      </c>
      <c r="Q6770" s="62" t="s">
        <v>12396</v>
      </c>
      <c r="R6770" s="10" t="s">
        <v>94</v>
      </c>
      <c r="S6770" s="10" t="s">
        <v>22</v>
      </c>
      <c r="T6770" s="1" t="s">
        <v>26781</v>
      </c>
      <c r="U6770" s="10"/>
      <c r="V6770" s="10"/>
      <c r="W6770" s="10"/>
      <c r="X6770" s="89"/>
      <c r="Y6770" s="68"/>
      <c r="Z6770" s="68" t="s">
        <v>42968</v>
      </c>
      <c r="AA6770" s="33">
        <v>894</v>
      </c>
      <c r="AG6770" s="68"/>
      <c r="AK6770" s="68"/>
      <c r="AL6770" s="68"/>
      <c r="AM6770" s="68"/>
      <c r="AN6770" s="68"/>
      <c r="AO6770" s="68"/>
      <c r="AP6770" s="68"/>
      <c r="AQ6770" s="68"/>
      <c r="AR6770" s="68"/>
      <c r="AS6770" s="68"/>
      <c r="AT6770" s="68"/>
      <c r="AU6770" s="68"/>
      <c r="AV6770" s="68"/>
      <c r="AW6770" s="68"/>
      <c r="AX6770" s="68"/>
      <c r="AY6770" s="68"/>
      <c r="AZ6770" s="68"/>
      <c r="BA6770" s="68"/>
      <c r="BB6770" s="68"/>
      <c r="BC6770" s="68"/>
      <c r="BD6770" s="68"/>
      <c r="BE6770" s="68"/>
      <c r="BF6770" s="68"/>
      <c r="BG6770" s="68"/>
      <c r="BH6770" s="68"/>
      <c r="BI6770" s="68"/>
      <c r="BJ6770" s="68"/>
      <c r="BK6770" s="68"/>
      <c r="BL6770" s="68"/>
    </row>
    <row r="6771" spans="1:64" ht="12" customHeight="1" x14ac:dyDescent="0.15">
      <c r="A6771" s="33" t="s">
        <v>12397</v>
      </c>
      <c r="B6771" s="33">
        <v>31</v>
      </c>
      <c r="C6771" s="33" t="s">
        <v>14</v>
      </c>
      <c r="D6771" s="33" t="s">
        <v>31</v>
      </c>
      <c r="E6771" s="33" t="s">
        <v>12398</v>
      </c>
      <c r="F6771" s="67">
        <v>41564</v>
      </c>
      <c r="G6771" s="33" t="s">
        <v>12399</v>
      </c>
      <c r="H6771" s="33" t="s">
        <v>2150</v>
      </c>
      <c r="I6771" s="33" t="s">
        <v>56</v>
      </c>
      <c r="J6771" s="33" t="s">
        <v>12400</v>
      </c>
      <c r="K6771" s="33" t="s">
        <v>2152</v>
      </c>
      <c r="L6771" s="33" t="s">
        <v>12747</v>
      </c>
      <c r="M6771" s="33" t="s">
        <v>21</v>
      </c>
      <c r="N6771" s="33" t="s">
        <v>12401</v>
      </c>
      <c r="O6771" s="33" t="s">
        <v>507</v>
      </c>
      <c r="P6771" s="33" t="s">
        <v>30089</v>
      </c>
      <c r="Q6771" s="40" t="s">
        <v>12402</v>
      </c>
      <c r="R6771" s="33" t="s">
        <v>94</v>
      </c>
      <c r="S6771" s="33" t="s">
        <v>22</v>
      </c>
      <c r="T6771" s="1" t="s">
        <v>26781</v>
      </c>
      <c r="Z6771" s="33" t="s">
        <v>42966</v>
      </c>
      <c r="AA6771" s="33">
        <v>895</v>
      </c>
    </row>
    <row r="6772" spans="1:64" ht="12" customHeight="1" x14ac:dyDescent="0.15">
      <c r="A6772" s="33" t="s">
        <v>12410</v>
      </c>
      <c r="B6772" s="33">
        <v>35</v>
      </c>
      <c r="C6772" s="33" t="s">
        <v>14</v>
      </c>
      <c r="D6772" s="33" t="s">
        <v>31</v>
      </c>
      <c r="E6772" s="33" t="s">
        <v>12411</v>
      </c>
      <c r="F6772" s="67">
        <v>41563</v>
      </c>
      <c r="G6772" s="33" t="s">
        <v>12412</v>
      </c>
      <c r="H6772" s="33" t="s">
        <v>6560</v>
      </c>
      <c r="I6772" s="33" t="s">
        <v>337</v>
      </c>
      <c r="J6772" s="33" t="s">
        <v>12413</v>
      </c>
      <c r="K6772" s="33" t="s">
        <v>12414</v>
      </c>
      <c r="L6772" s="33" t="s">
        <v>12415</v>
      </c>
      <c r="M6772" s="33" t="s">
        <v>21</v>
      </c>
      <c r="N6772" s="33" t="s">
        <v>12416</v>
      </c>
      <c r="O6772" s="33" t="s">
        <v>4311</v>
      </c>
      <c r="P6772" s="33" t="s">
        <v>30089</v>
      </c>
      <c r="Q6772" s="40" t="s">
        <v>12417</v>
      </c>
      <c r="R6772" s="33" t="s">
        <v>512</v>
      </c>
      <c r="S6772" s="33" t="s">
        <v>22</v>
      </c>
      <c r="T6772" s="1" t="s">
        <v>26781</v>
      </c>
      <c r="Z6772" s="33" t="s">
        <v>42967</v>
      </c>
      <c r="AA6772" s="33">
        <v>893</v>
      </c>
    </row>
    <row r="6773" spans="1:64" ht="12" customHeight="1" x14ac:dyDescent="0.15">
      <c r="A6773" s="33" t="s">
        <v>12403</v>
      </c>
      <c r="B6773" s="33">
        <v>22</v>
      </c>
      <c r="C6773" s="33" t="s">
        <v>14</v>
      </c>
      <c r="D6773" s="33" t="s">
        <v>42</v>
      </c>
      <c r="F6773" s="67">
        <v>41563</v>
      </c>
      <c r="G6773" s="33" t="s">
        <v>22207</v>
      </c>
      <c r="H6773" s="33" t="s">
        <v>12404</v>
      </c>
      <c r="I6773" s="33" t="s">
        <v>282</v>
      </c>
      <c r="J6773" s="33" t="s">
        <v>12405</v>
      </c>
      <c r="K6773" s="33" t="s">
        <v>12406</v>
      </c>
      <c r="L6773" s="33" t="s">
        <v>12407</v>
      </c>
      <c r="M6773" s="33" t="s">
        <v>21</v>
      </c>
      <c r="N6773" s="33" t="s">
        <v>12408</v>
      </c>
      <c r="O6773" s="33" t="s">
        <v>507</v>
      </c>
      <c r="P6773" s="33" t="s">
        <v>30089</v>
      </c>
      <c r="Q6773" s="40" t="s">
        <v>12409</v>
      </c>
      <c r="R6773" s="33" t="s">
        <v>94</v>
      </c>
      <c r="S6773" s="33" t="s">
        <v>22</v>
      </c>
      <c r="T6773" s="1" t="s">
        <v>26781</v>
      </c>
      <c r="Z6773" s="33" t="s">
        <v>42967</v>
      </c>
      <c r="AA6773" s="33">
        <v>892</v>
      </c>
    </row>
    <row r="6774" spans="1:64" ht="12" customHeight="1" x14ac:dyDescent="0.15">
      <c r="A6774" s="33" t="s">
        <v>12428</v>
      </c>
      <c r="B6774" s="33">
        <v>58</v>
      </c>
      <c r="C6774" s="33" t="s">
        <v>14</v>
      </c>
      <c r="D6774" s="33" t="s">
        <v>31</v>
      </c>
      <c r="E6774" s="33" t="s">
        <v>12429</v>
      </c>
      <c r="F6774" s="67">
        <v>41562</v>
      </c>
      <c r="G6774" s="33" t="s">
        <v>12430</v>
      </c>
      <c r="H6774" s="33" t="s">
        <v>430</v>
      </c>
      <c r="I6774" s="33" t="s">
        <v>19</v>
      </c>
      <c r="J6774" s="33" t="s">
        <v>12431</v>
      </c>
      <c r="K6774" s="33" t="s">
        <v>5432</v>
      </c>
      <c r="L6774" s="33" t="s">
        <v>431</v>
      </c>
      <c r="M6774" s="33" t="s">
        <v>21</v>
      </c>
      <c r="N6774" s="33" t="s">
        <v>12432</v>
      </c>
      <c r="O6774" s="33" t="s">
        <v>507</v>
      </c>
      <c r="P6774" s="33" t="s">
        <v>30089</v>
      </c>
      <c r="Q6774" s="40" t="s">
        <v>12433</v>
      </c>
      <c r="R6774" s="33" t="s">
        <v>904</v>
      </c>
      <c r="S6774" s="33" t="s">
        <v>22</v>
      </c>
      <c r="T6774" s="1" t="s">
        <v>26774</v>
      </c>
      <c r="Z6774" s="33" t="s">
        <v>42968</v>
      </c>
      <c r="AA6774" s="33">
        <v>890</v>
      </c>
    </row>
    <row r="6775" spans="1:64" ht="12" customHeight="1" x14ac:dyDescent="0.15">
      <c r="A6775" s="33" t="s">
        <v>12418</v>
      </c>
      <c r="B6775" s="103">
        <v>26</v>
      </c>
      <c r="C6775" s="33" t="s">
        <v>14</v>
      </c>
      <c r="D6775" s="33" t="s">
        <v>79</v>
      </c>
      <c r="E6775" s="33" t="s">
        <v>12419</v>
      </c>
      <c r="F6775" s="67">
        <v>41562</v>
      </c>
      <c r="G6775" s="33" t="s">
        <v>12420</v>
      </c>
      <c r="H6775" s="33" t="s">
        <v>12421</v>
      </c>
      <c r="I6775" s="33" t="s">
        <v>88</v>
      </c>
      <c r="J6775" s="33">
        <v>36027</v>
      </c>
      <c r="K6775" s="33" t="s">
        <v>12422</v>
      </c>
      <c r="L6775" s="33" t="s">
        <v>12423</v>
      </c>
      <c r="M6775" s="33" t="s">
        <v>21</v>
      </c>
      <c r="N6775" s="33" t="s">
        <v>19209</v>
      </c>
      <c r="O6775" s="33" t="s">
        <v>507</v>
      </c>
      <c r="P6775" s="33" t="s">
        <v>30089</v>
      </c>
      <c r="Q6775" s="40" t="s">
        <v>19210</v>
      </c>
      <c r="R6775" s="33" t="s">
        <v>94</v>
      </c>
      <c r="S6775" s="33" t="s">
        <v>351</v>
      </c>
      <c r="T6775" s="1" t="s">
        <v>42983</v>
      </c>
      <c r="Z6775" s="33" t="s">
        <v>42967</v>
      </c>
      <c r="AA6775" s="33">
        <v>891</v>
      </c>
    </row>
    <row r="6776" spans="1:64" ht="12" customHeight="1" x14ac:dyDescent="0.15">
      <c r="A6776" s="33" t="s">
        <v>12424</v>
      </c>
      <c r="B6776" s="103">
        <v>32</v>
      </c>
      <c r="C6776" s="33" t="s">
        <v>14</v>
      </c>
      <c r="D6776" s="33" t="s">
        <v>79</v>
      </c>
      <c r="E6776" s="33" t="s">
        <v>12425</v>
      </c>
      <c r="F6776" s="67">
        <v>41562</v>
      </c>
      <c r="G6776" s="33" t="s">
        <v>12426</v>
      </c>
      <c r="H6776" s="33" t="s">
        <v>1116</v>
      </c>
      <c r="I6776" s="33" t="s">
        <v>298</v>
      </c>
      <c r="J6776" s="33">
        <v>38114</v>
      </c>
      <c r="K6776" s="33" t="s">
        <v>1117</v>
      </c>
      <c r="L6776" s="33" t="s">
        <v>1118</v>
      </c>
      <c r="M6776" s="33" t="s">
        <v>19228</v>
      </c>
      <c r="N6776" s="33" t="s">
        <v>12427</v>
      </c>
      <c r="O6776" s="33" t="s">
        <v>23</v>
      </c>
      <c r="P6776" s="33" t="s">
        <v>30089</v>
      </c>
      <c r="Q6776" s="40" t="str">
        <f>HYPERLINK("http://www.myfoxmemphis.com/story/24329596/medical-examiner-rules-cause-of-death-aaron-dumas","http://www.myfoxmemphis.com/story/24329596/medical-examiner-rules-cause-of-death-aaron-dumas")</f>
        <v>http://www.myfoxmemphis.com/story/24329596/medical-examiner-rules-cause-of-death-aaron-dumas</v>
      </c>
      <c r="R6776" s="33" t="s">
        <v>94</v>
      </c>
      <c r="S6776" s="33" t="s">
        <v>22</v>
      </c>
      <c r="T6776" s="1" t="s">
        <v>26781</v>
      </c>
      <c r="Z6776" s="33" t="s">
        <v>42966</v>
      </c>
      <c r="AA6776" s="33">
        <v>889</v>
      </c>
    </row>
    <row r="6777" spans="1:64" ht="12" customHeight="1" x14ac:dyDescent="0.15">
      <c r="A6777" s="33" t="s">
        <v>12440</v>
      </c>
      <c r="B6777" s="33">
        <v>83</v>
      </c>
      <c r="C6777" s="33" t="s">
        <v>14</v>
      </c>
      <c r="D6777" s="33" t="s">
        <v>31</v>
      </c>
      <c r="E6777" s="33" t="s">
        <v>12441</v>
      </c>
      <c r="F6777" s="67">
        <v>41561</v>
      </c>
      <c r="G6777" s="33" t="s">
        <v>12442</v>
      </c>
      <c r="H6777" s="33" t="s">
        <v>12443</v>
      </c>
      <c r="I6777" s="33" t="s">
        <v>88</v>
      </c>
      <c r="J6777" s="33" t="s">
        <v>12444</v>
      </c>
      <c r="K6777" s="33" t="s">
        <v>12445</v>
      </c>
      <c r="L6777" s="33" t="s">
        <v>12446</v>
      </c>
      <c r="M6777" s="33" t="s">
        <v>21</v>
      </c>
      <c r="N6777" s="33" t="s">
        <v>12447</v>
      </c>
      <c r="O6777" s="33" t="s">
        <v>507</v>
      </c>
      <c r="P6777" s="33" t="s">
        <v>30089</v>
      </c>
      <c r="Q6777" s="40" t="s">
        <v>12448</v>
      </c>
      <c r="R6777" s="33" t="s">
        <v>512</v>
      </c>
      <c r="S6777" s="33" t="s">
        <v>22</v>
      </c>
      <c r="T6777" s="1" t="s">
        <v>26781</v>
      </c>
      <c r="Z6777" s="33" t="s">
        <v>42967</v>
      </c>
      <c r="AA6777" s="33">
        <v>884</v>
      </c>
    </row>
    <row r="6778" spans="1:64" ht="12" customHeight="1" x14ac:dyDescent="0.15">
      <c r="A6778" s="33" t="s">
        <v>12449</v>
      </c>
      <c r="B6778" s="33">
        <v>22</v>
      </c>
      <c r="C6778" s="33" t="s">
        <v>14</v>
      </c>
      <c r="D6778" s="33" t="s">
        <v>31</v>
      </c>
      <c r="E6778" s="33" t="s">
        <v>12450</v>
      </c>
      <c r="F6778" s="67">
        <v>41561</v>
      </c>
      <c r="G6778" s="33" t="s">
        <v>12451</v>
      </c>
      <c r="H6778" s="33" t="s">
        <v>12452</v>
      </c>
      <c r="I6778" s="33" t="s">
        <v>132</v>
      </c>
      <c r="J6778" s="33" t="s">
        <v>12453</v>
      </c>
      <c r="K6778" s="33" t="s">
        <v>12454</v>
      </c>
      <c r="L6778" s="33" t="s">
        <v>12455</v>
      </c>
      <c r="M6778" s="33" t="s">
        <v>21</v>
      </c>
      <c r="N6778" s="33" t="s">
        <v>12456</v>
      </c>
      <c r="O6778" s="33" t="s">
        <v>23</v>
      </c>
      <c r="P6778" s="33" t="s">
        <v>30089</v>
      </c>
      <c r="Q6778" s="40" t="s">
        <v>12457</v>
      </c>
      <c r="R6778" s="33" t="s">
        <v>512</v>
      </c>
      <c r="S6778" s="33" t="s">
        <v>22</v>
      </c>
      <c r="T6778" s="1" t="s">
        <v>26781</v>
      </c>
      <c r="Z6778" s="33" t="s">
        <v>42968</v>
      </c>
      <c r="AA6778" s="33">
        <v>885</v>
      </c>
    </row>
    <row r="6779" spans="1:64" ht="12" customHeight="1" x14ac:dyDescent="0.15">
      <c r="A6779" s="63" t="s">
        <v>42535</v>
      </c>
      <c r="B6779" s="99">
        <v>39</v>
      </c>
      <c r="C6779" s="10" t="s">
        <v>14</v>
      </c>
      <c r="D6779" s="10" t="s">
        <v>31</v>
      </c>
      <c r="E6779" s="62" t="s">
        <v>42536</v>
      </c>
      <c r="F6779" s="67">
        <v>41561</v>
      </c>
      <c r="G6779" s="10" t="s">
        <v>42537</v>
      </c>
      <c r="H6779" s="10" t="s">
        <v>42538</v>
      </c>
      <c r="I6779" s="10" t="s">
        <v>63</v>
      </c>
      <c r="J6779" s="65">
        <v>45424</v>
      </c>
      <c r="K6779" s="10" t="s">
        <v>995</v>
      </c>
      <c r="L6779" s="10" t="s">
        <v>42539</v>
      </c>
      <c r="M6779" s="10" t="s">
        <v>21</v>
      </c>
      <c r="N6779" s="10" t="s">
        <v>42540</v>
      </c>
      <c r="O6779" s="10" t="s">
        <v>42518</v>
      </c>
      <c r="P6779" s="10" t="s">
        <v>30089</v>
      </c>
      <c r="Q6779" s="62" t="s">
        <v>42541</v>
      </c>
      <c r="R6779" s="10" t="s">
        <v>512</v>
      </c>
      <c r="S6779" s="10" t="s">
        <v>22</v>
      </c>
      <c r="T6779" s="10" t="s">
        <v>26781</v>
      </c>
      <c r="U6779" s="10"/>
      <c r="V6779" s="10"/>
      <c r="W6779" s="69"/>
      <c r="X6779" s="89"/>
      <c r="Y6779" s="68"/>
      <c r="Z6779" s="68" t="s">
        <v>42968</v>
      </c>
      <c r="AA6779" s="33">
        <v>886</v>
      </c>
      <c r="AG6779" s="68"/>
      <c r="AK6779" s="68"/>
      <c r="AL6779" s="68"/>
      <c r="AM6779" s="68"/>
      <c r="AN6779" s="68"/>
      <c r="AO6779" s="68"/>
      <c r="AP6779" s="68"/>
      <c r="AQ6779" s="68"/>
      <c r="AR6779" s="68"/>
      <c r="AS6779" s="68"/>
      <c r="AT6779" s="68"/>
      <c r="AU6779" s="68"/>
      <c r="AV6779" s="68"/>
      <c r="AW6779" s="68"/>
      <c r="AX6779" s="68"/>
      <c r="AY6779" s="68"/>
      <c r="AZ6779" s="68"/>
      <c r="BA6779" s="68"/>
      <c r="BB6779" s="68"/>
      <c r="BC6779" s="68"/>
      <c r="BD6779" s="68"/>
      <c r="BE6779" s="68"/>
      <c r="BF6779" s="68"/>
      <c r="BG6779" s="68"/>
      <c r="BH6779" s="68"/>
      <c r="BI6779" s="68"/>
      <c r="BJ6779" s="68"/>
      <c r="BK6779" s="68"/>
      <c r="BL6779" s="68"/>
    </row>
    <row r="6780" spans="1:64" ht="12" customHeight="1" x14ac:dyDescent="0.15">
      <c r="A6780" s="33" t="s">
        <v>12434</v>
      </c>
      <c r="B6780" s="33">
        <v>24</v>
      </c>
      <c r="C6780" s="33" t="s">
        <v>14</v>
      </c>
      <c r="D6780" s="33" t="s">
        <v>31</v>
      </c>
      <c r="E6780" s="33" t="s">
        <v>12435</v>
      </c>
      <c r="F6780" s="67">
        <v>41561</v>
      </c>
      <c r="G6780" s="33" t="s">
        <v>12436</v>
      </c>
      <c r="H6780" s="33" t="s">
        <v>233</v>
      </c>
      <c r="I6780" s="33" t="s">
        <v>26</v>
      </c>
      <c r="J6780" s="33" t="s">
        <v>12437</v>
      </c>
      <c r="K6780" s="33" t="s">
        <v>233</v>
      </c>
      <c r="L6780" s="33" t="s">
        <v>5227</v>
      </c>
      <c r="M6780" s="33" t="s">
        <v>21</v>
      </c>
      <c r="N6780" s="33" t="s">
        <v>12438</v>
      </c>
      <c r="O6780" s="33" t="s">
        <v>950</v>
      </c>
      <c r="P6780" s="33" t="s">
        <v>30089</v>
      </c>
      <c r="Q6780" s="40" t="s">
        <v>12439</v>
      </c>
      <c r="R6780" s="33" t="s">
        <v>94</v>
      </c>
      <c r="S6780" s="33" t="s">
        <v>22</v>
      </c>
      <c r="T6780" s="33" t="s">
        <v>27803</v>
      </c>
      <c r="Z6780" s="33" t="s">
        <v>42968</v>
      </c>
      <c r="AA6780" s="33">
        <v>887</v>
      </c>
      <c r="AE6780" s="33"/>
    </row>
    <row r="6781" spans="1:64" ht="12" customHeight="1" x14ac:dyDescent="0.15">
      <c r="A6781" s="63" t="s">
        <v>42801</v>
      </c>
      <c r="B6781" s="99">
        <v>24</v>
      </c>
      <c r="C6781" s="10" t="s">
        <v>14</v>
      </c>
      <c r="D6781" s="10" t="s">
        <v>31</v>
      </c>
      <c r="E6781" s="62" t="s">
        <v>42802</v>
      </c>
      <c r="F6781" s="67">
        <v>41561</v>
      </c>
      <c r="G6781" s="10" t="s">
        <v>42803</v>
      </c>
      <c r="H6781" s="10" t="s">
        <v>233</v>
      </c>
      <c r="I6781" s="10" t="s">
        <v>26</v>
      </c>
      <c r="J6781" s="65">
        <v>29624</v>
      </c>
      <c r="K6781" s="10" t="s">
        <v>233</v>
      </c>
      <c r="L6781" s="10" t="s">
        <v>5227</v>
      </c>
      <c r="M6781" s="10" t="s">
        <v>21</v>
      </c>
      <c r="N6781" s="10" t="s">
        <v>12438</v>
      </c>
      <c r="O6781" s="10" t="s">
        <v>507</v>
      </c>
      <c r="P6781" s="10" t="s">
        <v>30089</v>
      </c>
      <c r="Q6781" s="62" t="s">
        <v>12439</v>
      </c>
      <c r="R6781" s="10" t="s">
        <v>94</v>
      </c>
      <c r="S6781" s="10" t="s">
        <v>22</v>
      </c>
      <c r="T6781" s="10" t="s">
        <v>27803</v>
      </c>
      <c r="U6781" s="10"/>
      <c r="V6781" s="10"/>
      <c r="W6781" s="10"/>
      <c r="X6781" s="89"/>
      <c r="Y6781" s="68"/>
      <c r="Z6781" s="68" t="s">
        <v>42968</v>
      </c>
      <c r="AA6781" s="33">
        <v>888</v>
      </c>
      <c r="AG6781" s="68"/>
      <c r="AK6781" s="68"/>
      <c r="AL6781" s="68"/>
      <c r="AM6781" s="68"/>
      <c r="AN6781" s="68"/>
      <c r="AO6781" s="68"/>
      <c r="AP6781" s="68"/>
      <c r="AQ6781" s="68"/>
      <c r="AR6781" s="68"/>
      <c r="AS6781" s="68"/>
      <c r="AT6781" s="68"/>
      <c r="AU6781" s="68"/>
      <c r="AV6781" s="68"/>
      <c r="AW6781" s="68"/>
      <c r="AX6781" s="68"/>
      <c r="AY6781" s="68"/>
      <c r="AZ6781" s="68"/>
      <c r="BA6781" s="68"/>
      <c r="BB6781" s="68"/>
      <c r="BC6781" s="68"/>
      <c r="BD6781" s="68"/>
      <c r="BE6781" s="68"/>
      <c r="BF6781" s="68"/>
      <c r="BG6781" s="68"/>
      <c r="BH6781" s="68"/>
      <c r="BI6781" s="68"/>
      <c r="BJ6781" s="68"/>
      <c r="BK6781" s="68"/>
      <c r="BL6781" s="68"/>
    </row>
    <row r="6782" spans="1:64" ht="12" customHeight="1" x14ac:dyDescent="0.15">
      <c r="A6782" s="33" t="s">
        <v>12475</v>
      </c>
      <c r="B6782" s="33">
        <v>26</v>
      </c>
      <c r="C6782" s="33" t="s">
        <v>14</v>
      </c>
      <c r="D6782" s="33" t="s">
        <v>42</v>
      </c>
      <c r="E6782" s="33" t="s">
        <v>12476</v>
      </c>
      <c r="F6782" s="67">
        <v>41560</v>
      </c>
      <c r="G6782" s="33" t="s">
        <v>12477</v>
      </c>
      <c r="H6782" s="33" t="s">
        <v>12478</v>
      </c>
      <c r="I6782" s="33" t="s">
        <v>376</v>
      </c>
      <c r="J6782" s="33" t="s">
        <v>12479</v>
      </c>
      <c r="K6782" s="33" t="s">
        <v>756</v>
      </c>
      <c r="L6782" s="33" t="s">
        <v>12480</v>
      </c>
      <c r="M6782" s="33" t="s">
        <v>21</v>
      </c>
      <c r="N6782" s="33" t="s">
        <v>12481</v>
      </c>
      <c r="O6782" s="33" t="s">
        <v>507</v>
      </c>
      <c r="P6782" s="33" t="s">
        <v>30089</v>
      </c>
      <c r="Q6782" s="40" t="s">
        <v>12482</v>
      </c>
      <c r="R6782" s="33" t="s">
        <v>94</v>
      </c>
      <c r="S6782" s="33" t="s">
        <v>29</v>
      </c>
      <c r="T6782" s="33" t="s">
        <v>41840</v>
      </c>
      <c r="Z6782" s="33" t="s">
        <v>42966</v>
      </c>
      <c r="AA6782" s="33">
        <v>883</v>
      </c>
    </row>
    <row r="6783" spans="1:64" ht="12" customHeight="1" x14ac:dyDescent="0.15">
      <c r="A6783" s="33" t="s">
        <v>12458</v>
      </c>
      <c r="B6783" s="33">
        <v>16</v>
      </c>
      <c r="C6783" s="33" t="s">
        <v>14</v>
      </c>
      <c r="D6783" s="33" t="s">
        <v>79</v>
      </c>
      <c r="E6783" s="33" t="s">
        <v>12459</v>
      </c>
      <c r="F6783" s="67">
        <v>41560</v>
      </c>
      <c r="G6783" s="33" t="s">
        <v>12460</v>
      </c>
      <c r="H6783" s="33" t="s">
        <v>5472</v>
      </c>
      <c r="I6783" s="33" t="s">
        <v>338</v>
      </c>
      <c r="J6783" s="33" t="s">
        <v>5878</v>
      </c>
      <c r="K6783" s="33" t="s">
        <v>2907</v>
      </c>
      <c r="L6783" s="33" t="s">
        <v>5474</v>
      </c>
      <c r="M6783" s="33" t="s">
        <v>21</v>
      </c>
      <c r="N6783" s="33" t="s">
        <v>12461</v>
      </c>
      <c r="O6783" s="33" t="s">
        <v>507</v>
      </c>
      <c r="P6783" s="33" t="s">
        <v>30089</v>
      </c>
      <c r="Q6783" s="40" t="s">
        <v>12462</v>
      </c>
      <c r="R6783" s="33" t="s">
        <v>94</v>
      </c>
      <c r="S6783" s="33" t="s">
        <v>22</v>
      </c>
      <c r="T6783" s="1" t="s">
        <v>26781</v>
      </c>
      <c r="Z6783" s="33" t="s">
        <v>42968</v>
      </c>
      <c r="AA6783" s="33">
        <v>879</v>
      </c>
    </row>
    <row r="6784" spans="1:64" ht="12" customHeight="1" x14ac:dyDescent="0.15">
      <c r="A6784" s="33" t="s">
        <v>12471</v>
      </c>
      <c r="B6784" s="33">
        <v>30</v>
      </c>
      <c r="C6784" s="33" t="s">
        <v>14</v>
      </c>
      <c r="D6784" s="33" t="s">
        <v>79</v>
      </c>
      <c r="E6784" s="33" t="s">
        <v>12472</v>
      </c>
      <c r="F6784" s="67">
        <v>41560</v>
      </c>
      <c r="G6784" s="33" t="s">
        <v>12473</v>
      </c>
      <c r="H6784" s="33" t="s">
        <v>205</v>
      </c>
      <c r="I6784" s="33" t="s">
        <v>338</v>
      </c>
      <c r="J6784" s="33" t="s">
        <v>12207</v>
      </c>
      <c r="K6784" s="33" t="s">
        <v>7811</v>
      </c>
      <c r="L6784" s="33" t="s">
        <v>12474</v>
      </c>
      <c r="M6784" s="33" t="s">
        <v>21</v>
      </c>
      <c r="N6784" s="33" t="s">
        <v>19071</v>
      </c>
      <c r="O6784" s="33" t="s">
        <v>507</v>
      </c>
      <c r="P6784" s="33" t="s">
        <v>30089</v>
      </c>
      <c r="Q6784" s="40" t="s">
        <v>19072</v>
      </c>
      <c r="R6784" s="33" t="s">
        <v>94</v>
      </c>
      <c r="S6784" s="33" t="s">
        <v>29</v>
      </c>
      <c r="T6784" s="33" t="s">
        <v>41840</v>
      </c>
      <c r="Z6784" s="33" t="s">
        <v>42966</v>
      </c>
      <c r="AA6784" s="33">
        <v>882</v>
      </c>
    </row>
    <row r="6785" spans="1:64" ht="12" customHeight="1" x14ac:dyDescent="0.15">
      <c r="A6785" s="33" t="s">
        <v>12463</v>
      </c>
      <c r="B6785" s="33">
        <v>32</v>
      </c>
      <c r="C6785" s="33" t="s">
        <v>14</v>
      </c>
      <c r="D6785" s="33" t="s">
        <v>79</v>
      </c>
      <c r="E6785" s="33" t="s">
        <v>12464</v>
      </c>
      <c r="F6785" s="67">
        <v>41560</v>
      </c>
      <c r="G6785" s="33" t="s">
        <v>12465</v>
      </c>
      <c r="H6785" s="33" t="s">
        <v>12466</v>
      </c>
      <c r="I6785" s="33" t="s">
        <v>63</v>
      </c>
      <c r="J6785" s="33" t="s">
        <v>12467</v>
      </c>
      <c r="K6785" s="33" t="s">
        <v>12466</v>
      </c>
      <c r="L6785" s="33" t="s">
        <v>12468</v>
      </c>
      <c r="M6785" s="33" t="s">
        <v>363</v>
      </c>
      <c r="N6785" s="33" t="s">
        <v>12469</v>
      </c>
      <c r="O6785" s="33" t="s">
        <v>950</v>
      </c>
      <c r="P6785" s="33" t="s">
        <v>30089</v>
      </c>
      <c r="Q6785" s="40" t="s">
        <v>12470</v>
      </c>
      <c r="R6785" s="33" t="s">
        <v>94</v>
      </c>
      <c r="S6785" s="33" t="s">
        <v>12</v>
      </c>
      <c r="T6785" s="54" t="s">
        <v>29705</v>
      </c>
      <c r="Z6785" s="33" t="s">
        <v>42968</v>
      </c>
      <c r="AA6785" s="33">
        <v>881</v>
      </c>
    </row>
    <row r="6786" spans="1:64" ht="12" customHeight="1" x14ac:dyDescent="0.15">
      <c r="A6786" s="33" t="s">
        <v>12483</v>
      </c>
      <c r="B6786" s="33">
        <v>59</v>
      </c>
      <c r="C6786" s="33" t="s">
        <v>14</v>
      </c>
      <c r="D6786" s="33" t="s">
        <v>31</v>
      </c>
      <c r="E6786" s="33" t="s">
        <v>12484</v>
      </c>
      <c r="F6786" s="67">
        <v>41560</v>
      </c>
      <c r="G6786" s="33" t="s">
        <v>12485</v>
      </c>
      <c r="H6786" s="33" t="s">
        <v>12486</v>
      </c>
      <c r="I6786" s="33" t="s">
        <v>294</v>
      </c>
      <c r="J6786" s="33" t="s">
        <v>12487</v>
      </c>
      <c r="K6786" s="33" t="s">
        <v>12488</v>
      </c>
      <c r="L6786" s="33" t="s">
        <v>3101</v>
      </c>
      <c r="M6786" s="33" t="s">
        <v>21</v>
      </c>
      <c r="N6786" s="33" t="s">
        <v>12489</v>
      </c>
      <c r="O6786" s="33" t="s">
        <v>950</v>
      </c>
      <c r="P6786" s="33" t="s">
        <v>30089</v>
      </c>
      <c r="Q6786" s="40" t="s">
        <v>12490</v>
      </c>
      <c r="R6786" s="33" t="s">
        <v>512</v>
      </c>
      <c r="S6786" s="33" t="s">
        <v>12</v>
      </c>
      <c r="T6786" s="33" t="s">
        <v>29425</v>
      </c>
      <c r="Z6786" s="33" t="s">
        <v>42967</v>
      </c>
      <c r="AA6786" s="33">
        <v>880</v>
      </c>
    </row>
    <row r="6787" spans="1:64" ht="12" customHeight="1" x14ac:dyDescent="0.15">
      <c r="A6787" s="33" t="s">
        <v>12491</v>
      </c>
      <c r="B6787" s="103">
        <v>45</v>
      </c>
      <c r="C6787" s="33" t="s">
        <v>103</v>
      </c>
      <c r="D6787" s="33" t="s">
        <v>31</v>
      </c>
      <c r="F6787" s="67">
        <v>41560</v>
      </c>
      <c r="G6787" s="33" t="s">
        <v>12492</v>
      </c>
      <c r="H6787" s="33" t="s">
        <v>12493</v>
      </c>
      <c r="I6787" s="33" t="s">
        <v>250</v>
      </c>
      <c r="J6787" s="33" t="s">
        <v>12494</v>
      </c>
      <c r="K6787" s="33" t="s">
        <v>5732</v>
      </c>
      <c r="L6787" s="33" t="s">
        <v>12495</v>
      </c>
      <c r="M6787" s="33" t="s">
        <v>21</v>
      </c>
      <c r="N6787" s="33" t="s">
        <v>12496</v>
      </c>
      <c r="O6787" s="33" t="s">
        <v>23</v>
      </c>
      <c r="P6787" s="33" t="s">
        <v>30089</v>
      </c>
      <c r="Q6787" s="40" t="s">
        <v>12497</v>
      </c>
      <c r="R6787" s="33" t="s">
        <v>512</v>
      </c>
      <c r="S6787" s="33" t="s">
        <v>22</v>
      </c>
      <c r="T6787" s="1" t="s">
        <v>26781</v>
      </c>
      <c r="Z6787" s="33" t="s">
        <v>42968</v>
      </c>
      <c r="AA6787" s="33">
        <v>878</v>
      </c>
    </row>
    <row r="6788" spans="1:64" ht="12" customHeight="1" x14ac:dyDescent="0.15">
      <c r="A6788" s="33" t="s">
        <v>12510</v>
      </c>
      <c r="B6788" s="33">
        <v>41</v>
      </c>
      <c r="C6788" s="33" t="s">
        <v>14</v>
      </c>
      <c r="D6788" s="33" t="s">
        <v>31</v>
      </c>
      <c r="E6788" s="33" t="s">
        <v>12511</v>
      </c>
      <c r="F6788" s="67">
        <v>41558</v>
      </c>
      <c r="G6788" s="33" t="s">
        <v>12512</v>
      </c>
      <c r="H6788" s="33" t="s">
        <v>1143</v>
      </c>
      <c r="I6788" s="33" t="s">
        <v>39</v>
      </c>
      <c r="J6788" s="33" t="s">
        <v>12513</v>
      </c>
      <c r="K6788" s="33" t="s">
        <v>728</v>
      </c>
      <c r="L6788" s="33" t="s">
        <v>1144</v>
      </c>
      <c r="M6788" s="33" t="s">
        <v>37068</v>
      </c>
      <c r="N6788" s="33" t="s">
        <v>12514</v>
      </c>
      <c r="O6788" s="33" t="s">
        <v>950</v>
      </c>
      <c r="P6788" s="33" t="s">
        <v>30089</v>
      </c>
      <c r="Q6788" s="40" t="s">
        <v>12515</v>
      </c>
      <c r="R6788" s="33" t="s">
        <v>904</v>
      </c>
      <c r="S6788" s="33" t="s">
        <v>12</v>
      </c>
      <c r="T6788" s="54" t="s">
        <v>29705</v>
      </c>
      <c r="Z6788" s="33" t="s">
        <v>42968</v>
      </c>
      <c r="AA6788" s="33">
        <v>876</v>
      </c>
    </row>
    <row r="6789" spans="1:64" ht="12" customHeight="1" x14ac:dyDescent="0.15">
      <c r="A6789" s="33" t="s">
        <v>12498</v>
      </c>
      <c r="B6789" s="33">
        <v>21</v>
      </c>
      <c r="C6789" s="33" t="s">
        <v>14</v>
      </c>
      <c r="D6789" s="33" t="s">
        <v>24</v>
      </c>
      <c r="F6789" s="67">
        <v>41558</v>
      </c>
      <c r="G6789" s="33" t="s">
        <v>12499</v>
      </c>
      <c r="H6789" s="33" t="s">
        <v>3692</v>
      </c>
      <c r="I6789" s="33" t="s">
        <v>56</v>
      </c>
      <c r="J6789" s="33" t="s">
        <v>12500</v>
      </c>
      <c r="K6789" s="33" t="s">
        <v>1736</v>
      </c>
      <c r="L6789" s="33" t="s">
        <v>238</v>
      </c>
      <c r="M6789" s="33" t="s">
        <v>21</v>
      </c>
      <c r="N6789" s="33" t="s">
        <v>12501</v>
      </c>
      <c r="O6789" s="33" t="s">
        <v>950</v>
      </c>
      <c r="P6789" s="33" t="s">
        <v>30089</v>
      </c>
      <c r="Q6789" s="40" t="s">
        <v>12502</v>
      </c>
      <c r="R6789" s="33" t="s">
        <v>512</v>
      </c>
      <c r="S6789" s="33" t="s">
        <v>22</v>
      </c>
      <c r="T6789" s="1" t="s">
        <v>26781</v>
      </c>
      <c r="Z6789" s="33" t="s">
        <v>42968</v>
      </c>
      <c r="AA6789" s="33">
        <v>873</v>
      </c>
    </row>
    <row r="6790" spans="1:64" ht="12" customHeight="1" x14ac:dyDescent="0.15">
      <c r="A6790" s="63" t="s">
        <v>42777</v>
      </c>
      <c r="B6790" s="99">
        <v>51</v>
      </c>
      <c r="C6790" s="10" t="s">
        <v>14</v>
      </c>
      <c r="D6790" s="10" t="s">
        <v>79</v>
      </c>
      <c r="E6790" s="62" t="s">
        <v>42778</v>
      </c>
      <c r="F6790" s="67">
        <v>41558</v>
      </c>
      <c r="G6790" s="10" t="s">
        <v>6156</v>
      </c>
      <c r="H6790" s="10" t="s">
        <v>6157</v>
      </c>
      <c r="I6790" s="10" t="s">
        <v>26</v>
      </c>
      <c r="J6790" s="65">
        <v>29412</v>
      </c>
      <c r="K6790" s="10" t="s">
        <v>2064</v>
      </c>
      <c r="L6790" s="10" t="s">
        <v>6713</v>
      </c>
      <c r="M6790" s="10" t="s">
        <v>21</v>
      </c>
      <c r="N6790" s="10" t="s">
        <v>42779</v>
      </c>
      <c r="O6790" s="10" t="s">
        <v>507</v>
      </c>
      <c r="P6790" s="10" t="s">
        <v>30089</v>
      </c>
      <c r="Q6790" s="62" t="s">
        <v>6158</v>
      </c>
      <c r="R6790" s="10" t="s">
        <v>512</v>
      </c>
      <c r="S6790" s="10" t="s">
        <v>22</v>
      </c>
      <c r="T6790" s="10" t="s">
        <v>26774</v>
      </c>
      <c r="U6790" s="10"/>
      <c r="V6790" s="10"/>
      <c r="W6790" s="10"/>
      <c r="X6790" s="89"/>
      <c r="Y6790" s="68"/>
      <c r="Z6790" s="68" t="s">
        <v>42968</v>
      </c>
      <c r="AA6790" s="33">
        <v>875</v>
      </c>
      <c r="AG6790" s="68"/>
      <c r="AK6790" s="68"/>
      <c r="AL6790" s="68"/>
      <c r="AM6790" s="68"/>
      <c r="AN6790" s="68"/>
      <c r="AO6790" s="68"/>
      <c r="AP6790" s="68"/>
      <c r="AQ6790" s="68"/>
      <c r="AR6790" s="68"/>
      <c r="AS6790" s="68"/>
      <c r="AT6790" s="68"/>
      <c r="AU6790" s="68"/>
      <c r="AV6790" s="68"/>
      <c r="AW6790" s="68"/>
      <c r="AX6790" s="68"/>
      <c r="AY6790" s="68"/>
      <c r="AZ6790" s="68"/>
      <c r="BA6790" s="68"/>
      <c r="BB6790" s="68"/>
      <c r="BC6790" s="68"/>
      <c r="BD6790" s="68"/>
      <c r="BE6790" s="68"/>
      <c r="BF6790" s="68"/>
      <c r="BG6790" s="68"/>
      <c r="BH6790" s="68"/>
      <c r="BI6790" s="68"/>
      <c r="BJ6790" s="68"/>
      <c r="BK6790" s="68"/>
      <c r="BL6790" s="68"/>
    </row>
    <row r="6791" spans="1:64" ht="12" customHeight="1" x14ac:dyDescent="0.15">
      <c r="A6791" s="33" t="s">
        <v>12503</v>
      </c>
      <c r="B6791" s="33">
        <v>40</v>
      </c>
      <c r="C6791" s="33" t="s">
        <v>14</v>
      </c>
      <c r="D6791" s="33" t="s">
        <v>31</v>
      </c>
      <c r="E6791" s="33" t="s">
        <v>12504</v>
      </c>
      <c r="F6791" s="67">
        <v>41558</v>
      </c>
      <c r="G6791" s="33" t="s">
        <v>12505</v>
      </c>
      <c r="H6791" s="33" t="s">
        <v>12506</v>
      </c>
      <c r="I6791" s="33" t="s">
        <v>402</v>
      </c>
      <c r="J6791" s="33" t="s">
        <v>12507</v>
      </c>
      <c r="K6791" s="33" t="s">
        <v>1659</v>
      </c>
      <c r="L6791" s="33" t="s">
        <v>1579</v>
      </c>
      <c r="M6791" s="33" t="s">
        <v>21</v>
      </c>
      <c r="N6791" s="33" t="s">
        <v>12508</v>
      </c>
      <c r="O6791" s="33" t="s">
        <v>507</v>
      </c>
      <c r="P6791" s="33" t="s">
        <v>30089</v>
      </c>
      <c r="Q6791" s="40" t="s">
        <v>12509</v>
      </c>
      <c r="R6791" s="33" t="s">
        <v>94</v>
      </c>
      <c r="S6791" s="33" t="s">
        <v>22</v>
      </c>
      <c r="T6791" s="1" t="s">
        <v>26781</v>
      </c>
      <c r="Z6791" s="33" t="s">
        <v>42968</v>
      </c>
      <c r="AA6791" s="33">
        <v>874</v>
      </c>
    </row>
    <row r="6792" spans="1:64" ht="12" customHeight="1" x14ac:dyDescent="0.15">
      <c r="A6792" s="33" t="s">
        <v>12516</v>
      </c>
      <c r="B6792" s="33">
        <v>47</v>
      </c>
      <c r="C6792" s="33" t="s">
        <v>14</v>
      </c>
      <c r="D6792" s="33" t="s">
        <v>31</v>
      </c>
      <c r="E6792" s="33" t="s">
        <v>12517</v>
      </c>
      <c r="F6792" s="67">
        <v>41558</v>
      </c>
      <c r="G6792" s="33" t="s">
        <v>12518</v>
      </c>
      <c r="H6792" s="33" t="s">
        <v>6020</v>
      </c>
      <c r="I6792" s="33" t="s">
        <v>298</v>
      </c>
      <c r="J6792" s="33" t="s">
        <v>8684</v>
      </c>
      <c r="K6792" s="33" t="s">
        <v>2679</v>
      </c>
      <c r="L6792" s="33" t="s">
        <v>13318</v>
      </c>
      <c r="M6792" s="33" t="s">
        <v>21</v>
      </c>
      <c r="N6792" s="33" t="s">
        <v>12519</v>
      </c>
      <c r="O6792" s="33" t="s">
        <v>507</v>
      </c>
      <c r="P6792" s="33" t="s">
        <v>30089</v>
      </c>
      <c r="Q6792" s="40" t="s">
        <v>12520</v>
      </c>
      <c r="R6792" s="33" t="s">
        <v>94</v>
      </c>
      <c r="S6792" s="33" t="s">
        <v>351</v>
      </c>
      <c r="T6792" s="1" t="s">
        <v>42983</v>
      </c>
      <c r="Z6792" s="33" t="s">
        <v>42968</v>
      </c>
      <c r="AA6792" s="33">
        <v>877</v>
      </c>
    </row>
    <row r="6793" spans="1:64" ht="12" customHeight="1" x14ac:dyDescent="0.15">
      <c r="A6793" s="33" t="s">
        <v>12529</v>
      </c>
      <c r="B6793" s="33">
        <v>28</v>
      </c>
      <c r="C6793" s="33" t="s">
        <v>14</v>
      </c>
      <c r="D6793" s="33" t="s">
        <v>31</v>
      </c>
      <c r="F6793" s="67">
        <v>41556</v>
      </c>
      <c r="G6793" s="33" t="s">
        <v>12530</v>
      </c>
      <c r="H6793" s="33" t="s">
        <v>12531</v>
      </c>
      <c r="I6793" s="33" t="s">
        <v>4034</v>
      </c>
      <c r="J6793" s="33" t="s">
        <v>12532</v>
      </c>
      <c r="K6793" s="33" t="s">
        <v>6374</v>
      </c>
      <c r="L6793" s="33" t="s">
        <v>4037</v>
      </c>
      <c r="M6793" s="33" t="s">
        <v>21</v>
      </c>
      <c r="N6793" s="33" t="s">
        <v>12533</v>
      </c>
      <c r="O6793" s="33" t="s">
        <v>507</v>
      </c>
      <c r="P6793" s="33" t="s">
        <v>30089</v>
      </c>
      <c r="Q6793" s="40" t="str">
        <f>HYPERLINK("http://bangordailynews.com/2013/10/10/news/bangor/police-identify-2-dead-in-old-town-stabbing-standoff/","http://bangordailynews.com/2013/10/10/news/bangor/police-identify-2-dead-in-old-town-stabbing-standoff/")</f>
        <v>http://bangordailynews.com/2013/10/10/news/bangor/police-identify-2-dead-in-old-town-stabbing-standoff/</v>
      </c>
      <c r="R6793" s="33" t="s">
        <v>94</v>
      </c>
      <c r="S6793" s="33" t="s">
        <v>22</v>
      </c>
      <c r="T6793" s="1" t="s">
        <v>26774</v>
      </c>
      <c r="Z6793" s="33" t="s">
        <v>42967</v>
      </c>
      <c r="AA6793" s="33">
        <v>872</v>
      </c>
    </row>
    <row r="6794" spans="1:64" ht="12" customHeight="1" x14ac:dyDescent="0.15">
      <c r="A6794" s="33" t="s">
        <v>12534</v>
      </c>
      <c r="B6794" s="33">
        <v>55</v>
      </c>
      <c r="C6794" s="33" t="s">
        <v>14</v>
      </c>
      <c r="D6794" s="33" t="s">
        <v>31</v>
      </c>
      <c r="E6794" s="33" t="s">
        <v>12535</v>
      </c>
      <c r="F6794" s="67">
        <v>41556</v>
      </c>
      <c r="G6794" s="33" t="s">
        <v>12536</v>
      </c>
      <c r="H6794" s="33" t="s">
        <v>6613</v>
      </c>
      <c r="I6794" s="33" t="s">
        <v>139</v>
      </c>
      <c r="J6794" s="33" t="s">
        <v>12537</v>
      </c>
      <c r="K6794" s="33" t="s">
        <v>12538</v>
      </c>
      <c r="L6794" s="33" t="s">
        <v>6614</v>
      </c>
      <c r="M6794" s="33" t="s">
        <v>21</v>
      </c>
      <c r="N6794" s="33" t="s">
        <v>12539</v>
      </c>
      <c r="O6794" s="33" t="s">
        <v>950</v>
      </c>
      <c r="P6794" s="33" t="s">
        <v>30089</v>
      </c>
      <c r="Q6794" s="40" t="s">
        <v>12540</v>
      </c>
      <c r="R6794" s="33" t="s">
        <v>23</v>
      </c>
      <c r="S6794" s="33" t="s">
        <v>22</v>
      </c>
      <c r="T6794" s="1" t="s">
        <v>26781</v>
      </c>
      <c r="Z6794" s="33" t="s">
        <v>42968</v>
      </c>
      <c r="AA6794" s="33">
        <v>870</v>
      </c>
    </row>
    <row r="6795" spans="1:64" ht="12" customHeight="1" x14ac:dyDescent="0.15">
      <c r="A6795" s="33" t="s">
        <v>12521</v>
      </c>
      <c r="B6795" s="33">
        <v>43</v>
      </c>
      <c r="C6795" s="33" t="s">
        <v>14</v>
      </c>
      <c r="D6795" s="33" t="s">
        <v>31</v>
      </c>
      <c r="E6795" s="33" t="s">
        <v>12522</v>
      </c>
      <c r="F6795" s="67">
        <v>41556</v>
      </c>
      <c r="G6795" s="33" t="s">
        <v>12523</v>
      </c>
      <c r="H6795" s="33" t="s">
        <v>12524</v>
      </c>
      <c r="I6795" s="33" t="s">
        <v>338</v>
      </c>
      <c r="J6795" s="33" t="s">
        <v>12525</v>
      </c>
      <c r="K6795" s="33" t="s">
        <v>12526</v>
      </c>
      <c r="L6795" s="33" t="s">
        <v>36858</v>
      </c>
      <c r="M6795" s="33" t="s">
        <v>21</v>
      </c>
      <c r="N6795" s="33" t="s">
        <v>12527</v>
      </c>
      <c r="O6795" s="33" t="s">
        <v>950</v>
      </c>
      <c r="P6795" s="33" t="s">
        <v>30089</v>
      </c>
      <c r="Q6795" s="40" t="s">
        <v>12528</v>
      </c>
      <c r="R6795" s="33" t="s">
        <v>94</v>
      </c>
      <c r="S6795" s="33" t="s">
        <v>22</v>
      </c>
      <c r="T6795" s="1" t="s">
        <v>42994</v>
      </c>
      <c r="Z6795" s="33" t="s">
        <v>42967</v>
      </c>
      <c r="AA6795" s="33">
        <v>871</v>
      </c>
    </row>
    <row r="6796" spans="1:64" ht="12" customHeight="1" x14ac:dyDescent="0.15">
      <c r="A6796" s="33" t="s">
        <v>12541</v>
      </c>
      <c r="B6796" s="33">
        <v>43</v>
      </c>
      <c r="C6796" s="33" t="s">
        <v>14</v>
      </c>
      <c r="D6796" s="33" t="s">
        <v>79</v>
      </c>
      <c r="E6796" s="33" t="s">
        <v>12542</v>
      </c>
      <c r="F6796" s="67">
        <v>41555</v>
      </c>
      <c r="G6796" s="33" t="s">
        <v>12543</v>
      </c>
      <c r="H6796" s="33" t="s">
        <v>12544</v>
      </c>
      <c r="I6796" s="33" t="s">
        <v>160</v>
      </c>
      <c r="J6796" s="33" t="s">
        <v>12545</v>
      </c>
      <c r="K6796" s="33" t="s">
        <v>12546</v>
      </c>
      <c r="L6796" s="33" t="s">
        <v>12547</v>
      </c>
      <c r="M6796" s="33" t="s">
        <v>21</v>
      </c>
      <c r="N6796" s="33" t="s">
        <v>12548</v>
      </c>
      <c r="O6796" s="33" t="s">
        <v>507</v>
      </c>
      <c r="P6796" s="33" t="s">
        <v>30089</v>
      </c>
      <c r="Q6796" s="40" t="s">
        <v>12549</v>
      </c>
      <c r="R6796" s="33" t="s">
        <v>23</v>
      </c>
      <c r="S6796" s="33" t="s">
        <v>22</v>
      </c>
      <c r="T6796" s="1" t="s">
        <v>26576</v>
      </c>
      <c r="Z6796" s="33" t="s">
        <v>42966</v>
      </c>
      <c r="AA6796" s="33">
        <v>869</v>
      </c>
    </row>
    <row r="6797" spans="1:64" ht="12" customHeight="1" x14ac:dyDescent="0.15">
      <c r="A6797" s="33" t="s">
        <v>12550</v>
      </c>
      <c r="B6797" s="33">
        <v>44</v>
      </c>
      <c r="C6797" s="33" t="s">
        <v>14</v>
      </c>
      <c r="D6797" s="33" t="s">
        <v>31</v>
      </c>
      <c r="E6797" s="33" t="s">
        <v>12551</v>
      </c>
      <c r="F6797" s="67">
        <v>41555</v>
      </c>
      <c r="G6797" s="33" t="s">
        <v>22208</v>
      </c>
      <c r="H6797" s="33" t="s">
        <v>1515</v>
      </c>
      <c r="I6797" s="33" t="s">
        <v>67</v>
      </c>
      <c r="J6797" s="33" t="s">
        <v>12552</v>
      </c>
      <c r="K6797" s="33" t="s">
        <v>1517</v>
      </c>
      <c r="L6797" s="33" t="s">
        <v>482</v>
      </c>
      <c r="M6797" s="33" t="s">
        <v>21</v>
      </c>
      <c r="N6797" s="33" t="s">
        <v>12553</v>
      </c>
      <c r="O6797" s="33" t="s">
        <v>950</v>
      </c>
      <c r="P6797" s="33" t="s">
        <v>30089</v>
      </c>
      <c r="Q6797" s="40" t="s">
        <v>12554</v>
      </c>
      <c r="R6797" s="33" t="s">
        <v>94</v>
      </c>
      <c r="S6797" s="33" t="s">
        <v>22</v>
      </c>
      <c r="T6797" s="1" t="s">
        <v>26781</v>
      </c>
      <c r="Z6797" s="33" t="s">
        <v>42967</v>
      </c>
      <c r="AA6797" s="33">
        <v>867</v>
      </c>
    </row>
    <row r="6798" spans="1:64" ht="12" customHeight="1" x14ac:dyDescent="0.15">
      <c r="A6798" s="63" t="s">
        <v>42851</v>
      </c>
      <c r="B6798" s="99">
        <v>28</v>
      </c>
      <c r="C6798" s="10" t="s">
        <v>14</v>
      </c>
      <c r="D6798" s="10" t="s">
        <v>24</v>
      </c>
      <c r="E6798" s="10"/>
      <c r="F6798" s="67">
        <v>41555</v>
      </c>
      <c r="G6798" s="10" t="s">
        <v>42944</v>
      </c>
      <c r="H6798" s="10" t="s">
        <v>107</v>
      </c>
      <c r="I6798" s="10" t="s">
        <v>3357</v>
      </c>
      <c r="J6798" s="65">
        <v>20020</v>
      </c>
      <c r="K6798" s="10" t="s">
        <v>3359</v>
      </c>
      <c r="L6798" s="10" t="s">
        <v>17581</v>
      </c>
      <c r="M6798" s="10" t="s">
        <v>21</v>
      </c>
      <c r="N6798" s="10" t="s">
        <v>42852</v>
      </c>
      <c r="O6798" s="10" t="s">
        <v>950</v>
      </c>
      <c r="P6798" s="10" t="s">
        <v>30089</v>
      </c>
      <c r="Q6798" s="62" t="s">
        <v>42853</v>
      </c>
      <c r="R6798" s="10" t="s">
        <v>94</v>
      </c>
      <c r="S6798" s="10" t="s">
        <v>29</v>
      </c>
      <c r="T6798" s="10" t="s">
        <v>41840</v>
      </c>
      <c r="U6798" s="63"/>
      <c r="V6798" s="10"/>
      <c r="W6798" s="69"/>
      <c r="X6798" s="89"/>
      <c r="Y6798" s="68" t="s">
        <v>42476</v>
      </c>
      <c r="Z6798" s="68" t="s">
        <v>42966</v>
      </c>
      <c r="AA6798" s="33">
        <v>868</v>
      </c>
      <c r="AG6798" s="68"/>
      <c r="AK6798" s="68"/>
      <c r="AL6798" s="68"/>
      <c r="AM6798" s="68"/>
      <c r="AN6798" s="68"/>
      <c r="AO6798" s="68"/>
      <c r="AP6798" s="68"/>
      <c r="AQ6798" s="68"/>
      <c r="AR6798" s="68"/>
      <c r="AS6798" s="68"/>
      <c r="AT6798" s="68"/>
      <c r="AU6798" s="68"/>
      <c r="AV6798" s="68"/>
      <c r="AW6798" s="68"/>
      <c r="AX6798" s="68"/>
      <c r="AY6798" s="68"/>
      <c r="AZ6798" s="68"/>
      <c r="BA6798" s="68"/>
      <c r="BB6798" s="68"/>
      <c r="BC6798" s="68"/>
      <c r="BD6798" s="68"/>
      <c r="BE6798" s="68"/>
      <c r="BF6798" s="68"/>
      <c r="BG6798" s="68"/>
      <c r="BH6798" s="68"/>
      <c r="BI6798" s="68"/>
      <c r="BJ6798" s="68"/>
      <c r="BK6798" s="68"/>
      <c r="BL6798" s="68"/>
    </row>
    <row r="6799" spans="1:64" ht="12" customHeight="1" x14ac:dyDescent="0.15">
      <c r="A6799" s="33" t="s">
        <v>12559</v>
      </c>
      <c r="B6799" s="33">
        <v>53</v>
      </c>
      <c r="C6799" s="33" t="s">
        <v>14</v>
      </c>
      <c r="D6799" s="33" t="s">
        <v>31</v>
      </c>
      <c r="F6799" s="67">
        <v>41553</v>
      </c>
      <c r="G6799" s="33" t="s">
        <v>22209</v>
      </c>
      <c r="H6799" s="33" t="s">
        <v>12560</v>
      </c>
      <c r="I6799" s="33" t="s">
        <v>39</v>
      </c>
      <c r="J6799" s="33" t="s">
        <v>12561</v>
      </c>
      <c r="K6799" s="33" t="s">
        <v>92</v>
      </c>
      <c r="L6799" s="33" t="s">
        <v>386</v>
      </c>
      <c r="M6799" s="33" t="s">
        <v>21</v>
      </c>
      <c r="N6799" s="33" t="s">
        <v>12562</v>
      </c>
      <c r="O6799" s="33" t="s">
        <v>4311</v>
      </c>
      <c r="P6799" s="33" t="s">
        <v>30089</v>
      </c>
      <c r="Q6799" s="40" t="s">
        <v>12563</v>
      </c>
      <c r="R6799" s="33" t="s">
        <v>512</v>
      </c>
      <c r="S6799" s="33" t="s">
        <v>22</v>
      </c>
      <c r="T6799" s="1" t="s">
        <v>26781</v>
      </c>
      <c r="Z6799" s="33" t="s">
        <v>42968</v>
      </c>
      <c r="AA6799" s="33">
        <v>865</v>
      </c>
    </row>
    <row r="6800" spans="1:64" ht="12" customHeight="1" x14ac:dyDescent="0.15">
      <c r="A6800" s="33" t="s">
        <v>12555</v>
      </c>
      <c r="B6800" s="33">
        <v>49</v>
      </c>
      <c r="C6800" s="33" t="s">
        <v>14</v>
      </c>
      <c r="D6800" s="33" t="s">
        <v>79</v>
      </c>
      <c r="F6800" s="67">
        <v>41553</v>
      </c>
      <c r="G6800" s="33" t="s">
        <v>12556</v>
      </c>
      <c r="H6800" s="33" t="s">
        <v>92</v>
      </c>
      <c r="I6800" s="33" t="s">
        <v>39</v>
      </c>
      <c r="J6800" s="33" t="s">
        <v>12557</v>
      </c>
      <c r="K6800" s="33" t="s">
        <v>92</v>
      </c>
      <c r="L6800" s="33" t="s">
        <v>386</v>
      </c>
      <c r="M6800" s="33" t="s">
        <v>21</v>
      </c>
      <c r="N6800" s="33" t="s">
        <v>19073</v>
      </c>
      <c r="O6800" s="33" t="s">
        <v>4311</v>
      </c>
      <c r="P6800" s="33" t="s">
        <v>30089</v>
      </c>
      <c r="Q6800" s="40" t="s">
        <v>12558</v>
      </c>
      <c r="R6800" s="33" t="s">
        <v>94</v>
      </c>
      <c r="S6800" s="33" t="s">
        <v>29</v>
      </c>
      <c r="T6800" s="1" t="s">
        <v>42993</v>
      </c>
      <c r="Z6800" s="33" t="s">
        <v>42966</v>
      </c>
      <c r="AA6800" s="33">
        <v>866</v>
      </c>
    </row>
    <row r="6801" spans="1:64" ht="12" customHeight="1" x14ac:dyDescent="0.15">
      <c r="A6801" s="33" t="s">
        <v>12586</v>
      </c>
      <c r="B6801" s="33">
        <v>24</v>
      </c>
      <c r="C6801" s="33" t="s">
        <v>14</v>
      </c>
      <c r="D6801" s="33" t="s">
        <v>31</v>
      </c>
      <c r="E6801" s="33" t="s">
        <v>12587</v>
      </c>
      <c r="F6801" s="67">
        <v>41552</v>
      </c>
      <c r="G6801" s="33" t="s">
        <v>12588</v>
      </c>
      <c r="H6801" s="33" t="s">
        <v>11453</v>
      </c>
      <c r="I6801" s="33" t="s">
        <v>282</v>
      </c>
      <c r="J6801" s="33" t="s">
        <v>12589</v>
      </c>
      <c r="K6801" s="33" t="s">
        <v>12590</v>
      </c>
      <c r="L6801" s="33" t="s">
        <v>11455</v>
      </c>
      <c r="M6801" s="33" t="s">
        <v>21</v>
      </c>
      <c r="N6801" s="33" t="s">
        <v>12591</v>
      </c>
      <c r="O6801" s="33" t="s">
        <v>507</v>
      </c>
      <c r="P6801" s="33" t="s">
        <v>30089</v>
      </c>
      <c r="Q6801" s="40" t="s">
        <v>12592</v>
      </c>
      <c r="R6801" s="33" t="s">
        <v>94</v>
      </c>
      <c r="S6801" s="33" t="s">
        <v>22</v>
      </c>
      <c r="T6801" s="1" t="s">
        <v>26781</v>
      </c>
      <c r="Z6801" s="33" t="s">
        <v>42968</v>
      </c>
      <c r="AA6801" s="33">
        <v>862</v>
      </c>
    </row>
    <row r="6802" spans="1:64" ht="12" customHeight="1" x14ac:dyDescent="0.15">
      <c r="A6802" s="33" t="s">
        <v>12575</v>
      </c>
      <c r="B6802" s="33">
        <v>39</v>
      </c>
      <c r="C6802" s="33" t="s">
        <v>14</v>
      </c>
      <c r="D6802" s="33" t="s">
        <v>31</v>
      </c>
      <c r="F6802" s="67">
        <v>41552</v>
      </c>
      <c r="G6802" s="33" t="s">
        <v>12576</v>
      </c>
      <c r="H6802" s="33" t="s">
        <v>12577</v>
      </c>
      <c r="I6802" s="33" t="s">
        <v>918</v>
      </c>
      <c r="J6802" s="33" t="s">
        <v>12578</v>
      </c>
      <c r="K6802" s="33" t="s">
        <v>2330</v>
      </c>
      <c r="L6802" s="33" t="s">
        <v>12579</v>
      </c>
      <c r="M6802" s="33" t="s">
        <v>21</v>
      </c>
      <c r="N6802" s="33" t="s">
        <v>12580</v>
      </c>
      <c r="O6802" s="33" t="s">
        <v>4311</v>
      </c>
      <c r="P6802" s="33" t="s">
        <v>30089</v>
      </c>
      <c r="Q6802" s="40" t="s">
        <v>12581</v>
      </c>
      <c r="R6802" s="33" t="s">
        <v>94</v>
      </c>
      <c r="S6802" s="33" t="s">
        <v>22</v>
      </c>
      <c r="T6802" s="1" t="s">
        <v>26781</v>
      </c>
      <c r="Z6802" s="33" t="s">
        <v>42968</v>
      </c>
      <c r="AA6802" s="33">
        <v>861</v>
      </c>
    </row>
    <row r="6803" spans="1:64" ht="12" customHeight="1" x14ac:dyDescent="0.15">
      <c r="A6803" s="33" t="s">
        <v>12564</v>
      </c>
      <c r="B6803" s="33">
        <v>28</v>
      </c>
      <c r="C6803" s="33" t="s">
        <v>14</v>
      </c>
      <c r="D6803" s="33" t="s">
        <v>79</v>
      </c>
      <c r="E6803" s="33" t="s">
        <v>12565</v>
      </c>
      <c r="F6803" s="67">
        <v>41552</v>
      </c>
      <c r="G6803" s="33" t="s">
        <v>22210</v>
      </c>
      <c r="H6803" s="33" t="s">
        <v>12566</v>
      </c>
      <c r="I6803" s="33" t="s">
        <v>38</v>
      </c>
      <c r="J6803" s="33" t="s">
        <v>12567</v>
      </c>
      <c r="K6803" s="33" t="s">
        <v>82</v>
      </c>
      <c r="L6803" s="33" t="s">
        <v>12568</v>
      </c>
      <c r="M6803" s="33" t="s">
        <v>21</v>
      </c>
      <c r="N6803" s="33" t="s">
        <v>12569</v>
      </c>
      <c r="O6803" s="33" t="s">
        <v>4311</v>
      </c>
      <c r="P6803" s="33" t="s">
        <v>30089</v>
      </c>
      <c r="Q6803" s="40" t="str">
        <f>HYPERLINK("http://www.chicagotribune.com/news/local/breaking/chi-at-least-1-wounded-in-policeinvolved-shooting-in-posen-20131004,0,7140004.story","http://www.chicagotribune.com/news/local/breaking/chi-at-least-1-wounded-in-policeinvolved-shooting-in-posen-20131004,0,7140004.story")</f>
        <v>http://www.chicagotribune.com/news/local/breaking/chi-at-least-1-wounded-in-policeinvolved-shooting-in-posen-20131004,0,7140004.story</v>
      </c>
      <c r="R6803" s="33" t="s">
        <v>94</v>
      </c>
      <c r="S6803" s="33" t="s">
        <v>29</v>
      </c>
      <c r="T6803" s="1" t="s">
        <v>41840</v>
      </c>
      <c r="Z6803" s="33" t="s">
        <v>42968</v>
      </c>
      <c r="AA6803" s="33">
        <v>864</v>
      </c>
    </row>
    <row r="6804" spans="1:64" ht="12" customHeight="1" x14ac:dyDescent="0.15">
      <c r="A6804" s="33" t="s">
        <v>12582</v>
      </c>
      <c r="B6804" s="33">
        <v>33</v>
      </c>
      <c r="C6804" s="33" t="s">
        <v>14</v>
      </c>
      <c r="D6804" s="33" t="s">
        <v>31</v>
      </c>
      <c r="E6804" s="33" t="s">
        <v>12583</v>
      </c>
      <c r="F6804" s="67">
        <v>41552</v>
      </c>
      <c r="G6804" s="33" t="s">
        <v>22211</v>
      </c>
      <c r="H6804" s="33" t="s">
        <v>6885</v>
      </c>
      <c r="I6804" s="33" t="s">
        <v>39</v>
      </c>
      <c r="J6804" s="33">
        <v>96001</v>
      </c>
      <c r="K6804" s="33" t="s">
        <v>6887</v>
      </c>
      <c r="L6804" s="33" t="s">
        <v>6888</v>
      </c>
      <c r="M6804" s="33" t="s">
        <v>2909</v>
      </c>
      <c r="N6804" s="33" t="s">
        <v>12584</v>
      </c>
      <c r="O6804" s="33" t="s">
        <v>23</v>
      </c>
      <c r="P6804" s="33" t="s">
        <v>30089</v>
      </c>
      <c r="Q6804" s="40" t="s">
        <v>12585</v>
      </c>
      <c r="R6804" s="33" t="s">
        <v>904</v>
      </c>
      <c r="S6804" s="33" t="s">
        <v>12</v>
      </c>
      <c r="T6804" s="54" t="s">
        <v>29705</v>
      </c>
      <c r="Z6804" s="33" t="s">
        <v>42968</v>
      </c>
      <c r="AA6804" s="33">
        <v>863</v>
      </c>
    </row>
    <row r="6805" spans="1:64" ht="12" customHeight="1" x14ac:dyDescent="0.15">
      <c r="A6805" s="33" t="s">
        <v>12570</v>
      </c>
      <c r="B6805" s="33">
        <v>25</v>
      </c>
      <c r="C6805" s="33" t="s">
        <v>14</v>
      </c>
      <c r="D6805" s="33" t="s">
        <v>79</v>
      </c>
      <c r="E6805" s="33" t="s">
        <v>12571</v>
      </c>
      <c r="F6805" s="67">
        <v>41552</v>
      </c>
      <c r="G6805" s="33" t="s">
        <v>12572</v>
      </c>
      <c r="H6805" s="33" t="s">
        <v>661</v>
      </c>
      <c r="I6805" s="33" t="s">
        <v>402</v>
      </c>
      <c r="J6805" s="33" t="s">
        <v>4371</v>
      </c>
      <c r="K6805" s="33" t="s">
        <v>661</v>
      </c>
      <c r="L6805" s="33" t="s">
        <v>4162</v>
      </c>
      <c r="M6805" s="33" t="s">
        <v>21</v>
      </c>
      <c r="N6805" s="33" t="s">
        <v>12573</v>
      </c>
      <c r="O6805" s="33" t="s">
        <v>950</v>
      </c>
      <c r="P6805" s="33" t="s">
        <v>30089</v>
      </c>
      <c r="Q6805" s="40" t="s">
        <v>12574</v>
      </c>
      <c r="R6805" s="33" t="s">
        <v>94</v>
      </c>
      <c r="S6805" s="33" t="s">
        <v>22</v>
      </c>
      <c r="T6805" s="1" t="s">
        <v>26781</v>
      </c>
      <c r="Z6805" s="33" t="s">
        <v>42966</v>
      </c>
      <c r="AA6805" s="33">
        <v>860</v>
      </c>
    </row>
    <row r="6806" spans="1:64" ht="12" customHeight="1" x14ac:dyDescent="0.15">
      <c r="A6806" s="33" t="s">
        <v>12602</v>
      </c>
      <c r="B6806" s="33">
        <v>21</v>
      </c>
      <c r="C6806" s="33" t="s">
        <v>14</v>
      </c>
      <c r="D6806" s="33" t="s">
        <v>31</v>
      </c>
      <c r="F6806" s="67">
        <v>41551</v>
      </c>
      <c r="G6806" s="33" t="s">
        <v>12603</v>
      </c>
      <c r="H6806" s="33" t="s">
        <v>11245</v>
      </c>
      <c r="I6806" s="33" t="s">
        <v>409</v>
      </c>
      <c r="J6806" s="33" t="s">
        <v>12604</v>
      </c>
      <c r="K6806" s="33" t="s">
        <v>1037</v>
      </c>
      <c r="L6806" s="33" t="s">
        <v>12605</v>
      </c>
      <c r="M6806" s="33" t="s">
        <v>21</v>
      </c>
      <c r="N6806" s="33" t="s">
        <v>12606</v>
      </c>
      <c r="O6806" s="33" t="s">
        <v>507</v>
      </c>
      <c r="P6806" s="33" t="s">
        <v>30089</v>
      </c>
      <c r="Q6806" s="40" t="s">
        <v>12607</v>
      </c>
      <c r="R6806" s="33" t="s">
        <v>512</v>
      </c>
      <c r="S6806" s="33" t="s">
        <v>22</v>
      </c>
      <c r="T6806" s="1" t="s">
        <v>26774</v>
      </c>
      <c r="Z6806" s="33" t="s">
        <v>42967</v>
      </c>
      <c r="AA6806" s="33">
        <v>857</v>
      </c>
    </row>
    <row r="6807" spans="1:64" ht="12" customHeight="1" x14ac:dyDescent="0.15">
      <c r="A6807" s="33" t="s">
        <v>12599</v>
      </c>
      <c r="B6807" s="33">
        <v>43</v>
      </c>
      <c r="C6807" s="33" t="s">
        <v>14</v>
      </c>
      <c r="D6807" s="33" t="s">
        <v>79</v>
      </c>
      <c r="F6807" s="67">
        <v>41551</v>
      </c>
      <c r="G6807" s="33" t="s">
        <v>12600</v>
      </c>
      <c r="H6807" s="33" t="s">
        <v>12544</v>
      </c>
      <c r="I6807" s="33" t="s">
        <v>160</v>
      </c>
      <c r="J6807" s="33" t="s">
        <v>12545</v>
      </c>
      <c r="K6807" s="33" t="s">
        <v>12546</v>
      </c>
      <c r="L6807" s="33" t="s">
        <v>12547</v>
      </c>
      <c r="M6807" s="33" t="s">
        <v>21</v>
      </c>
      <c r="N6807" s="33" t="s">
        <v>19074</v>
      </c>
      <c r="O6807" s="33" t="s">
        <v>507</v>
      </c>
      <c r="P6807" s="33" t="s">
        <v>30089</v>
      </c>
      <c r="Q6807" s="40" t="s">
        <v>19075</v>
      </c>
      <c r="R6807" s="33" t="s">
        <v>904</v>
      </c>
      <c r="S6807" s="33" t="s">
        <v>29</v>
      </c>
      <c r="T6807" s="33" t="s">
        <v>41840</v>
      </c>
      <c r="Z6807" s="33" t="s">
        <v>42966</v>
      </c>
      <c r="AA6807" s="33">
        <v>859</v>
      </c>
    </row>
    <row r="6808" spans="1:64" ht="12" customHeight="1" x14ac:dyDescent="0.15">
      <c r="A6808" s="33" t="s">
        <v>12593</v>
      </c>
      <c r="B6808" s="33">
        <v>29</v>
      </c>
      <c r="C6808" s="33" t="s">
        <v>14</v>
      </c>
      <c r="D6808" s="33" t="s">
        <v>79</v>
      </c>
      <c r="E6808" s="33" t="s">
        <v>12594</v>
      </c>
      <c r="F6808" s="67">
        <v>41551</v>
      </c>
      <c r="G6808" s="33" t="s">
        <v>12595</v>
      </c>
      <c r="H6808" s="33" t="s">
        <v>924</v>
      </c>
      <c r="I6808" s="33" t="s">
        <v>63</v>
      </c>
      <c r="J6808" s="33" t="s">
        <v>12596</v>
      </c>
      <c r="K6808" s="33" t="s">
        <v>95</v>
      </c>
      <c r="L6808" s="33" t="s">
        <v>29641</v>
      </c>
      <c r="M6808" s="33" t="s">
        <v>363</v>
      </c>
      <c r="N6808" s="33" t="s">
        <v>12597</v>
      </c>
      <c r="O6808" s="33" t="s">
        <v>4311</v>
      </c>
      <c r="P6808" s="33" t="s">
        <v>30089</v>
      </c>
      <c r="Q6808" s="40" t="s">
        <v>12598</v>
      </c>
      <c r="R6808" s="33" t="s">
        <v>94</v>
      </c>
      <c r="S6808" s="33" t="s">
        <v>12</v>
      </c>
      <c r="T6808" s="54" t="s">
        <v>29705</v>
      </c>
      <c r="Z6808" s="33" t="s">
        <v>42966</v>
      </c>
      <c r="AA6808" s="33">
        <v>858</v>
      </c>
    </row>
    <row r="6809" spans="1:64" ht="12" customHeight="1" x14ac:dyDescent="0.15">
      <c r="A6809" s="33" t="s">
        <v>12614</v>
      </c>
      <c r="B6809" s="33">
        <v>37</v>
      </c>
      <c r="C6809" s="33" t="s">
        <v>14</v>
      </c>
      <c r="D6809" s="33" t="s">
        <v>31</v>
      </c>
      <c r="E6809" s="33" t="s">
        <v>12615</v>
      </c>
      <c r="F6809" s="67">
        <v>41550</v>
      </c>
      <c r="G6809" s="33" t="s">
        <v>12616</v>
      </c>
      <c r="H6809" s="33" t="s">
        <v>12617</v>
      </c>
      <c r="I6809" s="33" t="s">
        <v>918</v>
      </c>
      <c r="J6809" s="33" t="s">
        <v>12618</v>
      </c>
      <c r="K6809" s="33" t="s">
        <v>4549</v>
      </c>
      <c r="L6809" s="33" t="s">
        <v>5937</v>
      </c>
      <c r="M6809" s="33" t="s">
        <v>21</v>
      </c>
      <c r="N6809" s="33" t="s">
        <v>12619</v>
      </c>
      <c r="O6809" s="33" t="s">
        <v>507</v>
      </c>
      <c r="P6809" s="33" t="s">
        <v>30089</v>
      </c>
      <c r="Q6809" s="40" t="s">
        <v>12620</v>
      </c>
      <c r="R6809" s="33" t="s">
        <v>512</v>
      </c>
      <c r="S6809" s="33" t="s">
        <v>22</v>
      </c>
      <c r="T6809" s="1" t="s">
        <v>26774</v>
      </c>
      <c r="Z6809" s="33" t="s">
        <v>42968</v>
      </c>
      <c r="AA6809" s="33">
        <v>855</v>
      </c>
    </row>
    <row r="6810" spans="1:64" ht="12" customHeight="1" x14ac:dyDescent="0.15">
      <c r="A6810" s="63" t="s">
        <v>42733</v>
      </c>
      <c r="B6810" s="99">
        <v>24</v>
      </c>
      <c r="C6810" s="10" t="s">
        <v>14</v>
      </c>
      <c r="D6810" s="10" t="s">
        <v>79</v>
      </c>
      <c r="E6810" s="62" t="s">
        <v>42734</v>
      </c>
      <c r="F6810" s="67">
        <v>41550</v>
      </c>
      <c r="G6810" s="10" t="s">
        <v>42735</v>
      </c>
      <c r="H6810" s="10" t="s">
        <v>11909</v>
      </c>
      <c r="I6810" s="10" t="s">
        <v>75</v>
      </c>
      <c r="J6810" s="65">
        <v>7111</v>
      </c>
      <c r="K6810" s="10" t="s">
        <v>486</v>
      </c>
      <c r="L6810" s="10" t="s">
        <v>2301</v>
      </c>
      <c r="M6810" s="10" t="s">
        <v>21</v>
      </c>
      <c r="N6810" s="10" t="s">
        <v>42736</v>
      </c>
      <c r="O6810" s="10" t="s">
        <v>950</v>
      </c>
      <c r="P6810" s="10" t="s">
        <v>30089</v>
      </c>
      <c r="Q6810" s="62" t="s">
        <v>42737</v>
      </c>
      <c r="R6810" s="10" t="s">
        <v>94</v>
      </c>
      <c r="S6810" s="10" t="s">
        <v>22</v>
      </c>
      <c r="T6810" s="10" t="s">
        <v>26781</v>
      </c>
      <c r="U6810" s="10"/>
      <c r="V6810" s="10"/>
      <c r="W6810" s="69"/>
      <c r="X6810" s="89"/>
      <c r="Y6810" s="68"/>
      <c r="Z6810" s="68" t="s">
        <v>42968</v>
      </c>
      <c r="AA6810" s="33">
        <v>854</v>
      </c>
      <c r="AG6810" s="68"/>
      <c r="AK6810" s="68"/>
      <c r="AL6810" s="68"/>
      <c r="AM6810" s="68"/>
      <c r="AN6810" s="68"/>
      <c r="AO6810" s="68"/>
      <c r="AP6810" s="68"/>
      <c r="AQ6810" s="68"/>
      <c r="AR6810" s="68"/>
      <c r="AS6810" s="68"/>
      <c r="AT6810" s="68"/>
      <c r="AU6810" s="68"/>
      <c r="AV6810" s="68"/>
      <c r="AW6810" s="68"/>
      <c r="AX6810" s="68"/>
      <c r="AY6810" s="68"/>
      <c r="AZ6810" s="68"/>
      <c r="BA6810" s="68"/>
      <c r="BB6810" s="68"/>
      <c r="BC6810" s="68"/>
      <c r="BD6810" s="68"/>
      <c r="BE6810" s="68"/>
      <c r="BF6810" s="68"/>
      <c r="BG6810" s="68"/>
      <c r="BH6810" s="68"/>
      <c r="BI6810" s="68"/>
      <c r="BJ6810" s="68"/>
      <c r="BK6810" s="68"/>
      <c r="BL6810" s="68"/>
    </row>
    <row r="6811" spans="1:64" ht="12" customHeight="1" x14ac:dyDescent="0.15">
      <c r="A6811" s="33" t="s">
        <v>12608</v>
      </c>
      <c r="B6811" s="103">
        <v>34</v>
      </c>
      <c r="C6811" s="33" t="s">
        <v>103</v>
      </c>
      <c r="D6811" s="33" t="s">
        <v>79</v>
      </c>
      <c r="E6811" s="33" t="s">
        <v>12609</v>
      </c>
      <c r="F6811" s="67">
        <v>41550</v>
      </c>
      <c r="G6811" s="33" t="s">
        <v>12610</v>
      </c>
      <c r="H6811" s="33" t="s">
        <v>107</v>
      </c>
      <c r="I6811" s="33" t="s">
        <v>3357</v>
      </c>
      <c r="J6811" s="33" t="s">
        <v>12611</v>
      </c>
      <c r="K6811" s="33" t="s">
        <v>3359</v>
      </c>
      <c r="L6811" s="33" t="s">
        <v>36940</v>
      </c>
      <c r="M6811" s="33" t="s">
        <v>21</v>
      </c>
      <c r="N6811" s="33" t="s">
        <v>12612</v>
      </c>
      <c r="O6811" s="33" t="s">
        <v>23</v>
      </c>
      <c r="P6811" s="33" t="s">
        <v>30089</v>
      </c>
      <c r="Q6811" s="40" t="s">
        <v>12613</v>
      </c>
      <c r="R6811" s="33" t="s">
        <v>94</v>
      </c>
      <c r="S6811" s="33" t="s">
        <v>351</v>
      </c>
      <c r="T6811" s="1" t="s">
        <v>42983</v>
      </c>
      <c r="Z6811" s="33" t="s">
        <v>42966</v>
      </c>
      <c r="AA6811" s="33">
        <v>856</v>
      </c>
    </row>
    <row r="6812" spans="1:64" ht="12" customHeight="1" x14ac:dyDescent="0.15">
      <c r="A6812" s="33" t="s">
        <v>12621</v>
      </c>
      <c r="B6812" s="33">
        <v>39</v>
      </c>
      <c r="C6812" s="33" t="s">
        <v>14</v>
      </c>
      <c r="D6812" s="33" t="s">
        <v>79</v>
      </c>
      <c r="E6812" s="33" t="s">
        <v>12622</v>
      </c>
      <c r="F6812" s="67">
        <v>41549</v>
      </c>
      <c r="G6812" s="33" t="s">
        <v>12623</v>
      </c>
      <c r="H6812" s="33" t="s">
        <v>12624</v>
      </c>
      <c r="I6812" s="33" t="s">
        <v>46</v>
      </c>
      <c r="J6812" s="33" t="s">
        <v>12625</v>
      </c>
      <c r="K6812" s="33" t="s">
        <v>2210</v>
      </c>
      <c r="L6812" s="33" t="s">
        <v>705</v>
      </c>
      <c r="M6812" s="33" t="s">
        <v>21</v>
      </c>
      <c r="N6812" s="33" t="s">
        <v>12626</v>
      </c>
      <c r="O6812" s="33" t="s">
        <v>950</v>
      </c>
      <c r="P6812" s="33" t="s">
        <v>30089</v>
      </c>
      <c r="Q6812" s="40" t="str">
        <f>HYPERLINK("http://pgpolice.blogspot.com/2013/10/pgpd-investigates-police-involved.html","http://pgpolice.blogspot.com/2013/10/pgpd-investigates-police-involved.html")</f>
        <v>http://pgpolice.blogspot.com/2013/10/pgpd-investigates-police-involved.html</v>
      </c>
      <c r="R6812" s="33" t="s">
        <v>94</v>
      </c>
      <c r="S6812" s="33" t="s">
        <v>12</v>
      </c>
      <c r="T6812" s="54" t="s">
        <v>29705</v>
      </c>
      <c r="Z6812" s="33" t="s">
        <v>42968</v>
      </c>
      <c r="AA6812" s="33">
        <v>853</v>
      </c>
    </row>
    <row r="6813" spans="1:64" ht="12" customHeight="1" x14ac:dyDescent="0.15">
      <c r="A6813" s="33" t="s">
        <v>3002</v>
      </c>
      <c r="B6813" s="33">
        <v>20</v>
      </c>
      <c r="C6813" s="33" t="s">
        <v>14</v>
      </c>
      <c r="D6813" s="33" t="s">
        <v>42</v>
      </c>
      <c r="F6813" s="67">
        <v>41548</v>
      </c>
      <c r="G6813" s="33" t="s">
        <v>12632</v>
      </c>
      <c r="H6813" s="33" t="s">
        <v>4636</v>
      </c>
      <c r="I6813" s="33" t="s">
        <v>67</v>
      </c>
      <c r="J6813" s="33" t="s">
        <v>4637</v>
      </c>
      <c r="K6813" s="33" t="s">
        <v>4537</v>
      </c>
      <c r="L6813" s="33" t="s">
        <v>4638</v>
      </c>
      <c r="M6813" s="33" t="s">
        <v>21</v>
      </c>
      <c r="N6813" s="33" t="s">
        <v>12633</v>
      </c>
      <c r="O6813" s="33" t="s">
        <v>4311</v>
      </c>
      <c r="P6813" s="33" t="s">
        <v>30089</v>
      </c>
      <c r="Q6813" s="40" t="str">
        <f>HYPERLINK("http://abc13.com/archive/9270067/","http://abc13.com/archive/9270067/")</f>
        <v>http://abc13.com/archive/9270067/</v>
      </c>
      <c r="R6813" s="33" t="s">
        <v>94</v>
      </c>
      <c r="S6813" s="33" t="s">
        <v>22</v>
      </c>
      <c r="T6813" s="33" t="s">
        <v>26781</v>
      </c>
      <c r="Z6813" s="33" t="s">
        <v>42967</v>
      </c>
      <c r="AA6813" s="33">
        <v>851</v>
      </c>
    </row>
    <row r="6814" spans="1:64" ht="12" customHeight="1" x14ac:dyDescent="0.15">
      <c r="A6814" s="33" t="s">
        <v>12630</v>
      </c>
      <c r="B6814" s="33">
        <v>35</v>
      </c>
      <c r="C6814" s="33" t="s">
        <v>14</v>
      </c>
      <c r="D6814" s="33" t="s">
        <v>42</v>
      </c>
      <c r="F6814" s="67">
        <v>41548</v>
      </c>
      <c r="H6814" s="33" t="s">
        <v>4636</v>
      </c>
      <c r="I6814" s="33" t="s">
        <v>67</v>
      </c>
      <c r="K6814" s="33" t="s">
        <v>4537</v>
      </c>
      <c r="L6814" s="33" t="s">
        <v>4638</v>
      </c>
      <c r="M6814" s="33" t="s">
        <v>21</v>
      </c>
      <c r="P6814" s="33" t="s">
        <v>30089</v>
      </c>
      <c r="Q6814" s="40" t="s">
        <v>12631</v>
      </c>
      <c r="R6814" s="33" t="s">
        <v>23</v>
      </c>
      <c r="S6814" s="33" t="s">
        <v>22</v>
      </c>
      <c r="T6814" s="1" t="s">
        <v>26781</v>
      </c>
      <c r="Z6814" s="33" t="e">
        <v>#N/A</v>
      </c>
      <c r="AA6814" s="33">
        <v>850</v>
      </c>
    </row>
    <row r="6815" spans="1:64" ht="12" customHeight="1" x14ac:dyDescent="0.15">
      <c r="A6815" s="33" t="s">
        <v>12634</v>
      </c>
      <c r="B6815" s="33">
        <v>45</v>
      </c>
      <c r="C6815" s="33" t="s">
        <v>103</v>
      </c>
      <c r="D6815" s="33" t="s">
        <v>31</v>
      </c>
      <c r="F6815" s="67">
        <v>41548</v>
      </c>
      <c r="G6815" s="33" t="s">
        <v>30071</v>
      </c>
      <c r="H6815" s="33" t="s">
        <v>5677</v>
      </c>
      <c r="I6815" s="33" t="s">
        <v>468</v>
      </c>
      <c r="J6815" s="33" t="s">
        <v>30072</v>
      </c>
      <c r="K6815" s="33" t="s">
        <v>590</v>
      </c>
      <c r="L6815" s="33" t="s">
        <v>12635</v>
      </c>
      <c r="M6815" s="33" t="s">
        <v>21</v>
      </c>
      <c r="N6815" s="33" t="s">
        <v>30073</v>
      </c>
      <c r="O6815" s="33" t="s">
        <v>372</v>
      </c>
      <c r="P6815" s="33" t="s">
        <v>30089</v>
      </c>
      <c r="Q6815" s="40" t="s">
        <v>12636</v>
      </c>
      <c r="R6815" s="33" t="s">
        <v>23</v>
      </c>
      <c r="S6815" s="33" t="s">
        <v>351</v>
      </c>
      <c r="T6815" s="1" t="s">
        <v>26867</v>
      </c>
      <c r="Z6815" s="33" t="s">
        <v>42968</v>
      </c>
      <c r="AA6815" s="33">
        <v>852</v>
      </c>
    </row>
    <row r="6816" spans="1:64" ht="12" customHeight="1" x14ac:dyDescent="0.15">
      <c r="A6816" s="33" t="s">
        <v>12627</v>
      </c>
      <c r="B6816" s="33">
        <v>31</v>
      </c>
      <c r="C6816" s="33" t="s">
        <v>103</v>
      </c>
      <c r="D6816" s="33" t="s">
        <v>42</v>
      </c>
      <c r="F6816" s="67">
        <v>41548</v>
      </c>
      <c r="G6816" s="33" t="s">
        <v>22212</v>
      </c>
      <c r="H6816" s="33" t="s">
        <v>631</v>
      </c>
      <c r="I6816" s="33" t="s">
        <v>39</v>
      </c>
      <c r="J6816" s="33" t="s">
        <v>7369</v>
      </c>
      <c r="K6816" s="33" t="s">
        <v>632</v>
      </c>
      <c r="L6816" s="33" t="s">
        <v>633</v>
      </c>
      <c r="M6816" s="33" t="s">
        <v>21</v>
      </c>
      <c r="N6816" s="33" t="s">
        <v>12628</v>
      </c>
      <c r="O6816" s="33" t="s">
        <v>4311</v>
      </c>
      <c r="P6816" s="33" t="s">
        <v>30089</v>
      </c>
      <c r="Q6816" s="40" t="s">
        <v>12629</v>
      </c>
      <c r="R6816" s="33" t="s">
        <v>512</v>
      </c>
      <c r="S6816" s="33" t="s">
        <v>22</v>
      </c>
      <c r="T6816" s="1" t="s">
        <v>26781</v>
      </c>
      <c r="Z6816" s="33" t="s">
        <v>42968</v>
      </c>
      <c r="AA6816" s="33">
        <v>849</v>
      </c>
    </row>
    <row r="6817" spans="1:64" ht="12" customHeight="1" x14ac:dyDescent="0.15">
      <c r="A6817" s="33" t="s">
        <v>12637</v>
      </c>
      <c r="B6817" s="33">
        <v>19</v>
      </c>
      <c r="C6817" s="33" t="s">
        <v>14</v>
      </c>
      <c r="D6817" s="33" t="s">
        <v>79</v>
      </c>
      <c r="E6817" s="33" t="s">
        <v>12638</v>
      </c>
      <c r="F6817" s="67">
        <v>41546</v>
      </c>
      <c r="G6817" s="33" t="s">
        <v>12639</v>
      </c>
      <c r="H6817" s="33" t="s">
        <v>12640</v>
      </c>
      <c r="I6817" s="33" t="s">
        <v>338</v>
      </c>
      <c r="J6817" s="33" t="s">
        <v>12641</v>
      </c>
      <c r="K6817" s="33" t="s">
        <v>12526</v>
      </c>
      <c r="L6817" s="33" t="s">
        <v>12642</v>
      </c>
      <c r="M6817" s="33" t="s">
        <v>21</v>
      </c>
      <c r="N6817" s="33" t="s">
        <v>12643</v>
      </c>
      <c r="O6817" s="33" t="s">
        <v>507</v>
      </c>
      <c r="P6817" s="33" t="s">
        <v>30089</v>
      </c>
      <c r="Q6817" s="40" t="s">
        <v>12644</v>
      </c>
      <c r="R6817" s="33" t="s">
        <v>94</v>
      </c>
      <c r="S6817" s="33" t="s">
        <v>12</v>
      </c>
      <c r="T6817" s="54" t="s">
        <v>29705</v>
      </c>
      <c r="Z6817" s="33" t="s">
        <v>42968</v>
      </c>
      <c r="AA6817" s="33">
        <v>848</v>
      </c>
    </row>
    <row r="6818" spans="1:64" ht="12" customHeight="1" x14ac:dyDescent="0.15">
      <c r="A6818" s="33" t="s">
        <v>12645</v>
      </c>
      <c r="B6818" s="33">
        <v>37</v>
      </c>
      <c r="C6818" s="33" t="s">
        <v>14</v>
      </c>
      <c r="D6818" s="33" t="s">
        <v>31</v>
      </c>
      <c r="E6818" s="33" t="s">
        <v>12646</v>
      </c>
      <c r="F6818" s="67">
        <v>41546</v>
      </c>
      <c r="G6818" s="33" t="s">
        <v>12647</v>
      </c>
      <c r="H6818" s="33" t="s">
        <v>12648</v>
      </c>
      <c r="I6818" s="33" t="s">
        <v>221</v>
      </c>
      <c r="J6818" s="33" t="s">
        <v>12649</v>
      </c>
      <c r="K6818" s="33" t="s">
        <v>4828</v>
      </c>
      <c r="L6818" s="33" t="s">
        <v>12650</v>
      </c>
      <c r="M6818" s="33" t="s">
        <v>21</v>
      </c>
      <c r="N6818" s="33" t="s">
        <v>12651</v>
      </c>
      <c r="O6818" s="33" t="s">
        <v>507</v>
      </c>
      <c r="P6818" s="33" t="s">
        <v>30089</v>
      </c>
      <c r="Q6818" s="40" t="s">
        <v>4830</v>
      </c>
      <c r="R6818" s="33" t="s">
        <v>512</v>
      </c>
      <c r="S6818" s="33" t="s">
        <v>22</v>
      </c>
      <c r="T6818" s="1" t="s">
        <v>26781</v>
      </c>
      <c r="Z6818" s="33" t="s">
        <v>42967</v>
      </c>
      <c r="AA6818" s="33">
        <v>847</v>
      </c>
    </row>
    <row r="6819" spans="1:64" ht="12" customHeight="1" x14ac:dyDescent="0.15">
      <c r="A6819" s="33" t="s">
        <v>12652</v>
      </c>
      <c r="B6819" s="33">
        <v>35</v>
      </c>
      <c r="C6819" s="33" t="s">
        <v>14</v>
      </c>
      <c r="D6819" s="33" t="s">
        <v>31</v>
      </c>
      <c r="E6819" s="33" t="s">
        <v>12653</v>
      </c>
      <c r="F6819" s="67">
        <v>41545</v>
      </c>
      <c r="G6819" s="33" t="s">
        <v>22213</v>
      </c>
      <c r="H6819" s="33" t="s">
        <v>12654</v>
      </c>
      <c r="I6819" s="33" t="s">
        <v>46</v>
      </c>
      <c r="J6819" s="33" t="s">
        <v>12655</v>
      </c>
      <c r="K6819" s="33" t="s">
        <v>8833</v>
      </c>
      <c r="L6819" s="33" t="s">
        <v>12656</v>
      </c>
      <c r="M6819" s="33" t="s">
        <v>21</v>
      </c>
      <c r="N6819" s="33" t="s">
        <v>12657</v>
      </c>
      <c r="O6819" s="33" t="s">
        <v>372</v>
      </c>
      <c r="P6819" s="33" t="s">
        <v>30089</v>
      </c>
      <c r="Q6819" s="40" t="s">
        <v>12658</v>
      </c>
      <c r="R6819" s="33" t="s">
        <v>23</v>
      </c>
      <c r="S6819" s="33" t="s">
        <v>29</v>
      </c>
      <c r="T6819" s="1" t="s">
        <v>41840</v>
      </c>
      <c r="Z6819" s="33" t="s">
        <v>42968</v>
      </c>
      <c r="AA6819" s="33">
        <v>846</v>
      </c>
    </row>
    <row r="6820" spans="1:64" ht="12" customHeight="1" x14ac:dyDescent="0.15">
      <c r="A6820" s="33" t="s">
        <v>12659</v>
      </c>
      <c r="B6820" s="33">
        <v>19</v>
      </c>
      <c r="C6820" s="33" t="s">
        <v>14</v>
      </c>
      <c r="D6820" s="33" t="s">
        <v>31</v>
      </c>
      <c r="E6820" s="33" t="s">
        <v>12660</v>
      </c>
      <c r="F6820" s="67">
        <v>41544</v>
      </c>
      <c r="G6820" s="33" t="s">
        <v>12661</v>
      </c>
      <c r="H6820" s="33" t="s">
        <v>12662</v>
      </c>
      <c r="I6820" s="33" t="s">
        <v>67</v>
      </c>
      <c r="J6820" s="33" t="s">
        <v>12663</v>
      </c>
      <c r="K6820" s="33" t="s">
        <v>47</v>
      </c>
      <c r="L6820" s="33" t="s">
        <v>12664</v>
      </c>
      <c r="M6820" s="33" t="s">
        <v>21</v>
      </c>
      <c r="N6820" s="33" t="s">
        <v>12665</v>
      </c>
      <c r="O6820" s="33" t="s">
        <v>950</v>
      </c>
      <c r="P6820" s="33" t="s">
        <v>30089</v>
      </c>
      <c r="Q6820" s="40" t="s">
        <v>12666</v>
      </c>
      <c r="R6820" s="33" t="s">
        <v>94</v>
      </c>
      <c r="S6820" s="33" t="s">
        <v>22</v>
      </c>
      <c r="T6820" s="1" t="s">
        <v>26576</v>
      </c>
      <c r="Z6820" s="33" t="s">
        <v>42968</v>
      </c>
      <c r="AA6820" s="33">
        <v>845</v>
      </c>
    </row>
    <row r="6821" spans="1:64" ht="12" customHeight="1" x14ac:dyDescent="0.15">
      <c r="A6821" s="33" t="s">
        <v>12667</v>
      </c>
      <c r="B6821" s="33">
        <v>34</v>
      </c>
      <c r="C6821" s="33" t="s">
        <v>14</v>
      </c>
      <c r="D6821" s="33" t="s">
        <v>79</v>
      </c>
      <c r="F6821" s="67">
        <v>41543</v>
      </c>
      <c r="G6821" s="33" t="s">
        <v>12668</v>
      </c>
      <c r="H6821" s="33" t="s">
        <v>12669</v>
      </c>
      <c r="I6821" s="33" t="s">
        <v>88</v>
      </c>
      <c r="J6821" s="33" t="s">
        <v>12670</v>
      </c>
      <c r="K6821" s="33" t="s">
        <v>12671</v>
      </c>
      <c r="L6821" s="33" t="s">
        <v>12672</v>
      </c>
      <c r="M6821" s="33" t="s">
        <v>21</v>
      </c>
      <c r="N6821" s="33" t="s">
        <v>12673</v>
      </c>
      <c r="O6821" s="33" t="s">
        <v>950</v>
      </c>
      <c r="P6821" s="33" t="s">
        <v>30089</v>
      </c>
      <c r="Q6821" s="40" t="s">
        <v>12674</v>
      </c>
      <c r="R6821" s="33" t="s">
        <v>23</v>
      </c>
      <c r="S6821" s="33" t="s">
        <v>22</v>
      </c>
      <c r="T6821" s="1" t="s">
        <v>26781</v>
      </c>
      <c r="Z6821" s="33" t="s">
        <v>42967</v>
      </c>
      <c r="AA6821" s="33">
        <v>843</v>
      </c>
    </row>
    <row r="6822" spans="1:64" ht="12" customHeight="1" x14ac:dyDescent="0.15">
      <c r="A6822" s="33" t="s">
        <v>12675</v>
      </c>
      <c r="B6822" s="33">
        <v>57</v>
      </c>
      <c r="C6822" s="33" t="s">
        <v>14</v>
      </c>
      <c r="D6822" s="33" t="s">
        <v>31</v>
      </c>
      <c r="E6822" s="33" t="s">
        <v>12676</v>
      </c>
      <c r="F6822" s="67">
        <v>41543</v>
      </c>
      <c r="G6822" s="33" t="s">
        <v>12677</v>
      </c>
      <c r="H6822" s="33" t="s">
        <v>266</v>
      </c>
      <c r="I6822" s="33" t="s">
        <v>67</v>
      </c>
      <c r="J6822" s="33" t="s">
        <v>12678</v>
      </c>
      <c r="K6822" s="33" t="s">
        <v>266</v>
      </c>
      <c r="L6822" s="33" t="s">
        <v>267</v>
      </c>
      <c r="M6822" s="33" t="s">
        <v>21</v>
      </c>
      <c r="N6822" s="33" t="s">
        <v>12679</v>
      </c>
      <c r="O6822" s="33" t="s">
        <v>950</v>
      </c>
      <c r="P6822" s="33" t="s">
        <v>30089</v>
      </c>
      <c r="Q6822" s="40" t="s">
        <v>12680</v>
      </c>
      <c r="R6822" s="33" t="s">
        <v>94</v>
      </c>
      <c r="S6822" s="33" t="s">
        <v>22</v>
      </c>
      <c r="T6822" s="1" t="s">
        <v>26781</v>
      </c>
      <c r="Z6822" s="33" t="s">
        <v>42968</v>
      </c>
      <c r="AA6822" s="33">
        <v>844</v>
      </c>
    </row>
    <row r="6823" spans="1:64" ht="12" customHeight="1" x14ac:dyDescent="0.15">
      <c r="A6823" s="33" t="s">
        <v>12681</v>
      </c>
      <c r="B6823" s="33">
        <v>39</v>
      </c>
      <c r="C6823" s="33" t="s">
        <v>14</v>
      </c>
      <c r="D6823" s="33" t="s">
        <v>31</v>
      </c>
      <c r="E6823" s="33" t="s">
        <v>12682</v>
      </c>
      <c r="F6823" s="67">
        <v>41543</v>
      </c>
      <c r="G6823" s="33" t="s">
        <v>12683</v>
      </c>
      <c r="H6823" s="33" t="s">
        <v>451</v>
      </c>
      <c r="I6823" s="33" t="s">
        <v>39</v>
      </c>
      <c r="J6823" s="33" t="s">
        <v>1930</v>
      </c>
      <c r="K6823" s="33" t="s">
        <v>92</v>
      </c>
      <c r="L6823" s="33" t="s">
        <v>452</v>
      </c>
      <c r="M6823" s="33" t="s">
        <v>21</v>
      </c>
      <c r="N6823" s="33" t="s">
        <v>12684</v>
      </c>
      <c r="O6823" s="33" t="s">
        <v>950</v>
      </c>
      <c r="P6823" s="33" t="s">
        <v>30089</v>
      </c>
      <c r="Q6823" s="40" t="str">
        <f>HYPERLINK("http://www.presstelegram.com/general-news/20130926/long-beach-police-kill-man-in-departments-third-ois-in-past-week","http://www.presstelegram.com/general-news/20130926/long-beach-police-kill-man-in-departments-third-ois-in-past-week")</f>
        <v>http://www.presstelegram.com/general-news/20130926/long-beach-police-kill-man-in-departments-third-ois-in-past-week</v>
      </c>
      <c r="R6823" s="33" t="s">
        <v>94</v>
      </c>
      <c r="S6823" s="33" t="s">
        <v>22</v>
      </c>
      <c r="T6823" s="1" t="s">
        <v>29865</v>
      </c>
      <c r="Z6823" s="33" t="s">
        <v>42966</v>
      </c>
      <c r="AA6823" s="33">
        <v>842</v>
      </c>
    </row>
    <row r="6824" spans="1:64" ht="12" customHeight="1" x14ac:dyDescent="0.15">
      <c r="A6824" s="33" t="s">
        <v>12703</v>
      </c>
      <c r="B6824" s="33">
        <v>22</v>
      </c>
      <c r="C6824" s="33" t="s">
        <v>14</v>
      </c>
      <c r="D6824" s="33" t="s">
        <v>31</v>
      </c>
      <c r="E6824" s="33" t="s">
        <v>12704</v>
      </c>
      <c r="F6824" s="67">
        <v>41542</v>
      </c>
      <c r="G6824" s="33" t="s">
        <v>12705</v>
      </c>
      <c r="H6824" s="33" t="s">
        <v>4934</v>
      </c>
      <c r="I6824" s="33" t="s">
        <v>56</v>
      </c>
      <c r="J6824" s="33" t="s">
        <v>4935</v>
      </c>
      <c r="K6824" s="33" t="s">
        <v>3571</v>
      </c>
      <c r="L6824" s="33" t="s">
        <v>4936</v>
      </c>
      <c r="M6824" s="33" t="s">
        <v>21</v>
      </c>
      <c r="N6824" s="33" t="s">
        <v>12706</v>
      </c>
      <c r="O6824" s="33" t="s">
        <v>507</v>
      </c>
      <c r="P6824" s="33" t="s">
        <v>30089</v>
      </c>
      <c r="Q6824" s="40" t="s">
        <v>12707</v>
      </c>
      <c r="R6824" s="33" t="s">
        <v>94</v>
      </c>
      <c r="S6824" s="33" t="s">
        <v>22</v>
      </c>
      <c r="T6824" s="1" t="s">
        <v>26781</v>
      </c>
      <c r="Z6824" s="33" t="s">
        <v>42968</v>
      </c>
      <c r="AA6824" s="33">
        <v>840</v>
      </c>
    </row>
    <row r="6825" spans="1:64" ht="12" customHeight="1" x14ac:dyDescent="0.15">
      <c r="A6825" s="33" t="s">
        <v>3002</v>
      </c>
      <c r="B6825" s="33">
        <v>45</v>
      </c>
      <c r="C6825" s="33" t="s">
        <v>14</v>
      </c>
      <c r="D6825" s="33" t="s">
        <v>42</v>
      </c>
      <c r="F6825" s="67">
        <v>41542</v>
      </c>
      <c r="G6825" s="33" t="s">
        <v>12685</v>
      </c>
      <c r="H6825" s="33" t="s">
        <v>674</v>
      </c>
      <c r="I6825" s="33" t="s">
        <v>67</v>
      </c>
      <c r="J6825" s="33" t="s">
        <v>12686</v>
      </c>
      <c r="K6825" s="33" t="s">
        <v>515</v>
      </c>
      <c r="L6825" s="33" t="s">
        <v>675</v>
      </c>
      <c r="M6825" s="33" t="s">
        <v>21</v>
      </c>
      <c r="N6825" s="33" t="s">
        <v>12687</v>
      </c>
      <c r="O6825" s="33" t="s">
        <v>950</v>
      </c>
      <c r="P6825" s="33" t="s">
        <v>30089</v>
      </c>
      <c r="Q6825" s="40" t="s">
        <v>12688</v>
      </c>
      <c r="R6825" s="33" t="s">
        <v>94</v>
      </c>
      <c r="S6825" s="33" t="s">
        <v>22</v>
      </c>
      <c r="T6825" s="1" t="s">
        <v>26781</v>
      </c>
      <c r="Z6825" s="33" t="s">
        <v>42966</v>
      </c>
      <c r="AA6825" s="33">
        <v>839</v>
      </c>
    </row>
    <row r="6826" spans="1:64" ht="12" customHeight="1" x14ac:dyDescent="0.15">
      <c r="A6826" s="63" t="s">
        <v>42693</v>
      </c>
      <c r="B6826" s="99">
        <v>55</v>
      </c>
      <c r="C6826" s="10" t="s">
        <v>14</v>
      </c>
      <c r="D6826" s="10" t="s">
        <v>42</v>
      </c>
      <c r="E6826" s="62" t="s">
        <v>42694</v>
      </c>
      <c r="F6826" s="67">
        <v>41542</v>
      </c>
      <c r="G6826" s="10" t="s">
        <v>42695</v>
      </c>
      <c r="H6826" s="10" t="s">
        <v>674</v>
      </c>
      <c r="I6826" s="10" t="s">
        <v>67</v>
      </c>
      <c r="J6826" s="65">
        <v>77093</v>
      </c>
      <c r="K6826" s="10" t="s">
        <v>515</v>
      </c>
      <c r="L6826" s="10" t="s">
        <v>675</v>
      </c>
      <c r="M6826" s="10" t="s">
        <v>21</v>
      </c>
      <c r="N6826" s="10" t="s">
        <v>42696</v>
      </c>
      <c r="O6826" s="10" t="s">
        <v>42518</v>
      </c>
      <c r="P6826" s="10" t="s">
        <v>30089</v>
      </c>
      <c r="Q6826" s="62" t="s">
        <v>42697</v>
      </c>
      <c r="R6826" s="10" t="s">
        <v>94</v>
      </c>
      <c r="S6826" s="10" t="s">
        <v>22</v>
      </c>
      <c r="T6826" s="10" t="s">
        <v>26781</v>
      </c>
      <c r="U6826" s="10"/>
      <c r="V6826" s="10"/>
      <c r="W6826" s="10"/>
      <c r="X6826" s="89"/>
      <c r="Y6826" s="68"/>
      <c r="Z6826" s="68" t="s">
        <v>42966</v>
      </c>
      <c r="AA6826" s="33">
        <v>841</v>
      </c>
      <c r="AG6826" s="68"/>
      <c r="AK6826" s="68"/>
      <c r="AL6826" s="68"/>
      <c r="AM6826" s="68"/>
      <c r="AN6826" s="68"/>
      <c r="AO6826" s="68"/>
      <c r="AP6826" s="68"/>
      <c r="AQ6826" s="68"/>
      <c r="AR6826" s="68"/>
      <c r="AS6826" s="68"/>
      <c r="AT6826" s="68"/>
      <c r="AU6826" s="68"/>
      <c r="AV6826" s="68"/>
      <c r="AW6826" s="68"/>
      <c r="AX6826" s="68"/>
      <c r="AY6826" s="68"/>
      <c r="AZ6826" s="68"/>
      <c r="BA6826" s="68"/>
      <c r="BB6826" s="68"/>
      <c r="BC6826" s="68"/>
      <c r="BD6826" s="68"/>
      <c r="BE6826" s="68"/>
      <c r="BF6826" s="68"/>
      <c r="BG6826" s="68"/>
      <c r="BH6826" s="68"/>
      <c r="BI6826" s="68"/>
      <c r="BJ6826" s="68"/>
      <c r="BK6826" s="68"/>
      <c r="BL6826" s="68"/>
    </row>
    <row r="6827" spans="1:64" ht="12" customHeight="1" x14ac:dyDescent="0.15">
      <c r="A6827" s="33" t="s">
        <v>12689</v>
      </c>
      <c r="B6827" s="33">
        <v>21</v>
      </c>
      <c r="C6827" s="33" t="s">
        <v>14</v>
      </c>
      <c r="D6827" s="33" t="s">
        <v>42</v>
      </c>
      <c r="F6827" s="67">
        <v>41542</v>
      </c>
      <c r="G6827" s="33" t="s">
        <v>12690</v>
      </c>
      <c r="H6827" s="33" t="s">
        <v>12691</v>
      </c>
      <c r="I6827" s="33" t="s">
        <v>67</v>
      </c>
      <c r="J6827" s="33" t="s">
        <v>12692</v>
      </c>
      <c r="K6827" s="33" t="s">
        <v>12693</v>
      </c>
      <c r="L6827" s="33" t="s">
        <v>12694</v>
      </c>
      <c r="M6827" s="33" t="s">
        <v>21</v>
      </c>
      <c r="N6827" s="33" t="s">
        <v>12695</v>
      </c>
      <c r="O6827" s="33" t="s">
        <v>4311</v>
      </c>
      <c r="P6827" s="33" t="s">
        <v>30089</v>
      </c>
      <c r="Q6827" s="40" t="s">
        <v>12696</v>
      </c>
      <c r="R6827" s="33" t="s">
        <v>94</v>
      </c>
      <c r="S6827" s="33" t="s">
        <v>22</v>
      </c>
      <c r="T6827" s="1" t="s">
        <v>26781</v>
      </c>
      <c r="Z6827" s="33" t="s">
        <v>42967</v>
      </c>
      <c r="AA6827" s="33">
        <v>838</v>
      </c>
    </row>
    <row r="6828" spans="1:64" ht="12" customHeight="1" x14ac:dyDescent="0.15">
      <c r="A6828" s="33" t="s">
        <v>12697</v>
      </c>
      <c r="B6828" s="33">
        <v>32</v>
      </c>
      <c r="C6828" s="33" t="s">
        <v>14</v>
      </c>
      <c r="D6828" s="33" t="s">
        <v>42</v>
      </c>
      <c r="E6828" s="33" t="s">
        <v>12698</v>
      </c>
      <c r="F6828" s="67">
        <v>41542</v>
      </c>
      <c r="G6828" s="33" t="s">
        <v>12699</v>
      </c>
      <c r="H6828" s="33" t="s">
        <v>5239</v>
      </c>
      <c r="I6828" s="33" t="s">
        <v>39</v>
      </c>
      <c r="J6828" s="33" t="s">
        <v>12700</v>
      </c>
      <c r="K6828" s="33" t="s">
        <v>92</v>
      </c>
      <c r="L6828" s="33" t="s">
        <v>93</v>
      </c>
      <c r="M6828" s="33" t="s">
        <v>21</v>
      </c>
      <c r="N6828" s="33" t="s">
        <v>12701</v>
      </c>
      <c r="O6828" s="33" t="s">
        <v>950</v>
      </c>
      <c r="P6828" s="33" t="s">
        <v>30089</v>
      </c>
      <c r="Q6828" s="40" t="s">
        <v>12702</v>
      </c>
      <c r="R6828" s="33" t="s">
        <v>94</v>
      </c>
      <c r="S6828" s="33" t="s">
        <v>22</v>
      </c>
      <c r="T6828" s="1" t="s">
        <v>26781</v>
      </c>
      <c r="Z6828" s="33" t="s">
        <v>42968</v>
      </c>
      <c r="AA6828" s="33">
        <v>837</v>
      </c>
    </row>
    <row r="6829" spans="1:64" ht="12" customHeight="1" x14ac:dyDescent="0.15">
      <c r="A6829" s="33" t="s">
        <v>12715</v>
      </c>
      <c r="B6829" s="33">
        <v>21</v>
      </c>
      <c r="C6829" s="33" t="s">
        <v>14</v>
      </c>
      <c r="D6829" s="33" t="s">
        <v>31</v>
      </c>
      <c r="E6829" s="33" t="s">
        <v>12716</v>
      </c>
      <c r="F6829" s="67">
        <v>41541</v>
      </c>
      <c r="G6829" s="33" t="s">
        <v>12717</v>
      </c>
      <c r="H6829" s="33" t="s">
        <v>12718</v>
      </c>
      <c r="I6829" s="33" t="s">
        <v>39</v>
      </c>
      <c r="J6829" s="33" t="s">
        <v>12719</v>
      </c>
      <c r="K6829" s="33" t="s">
        <v>998</v>
      </c>
      <c r="L6829" s="33" t="s">
        <v>2204</v>
      </c>
      <c r="M6829" s="33" t="s">
        <v>21</v>
      </c>
      <c r="N6829" s="33" t="s">
        <v>12720</v>
      </c>
      <c r="P6829" s="33" t="s">
        <v>30089</v>
      </c>
      <c r="Q6829" s="40" t="s">
        <v>12721</v>
      </c>
      <c r="R6829" s="33" t="s">
        <v>23</v>
      </c>
      <c r="S6829" s="33" t="s">
        <v>22</v>
      </c>
      <c r="T6829" s="1" t="s">
        <v>26774</v>
      </c>
      <c r="Z6829" s="33" t="s">
        <v>42968</v>
      </c>
      <c r="AA6829" s="33">
        <v>836</v>
      </c>
    </row>
    <row r="6830" spans="1:64" ht="12" customHeight="1" x14ac:dyDescent="0.15">
      <c r="A6830" s="33" t="s">
        <v>12722</v>
      </c>
      <c r="B6830" s="33">
        <v>27</v>
      </c>
      <c r="C6830" s="33" t="s">
        <v>14</v>
      </c>
      <c r="D6830" s="33" t="s">
        <v>31</v>
      </c>
      <c r="E6830" s="33" t="s">
        <v>12723</v>
      </c>
      <c r="F6830" s="67">
        <v>41541</v>
      </c>
      <c r="G6830" s="33" t="s">
        <v>12724</v>
      </c>
      <c r="H6830" s="33" t="s">
        <v>12725</v>
      </c>
      <c r="I6830" s="33" t="s">
        <v>198</v>
      </c>
      <c r="J6830" s="33" t="s">
        <v>12726</v>
      </c>
      <c r="K6830" s="33" t="s">
        <v>12727</v>
      </c>
      <c r="L6830" s="33" t="s">
        <v>12728</v>
      </c>
      <c r="M6830" s="33" t="s">
        <v>21</v>
      </c>
      <c r="N6830" s="33" t="s">
        <v>12729</v>
      </c>
      <c r="O6830" s="33" t="s">
        <v>950</v>
      </c>
      <c r="P6830" s="33" t="s">
        <v>30089</v>
      </c>
      <c r="Q6830" s="40" t="s">
        <v>12730</v>
      </c>
      <c r="R6830" s="33" t="s">
        <v>94</v>
      </c>
      <c r="S6830" s="33" t="s">
        <v>22</v>
      </c>
      <c r="T6830" s="1" t="s">
        <v>26781</v>
      </c>
      <c r="Z6830" s="33" t="s">
        <v>42968</v>
      </c>
      <c r="AA6830" s="33">
        <v>835</v>
      </c>
    </row>
    <row r="6831" spans="1:64" ht="12" customHeight="1" x14ac:dyDescent="0.15">
      <c r="A6831" s="33" t="s">
        <v>12708</v>
      </c>
      <c r="B6831" s="33">
        <v>22</v>
      </c>
      <c r="C6831" s="33" t="s">
        <v>14</v>
      </c>
      <c r="D6831" s="33" t="s">
        <v>79</v>
      </c>
      <c r="E6831" s="33" t="s">
        <v>12709</v>
      </c>
      <c r="F6831" s="67">
        <v>41541</v>
      </c>
      <c r="G6831" s="33" t="s">
        <v>12710</v>
      </c>
      <c r="H6831" s="33" t="s">
        <v>455</v>
      </c>
      <c r="I6831" s="33" t="s">
        <v>338</v>
      </c>
      <c r="J6831" s="33" t="s">
        <v>12711</v>
      </c>
      <c r="K6831" s="33" t="s">
        <v>455</v>
      </c>
      <c r="L6831" s="33" t="s">
        <v>12712</v>
      </c>
      <c r="M6831" s="33" t="s">
        <v>21</v>
      </c>
      <c r="N6831" s="33" t="s">
        <v>12713</v>
      </c>
      <c r="O6831" s="33" t="s">
        <v>950</v>
      </c>
      <c r="P6831" s="33" t="s">
        <v>30089</v>
      </c>
      <c r="Q6831" s="40" t="s">
        <v>12714</v>
      </c>
      <c r="R6831" s="33" t="s">
        <v>23</v>
      </c>
      <c r="S6831" s="33" t="s">
        <v>22</v>
      </c>
      <c r="T6831" s="1" t="s">
        <v>26781</v>
      </c>
      <c r="Z6831" s="33" t="s">
        <v>42968</v>
      </c>
      <c r="AA6831" s="33">
        <v>834</v>
      </c>
    </row>
    <row r="6832" spans="1:64" ht="12" customHeight="1" x14ac:dyDescent="0.15">
      <c r="A6832" s="33" t="s">
        <v>12731</v>
      </c>
      <c r="B6832" s="33">
        <v>18</v>
      </c>
      <c r="C6832" s="33" t="s">
        <v>14</v>
      </c>
      <c r="D6832" s="33" t="s">
        <v>79</v>
      </c>
      <c r="E6832" s="33" t="s">
        <v>12732</v>
      </c>
      <c r="F6832" s="67">
        <v>41540</v>
      </c>
      <c r="G6832" s="33" t="s">
        <v>12733</v>
      </c>
      <c r="H6832" s="33" t="s">
        <v>661</v>
      </c>
      <c r="I6832" s="33" t="s">
        <v>402</v>
      </c>
      <c r="J6832" s="33" t="s">
        <v>6199</v>
      </c>
      <c r="K6832" s="33" t="s">
        <v>661</v>
      </c>
      <c r="L6832" s="33" t="s">
        <v>12734</v>
      </c>
      <c r="M6832" s="33" t="s">
        <v>21</v>
      </c>
      <c r="N6832" s="33" t="s">
        <v>36859</v>
      </c>
      <c r="O6832" s="33" t="s">
        <v>950</v>
      </c>
      <c r="P6832" s="33" t="s">
        <v>30089</v>
      </c>
      <c r="Q6832" s="40" t="s">
        <v>12735</v>
      </c>
      <c r="R6832" s="33" t="s">
        <v>94</v>
      </c>
      <c r="S6832" s="33" t="s">
        <v>22</v>
      </c>
      <c r="T6832" s="1" t="s">
        <v>26781</v>
      </c>
      <c r="Y6832" s="33" t="s">
        <v>42476</v>
      </c>
      <c r="Z6832" s="33" t="s">
        <v>42966</v>
      </c>
      <c r="AA6832" s="33">
        <v>831</v>
      </c>
    </row>
    <row r="6833" spans="1:64" ht="12" customHeight="1" x14ac:dyDescent="0.15">
      <c r="A6833" s="63" t="s">
        <v>42596</v>
      </c>
      <c r="B6833" s="99">
        <v>47</v>
      </c>
      <c r="C6833" s="10" t="s">
        <v>14</v>
      </c>
      <c r="D6833" s="10" t="s">
        <v>31</v>
      </c>
      <c r="E6833" s="62" t="s">
        <v>42597</v>
      </c>
      <c r="F6833" s="67">
        <v>41540</v>
      </c>
      <c r="G6833" s="10" t="s">
        <v>42930</v>
      </c>
      <c r="H6833" s="10" t="s">
        <v>12739</v>
      </c>
      <c r="I6833" s="10" t="s">
        <v>40</v>
      </c>
      <c r="J6833" s="65">
        <v>2333</v>
      </c>
      <c r="K6833" s="10" t="s">
        <v>4754</v>
      </c>
      <c r="L6833" s="10" t="s">
        <v>42598</v>
      </c>
      <c r="M6833" s="10" t="s">
        <v>21</v>
      </c>
      <c r="N6833" s="10" t="s">
        <v>12741</v>
      </c>
      <c r="O6833" s="10" t="s">
        <v>507</v>
      </c>
      <c r="P6833" s="10" t="s">
        <v>30089</v>
      </c>
      <c r="Q6833" s="62" t="s">
        <v>12742</v>
      </c>
      <c r="R6833" s="10" t="s">
        <v>94</v>
      </c>
      <c r="S6833" s="10" t="s">
        <v>22</v>
      </c>
      <c r="T6833" s="10" t="s">
        <v>26781</v>
      </c>
      <c r="U6833" s="10"/>
      <c r="V6833" s="10"/>
      <c r="W6833" s="10"/>
      <c r="X6833" s="89"/>
      <c r="Y6833" s="68"/>
      <c r="Z6833" s="68" t="s">
        <v>42968</v>
      </c>
      <c r="AA6833" s="33">
        <v>833</v>
      </c>
      <c r="AG6833" s="68"/>
      <c r="AK6833" s="68"/>
      <c r="AL6833" s="68"/>
      <c r="AM6833" s="68"/>
      <c r="AN6833" s="68"/>
      <c r="AO6833" s="68"/>
      <c r="AP6833" s="68"/>
      <c r="AQ6833" s="68"/>
      <c r="AR6833" s="68"/>
      <c r="AS6833" s="68"/>
      <c r="AT6833" s="68"/>
      <c r="AU6833" s="68"/>
      <c r="AV6833" s="68"/>
      <c r="AW6833" s="68"/>
      <c r="AX6833" s="68"/>
      <c r="AY6833" s="68"/>
      <c r="AZ6833" s="68"/>
      <c r="BA6833" s="68"/>
      <c r="BB6833" s="68"/>
      <c r="BC6833" s="68"/>
      <c r="BD6833" s="68"/>
      <c r="BE6833" s="68"/>
      <c r="BF6833" s="68"/>
      <c r="BG6833" s="68"/>
      <c r="BH6833" s="68"/>
      <c r="BI6833" s="68"/>
      <c r="BJ6833" s="68"/>
      <c r="BK6833" s="68"/>
      <c r="BL6833" s="68"/>
    </row>
    <row r="6834" spans="1:64" ht="12" customHeight="1" x14ac:dyDescent="0.15">
      <c r="A6834" s="33" t="s">
        <v>12736</v>
      </c>
      <c r="B6834" s="33">
        <v>47</v>
      </c>
      <c r="C6834" s="33" t="s">
        <v>14</v>
      </c>
      <c r="D6834" s="33" t="s">
        <v>31</v>
      </c>
      <c r="E6834" s="33" t="s">
        <v>12737</v>
      </c>
      <c r="F6834" s="67">
        <v>41540</v>
      </c>
      <c r="G6834" s="33" t="s">
        <v>12738</v>
      </c>
      <c r="H6834" s="33" t="s">
        <v>12739</v>
      </c>
      <c r="I6834" s="33" t="s">
        <v>40</v>
      </c>
      <c r="J6834" s="33" t="s">
        <v>12740</v>
      </c>
      <c r="K6834" s="33" t="s">
        <v>4754</v>
      </c>
      <c r="L6834" s="33" t="s">
        <v>25059</v>
      </c>
      <c r="M6834" s="33" t="s">
        <v>21</v>
      </c>
      <c r="N6834" s="33" t="s">
        <v>12741</v>
      </c>
      <c r="O6834" s="33" t="s">
        <v>507</v>
      </c>
      <c r="P6834" s="33" t="s">
        <v>30089</v>
      </c>
      <c r="Q6834" s="40" t="s">
        <v>12742</v>
      </c>
      <c r="R6834" s="33" t="s">
        <v>94</v>
      </c>
      <c r="S6834" s="33" t="s">
        <v>22</v>
      </c>
      <c r="T6834" s="1" t="s">
        <v>26781</v>
      </c>
      <c r="Z6834" s="33" t="s">
        <v>42968</v>
      </c>
      <c r="AA6834" s="33">
        <v>832</v>
      </c>
    </row>
    <row r="6835" spans="1:64" ht="12" customHeight="1" x14ac:dyDescent="0.15">
      <c r="A6835" s="33" t="s">
        <v>12743</v>
      </c>
      <c r="B6835" s="33">
        <v>27</v>
      </c>
      <c r="C6835" s="33" t="s">
        <v>14</v>
      </c>
      <c r="D6835" s="33" t="s">
        <v>31</v>
      </c>
      <c r="E6835" s="33" t="s">
        <v>12744</v>
      </c>
      <c r="F6835" s="67">
        <v>41540</v>
      </c>
      <c r="G6835" s="33" t="s">
        <v>12745</v>
      </c>
      <c r="H6835" s="33" t="s">
        <v>12230</v>
      </c>
      <c r="I6835" s="33" t="s">
        <v>56</v>
      </c>
      <c r="J6835" s="33" t="s">
        <v>12746</v>
      </c>
      <c r="K6835" s="33" t="s">
        <v>2152</v>
      </c>
      <c r="L6835" s="33" t="s">
        <v>12747</v>
      </c>
      <c r="M6835" s="33" t="s">
        <v>21</v>
      </c>
      <c r="N6835" s="33" t="s">
        <v>12748</v>
      </c>
      <c r="O6835" s="33" t="s">
        <v>950</v>
      </c>
      <c r="P6835" s="33" t="s">
        <v>30089</v>
      </c>
      <c r="Q6835" s="40" t="s">
        <v>12749</v>
      </c>
      <c r="R6835" s="33" t="s">
        <v>512</v>
      </c>
      <c r="S6835" s="33" t="s">
        <v>22</v>
      </c>
      <c r="T6835" s="1" t="s">
        <v>42992</v>
      </c>
      <c r="Z6835" s="33" t="s">
        <v>42966</v>
      </c>
      <c r="AA6835" s="33">
        <v>830</v>
      </c>
    </row>
    <row r="6836" spans="1:64" ht="12" customHeight="1" x14ac:dyDescent="0.15">
      <c r="A6836" s="33" t="s">
        <v>12750</v>
      </c>
      <c r="B6836" s="33">
        <v>19</v>
      </c>
      <c r="C6836" s="33" t="s">
        <v>103</v>
      </c>
      <c r="D6836" s="33" t="s">
        <v>31</v>
      </c>
      <c r="E6836" s="33" t="s">
        <v>12751</v>
      </c>
      <c r="F6836" s="67">
        <v>41539</v>
      </c>
      <c r="G6836" s="33" t="s">
        <v>12752</v>
      </c>
      <c r="H6836" s="33" t="s">
        <v>12753</v>
      </c>
      <c r="I6836" s="33" t="s">
        <v>39</v>
      </c>
      <c r="J6836" s="33">
        <v>95928</v>
      </c>
      <c r="K6836" s="33" t="s">
        <v>4807</v>
      </c>
      <c r="L6836" s="33" t="s">
        <v>12754</v>
      </c>
      <c r="M6836" s="33" t="s">
        <v>21</v>
      </c>
      <c r="N6836" s="33" t="s">
        <v>12755</v>
      </c>
      <c r="O6836" s="33" t="s">
        <v>507</v>
      </c>
      <c r="P6836" s="33" t="s">
        <v>30089</v>
      </c>
      <c r="Q6836" s="40" t="s">
        <v>12756</v>
      </c>
      <c r="R6836" s="33" t="s">
        <v>904</v>
      </c>
      <c r="S6836" s="33" t="s">
        <v>351</v>
      </c>
      <c r="T6836" s="1" t="s">
        <v>42983</v>
      </c>
      <c r="Z6836" s="33" t="s">
        <v>42966</v>
      </c>
      <c r="AA6836" s="33">
        <v>829</v>
      </c>
    </row>
    <row r="6837" spans="1:64" ht="12" customHeight="1" x14ac:dyDescent="0.15">
      <c r="A6837" s="33" t="s">
        <v>12762</v>
      </c>
      <c r="B6837" s="33">
        <v>66</v>
      </c>
      <c r="C6837" s="33" t="s">
        <v>14</v>
      </c>
      <c r="D6837" s="33" t="s">
        <v>31</v>
      </c>
      <c r="F6837" s="67">
        <v>41538</v>
      </c>
      <c r="G6837" s="33" t="s">
        <v>12763</v>
      </c>
      <c r="H6837" s="33" t="s">
        <v>12764</v>
      </c>
      <c r="I6837" s="33" t="s">
        <v>39</v>
      </c>
      <c r="J6837" s="33" t="s">
        <v>12765</v>
      </c>
      <c r="K6837" s="33" t="s">
        <v>92</v>
      </c>
      <c r="L6837" s="33" t="s">
        <v>12766</v>
      </c>
      <c r="M6837" s="33" t="s">
        <v>21</v>
      </c>
      <c r="N6837" s="33" t="s">
        <v>12767</v>
      </c>
      <c r="O6837" s="33" t="s">
        <v>950</v>
      </c>
      <c r="P6837" s="33" t="s">
        <v>30089</v>
      </c>
      <c r="Q6837" s="40" t="str">
        <f>HYPERLINK("http://www.culvercityobserver.com/story/2013/10/10/news/man-shot-at-ccpd-hq-identified/3089.html","http://www.culvercityobserver.com/story/2013/10/10/news/man-shot-at-ccpd-hq-identified/3089.html")</f>
        <v>http://www.culvercityobserver.com/story/2013/10/10/news/man-shot-at-ccpd-hq-identified/3089.html</v>
      </c>
      <c r="R6837" s="33" t="s">
        <v>23</v>
      </c>
      <c r="S6837" s="33" t="s">
        <v>22</v>
      </c>
      <c r="T6837" s="1" t="s">
        <v>26781</v>
      </c>
      <c r="Z6837" s="33" t="s">
        <v>42966</v>
      </c>
      <c r="AA6837" s="33">
        <v>826</v>
      </c>
    </row>
    <row r="6838" spans="1:64" ht="12" customHeight="1" x14ac:dyDescent="0.15">
      <c r="A6838" s="33" t="s">
        <v>12758</v>
      </c>
      <c r="B6838" s="33">
        <v>58</v>
      </c>
      <c r="C6838" s="33" t="s">
        <v>14</v>
      </c>
      <c r="D6838" s="33" t="s">
        <v>24</v>
      </c>
      <c r="F6838" s="67">
        <v>41538</v>
      </c>
      <c r="G6838" s="33" t="s">
        <v>12759</v>
      </c>
      <c r="H6838" s="33" t="s">
        <v>1212</v>
      </c>
      <c r="I6838" s="33" t="s">
        <v>192</v>
      </c>
      <c r="J6838" s="33" t="s">
        <v>12760</v>
      </c>
      <c r="K6838" s="33" t="s">
        <v>1212</v>
      </c>
      <c r="L6838" s="33" t="s">
        <v>1213</v>
      </c>
      <c r="M6838" s="33" t="s">
        <v>21</v>
      </c>
      <c r="N6838" s="33" t="s">
        <v>12761</v>
      </c>
      <c r="O6838" s="33" t="s">
        <v>4311</v>
      </c>
      <c r="P6838" s="33" t="s">
        <v>30089</v>
      </c>
      <c r="Q6838" s="40" t="str">
        <f>HYPERLINK("http://www.denverpost.com/breakingnews/ci_24147149/police-fatally-shoot-denver-bank-robbery-suspect","http://www.denverpost.com/breakingnews/ci_24147149/police-fatally-shoot-denver-bank-robbery-suspect")</f>
        <v>http://www.denverpost.com/breakingnews/ci_24147149/police-fatally-shoot-denver-bank-robbery-suspect</v>
      </c>
      <c r="R6838" s="33" t="s">
        <v>94</v>
      </c>
      <c r="S6838" s="33" t="s">
        <v>29</v>
      </c>
      <c r="T6838" s="33" t="s">
        <v>41840</v>
      </c>
      <c r="Y6838" s="33" t="s">
        <v>42476</v>
      </c>
      <c r="Z6838" s="33" t="s">
        <v>42966</v>
      </c>
      <c r="AA6838" s="33">
        <v>828</v>
      </c>
    </row>
    <row r="6839" spans="1:64" ht="12" customHeight="1" x14ac:dyDescent="0.15">
      <c r="A6839" s="33" t="s">
        <v>12768</v>
      </c>
      <c r="B6839" s="33">
        <v>33</v>
      </c>
      <c r="C6839" s="33" t="s">
        <v>14</v>
      </c>
      <c r="D6839" s="33" t="s">
        <v>31</v>
      </c>
      <c r="E6839" s="33" t="s">
        <v>12769</v>
      </c>
      <c r="F6839" s="67">
        <v>41538</v>
      </c>
      <c r="G6839" s="33" t="s">
        <v>12770</v>
      </c>
      <c r="H6839" s="33" t="s">
        <v>2307</v>
      </c>
      <c r="I6839" s="33" t="s">
        <v>367</v>
      </c>
      <c r="J6839" s="33" t="s">
        <v>12771</v>
      </c>
      <c r="K6839" s="33" t="s">
        <v>2307</v>
      </c>
      <c r="L6839" s="33" t="s">
        <v>1904</v>
      </c>
      <c r="M6839" s="33" t="s">
        <v>21</v>
      </c>
      <c r="N6839" s="33" t="s">
        <v>12772</v>
      </c>
      <c r="O6839" s="33" t="s">
        <v>507</v>
      </c>
      <c r="P6839" s="33" t="s">
        <v>30089</v>
      </c>
      <c r="Q6839" s="40" t="s">
        <v>12773</v>
      </c>
      <c r="R6839" s="33" t="s">
        <v>94</v>
      </c>
      <c r="S6839" s="33" t="s">
        <v>12</v>
      </c>
      <c r="T6839" s="54" t="s">
        <v>29705</v>
      </c>
      <c r="Z6839" s="33" t="s">
        <v>42968</v>
      </c>
      <c r="AA6839" s="33">
        <v>827</v>
      </c>
    </row>
    <row r="6840" spans="1:64" ht="12" customHeight="1" x14ac:dyDescent="0.15">
      <c r="A6840" s="33" t="s">
        <v>12774</v>
      </c>
      <c r="B6840" s="33">
        <v>24</v>
      </c>
      <c r="C6840" s="33" t="s">
        <v>14</v>
      </c>
      <c r="D6840" s="33" t="s">
        <v>79</v>
      </c>
      <c r="E6840" s="33" t="s">
        <v>12775</v>
      </c>
      <c r="F6840" s="67">
        <v>41537</v>
      </c>
      <c r="G6840" s="33" t="s">
        <v>12776</v>
      </c>
      <c r="H6840" s="33" t="s">
        <v>197</v>
      </c>
      <c r="I6840" s="33" t="s">
        <v>198</v>
      </c>
      <c r="J6840" s="33" t="s">
        <v>391</v>
      </c>
      <c r="K6840" s="33" t="s">
        <v>392</v>
      </c>
      <c r="L6840" s="33" t="s">
        <v>199</v>
      </c>
      <c r="M6840" s="33" t="s">
        <v>21</v>
      </c>
      <c r="N6840" s="33" t="s">
        <v>12777</v>
      </c>
      <c r="O6840" s="33" t="s">
        <v>950</v>
      </c>
      <c r="P6840" s="33" t="s">
        <v>30089</v>
      </c>
      <c r="Q6840" s="40" t="s">
        <v>12778</v>
      </c>
      <c r="R6840" s="33" t="s">
        <v>94</v>
      </c>
      <c r="S6840" s="33" t="s">
        <v>22</v>
      </c>
      <c r="T6840" s="1" t="s">
        <v>26781</v>
      </c>
      <c r="Z6840" s="33" t="s">
        <v>42968</v>
      </c>
      <c r="AA6840" s="33">
        <v>824</v>
      </c>
    </row>
    <row r="6841" spans="1:64" ht="12" customHeight="1" x14ac:dyDescent="0.15">
      <c r="A6841" s="33" t="s">
        <v>12779</v>
      </c>
      <c r="B6841" s="33">
        <v>20</v>
      </c>
      <c r="C6841" s="33" t="s">
        <v>14</v>
      </c>
      <c r="D6841" s="33" t="s">
        <v>42</v>
      </c>
      <c r="F6841" s="67">
        <v>41537</v>
      </c>
      <c r="G6841" s="33" t="s">
        <v>12780</v>
      </c>
      <c r="H6841" s="33" t="s">
        <v>12781</v>
      </c>
      <c r="I6841" s="33" t="s">
        <v>39</v>
      </c>
      <c r="J6841" s="33" t="s">
        <v>12782</v>
      </c>
      <c r="K6841" s="33" t="s">
        <v>1088</v>
      </c>
      <c r="L6841" s="33" t="s">
        <v>36860</v>
      </c>
      <c r="M6841" s="33" t="s">
        <v>21</v>
      </c>
      <c r="N6841" s="33" t="s">
        <v>12783</v>
      </c>
      <c r="O6841" s="33" t="s">
        <v>950</v>
      </c>
      <c r="P6841" s="33" t="s">
        <v>30089</v>
      </c>
      <c r="Q6841" s="40" t="s">
        <v>12784</v>
      </c>
      <c r="R6841" s="33" t="s">
        <v>94</v>
      </c>
      <c r="S6841" s="33" t="s">
        <v>22</v>
      </c>
      <c r="T6841" s="1" t="s">
        <v>26781</v>
      </c>
      <c r="Z6841" s="33" t="s">
        <v>42968</v>
      </c>
      <c r="AA6841" s="33">
        <v>825</v>
      </c>
    </row>
    <row r="6842" spans="1:64" ht="12" customHeight="1" x14ac:dyDescent="0.15">
      <c r="A6842" s="33" t="s">
        <v>12797</v>
      </c>
      <c r="B6842" s="33">
        <v>53</v>
      </c>
      <c r="C6842" s="33" t="s">
        <v>14</v>
      </c>
      <c r="D6842" s="33" t="s">
        <v>24</v>
      </c>
      <c r="F6842" s="67">
        <v>41535</v>
      </c>
      <c r="G6842" s="33" t="s">
        <v>12798</v>
      </c>
      <c r="H6842" s="33" t="s">
        <v>12799</v>
      </c>
      <c r="I6842" s="33" t="s">
        <v>56</v>
      </c>
      <c r="J6842" s="33" t="s">
        <v>12800</v>
      </c>
      <c r="K6842" s="33" t="s">
        <v>998</v>
      </c>
      <c r="L6842" s="33" t="s">
        <v>12801</v>
      </c>
      <c r="M6842" s="33" t="s">
        <v>21</v>
      </c>
      <c r="N6842" s="33" t="s">
        <v>12802</v>
      </c>
      <c r="O6842" s="33" t="s">
        <v>950</v>
      </c>
      <c r="P6842" s="33" t="s">
        <v>30089</v>
      </c>
      <c r="Q6842" s="40" t="str">
        <f>HYPERLINK("http://articles.orlandosentinel.com/2013-09-18/news/os-winter-garden-officer-involved-shooting-20130918_1_winter-garden-man-unarmed-man-roommate","http://articles.orlandosentinel.com/2013-09-18/news/os-winter-garden-officer-involved-shooting-20130918_1_winter-garden-man-unarmed-man-roommate")</f>
        <v>http://articles.orlandosentinel.com/2013-09-18/news/os-winter-garden-officer-involved-shooting-20130918_1_winter-garden-man-unarmed-man-roommate</v>
      </c>
      <c r="R6842" s="33" t="s">
        <v>94</v>
      </c>
      <c r="S6842" s="33" t="s">
        <v>12</v>
      </c>
      <c r="T6842" s="54" t="s">
        <v>29705</v>
      </c>
      <c r="Z6842" s="33" t="s">
        <v>42968</v>
      </c>
      <c r="AA6842" s="33">
        <v>822</v>
      </c>
    </row>
    <row r="6843" spans="1:64" ht="12" customHeight="1" x14ac:dyDescent="0.15">
      <c r="A6843" s="33" t="s">
        <v>12793</v>
      </c>
      <c r="B6843" s="33">
        <v>59</v>
      </c>
      <c r="C6843" s="33" t="s">
        <v>14</v>
      </c>
      <c r="D6843" s="33" t="s">
        <v>42</v>
      </c>
      <c r="F6843" s="67">
        <v>41535</v>
      </c>
      <c r="G6843" s="33" t="s">
        <v>12794</v>
      </c>
      <c r="H6843" s="33" t="s">
        <v>92</v>
      </c>
      <c r="I6843" s="33" t="s">
        <v>39</v>
      </c>
      <c r="J6843" s="33" t="s">
        <v>7578</v>
      </c>
      <c r="K6843" s="33" t="s">
        <v>92</v>
      </c>
      <c r="L6843" s="33" t="s">
        <v>12795</v>
      </c>
      <c r="M6843" s="33" t="s">
        <v>21</v>
      </c>
      <c r="N6843" s="33" t="s">
        <v>12796</v>
      </c>
      <c r="O6843" s="33" t="s">
        <v>950</v>
      </c>
      <c r="P6843" s="33" t="s">
        <v>30089</v>
      </c>
      <c r="Q6843" s="40" t="str">
        <f>HYPERLINK("http://homicide.latimes.com/post/ruben-ramos-escobedo/","http://homicide.latimes.com/post/ruben-ramos-escobedo/")</f>
        <v>http://homicide.latimes.com/post/ruben-ramos-escobedo/</v>
      </c>
      <c r="R6843" s="33" t="s">
        <v>23</v>
      </c>
      <c r="S6843" s="33" t="s">
        <v>29</v>
      </c>
      <c r="T6843" s="33" t="s">
        <v>41840</v>
      </c>
      <c r="Z6843" s="33" t="s">
        <v>42966</v>
      </c>
      <c r="AA6843" s="33">
        <v>823</v>
      </c>
    </row>
    <row r="6844" spans="1:64" ht="12" customHeight="1" x14ac:dyDescent="0.15">
      <c r="A6844" s="33" t="s">
        <v>3002</v>
      </c>
      <c r="B6844" s="33" t="s">
        <v>23</v>
      </c>
      <c r="C6844" s="33" t="s">
        <v>14</v>
      </c>
      <c r="D6844" s="33" t="s">
        <v>42</v>
      </c>
      <c r="F6844" s="67">
        <v>41535</v>
      </c>
      <c r="G6844" s="33" t="s">
        <v>12790</v>
      </c>
      <c r="H6844" s="33" t="s">
        <v>92</v>
      </c>
      <c r="I6844" s="33" t="s">
        <v>39</v>
      </c>
      <c r="J6844" s="33" t="s">
        <v>7578</v>
      </c>
      <c r="K6844" s="33" t="s">
        <v>92</v>
      </c>
      <c r="L6844" s="33" t="s">
        <v>93</v>
      </c>
      <c r="M6844" s="33" t="s">
        <v>21</v>
      </c>
      <c r="N6844" s="33" t="s">
        <v>12791</v>
      </c>
      <c r="O6844" s="33" t="s">
        <v>950</v>
      </c>
      <c r="P6844" s="33" t="s">
        <v>30089</v>
      </c>
      <c r="Q6844" s="40" t="s">
        <v>12792</v>
      </c>
      <c r="R6844" s="33" t="s">
        <v>94</v>
      </c>
      <c r="S6844" s="33" t="s">
        <v>22</v>
      </c>
      <c r="T6844" s="1" t="s">
        <v>26781</v>
      </c>
      <c r="Z6844" s="33" t="s">
        <v>42966</v>
      </c>
      <c r="AA6844" s="33">
        <v>821</v>
      </c>
    </row>
    <row r="6845" spans="1:64" ht="12" customHeight="1" x14ac:dyDescent="0.15">
      <c r="A6845" s="33" t="s">
        <v>12785</v>
      </c>
      <c r="B6845" s="33">
        <v>20</v>
      </c>
      <c r="C6845" s="33" t="s">
        <v>14</v>
      </c>
      <c r="D6845" s="33" t="s">
        <v>42</v>
      </c>
      <c r="F6845" s="67">
        <v>41535</v>
      </c>
      <c r="G6845" s="33" t="s">
        <v>12786</v>
      </c>
      <c r="H6845" s="33" t="s">
        <v>674</v>
      </c>
      <c r="I6845" s="33" t="s">
        <v>67</v>
      </c>
      <c r="J6845" s="33" t="s">
        <v>12787</v>
      </c>
      <c r="K6845" s="33" t="s">
        <v>515</v>
      </c>
      <c r="L6845" s="33" t="s">
        <v>516</v>
      </c>
      <c r="M6845" s="33" t="s">
        <v>21</v>
      </c>
      <c r="N6845" s="33" t="s">
        <v>12788</v>
      </c>
      <c r="O6845" s="33" t="s">
        <v>4311</v>
      </c>
      <c r="P6845" s="33" t="s">
        <v>30089</v>
      </c>
      <c r="Q6845" s="40" t="s">
        <v>12789</v>
      </c>
      <c r="R6845" s="33" t="s">
        <v>94</v>
      </c>
      <c r="S6845" s="33" t="s">
        <v>22</v>
      </c>
      <c r="T6845" s="1" t="s">
        <v>26781</v>
      </c>
      <c r="Z6845" s="33" t="s">
        <v>42968</v>
      </c>
      <c r="AA6845" s="33">
        <v>820</v>
      </c>
    </row>
    <row r="6846" spans="1:64" ht="12" customHeight="1" x14ac:dyDescent="0.15">
      <c r="A6846" s="33" t="s">
        <v>12808</v>
      </c>
      <c r="B6846" s="33">
        <v>40</v>
      </c>
      <c r="C6846" s="33" t="s">
        <v>14</v>
      </c>
      <c r="D6846" s="33" t="s">
        <v>31</v>
      </c>
      <c r="E6846" s="33" t="s">
        <v>12809</v>
      </c>
      <c r="F6846" s="67">
        <v>41534</v>
      </c>
      <c r="G6846" s="33" t="s">
        <v>12810</v>
      </c>
      <c r="H6846" s="33" t="s">
        <v>12811</v>
      </c>
      <c r="I6846" s="33" t="s">
        <v>918</v>
      </c>
      <c r="J6846" s="33" t="s">
        <v>12812</v>
      </c>
      <c r="K6846" s="33" t="s">
        <v>31</v>
      </c>
      <c r="L6846" s="33" t="s">
        <v>5937</v>
      </c>
      <c r="M6846" s="33" t="s">
        <v>21</v>
      </c>
      <c r="N6846" s="33" t="s">
        <v>12813</v>
      </c>
      <c r="O6846" s="33" t="s">
        <v>950</v>
      </c>
      <c r="P6846" s="33" t="s">
        <v>30089</v>
      </c>
      <c r="Q6846" s="40" t="s">
        <v>12814</v>
      </c>
      <c r="R6846" s="33" t="s">
        <v>94</v>
      </c>
      <c r="S6846" s="33" t="s">
        <v>22</v>
      </c>
      <c r="T6846" s="1" t="s">
        <v>26781</v>
      </c>
      <c r="Z6846" s="33" t="s">
        <v>42967</v>
      </c>
      <c r="AA6846" s="33">
        <v>819</v>
      </c>
    </row>
    <row r="6847" spans="1:64" ht="12" customHeight="1" x14ac:dyDescent="0.15">
      <c r="A6847" s="33" t="s">
        <v>12803</v>
      </c>
      <c r="B6847" s="33">
        <v>26</v>
      </c>
      <c r="C6847" s="33" t="s">
        <v>14</v>
      </c>
      <c r="D6847" s="33" t="s">
        <v>79</v>
      </c>
      <c r="E6847" s="33" t="s">
        <v>12804</v>
      </c>
      <c r="F6847" s="67">
        <v>41534</v>
      </c>
      <c r="G6847" s="33" t="s">
        <v>12805</v>
      </c>
      <c r="H6847" s="33" t="s">
        <v>455</v>
      </c>
      <c r="I6847" s="33" t="s">
        <v>338</v>
      </c>
      <c r="J6847" s="33" t="s">
        <v>11777</v>
      </c>
      <c r="K6847" s="33" t="s">
        <v>455</v>
      </c>
      <c r="L6847" s="33" t="s">
        <v>457</v>
      </c>
      <c r="M6847" s="33" t="s">
        <v>21</v>
      </c>
      <c r="N6847" s="33" t="s">
        <v>12806</v>
      </c>
      <c r="O6847" s="33" t="s">
        <v>507</v>
      </c>
      <c r="P6847" s="33" t="s">
        <v>30089</v>
      </c>
      <c r="Q6847" s="40" t="s">
        <v>12807</v>
      </c>
      <c r="R6847" s="33" t="s">
        <v>512</v>
      </c>
      <c r="S6847" s="33" t="s">
        <v>22</v>
      </c>
      <c r="T6847" s="1" t="s">
        <v>26781</v>
      </c>
      <c r="Z6847" s="33" t="s">
        <v>42966</v>
      </c>
      <c r="AA6847" s="33">
        <v>818</v>
      </c>
    </row>
    <row r="6848" spans="1:64" ht="12" customHeight="1" x14ac:dyDescent="0.15">
      <c r="A6848" s="33" t="s">
        <v>12827</v>
      </c>
      <c r="B6848" s="33">
        <v>34</v>
      </c>
      <c r="C6848" s="33" t="s">
        <v>14</v>
      </c>
      <c r="D6848" s="33" t="s">
        <v>42</v>
      </c>
      <c r="E6848" s="33" t="s">
        <v>12828</v>
      </c>
      <c r="F6848" s="67">
        <v>41533</v>
      </c>
      <c r="G6848" s="33" t="s">
        <v>12829</v>
      </c>
      <c r="H6848" s="33" t="s">
        <v>631</v>
      </c>
      <c r="I6848" s="33" t="s">
        <v>39</v>
      </c>
      <c r="J6848" s="33" t="s">
        <v>12830</v>
      </c>
      <c r="K6848" s="33" t="s">
        <v>632</v>
      </c>
      <c r="L6848" s="33" t="s">
        <v>633</v>
      </c>
      <c r="M6848" s="33" t="s">
        <v>21</v>
      </c>
      <c r="N6848" s="33" t="s">
        <v>12831</v>
      </c>
      <c r="O6848" s="33" t="s">
        <v>507</v>
      </c>
      <c r="P6848" s="33" t="s">
        <v>30089</v>
      </c>
      <c r="Q6848" s="40" t="s">
        <v>12832</v>
      </c>
      <c r="R6848" s="33" t="s">
        <v>94</v>
      </c>
      <c r="S6848" s="33" t="s">
        <v>12</v>
      </c>
      <c r="T6848" s="54" t="s">
        <v>29705</v>
      </c>
      <c r="Z6848" s="33" t="s">
        <v>42968</v>
      </c>
      <c r="AA6848" s="33">
        <v>817</v>
      </c>
    </row>
    <row r="6849" spans="1:31" ht="12" customHeight="1" x14ac:dyDescent="0.15">
      <c r="A6849" s="33" t="s">
        <v>12833</v>
      </c>
      <c r="B6849" s="33">
        <v>32</v>
      </c>
      <c r="C6849" s="33" t="s">
        <v>14</v>
      </c>
      <c r="D6849" s="33" t="s">
        <v>31</v>
      </c>
      <c r="E6849" s="33" t="s">
        <v>12834</v>
      </c>
      <c r="F6849" s="67">
        <v>41533</v>
      </c>
      <c r="G6849" s="33" t="s">
        <v>12829</v>
      </c>
      <c r="H6849" s="33" t="s">
        <v>631</v>
      </c>
      <c r="I6849" s="33" t="s">
        <v>39</v>
      </c>
      <c r="J6849" s="33" t="s">
        <v>12830</v>
      </c>
      <c r="K6849" s="33" t="s">
        <v>632</v>
      </c>
      <c r="L6849" s="33" t="s">
        <v>633</v>
      </c>
      <c r="M6849" s="33" t="s">
        <v>21</v>
      </c>
      <c r="N6849" s="33" t="s">
        <v>12835</v>
      </c>
      <c r="O6849" s="33" t="s">
        <v>507</v>
      </c>
      <c r="P6849" s="33" t="s">
        <v>30089</v>
      </c>
      <c r="Q6849" s="40" t="s">
        <v>12836</v>
      </c>
      <c r="R6849" s="33" t="s">
        <v>94</v>
      </c>
      <c r="S6849" s="33" t="s">
        <v>22</v>
      </c>
      <c r="T6849" s="1" t="s">
        <v>26781</v>
      </c>
      <c r="Z6849" s="33" t="s">
        <v>42968</v>
      </c>
      <c r="AA6849" s="33">
        <v>816</v>
      </c>
    </row>
    <row r="6850" spans="1:31" ht="12" customHeight="1" x14ac:dyDescent="0.15">
      <c r="A6850" s="33" t="s">
        <v>12815</v>
      </c>
      <c r="B6850" s="33">
        <v>34</v>
      </c>
      <c r="C6850" s="33" t="s">
        <v>14</v>
      </c>
      <c r="D6850" s="33" t="s">
        <v>79</v>
      </c>
      <c r="E6850" s="33" t="s">
        <v>12816</v>
      </c>
      <c r="F6850" s="67">
        <v>41533</v>
      </c>
      <c r="G6850" s="33" t="s">
        <v>12817</v>
      </c>
      <c r="H6850" s="33" t="s">
        <v>107</v>
      </c>
      <c r="I6850" s="33" t="s">
        <v>3357</v>
      </c>
      <c r="J6850" s="33" t="s">
        <v>12818</v>
      </c>
      <c r="K6850" s="33" t="s">
        <v>3359</v>
      </c>
      <c r="L6850" s="33" t="s">
        <v>17581</v>
      </c>
      <c r="M6850" s="33" t="s">
        <v>21</v>
      </c>
      <c r="N6850" s="33" t="s">
        <v>12819</v>
      </c>
      <c r="O6850" s="33" t="s">
        <v>507</v>
      </c>
      <c r="P6850" s="33" t="s">
        <v>30089</v>
      </c>
      <c r="Q6850" s="40" t="s">
        <v>12820</v>
      </c>
      <c r="R6850" s="33" t="s">
        <v>94</v>
      </c>
      <c r="S6850" s="33" t="s">
        <v>22</v>
      </c>
      <c r="T6850" s="1" t="s">
        <v>26781</v>
      </c>
      <c r="Z6850" s="33" t="e">
        <v>#N/A</v>
      </c>
      <c r="AA6850" s="33">
        <v>814</v>
      </c>
    </row>
    <row r="6851" spans="1:31" ht="12" customHeight="1" x14ac:dyDescent="0.15">
      <c r="A6851" s="33" t="s">
        <v>12821</v>
      </c>
      <c r="B6851" s="33">
        <v>39</v>
      </c>
      <c r="C6851" s="33" t="s">
        <v>14</v>
      </c>
      <c r="D6851" s="33" t="s">
        <v>79</v>
      </c>
      <c r="E6851" s="33" t="s">
        <v>12822</v>
      </c>
      <c r="F6851" s="67">
        <v>41533</v>
      </c>
      <c r="G6851" s="33" t="s">
        <v>12823</v>
      </c>
      <c r="H6851" s="33" t="s">
        <v>45</v>
      </c>
      <c r="I6851" s="33" t="s">
        <v>26</v>
      </c>
      <c r="J6851" s="33" t="s">
        <v>12377</v>
      </c>
      <c r="K6851" s="33" t="s">
        <v>2402</v>
      </c>
      <c r="L6851" s="33" t="s">
        <v>12824</v>
      </c>
      <c r="M6851" s="33" t="s">
        <v>21</v>
      </c>
      <c r="N6851" s="33" t="s">
        <v>12825</v>
      </c>
      <c r="O6851" s="33" t="s">
        <v>950</v>
      </c>
      <c r="P6851" s="33" t="s">
        <v>30089</v>
      </c>
      <c r="Q6851" s="40" t="s">
        <v>12826</v>
      </c>
      <c r="R6851" s="33" t="s">
        <v>94</v>
      </c>
      <c r="S6851" s="33" t="s">
        <v>22</v>
      </c>
      <c r="T6851" s="1" t="s">
        <v>26781</v>
      </c>
      <c r="Z6851" s="33" t="s">
        <v>42968</v>
      </c>
      <c r="AA6851" s="33">
        <v>815</v>
      </c>
    </row>
    <row r="6852" spans="1:31" ht="12" customHeight="1" x14ac:dyDescent="0.15">
      <c r="A6852" s="33" t="s">
        <v>12837</v>
      </c>
      <c r="B6852" s="33">
        <v>27</v>
      </c>
      <c r="C6852" s="33" t="s">
        <v>14</v>
      </c>
      <c r="D6852" s="33" t="s">
        <v>79</v>
      </c>
      <c r="E6852" s="33" t="s">
        <v>12838</v>
      </c>
      <c r="F6852" s="67">
        <v>41531</v>
      </c>
      <c r="G6852" s="33" t="s">
        <v>12839</v>
      </c>
      <c r="H6852" s="33" t="s">
        <v>6010</v>
      </c>
      <c r="I6852" s="33" t="s">
        <v>112</v>
      </c>
      <c r="J6852" s="33" t="s">
        <v>6011</v>
      </c>
      <c r="K6852" s="33" t="s">
        <v>585</v>
      </c>
      <c r="L6852" s="33" t="s">
        <v>6012</v>
      </c>
      <c r="M6852" s="33" t="s">
        <v>21</v>
      </c>
      <c r="N6852" s="33" t="s">
        <v>12840</v>
      </c>
      <c r="O6852" s="33" t="s">
        <v>4311</v>
      </c>
      <c r="P6852" s="33" t="s">
        <v>30089</v>
      </c>
      <c r="Q6852" s="40" t="s">
        <v>12841</v>
      </c>
      <c r="R6852" s="33" t="s">
        <v>94</v>
      </c>
      <c r="S6852" s="33" t="s">
        <v>22</v>
      </c>
      <c r="T6852" s="1" t="s">
        <v>26781</v>
      </c>
      <c r="Z6852" s="33" t="s">
        <v>42968</v>
      </c>
      <c r="AA6852" s="33">
        <v>809</v>
      </c>
    </row>
    <row r="6853" spans="1:31" ht="12" customHeight="1" x14ac:dyDescent="0.15">
      <c r="A6853" s="33" t="s">
        <v>12852</v>
      </c>
      <c r="B6853" s="33">
        <v>56</v>
      </c>
      <c r="C6853" s="33" t="s">
        <v>14</v>
      </c>
      <c r="D6853" s="33" t="s">
        <v>24</v>
      </c>
      <c r="F6853" s="67">
        <v>41531</v>
      </c>
      <c r="G6853" s="33" t="s">
        <v>12853</v>
      </c>
      <c r="H6853" s="33" t="s">
        <v>4747</v>
      </c>
      <c r="I6853" s="33" t="s">
        <v>160</v>
      </c>
      <c r="J6853" s="33" t="s">
        <v>12854</v>
      </c>
      <c r="K6853" s="33" t="s">
        <v>3428</v>
      </c>
      <c r="L6853" s="33" t="s">
        <v>12855</v>
      </c>
      <c r="M6853" s="33" t="s">
        <v>21</v>
      </c>
      <c r="N6853" s="33" t="s">
        <v>12856</v>
      </c>
      <c r="O6853" s="33" t="s">
        <v>372</v>
      </c>
      <c r="P6853" s="33" t="s">
        <v>30089</v>
      </c>
      <c r="Q6853" s="40" t="s">
        <v>12857</v>
      </c>
      <c r="R6853" s="33" t="s">
        <v>94</v>
      </c>
      <c r="S6853" s="33" t="s">
        <v>22</v>
      </c>
      <c r="T6853" s="1" t="s">
        <v>26781</v>
      </c>
      <c r="Z6853" s="33" t="s">
        <v>42966</v>
      </c>
      <c r="AA6853" s="33">
        <v>811</v>
      </c>
    </row>
    <row r="6854" spans="1:31" ht="12" customHeight="1" x14ac:dyDescent="0.15">
      <c r="A6854" s="33" t="s">
        <v>12858</v>
      </c>
      <c r="B6854" s="33">
        <v>30</v>
      </c>
      <c r="C6854" s="33" t="s">
        <v>14</v>
      </c>
      <c r="D6854" s="33" t="s">
        <v>31</v>
      </c>
      <c r="E6854" s="33" t="s">
        <v>12859</v>
      </c>
      <c r="F6854" s="67">
        <v>41531</v>
      </c>
      <c r="G6854" s="33" t="s">
        <v>12860</v>
      </c>
      <c r="H6854" s="33" t="s">
        <v>584</v>
      </c>
      <c r="I6854" s="33" t="s">
        <v>112</v>
      </c>
      <c r="J6854" s="33" t="s">
        <v>12861</v>
      </c>
      <c r="K6854" s="33" t="s">
        <v>585</v>
      </c>
      <c r="L6854" s="33" t="s">
        <v>586</v>
      </c>
      <c r="M6854" s="33" t="s">
        <v>21</v>
      </c>
      <c r="N6854" s="33" t="s">
        <v>12862</v>
      </c>
      <c r="O6854" s="33" t="s">
        <v>4311</v>
      </c>
      <c r="P6854" s="33" t="s">
        <v>30089</v>
      </c>
      <c r="Q6854" s="40" t="s">
        <v>12863</v>
      </c>
      <c r="R6854" s="33" t="s">
        <v>94</v>
      </c>
      <c r="S6854" s="33" t="s">
        <v>22</v>
      </c>
      <c r="T6854" s="1" t="s">
        <v>26781</v>
      </c>
      <c r="Z6854" s="33" t="s">
        <v>42968</v>
      </c>
      <c r="AA6854" s="33">
        <v>812</v>
      </c>
    </row>
    <row r="6855" spans="1:31" ht="12" customHeight="1" x14ac:dyDescent="0.15">
      <c r="A6855" s="33" t="s">
        <v>12842</v>
      </c>
      <c r="B6855" s="33">
        <v>24</v>
      </c>
      <c r="C6855" s="33" t="s">
        <v>14</v>
      </c>
      <c r="D6855" s="33" t="s">
        <v>79</v>
      </c>
      <c r="E6855" s="33" t="s">
        <v>12843</v>
      </c>
      <c r="F6855" s="67">
        <v>41531</v>
      </c>
      <c r="G6855" s="33" t="s">
        <v>12844</v>
      </c>
      <c r="H6855" s="33" t="s">
        <v>3855</v>
      </c>
      <c r="I6855" s="33" t="s">
        <v>338</v>
      </c>
      <c r="J6855" s="33">
        <v>28215</v>
      </c>
      <c r="K6855" s="33" t="s">
        <v>3857</v>
      </c>
      <c r="L6855" s="33" t="s">
        <v>3858</v>
      </c>
      <c r="M6855" s="33" t="s">
        <v>21</v>
      </c>
      <c r="N6855" s="33" t="s">
        <v>12845</v>
      </c>
      <c r="O6855" s="33" t="s">
        <v>26740</v>
      </c>
      <c r="P6855" s="33" t="s">
        <v>26746</v>
      </c>
      <c r="Q6855" s="40" t="s">
        <v>12846</v>
      </c>
      <c r="R6855" s="33" t="s">
        <v>94</v>
      </c>
      <c r="S6855" s="33" t="s">
        <v>12</v>
      </c>
      <c r="T6855" s="54" t="s">
        <v>29705</v>
      </c>
      <c r="Z6855" s="33" t="s">
        <v>42968</v>
      </c>
      <c r="AA6855" s="33">
        <v>813</v>
      </c>
    </row>
    <row r="6856" spans="1:31" ht="12" customHeight="1" x14ac:dyDescent="0.15">
      <c r="A6856" s="33" t="s">
        <v>12847</v>
      </c>
      <c r="B6856" s="33">
        <v>30</v>
      </c>
      <c r="C6856" s="33" t="s">
        <v>14</v>
      </c>
      <c r="D6856" s="33" t="s">
        <v>24</v>
      </c>
      <c r="F6856" s="67">
        <v>41531</v>
      </c>
      <c r="G6856" s="33" t="s">
        <v>12848</v>
      </c>
      <c r="H6856" s="33" t="s">
        <v>439</v>
      </c>
      <c r="I6856" s="33" t="s">
        <v>225</v>
      </c>
      <c r="J6856" s="33" t="s">
        <v>12849</v>
      </c>
      <c r="K6856" s="33" t="s">
        <v>12081</v>
      </c>
      <c r="L6856" s="33" t="s">
        <v>2494</v>
      </c>
      <c r="M6856" s="33" t="s">
        <v>21</v>
      </c>
      <c r="N6856" s="33" t="s">
        <v>12850</v>
      </c>
      <c r="O6856" s="33" t="s">
        <v>507</v>
      </c>
      <c r="P6856" s="33" t="s">
        <v>30089</v>
      </c>
      <c r="Q6856" s="40" t="s">
        <v>12851</v>
      </c>
      <c r="R6856" s="33" t="s">
        <v>94</v>
      </c>
      <c r="S6856" s="33" t="s">
        <v>22</v>
      </c>
      <c r="T6856" s="1" t="s">
        <v>26781</v>
      </c>
      <c r="Y6856" s="33" t="s">
        <v>42476</v>
      </c>
      <c r="Z6856" s="33" t="s">
        <v>42968</v>
      </c>
      <c r="AA6856" s="33">
        <v>810</v>
      </c>
    </row>
    <row r="6857" spans="1:31" ht="12" customHeight="1" x14ac:dyDescent="0.15">
      <c r="A6857" s="33" t="s">
        <v>12864</v>
      </c>
      <c r="B6857" s="103">
        <v>50</v>
      </c>
      <c r="C6857" s="33" t="s">
        <v>14</v>
      </c>
      <c r="D6857" s="33" t="s">
        <v>42</v>
      </c>
      <c r="E6857" s="33" t="s">
        <v>12865</v>
      </c>
      <c r="F6857" s="67">
        <v>41530</v>
      </c>
      <c r="G6857" s="33" t="s">
        <v>22214</v>
      </c>
      <c r="H6857" s="33" t="s">
        <v>728</v>
      </c>
      <c r="I6857" s="33" t="s">
        <v>39</v>
      </c>
      <c r="J6857" s="33" t="s">
        <v>11718</v>
      </c>
      <c r="K6857" s="33" t="s">
        <v>728</v>
      </c>
      <c r="L6857" s="33" t="s">
        <v>5461</v>
      </c>
      <c r="M6857" s="33" t="s">
        <v>21</v>
      </c>
      <c r="N6857" s="33" t="s">
        <v>36861</v>
      </c>
      <c r="O6857" s="33" t="s">
        <v>23</v>
      </c>
      <c r="P6857" s="33" t="s">
        <v>30089</v>
      </c>
      <c r="Q6857" s="40" t="s">
        <v>12866</v>
      </c>
      <c r="R6857" s="33" t="s">
        <v>512</v>
      </c>
      <c r="S6857" s="33" t="s">
        <v>22</v>
      </c>
      <c r="T6857" s="1" t="s">
        <v>26774</v>
      </c>
      <c r="Z6857" s="33" t="s">
        <v>42968</v>
      </c>
      <c r="AA6857" s="33">
        <v>808</v>
      </c>
    </row>
    <row r="6858" spans="1:31" ht="12" customHeight="1" x14ac:dyDescent="0.15">
      <c r="A6858" s="33" t="s">
        <v>12872</v>
      </c>
      <c r="B6858" s="33">
        <v>66</v>
      </c>
      <c r="C6858" s="33" t="s">
        <v>14</v>
      </c>
      <c r="D6858" s="33" t="s">
        <v>31</v>
      </c>
      <c r="F6858" s="67">
        <v>41529</v>
      </c>
      <c r="G6858" s="33" t="s">
        <v>12873</v>
      </c>
      <c r="H6858" s="33" t="s">
        <v>12874</v>
      </c>
      <c r="I6858" s="33" t="s">
        <v>39</v>
      </c>
      <c r="J6858" s="33" t="s">
        <v>9369</v>
      </c>
      <c r="K6858" s="33" t="s">
        <v>728</v>
      </c>
      <c r="L6858" s="33" t="s">
        <v>12875</v>
      </c>
      <c r="M6858" s="33" t="s">
        <v>21</v>
      </c>
      <c r="N6858" s="33" t="s">
        <v>12876</v>
      </c>
      <c r="O6858" s="33" t="s">
        <v>950</v>
      </c>
      <c r="P6858" s="33" t="s">
        <v>30089</v>
      </c>
      <c r="Q6858" s="40" t="s">
        <v>12877</v>
      </c>
      <c r="R6858" s="33" t="s">
        <v>23</v>
      </c>
      <c r="S6858" s="33" t="s">
        <v>22</v>
      </c>
      <c r="T6858" s="1" t="s">
        <v>26781</v>
      </c>
      <c r="Z6858" s="33" t="s">
        <v>42968</v>
      </c>
      <c r="AA6858" s="33">
        <v>807</v>
      </c>
    </row>
    <row r="6859" spans="1:31" ht="12" customHeight="1" x14ac:dyDescent="0.15">
      <c r="A6859" s="33" t="s">
        <v>12867</v>
      </c>
      <c r="B6859" s="33">
        <v>36</v>
      </c>
      <c r="C6859" s="33" t="s">
        <v>14</v>
      </c>
      <c r="D6859" s="33" t="s">
        <v>42</v>
      </c>
      <c r="E6859" s="33" t="s">
        <v>12868</v>
      </c>
      <c r="F6859" s="67">
        <v>41529</v>
      </c>
      <c r="G6859" s="33" t="s">
        <v>12869</v>
      </c>
      <c r="H6859" s="33" t="s">
        <v>3585</v>
      </c>
      <c r="I6859" s="33" t="s">
        <v>112</v>
      </c>
      <c r="J6859" s="33" t="s">
        <v>3586</v>
      </c>
      <c r="K6859" s="33" t="s">
        <v>585</v>
      </c>
      <c r="L6859" s="33" t="s">
        <v>3587</v>
      </c>
      <c r="M6859" s="33" t="s">
        <v>21</v>
      </c>
      <c r="N6859" s="33" t="s">
        <v>12870</v>
      </c>
      <c r="O6859" s="33" t="s">
        <v>507</v>
      </c>
      <c r="P6859" s="33" t="s">
        <v>30089</v>
      </c>
      <c r="Q6859" s="40" t="s">
        <v>12871</v>
      </c>
      <c r="R6859" s="33" t="s">
        <v>23</v>
      </c>
      <c r="S6859" s="33" t="s">
        <v>22</v>
      </c>
      <c r="T6859" s="1" t="s">
        <v>26612</v>
      </c>
      <c r="Z6859" s="33" t="s">
        <v>42966</v>
      </c>
      <c r="AA6859" s="33">
        <v>806</v>
      </c>
    </row>
    <row r="6860" spans="1:31" ht="12" customHeight="1" x14ac:dyDescent="0.15">
      <c r="A6860" s="33" t="s">
        <v>12878</v>
      </c>
      <c r="B6860" s="33">
        <v>31</v>
      </c>
      <c r="C6860" s="33" t="s">
        <v>14</v>
      </c>
      <c r="D6860" s="33" t="s">
        <v>79</v>
      </c>
      <c r="E6860" s="33" t="s">
        <v>12879</v>
      </c>
      <c r="F6860" s="67">
        <v>41527</v>
      </c>
      <c r="G6860" s="33" t="s">
        <v>12880</v>
      </c>
      <c r="H6860" s="33" t="s">
        <v>12881</v>
      </c>
      <c r="I6860" s="33" t="s">
        <v>46</v>
      </c>
      <c r="J6860" s="33" t="s">
        <v>12882</v>
      </c>
      <c r="K6860" s="33" t="s">
        <v>2937</v>
      </c>
      <c r="L6860" s="33" t="s">
        <v>12883</v>
      </c>
      <c r="M6860" s="33" t="s">
        <v>21</v>
      </c>
      <c r="N6860" s="33" t="s">
        <v>12884</v>
      </c>
      <c r="P6860" s="33" t="s">
        <v>30089</v>
      </c>
      <c r="Q6860" s="40" t="s">
        <v>12885</v>
      </c>
      <c r="R6860" s="33" t="s">
        <v>94</v>
      </c>
      <c r="S6860" s="33" t="s">
        <v>22</v>
      </c>
      <c r="T6860" s="1" t="s">
        <v>26774</v>
      </c>
      <c r="Z6860" s="33" t="s">
        <v>42968</v>
      </c>
      <c r="AA6860" s="33">
        <v>804</v>
      </c>
    </row>
    <row r="6861" spans="1:31" ht="12" customHeight="1" x14ac:dyDescent="0.15">
      <c r="A6861" s="33" t="s">
        <v>12886</v>
      </c>
      <c r="B6861" s="33">
        <v>23</v>
      </c>
      <c r="C6861" s="33" t="s">
        <v>14</v>
      </c>
      <c r="D6861" s="33" t="s">
        <v>42</v>
      </c>
      <c r="E6861" s="33" t="s">
        <v>12887</v>
      </c>
      <c r="F6861" s="67">
        <v>41527</v>
      </c>
      <c r="G6861" s="33" t="s">
        <v>12888</v>
      </c>
      <c r="H6861" s="33" t="s">
        <v>92</v>
      </c>
      <c r="I6861" s="33" t="s">
        <v>39</v>
      </c>
      <c r="J6861" s="33" t="s">
        <v>9221</v>
      </c>
      <c r="K6861" s="33" t="s">
        <v>92</v>
      </c>
      <c r="L6861" s="33" t="s">
        <v>386</v>
      </c>
      <c r="M6861" s="33" t="s">
        <v>21</v>
      </c>
      <c r="N6861" s="33" t="s">
        <v>12889</v>
      </c>
      <c r="O6861" s="33" t="s">
        <v>4311</v>
      </c>
      <c r="P6861" s="33" t="s">
        <v>30089</v>
      </c>
      <c r="Q6861" s="40" t="s">
        <v>12890</v>
      </c>
      <c r="R6861" s="33" t="s">
        <v>94</v>
      </c>
      <c r="S6861" s="33" t="s">
        <v>29</v>
      </c>
      <c r="T6861" s="33" t="s">
        <v>41840</v>
      </c>
      <c r="Z6861" s="33" t="s">
        <v>42966</v>
      </c>
      <c r="AA6861" s="33">
        <v>805</v>
      </c>
      <c r="AE6861" s="33"/>
    </row>
    <row r="6862" spans="1:31" ht="12" customHeight="1" x14ac:dyDescent="0.15">
      <c r="A6862" s="33" t="s">
        <v>3002</v>
      </c>
      <c r="C6862" s="33" t="s">
        <v>14</v>
      </c>
      <c r="D6862" s="33" t="s">
        <v>31</v>
      </c>
      <c r="F6862" s="67">
        <v>41526</v>
      </c>
      <c r="G6862" s="33" t="s">
        <v>12897</v>
      </c>
      <c r="H6862" s="33" t="s">
        <v>674</v>
      </c>
      <c r="I6862" s="33" t="s">
        <v>67</v>
      </c>
      <c r="J6862" s="33" t="s">
        <v>12898</v>
      </c>
      <c r="K6862" s="33" t="s">
        <v>515</v>
      </c>
      <c r="L6862" s="33" t="s">
        <v>675</v>
      </c>
      <c r="M6862" s="33" t="s">
        <v>21</v>
      </c>
      <c r="N6862" s="33" t="s">
        <v>12899</v>
      </c>
      <c r="O6862" s="33" t="s">
        <v>4311</v>
      </c>
      <c r="P6862" s="33" t="s">
        <v>30089</v>
      </c>
      <c r="Q6862" s="40" t="s">
        <v>12900</v>
      </c>
      <c r="R6862" s="33" t="s">
        <v>94</v>
      </c>
      <c r="S6862" s="33" t="s">
        <v>22</v>
      </c>
      <c r="T6862" s="1" t="s">
        <v>26781</v>
      </c>
      <c r="Z6862" s="33" t="s">
        <v>42966</v>
      </c>
      <c r="AA6862" s="33">
        <v>802</v>
      </c>
    </row>
    <row r="6863" spans="1:31" ht="12" customHeight="1" x14ac:dyDescent="0.15">
      <c r="A6863" s="33" t="s">
        <v>12891</v>
      </c>
      <c r="B6863" s="33">
        <v>33</v>
      </c>
      <c r="C6863" s="33" t="s">
        <v>14</v>
      </c>
      <c r="D6863" s="33" t="s">
        <v>42</v>
      </c>
      <c r="E6863" s="33" t="s">
        <v>12892</v>
      </c>
      <c r="F6863" s="67">
        <v>41526</v>
      </c>
      <c r="G6863" s="33" t="s">
        <v>12894</v>
      </c>
      <c r="H6863" s="33" t="s">
        <v>4468</v>
      </c>
      <c r="I6863" s="33" t="s">
        <v>67</v>
      </c>
      <c r="J6863" s="33" t="s">
        <v>12895</v>
      </c>
      <c r="K6863" s="33" t="s">
        <v>1194</v>
      </c>
      <c r="L6863" s="33" t="s">
        <v>1195</v>
      </c>
      <c r="M6863" s="33" t="s">
        <v>21</v>
      </c>
      <c r="N6863" s="33" t="s">
        <v>12896</v>
      </c>
      <c r="O6863" s="33" t="s">
        <v>950</v>
      </c>
      <c r="P6863" s="33" t="s">
        <v>30089</v>
      </c>
      <c r="Q6863" s="40" t="s">
        <v>12893</v>
      </c>
      <c r="R6863" s="33" t="s">
        <v>94</v>
      </c>
      <c r="S6863" s="33" t="s">
        <v>29</v>
      </c>
      <c r="T6863" s="1" t="s">
        <v>42991</v>
      </c>
      <c r="Z6863" s="33" t="s">
        <v>42968</v>
      </c>
      <c r="AA6863" s="33">
        <v>803</v>
      </c>
    </row>
    <row r="6864" spans="1:31" ht="12" customHeight="1" x14ac:dyDescent="0.15">
      <c r="A6864" s="33" t="s">
        <v>12901</v>
      </c>
      <c r="B6864" s="33">
        <v>56</v>
      </c>
      <c r="C6864" s="33" t="s">
        <v>14</v>
      </c>
      <c r="D6864" s="33" t="s">
        <v>31</v>
      </c>
      <c r="F6864" s="67">
        <v>41525</v>
      </c>
      <c r="G6864" s="33" t="s">
        <v>12902</v>
      </c>
      <c r="H6864" s="33" t="s">
        <v>12903</v>
      </c>
      <c r="I6864" s="33" t="s">
        <v>376</v>
      </c>
      <c r="K6864" s="33" t="s">
        <v>1530</v>
      </c>
      <c r="L6864" s="33" t="s">
        <v>32183</v>
      </c>
      <c r="M6864" s="33" t="s">
        <v>21</v>
      </c>
      <c r="N6864" s="33" t="s">
        <v>26760</v>
      </c>
      <c r="O6864" s="33" t="s">
        <v>18576</v>
      </c>
      <c r="P6864" s="33" t="s">
        <v>18576</v>
      </c>
      <c r="Q6864" s="40" t="str">
        <f>HYPERLINK("http://triblive.com/news/allegheny/4669466-74/officer-police-victim#axzz2eJeAaiTJ","http://triblive.com/news/allegheny/4669466-74/officer-police-victim#axzz2eJeAaiTJ")</f>
        <v>http://triblive.com/news/allegheny/4669466-74/officer-police-victim#axzz2eJeAaiTJ</v>
      </c>
      <c r="R6864" s="33" t="s">
        <v>23</v>
      </c>
      <c r="S6864" s="33" t="s">
        <v>29</v>
      </c>
      <c r="T6864" s="1" t="s">
        <v>42991</v>
      </c>
      <c r="Z6864" s="33" t="e">
        <v>#N/A</v>
      </c>
      <c r="AA6864" s="33">
        <v>801</v>
      </c>
    </row>
    <row r="6865" spans="1:64" ht="12" customHeight="1" x14ac:dyDescent="0.15">
      <c r="A6865" s="33" t="s">
        <v>12916</v>
      </c>
      <c r="B6865" s="33">
        <v>25</v>
      </c>
      <c r="C6865" s="33" t="s">
        <v>14</v>
      </c>
      <c r="D6865" s="33" t="s">
        <v>24</v>
      </c>
      <c r="F6865" s="67">
        <v>41524</v>
      </c>
      <c r="G6865" s="33" t="s">
        <v>12917</v>
      </c>
      <c r="H6865" s="33" t="s">
        <v>584</v>
      </c>
      <c r="I6865" s="33" t="s">
        <v>112</v>
      </c>
      <c r="J6865" s="33" t="s">
        <v>2590</v>
      </c>
      <c r="K6865" s="33" t="s">
        <v>585</v>
      </c>
      <c r="L6865" s="33" t="s">
        <v>586</v>
      </c>
      <c r="M6865" s="33" t="s">
        <v>21</v>
      </c>
      <c r="N6865" s="33" t="s">
        <v>12918</v>
      </c>
      <c r="O6865" s="33" t="s">
        <v>950</v>
      </c>
      <c r="P6865" s="33" t="s">
        <v>30089</v>
      </c>
      <c r="Q6865" s="40" t="s">
        <v>12919</v>
      </c>
      <c r="R6865" s="33" t="s">
        <v>94</v>
      </c>
      <c r="S6865" s="33" t="s">
        <v>22</v>
      </c>
      <c r="T6865" s="1" t="s">
        <v>26781</v>
      </c>
      <c r="Z6865" s="33" t="s">
        <v>42966</v>
      </c>
      <c r="AA6865" s="33">
        <v>796</v>
      </c>
    </row>
    <row r="6866" spans="1:64" ht="12" customHeight="1" x14ac:dyDescent="0.15">
      <c r="A6866" s="33" t="s">
        <v>12904</v>
      </c>
      <c r="B6866" s="103">
        <v>107</v>
      </c>
      <c r="C6866" s="33" t="s">
        <v>14</v>
      </c>
      <c r="D6866" s="33" t="s">
        <v>79</v>
      </c>
      <c r="E6866" s="33" t="s">
        <v>12905</v>
      </c>
      <c r="F6866" s="67">
        <v>41524</v>
      </c>
      <c r="G6866" s="33" t="s">
        <v>12906</v>
      </c>
      <c r="H6866" s="33" t="s">
        <v>12907</v>
      </c>
      <c r="I6866" s="33" t="s">
        <v>918</v>
      </c>
      <c r="J6866" s="33" t="s">
        <v>12908</v>
      </c>
      <c r="K6866" s="33" t="s">
        <v>1659</v>
      </c>
      <c r="L6866" s="33" t="s">
        <v>12909</v>
      </c>
      <c r="M6866" s="33" t="s">
        <v>21</v>
      </c>
      <c r="N6866" s="33" t="s">
        <v>12910</v>
      </c>
      <c r="O6866" s="33" t="s">
        <v>507</v>
      </c>
      <c r="P6866" s="33" t="s">
        <v>30089</v>
      </c>
      <c r="Q6866" s="40" t="s">
        <v>12911</v>
      </c>
      <c r="R6866" s="33" t="s">
        <v>94</v>
      </c>
      <c r="S6866" s="33" t="s">
        <v>22</v>
      </c>
      <c r="T6866" s="1" t="s">
        <v>26781</v>
      </c>
      <c r="Z6866" s="33" t="s">
        <v>42968</v>
      </c>
      <c r="AA6866" s="33">
        <v>795</v>
      </c>
    </row>
    <row r="6867" spans="1:64" ht="12" customHeight="1" x14ac:dyDescent="0.15">
      <c r="A6867" s="33" t="s">
        <v>12912</v>
      </c>
      <c r="B6867" s="33">
        <v>28</v>
      </c>
      <c r="C6867" s="33" t="s">
        <v>14</v>
      </c>
      <c r="D6867" s="33" t="s">
        <v>79</v>
      </c>
      <c r="E6867" s="33" t="s">
        <v>12913</v>
      </c>
      <c r="F6867" s="67">
        <v>41524</v>
      </c>
      <c r="G6867" s="33" t="s">
        <v>22215</v>
      </c>
      <c r="H6867" s="33" t="s">
        <v>81</v>
      </c>
      <c r="I6867" s="33" t="s">
        <v>38</v>
      </c>
      <c r="J6867" s="33" t="s">
        <v>6941</v>
      </c>
      <c r="K6867" s="33" t="s">
        <v>82</v>
      </c>
      <c r="L6867" s="33" t="s">
        <v>83</v>
      </c>
      <c r="M6867" s="33" t="s">
        <v>21</v>
      </c>
      <c r="N6867" s="33" t="s">
        <v>12914</v>
      </c>
      <c r="O6867" s="33" t="s">
        <v>372</v>
      </c>
      <c r="P6867" s="33" t="s">
        <v>30089</v>
      </c>
      <c r="Q6867" s="40" t="s">
        <v>12915</v>
      </c>
      <c r="R6867" s="33" t="s">
        <v>23</v>
      </c>
      <c r="S6867" s="33" t="s">
        <v>12</v>
      </c>
      <c r="T6867" s="54" t="s">
        <v>29705</v>
      </c>
      <c r="Y6867" s="33" t="s">
        <v>42476</v>
      </c>
      <c r="Z6867" s="33" t="s">
        <v>42966</v>
      </c>
      <c r="AA6867" s="33">
        <v>799</v>
      </c>
    </row>
    <row r="6868" spans="1:64" ht="12" customHeight="1" x14ac:dyDescent="0.15">
      <c r="A6868" s="33" t="s">
        <v>12927</v>
      </c>
      <c r="B6868" s="33">
        <v>46</v>
      </c>
      <c r="C6868" s="33" t="s">
        <v>14</v>
      </c>
      <c r="D6868" s="33" t="s">
        <v>31</v>
      </c>
      <c r="E6868" s="33" t="s">
        <v>12928</v>
      </c>
      <c r="F6868" s="67">
        <v>41524</v>
      </c>
      <c r="G6868" s="33" t="s">
        <v>12929</v>
      </c>
      <c r="H6868" s="33" t="s">
        <v>2150</v>
      </c>
      <c r="I6868" s="33" t="s">
        <v>56</v>
      </c>
      <c r="J6868" s="33" t="s">
        <v>12930</v>
      </c>
      <c r="K6868" s="33" t="s">
        <v>2152</v>
      </c>
      <c r="L6868" s="33" t="s">
        <v>12747</v>
      </c>
      <c r="M6868" s="33" t="s">
        <v>21</v>
      </c>
      <c r="N6868" s="33" t="s">
        <v>12931</v>
      </c>
      <c r="O6868" s="33" t="s">
        <v>507</v>
      </c>
      <c r="P6868" s="33" t="s">
        <v>30089</v>
      </c>
      <c r="Q6868" s="40" t="s">
        <v>12932</v>
      </c>
      <c r="R6868" s="33" t="s">
        <v>94</v>
      </c>
      <c r="S6868" s="33" t="s">
        <v>22</v>
      </c>
      <c r="T6868" s="1" t="s">
        <v>26781</v>
      </c>
      <c r="Z6868" s="33" t="s">
        <v>42966</v>
      </c>
      <c r="AA6868" s="33">
        <v>798</v>
      </c>
    </row>
    <row r="6869" spans="1:64" ht="12" customHeight="1" x14ac:dyDescent="0.15">
      <c r="A6869" s="33" t="s">
        <v>12920</v>
      </c>
      <c r="B6869" s="33">
        <v>29</v>
      </c>
      <c r="C6869" s="33" t="s">
        <v>14</v>
      </c>
      <c r="D6869" s="33" t="s">
        <v>31</v>
      </c>
      <c r="E6869" s="33" t="s">
        <v>12921</v>
      </c>
      <c r="F6869" s="67">
        <v>41524</v>
      </c>
      <c r="G6869" s="33" t="s">
        <v>12922</v>
      </c>
      <c r="H6869" s="33" t="s">
        <v>4697</v>
      </c>
      <c r="I6869" s="33" t="s">
        <v>298</v>
      </c>
      <c r="J6869" s="33" t="s">
        <v>12923</v>
      </c>
      <c r="K6869" s="33" t="s">
        <v>392</v>
      </c>
      <c r="L6869" s="33" t="s">
        <v>12924</v>
      </c>
      <c r="M6869" s="33" t="s">
        <v>21</v>
      </c>
      <c r="N6869" s="33" t="s">
        <v>12925</v>
      </c>
      <c r="O6869" s="33" t="s">
        <v>4311</v>
      </c>
      <c r="P6869" s="33" t="s">
        <v>30089</v>
      </c>
      <c r="Q6869" s="40" t="s">
        <v>12926</v>
      </c>
      <c r="R6869" s="33" t="s">
        <v>94</v>
      </c>
      <c r="S6869" s="33" t="s">
        <v>22</v>
      </c>
      <c r="T6869" s="1" t="s">
        <v>26781</v>
      </c>
      <c r="Z6869" s="33" t="s">
        <v>42967</v>
      </c>
      <c r="AA6869" s="33">
        <v>797</v>
      </c>
    </row>
    <row r="6870" spans="1:64" ht="12" customHeight="1" x14ac:dyDescent="0.15">
      <c r="A6870" s="33" t="s">
        <v>12933</v>
      </c>
      <c r="B6870" s="33">
        <v>21</v>
      </c>
      <c r="C6870" s="33" t="s">
        <v>14</v>
      </c>
      <c r="D6870" s="33" t="s">
        <v>31</v>
      </c>
      <c r="F6870" s="67">
        <v>41524</v>
      </c>
      <c r="G6870" s="33" t="s">
        <v>12934</v>
      </c>
      <c r="H6870" s="33" t="s">
        <v>2985</v>
      </c>
      <c r="I6870" s="33" t="s">
        <v>39</v>
      </c>
      <c r="J6870" s="33" t="s">
        <v>12935</v>
      </c>
      <c r="K6870" s="33" t="s">
        <v>2985</v>
      </c>
      <c r="L6870" s="33" t="s">
        <v>12936</v>
      </c>
      <c r="M6870" s="33" t="s">
        <v>21</v>
      </c>
      <c r="N6870" s="33" t="s">
        <v>12937</v>
      </c>
      <c r="O6870" s="33" t="s">
        <v>950</v>
      </c>
      <c r="P6870" s="33" t="s">
        <v>30089</v>
      </c>
      <c r="Q6870" s="40" t="s">
        <v>12938</v>
      </c>
      <c r="R6870" s="33" t="s">
        <v>94</v>
      </c>
      <c r="S6870" s="33" t="s">
        <v>12</v>
      </c>
      <c r="T6870" s="54" t="s">
        <v>29705</v>
      </c>
      <c r="Z6870" s="33" t="s">
        <v>42968</v>
      </c>
      <c r="AA6870" s="33">
        <v>800</v>
      </c>
    </row>
    <row r="6871" spans="1:64" ht="12" customHeight="1" x14ac:dyDescent="0.15">
      <c r="A6871" s="33" t="s">
        <v>12945</v>
      </c>
      <c r="B6871" s="33">
        <v>37</v>
      </c>
      <c r="C6871" s="33" t="s">
        <v>14</v>
      </c>
      <c r="D6871" s="33" t="s">
        <v>79</v>
      </c>
      <c r="E6871" s="33" t="s">
        <v>12946</v>
      </c>
      <c r="F6871" s="67">
        <v>41523</v>
      </c>
      <c r="G6871" s="33" t="s">
        <v>12947</v>
      </c>
      <c r="H6871" s="33" t="s">
        <v>12671</v>
      </c>
      <c r="I6871" s="33" t="s">
        <v>88</v>
      </c>
      <c r="J6871" s="33" t="s">
        <v>12948</v>
      </c>
      <c r="K6871" s="33" t="s">
        <v>12671</v>
      </c>
      <c r="L6871" s="33" t="s">
        <v>12949</v>
      </c>
      <c r="M6871" s="33" t="s">
        <v>21</v>
      </c>
      <c r="N6871" s="33" t="s">
        <v>12950</v>
      </c>
      <c r="O6871" s="33" t="s">
        <v>950</v>
      </c>
      <c r="P6871" s="33" t="s">
        <v>30089</v>
      </c>
      <c r="Q6871" s="40" t="s">
        <v>12951</v>
      </c>
      <c r="R6871" s="33" t="s">
        <v>94</v>
      </c>
      <c r="S6871" s="33" t="s">
        <v>22</v>
      </c>
      <c r="T6871" s="33" t="s">
        <v>27803</v>
      </c>
      <c r="Z6871" s="33" t="s">
        <v>42968</v>
      </c>
      <c r="AA6871" s="33">
        <v>794</v>
      </c>
      <c r="AE6871" s="33"/>
    </row>
    <row r="6872" spans="1:64" ht="12" customHeight="1" x14ac:dyDescent="0.15">
      <c r="A6872" s="63" t="s">
        <v>42681</v>
      </c>
      <c r="B6872" s="99">
        <v>25</v>
      </c>
      <c r="C6872" s="10" t="s">
        <v>14</v>
      </c>
      <c r="D6872" s="10" t="s">
        <v>128</v>
      </c>
      <c r="E6872" s="10"/>
      <c r="F6872" s="67">
        <v>41523</v>
      </c>
      <c r="G6872" s="10" t="s">
        <v>42682</v>
      </c>
      <c r="H6872" s="10" t="s">
        <v>42683</v>
      </c>
      <c r="I6872" s="10" t="s">
        <v>112</v>
      </c>
      <c r="J6872" s="65">
        <v>86511</v>
      </c>
      <c r="K6872" s="10" t="s">
        <v>2025</v>
      </c>
      <c r="L6872" s="10" t="s">
        <v>42684</v>
      </c>
      <c r="M6872" s="10" t="s">
        <v>21</v>
      </c>
      <c r="N6872" s="10" t="s">
        <v>42685</v>
      </c>
      <c r="O6872" s="10" t="s">
        <v>950</v>
      </c>
      <c r="P6872" s="10" t="s">
        <v>30089</v>
      </c>
      <c r="Q6872" s="62" t="s">
        <v>42686</v>
      </c>
      <c r="R6872" s="10" t="s">
        <v>23</v>
      </c>
      <c r="S6872" s="10" t="s">
        <v>22</v>
      </c>
      <c r="T6872" s="10" t="s">
        <v>26781</v>
      </c>
      <c r="U6872" s="10"/>
      <c r="V6872" s="10"/>
      <c r="W6872" s="10"/>
      <c r="X6872" s="89"/>
      <c r="Y6872" s="68"/>
      <c r="Z6872" s="68" t="s">
        <v>42967</v>
      </c>
      <c r="AA6872" s="33">
        <v>793</v>
      </c>
      <c r="AG6872" s="68"/>
      <c r="AK6872" s="68"/>
      <c r="AL6872" s="68"/>
      <c r="AM6872" s="68"/>
      <c r="AN6872" s="68"/>
      <c r="AO6872" s="68"/>
      <c r="AP6872" s="68"/>
      <c r="AQ6872" s="68"/>
      <c r="AR6872" s="68"/>
      <c r="AS6872" s="68"/>
      <c r="AT6872" s="68"/>
      <c r="AU6872" s="68"/>
      <c r="AV6872" s="68"/>
      <c r="AW6872" s="68"/>
      <c r="AX6872" s="68"/>
      <c r="AY6872" s="68"/>
      <c r="AZ6872" s="68"/>
      <c r="BA6872" s="68"/>
      <c r="BB6872" s="68"/>
      <c r="BC6872" s="68"/>
      <c r="BD6872" s="68"/>
      <c r="BE6872" s="68"/>
      <c r="BF6872" s="68"/>
      <c r="BG6872" s="68"/>
      <c r="BH6872" s="68"/>
      <c r="BI6872" s="68"/>
      <c r="BJ6872" s="68"/>
      <c r="BK6872" s="68"/>
      <c r="BL6872" s="68"/>
    </row>
    <row r="6873" spans="1:64" ht="12" customHeight="1" x14ac:dyDescent="0.15">
      <c r="A6873" s="33" t="s">
        <v>12939</v>
      </c>
      <c r="B6873" s="33">
        <v>24</v>
      </c>
      <c r="C6873" s="33" t="s">
        <v>14</v>
      </c>
      <c r="D6873" s="33" t="s">
        <v>79</v>
      </c>
      <c r="E6873" s="33" t="s">
        <v>12940</v>
      </c>
      <c r="F6873" s="67">
        <v>41523</v>
      </c>
      <c r="G6873" s="33" t="s">
        <v>12941</v>
      </c>
      <c r="H6873" s="33" t="s">
        <v>1463</v>
      </c>
      <c r="I6873" s="33" t="s">
        <v>56</v>
      </c>
      <c r="J6873" s="33" t="s">
        <v>12942</v>
      </c>
      <c r="K6873" s="33" t="s">
        <v>590</v>
      </c>
      <c r="L6873" s="33" t="s">
        <v>591</v>
      </c>
      <c r="M6873" s="33" t="s">
        <v>21</v>
      </c>
      <c r="N6873" s="33" t="s">
        <v>12943</v>
      </c>
      <c r="O6873" s="33" t="s">
        <v>507</v>
      </c>
      <c r="P6873" s="33" t="s">
        <v>30089</v>
      </c>
      <c r="Q6873" s="40" t="s">
        <v>12944</v>
      </c>
      <c r="R6873" s="33" t="s">
        <v>94</v>
      </c>
      <c r="S6873" s="33" t="s">
        <v>22</v>
      </c>
      <c r="T6873" s="1" t="s">
        <v>26781</v>
      </c>
      <c r="Z6873" s="33" t="s">
        <v>42966</v>
      </c>
      <c r="AA6873" s="33">
        <v>790</v>
      </c>
    </row>
    <row r="6874" spans="1:64" ht="12" customHeight="1" x14ac:dyDescent="0.15">
      <c r="A6874" s="33" t="s">
        <v>12961</v>
      </c>
      <c r="B6874" s="33">
        <v>53</v>
      </c>
      <c r="C6874" s="33" t="s">
        <v>14</v>
      </c>
      <c r="D6874" s="33" t="s">
        <v>31</v>
      </c>
      <c r="E6874" s="33" t="s">
        <v>12957</v>
      </c>
      <c r="F6874" s="67">
        <v>41523</v>
      </c>
      <c r="G6874" s="33" t="s">
        <v>22216</v>
      </c>
      <c r="H6874" s="33" t="s">
        <v>12958</v>
      </c>
      <c r="I6874" s="33" t="s">
        <v>39</v>
      </c>
      <c r="J6874" s="33" t="s">
        <v>12959</v>
      </c>
      <c r="K6874" s="33" t="s">
        <v>2985</v>
      </c>
      <c r="L6874" s="33" t="s">
        <v>12960</v>
      </c>
      <c r="M6874" s="33" t="s">
        <v>21</v>
      </c>
      <c r="N6874" s="33" t="s">
        <v>12962</v>
      </c>
      <c r="O6874" s="33" t="s">
        <v>950</v>
      </c>
      <c r="P6874" s="33" t="s">
        <v>30089</v>
      </c>
      <c r="Q6874" s="40" t="s">
        <v>12963</v>
      </c>
      <c r="R6874" s="33" t="s">
        <v>94</v>
      </c>
      <c r="S6874" s="33" t="s">
        <v>22</v>
      </c>
      <c r="T6874" s="1" t="s">
        <v>26781</v>
      </c>
      <c r="Z6874" s="33" t="s">
        <v>42968</v>
      </c>
      <c r="AA6874" s="33">
        <v>792</v>
      </c>
    </row>
    <row r="6875" spans="1:64" ht="12" customHeight="1" x14ac:dyDescent="0.15">
      <c r="A6875" s="33" t="s">
        <v>12952</v>
      </c>
      <c r="B6875" s="33">
        <v>32</v>
      </c>
      <c r="C6875" s="33" t="s">
        <v>14</v>
      </c>
      <c r="D6875" s="33" t="s">
        <v>31</v>
      </c>
      <c r="E6875" s="33" t="s">
        <v>12953</v>
      </c>
      <c r="F6875" s="67">
        <v>41523</v>
      </c>
      <c r="G6875" s="33" t="s">
        <v>12954</v>
      </c>
      <c r="H6875" s="33" t="s">
        <v>266</v>
      </c>
      <c r="I6875" s="33" t="s">
        <v>67</v>
      </c>
      <c r="J6875" s="33" t="s">
        <v>6964</v>
      </c>
      <c r="K6875" s="33" t="s">
        <v>266</v>
      </c>
      <c r="L6875" s="33" t="s">
        <v>267</v>
      </c>
      <c r="M6875" s="33" t="s">
        <v>21</v>
      </c>
      <c r="N6875" s="33" t="s">
        <v>12955</v>
      </c>
      <c r="O6875" s="33" t="s">
        <v>950</v>
      </c>
      <c r="P6875" s="33" t="s">
        <v>30089</v>
      </c>
      <c r="Q6875" s="40" t="s">
        <v>12956</v>
      </c>
      <c r="R6875" s="33" t="s">
        <v>23</v>
      </c>
      <c r="S6875" s="33" t="s">
        <v>22</v>
      </c>
      <c r="T6875" s="1" t="s">
        <v>26781</v>
      </c>
      <c r="Z6875" s="33" t="s">
        <v>42968</v>
      </c>
      <c r="AA6875" s="33">
        <v>791</v>
      </c>
    </row>
    <row r="6876" spans="1:64" ht="12" customHeight="1" x14ac:dyDescent="0.15">
      <c r="A6876" s="33" t="s">
        <v>12969</v>
      </c>
      <c r="B6876" s="33">
        <v>30</v>
      </c>
      <c r="C6876" s="33" t="s">
        <v>14</v>
      </c>
      <c r="D6876" s="33" t="s">
        <v>79</v>
      </c>
      <c r="E6876" s="33" t="s">
        <v>12970</v>
      </c>
      <c r="F6876" s="67">
        <v>41522</v>
      </c>
      <c r="G6876" s="33" t="s">
        <v>36862</v>
      </c>
      <c r="H6876" s="33" t="s">
        <v>1191</v>
      </c>
      <c r="I6876" s="33" t="s">
        <v>40</v>
      </c>
      <c r="J6876" s="33" t="s">
        <v>12971</v>
      </c>
      <c r="K6876" s="33" t="s">
        <v>486</v>
      </c>
      <c r="L6876" s="33" t="s">
        <v>1192</v>
      </c>
      <c r="M6876" s="33" t="s">
        <v>21</v>
      </c>
      <c r="N6876" s="33" t="s">
        <v>12972</v>
      </c>
      <c r="O6876" s="33" t="s">
        <v>507</v>
      </c>
      <c r="P6876" s="33" t="s">
        <v>30089</v>
      </c>
      <c r="Q6876" s="40" t="s">
        <v>12973</v>
      </c>
      <c r="R6876" s="33" t="s">
        <v>94</v>
      </c>
      <c r="S6876" s="33" t="s">
        <v>29</v>
      </c>
      <c r="T6876" s="33" t="s">
        <v>41840</v>
      </c>
      <c r="Z6876" s="33" t="s">
        <v>42966</v>
      </c>
      <c r="AA6876" s="33">
        <v>789</v>
      </c>
    </row>
    <row r="6877" spans="1:64" ht="12" customHeight="1" x14ac:dyDescent="0.15">
      <c r="A6877" s="33" t="s">
        <v>12974</v>
      </c>
      <c r="B6877" s="33">
        <v>36</v>
      </c>
      <c r="C6877" s="33" t="s">
        <v>14</v>
      </c>
      <c r="D6877" s="33" t="s">
        <v>79</v>
      </c>
      <c r="E6877" s="33" t="s">
        <v>12975</v>
      </c>
      <c r="F6877" s="67">
        <v>41522</v>
      </c>
      <c r="G6877" s="33" t="s">
        <v>12976</v>
      </c>
      <c r="H6877" s="33" t="s">
        <v>12671</v>
      </c>
      <c r="I6877" s="33" t="s">
        <v>88</v>
      </c>
      <c r="J6877" s="33" t="s">
        <v>12977</v>
      </c>
      <c r="K6877" s="33" t="s">
        <v>12671</v>
      </c>
      <c r="L6877" s="33" t="s">
        <v>12949</v>
      </c>
      <c r="M6877" s="33" t="s">
        <v>21</v>
      </c>
      <c r="N6877" s="33" t="s">
        <v>12978</v>
      </c>
      <c r="O6877" s="33" t="s">
        <v>950</v>
      </c>
      <c r="P6877" s="33" t="s">
        <v>30089</v>
      </c>
      <c r="Q6877" s="40" t="s">
        <v>12979</v>
      </c>
      <c r="R6877" s="33" t="s">
        <v>94</v>
      </c>
      <c r="S6877" s="33" t="s">
        <v>22</v>
      </c>
      <c r="T6877" s="1" t="s">
        <v>26781</v>
      </c>
      <c r="Z6877" s="33" t="s">
        <v>42966</v>
      </c>
      <c r="AA6877" s="33">
        <v>787</v>
      </c>
    </row>
    <row r="6878" spans="1:64" ht="12" customHeight="1" x14ac:dyDescent="0.15">
      <c r="A6878" s="33" t="s">
        <v>12964</v>
      </c>
      <c r="B6878" s="33">
        <v>29</v>
      </c>
      <c r="C6878" s="33" t="s">
        <v>14</v>
      </c>
      <c r="D6878" s="33" t="s">
        <v>79</v>
      </c>
      <c r="F6878" s="67">
        <v>41522</v>
      </c>
      <c r="G6878" s="33" t="s">
        <v>12965</v>
      </c>
      <c r="H6878" s="33" t="s">
        <v>674</v>
      </c>
      <c r="I6878" s="33" t="s">
        <v>67</v>
      </c>
      <c r="J6878" s="33" t="s">
        <v>12966</v>
      </c>
      <c r="K6878" s="33" t="s">
        <v>515</v>
      </c>
      <c r="L6878" s="33" t="s">
        <v>516</v>
      </c>
      <c r="M6878" s="33" t="s">
        <v>21</v>
      </c>
      <c r="N6878" s="33" t="s">
        <v>12967</v>
      </c>
      <c r="O6878" s="33" t="s">
        <v>4311</v>
      </c>
      <c r="P6878" s="33" t="s">
        <v>30089</v>
      </c>
      <c r="Q6878" s="40" t="s">
        <v>12968</v>
      </c>
      <c r="R6878" s="33" t="s">
        <v>94</v>
      </c>
      <c r="S6878" s="33" t="s">
        <v>22</v>
      </c>
      <c r="T6878" s="1" t="s">
        <v>26781</v>
      </c>
      <c r="Z6878" s="33" t="s">
        <v>42968</v>
      </c>
      <c r="AA6878" s="33">
        <v>786</v>
      </c>
    </row>
    <row r="6879" spans="1:64" ht="12" customHeight="1" x14ac:dyDescent="0.15">
      <c r="A6879" s="63" t="s">
        <v>42687</v>
      </c>
      <c r="B6879" s="99">
        <v>45</v>
      </c>
      <c r="C6879" s="10" t="s">
        <v>14</v>
      </c>
      <c r="D6879" s="10" t="s">
        <v>79</v>
      </c>
      <c r="E6879" s="10"/>
      <c r="F6879" s="67">
        <v>41522</v>
      </c>
      <c r="G6879" s="10" t="s">
        <v>42688</v>
      </c>
      <c r="H6879" s="10" t="s">
        <v>1786</v>
      </c>
      <c r="I6879" s="10" t="s">
        <v>160</v>
      </c>
      <c r="J6879" s="65">
        <v>30337</v>
      </c>
      <c r="K6879" s="10" t="s">
        <v>1454</v>
      </c>
      <c r="L6879" s="10" t="s">
        <v>42689</v>
      </c>
      <c r="M6879" s="10" t="s">
        <v>21</v>
      </c>
      <c r="N6879" s="10" t="s">
        <v>12980</v>
      </c>
      <c r="O6879" s="10" t="s">
        <v>950</v>
      </c>
      <c r="P6879" s="10" t="s">
        <v>30089</v>
      </c>
      <c r="Q6879" s="62" t="s">
        <v>12981</v>
      </c>
      <c r="R6879" s="10" t="s">
        <v>94</v>
      </c>
      <c r="S6879" s="10" t="s">
        <v>22</v>
      </c>
      <c r="T6879" s="1" t="s">
        <v>26781</v>
      </c>
      <c r="U6879" s="10"/>
      <c r="V6879" s="10"/>
      <c r="W6879" s="10"/>
      <c r="X6879" s="89"/>
      <c r="Y6879" s="68"/>
      <c r="Z6879" s="68" t="s">
        <v>42968</v>
      </c>
      <c r="AA6879" s="33">
        <v>788</v>
      </c>
      <c r="AG6879" s="68"/>
      <c r="AK6879" s="68"/>
      <c r="AL6879" s="68"/>
      <c r="AM6879" s="68"/>
      <c r="AN6879" s="68"/>
      <c r="AO6879" s="68"/>
      <c r="AP6879" s="68"/>
      <c r="AQ6879" s="68"/>
      <c r="AR6879" s="68"/>
      <c r="AS6879" s="68"/>
      <c r="AT6879" s="68"/>
      <c r="AU6879" s="68"/>
      <c r="AV6879" s="68"/>
      <c r="AW6879" s="68"/>
      <c r="AX6879" s="68"/>
      <c r="AY6879" s="68"/>
      <c r="AZ6879" s="68"/>
      <c r="BA6879" s="68"/>
      <c r="BB6879" s="68"/>
      <c r="BC6879" s="68"/>
      <c r="BD6879" s="68"/>
      <c r="BE6879" s="68"/>
      <c r="BF6879" s="68"/>
      <c r="BG6879" s="68"/>
      <c r="BH6879" s="68"/>
      <c r="BI6879" s="68"/>
      <c r="BJ6879" s="68"/>
      <c r="BK6879" s="68"/>
      <c r="BL6879" s="68"/>
    </row>
    <row r="6880" spans="1:64" ht="12" customHeight="1" x14ac:dyDescent="0.15">
      <c r="A6880" s="33" t="s">
        <v>12987</v>
      </c>
      <c r="B6880" s="33">
        <v>34</v>
      </c>
      <c r="C6880" s="33" t="s">
        <v>14</v>
      </c>
      <c r="D6880" s="33" t="s">
        <v>42</v>
      </c>
      <c r="E6880" s="33" t="s">
        <v>12988</v>
      </c>
      <c r="F6880" s="67">
        <v>41521</v>
      </c>
      <c r="G6880" s="33" t="s">
        <v>12989</v>
      </c>
      <c r="H6880" s="33" t="s">
        <v>716</v>
      </c>
      <c r="I6880" s="33" t="s">
        <v>39</v>
      </c>
      <c r="J6880" s="33" t="s">
        <v>8518</v>
      </c>
      <c r="K6880" s="33" t="s">
        <v>561</v>
      </c>
      <c r="L6880" s="33" t="s">
        <v>43038</v>
      </c>
      <c r="M6880" s="33" t="s">
        <v>21</v>
      </c>
      <c r="N6880" s="33" t="s">
        <v>12990</v>
      </c>
      <c r="O6880" s="33" t="s">
        <v>507</v>
      </c>
      <c r="P6880" s="33" t="s">
        <v>30089</v>
      </c>
      <c r="Q6880" s="40" t="s">
        <v>12991</v>
      </c>
      <c r="R6880" s="33" t="s">
        <v>904</v>
      </c>
      <c r="S6880" s="33" t="s">
        <v>12</v>
      </c>
      <c r="T6880" s="54" t="s">
        <v>29705</v>
      </c>
      <c r="Z6880" s="33" t="s">
        <v>42968</v>
      </c>
      <c r="AA6880" s="33">
        <v>785</v>
      </c>
    </row>
    <row r="6881" spans="1:64" ht="12" customHeight="1" x14ac:dyDescent="0.15">
      <c r="A6881" s="33" t="s">
        <v>12982</v>
      </c>
      <c r="B6881" s="33">
        <v>25</v>
      </c>
      <c r="C6881" s="33" t="s">
        <v>14</v>
      </c>
      <c r="D6881" s="33" t="s">
        <v>79</v>
      </c>
      <c r="E6881" s="33" t="s">
        <v>12983</v>
      </c>
      <c r="F6881" s="67">
        <v>41521</v>
      </c>
      <c r="G6881" s="33" t="s">
        <v>22217</v>
      </c>
      <c r="H6881" s="33" t="s">
        <v>1487</v>
      </c>
      <c r="I6881" s="33" t="s">
        <v>46</v>
      </c>
      <c r="J6881" s="33" t="s">
        <v>12984</v>
      </c>
      <c r="K6881" s="33" t="s">
        <v>4324</v>
      </c>
      <c r="L6881" s="33" t="s">
        <v>2556</v>
      </c>
      <c r="M6881" s="33" t="s">
        <v>21</v>
      </c>
      <c r="N6881" s="33" t="s">
        <v>12985</v>
      </c>
      <c r="O6881" s="33" t="s">
        <v>4311</v>
      </c>
      <c r="P6881" s="33" t="s">
        <v>30089</v>
      </c>
      <c r="Q6881" s="40" t="s">
        <v>12986</v>
      </c>
      <c r="R6881" s="33" t="s">
        <v>94</v>
      </c>
      <c r="S6881" s="33" t="s">
        <v>22</v>
      </c>
      <c r="T6881" s="1" t="s">
        <v>26781</v>
      </c>
      <c r="Z6881" s="33" t="s">
        <v>42966</v>
      </c>
      <c r="AA6881" s="33">
        <v>784</v>
      </c>
    </row>
    <row r="6882" spans="1:64" ht="12" customHeight="1" x14ac:dyDescent="0.15">
      <c r="A6882" s="33" t="s">
        <v>12992</v>
      </c>
      <c r="B6882" s="33">
        <v>31</v>
      </c>
      <c r="C6882" s="33" t="s">
        <v>14</v>
      </c>
      <c r="D6882" s="33" t="s">
        <v>24</v>
      </c>
      <c r="F6882" s="67">
        <v>41520</v>
      </c>
      <c r="G6882" s="33" t="s">
        <v>12993</v>
      </c>
      <c r="H6882" s="33" t="s">
        <v>12994</v>
      </c>
      <c r="I6882" s="33" t="s">
        <v>621</v>
      </c>
      <c r="J6882" s="33" t="s">
        <v>12995</v>
      </c>
      <c r="K6882" s="33" t="s">
        <v>5086</v>
      </c>
      <c r="L6882" s="33" t="s">
        <v>12996</v>
      </c>
      <c r="M6882" s="33" t="s">
        <v>21</v>
      </c>
      <c r="N6882" s="33" t="s">
        <v>12997</v>
      </c>
      <c r="O6882" s="33" t="s">
        <v>507</v>
      </c>
      <c r="P6882" s="33" t="s">
        <v>30089</v>
      </c>
      <c r="Q6882" s="40" t="str">
        <f>HYPERLINK("http://www.wtva.com/news/national/story/Grand-jury-no-indictments-in-officer-involved/EE5Am7KlmUmIECC8X0k4Wg.cspx","http://www.wtva.com/news/national/story/Grand-jury-no-indictments-in-officer-involved/EE5Am7KlmUmIECC8X0k4Wg.cspx")</f>
        <v>http://www.wtva.com/news/national/story/Grand-jury-no-indictments-in-officer-involved/EE5Am7KlmUmIECC8X0k4Wg.cspx</v>
      </c>
      <c r="R6882" s="33" t="s">
        <v>94</v>
      </c>
      <c r="S6882" s="33" t="s">
        <v>12</v>
      </c>
      <c r="T6882" s="54" t="s">
        <v>29705</v>
      </c>
      <c r="Z6882" s="33" t="s">
        <v>42966</v>
      </c>
      <c r="AA6882" s="33">
        <v>783</v>
      </c>
    </row>
    <row r="6883" spans="1:64" ht="12" customHeight="1" x14ac:dyDescent="0.15">
      <c r="A6883" s="33" t="s">
        <v>12998</v>
      </c>
      <c r="B6883" s="33">
        <v>53</v>
      </c>
      <c r="C6883" s="33" t="s">
        <v>14</v>
      </c>
      <c r="D6883" s="33" t="s">
        <v>24</v>
      </c>
      <c r="F6883" s="67">
        <v>41520</v>
      </c>
      <c r="G6883" s="33" t="s">
        <v>12999</v>
      </c>
      <c r="H6883" s="33" t="s">
        <v>688</v>
      </c>
      <c r="I6883" s="33" t="s">
        <v>376</v>
      </c>
      <c r="J6883" s="33" t="s">
        <v>13000</v>
      </c>
      <c r="K6883" s="33" t="s">
        <v>1499</v>
      </c>
      <c r="L6883" s="33" t="s">
        <v>13001</v>
      </c>
      <c r="M6883" s="33" t="s">
        <v>21</v>
      </c>
      <c r="N6883" s="33" t="s">
        <v>13002</v>
      </c>
      <c r="O6883" s="33" t="s">
        <v>950</v>
      </c>
      <c r="P6883" s="33" t="s">
        <v>30089</v>
      </c>
      <c r="Q6883" s="40" t="s">
        <v>13003</v>
      </c>
      <c r="R6883" s="33" t="s">
        <v>94</v>
      </c>
      <c r="S6883" s="33" t="s">
        <v>22</v>
      </c>
      <c r="T6883" s="1" t="s">
        <v>26781</v>
      </c>
      <c r="Z6883" s="33" t="s">
        <v>42968</v>
      </c>
      <c r="AA6883" s="33">
        <v>782</v>
      </c>
    </row>
    <row r="6884" spans="1:64" ht="12" customHeight="1" x14ac:dyDescent="0.15">
      <c r="A6884" s="33" t="s">
        <v>13010</v>
      </c>
      <c r="B6884" s="33">
        <v>47</v>
      </c>
      <c r="C6884" s="33" t="s">
        <v>14</v>
      </c>
      <c r="D6884" s="33" t="s">
        <v>24</v>
      </c>
      <c r="F6884" s="67">
        <v>41519</v>
      </c>
      <c r="G6884" s="33" t="s">
        <v>13011</v>
      </c>
      <c r="H6884" s="33" t="s">
        <v>13012</v>
      </c>
      <c r="I6884" s="33" t="s">
        <v>376</v>
      </c>
      <c r="J6884" s="33" t="s">
        <v>13013</v>
      </c>
      <c r="K6884" s="33" t="s">
        <v>1203</v>
      </c>
      <c r="L6884" s="33" t="s">
        <v>8484</v>
      </c>
      <c r="M6884" s="33" t="s">
        <v>21</v>
      </c>
      <c r="N6884" s="33" t="s">
        <v>13014</v>
      </c>
      <c r="O6884" s="33" t="s">
        <v>507</v>
      </c>
      <c r="P6884" s="33" t="s">
        <v>30089</v>
      </c>
      <c r="Q6884" s="40" t="s">
        <v>13015</v>
      </c>
      <c r="R6884" s="33" t="s">
        <v>512</v>
      </c>
      <c r="S6884" s="33" t="s">
        <v>22</v>
      </c>
      <c r="T6884" s="1" t="s">
        <v>26781</v>
      </c>
      <c r="Z6884" s="33" t="s">
        <v>42967</v>
      </c>
      <c r="AA6884" s="33">
        <v>776</v>
      </c>
    </row>
    <row r="6885" spans="1:64" ht="12" customHeight="1" x14ac:dyDescent="0.15">
      <c r="A6885" s="33" t="s">
        <v>13030</v>
      </c>
      <c r="B6885" s="33">
        <v>43</v>
      </c>
      <c r="C6885" s="33" t="s">
        <v>14</v>
      </c>
      <c r="D6885" s="33" t="s">
        <v>31</v>
      </c>
      <c r="E6885" s="33" t="s">
        <v>13031</v>
      </c>
      <c r="F6885" s="67">
        <v>41519</v>
      </c>
      <c r="G6885" s="33" t="s">
        <v>13032</v>
      </c>
      <c r="H6885" s="33" t="s">
        <v>13033</v>
      </c>
      <c r="I6885" s="33" t="s">
        <v>56</v>
      </c>
      <c r="J6885" s="33" t="s">
        <v>13034</v>
      </c>
      <c r="K6885" s="33" t="s">
        <v>148</v>
      </c>
      <c r="L6885" s="33" t="s">
        <v>13035</v>
      </c>
      <c r="M6885" s="33" t="s">
        <v>363</v>
      </c>
      <c r="N6885" s="33" t="s">
        <v>13036</v>
      </c>
      <c r="O6885" s="33" t="s">
        <v>950</v>
      </c>
      <c r="P6885" s="33" t="s">
        <v>30089</v>
      </c>
      <c r="Q6885" s="40" t="s">
        <v>13037</v>
      </c>
      <c r="R6885" s="33" t="s">
        <v>904</v>
      </c>
      <c r="S6885" s="33" t="s">
        <v>12</v>
      </c>
      <c r="T6885" s="54" t="s">
        <v>29705</v>
      </c>
      <c r="Z6885" s="33" t="s">
        <v>42968</v>
      </c>
      <c r="AA6885" s="33">
        <v>780</v>
      </c>
    </row>
    <row r="6886" spans="1:64" ht="12" customHeight="1" x14ac:dyDescent="0.15">
      <c r="A6886" s="33" t="s">
        <v>13022</v>
      </c>
      <c r="B6886" s="33">
        <v>40</v>
      </c>
      <c r="C6886" s="33" t="s">
        <v>14</v>
      </c>
      <c r="D6886" s="33" t="s">
        <v>31</v>
      </c>
      <c r="E6886" s="33" t="s">
        <v>13023</v>
      </c>
      <c r="F6886" s="67">
        <v>41519</v>
      </c>
      <c r="G6886" s="33" t="s">
        <v>13024</v>
      </c>
      <c r="H6886" s="33" t="s">
        <v>13025</v>
      </c>
      <c r="I6886" s="33" t="s">
        <v>35</v>
      </c>
      <c r="J6886" s="33" t="s">
        <v>13026</v>
      </c>
      <c r="K6886" s="33" t="s">
        <v>793</v>
      </c>
      <c r="L6886" s="33" t="s">
        <v>13027</v>
      </c>
      <c r="M6886" s="33" t="s">
        <v>363</v>
      </c>
      <c r="N6886" s="33" t="s">
        <v>13028</v>
      </c>
      <c r="O6886" s="33" t="s">
        <v>23</v>
      </c>
      <c r="P6886" s="33" t="s">
        <v>30089</v>
      </c>
      <c r="Q6886" s="40" t="s">
        <v>13029</v>
      </c>
      <c r="R6886" s="33" t="s">
        <v>512</v>
      </c>
      <c r="S6886" s="33" t="s">
        <v>12</v>
      </c>
      <c r="T6886" s="54" t="s">
        <v>29705</v>
      </c>
      <c r="Z6886" s="33" t="s">
        <v>42968</v>
      </c>
      <c r="AA6886" s="33">
        <v>781</v>
      </c>
    </row>
    <row r="6887" spans="1:64" ht="12" customHeight="1" x14ac:dyDescent="0.15">
      <c r="A6887" s="33" t="s">
        <v>3002</v>
      </c>
      <c r="B6887" s="33">
        <v>43</v>
      </c>
      <c r="C6887" s="33" t="s">
        <v>14</v>
      </c>
      <c r="D6887" s="33" t="s">
        <v>24</v>
      </c>
      <c r="F6887" s="67">
        <v>41519</v>
      </c>
      <c r="G6887" s="33" t="s">
        <v>13004</v>
      </c>
      <c r="H6887" s="33" t="s">
        <v>13005</v>
      </c>
      <c r="I6887" s="33" t="s">
        <v>39</v>
      </c>
      <c r="J6887" s="33" t="s">
        <v>13006</v>
      </c>
      <c r="K6887" s="33" t="s">
        <v>1332</v>
      </c>
      <c r="L6887" s="33" t="s">
        <v>13007</v>
      </c>
      <c r="M6887" s="33" t="s">
        <v>21</v>
      </c>
      <c r="N6887" s="33" t="s">
        <v>13008</v>
      </c>
      <c r="O6887" s="33" t="s">
        <v>950</v>
      </c>
      <c r="P6887" s="33" t="s">
        <v>30089</v>
      </c>
      <c r="Q6887" s="40" t="s">
        <v>13009</v>
      </c>
      <c r="R6887" s="33" t="s">
        <v>94</v>
      </c>
      <c r="S6887" s="33" t="s">
        <v>22</v>
      </c>
      <c r="T6887" s="1" t="s">
        <v>26774</v>
      </c>
      <c r="Z6887" s="33" t="s">
        <v>42968</v>
      </c>
      <c r="AA6887" s="33">
        <v>779</v>
      </c>
    </row>
    <row r="6888" spans="1:64" ht="12" customHeight="1" x14ac:dyDescent="0.15">
      <c r="A6888" s="33" t="s">
        <v>13038</v>
      </c>
      <c r="B6888" s="33">
        <v>23</v>
      </c>
      <c r="C6888" s="33" t="s">
        <v>14</v>
      </c>
      <c r="D6888" s="33" t="s">
        <v>31</v>
      </c>
      <c r="E6888" s="33" t="s">
        <v>13039</v>
      </c>
      <c r="F6888" s="67">
        <v>41519</v>
      </c>
      <c r="G6888" s="33" t="s">
        <v>13040</v>
      </c>
      <c r="H6888" s="33" t="s">
        <v>12230</v>
      </c>
      <c r="I6888" s="33" t="s">
        <v>56</v>
      </c>
      <c r="J6888" s="33" t="s">
        <v>12930</v>
      </c>
      <c r="K6888" s="33" t="s">
        <v>2152</v>
      </c>
      <c r="L6888" s="33" t="s">
        <v>12747</v>
      </c>
      <c r="M6888" s="33" t="s">
        <v>21</v>
      </c>
      <c r="N6888" s="33" t="s">
        <v>13041</v>
      </c>
      <c r="O6888" s="33" t="s">
        <v>507</v>
      </c>
      <c r="P6888" s="33" t="s">
        <v>30089</v>
      </c>
      <c r="Q6888" s="40" t="s">
        <v>13042</v>
      </c>
      <c r="R6888" s="33" t="s">
        <v>23</v>
      </c>
      <c r="S6888" s="33" t="s">
        <v>22</v>
      </c>
      <c r="T6888" s="1" t="s">
        <v>26781</v>
      </c>
      <c r="Z6888" s="33" t="s">
        <v>42966</v>
      </c>
      <c r="AA6888" s="33">
        <v>778</v>
      </c>
    </row>
    <row r="6889" spans="1:64" ht="12" customHeight="1" x14ac:dyDescent="0.15">
      <c r="A6889" s="33" t="s">
        <v>13016</v>
      </c>
      <c r="B6889" s="33">
        <v>44</v>
      </c>
      <c r="C6889" s="33" t="s">
        <v>14</v>
      </c>
      <c r="D6889" s="33" t="s">
        <v>31</v>
      </c>
      <c r="E6889" s="33" t="s">
        <v>13017</v>
      </c>
      <c r="F6889" s="67">
        <v>41519</v>
      </c>
      <c r="G6889" s="33" t="s">
        <v>13018</v>
      </c>
      <c r="H6889" s="33" t="s">
        <v>13019</v>
      </c>
      <c r="I6889" s="33" t="s">
        <v>294</v>
      </c>
      <c r="J6889" s="33" t="s">
        <v>13020</v>
      </c>
      <c r="K6889" s="33" t="s">
        <v>2476</v>
      </c>
      <c r="L6889" s="33" t="s">
        <v>2477</v>
      </c>
      <c r="M6889" s="33" t="s">
        <v>21</v>
      </c>
      <c r="N6889" s="33" t="s">
        <v>36863</v>
      </c>
      <c r="O6889" s="33" t="s">
        <v>950</v>
      </c>
      <c r="P6889" s="33" t="s">
        <v>30089</v>
      </c>
      <c r="Q6889" s="40" t="s">
        <v>13021</v>
      </c>
      <c r="R6889" s="33" t="s">
        <v>94</v>
      </c>
      <c r="S6889" s="33" t="s">
        <v>22</v>
      </c>
      <c r="T6889" s="1" t="s">
        <v>26781</v>
      </c>
      <c r="Z6889" s="33" t="s">
        <v>42967</v>
      </c>
      <c r="AA6889" s="33">
        <v>777</v>
      </c>
    </row>
    <row r="6890" spans="1:64" ht="12" customHeight="1" x14ac:dyDescent="0.15">
      <c r="A6890" s="33" t="s">
        <v>3002</v>
      </c>
      <c r="B6890" s="33">
        <v>28</v>
      </c>
      <c r="C6890" s="33" t="s">
        <v>14</v>
      </c>
      <c r="D6890" s="33" t="s">
        <v>42</v>
      </c>
      <c r="F6890" s="67">
        <v>41518</v>
      </c>
      <c r="G6890" s="33" t="s">
        <v>13047</v>
      </c>
      <c r="H6890" s="33" t="s">
        <v>674</v>
      </c>
      <c r="I6890" s="33" t="s">
        <v>67</v>
      </c>
      <c r="J6890" s="33" t="s">
        <v>6240</v>
      </c>
      <c r="K6890" s="33" t="s">
        <v>515</v>
      </c>
      <c r="L6890" s="33" t="s">
        <v>675</v>
      </c>
      <c r="M6890" s="33" t="s">
        <v>21</v>
      </c>
      <c r="N6890" s="33" t="s">
        <v>13048</v>
      </c>
      <c r="O6890" s="33" t="s">
        <v>507</v>
      </c>
      <c r="P6890" s="33" t="s">
        <v>30089</v>
      </c>
      <c r="Q6890" s="40" t="s">
        <v>13049</v>
      </c>
      <c r="R6890" s="33" t="s">
        <v>94</v>
      </c>
      <c r="S6890" s="33" t="s">
        <v>22</v>
      </c>
      <c r="T6890" s="1" t="s">
        <v>26781</v>
      </c>
      <c r="Z6890" s="33" t="s">
        <v>42966</v>
      </c>
      <c r="AA6890" s="33">
        <v>771</v>
      </c>
    </row>
    <row r="6891" spans="1:64" ht="12" customHeight="1" x14ac:dyDescent="0.15">
      <c r="A6891" s="63" t="s">
        <v>42531</v>
      </c>
      <c r="B6891" s="99">
        <v>28</v>
      </c>
      <c r="C6891" s="10" t="s">
        <v>14</v>
      </c>
      <c r="D6891" s="10" t="s">
        <v>42</v>
      </c>
      <c r="E6891" s="10"/>
      <c r="F6891" s="67">
        <v>41518</v>
      </c>
      <c r="G6891" s="10" t="s">
        <v>42532</v>
      </c>
      <c r="H6891" s="10" t="s">
        <v>674</v>
      </c>
      <c r="I6891" s="10" t="s">
        <v>67</v>
      </c>
      <c r="J6891" s="65">
        <v>77036</v>
      </c>
      <c r="K6891" s="10" t="s">
        <v>515</v>
      </c>
      <c r="L6891" s="10" t="s">
        <v>675</v>
      </c>
      <c r="M6891" s="10" t="s">
        <v>21</v>
      </c>
      <c r="N6891" s="10" t="s">
        <v>42533</v>
      </c>
      <c r="O6891" s="10" t="s">
        <v>42518</v>
      </c>
      <c r="P6891" s="10" t="s">
        <v>30089</v>
      </c>
      <c r="Q6891" s="62" t="s">
        <v>42534</v>
      </c>
      <c r="R6891" s="10" t="s">
        <v>23</v>
      </c>
      <c r="S6891" s="10" t="s">
        <v>22</v>
      </c>
      <c r="T6891" s="10" t="s">
        <v>26781</v>
      </c>
      <c r="U6891" s="10"/>
      <c r="V6891" s="10"/>
      <c r="W6891" s="10"/>
      <c r="X6891" s="89"/>
      <c r="Y6891" s="68"/>
      <c r="Z6891" s="68" t="s">
        <v>42966</v>
      </c>
      <c r="AA6891" s="33">
        <v>773</v>
      </c>
      <c r="AG6891" s="68"/>
      <c r="AK6891" s="68"/>
      <c r="AL6891" s="68"/>
      <c r="AM6891" s="68"/>
      <c r="AN6891" s="68"/>
      <c r="AO6891" s="68"/>
      <c r="AP6891" s="68"/>
      <c r="AQ6891" s="68"/>
      <c r="AR6891" s="68"/>
      <c r="AS6891" s="68"/>
      <c r="AT6891" s="68"/>
      <c r="AU6891" s="68"/>
      <c r="AV6891" s="68"/>
      <c r="AW6891" s="68"/>
      <c r="AX6891" s="68"/>
      <c r="AY6891" s="68"/>
      <c r="AZ6891" s="68"/>
      <c r="BA6891" s="68"/>
      <c r="BB6891" s="68"/>
      <c r="BC6891" s="68"/>
      <c r="BD6891" s="68"/>
      <c r="BE6891" s="68"/>
      <c r="BF6891" s="68"/>
      <c r="BG6891" s="68"/>
      <c r="BH6891" s="68"/>
      <c r="BI6891" s="68"/>
      <c r="BJ6891" s="68"/>
      <c r="BK6891" s="68"/>
      <c r="BL6891" s="68"/>
    </row>
    <row r="6892" spans="1:64" ht="12" customHeight="1" x14ac:dyDescent="0.15">
      <c r="A6892" s="33" t="s">
        <v>13043</v>
      </c>
      <c r="B6892" s="33">
        <v>27</v>
      </c>
      <c r="C6892" s="33" t="s">
        <v>14</v>
      </c>
      <c r="D6892" s="33" t="s">
        <v>42</v>
      </c>
      <c r="E6892" s="33" t="s">
        <v>13044</v>
      </c>
      <c r="F6892" s="67">
        <v>41518</v>
      </c>
      <c r="G6892" s="33" t="s">
        <v>22218</v>
      </c>
      <c r="H6892" s="33" t="s">
        <v>6461</v>
      </c>
      <c r="I6892" s="33" t="s">
        <v>198</v>
      </c>
      <c r="J6892" s="33" t="s">
        <v>6462</v>
      </c>
      <c r="K6892" s="33" t="s">
        <v>6461</v>
      </c>
      <c r="L6892" s="33" t="s">
        <v>6463</v>
      </c>
      <c r="M6892" s="33" t="s">
        <v>21</v>
      </c>
      <c r="N6892" s="33" t="s">
        <v>13045</v>
      </c>
      <c r="O6892" s="33" t="s">
        <v>507</v>
      </c>
      <c r="P6892" s="33" t="s">
        <v>30089</v>
      </c>
      <c r="Q6892" s="40" t="s">
        <v>13046</v>
      </c>
      <c r="R6892" s="33" t="s">
        <v>23</v>
      </c>
      <c r="S6892" s="33" t="s">
        <v>22</v>
      </c>
      <c r="T6892" s="1" t="s">
        <v>26781</v>
      </c>
      <c r="Z6892" s="33" t="s">
        <v>42966</v>
      </c>
      <c r="AA6892" s="33">
        <v>770</v>
      </c>
    </row>
    <row r="6893" spans="1:64" ht="12" customHeight="1" x14ac:dyDescent="0.15">
      <c r="A6893" s="33" t="s">
        <v>13060</v>
      </c>
      <c r="B6893" s="33">
        <v>34</v>
      </c>
      <c r="C6893" s="33" t="s">
        <v>14</v>
      </c>
      <c r="D6893" s="33" t="s">
        <v>31</v>
      </c>
      <c r="E6893" s="33" t="s">
        <v>13061</v>
      </c>
      <c r="F6893" s="67">
        <v>41518</v>
      </c>
      <c r="G6893" s="33" t="s">
        <v>13062</v>
      </c>
      <c r="H6893" s="33" t="s">
        <v>233</v>
      </c>
      <c r="I6893" s="33" t="s">
        <v>26</v>
      </c>
      <c r="J6893" s="33" t="s">
        <v>13063</v>
      </c>
      <c r="K6893" s="33" t="s">
        <v>233</v>
      </c>
      <c r="L6893" s="33" t="s">
        <v>11356</v>
      </c>
      <c r="M6893" s="33" t="s">
        <v>21</v>
      </c>
      <c r="N6893" s="33" t="s">
        <v>13064</v>
      </c>
      <c r="O6893" s="33" t="s">
        <v>507</v>
      </c>
      <c r="P6893" s="33" t="s">
        <v>30089</v>
      </c>
      <c r="Q6893" s="40" t="s">
        <v>13065</v>
      </c>
      <c r="R6893" s="33" t="s">
        <v>512</v>
      </c>
      <c r="S6893" s="33" t="s">
        <v>22</v>
      </c>
      <c r="T6893" s="1" t="s">
        <v>26781</v>
      </c>
      <c r="Z6893" s="33" t="s">
        <v>42968</v>
      </c>
      <c r="AA6893" s="33">
        <v>772</v>
      </c>
    </row>
    <row r="6894" spans="1:64" ht="12" customHeight="1" x14ac:dyDescent="0.15">
      <c r="A6894" s="33" t="s">
        <v>13050</v>
      </c>
      <c r="B6894" s="33">
        <v>46</v>
      </c>
      <c r="C6894" s="33" t="s">
        <v>14</v>
      </c>
      <c r="D6894" s="33" t="s">
        <v>42</v>
      </c>
      <c r="E6894" s="33" t="s">
        <v>13051</v>
      </c>
      <c r="F6894" s="67">
        <v>41518</v>
      </c>
      <c r="G6894" s="33" t="s">
        <v>13052</v>
      </c>
      <c r="H6894" s="33" t="s">
        <v>1819</v>
      </c>
      <c r="I6894" s="33" t="s">
        <v>39</v>
      </c>
      <c r="J6894" s="33" t="s">
        <v>13053</v>
      </c>
      <c r="K6894" s="33" t="s">
        <v>1819</v>
      </c>
      <c r="L6894" s="33" t="s">
        <v>42470</v>
      </c>
      <c r="M6894" s="33" t="s">
        <v>21</v>
      </c>
      <c r="N6894" s="33" t="s">
        <v>13054</v>
      </c>
      <c r="O6894" s="33" t="s">
        <v>507</v>
      </c>
      <c r="P6894" s="33" t="s">
        <v>30089</v>
      </c>
      <c r="Q6894" s="40" t="s">
        <v>13055</v>
      </c>
      <c r="R6894" s="33" t="s">
        <v>512</v>
      </c>
      <c r="S6894" s="33" t="s">
        <v>22</v>
      </c>
      <c r="T6894" s="1" t="s">
        <v>26774</v>
      </c>
      <c r="Z6894" s="33" t="s">
        <v>42966</v>
      </c>
      <c r="AA6894" s="33">
        <v>774</v>
      </c>
    </row>
    <row r="6895" spans="1:64" ht="12" customHeight="1" x14ac:dyDescent="0.15">
      <c r="A6895" s="33" t="s">
        <v>13056</v>
      </c>
      <c r="B6895" s="33">
        <v>25</v>
      </c>
      <c r="C6895" s="33" t="s">
        <v>14</v>
      </c>
      <c r="D6895" s="33" t="s">
        <v>885</v>
      </c>
      <c r="E6895" s="33" t="s">
        <v>13057</v>
      </c>
      <c r="F6895" s="67">
        <v>41518</v>
      </c>
      <c r="G6895" s="33" t="s">
        <v>13058</v>
      </c>
      <c r="H6895" s="33" t="s">
        <v>2307</v>
      </c>
      <c r="I6895" s="33" t="s">
        <v>367</v>
      </c>
      <c r="J6895" s="33" t="s">
        <v>6217</v>
      </c>
      <c r="K6895" s="33" t="s">
        <v>2307</v>
      </c>
      <c r="L6895" s="33" t="s">
        <v>1904</v>
      </c>
      <c r="M6895" s="33" t="s">
        <v>21</v>
      </c>
      <c r="N6895" s="33" t="s">
        <v>19076</v>
      </c>
      <c r="O6895" s="33" t="s">
        <v>372</v>
      </c>
      <c r="P6895" s="33" t="s">
        <v>30089</v>
      </c>
      <c r="Q6895" s="40" t="s">
        <v>13059</v>
      </c>
      <c r="R6895" s="33" t="s">
        <v>94</v>
      </c>
      <c r="S6895" s="33" t="s">
        <v>29</v>
      </c>
      <c r="T6895" s="33" t="s">
        <v>41840</v>
      </c>
      <c r="Y6895" s="33" t="s">
        <v>42476</v>
      </c>
      <c r="Z6895" s="33" t="s">
        <v>42966</v>
      </c>
      <c r="AA6895" s="33">
        <v>775</v>
      </c>
    </row>
    <row r="6896" spans="1:64" ht="12" customHeight="1" x14ac:dyDescent="0.15">
      <c r="A6896" s="33" t="s">
        <v>13066</v>
      </c>
      <c r="B6896" s="33">
        <v>28</v>
      </c>
      <c r="C6896" s="33" t="s">
        <v>14</v>
      </c>
      <c r="D6896" s="33" t="s">
        <v>79</v>
      </c>
      <c r="E6896" s="33" t="s">
        <v>13067</v>
      </c>
      <c r="F6896" s="67">
        <v>41517</v>
      </c>
      <c r="G6896" s="33" t="s">
        <v>22219</v>
      </c>
      <c r="H6896" s="33" t="s">
        <v>81</v>
      </c>
      <c r="I6896" s="33" t="s">
        <v>38</v>
      </c>
      <c r="J6896" s="33" t="s">
        <v>4855</v>
      </c>
      <c r="K6896" s="33" t="s">
        <v>82</v>
      </c>
      <c r="L6896" s="33" t="s">
        <v>83</v>
      </c>
      <c r="M6896" s="33" t="s">
        <v>21</v>
      </c>
      <c r="N6896" s="33" t="s">
        <v>13068</v>
      </c>
      <c r="O6896" s="33" t="s">
        <v>950</v>
      </c>
      <c r="P6896" s="33" t="s">
        <v>30089</v>
      </c>
      <c r="Q6896" s="40" t="s">
        <v>19077</v>
      </c>
      <c r="R6896" s="33" t="s">
        <v>23</v>
      </c>
      <c r="S6896" s="33" t="s">
        <v>29</v>
      </c>
      <c r="T6896" s="33" t="s">
        <v>41840</v>
      </c>
      <c r="Y6896" s="33" t="s">
        <v>42476</v>
      </c>
      <c r="Z6896" s="33" t="s">
        <v>42966</v>
      </c>
      <c r="AA6896" s="33">
        <v>769</v>
      </c>
    </row>
    <row r="6897" spans="1:31" ht="12" customHeight="1" x14ac:dyDescent="0.15">
      <c r="A6897" s="33" t="s">
        <v>13069</v>
      </c>
      <c r="B6897" s="33">
        <v>46</v>
      </c>
      <c r="C6897" s="33" t="s">
        <v>14</v>
      </c>
      <c r="D6897" s="33" t="s">
        <v>42</v>
      </c>
      <c r="E6897" s="33" t="s">
        <v>13070</v>
      </c>
      <c r="F6897" s="67">
        <v>41517</v>
      </c>
      <c r="G6897" s="33" t="s">
        <v>22220</v>
      </c>
      <c r="H6897" s="33" t="s">
        <v>12325</v>
      </c>
      <c r="I6897" s="33" t="s">
        <v>39</v>
      </c>
      <c r="J6897" s="33" t="s">
        <v>12326</v>
      </c>
      <c r="K6897" s="33" t="s">
        <v>558</v>
      </c>
      <c r="L6897" s="33" t="s">
        <v>12327</v>
      </c>
      <c r="M6897" s="33" t="s">
        <v>21</v>
      </c>
      <c r="N6897" s="33" t="s">
        <v>13071</v>
      </c>
      <c r="O6897" s="33" t="s">
        <v>23</v>
      </c>
      <c r="P6897" s="33" t="s">
        <v>30089</v>
      </c>
      <c r="Q6897" s="40" t="s">
        <v>13072</v>
      </c>
      <c r="R6897" s="33" t="s">
        <v>512</v>
      </c>
      <c r="S6897" s="33" t="s">
        <v>22</v>
      </c>
      <c r="T6897" s="1" t="s">
        <v>26781</v>
      </c>
      <c r="Z6897" s="33" t="s">
        <v>42968</v>
      </c>
      <c r="AA6897" s="33">
        <v>767</v>
      </c>
    </row>
    <row r="6898" spans="1:31" ht="12" customHeight="1" x14ac:dyDescent="0.15">
      <c r="A6898" s="33" t="s">
        <v>13073</v>
      </c>
      <c r="B6898" s="33">
        <v>29</v>
      </c>
      <c r="C6898" s="33" t="s">
        <v>14</v>
      </c>
      <c r="D6898" s="33" t="s">
        <v>31</v>
      </c>
      <c r="E6898" s="33" t="s">
        <v>13074</v>
      </c>
      <c r="F6898" s="67">
        <v>41517</v>
      </c>
      <c r="G6898" s="33" t="s">
        <v>13075</v>
      </c>
      <c r="H6898" s="33" t="s">
        <v>532</v>
      </c>
      <c r="I6898" s="33" t="s">
        <v>67</v>
      </c>
      <c r="J6898" s="33" t="s">
        <v>13076</v>
      </c>
      <c r="K6898" s="33" t="s">
        <v>533</v>
      </c>
      <c r="L6898" s="33" t="s">
        <v>542</v>
      </c>
      <c r="M6898" s="33" t="s">
        <v>21</v>
      </c>
      <c r="N6898" s="33" t="s">
        <v>13077</v>
      </c>
      <c r="O6898" s="33" t="s">
        <v>18576</v>
      </c>
      <c r="P6898" s="33" t="s">
        <v>18576</v>
      </c>
      <c r="Q6898" s="40" t="s">
        <v>13078</v>
      </c>
      <c r="R6898" s="33" t="s">
        <v>94</v>
      </c>
      <c r="S6898" s="33" t="s">
        <v>12</v>
      </c>
      <c r="T6898" s="54" t="s">
        <v>29705</v>
      </c>
      <c r="Y6898" s="33" t="s">
        <v>42476</v>
      </c>
      <c r="Z6898" s="33" t="s">
        <v>42968</v>
      </c>
      <c r="AA6898" s="33">
        <v>768</v>
      </c>
    </row>
    <row r="6899" spans="1:31" ht="12" customHeight="1" x14ac:dyDescent="0.15">
      <c r="A6899" s="33" t="s">
        <v>13079</v>
      </c>
      <c r="B6899" s="103">
        <v>32</v>
      </c>
      <c r="C6899" s="33" t="s">
        <v>14</v>
      </c>
      <c r="D6899" s="33" t="s">
        <v>42</v>
      </c>
      <c r="E6899" s="33" t="s">
        <v>13080</v>
      </c>
      <c r="F6899" s="67">
        <v>41516</v>
      </c>
      <c r="G6899" s="33" t="s">
        <v>13081</v>
      </c>
      <c r="H6899" s="33" t="s">
        <v>11136</v>
      </c>
      <c r="I6899" s="33" t="s">
        <v>192</v>
      </c>
      <c r="J6899" s="33" t="s">
        <v>11137</v>
      </c>
      <c r="K6899" s="33" t="s">
        <v>1790</v>
      </c>
      <c r="L6899" s="33" t="s">
        <v>11138</v>
      </c>
      <c r="M6899" s="33" t="s">
        <v>21</v>
      </c>
      <c r="N6899" s="33" t="s">
        <v>13082</v>
      </c>
      <c r="O6899" s="33" t="s">
        <v>23</v>
      </c>
      <c r="P6899" s="33" t="s">
        <v>30089</v>
      </c>
      <c r="Q6899" s="40" t="s">
        <v>13083</v>
      </c>
      <c r="R6899" s="33" t="s">
        <v>904</v>
      </c>
      <c r="S6899" s="33" t="s">
        <v>22</v>
      </c>
      <c r="T6899" s="1" t="s">
        <v>42990</v>
      </c>
      <c r="Z6899" s="33" t="s">
        <v>42968</v>
      </c>
      <c r="AA6899" s="33">
        <v>766</v>
      </c>
    </row>
    <row r="6900" spans="1:31" ht="12" customHeight="1" x14ac:dyDescent="0.15">
      <c r="A6900" s="33" t="s">
        <v>13089</v>
      </c>
      <c r="B6900" s="33">
        <v>34</v>
      </c>
      <c r="C6900" s="33" t="s">
        <v>14</v>
      </c>
      <c r="D6900" s="33" t="s">
        <v>31</v>
      </c>
      <c r="F6900" s="67">
        <v>41516</v>
      </c>
      <c r="G6900" s="33" t="s">
        <v>13090</v>
      </c>
      <c r="H6900" s="33" t="s">
        <v>13091</v>
      </c>
      <c r="I6900" s="33" t="s">
        <v>106</v>
      </c>
      <c r="J6900" s="33" t="s">
        <v>13092</v>
      </c>
      <c r="K6900" s="33" t="s">
        <v>11726</v>
      </c>
      <c r="L6900" s="33" t="s">
        <v>1910</v>
      </c>
      <c r="M6900" s="33" t="s">
        <v>21</v>
      </c>
      <c r="N6900" s="33" t="s">
        <v>13093</v>
      </c>
      <c r="O6900" s="33" t="s">
        <v>950</v>
      </c>
      <c r="P6900" s="33" t="s">
        <v>30089</v>
      </c>
      <c r="Q6900" s="40" t="s">
        <v>13094</v>
      </c>
      <c r="R6900" s="33" t="s">
        <v>94</v>
      </c>
      <c r="S6900" s="33" t="s">
        <v>22</v>
      </c>
      <c r="T6900" s="1" t="s">
        <v>26781</v>
      </c>
      <c r="Z6900" s="33" t="s">
        <v>42967</v>
      </c>
      <c r="AA6900" s="33">
        <v>765</v>
      </c>
    </row>
    <row r="6901" spans="1:31" ht="12" customHeight="1" x14ac:dyDescent="0.15">
      <c r="A6901" s="33" t="s">
        <v>13084</v>
      </c>
      <c r="B6901" s="33">
        <v>47</v>
      </c>
      <c r="C6901" s="33" t="s">
        <v>14</v>
      </c>
      <c r="D6901" s="33" t="s">
        <v>24</v>
      </c>
      <c r="F6901" s="67">
        <v>41516</v>
      </c>
      <c r="G6901" s="33" t="s">
        <v>13085</v>
      </c>
      <c r="H6901" s="33" t="s">
        <v>924</v>
      </c>
      <c r="I6901" s="33" t="s">
        <v>63</v>
      </c>
      <c r="J6901" s="33" t="s">
        <v>5568</v>
      </c>
      <c r="K6901" s="33" t="s">
        <v>95</v>
      </c>
      <c r="L6901" s="33" t="s">
        <v>13086</v>
      </c>
      <c r="M6901" s="33" t="s">
        <v>21</v>
      </c>
      <c r="N6901" s="33" t="s">
        <v>13087</v>
      </c>
      <c r="O6901" s="33" t="s">
        <v>950</v>
      </c>
      <c r="P6901" s="33" t="s">
        <v>30089</v>
      </c>
      <c r="Q6901" s="40" t="s">
        <v>13088</v>
      </c>
      <c r="R6901" s="33" t="s">
        <v>94</v>
      </c>
      <c r="S6901" s="33" t="s">
        <v>22</v>
      </c>
      <c r="T6901" s="1" t="s">
        <v>26781</v>
      </c>
      <c r="Y6901" s="33" t="s">
        <v>42476</v>
      </c>
      <c r="Z6901" s="33" t="s">
        <v>42966</v>
      </c>
      <c r="AA6901" s="33">
        <v>764</v>
      </c>
    </row>
    <row r="6902" spans="1:31" ht="12" customHeight="1" x14ac:dyDescent="0.15">
      <c r="A6902" s="33" t="s">
        <v>13103</v>
      </c>
      <c r="B6902" s="33">
        <v>73</v>
      </c>
      <c r="C6902" s="33" t="s">
        <v>14</v>
      </c>
      <c r="D6902" s="33" t="s">
        <v>24</v>
      </c>
      <c r="F6902" s="67">
        <v>41515</v>
      </c>
      <c r="G6902" s="33" t="s">
        <v>13104</v>
      </c>
      <c r="H6902" s="33" t="s">
        <v>13105</v>
      </c>
      <c r="I6902" s="33" t="s">
        <v>160</v>
      </c>
      <c r="J6902" s="33" t="s">
        <v>13106</v>
      </c>
      <c r="K6902" s="33" t="s">
        <v>1239</v>
      </c>
      <c r="L6902" s="33" t="s">
        <v>1240</v>
      </c>
      <c r="M6902" s="33" t="s">
        <v>21</v>
      </c>
      <c r="N6902" s="33" t="s">
        <v>13107</v>
      </c>
      <c r="O6902" s="33" t="s">
        <v>507</v>
      </c>
      <c r="P6902" s="33" t="s">
        <v>30089</v>
      </c>
      <c r="Q6902" s="40" t="s">
        <v>13108</v>
      </c>
      <c r="R6902" s="33" t="s">
        <v>94</v>
      </c>
      <c r="S6902" s="33" t="s">
        <v>22</v>
      </c>
      <c r="T6902" s="1" t="s">
        <v>26781</v>
      </c>
      <c r="Z6902" s="33" t="s">
        <v>42968</v>
      </c>
      <c r="AA6902" s="33">
        <v>761</v>
      </c>
    </row>
    <row r="6903" spans="1:31" ht="12" customHeight="1" x14ac:dyDescent="0.15">
      <c r="A6903" s="33" t="s">
        <v>13109</v>
      </c>
      <c r="B6903" s="33">
        <v>42</v>
      </c>
      <c r="C6903" s="33" t="s">
        <v>14</v>
      </c>
      <c r="D6903" s="33" t="s">
        <v>24</v>
      </c>
      <c r="F6903" s="67">
        <v>41515</v>
      </c>
      <c r="G6903" s="33" t="s">
        <v>22221</v>
      </c>
      <c r="H6903" s="33" t="s">
        <v>870</v>
      </c>
      <c r="I6903" s="33" t="s">
        <v>67</v>
      </c>
      <c r="J6903" s="33" t="s">
        <v>11703</v>
      </c>
      <c r="K6903" s="33" t="s">
        <v>68</v>
      </c>
      <c r="L6903" s="33" t="s">
        <v>13110</v>
      </c>
      <c r="M6903" s="33" t="s">
        <v>21</v>
      </c>
      <c r="N6903" s="33" t="s">
        <v>13111</v>
      </c>
      <c r="O6903" s="33" t="s">
        <v>507</v>
      </c>
      <c r="P6903" s="33" t="s">
        <v>30089</v>
      </c>
      <c r="Q6903" s="40" t="s">
        <v>13112</v>
      </c>
      <c r="R6903" s="33" t="s">
        <v>94</v>
      </c>
      <c r="S6903" s="33" t="s">
        <v>22</v>
      </c>
      <c r="T6903" s="1" t="s">
        <v>26781</v>
      </c>
      <c r="Z6903" s="33" t="s">
        <v>42968</v>
      </c>
      <c r="AA6903" s="33">
        <v>762</v>
      </c>
    </row>
    <row r="6904" spans="1:31" ht="12" customHeight="1" x14ac:dyDescent="0.15">
      <c r="A6904" s="33" t="s">
        <v>13095</v>
      </c>
      <c r="B6904" s="33">
        <v>34</v>
      </c>
      <c r="C6904" s="33" t="s">
        <v>14</v>
      </c>
      <c r="D6904" s="33" t="s">
        <v>79</v>
      </c>
      <c r="E6904" s="33" t="s">
        <v>13096</v>
      </c>
      <c r="F6904" s="67">
        <v>41515</v>
      </c>
      <c r="G6904" s="33" t="s">
        <v>13097</v>
      </c>
      <c r="H6904" s="33" t="s">
        <v>13098</v>
      </c>
      <c r="I6904" s="33" t="s">
        <v>106</v>
      </c>
      <c r="J6904" s="33" t="s">
        <v>13099</v>
      </c>
      <c r="K6904" s="33" t="s">
        <v>13100</v>
      </c>
      <c r="L6904" s="33" t="s">
        <v>1910</v>
      </c>
      <c r="M6904" s="33" t="s">
        <v>21</v>
      </c>
      <c r="N6904" s="33" t="s">
        <v>13101</v>
      </c>
      <c r="O6904" s="33" t="s">
        <v>507</v>
      </c>
      <c r="P6904" s="33" t="s">
        <v>30089</v>
      </c>
      <c r="Q6904" s="40" t="s">
        <v>13102</v>
      </c>
      <c r="R6904" s="33" t="s">
        <v>94</v>
      </c>
      <c r="S6904" s="33" t="s">
        <v>22</v>
      </c>
      <c r="T6904" s="1" t="s">
        <v>26781</v>
      </c>
      <c r="Z6904" s="33" t="s">
        <v>42967</v>
      </c>
      <c r="AA6904" s="33">
        <v>760</v>
      </c>
    </row>
    <row r="6905" spans="1:31" ht="12" customHeight="1" x14ac:dyDescent="0.15">
      <c r="A6905" s="33" t="s">
        <v>13113</v>
      </c>
      <c r="B6905" s="103">
        <v>46</v>
      </c>
      <c r="C6905" s="33" t="s">
        <v>14</v>
      </c>
      <c r="D6905" s="33" t="s">
        <v>31</v>
      </c>
      <c r="E6905" s="33" t="s">
        <v>13114</v>
      </c>
      <c r="F6905" s="67">
        <v>41515</v>
      </c>
      <c r="G6905" s="33" t="s">
        <v>13115</v>
      </c>
      <c r="H6905" s="33" t="s">
        <v>3846</v>
      </c>
      <c r="I6905" s="33" t="s">
        <v>225</v>
      </c>
      <c r="J6905" s="33" t="s">
        <v>13116</v>
      </c>
      <c r="K6905" s="33" t="s">
        <v>4065</v>
      </c>
      <c r="L6905" s="33" t="s">
        <v>12075</v>
      </c>
      <c r="M6905" s="33" t="s">
        <v>21</v>
      </c>
      <c r="N6905" s="33" t="s">
        <v>19078</v>
      </c>
      <c r="O6905" s="33" t="s">
        <v>26744</v>
      </c>
      <c r="P6905" s="33" t="s">
        <v>26745</v>
      </c>
      <c r="Q6905" s="40" t="str">
        <f>HYPERLINK("http://www.washingtonpost.com/blogs/local/wp/2014/07/08/ten-months-of-silence-in-the-fairfax-police-shooting-death-of-john-geer/","http://www.washingtonpost.com/blogs/local/wp/2014/07/08/ten-months-of-silence-in-the-fairfax-police-shooting-death-of-john-geer/")</f>
        <v>http://www.washingtonpost.com/blogs/local/wp/2014/07/08/ten-months-of-silence-in-the-fairfax-police-shooting-death-of-john-geer/</v>
      </c>
      <c r="R6905" s="33" t="s">
        <v>94</v>
      </c>
      <c r="S6905" s="33" t="s">
        <v>12</v>
      </c>
      <c r="T6905" s="54" t="s">
        <v>29705</v>
      </c>
      <c r="Z6905" s="33" t="s">
        <v>42968</v>
      </c>
      <c r="AA6905" s="33">
        <v>763</v>
      </c>
    </row>
    <row r="6906" spans="1:31" ht="12" customHeight="1" x14ac:dyDescent="0.15">
      <c r="A6906" s="33" t="s">
        <v>3002</v>
      </c>
      <c r="C6906" s="33" t="s">
        <v>14</v>
      </c>
      <c r="D6906" s="33" t="s">
        <v>42</v>
      </c>
      <c r="F6906" s="67">
        <v>41514</v>
      </c>
      <c r="G6906" s="33" t="s">
        <v>13129</v>
      </c>
      <c r="H6906" s="33" t="s">
        <v>4767</v>
      </c>
      <c r="I6906" s="33" t="s">
        <v>39</v>
      </c>
      <c r="J6906" s="33" t="s">
        <v>13130</v>
      </c>
      <c r="K6906" s="33" t="s">
        <v>92</v>
      </c>
      <c r="L6906" s="33" t="s">
        <v>386</v>
      </c>
      <c r="M6906" s="33" t="s">
        <v>21</v>
      </c>
      <c r="N6906" s="33" t="s">
        <v>13131</v>
      </c>
      <c r="O6906" s="33" t="s">
        <v>950</v>
      </c>
      <c r="P6906" s="33" t="s">
        <v>30089</v>
      </c>
      <c r="Q6906" s="40" t="s">
        <v>13132</v>
      </c>
      <c r="R6906" s="33" t="s">
        <v>94</v>
      </c>
      <c r="S6906" s="33" t="s">
        <v>22</v>
      </c>
      <c r="T6906" s="1" t="s">
        <v>26781</v>
      </c>
      <c r="Z6906" s="33" t="s">
        <v>42966</v>
      </c>
      <c r="AA6906" s="33">
        <v>757</v>
      </c>
    </row>
    <row r="6907" spans="1:31" ht="12" customHeight="1" x14ac:dyDescent="0.15">
      <c r="A6907" s="33" t="s">
        <v>13133</v>
      </c>
      <c r="B6907" s="33">
        <v>17</v>
      </c>
      <c r="C6907" s="33" t="s">
        <v>14</v>
      </c>
      <c r="D6907" s="33" t="s">
        <v>42</v>
      </c>
      <c r="F6907" s="67">
        <v>41514</v>
      </c>
      <c r="G6907" s="33" t="s">
        <v>13134</v>
      </c>
      <c r="H6907" s="33" t="s">
        <v>4767</v>
      </c>
      <c r="I6907" s="33" t="s">
        <v>39</v>
      </c>
      <c r="J6907" s="33" t="s">
        <v>13130</v>
      </c>
      <c r="K6907" s="33" t="s">
        <v>92</v>
      </c>
      <c r="L6907" s="33" t="s">
        <v>12795</v>
      </c>
      <c r="M6907" s="33" t="s">
        <v>21</v>
      </c>
      <c r="N6907" s="33" t="s">
        <v>13135</v>
      </c>
      <c r="O6907" s="33" t="s">
        <v>950</v>
      </c>
      <c r="P6907" s="33" t="s">
        <v>30089</v>
      </c>
      <c r="Q6907" s="40" t="str">
        <f>HYPERLINK("http://homicide.latimes.com/post/dennis-hakeen-vasquez/","http://homicide.latimes.com/post/dennis-hakeen-vasquez/")</f>
        <v>http://homicide.latimes.com/post/dennis-hakeen-vasquez/</v>
      </c>
      <c r="R6907" s="33" t="s">
        <v>23</v>
      </c>
      <c r="S6907" s="33" t="s">
        <v>29</v>
      </c>
      <c r="T6907" s="33" t="s">
        <v>41840</v>
      </c>
      <c r="Z6907" s="33" t="s">
        <v>42966</v>
      </c>
      <c r="AA6907" s="33">
        <v>759</v>
      </c>
    </row>
    <row r="6908" spans="1:31" ht="12" customHeight="1" x14ac:dyDescent="0.15">
      <c r="A6908" s="33" t="s">
        <v>3002</v>
      </c>
      <c r="C6908" s="33" t="s">
        <v>14</v>
      </c>
      <c r="D6908" s="33" t="s">
        <v>24</v>
      </c>
      <c r="F6908" s="67">
        <v>41514</v>
      </c>
      <c r="G6908" s="33" t="s">
        <v>13136</v>
      </c>
      <c r="H6908" s="33" t="s">
        <v>92</v>
      </c>
      <c r="I6908" s="33" t="s">
        <v>39</v>
      </c>
      <c r="J6908" s="33" t="s">
        <v>13137</v>
      </c>
      <c r="K6908" s="33" t="s">
        <v>92</v>
      </c>
      <c r="L6908" s="33" t="s">
        <v>93</v>
      </c>
      <c r="M6908" s="33" t="s">
        <v>21</v>
      </c>
      <c r="N6908" s="33" t="s">
        <v>13138</v>
      </c>
      <c r="O6908" s="33" t="s">
        <v>950</v>
      </c>
      <c r="P6908" s="33" t="s">
        <v>30089</v>
      </c>
      <c r="Q6908" s="40" t="s">
        <v>13139</v>
      </c>
      <c r="R6908" s="33" t="s">
        <v>94</v>
      </c>
      <c r="S6908" s="33" t="s">
        <v>22</v>
      </c>
      <c r="T6908" s="1" t="s">
        <v>26781</v>
      </c>
      <c r="Z6908" s="33" t="s">
        <v>42966</v>
      </c>
      <c r="AA6908" s="33">
        <v>758</v>
      </c>
    </row>
    <row r="6909" spans="1:31" ht="12" customHeight="1" x14ac:dyDescent="0.15">
      <c r="A6909" s="33" t="s">
        <v>13124</v>
      </c>
      <c r="B6909" s="33">
        <v>27</v>
      </c>
      <c r="C6909" s="33" t="s">
        <v>14</v>
      </c>
      <c r="D6909" s="33" t="s">
        <v>79</v>
      </c>
      <c r="E6909" s="33" t="s">
        <v>13125</v>
      </c>
      <c r="F6909" s="67">
        <v>41514</v>
      </c>
      <c r="G6909" s="33" t="s">
        <v>13126</v>
      </c>
      <c r="H6909" s="33" t="s">
        <v>2046</v>
      </c>
      <c r="I6909" s="33" t="s">
        <v>56</v>
      </c>
      <c r="J6909" s="33" t="s">
        <v>2047</v>
      </c>
      <c r="K6909" s="33" t="s">
        <v>1052</v>
      </c>
      <c r="L6909" s="33" t="s">
        <v>4045</v>
      </c>
      <c r="M6909" s="33" t="s">
        <v>21</v>
      </c>
      <c r="N6909" s="33" t="s">
        <v>13127</v>
      </c>
      <c r="O6909" s="33" t="s">
        <v>950</v>
      </c>
      <c r="P6909" s="33" t="s">
        <v>30089</v>
      </c>
      <c r="Q6909" s="40" t="s">
        <v>13128</v>
      </c>
      <c r="R6909" s="33" t="s">
        <v>94</v>
      </c>
      <c r="S6909" s="33" t="s">
        <v>22</v>
      </c>
      <c r="T6909" s="1" t="s">
        <v>26781</v>
      </c>
      <c r="Z6909" s="33" t="s">
        <v>42968</v>
      </c>
      <c r="AA6909" s="33">
        <v>755</v>
      </c>
    </row>
    <row r="6910" spans="1:31" ht="12" customHeight="1" x14ac:dyDescent="0.15">
      <c r="A6910" s="33" t="s">
        <v>13117</v>
      </c>
      <c r="B6910" s="33">
        <v>25</v>
      </c>
      <c r="C6910" s="33" t="s">
        <v>14</v>
      </c>
      <c r="D6910" s="33" t="s">
        <v>79</v>
      </c>
      <c r="E6910" s="33" t="s">
        <v>13118</v>
      </c>
      <c r="F6910" s="67">
        <v>41514</v>
      </c>
      <c r="G6910" s="33" t="s">
        <v>13119</v>
      </c>
      <c r="H6910" s="33" t="s">
        <v>13120</v>
      </c>
      <c r="I6910" s="33" t="s">
        <v>46</v>
      </c>
      <c r="J6910" s="33" t="s">
        <v>13121</v>
      </c>
      <c r="K6910" s="33" t="s">
        <v>1487</v>
      </c>
      <c r="L6910" s="33" t="s">
        <v>212</v>
      </c>
      <c r="M6910" s="33" t="s">
        <v>21</v>
      </c>
      <c r="N6910" s="33" t="s">
        <v>13122</v>
      </c>
      <c r="O6910" s="33" t="s">
        <v>4311</v>
      </c>
      <c r="P6910" s="33" t="s">
        <v>30089</v>
      </c>
      <c r="Q6910" s="40" t="s">
        <v>13123</v>
      </c>
      <c r="R6910" s="33" t="s">
        <v>94</v>
      </c>
      <c r="S6910" s="33" t="s">
        <v>22</v>
      </c>
      <c r="T6910" s="1" t="s">
        <v>26781</v>
      </c>
      <c r="Z6910" s="33" t="s">
        <v>42968</v>
      </c>
      <c r="AA6910" s="33">
        <v>756</v>
      </c>
    </row>
    <row r="6911" spans="1:31" ht="12" customHeight="1" x14ac:dyDescent="0.15">
      <c r="A6911" s="33" t="s">
        <v>13140</v>
      </c>
      <c r="B6911" s="33">
        <v>24</v>
      </c>
      <c r="C6911" s="33" t="s">
        <v>14</v>
      </c>
      <c r="D6911" s="33" t="s">
        <v>79</v>
      </c>
      <c r="E6911" s="33" t="s">
        <v>13141</v>
      </c>
      <c r="F6911" s="67">
        <v>41513</v>
      </c>
      <c r="G6911" s="33" t="s">
        <v>13142</v>
      </c>
      <c r="H6911" s="33" t="s">
        <v>822</v>
      </c>
      <c r="I6911" s="33" t="s">
        <v>39</v>
      </c>
      <c r="J6911" s="33" t="s">
        <v>13143</v>
      </c>
      <c r="K6911" s="33" t="s">
        <v>4146</v>
      </c>
      <c r="L6911" s="33" t="s">
        <v>13144</v>
      </c>
      <c r="M6911" s="33" t="s">
        <v>21</v>
      </c>
      <c r="N6911" s="33" t="s">
        <v>13145</v>
      </c>
      <c r="O6911" s="33" t="s">
        <v>23</v>
      </c>
      <c r="P6911" s="33" t="s">
        <v>30089</v>
      </c>
      <c r="Q6911" s="40" t="s">
        <v>13146</v>
      </c>
      <c r="R6911" s="33" t="s">
        <v>94</v>
      </c>
      <c r="S6911" s="33" t="s">
        <v>22</v>
      </c>
      <c r="T6911" s="1" t="s">
        <v>26781</v>
      </c>
      <c r="Z6911" s="33" t="s">
        <v>42968</v>
      </c>
      <c r="AA6911" s="33">
        <v>754</v>
      </c>
    </row>
    <row r="6912" spans="1:31" ht="12" customHeight="1" x14ac:dyDescent="0.15">
      <c r="A6912" s="33" t="s">
        <v>3002</v>
      </c>
      <c r="B6912" s="33">
        <v>17</v>
      </c>
      <c r="C6912" s="33" t="s">
        <v>14</v>
      </c>
      <c r="D6912" s="33" t="s">
        <v>24</v>
      </c>
      <c r="F6912" s="67">
        <v>41512</v>
      </c>
      <c r="G6912" s="33" t="s">
        <v>22222</v>
      </c>
      <c r="H6912" s="33" t="s">
        <v>13147</v>
      </c>
      <c r="I6912" s="33" t="s">
        <v>51</v>
      </c>
      <c r="J6912" s="33" t="s">
        <v>13148</v>
      </c>
      <c r="K6912" s="33" t="s">
        <v>557</v>
      </c>
      <c r="L6912" s="33" t="s">
        <v>2030</v>
      </c>
      <c r="M6912" s="33" t="s">
        <v>21</v>
      </c>
      <c r="N6912" s="33" t="s">
        <v>13149</v>
      </c>
      <c r="O6912" s="33" t="s">
        <v>950</v>
      </c>
      <c r="P6912" s="33" t="s">
        <v>30089</v>
      </c>
      <c r="Q6912" s="40" t="s">
        <v>13150</v>
      </c>
      <c r="R6912" s="33" t="s">
        <v>94</v>
      </c>
      <c r="S6912" s="33" t="s">
        <v>22</v>
      </c>
      <c r="T6912" s="33" t="s">
        <v>26576</v>
      </c>
      <c r="Y6912" s="33" t="s">
        <v>42476</v>
      </c>
      <c r="Z6912" s="33" t="s">
        <v>42968</v>
      </c>
      <c r="AA6912" s="33">
        <v>753</v>
      </c>
      <c r="AE6912" s="33"/>
    </row>
    <row r="6913" spans="1:64" ht="12" customHeight="1" x14ac:dyDescent="0.15">
      <c r="A6913" s="33" t="s">
        <v>13151</v>
      </c>
      <c r="B6913" s="33">
        <v>58</v>
      </c>
      <c r="C6913" s="33" t="s">
        <v>14</v>
      </c>
      <c r="D6913" s="33" t="s">
        <v>24</v>
      </c>
      <c r="F6913" s="67">
        <v>41511</v>
      </c>
      <c r="G6913" s="33" t="s">
        <v>13152</v>
      </c>
      <c r="H6913" s="33" t="s">
        <v>13153</v>
      </c>
      <c r="I6913" s="33" t="s">
        <v>160</v>
      </c>
      <c r="J6913" s="33" t="s">
        <v>13154</v>
      </c>
      <c r="K6913" s="33" t="s">
        <v>45</v>
      </c>
      <c r="L6913" s="33" t="s">
        <v>36864</v>
      </c>
      <c r="M6913" s="33" t="s">
        <v>21</v>
      </c>
      <c r="N6913" s="33" t="s">
        <v>13155</v>
      </c>
      <c r="O6913" s="33" t="s">
        <v>4311</v>
      </c>
      <c r="P6913" s="33" t="s">
        <v>30089</v>
      </c>
      <c r="Q6913" s="40" t="s">
        <v>13156</v>
      </c>
      <c r="R6913" s="33" t="s">
        <v>94</v>
      </c>
      <c r="S6913" s="33" t="s">
        <v>22</v>
      </c>
      <c r="T6913" s="1" t="s">
        <v>26576</v>
      </c>
      <c r="Z6913" s="33" t="s">
        <v>42968</v>
      </c>
      <c r="AA6913" s="33">
        <v>752</v>
      </c>
    </row>
    <row r="6914" spans="1:64" ht="12" customHeight="1" x14ac:dyDescent="0.15">
      <c r="A6914" s="33" t="s">
        <v>13157</v>
      </c>
      <c r="B6914" s="103">
        <v>35</v>
      </c>
      <c r="C6914" s="33" t="s">
        <v>14</v>
      </c>
      <c r="D6914" s="33" t="s">
        <v>31</v>
      </c>
      <c r="E6914" s="33" t="s">
        <v>13158</v>
      </c>
      <c r="F6914" s="67">
        <v>41511</v>
      </c>
      <c r="G6914" s="33" t="s">
        <v>13159</v>
      </c>
      <c r="H6914" s="33" t="s">
        <v>8504</v>
      </c>
      <c r="I6914" s="33" t="s">
        <v>735</v>
      </c>
      <c r="J6914" s="33" t="s">
        <v>13160</v>
      </c>
      <c r="K6914" s="33" t="s">
        <v>8506</v>
      </c>
      <c r="L6914" s="33" t="s">
        <v>8507</v>
      </c>
      <c r="M6914" s="33" t="s">
        <v>21</v>
      </c>
      <c r="N6914" s="33" t="s">
        <v>13161</v>
      </c>
      <c r="O6914" s="33" t="s">
        <v>23</v>
      </c>
      <c r="P6914" s="33" t="s">
        <v>30089</v>
      </c>
      <c r="Q6914" s="40" t="s">
        <v>13162</v>
      </c>
      <c r="R6914" s="33" t="s">
        <v>94</v>
      </c>
      <c r="S6914" s="33" t="s">
        <v>22</v>
      </c>
      <c r="T6914" s="1" t="s">
        <v>26774</v>
      </c>
      <c r="Z6914" s="33" t="s">
        <v>42968</v>
      </c>
      <c r="AA6914" s="33">
        <v>751</v>
      </c>
    </row>
    <row r="6915" spans="1:64" ht="12" customHeight="1" x14ac:dyDescent="0.15">
      <c r="A6915" s="33" t="s">
        <v>13169</v>
      </c>
      <c r="B6915" s="33">
        <v>29</v>
      </c>
      <c r="C6915" s="33" t="s">
        <v>14</v>
      </c>
      <c r="D6915" s="33" t="s">
        <v>31</v>
      </c>
      <c r="E6915" s="33" t="s">
        <v>13170</v>
      </c>
      <c r="F6915" s="67">
        <v>41510</v>
      </c>
      <c r="G6915" s="33" t="s">
        <v>13171</v>
      </c>
      <c r="H6915" s="33" t="s">
        <v>13172</v>
      </c>
      <c r="I6915" s="33" t="s">
        <v>39</v>
      </c>
      <c r="J6915" s="33" t="s">
        <v>13173</v>
      </c>
      <c r="K6915" s="33" t="s">
        <v>2985</v>
      </c>
      <c r="L6915" s="33" t="s">
        <v>13174</v>
      </c>
      <c r="M6915" s="33" t="s">
        <v>21</v>
      </c>
      <c r="N6915" s="33" t="s">
        <v>13175</v>
      </c>
      <c r="O6915" s="33" t="s">
        <v>950</v>
      </c>
      <c r="P6915" s="33" t="s">
        <v>30089</v>
      </c>
      <c r="Q6915" s="40" t="s">
        <v>13176</v>
      </c>
      <c r="R6915" s="33" t="s">
        <v>512</v>
      </c>
      <c r="S6915" s="33" t="s">
        <v>22</v>
      </c>
      <c r="T6915" s="1" t="s">
        <v>26781</v>
      </c>
      <c r="Z6915" s="33" t="s">
        <v>42968</v>
      </c>
      <c r="AA6915" s="33">
        <v>749</v>
      </c>
    </row>
    <row r="6916" spans="1:64" ht="12" customHeight="1" x14ac:dyDescent="0.15">
      <c r="A6916" s="33" t="s">
        <v>13163</v>
      </c>
      <c r="B6916" s="33">
        <v>44</v>
      </c>
      <c r="C6916" s="33" t="s">
        <v>14</v>
      </c>
      <c r="D6916" s="33" t="s">
        <v>24</v>
      </c>
      <c r="F6916" s="67">
        <v>41510</v>
      </c>
      <c r="G6916" s="33" t="s">
        <v>13164</v>
      </c>
      <c r="H6916" s="33" t="s">
        <v>13165</v>
      </c>
      <c r="I6916" s="33" t="s">
        <v>39</v>
      </c>
      <c r="J6916" s="33" t="s">
        <v>13166</v>
      </c>
      <c r="K6916" s="33" t="s">
        <v>143</v>
      </c>
      <c r="L6916" s="33" t="s">
        <v>1970</v>
      </c>
      <c r="M6916" s="33" t="s">
        <v>21</v>
      </c>
      <c r="N6916" s="33" t="s">
        <v>13167</v>
      </c>
      <c r="O6916" s="33" t="s">
        <v>950</v>
      </c>
      <c r="P6916" s="33" t="s">
        <v>30089</v>
      </c>
      <c r="Q6916" s="40" t="s">
        <v>13168</v>
      </c>
      <c r="R6916" s="33" t="s">
        <v>904</v>
      </c>
      <c r="S6916" s="33" t="s">
        <v>22</v>
      </c>
      <c r="T6916" s="1" t="s">
        <v>42984</v>
      </c>
      <c r="Z6916" s="33" t="s">
        <v>42968</v>
      </c>
      <c r="AA6916" s="33">
        <v>750</v>
      </c>
    </row>
    <row r="6917" spans="1:64" ht="12" customHeight="1" x14ac:dyDescent="0.15">
      <c r="A6917" s="33" t="s">
        <v>13183</v>
      </c>
      <c r="B6917" s="33">
        <v>37</v>
      </c>
      <c r="C6917" s="33" t="s">
        <v>14</v>
      </c>
      <c r="D6917" s="33" t="s">
        <v>24</v>
      </c>
      <c r="F6917" s="67">
        <v>41509</v>
      </c>
      <c r="G6917" s="33" t="s">
        <v>13184</v>
      </c>
      <c r="H6917" s="33" t="s">
        <v>13185</v>
      </c>
      <c r="I6917" s="33" t="s">
        <v>40</v>
      </c>
      <c r="J6917" s="33" t="s">
        <v>13186</v>
      </c>
      <c r="K6917" s="33" t="s">
        <v>486</v>
      </c>
      <c r="L6917" s="33" t="s">
        <v>13187</v>
      </c>
      <c r="M6917" s="33" t="s">
        <v>21</v>
      </c>
      <c r="N6917" s="33" t="s">
        <v>13188</v>
      </c>
      <c r="O6917" s="33" t="s">
        <v>950</v>
      </c>
      <c r="P6917" s="33" t="s">
        <v>30089</v>
      </c>
      <c r="Q6917" s="40" t="s">
        <v>13189</v>
      </c>
      <c r="R6917" s="33" t="s">
        <v>94</v>
      </c>
      <c r="S6917" s="33" t="s">
        <v>22</v>
      </c>
      <c r="T6917" s="1" t="s">
        <v>26774</v>
      </c>
      <c r="Z6917" s="33" t="s">
        <v>42968</v>
      </c>
      <c r="AA6917" s="33">
        <v>746</v>
      </c>
    </row>
    <row r="6918" spans="1:64" ht="12" customHeight="1" x14ac:dyDescent="0.15">
      <c r="A6918" s="33" t="s">
        <v>13195</v>
      </c>
      <c r="B6918" s="33">
        <v>30</v>
      </c>
      <c r="C6918" s="33" t="s">
        <v>14</v>
      </c>
      <c r="D6918" s="33" t="s">
        <v>31</v>
      </c>
      <c r="E6918" s="33" t="s">
        <v>13196</v>
      </c>
      <c r="F6918" s="67">
        <v>41509</v>
      </c>
      <c r="G6918" s="33" t="s">
        <v>13197</v>
      </c>
      <c r="H6918" s="33" t="s">
        <v>13198</v>
      </c>
      <c r="I6918" s="33" t="s">
        <v>192</v>
      </c>
      <c r="J6918" s="33" t="s">
        <v>13199</v>
      </c>
      <c r="K6918" s="33" t="s">
        <v>4972</v>
      </c>
      <c r="L6918" s="33" t="s">
        <v>13200</v>
      </c>
      <c r="M6918" s="33" t="s">
        <v>363</v>
      </c>
      <c r="N6918" s="33" t="s">
        <v>13201</v>
      </c>
      <c r="O6918" s="33" t="s">
        <v>950</v>
      </c>
      <c r="P6918" s="33" t="s">
        <v>30089</v>
      </c>
      <c r="Q6918" s="40" t="s">
        <v>13202</v>
      </c>
      <c r="R6918" s="33" t="s">
        <v>94</v>
      </c>
      <c r="S6918" s="33" t="s">
        <v>12</v>
      </c>
      <c r="T6918" s="54" t="s">
        <v>29705</v>
      </c>
      <c r="Z6918" s="33" t="s">
        <v>42967</v>
      </c>
      <c r="AA6918" s="33">
        <v>748</v>
      </c>
    </row>
    <row r="6919" spans="1:64" ht="12" customHeight="1" x14ac:dyDescent="0.15">
      <c r="A6919" s="33" t="s">
        <v>13177</v>
      </c>
      <c r="B6919" s="33">
        <v>24</v>
      </c>
      <c r="C6919" s="33" t="s">
        <v>14</v>
      </c>
      <c r="D6919" s="33" t="s">
        <v>79</v>
      </c>
      <c r="E6919" s="33" t="s">
        <v>13178</v>
      </c>
      <c r="F6919" s="67">
        <v>41509</v>
      </c>
      <c r="G6919" s="33" t="s">
        <v>13179</v>
      </c>
      <c r="H6919" s="33" t="s">
        <v>4448</v>
      </c>
      <c r="I6919" s="33" t="s">
        <v>122</v>
      </c>
      <c r="J6919" s="33" t="s">
        <v>4449</v>
      </c>
      <c r="K6919" s="33" t="s">
        <v>1009</v>
      </c>
      <c r="L6919" s="33" t="s">
        <v>13180</v>
      </c>
      <c r="M6919" s="33" t="s">
        <v>21</v>
      </c>
      <c r="N6919" s="33" t="s">
        <v>13181</v>
      </c>
      <c r="O6919" s="33" t="s">
        <v>507</v>
      </c>
      <c r="P6919" s="33" t="s">
        <v>30089</v>
      </c>
      <c r="Q6919" s="40" t="s">
        <v>13182</v>
      </c>
      <c r="R6919" s="33" t="s">
        <v>94</v>
      </c>
      <c r="S6919" s="33" t="s">
        <v>22</v>
      </c>
      <c r="T6919" s="33" t="s">
        <v>27803</v>
      </c>
      <c r="Z6919" s="33" t="s">
        <v>42968</v>
      </c>
      <c r="AA6919" s="33">
        <v>747</v>
      </c>
      <c r="AE6919" s="33"/>
    </row>
    <row r="6920" spans="1:64" ht="12" customHeight="1" x14ac:dyDescent="0.15">
      <c r="A6920" s="33" t="s">
        <v>13203</v>
      </c>
      <c r="B6920" s="33">
        <v>29</v>
      </c>
      <c r="C6920" s="33" t="s">
        <v>14</v>
      </c>
      <c r="D6920" s="33" t="s">
        <v>31</v>
      </c>
      <c r="E6920" s="33" t="s">
        <v>13204</v>
      </c>
      <c r="F6920" s="67">
        <v>41509</v>
      </c>
      <c r="G6920" s="33" t="s">
        <v>13205</v>
      </c>
      <c r="H6920" s="33" t="s">
        <v>584</v>
      </c>
      <c r="I6920" s="33" t="s">
        <v>112</v>
      </c>
      <c r="J6920" s="33" t="s">
        <v>13206</v>
      </c>
      <c r="K6920" s="33" t="s">
        <v>585</v>
      </c>
      <c r="L6920" s="33" t="s">
        <v>1338</v>
      </c>
      <c r="M6920" s="33" t="s">
        <v>21</v>
      </c>
      <c r="N6920" s="33" t="s">
        <v>13207</v>
      </c>
      <c r="O6920" s="33" t="s">
        <v>950</v>
      </c>
      <c r="P6920" s="33" t="s">
        <v>30089</v>
      </c>
      <c r="Q6920" s="40" t="s">
        <v>13194</v>
      </c>
      <c r="R6920" s="33" t="s">
        <v>94</v>
      </c>
      <c r="S6920" s="33" t="s">
        <v>22</v>
      </c>
      <c r="T6920" s="1" t="s">
        <v>26781</v>
      </c>
      <c r="Z6920" s="33" t="s">
        <v>42968</v>
      </c>
      <c r="AA6920" s="33">
        <v>745</v>
      </c>
    </row>
    <row r="6921" spans="1:64" ht="12" customHeight="1" x14ac:dyDescent="0.15">
      <c r="A6921" s="33" t="s">
        <v>13190</v>
      </c>
      <c r="B6921" s="33">
        <v>27</v>
      </c>
      <c r="C6921" s="33" t="s">
        <v>14</v>
      </c>
      <c r="D6921" s="33" t="s">
        <v>24</v>
      </c>
      <c r="F6921" s="67">
        <v>41509</v>
      </c>
      <c r="G6921" s="33" t="s">
        <v>13191</v>
      </c>
      <c r="H6921" s="33" t="s">
        <v>584</v>
      </c>
      <c r="I6921" s="33" t="s">
        <v>112</v>
      </c>
      <c r="J6921" s="33" t="s">
        <v>13192</v>
      </c>
      <c r="K6921" s="33" t="s">
        <v>585</v>
      </c>
      <c r="L6921" s="33" t="s">
        <v>1338</v>
      </c>
      <c r="M6921" s="33" t="s">
        <v>21</v>
      </c>
      <c r="N6921" s="33" t="s">
        <v>13193</v>
      </c>
      <c r="O6921" s="33" t="s">
        <v>950</v>
      </c>
      <c r="P6921" s="33" t="s">
        <v>30089</v>
      </c>
      <c r="Q6921" s="40" t="s">
        <v>13194</v>
      </c>
      <c r="R6921" s="33" t="s">
        <v>94</v>
      </c>
      <c r="S6921" s="33" t="s">
        <v>22</v>
      </c>
      <c r="T6921" s="1" t="s">
        <v>26781</v>
      </c>
      <c r="Z6921" s="33" t="s">
        <v>42968</v>
      </c>
      <c r="AA6921" s="33">
        <v>744</v>
      </c>
    </row>
    <row r="6922" spans="1:64" ht="12" customHeight="1" x14ac:dyDescent="0.15">
      <c r="A6922" s="63" t="s">
        <v>42835</v>
      </c>
      <c r="B6922" s="99">
        <v>28</v>
      </c>
      <c r="C6922" s="10" t="s">
        <v>14</v>
      </c>
      <c r="D6922" s="10" t="s">
        <v>31</v>
      </c>
      <c r="E6922" s="62" t="s">
        <v>42836</v>
      </c>
      <c r="F6922" s="67">
        <v>41508</v>
      </c>
      <c r="G6922" s="10" t="s">
        <v>42837</v>
      </c>
      <c r="H6922" s="10" t="s">
        <v>42838</v>
      </c>
      <c r="I6922" s="10" t="s">
        <v>282</v>
      </c>
      <c r="J6922" s="65">
        <v>98321</v>
      </c>
      <c r="K6922" s="70" t="s">
        <v>827</v>
      </c>
      <c r="L6922" s="10" t="s">
        <v>19834</v>
      </c>
      <c r="M6922" s="10" t="s">
        <v>21</v>
      </c>
      <c r="N6922" s="10" t="s">
        <v>42839</v>
      </c>
      <c r="O6922" s="10" t="s">
        <v>507</v>
      </c>
      <c r="P6922" s="10" t="s">
        <v>30089</v>
      </c>
      <c r="Q6922" s="62" t="s">
        <v>42840</v>
      </c>
      <c r="R6922" s="10" t="s">
        <v>94</v>
      </c>
      <c r="S6922" s="10" t="s">
        <v>12</v>
      </c>
      <c r="T6922" s="10" t="s">
        <v>29705</v>
      </c>
      <c r="U6922" s="10"/>
      <c r="V6922" s="10"/>
      <c r="W6922" s="10"/>
      <c r="X6922" s="90"/>
      <c r="Y6922" s="68"/>
      <c r="Z6922" s="68" t="s">
        <v>42968</v>
      </c>
      <c r="AA6922" s="33">
        <v>741</v>
      </c>
      <c r="AG6922" s="68"/>
      <c r="AK6922" s="68"/>
      <c r="AL6922" s="68"/>
      <c r="AM6922" s="68"/>
      <c r="AN6922" s="68"/>
      <c r="AO6922" s="68"/>
      <c r="AP6922" s="68"/>
      <c r="AQ6922" s="68"/>
      <c r="AR6922" s="68"/>
      <c r="AS6922" s="68"/>
      <c r="AT6922" s="68"/>
      <c r="AU6922" s="68"/>
      <c r="AV6922" s="68"/>
      <c r="AW6922" s="68"/>
      <c r="AX6922" s="68"/>
      <c r="AY6922" s="68"/>
      <c r="AZ6922" s="68"/>
      <c r="BA6922" s="68"/>
      <c r="BB6922" s="68"/>
      <c r="BC6922" s="68"/>
      <c r="BD6922" s="68"/>
      <c r="BE6922" s="68"/>
      <c r="BF6922" s="68"/>
      <c r="BG6922" s="68"/>
      <c r="BH6922" s="68"/>
      <c r="BI6922" s="68"/>
      <c r="BJ6922" s="68"/>
      <c r="BK6922" s="68"/>
      <c r="BL6922" s="68"/>
    </row>
    <row r="6923" spans="1:64" ht="12" customHeight="1" x14ac:dyDescent="0.15">
      <c r="A6923" s="33" t="s">
        <v>13208</v>
      </c>
      <c r="B6923" s="33">
        <v>24</v>
      </c>
      <c r="C6923" s="33" t="s">
        <v>14</v>
      </c>
      <c r="D6923" s="33" t="s">
        <v>42</v>
      </c>
      <c r="E6923" s="33" t="s">
        <v>13209</v>
      </c>
      <c r="F6923" s="67">
        <v>41508</v>
      </c>
      <c r="G6923" s="33" t="s">
        <v>13210</v>
      </c>
      <c r="H6923" s="33" t="s">
        <v>13211</v>
      </c>
      <c r="I6923" s="33" t="s">
        <v>39</v>
      </c>
      <c r="J6923" s="33" t="s">
        <v>13212</v>
      </c>
      <c r="K6923" s="33" t="s">
        <v>728</v>
      </c>
      <c r="L6923" s="33" t="s">
        <v>13213</v>
      </c>
      <c r="M6923" s="33" t="s">
        <v>21</v>
      </c>
      <c r="N6923" s="33" t="s">
        <v>13214</v>
      </c>
      <c r="O6923" s="33" t="s">
        <v>507</v>
      </c>
      <c r="P6923" s="33" t="s">
        <v>30089</v>
      </c>
      <c r="Q6923" s="40" t="s">
        <v>13215</v>
      </c>
      <c r="R6923" s="33" t="s">
        <v>94</v>
      </c>
      <c r="S6923" s="33" t="s">
        <v>22</v>
      </c>
      <c r="T6923" s="1" t="s">
        <v>26781</v>
      </c>
      <c r="Z6923" s="33" t="s">
        <v>42968</v>
      </c>
      <c r="AA6923" s="33">
        <v>740</v>
      </c>
    </row>
    <row r="6924" spans="1:64" ht="12" customHeight="1" x14ac:dyDescent="0.15">
      <c r="A6924" s="33" t="s">
        <v>13220</v>
      </c>
      <c r="B6924" s="33">
        <v>40</v>
      </c>
      <c r="C6924" s="33" t="s">
        <v>14</v>
      </c>
      <c r="D6924" s="33" t="s">
        <v>31</v>
      </c>
      <c r="E6924" s="33" t="s">
        <v>13221</v>
      </c>
      <c r="F6924" s="67">
        <v>41508</v>
      </c>
      <c r="G6924" s="33" t="s">
        <v>13222</v>
      </c>
      <c r="H6924" s="33" t="s">
        <v>782</v>
      </c>
      <c r="I6924" s="33" t="s">
        <v>282</v>
      </c>
      <c r="J6924" s="33" t="s">
        <v>2182</v>
      </c>
      <c r="K6924" s="33" t="s">
        <v>782</v>
      </c>
      <c r="L6924" s="33" t="s">
        <v>783</v>
      </c>
      <c r="M6924" s="33" t="s">
        <v>21</v>
      </c>
      <c r="N6924" s="33" t="s">
        <v>13223</v>
      </c>
      <c r="O6924" s="33" t="s">
        <v>950</v>
      </c>
      <c r="P6924" s="33" t="s">
        <v>30089</v>
      </c>
      <c r="Q6924" s="40" t="str">
        <f>HYPERLINK("http://www.khq.com/story/23228789/officer-involved-shooting-in-n-spokane","http://www.khq.com/story/23228789/officer-involved-shooting-in-n-spokane")</f>
        <v>http://www.khq.com/story/23228789/officer-involved-shooting-in-n-spokane</v>
      </c>
      <c r="R6924" s="33" t="s">
        <v>23</v>
      </c>
      <c r="S6924" s="33" t="s">
        <v>351</v>
      </c>
      <c r="T6924" s="1" t="s">
        <v>42983</v>
      </c>
      <c r="Z6924" s="33" t="s">
        <v>42966</v>
      </c>
      <c r="AA6924" s="33">
        <v>743</v>
      </c>
    </row>
    <row r="6925" spans="1:64" ht="12" customHeight="1" x14ac:dyDescent="0.15">
      <c r="A6925" s="33" t="s">
        <v>13216</v>
      </c>
      <c r="B6925" s="33">
        <v>33</v>
      </c>
      <c r="C6925" s="33" t="s">
        <v>14</v>
      </c>
      <c r="D6925" s="33" t="s">
        <v>31</v>
      </c>
      <c r="E6925" s="33" t="s">
        <v>13217</v>
      </c>
      <c r="F6925" s="67">
        <v>41508</v>
      </c>
      <c r="G6925" s="33" t="s">
        <v>13218</v>
      </c>
      <c r="H6925" s="33" t="s">
        <v>5040</v>
      </c>
      <c r="I6925" s="33" t="s">
        <v>39</v>
      </c>
      <c r="J6925" s="33" t="s">
        <v>5632</v>
      </c>
      <c r="K6925" s="33" t="s">
        <v>728</v>
      </c>
      <c r="L6925" s="33" t="s">
        <v>729</v>
      </c>
      <c r="M6925" s="33" t="s">
        <v>2909</v>
      </c>
      <c r="N6925" s="33" t="s">
        <v>13219</v>
      </c>
      <c r="O6925" s="33" t="s">
        <v>4311</v>
      </c>
      <c r="P6925" s="33" t="s">
        <v>30089</v>
      </c>
      <c r="Q6925" s="40" t="str">
        <f>HYPERLINK("http://www.pe.com/articles/palmer-674426-deputies-phillips.html","http://www.pe.com/articles/palmer-674426-deputies-phillips.html")</f>
        <v>http://www.pe.com/articles/palmer-674426-deputies-phillips.html</v>
      </c>
      <c r="R6925" s="33" t="s">
        <v>512</v>
      </c>
      <c r="S6925" s="33" t="s">
        <v>12</v>
      </c>
      <c r="T6925" s="54" t="s">
        <v>29705</v>
      </c>
      <c r="Z6925" s="33" t="s">
        <v>42968</v>
      </c>
      <c r="AA6925" s="33">
        <v>742</v>
      </c>
    </row>
    <row r="6926" spans="1:64" ht="12" customHeight="1" x14ac:dyDescent="0.15">
      <c r="A6926" s="33" t="s">
        <v>13230</v>
      </c>
      <c r="B6926" s="33">
        <v>37</v>
      </c>
      <c r="C6926" s="33" t="s">
        <v>14</v>
      </c>
      <c r="D6926" s="33" t="s">
        <v>31</v>
      </c>
      <c r="E6926" s="33" t="s">
        <v>13231</v>
      </c>
      <c r="F6926" s="67">
        <v>41507</v>
      </c>
      <c r="G6926" s="33" t="s">
        <v>22223</v>
      </c>
      <c r="H6926" s="33" t="s">
        <v>584</v>
      </c>
      <c r="I6926" s="33" t="s">
        <v>112</v>
      </c>
      <c r="J6926" s="33" t="s">
        <v>6791</v>
      </c>
      <c r="K6926" s="33" t="s">
        <v>585</v>
      </c>
      <c r="L6926" s="33" t="s">
        <v>586</v>
      </c>
      <c r="M6926" s="33" t="s">
        <v>21</v>
      </c>
      <c r="N6926" s="33" t="s">
        <v>13232</v>
      </c>
      <c r="O6926" s="33" t="s">
        <v>950</v>
      </c>
      <c r="P6926" s="33" t="s">
        <v>30089</v>
      </c>
      <c r="Q6926" s="40" t="s">
        <v>13233</v>
      </c>
      <c r="R6926" s="33" t="s">
        <v>94</v>
      </c>
      <c r="S6926" s="33" t="s">
        <v>351</v>
      </c>
      <c r="T6926" s="1" t="s">
        <v>42983</v>
      </c>
      <c r="Z6926" s="33" t="s">
        <v>42966</v>
      </c>
      <c r="AA6926" s="33">
        <v>739</v>
      </c>
    </row>
    <row r="6927" spans="1:64" ht="12" customHeight="1" x14ac:dyDescent="0.15">
      <c r="A6927" s="33" t="s">
        <v>13224</v>
      </c>
      <c r="B6927" s="33">
        <v>68</v>
      </c>
      <c r="C6927" s="33" t="s">
        <v>14</v>
      </c>
      <c r="D6927" s="33" t="s">
        <v>31</v>
      </c>
      <c r="E6927" s="33" t="s">
        <v>13225</v>
      </c>
      <c r="F6927" s="67">
        <v>41507</v>
      </c>
      <c r="G6927" s="33" t="s">
        <v>13226</v>
      </c>
      <c r="H6927" s="33" t="s">
        <v>834</v>
      </c>
      <c r="I6927" s="33" t="s">
        <v>298</v>
      </c>
      <c r="J6927" s="33" t="s">
        <v>13227</v>
      </c>
      <c r="K6927" s="33" t="s">
        <v>5768</v>
      </c>
      <c r="L6927" s="33" t="s">
        <v>36389</v>
      </c>
      <c r="M6927" s="33" t="s">
        <v>21</v>
      </c>
      <c r="N6927" s="33" t="s">
        <v>13228</v>
      </c>
      <c r="O6927" s="33" t="s">
        <v>507</v>
      </c>
      <c r="P6927" s="33" t="s">
        <v>30089</v>
      </c>
      <c r="Q6927" s="40" t="s">
        <v>13229</v>
      </c>
      <c r="R6927" s="33" t="s">
        <v>94</v>
      </c>
      <c r="S6927" s="33" t="s">
        <v>22</v>
      </c>
      <c r="T6927" s="1" t="s">
        <v>26781</v>
      </c>
      <c r="Z6927" s="33" t="s">
        <v>42968</v>
      </c>
      <c r="AA6927" s="33">
        <v>738</v>
      </c>
    </row>
    <row r="6928" spans="1:64" ht="12" customHeight="1" x14ac:dyDescent="0.15">
      <c r="A6928" s="33" t="s">
        <v>13250</v>
      </c>
      <c r="B6928" s="33">
        <v>40</v>
      </c>
      <c r="C6928" s="33" t="s">
        <v>14</v>
      </c>
      <c r="D6928" s="33" t="s">
        <v>31</v>
      </c>
      <c r="E6928" s="33" t="s">
        <v>13251</v>
      </c>
      <c r="F6928" s="67">
        <v>41506</v>
      </c>
      <c r="G6928" s="33" t="s">
        <v>13252</v>
      </c>
      <c r="H6928" s="33" t="s">
        <v>13253</v>
      </c>
      <c r="I6928" s="33" t="s">
        <v>395</v>
      </c>
      <c r="J6928" s="33" t="s">
        <v>13254</v>
      </c>
      <c r="K6928" s="33" t="s">
        <v>2291</v>
      </c>
      <c r="L6928" s="33" t="s">
        <v>36865</v>
      </c>
      <c r="M6928" s="33" t="s">
        <v>21</v>
      </c>
      <c r="N6928" s="33" t="s">
        <v>13255</v>
      </c>
      <c r="O6928" s="33" t="s">
        <v>507</v>
      </c>
      <c r="P6928" s="33" t="s">
        <v>30089</v>
      </c>
      <c r="Q6928" s="40" t="s">
        <v>13256</v>
      </c>
      <c r="R6928" s="33" t="s">
        <v>94</v>
      </c>
      <c r="S6928" s="33" t="s">
        <v>22</v>
      </c>
      <c r="T6928" s="1" t="s">
        <v>26781</v>
      </c>
      <c r="Z6928" s="33" t="s">
        <v>42968</v>
      </c>
      <c r="AA6928" s="33">
        <v>736</v>
      </c>
    </row>
    <row r="6929" spans="1:27" ht="12" customHeight="1" x14ac:dyDescent="0.15">
      <c r="A6929" s="33" t="s">
        <v>3002</v>
      </c>
      <c r="B6929" s="33">
        <v>70</v>
      </c>
      <c r="C6929" s="33" t="s">
        <v>14</v>
      </c>
      <c r="D6929" s="33" t="s">
        <v>79</v>
      </c>
      <c r="F6929" s="67">
        <v>41506</v>
      </c>
      <c r="G6929" s="33" t="s">
        <v>13234</v>
      </c>
      <c r="H6929" s="33" t="s">
        <v>92</v>
      </c>
      <c r="I6929" s="33" t="s">
        <v>39</v>
      </c>
      <c r="J6929" s="33" t="s">
        <v>13235</v>
      </c>
      <c r="K6929" s="33" t="s">
        <v>92</v>
      </c>
      <c r="L6929" s="33" t="s">
        <v>93</v>
      </c>
      <c r="M6929" s="33" t="s">
        <v>21</v>
      </c>
      <c r="N6929" s="33" t="s">
        <v>13236</v>
      </c>
      <c r="O6929" s="33" t="s">
        <v>950</v>
      </c>
      <c r="P6929" s="33" t="s">
        <v>30089</v>
      </c>
      <c r="Q6929" s="40" t="s">
        <v>13237</v>
      </c>
      <c r="R6929" s="33" t="s">
        <v>94</v>
      </c>
      <c r="S6929" s="33" t="s">
        <v>22</v>
      </c>
      <c r="T6929" s="1" t="s">
        <v>26781</v>
      </c>
      <c r="Z6929" s="33" t="s">
        <v>42966</v>
      </c>
      <c r="AA6929" s="33">
        <v>732</v>
      </c>
    </row>
    <row r="6930" spans="1:27" ht="12" customHeight="1" x14ac:dyDescent="0.15">
      <c r="A6930" s="33" t="s">
        <v>13238</v>
      </c>
      <c r="B6930" s="33">
        <v>52</v>
      </c>
      <c r="C6930" s="33" t="s">
        <v>14</v>
      </c>
      <c r="D6930" s="33" t="s">
        <v>79</v>
      </c>
      <c r="F6930" s="67">
        <v>41506</v>
      </c>
      <c r="G6930" s="33" t="s">
        <v>13239</v>
      </c>
      <c r="H6930" s="33" t="s">
        <v>615</v>
      </c>
      <c r="I6930" s="33" t="s">
        <v>63</v>
      </c>
      <c r="J6930" s="33" t="s">
        <v>11239</v>
      </c>
      <c r="K6930" s="33" t="s">
        <v>196</v>
      </c>
      <c r="L6930" s="33" t="s">
        <v>617</v>
      </c>
      <c r="M6930" s="33" t="s">
        <v>21</v>
      </c>
      <c r="N6930" s="33" t="s">
        <v>13240</v>
      </c>
      <c r="O6930" s="33" t="s">
        <v>950</v>
      </c>
      <c r="P6930" s="33" t="s">
        <v>30089</v>
      </c>
      <c r="Q6930" s="40" t="s">
        <v>13241</v>
      </c>
      <c r="R6930" s="33" t="s">
        <v>94</v>
      </c>
      <c r="S6930" s="33" t="s">
        <v>22</v>
      </c>
      <c r="T6930" s="1" t="s">
        <v>26781</v>
      </c>
      <c r="Z6930" s="33" t="s">
        <v>42968</v>
      </c>
      <c r="AA6930" s="33">
        <v>731</v>
      </c>
    </row>
    <row r="6931" spans="1:27" ht="12" customHeight="1" x14ac:dyDescent="0.15">
      <c r="A6931" s="33" t="s">
        <v>13246</v>
      </c>
      <c r="B6931" s="33">
        <v>19</v>
      </c>
      <c r="C6931" s="33" t="s">
        <v>14</v>
      </c>
      <c r="D6931" s="33" t="s">
        <v>24</v>
      </c>
      <c r="F6931" s="67">
        <v>41506</v>
      </c>
      <c r="G6931" s="33" t="s">
        <v>13247</v>
      </c>
      <c r="H6931" s="33" t="s">
        <v>1033</v>
      </c>
      <c r="I6931" s="33" t="s">
        <v>376</v>
      </c>
      <c r="J6931" s="33" t="s">
        <v>13243</v>
      </c>
      <c r="K6931" s="33" t="s">
        <v>1033</v>
      </c>
      <c r="L6931" s="33" t="s">
        <v>1034</v>
      </c>
      <c r="M6931" s="33" t="s">
        <v>21</v>
      </c>
      <c r="N6931" s="33" t="s">
        <v>13248</v>
      </c>
      <c r="O6931" s="33" t="s">
        <v>950</v>
      </c>
      <c r="P6931" s="33" t="s">
        <v>30089</v>
      </c>
      <c r="Q6931" s="40" t="s">
        <v>13249</v>
      </c>
      <c r="R6931" s="33" t="s">
        <v>94</v>
      </c>
      <c r="S6931" s="33" t="s">
        <v>22</v>
      </c>
      <c r="T6931" s="1" t="s">
        <v>26781</v>
      </c>
      <c r="Z6931" s="33" t="s">
        <v>42966</v>
      </c>
      <c r="AA6931" s="33">
        <v>733</v>
      </c>
    </row>
    <row r="6932" spans="1:27" ht="12" customHeight="1" x14ac:dyDescent="0.15">
      <c r="A6932" s="33" t="s">
        <v>13262</v>
      </c>
      <c r="B6932" s="33">
        <v>52</v>
      </c>
      <c r="C6932" s="33" t="s">
        <v>14</v>
      </c>
      <c r="D6932" s="33" t="s">
        <v>31</v>
      </c>
      <c r="E6932" s="33" t="s">
        <v>13263</v>
      </c>
      <c r="F6932" s="67">
        <v>41506</v>
      </c>
      <c r="G6932" s="33" t="s">
        <v>22224</v>
      </c>
      <c r="H6932" s="33" t="s">
        <v>5518</v>
      </c>
      <c r="I6932" s="33" t="s">
        <v>106</v>
      </c>
      <c r="J6932" s="33" t="s">
        <v>13264</v>
      </c>
      <c r="K6932" s="33" t="s">
        <v>5520</v>
      </c>
      <c r="L6932" s="33" t="s">
        <v>13265</v>
      </c>
      <c r="M6932" s="33" t="s">
        <v>21</v>
      </c>
      <c r="N6932" s="33" t="s">
        <v>13266</v>
      </c>
      <c r="O6932" s="33" t="s">
        <v>507</v>
      </c>
      <c r="P6932" s="33" t="s">
        <v>30089</v>
      </c>
      <c r="Q6932" s="40" t="s">
        <v>13267</v>
      </c>
      <c r="R6932" s="33" t="s">
        <v>94</v>
      </c>
      <c r="S6932" s="1" t="s">
        <v>12</v>
      </c>
      <c r="T6932" s="33" t="s">
        <v>43027</v>
      </c>
      <c r="Z6932" s="33" t="s">
        <v>42968</v>
      </c>
      <c r="AA6932" s="33">
        <v>730</v>
      </c>
    </row>
    <row r="6933" spans="1:27" ht="12" customHeight="1" x14ac:dyDescent="0.15">
      <c r="A6933" s="33" t="s">
        <v>3002</v>
      </c>
      <c r="B6933" s="33">
        <v>19</v>
      </c>
      <c r="C6933" s="33" t="s">
        <v>14</v>
      </c>
      <c r="D6933" s="33" t="s">
        <v>24</v>
      </c>
      <c r="F6933" s="67">
        <v>41506</v>
      </c>
      <c r="G6933" s="33" t="s">
        <v>13242</v>
      </c>
      <c r="H6933" s="33" t="s">
        <v>1033</v>
      </c>
      <c r="I6933" s="33" t="s">
        <v>376</v>
      </c>
      <c r="J6933" s="33" t="s">
        <v>13243</v>
      </c>
      <c r="K6933" s="33" t="s">
        <v>1033</v>
      </c>
      <c r="L6933" s="33" t="s">
        <v>1034</v>
      </c>
      <c r="M6933" s="33" t="s">
        <v>21</v>
      </c>
      <c r="N6933" s="33" t="s">
        <v>13244</v>
      </c>
      <c r="O6933" s="33" t="s">
        <v>507</v>
      </c>
      <c r="P6933" s="33" t="s">
        <v>30089</v>
      </c>
      <c r="Q6933" s="40" t="s">
        <v>13245</v>
      </c>
      <c r="R6933" s="33" t="s">
        <v>94</v>
      </c>
      <c r="S6933" s="33" t="s">
        <v>22</v>
      </c>
      <c r="T6933" s="1" t="s">
        <v>26781</v>
      </c>
      <c r="Z6933" s="33" t="s">
        <v>42966</v>
      </c>
      <c r="AA6933" s="33">
        <v>734</v>
      </c>
    </row>
    <row r="6934" spans="1:27" ht="12" customHeight="1" x14ac:dyDescent="0.15">
      <c r="A6934" s="33" t="s">
        <v>13268</v>
      </c>
      <c r="B6934" s="33">
        <v>25</v>
      </c>
      <c r="C6934" s="33" t="s">
        <v>14</v>
      </c>
      <c r="D6934" s="33" t="s">
        <v>31</v>
      </c>
      <c r="E6934" s="33" t="s">
        <v>13269</v>
      </c>
      <c r="F6934" s="67">
        <v>41506</v>
      </c>
      <c r="G6934" s="33" t="s">
        <v>13270</v>
      </c>
      <c r="H6934" s="33" t="s">
        <v>13271</v>
      </c>
      <c r="I6934" s="33" t="s">
        <v>19</v>
      </c>
      <c r="J6934" s="33" t="s">
        <v>13272</v>
      </c>
      <c r="K6934" s="33" t="s">
        <v>5831</v>
      </c>
      <c r="L6934" s="33" t="s">
        <v>13273</v>
      </c>
      <c r="M6934" s="33" t="s">
        <v>2909</v>
      </c>
      <c r="N6934" s="33" t="s">
        <v>13274</v>
      </c>
      <c r="O6934" s="33" t="s">
        <v>26761</v>
      </c>
      <c r="P6934" s="33" t="s">
        <v>26755</v>
      </c>
      <c r="Q6934" s="40" t="s">
        <v>13275</v>
      </c>
      <c r="R6934" s="33" t="s">
        <v>94</v>
      </c>
      <c r="S6934" s="33" t="s">
        <v>12</v>
      </c>
      <c r="T6934" s="54" t="s">
        <v>29705</v>
      </c>
      <c r="Y6934" s="33" t="s">
        <v>42476</v>
      </c>
      <c r="Z6934" s="33" t="s">
        <v>42967</v>
      </c>
      <c r="AA6934" s="33">
        <v>737</v>
      </c>
    </row>
    <row r="6935" spans="1:27" ht="12" customHeight="1" x14ac:dyDescent="0.15">
      <c r="A6935" s="33" t="s">
        <v>13257</v>
      </c>
      <c r="B6935" s="33">
        <v>63</v>
      </c>
      <c r="C6935" s="33" t="s">
        <v>14</v>
      </c>
      <c r="D6935" s="33" t="s">
        <v>31</v>
      </c>
      <c r="F6935" s="67">
        <v>41506</v>
      </c>
      <c r="G6935" s="33" t="s">
        <v>13258</v>
      </c>
      <c r="H6935" s="33" t="s">
        <v>1194</v>
      </c>
      <c r="I6935" s="33" t="s">
        <v>250</v>
      </c>
      <c r="J6935" s="33" t="s">
        <v>13259</v>
      </c>
      <c r="K6935" s="33" t="s">
        <v>527</v>
      </c>
      <c r="L6935" s="33" t="s">
        <v>1387</v>
      </c>
      <c r="M6935" s="33" t="s">
        <v>21</v>
      </c>
      <c r="N6935" s="33" t="s">
        <v>13260</v>
      </c>
      <c r="O6935" s="33" t="s">
        <v>507</v>
      </c>
      <c r="P6935" s="33" t="s">
        <v>30089</v>
      </c>
      <c r="Q6935" s="40" t="s">
        <v>13261</v>
      </c>
      <c r="R6935" s="33" t="s">
        <v>94</v>
      </c>
      <c r="S6935" s="33" t="s">
        <v>22</v>
      </c>
      <c r="T6935" s="1" t="s">
        <v>26781</v>
      </c>
      <c r="Z6935" s="33" t="e">
        <v>#N/A</v>
      </c>
      <c r="AA6935" s="33">
        <v>735</v>
      </c>
    </row>
    <row r="6936" spans="1:27" ht="12" customHeight="1" x14ac:dyDescent="0.15">
      <c r="A6936" s="33" t="s">
        <v>13286</v>
      </c>
      <c r="B6936" s="33">
        <v>51</v>
      </c>
      <c r="C6936" s="33" t="s">
        <v>14</v>
      </c>
      <c r="D6936" s="33" t="s">
        <v>31</v>
      </c>
      <c r="E6936" s="33" t="s">
        <v>13287</v>
      </c>
      <c r="F6936" s="67">
        <v>41505</v>
      </c>
      <c r="G6936" s="33" t="s">
        <v>13288</v>
      </c>
      <c r="H6936" s="33" t="s">
        <v>13289</v>
      </c>
      <c r="I6936" s="33" t="s">
        <v>298</v>
      </c>
      <c r="J6936" s="33" t="s">
        <v>13290</v>
      </c>
      <c r="K6936" s="33" t="s">
        <v>1659</v>
      </c>
      <c r="L6936" s="33" t="s">
        <v>13291</v>
      </c>
      <c r="M6936" s="33" t="s">
        <v>21</v>
      </c>
      <c r="N6936" s="33" t="s">
        <v>13292</v>
      </c>
      <c r="O6936" s="33" t="s">
        <v>950</v>
      </c>
      <c r="P6936" s="33" t="s">
        <v>30089</v>
      </c>
      <c r="Q6936" s="40" t="s">
        <v>13293</v>
      </c>
      <c r="R6936" s="33" t="s">
        <v>94</v>
      </c>
      <c r="S6936" s="33" t="s">
        <v>22</v>
      </c>
      <c r="T6936" s="1" t="s">
        <v>26774</v>
      </c>
      <c r="Z6936" s="33" t="s">
        <v>42968</v>
      </c>
      <c r="AA6936" s="33">
        <v>728</v>
      </c>
    </row>
    <row r="6937" spans="1:27" ht="12" customHeight="1" x14ac:dyDescent="0.15">
      <c r="A6937" s="33" t="s">
        <v>13276</v>
      </c>
      <c r="B6937" s="33">
        <v>22</v>
      </c>
      <c r="C6937" s="33" t="s">
        <v>14</v>
      </c>
      <c r="D6937" s="33" t="s">
        <v>79</v>
      </c>
      <c r="E6937" s="33" t="s">
        <v>13277</v>
      </c>
      <c r="F6937" s="67">
        <v>41505</v>
      </c>
      <c r="G6937" s="33" t="s">
        <v>13278</v>
      </c>
      <c r="H6937" s="33" t="s">
        <v>2064</v>
      </c>
      <c r="I6937" s="33" t="s">
        <v>26</v>
      </c>
      <c r="J6937" s="33" t="s">
        <v>2840</v>
      </c>
      <c r="K6937" s="33" t="s">
        <v>2064</v>
      </c>
      <c r="L6937" s="33" t="s">
        <v>13279</v>
      </c>
      <c r="M6937" s="33" t="s">
        <v>21</v>
      </c>
      <c r="N6937" s="33" t="s">
        <v>13280</v>
      </c>
      <c r="O6937" s="33" t="s">
        <v>950</v>
      </c>
      <c r="P6937" s="33" t="s">
        <v>30089</v>
      </c>
      <c r="Q6937" s="40" t="s">
        <v>13281</v>
      </c>
      <c r="R6937" s="33" t="s">
        <v>94</v>
      </c>
      <c r="S6937" s="33" t="s">
        <v>22</v>
      </c>
      <c r="T6937" s="1" t="s">
        <v>26781</v>
      </c>
      <c r="Z6937" s="33" t="s">
        <v>42966</v>
      </c>
      <c r="AA6937" s="33">
        <v>727</v>
      </c>
    </row>
    <row r="6938" spans="1:27" ht="12" customHeight="1" x14ac:dyDescent="0.15">
      <c r="A6938" s="33" t="s">
        <v>13282</v>
      </c>
      <c r="B6938" s="33">
        <v>39</v>
      </c>
      <c r="C6938" s="33" t="s">
        <v>14</v>
      </c>
      <c r="D6938" s="33" t="s">
        <v>79</v>
      </c>
      <c r="E6938" s="33" t="s">
        <v>13283</v>
      </c>
      <c r="F6938" s="67">
        <v>41505</v>
      </c>
      <c r="G6938" s="33" t="s">
        <v>13284</v>
      </c>
      <c r="H6938" s="33" t="s">
        <v>631</v>
      </c>
      <c r="I6938" s="33" t="s">
        <v>39</v>
      </c>
      <c r="J6938" s="33" t="s">
        <v>5581</v>
      </c>
      <c r="K6938" s="33" t="s">
        <v>632</v>
      </c>
      <c r="L6938" s="33" t="s">
        <v>693</v>
      </c>
      <c r="M6938" s="33" t="s">
        <v>21</v>
      </c>
      <c r="N6938" s="33" t="s">
        <v>13285</v>
      </c>
      <c r="O6938" s="33" t="s">
        <v>4311</v>
      </c>
      <c r="P6938" s="33" t="s">
        <v>30089</v>
      </c>
      <c r="Q6938" s="40" t="s">
        <v>19079</v>
      </c>
      <c r="R6938" s="33" t="s">
        <v>904</v>
      </c>
      <c r="S6938" s="33" t="s">
        <v>12</v>
      </c>
      <c r="T6938" s="54" t="s">
        <v>29705</v>
      </c>
      <c r="Z6938" s="33" t="s">
        <v>42968</v>
      </c>
      <c r="AA6938" s="33">
        <v>729</v>
      </c>
    </row>
    <row r="6939" spans="1:27" ht="12" customHeight="1" x14ac:dyDescent="0.15">
      <c r="A6939" s="33" t="s">
        <v>13294</v>
      </c>
      <c r="B6939" s="33">
        <v>31</v>
      </c>
      <c r="C6939" s="33" t="s">
        <v>14</v>
      </c>
      <c r="D6939" s="33" t="s">
        <v>42</v>
      </c>
      <c r="E6939" s="33" t="s">
        <v>13295</v>
      </c>
      <c r="F6939" s="67">
        <v>41504</v>
      </c>
      <c r="G6939" s="33" t="s">
        <v>13296</v>
      </c>
      <c r="H6939" s="33" t="s">
        <v>13297</v>
      </c>
      <c r="I6939" s="33" t="s">
        <v>39</v>
      </c>
      <c r="J6939" s="33" t="s">
        <v>13298</v>
      </c>
      <c r="K6939" s="33" t="s">
        <v>92</v>
      </c>
      <c r="L6939" s="33" t="s">
        <v>13299</v>
      </c>
      <c r="M6939" s="33" t="s">
        <v>21</v>
      </c>
      <c r="N6939" s="33" t="s">
        <v>13300</v>
      </c>
      <c r="O6939" s="33" t="s">
        <v>950</v>
      </c>
      <c r="P6939" s="33" t="s">
        <v>30089</v>
      </c>
      <c r="Q6939" s="40" t="s">
        <v>13301</v>
      </c>
      <c r="R6939" s="33" t="s">
        <v>904</v>
      </c>
      <c r="S6939" s="33" t="s">
        <v>22</v>
      </c>
      <c r="T6939" s="1" t="s">
        <v>26781</v>
      </c>
      <c r="Y6939" s="33" t="s">
        <v>42476</v>
      </c>
      <c r="Z6939" s="33" t="s">
        <v>42966</v>
      </c>
      <c r="AA6939" s="33">
        <v>723</v>
      </c>
    </row>
    <row r="6940" spans="1:27" ht="12" customHeight="1" x14ac:dyDescent="0.15">
      <c r="A6940" s="33" t="s">
        <v>13307</v>
      </c>
      <c r="B6940" s="33">
        <v>44</v>
      </c>
      <c r="C6940" s="33" t="s">
        <v>14</v>
      </c>
      <c r="D6940" s="33" t="s">
        <v>31</v>
      </c>
      <c r="E6940" s="33" t="s">
        <v>13308</v>
      </c>
      <c r="F6940" s="67">
        <v>41504</v>
      </c>
      <c r="G6940" s="33" t="s">
        <v>13309</v>
      </c>
      <c r="H6940" s="33" t="s">
        <v>6523</v>
      </c>
      <c r="I6940" s="33" t="s">
        <v>160</v>
      </c>
      <c r="J6940" s="33" t="s">
        <v>6524</v>
      </c>
      <c r="K6940" s="33" t="s">
        <v>1736</v>
      </c>
      <c r="L6940" s="33" t="s">
        <v>13310</v>
      </c>
      <c r="M6940" s="33" t="s">
        <v>21</v>
      </c>
      <c r="N6940" s="33" t="s">
        <v>13311</v>
      </c>
      <c r="O6940" s="33" t="s">
        <v>950</v>
      </c>
      <c r="P6940" s="33" t="s">
        <v>30089</v>
      </c>
      <c r="Q6940" s="40" t="s">
        <v>13312</v>
      </c>
      <c r="R6940" s="33" t="s">
        <v>23</v>
      </c>
      <c r="S6940" s="33" t="s">
        <v>22</v>
      </c>
      <c r="T6940" s="1" t="s">
        <v>26781</v>
      </c>
      <c r="Z6940" s="33" t="s">
        <v>42967</v>
      </c>
      <c r="AA6940" s="33">
        <v>724</v>
      </c>
    </row>
    <row r="6941" spans="1:27" ht="12" customHeight="1" x14ac:dyDescent="0.15">
      <c r="A6941" s="33" t="s">
        <v>13302</v>
      </c>
      <c r="B6941" s="33">
        <v>59</v>
      </c>
      <c r="C6941" s="33" t="s">
        <v>14</v>
      </c>
      <c r="D6941" s="33" t="s">
        <v>31</v>
      </c>
      <c r="E6941" s="33" t="s">
        <v>13303</v>
      </c>
      <c r="F6941" s="67">
        <v>41504</v>
      </c>
      <c r="G6941" s="33" t="s">
        <v>13304</v>
      </c>
      <c r="H6941" s="33" t="s">
        <v>2014</v>
      </c>
      <c r="I6941" s="33" t="s">
        <v>409</v>
      </c>
      <c r="J6941" s="33">
        <v>53711</v>
      </c>
      <c r="K6941" s="33" t="s">
        <v>8880</v>
      </c>
      <c r="L6941" s="33" t="s">
        <v>3519</v>
      </c>
      <c r="M6941" s="33" t="s">
        <v>21</v>
      </c>
      <c r="N6941" s="33" t="s">
        <v>13305</v>
      </c>
      <c r="O6941" s="33" t="s">
        <v>507</v>
      </c>
      <c r="P6941" s="33" t="s">
        <v>30089</v>
      </c>
      <c r="Q6941" s="40" t="s">
        <v>13306</v>
      </c>
      <c r="R6941" s="33" t="s">
        <v>94</v>
      </c>
      <c r="S6941" s="33" t="s">
        <v>22</v>
      </c>
      <c r="T6941" s="1" t="s">
        <v>26774</v>
      </c>
      <c r="Z6941" s="33" t="s">
        <v>42968</v>
      </c>
      <c r="AA6941" s="33">
        <v>725</v>
      </c>
    </row>
    <row r="6942" spans="1:27" ht="12" customHeight="1" x14ac:dyDescent="0.15">
      <c r="A6942" s="33" t="s">
        <v>13313</v>
      </c>
      <c r="B6942" s="33">
        <v>58</v>
      </c>
      <c r="C6942" s="33" t="s">
        <v>14</v>
      </c>
      <c r="D6942" s="33" t="s">
        <v>31</v>
      </c>
      <c r="E6942" s="33" t="s">
        <v>13314</v>
      </c>
      <c r="F6942" s="67">
        <v>41504</v>
      </c>
      <c r="G6942" s="33" t="s">
        <v>13315</v>
      </c>
      <c r="H6942" s="33" t="s">
        <v>13316</v>
      </c>
      <c r="I6942" s="33" t="s">
        <v>298</v>
      </c>
      <c r="J6942" s="33" t="s">
        <v>13317</v>
      </c>
      <c r="K6942" s="33" t="s">
        <v>2679</v>
      </c>
      <c r="L6942" s="33" t="s">
        <v>13318</v>
      </c>
      <c r="M6942" s="33" t="s">
        <v>21</v>
      </c>
      <c r="N6942" s="33" t="s">
        <v>13319</v>
      </c>
      <c r="O6942" s="33" t="s">
        <v>507</v>
      </c>
      <c r="P6942" s="33" t="s">
        <v>30089</v>
      </c>
      <c r="Q6942" s="40" t="s">
        <v>13320</v>
      </c>
      <c r="R6942" s="33" t="s">
        <v>904</v>
      </c>
      <c r="S6942" s="33" t="s">
        <v>351</v>
      </c>
      <c r="T6942" s="1" t="s">
        <v>42983</v>
      </c>
      <c r="Z6942" s="33" t="s">
        <v>42967</v>
      </c>
      <c r="AA6942" s="33">
        <v>726</v>
      </c>
    </row>
    <row r="6943" spans="1:27" ht="12" customHeight="1" x14ac:dyDescent="0.15">
      <c r="A6943" s="33" t="s">
        <v>13329</v>
      </c>
      <c r="B6943" s="33">
        <v>19</v>
      </c>
      <c r="C6943" s="33" t="s">
        <v>14</v>
      </c>
      <c r="D6943" s="33" t="s">
        <v>31</v>
      </c>
      <c r="E6943" s="33" t="s">
        <v>13330</v>
      </c>
      <c r="F6943" s="67">
        <v>41503</v>
      </c>
      <c r="G6943" s="33" t="s">
        <v>13331</v>
      </c>
      <c r="H6943" s="33" t="s">
        <v>8831</v>
      </c>
      <c r="I6943" s="33" t="s">
        <v>46</v>
      </c>
      <c r="J6943" s="33" t="s">
        <v>13332</v>
      </c>
      <c r="K6943" s="33" t="s">
        <v>8833</v>
      </c>
      <c r="L6943" s="33" t="s">
        <v>8834</v>
      </c>
      <c r="M6943" s="33" t="s">
        <v>21</v>
      </c>
      <c r="N6943" s="33" t="s">
        <v>36866</v>
      </c>
      <c r="O6943" s="33" t="s">
        <v>950</v>
      </c>
      <c r="P6943" s="33" t="s">
        <v>30089</v>
      </c>
      <c r="Q6943" s="40" t="s">
        <v>13333</v>
      </c>
      <c r="R6943" s="33" t="s">
        <v>512</v>
      </c>
      <c r="S6943" s="33" t="s">
        <v>12</v>
      </c>
      <c r="T6943" s="54" t="s">
        <v>29705</v>
      </c>
      <c r="Z6943" s="33" t="s">
        <v>42968</v>
      </c>
      <c r="AA6943" s="33">
        <v>722</v>
      </c>
    </row>
    <row r="6944" spans="1:27" ht="12" customHeight="1" x14ac:dyDescent="0.15">
      <c r="A6944" s="33" t="s">
        <v>13321</v>
      </c>
      <c r="B6944" s="33">
        <v>78</v>
      </c>
      <c r="C6944" s="33" t="s">
        <v>14</v>
      </c>
      <c r="D6944" s="33" t="s">
        <v>31</v>
      </c>
      <c r="E6944" s="33" t="s">
        <v>13322</v>
      </c>
      <c r="F6944" s="67">
        <v>41503</v>
      </c>
      <c r="G6944" s="33" t="s">
        <v>13323</v>
      </c>
      <c r="H6944" s="33" t="s">
        <v>13324</v>
      </c>
      <c r="I6944" s="33" t="s">
        <v>4034</v>
      </c>
      <c r="J6944" s="33" t="s">
        <v>13325</v>
      </c>
      <c r="K6944" s="33" t="s">
        <v>6374</v>
      </c>
      <c r="L6944" s="33" t="s">
        <v>13326</v>
      </c>
      <c r="M6944" s="33" t="s">
        <v>21</v>
      </c>
      <c r="N6944" s="33" t="s">
        <v>13327</v>
      </c>
      <c r="O6944" s="33" t="s">
        <v>507</v>
      </c>
      <c r="P6944" s="33" t="s">
        <v>30089</v>
      </c>
      <c r="Q6944" s="40" t="s">
        <v>13328</v>
      </c>
      <c r="R6944" s="33" t="s">
        <v>94</v>
      </c>
      <c r="S6944" s="33" t="s">
        <v>22</v>
      </c>
      <c r="T6944" s="1" t="s">
        <v>26781</v>
      </c>
      <c r="Z6944" s="33" t="s">
        <v>42967</v>
      </c>
      <c r="AA6944" s="33">
        <v>721</v>
      </c>
    </row>
    <row r="6945" spans="1:64" ht="12" customHeight="1" x14ac:dyDescent="0.15">
      <c r="A6945" s="33" t="s">
        <v>13334</v>
      </c>
      <c r="B6945" s="33">
        <v>74</v>
      </c>
      <c r="C6945" s="33" t="s">
        <v>14</v>
      </c>
      <c r="D6945" s="33" t="s">
        <v>79</v>
      </c>
      <c r="F6945" s="67">
        <v>41502</v>
      </c>
      <c r="G6945" s="33" t="s">
        <v>13335</v>
      </c>
      <c r="H6945" s="33" t="s">
        <v>13336</v>
      </c>
      <c r="I6945" s="33" t="s">
        <v>39</v>
      </c>
      <c r="J6945" s="33" t="s">
        <v>13235</v>
      </c>
      <c r="K6945" s="33" t="s">
        <v>92</v>
      </c>
      <c r="L6945" s="33" t="s">
        <v>12795</v>
      </c>
      <c r="M6945" s="33" t="s">
        <v>21</v>
      </c>
      <c r="N6945" s="33" t="s">
        <v>13337</v>
      </c>
      <c r="O6945" s="33" t="s">
        <v>950</v>
      </c>
      <c r="P6945" s="33" t="s">
        <v>30089</v>
      </c>
      <c r="Q6945" s="40" t="s">
        <v>13338</v>
      </c>
      <c r="R6945" s="33" t="s">
        <v>23</v>
      </c>
      <c r="S6945" s="33" t="s">
        <v>29</v>
      </c>
      <c r="T6945" s="33" t="s">
        <v>41840</v>
      </c>
      <c r="Z6945" s="33" t="s">
        <v>42966</v>
      </c>
      <c r="AA6945" s="33">
        <v>720</v>
      </c>
    </row>
    <row r="6946" spans="1:64" ht="12" customHeight="1" x14ac:dyDescent="0.15">
      <c r="A6946" s="33" t="s">
        <v>13353</v>
      </c>
      <c r="B6946" s="33">
        <v>42</v>
      </c>
      <c r="C6946" s="33" t="s">
        <v>14</v>
      </c>
      <c r="D6946" s="33" t="s">
        <v>31</v>
      </c>
      <c r="F6946" s="67">
        <v>41502</v>
      </c>
      <c r="G6946" s="33" t="s">
        <v>13354</v>
      </c>
      <c r="H6946" s="33" t="s">
        <v>13355</v>
      </c>
      <c r="I6946" s="33" t="s">
        <v>39</v>
      </c>
      <c r="J6946" s="33" t="s">
        <v>13356</v>
      </c>
      <c r="K6946" s="33" t="s">
        <v>92</v>
      </c>
      <c r="L6946" s="33" t="s">
        <v>13357</v>
      </c>
      <c r="M6946" s="33" t="s">
        <v>21</v>
      </c>
      <c r="N6946" s="33" t="s">
        <v>13358</v>
      </c>
      <c r="O6946" s="33" t="s">
        <v>950</v>
      </c>
      <c r="P6946" s="33" t="s">
        <v>30089</v>
      </c>
      <c r="Q6946" s="40" t="s">
        <v>13359</v>
      </c>
      <c r="R6946" s="33" t="s">
        <v>23</v>
      </c>
      <c r="S6946" s="33" t="s">
        <v>22</v>
      </c>
      <c r="T6946" s="1" t="s">
        <v>26774</v>
      </c>
      <c r="Z6946" s="33" t="s">
        <v>42966</v>
      </c>
      <c r="AA6946" s="33">
        <v>718</v>
      </c>
    </row>
    <row r="6947" spans="1:64" ht="12" customHeight="1" x14ac:dyDescent="0.15">
      <c r="A6947" s="33" t="s">
        <v>13346</v>
      </c>
      <c r="B6947" s="33">
        <v>43</v>
      </c>
      <c r="C6947" s="33" t="s">
        <v>14</v>
      </c>
      <c r="D6947" s="33" t="s">
        <v>31</v>
      </c>
      <c r="E6947" s="33" t="s">
        <v>13347</v>
      </c>
      <c r="F6947" s="67">
        <v>41502</v>
      </c>
      <c r="G6947" s="33" t="s">
        <v>13348</v>
      </c>
      <c r="H6947" s="33" t="s">
        <v>3413</v>
      </c>
      <c r="I6947" s="33" t="s">
        <v>112</v>
      </c>
      <c r="J6947" s="33" t="s">
        <v>13349</v>
      </c>
      <c r="K6947" s="33" t="s">
        <v>5363</v>
      </c>
      <c r="L6947" s="33" t="s">
        <v>13350</v>
      </c>
      <c r="M6947" s="33" t="s">
        <v>21</v>
      </c>
      <c r="N6947" s="33" t="s">
        <v>13351</v>
      </c>
      <c r="O6947" s="33" t="s">
        <v>507</v>
      </c>
      <c r="P6947" s="33" t="s">
        <v>30089</v>
      </c>
      <c r="Q6947" s="40" t="s">
        <v>13352</v>
      </c>
      <c r="R6947" s="33" t="s">
        <v>94</v>
      </c>
      <c r="S6947" s="33" t="s">
        <v>12</v>
      </c>
      <c r="T6947" s="54" t="s">
        <v>29705</v>
      </c>
      <c r="Z6947" s="33" t="s">
        <v>42967</v>
      </c>
      <c r="AA6947" s="33">
        <v>719</v>
      </c>
    </row>
    <row r="6948" spans="1:64" ht="12" customHeight="1" x14ac:dyDescent="0.15">
      <c r="A6948" s="33" t="s">
        <v>13339</v>
      </c>
      <c r="B6948" s="33">
        <v>21</v>
      </c>
      <c r="C6948" s="33" t="s">
        <v>14</v>
      </c>
      <c r="D6948" s="33" t="s">
        <v>885</v>
      </c>
      <c r="E6948" s="33" t="s">
        <v>13340</v>
      </c>
      <c r="F6948" s="67">
        <v>41502</v>
      </c>
      <c r="G6948" s="33" t="s">
        <v>13341</v>
      </c>
      <c r="H6948" s="33" t="s">
        <v>13342</v>
      </c>
      <c r="I6948" s="33" t="s">
        <v>814</v>
      </c>
      <c r="J6948" s="33" t="s">
        <v>13343</v>
      </c>
      <c r="K6948" s="33" t="s">
        <v>4727</v>
      </c>
      <c r="L6948" s="33" t="s">
        <v>4728</v>
      </c>
      <c r="M6948" s="33" t="s">
        <v>21</v>
      </c>
      <c r="N6948" s="33" t="s">
        <v>13344</v>
      </c>
      <c r="O6948" s="33" t="s">
        <v>507</v>
      </c>
      <c r="P6948" s="33" t="s">
        <v>30089</v>
      </c>
      <c r="Q6948" s="40" t="s">
        <v>13345</v>
      </c>
      <c r="R6948" s="33" t="s">
        <v>94</v>
      </c>
      <c r="S6948" s="33" t="s">
        <v>22</v>
      </c>
      <c r="T6948" s="1" t="s">
        <v>26781</v>
      </c>
      <c r="Z6948" s="33" t="s">
        <v>42967</v>
      </c>
      <c r="AA6948" s="33">
        <v>717</v>
      </c>
    </row>
    <row r="6949" spans="1:64" ht="12" customHeight="1" x14ac:dyDescent="0.15">
      <c r="A6949" s="33" t="s">
        <v>13360</v>
      </c>
      <c r="B6949" s="33">
        <v>23</v>
      </c>
      <c r="C6949" s="33" t="s">
        <v>14</v>
      </c>
      <c r="D6949" s="33" t="s">
        <v>79</v>
      </c>
      <c r="E6949" s="33" t="s">
        <v>13361</v>
      </c>
      <c r="F6949" s="67">
        <v>41501</v>
      </c>
      <c r="G6949" s="33" t="s">
        <v>13362</v>
      </c>
      <c r="H6949" s="33" t="s">
        <v>1956</v>
      </c>
      <c r="I6949" s="33" t="s">
        <v>75</v>
      </c>
      <c r="J6949" s="33" t="s">
        <v>13363</v>
      </c>
      <c r="K6949" s="33" t="s">
        <v>2675</v>
      </c>
      <c r="L6949" s="33" t="s">
        <v>1958</v>
      </c>
      <c r="M6949" s="33" t="s">
        <v>21</v>
      </c>
      <c r="N6949" s="33" t="s">
        <v>13364</v>
      </c>
      <c r="O6949" s="33" t="s">
        <v>507</v>
      </c>
      <c r="P6949" s="33" t="s">
        <v>30089</v>
      </c>
      <c r="Q6949" s="40" t="s">
        <v>13365</v>
      </c>
      <c r="R6949" s="33" t="s">
        <v>23</v>
      </c>
      <c r="S6949" s="33" t="s">
        <v>22</v>
      </c>
      <c r="T6949" s="1" t="s">
        <v>26781</v>
      </c>
      <c r="Z6949" s="33" t="s">
        <v>42966</v>
      </c>
      <c r="AA6949" s="33">
        <v>713</v>
      </c>
    </row>
    <row r="6950" spans="1:64" ht="12" customHeight="1" x14ac:dyDescent="0.15">
      <c r="A6950" s="33" t="s">
        <v>13376</v>
      </c>
      <c r="B6950" s="33">
        <v>43</v>
      </c>
      <c r="C6950" s="33" t="s">
        <v>14</v>
      </c>
      <c r="D6950" s="33" t="s">
        <v>31</v>
      </c>
      <c r="F6950" s="67">
        <v>41501</v>
      </c>
      <c r="G6950" s="33" t="s">
        <v>13377</v>
      </c>
      <c r="H6950" s="33" t="s">
        <v>13355</v>
      </c>
      <c r="I6950" s="33" t="s">
        <v>39</v>
      </c>
      <c r="J6950" s="33" t="s">
        <v>13356</v>
      </c>
      <c r="K6950" s="33" t="s">
        <v>92</v>
      </c>
      <c r="L6950" s="33" t="s">
        <v>13357</v>
      </c>
      <c r="M6950" s="33" t="s">
        <v>21</v>
      </c>
      <c r="N6950" s="33" t="s">
        <v>13378</v>
      </c>
      <c r="O6950" s="33" t="s">
        <v>950</v>
      </c>
      <c r="P6950" s="33" t="s">
        <v>30089</v>
      </c>
      <c r="Q6950" s="40" t="s">
        <v>13379</v>
      </c>
      <c r="R6950" s="33" t="s">
        <v>23</v>
      </c>
      <c r="S6950" s="33" t="s">
        <v>22</v>
      </c>
      <c r="T6950" s="1" t="s">
        <v>26774</v>
      </c>
      <c r="Z6950" s="33" t="s">
        <v>42966</v>
      </c>
      <c r="AA6950" s="33">
        <v>716</v>
      </c>
    </row>
    <row r="6951" spans="1:64" ht="12" customHeight="1" x14ac:dyDescent="0.15">
      <c r="A6951" s="33" t="s">
        <v>13369</v>
      </c>
      <c r="B6951" s="33">
        <v>46</v>
      </c>
      <c r="C6951" s="33" t="s">
        <v>14</v>
      </c>
      <c r="D6951" s="33" t="s">
        <v>31</v>
      </c>
      <c r="F6951" s="67">
        <v>41501</v>
      </c>
      <c r="G6951" s="33" t="s">
        <v>13370</v>
      </c>
      <c r="H6951" s="33" t="s">
        <v>12216</v>
      </c>
      <c r="I6951" s="33" t="s">
        <v>294</v>
      </c>
      <c r="J6951" s="33" t="s">
        <v>13371</v>
      </c>
      <c r="K6951" s="33" t="s">
        <v>13372</v>
      </c>
      <c r="L6951" s="33" t="s">
        <v>13373</v>
      </c>
      <c r="M6951" s="33" t="s">
        <v>21</v>
      </c>
      <c r="N6951" s="33" t="s">
        <v>13374</v>
      </c>
      <c r="O6951" s="33" t="s">
        <v>23</v>
      </c>
      <c r="P6951" s="33" t="s">
        <v>30089</v>
      </c>
      <c r="Q6951" s="40" t="s">
        <v>13375</v>
      </c>
      <c r="R6951" s="33" t="s">
        <v>94</v>
      </c>
      <c r="S6951" s="33" t="s">
        <v>22</v>
      </c>
      <c r="T6951" s="1" t="s">
        <v>26781</v>
      </c>
      <c r="Z6951" s="33" t="s">
        <v>42967</v>
      </c>
      <c r="AA6951" s="33">
        <v>715</v>
      </c>
    </row>
    <row r="6952" spans="1:64" ht="12" customHeight="1" x14ac:dyDescent="0.15">
      <c r="A6952" s="33" t="s">
        <v>3002</v>
      </c>
      <c r="C6952" s="33" t="s">
        <v>14</v>
      </c>
      <c r="D6952" s="33" t="s">
        <v>24</v>
      </c>
      <c r="F6952" s="67">
        <v>41501</v>
      </c>
      <c r="G6952" s="33" t="s">
        <v>22225</v>
      </c>
      <c r="H6952" s="33" t="s">
        <v>834</v>
      </c>
      <c r="I6952" s="33" t="s">
        <v>294</v>
      </c>
      <c r="J6952" s="33" t="s">
        <v>13366</v>
      </c>
      <c r="K6952" s="33" t="s">
        <v>1659</v>
      </c>
      <c r="L6952" s="33" t="s">
        <v>835</v>
      </c>
      <c r="M6952" s="33" t="s">
        <v>21</v>
      </c>
      <c r="N6952" s="33" t="s">
        <v>13367</v>
      </c>
      <c r="O6952" s="33" t="s">
        <v>950</v>
      </c>
      <c r="P6952" s="33" t="s">
        <v>30089</v>
      </c>
      <c r="Q6952" s="40" t="s">
        <v>13368</v>
      </c>
      <c r="R6952" s="33" t="s">
        <v>23</v>
      </c>
      <c r="S6952" s="33" t="s">
        <v>22</v>
      </c>
      <c r="T6952" s="1" t="s">
        <v>26781</v>
      </c>
      <c r="Z6952" s="33" t="s">
        <v>42968</v>
      </c>
      <c r="AA6952" s="33">
        <v>714</v>
      </c>
    </row>
    <row r="6953" spans="1:64" ht="12" customHeight="1" x14ac:dyDescent="0.15">
      <c r="A6953" s="33" t="s">
        <v>13380</v>
      </c>
      <c r="B6953" s="33">
        <v>50</v>
      </c>
      <c r="C6953" s="33" t="s">
        <v>14</v>
      </c>
      <c r="D6953" s="33" t="s">
        <v>31</v>
      </c>
      <c r="E6953" s="33" t="s">
        <v>13381</v>
      </c>
      <c r="F6953" s="67">
        <v>41500</v>
      </c>
      <c r="G6953" s="33" t="s">
        <v>13382</v>
      </c>
      <c r="H6953" s="33" t="s">
        <v>13383</v>
      </c>
      <c r="I6953" s="33" t="s">
        <v>122</v>
      </c>
      <c r="J6953" s="33" t="s">
        <v>13384</v>
      </c>
      <c r="K6953" s="33" t="s">
        <v>13385</v>
      </c>
      <c r="L6953" s="33" t="s">
        <v>36867</v>
      </c>
      <c r="M6953" s="33" t="s">
        <v>21</v>
      </c>
      <c r="N6953" s="33" t="s">
        <v>13386</v>
      </c>
      <c r="O6953" s="33" t="s">
        <v>507</v>
      </c>
      <c r="P6953" s="33" t="s">
        <v>30089</v>
      </c>
      <c r="Q6953" s="40" t="s">
        <v>13387</v>
      </c>
      <c r="R6953" s="33" t="s">
        <v>23</v>
      </c>
      <c r="S6953" s="33" t="s">
        <v>22</v>
      </c>
      <c r="T6953" s="1" t="s">
        <v>26781</v>
      </c>
      <c r="Z6953" s="33" t="s">
        <v>42967</v>
      </c>
      <c r="AA6953" s="33">
        <v>710</v>
      </c>
    </row>
    <row r="6954" spans="1:64" ht="12" customHeight="1" x14ac:dyDescent="0.15">
      <c r="A6954" s="33" t="s">
        <v>13388</v>
      </c>
      <c r="B6954" s="33">
        <v>37</v>
      </c>
      <c r="C6954" s="33" t="s">
        <v>14</v>
      </c>
      <c r="D6954" s="33" t="s">
        <v>31</v>
      </c>
      <c r="E6954" s="33" t="s">
        <v>13389</v>
      </c>
      <c r="F6954" s="67">
        <v>41500</v>
      </c>
      <c r="G6954" s="33" t="s">
        <v>22226</v>
      </c>
      <c r="H6954" s="33" t="s">
        <v>7928</v>
      </c>
      <c r="I6954" s="33" t="s">
        <v>39</v>
      </c>
      <c r="J6954" s="33" t="s">
        <v>13390</v>
      </c>
      <c r="K6954" s="33" t="s">
        <v>558</v>
      </c>
      <c r="L6954" s="33" t="s">
        <v>7930</v>
      </c>
      <c r="M6954" s="33" t="s">
        <v>21</v>
      </c>
      <c r="N6954" s="33" t="s">
        <v>13391</v>
      </c>
      <c r="O6954" s="33" t="s">
        <v>23</v>
      </c>
      <c r="P6954" s="33" t="s">
        <v>30089</v>
      </c>
      <c r="Q6954" s="40" t="s">
        <v>13392</v>
      </c>
      <c r="R6954" s="33" t="s">
        <v>94</v>
      </c>
      <c r="S6954" s="33" t="s">
        <v>22</v>
      </c>
      <c r="T6954" s="1" t="s">
        <v>26774</v>
      </c>
      <c r="Z6954" s="33" t="s">
        <v>42968</v>
      </c>
      <c r="AA6954" s="33">
        <v>711</v>
      </c>
    </row>
    <row r="6955" spans="1:64" ht="12" customHeight="1" x14ac:dyDescent="0.15">
      <c r="A6955" s="33" t="s">
        <v>13393</v>
      </c>
      <c r="B6955" s="33">
        <v>20</v>
      </c>
      <c r="C6955" s="33" t="s">
        <v>14</v>
      </c>
      <c r="D6955" s="33" t="s">
        <v>31</v>
      </c>
      <c r="F6955" s="67">
        <v>41500</v>
      </c>
      <c r="G6955" s="33" t="s">
        <v>13394</v>
      </c>
      <c r="H6955" s="33" t="s">
        <v>13395</v>
      </c>
      <c r="I6955" s="33" t="s">
        <v>294</v>
      </c>
      <c r="J6955" s="33" t="s">
        <v>13396</v>
      </c>
      <c r="K6955" s="33" t="s">
        <v>7728</v>
      </c>
      <c r="L6955" s="33" t="s">
        <v>13397</v>
      </c>
      <c r="M6955" s="33" t="s">
        <v>21</v>
      </c>
      <c r="N6955" s="33" t="s">
        <v>13398</v>
      </c>
      <c r="O6955" s="33" t="s">
        <v>950</v>
      </c>
      <c r="P6955" s="33" t="s">
        <v>30089</v>
      </c>
      <c r="Q6955" s="40" t="s">
        <v>13399</v>
      </c>
      <c r="R6955" s="33" t="s">
        <v>94</v>
      </c>
      <c r="S6955" s="33" t="s">
        <v>22</v>
      </c>
      <c r="T6955" s="1" t="s">
        <v>26774</v>
      </c>
      <c r="Z6955" s="33" t="s">
        <v>42967</v>
      </c>
      <c r="AA6955" s="33">
        <v>712</v>
      </c>
    </row>
    <row r="6956" spans="1:64" ht="12" customHeight="1" x14ac:dyDescent="0.15">
      <c r="A6956" s="33" t="s">
        <v>13408</v>
      </c>
      <c r="B6956" s="33">
        <v>23</v>
      </c>
      <c r="C6956" s="33" t="s">
        <v>14</v>
      </c>
      <c r="D6956" s="33" t="s">
        <v>79</v>
      </c>
      <c r="F6956" s="67">
        <v>41499</v>
      </c>
      <c r="G6956" s="33" t="s">
        <v>13409</v>
      </c>
      <c r="H6956" s="33" t="s">
        <v>1487</v>
      </c>
      <c r="I6956" s="33" t="s">
        <v>46</v>
      </c>
      <c r="J6956" s="33" t="s">
        <v>13410</v>
      </c>
      <c r="K6956" s="33" t="s">
        <v>1487</v>
      </c>
      <c r="L6956" s="33" t="s">
        <v>212</v>
      </c>
      <c r="M6956" s="33" t="s">
        <v>21</v>
      </c>
      <c r="N6956" s="33" t="s">
        <v>13411</v>
      </c>
      <c r="O6956" s="33" t="s">
        <v>23</v>
      </c>
      <c r="P6956" s="33" t="s">
        <v>30089</v>
      </c>
      <c r="Q6956" s="40" t="s">
        <v>13412</v>
      </c>
      <c r="R6956" s="33" t="s">
        <v>94</v>
      </c>
      <c r="S6956" s="33" t="s">
        <v>351</v>
      </c>
      <c r="T6956" s="1" t="s">
        <v>42983</v>
      </c>
      <c r="Z6956" s="33" t="s">
        <v>42966</v>
      </c>
      <c r="AA6956" s="33">
        <v>709</v>
      </c>
    </row>
    <row r="6957" spans="1:64" ht="12" customHeight="1" x14ac:dyDescent="0.15">
      <c r="A6957" s="33" t="s">
        <v>13427</v>
      </c>
      <c r="B6957" s="33">
        <v>33</v>
      </c>
      <c r="C6957" s="33" t="s">
        <v>14</v>
      </c>
      <c r="D6957" s="33" t="s">
        <v>24</v>
      </c>
      <c r="F6957" s="67">
        <v>41499</v>
      </c>
      <c r="G6957" s="33" t="s">
        <v>13428</v>
      </c>
      <c r="H6957" s="33" t="s">
        <v>13429</v>
      </c>
      <c r="I6957" s="33" t="s">
        <v>621</v>
      </c>
      <c r="J6957" s="33" t="s">
        <v>13430</v>
      </c>
      <c r="K6957" s="33" t="s">
        <v>13431</v>
      </c>
      <c r="L6957" s="33" t="s">
        <v>13432</v>
      </c>
      <c r="M6957" s="33" t="s">
        <v>363</v>
      </c>
      <c r="N6957" s="33" t="s">
        <v>13433</v>
      </c>
      <c r="O6957" s="33" t="s">
        <v>950</v>
      </c>
      <c r="P6957" s="33" t="s">
        <v>30089</v>
      </c>
      <c r="Q6957" s="40" t="str">
        <f>HYPERLINK("http://blog.gulflive.com/mississippi-press-news/2013/10/gloster_police_offer_reinstate.html","http://blog.gulflive.com/mississippi-press-news/2013/10/gloster_police_offer_reinstate.html")</f>
        <v>http://blog.gulflive.com/mississippi-press-news/2013/10/gloster_police_offer_reinstate.html</v>
      </c>
      <c r="R6957" s="33" t="s">
        <v>94</v>
      </c>
      <c r="S6957" s="33" t="s">
        <v>29</v>
      </c>
      <c r="T6957" s="33" t="s">
        <v>41840</v>
      </c>
      <c r="Z6957" s="33" t="s">
        <v>42967</v>
      </c>
      <c r="AA6957" s="33">
        <v>708</v>
      </c>
    </row>
    <row r="6958" spans="1:64" ht="12" customHeight="1" x14ac:dyDescent="0.15">
      <c r="A6958" s="33" t="s">
        <v>13413</v>
      </c>
      <c r="B6958" s="33">
        <v>35</v>
      </c>
      <c r="C6958" s="33" t="s">
        <v>14</v>
      </c>
      <c r="D6958" s="33" t="s">
        <v>42</v>
      </c>
      <c r="E6958" s="33" t="s">
        <v>13414</v>
      </c>
      <c r="F6958" s="67">
        <v>41499</v>
      </c>
      <c r="G6958" s="33" t="s">
        <v>13415</v>
      </c>
      <c r="H6958" s="33" t="s">
        <v>13416</v>
      </c>
      <c r="I6958" s="33" t="s">
        <v>468</v>
      </c>
      <c r="J6958" s="33" t="s">
        <v>13417</v>
      </c>
      <c r="K6958" s="33" t="s">
        <v>13418</v>
      </c>
      <c r="L6958" s="33" t="s">
        <v>13419</v>
      </c>
      <c r="M6958" s="33" t="s">
        <v>21</v>
      </c>
      <c r="N6958" s="33" t="s">
        <v>13420</v>
      </c>
      <c r="O6958" s="33" t="s">
        <v>507</v>
      </c>
      <c r="P6958" s="33" t="s">
        <v>30089</v>
      </c>
      <c r="Q6958" s="40" t="s">
        <v>13421</v>
      </c>
      <c r="R6958" s="33" t="s">
        <v>94</v>
      </c>
      <c r="S6958" s="33" t="s">
        <v>12</v>
      </c>
      <c r="T6958" s="54" t="s">
        <v>29705</v>
      </c>
      <c r="Z6958" s="33" t="s">
        <v>42968</v>
      </c>
      <c r="AA6958" s="33">
        <v>706</v>
      </c>
    </row>
    <row r="6959" spans="1:64" ht="12" customHeight="1" x14ac:dyDescent="0.15">
      <c r="A6959" s="63" t="s">
        <v>42592</v>
      </c>
      <c r="B6959" s="99">
        <v>62</v>
      </c>
      <c r="C6959" s="10" t="s">
        <v>14</v>
      </c>
      <c r="D6959" s="10" t="s">
        <v>31</v>
      </c>
      <c r="E6959" s="10"/>
      <c r="F6959" s="67">
        <v>41499</v>
      </c>
      <c r="G6959" s="10" t="s">
        <v>42593</v>
      </c>
      <c r="H6959" s="10" t="s">
        <v>1212</v>
      </c>
      <c r="I6959" s="10" t="s">
        <v>192</v>
      </c>
      <c r="J6959" s="65">
        <v>80205</v>
      </c>
      <c r="K6959" s="10" t="s">
        <v>1212</v>
      </c>
      <c r="L6959" s="10" t="s">
        <v>1213</v>
      </c>
      <c r="M6959" s="10" t="s">
        <v>21</v>
      </c>
      <c r="N6959" s="10" t="s">
        <v>42594</v>
      </c>
      <c r="O6959" s="10" t="s">
        <v>507</v>
      </c>
      <c r="P6959" s="10" t="s">
        <v>30089</v>
      </c>
      <c r="Q6959" s="62" t="s">
        <v>42595</v>
      </c>
      <c r="R6959" s="10" t="s">
        <v>512</v>
      </c>
      <c r="S6959" s="10" t="s">
        <v>22</v>
      </c>
      <c r="T6959" s="10" t="s">
        <v>26781</v>
      </c>
      <c r="U6959" s="10"/>
      <c r="V6959" s="10"/>
      <c r="W6959" s="69"/>
      <c r="X6959" s="89"/>
      <c r="Y6959" s="68"/>
      <c r="Z6959" s="68" t="s">
        <v>42966</v>
      </c>
      <c r="AA6959" s="33">
        <v>704</v>
      </c>
      <c r="AG6959" s="68"/>
      <c r="AK6959" s="68"/>
      <c r="AL6959" s="68"/>
      <c r="AM6959" s="68"/>
      <c r="AN6959" s="68"/>
      <c r="AO6959" s="68"/>
      <c r="AP6959" s="68"/>
      <c r="AQ6959" s="68"/>
      <c r="AR6959" s="68"/>
      <c r="AS6959" s="68"/>
      <c r="AT6959" s="68"/>
      <c r="AU6959" s="68"/>
      <c r="AV6959" s="68"/>
      <c r="AW6959" s="68"/>
      <c r="AX6959" s="68"/>
      <c r="AY6959" s="68"/>
      <c r="AZ6959" s="68"/>
      <c r="BA6959" s="68"/>
      <c r="BB6959" s="68"/>
      <c r="BC6959" s="68"/>
      <c r="BD6959" s="68"/>
      <c r="BE6959" s="68"/>
      <c r="BF6959" s="68"/>
      <c r="BG6959" s="68"/>
      <c r="BH6959" s="68"/>
      <c r="BI6959" s="68"/>
      <c r="BJ6959" s="68"/>
      <c r="BK6959" s="68"/>
      <c r="BL6959" s="68"/>
    </row>
    <row r="6960" spans="1:64" ht="12" customHeight="1" x14ac:dyDescent="0.15">
      <c r="A6960" s="33" t="s">
        <v>13400</v>
      </c>
      <c r="B6960" s="33">
        <v>20</v>
      </c>
      <c r="C6960" s="33" t="s">
        <v>14</v>
      </c>
      <c r="D6960" s="33" t="s">
        <v>15</v>
      </c>
      <c r="E6960" s="33" t="s">
        <v>13401</v>
      </c>
      <c r="F6960" s="67">
        <v>41499</v>
      </c>
      <c r="G6960" s="33" t="s">
        <v>13402</v>
      </c>
      <c r="H6960" s="33" t="s">
        <v>10132</v>
      </c>
      <c r="I6960" s="33" t="s">
        <v>19</v>
      </c>
      <c r="J6960" s="33" t="s">
        <v>13403</v>
      </c>
      <c r="K6960" s="33" t="s">
        <v>13404</v>
      </c>
      <c r="L6960" s="33" t="s">
        <v>13405</v>
      </c>
      <c r="M6960" s="33" t="s">
        <v>21</v>
      </c>
      <c r="N6960" s="33" t="s">
        <v>13406</v>
      </c>
      <c r="O6960" s="33" t="s">
        <v>507</v>
      </c>
      <c r="P6960" s="33" t="s">
        <v>30089</v>
      </c>
      <c r="Q6960" s="40" t="s">
        <v>13407</v>
      </c>
      <c r="R6960" s="33" t="s">
        <v>512</v>
      </c>
      <c r="S6960" s="33" t="s">
        <v>22</v>
      </c>
      <c r="T6960" s="1" t="s">
        <v>26781</v>
      </c>
      <c r="Z6960" s="33" t="s">
        <v>42967</v>
      </c>
      <c r="AA6960" s="33">
        <v>703</v>
      </c>
    </row>
    <row r="6961" spans="1:27" ht="12" customHeight="1" x14ac:dyDescent="0.15">
      <c r="A6961" s="33" t="s">
        <v>13422</v>
      </c>
      <c r="B6961" s="33">
        <v>63</v>
      </c>
      <c r="C6961" s="33" t="s">
        <v>14</v>
      </c>
      <c r="D6961" s="33" t="s">
        <v>24</v>
      </c>
      <c r="F6961" s="67">
        <v>41499</v>
      </c>
      <c r="G6961" s="33" t="s">
        <v>13423</v>
      </c>
      <c r="H6961" s="33" t="s">
        <v>1212</v>
      </c>
      <c r="I6961" s="33" t="s">
        <v>192</v>
      </c>
      <c r="J6961" s="33" t="s">
        <v>13424</v>
      </c>
      <c r="K6961" s="33" t="s">
        <v>1212</v>
      </c>
      <c r="L6961" s="33" t="s">
        <v>1213</v>
      </c>
      <c r="M6961" s="33" t="s">
        <v>21</v>
      </c>
      <c r="N6961" s="33" t="s">
        <v>13425</v>
      </c>
      <c r="O6961" s="33" t="s">
        <v>950</v>
      </c>
      <c r="P6961" s="33" t="s">
        <v>30089</v>
      </c>
      <c r="Q6961" s="40" t="s">
        <v>13426</v>
      </c>
      <c r="R6961" s="33" t="s">
        <v>94</v>
      </c>
      <c r="S6961" s="33" t="s">
        <v>22</v>
      </c>
      <c r="T6961" s="1" t="s">
        <v>26774</v>
      </c>
      <c r="Z6961" s="33" t="s">
        <v>42966</v>
      </c>
      <c r="AA6961" s="33">
        <v>705</v>
      </c>
    </row>
    <row r="6962" spans="1:27" ht="12" customHeight="1" x14ac:dyDescent="0.15">
      <c r="A6962" s="33" t="s">
        <v>13434</v>
      </c>
      <c r="B6962" s="33">
        <v>59</v>
      </c>
      <c r="C6962" s="33" t="s">
        <v>14</v>
      </c>
      <c r="D6962" s="33" t="s">
        <v>31</v>
      </c>
      <c r="E6962" s="33" t="s">
        <v>13435</v>
      </c>
      <c r="F6962" s="67">
        <v>41499</v>
      </c>
      <c r="G6962" s="33" t="s">
        <v>13436</v>
      </c>
      <c r="H6962" s="33" t="s">
        <v>504</v>
      </c>
      <c r="I6962" s="33" t="s">
        <v>63</v>
      </c>
      <c r="J6962" s="33" t="s">
        <v>13437</v>
      </c>
      <c r="K6962" s="33" t="s">
        <v>505</v>
      </c>
      <c r="L6962" s="33" t="s">
        <v>568</v>
      </c>
      <c r="M6962" s="33" t="s">
        <v>363</v>
      </c>
      <c r="N6962" s="33" t="s">
        <v>13438</v>
      </c>
      <c r="O6962" s="33" t="s">
        <v>950</v>
      </c>
      <c r="P6962" s="33" t="s">
        <v>30089</v>
      </c>
      <c r="Q6962" s="40" t="s">
        <v>13439</v>
      </c>
      <c r="R6962" s="33" t="s">
        <v>512</v>
      </c>
      <c r="S6962" s="33" t="s">
        <v>12</v>
      </c>
      <c r="T6962" s="54" t="s">
        <v>29705</v>
      </c>
      <c r="Z6962" s="33" t="s">
        <v>42968</v>
      </c>
      <c r="AA6962" s="33">
        <v>707</v>
      </c>
    </row>
    <row r="6963" spans="1:27" ht="12" customHeight="1" x14ac:dyDescent="0.15">
      <c r="A6963" s="33" t="s">
        <v>13440</v>
      </c>
      <c r="B6963" s="33">
        <v>31</v>
      </c>
      <c r="C6963" s="33" t="s">
        <v>14</v>
      </c>
      <c r="D6963" s="33" t="s">
        <v>79</v>
      </c>
      <c r="E6963" s="33" t="s">
        <v>13441</v>
      </c>
      <c r="F6963" s="67">
        <v>41498</v>
      </c>
      <c r="G6963" s="33" t="s">
        <v>13442</v>
      </c>
      <c r="H6963" s="33" t="s">
        <v>1132</v>
      </c>
      <c r="I6963" s="33" t="s">
        <v>282</v>
      </c>
      <c r="J6963" s="33" t="s">
        <v>13443</v>
      </c>
      <c r="K6963" s="33" t="s">
        <v>1133</v>
      </c>
      <c r="L6963" s="33" t="s">
        <v>1134</v>
      </c>
      <c r="M6963" s="33" t="s">
        <v>21</v>
      </c>
      <c r="N6963" s="33" t="s">
        <v>13444</v>
      </c>
      <c r="O6963" s="33" t="s">
        <v>950</v>
      </c>
      <c r="P6963" s="33" t="s">
        <v>30089</v>
      </c>
      <c r="Q6963" s="40" t="s">
        <v>13445</v>
      </c>
      <c r="R6963" s="33" t="s">
        <v>23</v>
      </c>
      <c r="S6963" s="33" t="s">
        <v>22</v>
      </c>
      <c r="T6963" s="1" t="s">
        <v>26781</v>
      </c>
      <c r="Z6963" s="33" t="s">
        <v>42966</v>
      </c>
      <c r="AA6963" s="33">
        <v>701</v>
      </c>
    </row>
    <row r="6964" spans="1:27" ht="12" customHeight="1" x14ac:dyDescent="0.15">
      <c r="A6964" s="33" t="s">
        <v>13451</v>
      </c>
      <c r="B6964" s="33">
        <v>46</v>
      </c>
      <c r="C6964" s="33" t="s">
        <v>14</v>
      </c>
      <c r="D6964" s="33" t="s">
        <v>31</v>
      </c>
      <c r="E6964" s="33" t="s">
        <v>13452</v>
      </c>
      <c r="F6964" s="67">
        <v>41498</v>
      </c>
      <c r="G6964" s="33" t="s">
        <v>13453</v>
      </c>
      <c r="H6964" s="33" t="s">
        <v>13454</v>
      </c>
      <c r="I6964" s="33" t="s">
        <v>376</v>
      </c>
      <c r="J6964" s="33" t="s">
        <v>13455</v>
      </c>
      <c r="K6964" s="33" t="s">
        <v>1397</v>
      </c>
      <c r="L6964" s="33" t="s">
        <v>13456</v>
      </c>
      <c r="M6964" s="33" t="s">
        <v>21</v>
      </c>
      <c r="N6964" s="33" t="s">
        <v>13457</v>
      </c>
      <c r="O6964" s="33" t="s">
        <v>507</v>
      </c>
      <c r="P6964" s="33" t="s">
        <v>30089</v>
      </c>
      <c r="Q6964" s="40" t="s">
        <v>13458</v>
      </c>
      <c r="R6964" s="33" t="s">
        <v>23</v>
      </c>
      <c r="S6964" s="1" t="s">
        <v>12</v>
      </c>
      <c r="T6964" s="33" t="s">
        <v>29425</v>
      </c>
      <c r="Z6964" s="33" t="s">
        <v>42968</v>
      </c>
      <c r="AA6964" s="33">
        <v>702</v>
      </c>
    </row>
    <row r="6965" spans="1:27" ht="12" customHeight="1" x14ac:dyDescent="0.15">
      <c r="A6965" s="33" t="s">
        <v>13446</v>
      </c>
      <c r="B6965" s="33">
        <v>44</v>
      </c>
      <c r="C6965" s="33" t="s">
        <v>103</v>
      </c>
      <c r="D6965" s="33" t="s">
        <v>24</v>
      </c>
      <c r="F6965" s="67">
        <v>41498</v>
      </c>
      <c r="G6965" s="33" t="s">
        <v>13447</v>
      </c>
      <c r="H6965" s="33" t="s">
        <v>5887</v>
      </c>
      <c r="I6965" s="33" t="s">
        <v>56</v>
      </c>
      <c r="J6965" s="33" t="s">
        <v>13448</v>
      </c>
      <c r="K6965" s="33" t="s">
        <v>1052</v>
      </c>
      <c r="L6965" s="33" t="s">
        <v>4045</v>
      </c>
      <c r="M6965" s="33" t="s">
        <v>21</v>
      </c>
      <c r="N6965" s="33" t="s">
        <v>13449</v>
      </c>
      <c r="O6965" s="33" t="s">
        <v>950</v>
      </c>
      <c r="P6965" s="33" t="s">
        <v>30089</v>
      </c>
      <c r="Q6965" s="40" t="s">
        <v>13450</v>
      </c>
      <c r="R6965" s="33" t="s">
        <v>23</v>
      </c>
      <c r="S6965" s="33" t="s">
        <v>22</v>
      </c>
      <c r="T6965" s="1" t="s">
        <v>26781</v>
      </c>
      <c r="Z6965" s="33" t="s">
        <v>42966</v>
      </c>
      <c r="AA6965" s="33">
        <v>700</v>
      </c>
    </row>
    <row r="6966" spans="1:27" ht="12" customHeight="1" x14ac:dyDescent="0.15">
      <c r="A6966" s="33" t="s">
        <v>13466</v>
      </c>
      <c r="B6966" s="33">
        <v>23</v>
      </c>
      <c r="C6966" s="33" t="s">
        <v>14</v>
      </c>
      <c r="D6966" s="33" t="s">
        <v>79</v>
      </c>
      <c r="F6966" s="67">
        <v>41497</v>
      </c>
      <c r="G6966" s="33" t="s">
        <v>13467</v>
      </c>
      <c r="H6966" s="33" t="s">
        <v>3846</v>
      </c>
      <c r="I6966" s="33" t="s">
        <v>40</v>
      </c>
      <c r="J6966" s="33" t="s">
        <v>13468</v>
      </c>
      <c r="K6966" s="33" t="s">
        <v>8092</v>
      </c>
      <c r="L6966" s="33" t="s">
        <v>14843</v>
      </c>
      <c r="M6966" s="33" t="s">
        <v>21</v>
      </c>
      <c r="N6966" s="33" t="s">
        <v>13469</v>
      </c>
      <c r="O6966" s="33" t="s">
        <v>950</v>
      </c>
      <c r="P6966" s="33" t="s">
        <v>30089</v>
      </c>
      <c r="Q6966" s="40" t="s">
        <v>13470</v>
      </c>
      <c r="R6966" s="33" t="s">
        <v>94</v>
      </c>
      <c r="S6966" s="33" t="s">
        <v>29</v>
      </c>
      <c r="T6966" s="1" t="s">
        <v>41840</v>
      </c>
      <c r="Z6966" s="33" t="s">
        <v>42966</v>
      </c>
      <c r="AA6966" s="33">
        <v>699</v>
      </c>
    </row>
    <row r="6967" spans="1:27" ht="12" customHeight="1" x14ac:dyDescent="0.15">
      <c r="A6967" s="33" t="s">
        <v>13459</v>
      </c>
      <c r="B6967" s="33">
        <v>44</v>
      </c>
      <c r="C6967" s="33" t="s">
        <v>14</v>
      </c>
      <c r="D6967" s="33" t="s">
        <v>79</v>
      </c>
      <c r="E6967" s="33" t="s">
        <v>13460</v>
      </c>
      <c r="F6967" s="67">
        <v>41497</v>
      </c>
      <c r="G6967" s="33" t="s">
        <v>13461</v>
      </c>
      <c r="H6967" s="33" t="s">
        <v>13462</v>
      </c>
      <c r="I6967" s="33" t="s">
        <v>38</v>
      </c>
      <c r="J6967" s="33" t="s">
        <v>13463</v>
      </c>
      <c r="K6967" s="33" t="s">
        <v>2634</v>
      </c>
      <c r="L6967" s="33" t="s">
        <v>9279</v>
      </c>
      <c r="M6967" s="33" t="s">
        <v>21</v>
      </c>
      <c r="N6967" s="33" t="s">
        <v>13464</v>
      </c>
      <c r="O6967" s="33" t="s">
        <v>507</v>
      </c>
      <c r="P6967" s="33" t="s">
        <v>30089</v>
      </c>
      <c r="Q6967" s="40" t="s">
        <v>13465</v>
      </c>
      <c r="R6967" s="33" t="s">
        <v>94</v>
      </c>
      <c r="S6967" s="33" t="s">
        <v>22</v>
      </c>
      <c r="T6967" s="1" t="s">
        <v>26781</v>
      </c>
      <c r="Z6967" s="33" t="s">
        <v>42967</v>
      </c>
      <c r="AA6967" s="33">
        <v>698</v>
      </c>
    </row>
    <row r="6968" spans="1:27" ht="12" customHeight="1" x14ac:dyDescent="0.15">
      <c r="A6968" s="33" t="s">
        <v>13471</v>
      </c>
      <c r="B6968" s="103">
        <v>40</v>
      </c>
      <c r="C6968" s="33" t="s">
        <v>14</v>
      </c>
      <c r="D6968" s="33" t="s">
        <v>31</v>
      </c>
      <c r="E6968" s="33" t="s">
        <v>13472</v>
      </c>
      <c r="F6968" s="67">
        <v>41496</v>
      </c>
      <c r="G6968" s="33" t="s">
        <v>13473</v>
      </c>
      <c r="H6968" s="33" t="s">
        <v>13474</v>
      </c>
      <c r="I6968" s="33" t="s">
        <v>735</v>
      </c>
      <c r="J6968" s="33" t="s">
        <v>13475</v>
      </c>
      <c r="K6968" s="33" t="s">
        <v>13476</v>
      </c>
      <c r="L6968" s="33" t="s">
        <v>13477</v>
      </c>
      <c r="M6968" s="33" t="s">
        <v>21</v>
      </c>
      <c r="N6968" s="33" t="s">
        <v>13478</v>
      </c>
      <c r="O6968" s="33" t="s">
        <v>23</v>
      </c>
      <c r="P6968" s="33" t="s">
        <v>30089</v>
      </c>
      <c r="Q6968" s="40" t="str">
        <f>HYPERLINK("http://www.huffingtonpost.com/2013/08/08/james-lee-dimaggio_n_3724734.html","http://www.huffingtonpost.com/2013/08/08/james-lee-dimaggio_n_3724734.html")</f>
        <v>http://www.huffingtonpost.com/2013/08/08/james-lee-dimaggio_n_3724734.html</v>
      </c>
      <c r="R6968" s="33" t="s">
        <v>94</v>
      </c>
      <c r="S6968" s="33" t="s">
        <v>22</v>
      </c>
      <c r="T6968" s="1" t="s">
        <v>26781</v>
      </c>
      <c r="Z6968" s="33" t="s">
        <v>42967</v>
      </c>
      <c r="AA6968" s="33">
        <v>696</v>
      </c>
    </row>
    <row r="6969" spans="1:27" ht="12" customHeight="1" x14ac:dyDescent="0.15">
      <c r="A6969" s="33" t="s">
        <v>13479</v>
      </c>
      <c r="B6969" s="33">
        <v>31</v>
      </c>
      <c r="C6969" s="33" t="s">
        <v>14</v>
      </c>
      <c r="D6969" s="33" t="s">
        <v>31</v>
      </c>
      <c r="E6969" s="33" t="s">
        <v>13480</v>
      </c>
      <c r="F6969" s="67">
        <v>41496</v>
      </c>
      <c r="G6969" s="33" t="s">
        <v>13481</v>
      </c>
      <c r="H6969" s="33" t="s">
        <v>3040</v>
      </c>
      <c r="I6969" s="33" t="s">
        <v>88</v>
      </c>
      <c r="J6969" s="33" t="s">
        <v>13482</v>
      </c>
      <c r="K6969" s="33" t="s">
        <v>2538</v>
      </c>
      <c r="L6969" s="33" t="s">
        <v>13483</v>
      </c>
      <c r="M6969" s="33" t="s">
        <v>21</v>
      </c>
      <c r="N6969" s="33" t="s">
        <v>13484</v>
      </c>
      <c r="O6969" s="33" t="s">
        <v>507</v>
      </c>
      <c r="P6969" s="33" t="s">
        <v>30089</v>
      </c>
      <c r="Q6969" s="40" t="s">
        <v>13485</v>
      </c>
      <c r="R6969" s="33" t="s">
        <v>94</v>
      </c>
      <c r="S6969" s="33" t="s">
        <v>22</v>
      </c>
      <c r="T6969" s="1" t="s">
        <v>26781</v>
      </c>
      <c r="Z6969" s="33" t="s">
        <v>42967</v>
      </c>
      <c r="AA6969" s="33">
        <v>697</v>
      </c>
    </row>
    <row r="6970" spans="1:27" ht="12" customHeight="1" x14ac:dyDescent="0.15">
      <c r="A6970" s="33" t="s">
        <v>13486</v>
      </c>
      <c r="B6970" s="33">
        <v>21</v>
      </c>
      <c r="C6970" s="33" t="s">
        <v>14</v>
      </c>
      <c r="D6970" s="33" t="s">
        <v>31</v>
      </c>
      <c r="E6970" s="33" t="s">
        <v>13487</v>
      </c>
      <c r="F6970" s="67">
        <v>41495</v>
      </c>
      <c r="G6970" s="33" t="s">
        <v>13488</v>
      </c>
      <c r="H6970" s="33" t="s">
        <v>197</v>
      </c>
      <c r="I6970" s="33" t="s">
        <v>198</v>
      </c>
      <c r="J6970" s="33" t="s">
        <v>10278</v>
      </c>
      <c r="K6970" s="33" t="s">
        <v>392</v>
      </c>
      <c r="L6970" s="33" t="s">
        <v>199</v>
      </c>
      <c r="M6970" s="33" t="s">
        <v>21</v>
      </c>
      <c r="N6970" s="33" t="s">
        <v>13489</v>
      </c>
      <c r="O6970" s="33" t="s">
        <v>950</v>
      </c>
      <c r="P6970" s="33" t="s">
        <v>30089</v>
      </c>
      <c r="Q6970" s="40" t="s">
        <v>13490</v>
      </c>
      <c r="R6970" s="33" t="s">
        <v>94</v>
      </c>
      <c r="S6970" s="33" t="s">
        <v>22</v>
      </c>
      <c r="T6970" s="1" t="s">
        <v>26781</v>
      </c>
      <c r="Z6970" s="33" t="s">
        <v>42966</v>
      </c>
      <c r="AA6970" s="33">
        <v>693</v>
      </c>
    </row>
    <row r="6971" spans="1:27" ht="12" customHeight="1" x14ac:dyDescent="0.15">
      <c r="A6971" s="33" t="s">
        <v>13491</v>
      </c>
      <c r="B6971" s="33">
        <v>31</v>
      </c>
      <c r="C6971" s="33" t="s">
        <v>14</v>
      </c>
      <c r="D6971" s="33" t="s">
        <v>31</v>
      </c>
      <c r="E6971" s="33" t="s">
        <v>13492</v>
      </c>
      <c r="F6971" s="67">
        <v>41495</v>
      </c>
      <c r="G6971" s="33" t="s">
        <v>13493</v>
      </c>
      <c r="H6971" s="33" t="s">
        <v>1935</v>
      </c>
      <c r="I6971" s="33" t="s">
        <v>225</v>
      </c>
      <c r="J6971" s="33" t="s">
        <v>13494</v>
      </c>
      <c r="K6971" s="33" t="s">
        <v>13495</v>
      </c>
      <c r="L6971" s="33" t="s">
        <v>13496</v>
      </c>
      <c r="M6971" s="33" t="s">
        <v>21</v>
      </c>
      <c r="N6971" s="33" t="s">
        <v>13497</v>
      </c>
      <c r="O6971" s="33" t="s">
        <v>950</v>
      </c>
      <c r="P6971" s="33" t="s">
        <v>30089</v>
      </c>
      <c r="Q6971" s="40" t="str">
        <f>HYPERLINK("http://hamptonroads.com/2013/08/man-killed-deputyinvolved-isle-wight-shooting","http://hamptonroads.com/2013/08/man-killed-deputyinvolved-isle-wight-shooting")</f>
        <v>http://hamptonroads.com/2013/08/man-killed-deputyinvolved-isle-wight-shooting</v>
      </c>
      <c r="R6971" s="33" t="s">
        <v>94</v>
      </c>
      <c r="S6971" s="33" t="s">
        <v>22</v>
      </c>
      <c r="T6971" s="1" t="s">
        <v>26774</v>
      </c>
      <c r="Z6971" s="33" t="s">
        <v>42968</v>
      </c>
      <c r="AA6971" s="33">
        <v>695</v>
      </c>
    </row>
    <row r="6972" spans="1:27" ht="12" customHeight="1" x14ac:dyDescent="0.15">
      <c r="A6972" s="33" t="s">
        <v>13498</v>
      </c>
      <c r="B6972" s="33">
        <v>62</v>
      </c>
      <c r="C6972" s="33" t="s">
        <v>14</v>
      </c>
      <c r="D6972" s="33" t="s">
        <v>31</v>
      </c>
      <c r="E6972" s="33" t="s">
        <v>13499</v>
      </c>
      <c r="F6972" s="67">
        <v>41495</v>
      </c>
      <c r="G6972" s="33" t="s">
        <v>13500</v>
      </c>
      <c r="H6972" s="33" t="s">
        <v>8948</v>
      </c>
      <c r="I6972" s="33" t="s">
        <v>56</v>
      </c>
      <c r="J6972" s="33" t="s">
        <v>13501</v>
      </c>
      <c r="K6972" s="33" t="s">
        <v>4016</v>
      </c>
      <c r="L6972" s="33" t="s">
        <v>4955</v>
      </c>
      <c r="M6972" s="33" t="s">
        <v>21</v>
      </c>
      <c r="N6972" s="33" t="s">
        <v>13502</v>
      </c>
      <c r="O6972" s="33" t="s">
        <v>507</v>
      </c>
      <c r="P6972" s="33" t="s">
        <v>30089</v>
      </c>
      <c r="Q6972" s="40" t="s">
        <v>13503</v>
      </c>
      <c r="R6972" s="33" t="s">
        <v>94</v>
      </c>
      <c r="S6972" s="33" t="s">
        <v>22</v>
      </c>
      <c r="T6972" s="1" t="s">
        <v>26781</v>
      </c>
      <c r="Z6972" s="33" t="s">
        <v>42968</v>
      </c>
      <c r="AA6972" s="33">
        <v>694</v>
      </c>
    </row>
    <row r="6973" spans="1:27" ht="12" customHeight="1" x14ac:dyDescent="0.15">
      <c r="A6973" s="33" t="s">
        <v>13504</v>
      </c>
      <c r="B6973" s="33">
        <v>23</v>
      </c>
      <c r="C6973" s="33" t="s">
        <v>14</v>
      </c>
      <c r="D6973" s="33" t="s">
        <v>79</v>
      </c>
      <c r="E6973" s="33" t="s">
        <v>13505</v>
      </c>
      <c r="F6973" s="67">
        <v>41494</v>
      </c>
      <c r="G6973" s="33" t="s">
        <v>13506</v>
      </c>
      <c r="H6973" s="33" t="s">
        <v>6927</v>
      </c>
      <c r="I6973" s="33" t="s">
        <v>198</v>
      </c>
      <c r="J6973" s="33" t="s">
        <v>13507</v>
      </c>
      <c r="K6973" s="33" t="s">
        <v>1179</v>
      </c>
      <c r="L6973" s="33" t="s">
        <v>10593</v>
      </c>
      <c r="M6973" s="33" t="s">
        <v>21</v>
      </c>
      <c r="N6973" s="33" t="s">
        <v>13508</v>
      </c>
      <c r="O6973" s="33" t="s">
        <v>27511</v>
      </c>
      <c r="P6973" s="33" t="s">
        <v>19028</v>
      </c>
      <c r="Q6973" s="40" t="s">
        <v>19080</v>
      </c>
      <c r="R6973" s="33" t="s">
        <v>94</v>
      </c>
      <c r="S6973" s="33" t="s">
        <v>12</v>
      </c>
      <c r="T6973" s="54" t="s">
        <v>29705</v>
      </c>
      <c r="Y6973" s="33" t="s">
        <v>42476</v>
      </c>
      <c r="Z6973" s="33" t="s">
        <v>42968</v>
      </c>
      <c r="AA6973" s="33">
        <v>690</v>
      </c>
    </row>
    <row r="6974" spans="1:27" ht="12" customHeight="1" x14ac:dyDescent="0.15">
      <c r="A6974" s="33" t="s">
        <v>13517</v>
      </c>
      <c r="B6974" s="33">
        <v>44</v>
      </c>
      <c r="C6974" s="33" t="s">
        <v>14</v>
      </c>
      <c r="D6974" s="33" t="s">
        <v>31</v>
      </c>
      <c r="E6974" s="33" t="s">
        <v>13518</v>
      </c>
      <c r="F6974" s="67">
        <v>41494</v>
      </c>
      <c r="G6974" s="33" t="s">
        <v>13519</v>
      </c>
      <c r="H6974" s="33" t="s">
        <v>401</v>
      </c>
      <c r="I6974" s="33" t="s">
        <v>402</v>
      </c>
      <c r="J6974" s="33">
        <v>64105</v>
      </c>
      <c r="K6974" s="33" t="s">
        <v>404</v>
      </c>
      <c r="L6974" s="33" t="s">
        <v>42466</v>
      </c>
      <c r="M6974" s="33" t="s">
        <v>21</v>
      </c>
      <c r="N6974" s="33" t="s">
        <v>13520</v>
      </c>
      <c r="O6974" s="33" t="s">
        <v>23</v>
      </c>
      <c r="P6974" s="33" t="s">
        <v>30089</v>
      </c>
      <c r="Q6974" s="40" t="s">
        <v>19081</v>
      </c>
      <c r="R6974" s="33" t="s">
        <v>94</v>
      </c>
      <c r="S6974" s="33" t="s">
        <v>12</v>
      </c>
      <c r="T6974" s="54" t="s">
        <v>29705</v>
      </c>
      <c r="Z6974" s="33" t="s">
        <v>42966</v>
      </c>
      <c r="AA6974" s="33">
        <v>691</v>
      </c>
    </row>
    <row r="6975" spans="1:27" ht="12" customHeight="1" x14ac:dyDescent="0.15">
      <c r="A6975" s="33" t="s">
        <v>13513</v>
      </c>
      <c r="B6975" s="33">
        <v>68</v>
      </c>
      <c r="C6975" s="33" t="s">
        <v>14</v>
      </c>
      <c r="D6975" s="33" t="s">
        <v>31</v>
      </c>
      <c r="F6975" s="67">
        <v>41494</v>
      </c>
      <c r="G6975" s="33" t="s">
        <v>13514</v>
      </c>
      <c r="H6975" s="33" t="s">
        <v>716</v>
      </c>
      <c r="I6975" s="33" t="s">
        <v>39</v>
      </c>
      <c r="J6975" s="33" t="s">
        <v>8518</v>
      </c>
      <c r="K6975" s="33" t="s">
        <v>561</v>
      </c>
      <c r="L6975" s="33" t="s">
        <v>717</v>
      </c>
      <c r="M6975" s="33" t="s">
        <v>21</v>
      </c>
      <c r="N6975" s="33" t="s">
        <v>13515</v>
      </c>
      <c r="O6975" s="33" t="s">
        <v>507</v>
      </c>
      <c r="P6975" s="33" t="s">
        <v>30089</v>
      </c>
      <c r="Q6975" s="40" t="s">
        <v>13516</v>
      </c>
      <c r="R6975" s="33" t="s">
        <v>94</v>
      </c>
      <c r="S6975" s="33" t="s">
        <v>22</v>
      </c>
      <c r="T6975" s="1" t="s">
        <v>26774</v>
      </c>
      <c r="Z6975" s="33" t="s">
        <v>42968</v>
      </c>
      <c r="AA6975" s="33">
        <v>689</v>
      </c>
    </row>
    <row r="6976" spans="1:27" ht="12" customHeight="1" x14ac:dyDescent="0.15">
      <c r="A6976" s="33" t="s">
        <v>13509</v>
      </c>
      <c r="B6976" s="33">
        <v>22</v>
      </c>
      <c r="C6976" s="33" t="s">
        <v>14</v>
      </c>
      <c r="D6976" s="33" t="s">
        <v>79</v>
      </c>
      <c r="E6976" s="33" t="s">
        <v>13510</v>
      </c>
      <c r="F6976" s="67">
        <v>41494</v>
      </c>
      <c r="G6976" s="33" t="s">
        <v>13511</v>
      </c>
      <c r="H6976" s="33" t="s">
        <v>197</v>
      </c>
      <c r="I6976" s="33" t="s">
        <v>198</v>
      </c>
      <c r="J6976" s="33" t="s">
        <v>1511</v>
      </c>
      <c r="K6976" s="33" t="s">
        <v>392</v>
      </c>
      <c r="L6976" s="33" t="s">
        <v>199</v>
      </c>
      <c r="M6976" s="33" t="s">
        <v>363</v>
      </c>
      <c r="N6976" s="33" t="s">
        <v>13512</v>
      </c>
      <c r="O6976" s="33" t="s">
        <v>950</v>
      </c>
      <c r="P6976" s="33" t="s">
        <v>30089</v>
      </c>
      <c r="Q6976" s="40" t="str">
        <f>HYPERLINK("http://www.theindychannel.com/news/local-news/impd-suspect-dies-while-being-arrested","http://www.theindychannel.com/news/local-news/impd-suspect-dies-while-being-arrested")</f>
        <v>http://www.theindychannel.com/news/local-news/impd-suspect-dies-while-being-arrested</v>
      </c>
      <c r="R6976" s="33" t="s">
        <v>94</v>
      </c>
      <c r="S6976" s="33" t="s">
        <v>12</v>
      </c>
      <c r="T6976" s="54" t="s">
        <v>29705</v>
      </c>
      <c r="Z6976" s="33" t="s">
        <v>42966</v>
      </c>
      <c r="AA6976" s="33">
        <v>692</v>
      </c>
    </row>
    <row r="6977" spans="1:64" ht="12" customHeight="1" x14ac:dyDescent="0.15">
      <c r="A6977" s="33" t="s">
        <v>13521</v>
      </c>
      <c r="B6977" s="33">
        <v>21</v>
      </c>
      <c r="C6977" s="33" t="s">
        <v>14</v>
      </c>
      <c r="D6977" s="33" t="s">
        <v>79</v>
      </c>
      <c r="F6977" s="67">
        <v>41493</v>
      </c>
      <c r="G6977" s="33" t="s">
        <v>13522</v>
      </c>
      <c r="H6977" s="33" t="s">
        <v>1586</v>
      </c>
      <c r="I6977" s="33" t="s">
        <v>40</v>
      </c>
      <c r="J6977" s="33" t="s">
        <v>11519</v>
      </c>
      <c r="K6977" s="33" t="s">
        <v>1588</v>
      </c>
      <c r="L6977" s="33" t="s">
        <v>2980</v>
      </c>
      <c r="M6977" s="33" t="s">
        <v>21</v>
      </c>
      <c r="N6977" s="33" t="s">
        <v>13523</v>
      </c>
      <c r="O6977" s="33" t="s">
        <v>23</v>
      </c>
      <c r="P6977" s="33" t="s">
        <v>30089</v>
      </c>
      <c r="Q6977" s="40" t="s">
        <v>13524</v>
      </c>
      <c r="R6977" s="33" t="s">
        <v>94</v>
      </c>
      <c r="S6977" s="33" t="s">
        <v>22</v>
      </c>
      <c r="T6977" s="33" t="s">
        <v>26781</v>
      </c>
      <c r="U6977" s="33" t="s">
        <v>26572</v>
      </c>
      <c r="V6977" s="33" t="s">
        <v>26573</v>
      </c>
      <c r="Z6977" s="33" t="s">
        <v>42966</v>
      </c>
      <c r="AA6977" s="33">
        <v>688</v>
      </c>
    </row>
    <row r="6978" spans="1:64" ht="12" customHeight="1" x14ac:dyDescent="0.15">
      <c r="A6978" s="33" t="s">
        <v>13525</v>
      </c>
      <c r="B6978" s="33">
        <v>46</v>
      </c>
      <c r="C6978" s="33" t="s">
        <v>14</v>
      </c>
      <c r="D6978" s="33" t="s">
        <v>31</v>
      </c>
      <c r="E6978" s="33" t="s">
        <v>13526</v>
      </c>
      <c r="F6978" s="67">
        <v>41493</v>
      </c>
      <c r="G6978" s="33" t="s">
        <v>13527</v>
      </c>
      <c r="H6978" s="33" t="s">
        <v>7595</v>
      </c>
      <c r="I6978" s="33" t="s">
        <v>67</v>
      </c>
      <c r="J6978" s="33" t="s">
        <v>13528</v>
      </c>
      <c r="K6978" s="33" t="s">
        <v>13529</v>
      </c>
      <c r="L6978" s="33" t="s">
        <v>9351</v>
      </c>
      <c r="M6978" s="33" t="s">
        <v>21</v>
      </c>
      <c r="N6978" s="33" t="s">
        <v>13530</v>
      </c>
      <c r="O6978" s="33" t="s">
        <v>950</v>
      </c>
      <c r="P6978" s="33" t="s">
        <v>30089</v>
      </c>
      <c r="Q6978" s="40" t="s">
        <v>13531</v>
      </c>
      <c r="R6978" s="33" t="s">
        <v>94</v>
      </c>
      <c r="S6978" s="33" t="s">
        <v>22</v>
      </c>
      <c r="T6978" s="1" t="s">
        <v>26781</v>
      </c>
      <c r="Z6978" s="33" t="s">
        <v>42967</v>
      </c>
      <c r="AA6978" s="33">
        <v>687</v>
      </c>
    </row>
    <row r="6979" spans="1:64" ht="12" customHeight="1" x14ac:dyDescent="0.15">
      <c r="A6979" s="33" t="s">
        <v>13535</v>
      </c>
      <c r="B6979" s="33">
        <v>18</v>
      </c>
      <c r="C6979" s="33" t="s">
        <v>14</v>
      </c>
      <c r="D6979" s="33" t="s">
        <v>42</v>
      </c>
      <c r="E6979" s="33" t="s">
        <v>13536</v>
      </c>
      <c r="F6979" s="67">
        <v>41492</v>
      </c>
      <c r="G6979" s="33" t="s">
        <v>13537</v>
      </c>
      <c r="H6979" s="33" t="s">
        <v>1418</v>
      </c>
      <c r="I6979" s="33" t="s">
        <v>56</v>
      </c>
      <c r="J6979" s="33" t="s">
        <v>13538</v>
      </c>
      <c r="K6979" s="33" t="s">
        <v>148</v>
      </c>
      <c r="L6979" s="33" t="s">
        <v>149</v>
      </c>
      <c r="M6979" s="33" t="s">
        <v>363</v>
      </c>
      <c r="N6979" s="33" t="s">
        <v>13539</v>
      </c>
      <c r="O6979" s="33" t="s">
        <v>507</v>
      </c>
      <c r="P6979" s="33" t="s">
        <v>30089</v>
      </c>
      <c r="Q6979" s="40" t="s">
        <v>13540</v>
      </c>
      <c r="R6979" s="33" t="s">
        <v>94</v>
      </c>
      <c r="S6979" s="33" t="s">
        <v>12</v>
      </c>
      <c r="T6979" s="54" t="s">
        <v>29705</v>
      </c>
      <c r="Z6979" s="33" t="s">
        <v>42966</v>
      </c>
      <c r="AA6979" s="33">
        <v>686</v>
      </c>
    </row>
    <row r="6980" spans="1:64" ht="12" customHeight="1" x14ac:dyDescent="0.15">
      <c r="A6980" s="33" t="s">
        <v>13532</v>
      </c>
      <c r="B6980" s="33">
        <v>61</v>
      </c>
      <c r="C6980" s="33" t="s">
        <v>14</v>
      </c>
      <c r="D6980" s="33" t="s">
        <v>42</v>
      </c>
      <c r="F6980" s="67">
        <v>41492</v>
      </c>
      <c r="G6980" s="33" t="s">
        <v>22227</v>
      </c>
      <c r="H6980" s="33" t="s">
        <v>8434</v>
      </c>
      <c r="I6980" s="33" t="s">
        <v>178</v>
      </c>
      <c r="J6980" s="33">
        <v>88220</v>
      </c>
      <c r="K6980" s="33" t="s">
        <v>8436</v>
      </c>
      <c r="L6980" s="33" t="s">
        <v>8437</v>
      </c>
      <c r="M6980" s="33" t="s">
        <v>21</v>
      </c>
      <c r="N6980" s="33" t="s">
        <v>13533</v>
      </c>
      <c r="O6980" s="33" t="s">
        <v>507</v>
      </c>
      <c r="P6980" s="33" t="s">
        <v>30089</v>
      </c>
      <c r="Q6980" s="40" t="s">
        <v>13534</v>
      </c>
      <c r="R6980" s="33" t="s">
        <v>94</v>
      </c>
      <c r="S6980" s="33" t="s">
        <v>22</v>
      </c>
      <c r="T6980" s="1" t="s">
        <v>26781</v>
      </c>
      <c r="Z6980" s="33" t="s">
        <v>42968</v>
      </c>
      <c r="AA6980" s="33">
        <v>685</v>
      </c>
    </row>
    <row r="6981" spans="1:64" ht="12" customHeight="1" x14ac:dyDescent="0.15">
      <c r="A6981" s="33" t="s">
        <v>3002</v>
      </c>
      <c r="B6981" s="33" t="s">
        <v>23</v>
      </c>
      <c r="C6981" s="33" t="s">
        <v>14</v>
      </c>
      <c r="D6981" s="33" t="s">
        <v>42</v>
      </c>
      <c r="F6981" s="67">
        <v>41491</v>
      </c>
      <c r="G6981" s="33" t="s">
        <v>13541</v>
      </c>
      <c r="H6981" s="33" t="s">
        <v>674</v>
      </c>
      <c r="I6981" s="33" t="s">
        <v>67</v>
      </c>
      <c r="J6981" s="33" t="s">
        <v>6240</v>
      </c>
      <c r="K6981" s="33" t="s">
        <v>515</v>
      </c>
      <c r="L6981" s="33" t="s">
        <v>675</v>
      </c>
      <c r="M6981" s="33" t="s">
        <v>21</v>
      </c>
      <c r="N6981" s="33" t="s">
        <v>13542</v>
      </c>
      <c r="O6981" s="33" t="s">
        <v>950</v>
      </c>
      <c r="P6981" s="33" t="s">
        <v>30089</v>
      </c>
      <c r="Q6981" s="40" t="s">
        <v>13543</v>
      </c>
      <c r="R6981" s="33" t="s">
        <v>94</v>
      </c>
      <c r="S6981" s="33" t="s">
        <v>22</v>
      </c>
      <c r="T6981" s="1" t="s">
        <v>26781</v>
      </c>
      <c r="Z6981" s="33" t="s">
        <v>42966</v>
      </c>
      <c r="AA6981" s="33">
        <v>682</v>
      </c>
    </row>
    <row r="6982" spans="1:64" ht="12" customHeight="1" x14ac:dyDescent="0.15">
      <c r="A6982" s="33" t="s">
        <v>13544</v>
      </c>
      <c r="B6982" s="33">
        <v>35</v>
      </c>
      <c r="C6982" s="33" t="s">
        <v>14</v>
      </c>
      <c r="D6982" s="33" t="s">
        <v>24</v>
      </c>
      <c r="F6982" s="67">
        <v>41491</v>
      </c>
      <c r="G6982" s="33" t="s">
        <v>13545</v>
      </c>
      <c r="H6982" s="33" t="s">
        <v>584</v>
      </c>
      <c r="I6982" s="33" t="s">
        <v>112</v>
      </c>
      <c r="J6982" s="33" t="s">
        <v>13546</v>
      </c>
      <c r="K6982" s="33" t="s">
        <v>585</v>
      </c>
      <c r="L6982" s="33" t="s">
        <v>586</v>
      </c>
      <c r="M6982" s="33" t="s">
        <v>21</v>
      </c>
      <c r="N6982" s="33" t="s">
        <v>13547</v>
      </c>
      <c r="O6982" s="33" t="s">
        <v>950</v>
      </c>
      <c r="P6982" s="33" t="s">
        <v>30089</v>
      </c>
      <c r="Q6982" s="40" t="s">
        <v>13548</v>
      </c>
      <c r="R6982" s="33" t="s">
        <v>904</v>
      </c>
      <c r="S6982" s="33" t="s">
        <v>22</v>
      </c>
      <c r="T6982" s="1" t="s">
        <v>26593</v>
      </c>
      <c r="Z6982" s="33" t="s">
        <v>42966</v>
      </c>
      <c r="AA6982" s="33">
        <v>684</v>
      </c>
    </row>
    <row r="6983" spans="1:64" ht="12" customHeight="1" x14ac:dyDescent="0.15">
      <c r="A6983" s="63" t="s">
        <v>42526</v>
      </c>
      <c r="B6983" s="99">
        <v>28</v>
      </c>
      <c r="C6983" s="10" t="s">
        <v>14</v>
      </c>
      <c r="D6983" s="10" t="s">
        <v>42</v>
      </c>
      <c r="E6983" s="62" t="s">
        <v>42527</v>
      </c>
      <c r="F6983" s="67">
        <v>41491</v>
      </c>
      <c r="G6983" s="10" t="s">
        <v>42528</v>
      </c>
      <c r="H6983" s="10" t="s">
        <v>674</v>
      </c>
      <c r="I6983" s="10" t="s">
        <v>67</v>
      </c>
      <c r="J6983" s="65">
        <v>77036</v>
      </c>
      <c r="K6983" s="10" t="s">
        <v>515</v>
      </c>
      <c r="L6983" s="10" t="s">
        <v>675</v>
      </c>
      <c r="M6983" s="10" t="s">
        <v>21</v>
      </c>
      <c r="N6983" s="10" t="s">
        <v>42529</v>
      </c>
      <c r="O6983" s="10" t="s">
        <v>42518</v>
      </c>
      <c r="P6983" s="10" t="s">
        <v>30089</v>
      </c>
      <c r="Q6983" s="62" t="s">
        <v>42530</v>
      </c>
      <c r="R6983" s="10" t="s">
        <v>94</v>
      </c>
      <c r="S6983" s="10" t="s">
        <v>22</v>
      </c>
      <c r="T6983" s="10" t="s">
        <v>26781</v>
      </c>
      <c r="U6983" s="10"/>
      <c r="V6983" s="10"/>
      <c r="W6983" s="10"/>
      <c r="X6983" s="89"/>
      <c r="Y6983" s="68"/>
      <c r="Z6983" s="68" t="s">
        <v>42966</v>
      </c>
      <c r="AA6983" s="33">
        <v>683</v>
      </c>
      <c r="AG6983" s="68"/>
      <c r="AK6983" s="68"/>
      <c r="AL6983" s="68"/>
      <c r="AM6983" s="68"/>
      <c r="AN6983" s="68"/>
      <c r="AO6983" s="68"/>
      <c r="AP6983" s="68"/>
      <c r="AQ6983" s="68"/>
      <c r="AR6983" s="68"/>
      <c r="AS6983" s="68"/>
      <c r="AT6983" s="68"/>
      <c r="AU6983" s="68"/>
      <c r="AV6983" s="68"/>
      <c r="AW6983" s="68"/>
      <c r="AX6983" s="68"/>
      <c r="AY6983" s="68"/>
      <c r="AZ6983" s="68"/>
      <c r="BA6983" s="68"/>
      <c r="BB6983" s="68"/>
      <c r="BC6983" s="68"/>
      <c r="BD6983" s="68"/>
      <c r="BE6983" s="68"/>
      <c r="BF6983" s="68"/>
      <c r="BG6983" s="68"/>
      <c r="BH6983" s="68"/>
      <c r="BI6983" s="68"/>
      <c r="BJ6983" s="68"/>
      <c r="BK6983" s="68"/>
      <c r="BL6983" s="68"/>
    </row>
    <row r="6984" spans="1:64" ht="12" customHeight="1" x14ac:dyDescent="0.15">
      <c r="A6984" s="33" t="s">
        <v>13560</v>
      </c>
      <c r="B6984" s="103">
        <v>49</v>
      </c>
      <c r="C6984" s="33" t="s">
        <v>14</v>
      </c>
      <c r="D6984" s="33" t="s">
        <v>31</v>
      </c>
      <c r="F6984" s="67">
        <v>41490</v>
      </c>
      <c r="G6984" s="33" t="s">
        <v>13561</v>
      </c>
      <c r="H6984" s="33" t="s">
        <v>1337</v>
      </c>
      <c r="I6984" s="33" t="s">
        <v>112</v>
      </c>
      <c r="J6984" s="33" t="s">
        <v>13562</v>
      </c>
      <c r="K6984" s="33" t="s">
        <v>585</v>
      </c>
      <c r="L6984" s="33" t="s">
        <v>1338</v>
      </c>
      <c r="M6984" s="33" t="s">
        <v>21</v>
      </c>
      <c r="N6984" s="33" t="s">
        <v>13563</v>
      </c>
      <c r="O6984" s="33" t="s">
        <v>23</v>
      </c>
      <c r="P6984" s="33" t="s">
        <v>30089</v>
      </c>
      <c r="Q6984" s="40" t="s">
        <v>13564</v>
      </c>
      <c r="R6984" s="33" t="s">
        <v>94</v>
      </c>
      <c r="S6984" s="33" t="s">
        <v>22</v>
      </c>
      <c r="T6984" s="1" t="s">
        <v>42989</v>
      </c>
      <c r="Z6984" s="33" t="s">
        <v>42968</v>
      </c>
      <c r="AA6984" s="33">
        <v>681</v>
      </c>
    </row>
    <row r="6985" spans="1:64" ht="12" customHeight="1" x14ac:dyDescent="0.15">
      <c r="A6985" s="33" t="s">
        <v>13554</v>
      </c>
      <c r="B6985" s="33">
        <v>54</v>
      </c>
      <c r="C6985" s="33" t="s">
        <v>14</v>
      </c>
      <c r="D6985" s="33" t="s">
        <v>42</v>
      </c>
      <c r="F6985" s="67">
        <v>41490</v>
      </c>
      <c r="G6985" s="33" t="s">
        <v>13555</v>
      </c>
      <c r="H6985" s="33" t="s">
        <v>13556</v>
      </c>
      <c r="I6985" s="33" t="s">
        <v>178</v>
      </c>
      <c r="J6985" s="33" t="s">
        <v>13557</v>
      </c>
      <c r="K6985" s="33" t="s">
        <v>433</v>
      </c>
      <c r="L6985" s="33" t="s">
        <v>7415</v>
      </c>
      <c r="M6985" s="33" t="s">
        <v>21</v>
      </c>
      <c r="N6985" s="33" t="s">
        <v>13558</v>
      </c>
      <c r="O6985" s="33" t="s">
        <v>950</v>
      </c>
      <c r="P6985" s="33" t="s">
        <v>30089</v>
      </c>
      <c r="Q6985" s="40" t="s">
        <v>13559</v>
      </c>
      <c r="R6985" s="33" t="s">
        <v>23</v>
      </c>
      <c r="S6985" s="33" t="s">
        <v>22</v>
      </c>
      <c r="T6985" s="1" t="s">
        <v>26781</v>
      </c>
      <c r="Z6985" s="33" t="s">
        <v>42967</v>
      </c>
      <c r="AA6985" s="33">
        <v>680</v>
      </c>
    </row>
    <row r="6986" spans="1:64" ht="12" customHeight="1" x14ac:dyDescent="0.15">
      <c r="A6986" s="33" t="s">
        <v>13549</v>
      </c>
      <c r="B6986" s="33">
        <v>14</v>
      </c>
      <c r="C6986" s="33" t="s">
        <v>14</v>
      </c>
      <c r="D6986" s="33" t="s">
        <v>79</v>
      </c>
      <c r="E6986" s="33" t="s">
        <v>13550</v>
      </c>
      <c r="F6986" s="67">
        <v>41490</v>
      </c>
      <c r="G6986" s="33" t="s">
        <v>13551</v>
      </c>
      <c r="H6986" s="33" t="s">
        <v>1716</v>
      </c>
      <c r="I6986" s="33" t="s">
        <v>395</v>
      </c>
      <c r="J6986" s="33" t="s">
        <v>13552</v>
      </c>
      <c r="K6986" s="33" t="s">
        <v>538</v>
      </c>
      <c r="L6986" s="33" t="s">
        <v>539</v>
      </c>
      <c r="M6986" s="33" t="s">
        <v>21</v>
      </c>
      <c r="N6986" s="33" t="s">
        <v>13553</v>
      </c>
      <c r="O6986" s="33" t="s">
        <v>507</v>
      </c>
      <c r="P6986" s="33" t="s">
        <v>30089</v>
      </c>
      <c r="Q6986" s="40" t="str">
        <f>HYPERLINK("http://www.huffingtonpost.com/2013/08/05/shaaliver-douse-shooting_n_3705623.html","http://www.huffingtonpost.com/2013/08/05/shaaliver-douse-shooting_n_3705623.html")</f>
        <v>http://www.huffingtonpost.com/2013/08/05/shaaliver-douse-shooting_n_3705623.html</v>
      </c>
      <c r="R6986" s="33" t="s">
        <v>94</v>
      </c>
      <c r="S6986" s="33" t="s">
        <v>22</v>
      </c>
      <c r="T6986" s="1" t="s">
        <v>26781</v>
      </c>
      <c r="Z6986" s="33" t="s">
        <v>42966</v>
      </c>
      <c r="AA6986" s="33">
        <v>679</v>
      </c>
    </row>
    <row r="6987" spans="1:64" ht="12" customHeight="1" x14ac:dyDescent="0.15">
      <c r="A6987" s="33" t="s">
        <v>13565</v>
      </c>
      <c r="B6987" s="33">
        <v>26</v>
      </c>
      <c r="C6987" s="33" t="s">
        <v>14</v>
      </c>
      <c r="D6987" s="33" t="s">
        <v>42</v>
      </c>
      <c r="F6987" s="67">
        <v>41489</v>
      </c>
      <c r="G6987" s="33" t="s">
        <v>13566</v>
      </c>
      <c r="H6987" s="33" t="s">
        <v>5942</v>
      </c>
      <c r="I6987" s="33" t="s">
        <v>39</v>
      </c>
      <c r="J6987" s="33" t="s">
        <v>13567</v>
      </c>
      <c r="K6987" s="33" t="s">
        <v>998</v>
      </c>
      <c r="L6987" s="33" t="s">
        <v>5944</v>
      </c>
      <c r="M6987" s="33" t="s">
        <v>21</v>
      </c>
      <c r="N6987" s="33" t="s">
        <v>13568</v>
      </c>
      <c r="O6987" s="33" t="s">
        <v>23</v>
      </c>
      <c r="P6987" s="33" t="s">
        <v>30089</v>
      </c>
      <c r="Q6987" s="40" t="s">
        <v>13569</v>
      </c>
      <c r="R6987" s="33" t="s">
        <v>94</v>
      </c>
      <c r="S6987" s="33" t="s">
        <v>22</v>
      </c>
      <c r="T6987" s="1" t="s">
        <v>26781</v>
      </c>
      <c r="Z6987" s="33" t="s">
        <v>42966</v>
      </c>
      <c r="AA6987" s="33">
        <v>677</v>
      </c>
    </row>
    <row r="6988" spans="1:64" ht="12" customHeight="1" x14ac:dyDescent="0.15">
      <c r="A6988" s="33" t="s">
        <v>13570</v>
      </c>
      <c r="B6988" s="33">
        <v>41</v>
      </c>
      <c r="C6988" s="33" t="s">
        <v>14</v>
      </c>
      <c r="D6988" s="33" t="s">
        <v>31</v>
      </c>
      <c r="E6988" s="33" t="s">
        <v>13571</v>
      </c>
      <c r="F6988" s="67">
        <v>41489</v>
      </c>
      <c r="G6988" s="33" t="s">
        <v>13572</v>
      </c>
      <c r="H6988" s="33" t="s">
        <v>518</v>
      </c>
      <c r="I6988" s="33" t="s">
        <v>112</v>
      </c>
      <c r="J6988" s="33" t="s">
        <v>5802</v>
      </c>
      <c r="K6988" s="33" t="s">
        <v>519</v>
      </c>
      <c r="L6988" s="33" t="s">
        <v>11583</v>
      </c>
      <c r="M6988" s="33" t="s">
        <v>21</v>
      </c>
      <c r="N6988" s="33" t="s">
        <v>13573</v>
      </c>
      <c r="O6988" s="33" t="s">
        <v>950</v>
      </c>
      <c r="P6988" s="33" t="s">
        <v>30089</v>
      </c>
      <c r="Q6988" s="40" t="s">
        <v>13574</v>
      </c>
      <c r="R6988" s="33" t="s">
        <v>94</v>
      </c>
      <c r="S6988" s="33" t="s">
        <v>22</v>
      </c>
      <c r="T6988" s="1" t="s">
        <v>26781</v>
      </c>
      <c r="Z6988" s="33" t="s">
        <v>42968</v>
      </c>
      <c r="AA6988" s="33">
        <v>678</v>
      </c>
    </row>
    <row r="6989" spans="1:64" ht="12" customHeight="1" x14ac:dyDescent="0.15">
      <c r="A6989" s="33" t="s">
        <v>13575</v>
      </c>
      <c r="B6989" s="103">
        <v>32</v>
      </c>
      <c r="C6989" s="33" t="s">
        <v>14</v>
      </c>
      <c r="D6989" s="33" t="s">
        <v>31</v>
      </c>
      <c r="E6989" s="33" t="s">
        <v>13576</v>
      </c>
      <c r="F6989" s="67">
        <v>41488</v>
      </c>
      <c r="G6989" s="33" t="s">
        <v>13577</v>
      </c>
      <c r="H6989" s="33" t="s">
        <v>1027</v>
      </c>
      <c r="I6989" s="33" t="s">
        <v>367</v>
      </c>
      <c r="J6989" s="33" t="s">
        <v>13578</v>
      </c>
      <c r="K6989" s="33" t="s">
        <v>13579</v>
      </c>
      <c r="L6989" s="33" t="s">
        <v>13580</v>
      </c>
      <c r="M6989" s="33" t="s">
        <v>21</v>
      </c>
      <c r="N6989" s="33" t="s">
        <v>13581</v>
      </c>
      <c r="O6989" s="33" t="s">
        <v>23</v>
      </c>
      <c r="P6989" s="33" t="s">
        <v>30089</v>
      </c>
      <c r="Q6989" s="40" t="str">
        <f>HYPERLINK("http://kfor.com/2013/08/02/warr-acres-police-involved-in-chase-shooting-reported/","http://kfor.com/2013/08/02/warr-acres-police-involved-in-chase-shooting-reported/")</f>
        <v>http://kfor.com/2013/08/02/warr-acres-police-involved-in-chase-shooting-reported/</v>
      </c>
      <c r="R6989" s="33" t="s">
        <v>94</v>
      </c>
      <c r="S6989" s="33" t="s">
        <v>29</v>
      </c>
      <c r="T6989" s="33" t="s">
        <v>41840</v>
      </c>
      <c r="Z6989" s="33" t="s">
        <v>42968</v>
      </c>
      <c r="AA6989" s="33">
        <v>676</v>
      </c>
    </row>
    <row r="6990" spans="1:64" ht="12" customHeight="1" x14ac:dyDescent="0.15">
      <c r="A6990" s="33" t="s">
        <v>13588</v>
      </c>
      <c r="B6990" s="33">
        <v>19</v>
      </c>
      <c r="C6990" s="33" t="s">
        <v>14</v>
      </c>
      <c r="D6990" s="33" t="s">
        <v>42</v>
      </c>
      <c r="E6990" s="33" t="s">
        <v>13589</v>
      </c>
      <c r="F6990" s="67">
        <v>41486</v>
      </c>
      <c r="G6990" s="33" t="s">
        <v>13590</v>
      </c>
      <c r="H6990" s="33" t="s">
        <v>9688</v>
      </c>
      <c r="I6990" s="33" t="s">
        <v>67</v>
      </c>
      <c r="J6990" s="33" t="s">
        <v>13591</v>
      </c>
      <c r="K6990" s="33" t="s">
        <v>995</v>
      </c>
      <c r="L6990" s="33" t="s">
        <v>13592</v>
      </c>
      <c r="M6990" s="33" t="s">
        <v>21</v>
      </c>
      <c r="N6990" s="33" t="s">
        <v>13593</v>
      </c>
      <c r="O6990" s="33" t="s">
        <v>27512</v>
      </c>
      <c r="P6990" s="33" t="s">
        <v>19027</v>
      </c>
      <c r="Q6990" s="40" t="s">
        <v>13594</v>
      </c>
      <c r="R6990" s="33" t="s">
        <v>94</v>
      </c>
      <c r="S6990" s="33" t="s">
        <v>12</v>
      </c>
      <c r="T6990" s="54" t="s">
        <v>29705</v>
      </c>
      <c r="Y6990" s="33" t="s">
        <v>42476</v>
      </c>
      <c r="Z6990" s="33" t="s">
        <v>42966</v>
      </c>
      <c r="AA6990" s="33">
        <v>675</v>
      </c>
    </row>
    <row r="6991" spans="1:64" ht="12" customHeight="1" x14ac:dyDescent="0.15">
      <c r="A6991" s="33" t="s">
        <v>13582</v>
      </c>
      <c r="B6991" s="33">
        <v>33</v>
      </c>
      <c r="C6991" s="33" t="s">
        <v>14</v>
      </c>
      <c r="D6991" s="33" t="s">
        <v>79</v>
      </c>
      <c r="E6991" s="33" t="s">
        <v>13583</v>
      </c>
      <c r="F6991" s="67">
        <v>41486</v>
      </c>
      <c r="G6991" s="33" t="s">
        <v>13584</v>
      </c>
      <c r="H6991" s="33" t="s">
        <v>2046</v>
      </c>
      <c r="I6991" s="33" t="s">
        <v>56</v>
      </c>
      <c r="J6991" s="33" t="s">
        <v>13585</v>
      </c>
      <c r="K6991" s="33" t="s">
        <v>1052</v>
      </c>
      <c r="L6991" s="33" t="s">
        <v>4045</v>
      </c>
      <c r="M6991" s="33" t="s">
        <v>21</v>
      </c>
      <c r="N6991" s="33" t="s">
        <v>13586</v>
      </c>
      <c r="O6991" s="33" t="s">
        <v>27780</v>
      </c>
      <c r="P6991" s="33" t="s">
        <v>26762</v>
      </c>
      <c r="Q6991" s="40" t="s">
        <v>13587</v>
      </c>
      <c r="R6991" s="33" t="s">
        <v>94</v>
      </c>
      <c r="S6991" s="33" t="s">
        <v>12</v>
      </c>
      <c r="T6991" s="33" t="s">
        <v>29425</v>
      </c>
      <c r="Z6991" s="33" t="s">
        <v>42966</v>
      </c>
      <c r="AA6991" s="33">
        <v>674</v>
      </c>
    </row>
    <row r="6992" spans="1:64" ht="12" customHeight="1" x14ac:dyDescent="0.15">
      <c r="A6992" s="33" t="s">
        <v>13595</v>
      </c>
      <c r="B6992" s="33">
        <v>42</v>
      </c>
      <c r="C6992" s="33" t="s">
        <v>14</v>
      </c>
      <c r="D6992" s="33" t="s">
        <v>31</v>
      </c>
      <c r="E6992" s="33" t="s">
        <v>13596</v>
      </c>
      <c r="F6992" s="67">
        <v>41486</v>
      </c>
      <c r="G6992" s="33" t="s">
        <v>13597</v>
      </c>
      <c r="H6992" s="33" t="s">
        <v>13598</v>
      </c>
      <c r="I6992" s="33" t="s">
        <v>63</v>
      </c>
      <c r="J6992" s="33" t="s">
        <v>13599</v>
      </c>
      <c r="K6992" s="33" t="s">
        <v>4549</v>
      </c>
      <c r="L6992" s="33" t="s">
        <v>13600</v>
      </c>
      <c r="M6992" s="33" t="s">
        <v>21</v>
      </c>
      <c r="N6992" s="33" t="s">
        <v>36868</v>
      </c>
      <c r="O6992" s="33" t="s">
        <v>507</v>
      </c>
      <c r="P6992" s="33" t="s">
        <v>30089</v>
      </c>
      <c r="Q6992" s="40" t="s">
        <v>13601</v>
      </c>
      <c r="R6992" s="33" t="s">
        <v>23</v>
      </c>
      <c r="S6992" s="33" t="s">
        <v>22</v>
      </c>
      <c r="T6992" s="1" t="s">
        <v>26781</v>
      </c>
      <c r="Z6992" s="33" t="s">
        <v>42967</v>
      </c>
      <c r="AA6992" s="33">
        <v>673</v>
      </c>
    </row>
    <row r="6993" spans="1:27" ht="12" customHeight="1" x14ac:dyDescent="0.15">
      <c r="A6993" s="33" t="s">
        <v>13618</v>
      </c>
      <c r="B6993" s="33">
        <v>29</v>
      </c>
      <c r="C6993" s="33" t="s">
        <v>14</v>
      </c>
      <c r="D6993" s="33" t="s">
        <v>31</v>
      </c>
      <c r="E6993" s="33" t="s">
        <v>13619</v>
      </c>
      <c r="F6993" s="67">
        <v>41485</v>
      </c>
      <c r="G6993" s="33" t="s">
        <v>22228</v>
      </c>
      <c r="H6993" s="33" t="s">
        <v>2325</v>
      </c>
      <c r="I6993" s="33" t="s">
        <v>918</v>
      </c>
      <c r="J6993" s="33" t="s">
        <v>13620</v>
      </c>
      <c r="K6993" s="33" t="s">
        <v>4686</v>
      </c>
      <c r="L6993" s="33" t="s">
        <v>13621</v>
      </c>
      <c r="M6993" s="33" t="s">
        <v>21</v>
      </c>
      <c r="N6993" s="33" t="s">
        <v>13622</v>
      </c>
      <c r="O6993" s="33" t="s">
        <v>4311</v>
      </c>
      <c r="P6993" s="33" t="s">
        <v>30089</v>
      </c>
      <c r="Q6993" s="40" t="s">
        <v>13623</v>
      </c>
      <c r="R6993" s="33" t="s">
        <v>94</v>
      </c>
      <c r="S6993" s="33" t="s">
        <v>22</v>
      </c>
      <c r="T6993" s="1" t="s">
        <v>26781</v>
      </c>
      <c r="Z6993" s="33" t="s">
        <v>42968</v>
      </c>
      <c r="AA6993" s="33">
        <v>669</v>
      </c>
    </row>
    <row r="6994" spans="1:27" ht="12" customHeight="1" x14ac:dyDescent="0.15">
      <c r="A6994" s="33" t="s">
        <v>13607</v>
      </c>
      <c r="B6994" s="33">
        <v>22</v>
      </c>
      <c r="C6994" s="33" t="s">
        <v>14</v>
      </c>
      <c r="D6994" s="33" t="s">
        <v>42</v>
      </c>
      <c r="E6994" s="33" t="s">
        <v>13608</v>
      </c>
      <c r="F6994" s="67">
        <v>41485</v>
      </c>
      <c r="G6994" s="33" t="s">
        <v>13609</v>
      </c>
      <c r="H6994" s="33" t="s">
        <v>3383</v>
      </c>
      <c r="I6994" s="33" t="s">
        <v>39</v>
      </c>
      <c r="J6994" s="33" t="s">
        <v>13610</v>
      </c>
      <c r="K6994" s="33" t="s">
        <v>998</v>
      </c>
      <c r="L6994" s="33" t="s">
        <v>3385</v>
      </c>
      <c r="M6994" s="33" t="s">
        <v>21</v>
      </c>
      <c r="N6994" s="33" t="s">
        <v>13611</v>
      </c>
      <c r="O6994" s="33" t="s">
        <v>507</v>
      </c>
      <c r="P6994" s="33" t="s">
        <v>30089</v>
      </c>
      <c r="Q6994" s="40" t="s">
        <v>13612</v>
      </c>
      <c r="R6994" s="33" t="s">
        <v>23</v>
      </c>
      <c r="S6994" s="33" t="s">
        <v>12</v>
      </c>
      <c r="T6994" s="54" t="s">
        <v>29705</v>
      </c>
      <c r="Z6994" s="33" t="s">
        <v>42966</v>
      </c>
      <c r="AA6994" s="33">
        <v>672</v>
      </c>
    </row>
    <row r="6995" spans="1:27" ht="12" customHeight="1" x14ac:dyDescent="0.15">
      <c r="A6995" s="33" t="s">
        <v>13624</v>
      </c>
      <c r="B6995" s="33">
        <v>21</v>
      </c>
      <c r="C6995" s="33" t="s">
        <v>14</v>
      </c>
      <c r="D6995" s="33" t="s">
        <v>31</v>
      </c>
      <c r="E6995" s="33" t="s">
        <v>13625</v>
      </c>
      <c r="F6995" s="67">
        <v>41485</v>
      </c>
      <c r="G6995" s="33" t="s">
        <v>13626</v>
      </c>
      <c r="H6995" s="33" t="s">
        <v>13627</v>
      </c>
      <c r="I6995" s="33" t="s">
        <v>282</v>
      </c>
      <c r="J6995" s="33" t="s">
        <v>13628</v>
      </c>
      <c r="K6995" s="33" t="s">
        <v>827</v>
      </c>
      <c r="L6995" s="33" t="s">
        <v>13629</v>
      </c>
      <c r="M6995" s="33" t="s">
        <v>21</v>
      </c>
      <c r="N6995" s="33" t="s">
        <v>36869</v>
      </c>
      <c r="O6995" s="33" t="s">
        <v>950</v>
      </c>
      <c r="P6995" s="33" t="s">
        <v>30089</v>
      </c>
      <c r="Q6995" s="40" t="s">
        <v>13630</v>
      </c>
      <c r="R6995" s="33" t="s">
        <v>512</v>
      </c>
      <c r="S6995" s="33" t="s">
        <v>22</v>
      </c>
      <c r="T6995" s="1" t="s">
        <v>26781</v>
      </c>
      <c r="Z6995" s="33" t="s">
        <v>42967</v>
      </c>
      <c r="AA6995" s="33">
        <v>668</v>
      </c>
    </row>
    <row r="6996" spans="1:27" ht="12" customHeight="1" x14ac:dyDescent="0.15">
      <c r="A6996" s="33" t="s">
        <v>13613</v>
      </c>
      <c r="B6996" s="33">
        <v>19</v>
      </c>
      <c r="C6996" s="33" t="s">
        <v>14</v>
      </c>
      <c r="D6996" s="33" t="s">
        <v>24</v>
      </c>
      <c r="F6996" s="67">
        <v>41485</v>
      </c>
      <c r="G6996" s="33" t="s">
        <v>13614</v>
      </c>
      <c r="H6996" s="33" t="s">
        <v>6010</v>
      </c>
      <c r="I6996" s="33" t="s">
        <v>112</v>
      </c>
      <c r="J6996" s="33" t="s">
        <v>13615</v>
      </c>
      <c r="K6996" s="33" t="s">
        <v>585</v>
      </c>
      <c r="L6996" s="33" t="s">
        <v>6012</v>
      </c>
      <c r="M6996" s="33" t="s">
        <v>21</v>
      </c>
      <c r="N6996" s="33" t="s">
        <v>13616</v>
      </c>
      <c r="O6996" s="33" t="s">
        <v>23</v>
      </c>
      <c r="P6996" s="33" t="s">
        <v>30089</v>
      </c>
      <c r="Q6996" s="40" t="s">
        <v>13617</v>
      </c>
      <c r="R6996" s="33" t="s">
        <v>94</v>
      </c>
      <c r="S6996" s="33" t="s">
        <v>22</v>
      </c>
      <c r="T6996" s="1" t="s">
        <v>42988</v>
      </c>
      <c r="Z6996" s="33" t="s">
        <v>42968</v>
      </c>
      <c r="AA6996" s="33">
        <v>670</v>
      </c>
    </row>
    <row r="6997" spans="1:27" ht="12" customHeight="1" x14ac:dyDescent="0.15">
      <c r="A6997" s="33" t="s">
        <v>13602</v>
      </c>
      <c r="B6997" s="33">
        <v>37</v>
      </c>
      <c r="C6997" s="33" t="s">
        <v>14</v>
      </c>
      <c r="D6997" s="33" t="s">
        <v>79</v>
      </c>
      <c r="E6997" s="33" t="s">
        <v>13603</v>
      </c>
      <c r="F6997" s="67">
        <v>41485</v>
      </c>
      <c r="G6997" s="33" t="s">
        <v>13604</v>
      </c>
      <c r="H6997" s="33" t="s">
        <v>979</v>
      </c>
      <c r="I6997" s="33" t="s">
        <v>19</v>
      </c>
      <c r="J6997" s="33" t="s">
        <v>13605</v>
      </c>
      <c r="K6997" s="33" t="s">
        <v>2393</v>
      </c>
      <c r="L6997" s="33" t="s">
        <v>377</v>
      </c>
      <c r="M6997" s="33" t="s">
        <v>21</v>
      </c>
      <c r="N6997" s="33" t="s">
        <v>13606</v>
      </c>
      <c r="O6997" s="33" t="s">
        <v>507</v>
      </c>
      <c r="P6997" s="33" t="s">
        <v>30089</v>
      </c>
      <c r="Q6997" s="40" t="str">
        <f>HYPERLINK("http://www.nola.com/crime/index.ssf/2014/04/report_doj_drops_probe_of_fbi-.html","http://www.nola.com/crime/index.ssf/2014/04/report_doj_drops_probe_of_fbi-.html")</f>
        <v>http://www.nola.com/crime/index.ssf/2014/04/report_doj_drops_probe_of_fbi-.html</v>
      </c>
      <c r="R6997" s="33" t="s">
        <v>94</v>
      </c>
      <c r="S6997" s="33" t="s">
        <v>12</v>
      </c>
      <c r="T6997" s="54" t="s">
        <v>29705</v>
      </c>
      <c r="Z6997" s="33" t="s">
        <v>42968</v>
      </c>
      <c r="AA6997" s="33">
        <v>671</v>
      </c>
    </row>
    <row r="6998" spans="1:27" ht="12" customHeight="1" x14ac:dyDescent="0.15">
      <c r="A6998" s="33" t="s">
        <v>3002</v>
      </c>
      <c r="C6998" s="33" t="s">
        <v>14</v>
      </c>
      <c r="D6998" s="33" t="s">
        <v>79</v>
      </c>
      <c r="F6998" s="67">
        <v>41484</v>
      </c>
      <c r="G6998" s="33" t="s">
        <v>13636</v>
      </c>
      <c r="H6998" s="33" t="s">
        <v>13637</v>
      </c>
      <c r="I6998" s="33" t="s">
        <v>88</v>
      </c>
      <c r="J6998" s="33" t="s">
        <v>13638</v>
      </c>
      <c r="K6998" s="33" t="s">
        <v>1415</v>
      </c>
      <c r="L6998" s="33" t="s">
        <v>13639</v>
      </c>
      <c r="M6998" s="33" t="s">
        <v>21</v>
      </c>
      <c r="N6998" s="33" t="s">
        <v>13640</v>
      </c>
      <c r="O6998" s="33" t="s">
        <v>950</v>
      </c>
      <c r="P6998" s="33" t="s">
        <v>30089</v>
      </c>
      <c r="Q6998" s="40" t="s">
        <v>13641</v>
      </c>
      <c r="R6998" s="33" t="s">
        <v>94</v>
      </c>
      <c r="S6998" s="33" t="s">
        <v>22</v>
      </c>
      <c r="T6998" s="1" t="s">
        <v>26781</v>
      </c>
      <c r="Z6998" s="33" t="s">
        <v>42967</v>
      </c>
      <c r="AA6998" s="33">
        <v>665</v>
      </c>
    </row>
    <row r="6999" spans="1:27" ht="12" customHeight="1" x14ac:dyDescent="0.15">
      <c r="A6999" s="33" t="s">
        <v>13642</v>
      </c>
      <c r="B6999" s="33">
        <v>38</v>
      </c>
      <c r="C6999" s="33" t="s">
        <v>14</v>
      </c>
      <c r="D6999" s="33" t="s">
        <v>24</v>
      </c>
      <c r="F6999" s="67">
        <v>41484</v>
      </c>
      <c r="G6999" s="33" t="s">
        <v>13643</v>
      </c>
      <c r="H6999" s="33" t="s">
        <v>801</v>
      </c>
      <c r="I6999" s="33" t="s">
        <v>67</v>
      </c>
      <c r="J6999" s="33" t="s">
        <v>13644</v>
      </c>
      <c r="K6999" s="33" t="s">
        <v>801</v>
      </c>
      <c r="L6999" s="33" t="s">
        <v>802</v>
      </c>
      <c r="M6999" s="33" t="s">
        <v>21</v>
      </c>
      <c r="N6999" s="33" t="s">
        <v>13645</v>
      </c>
      <c r="O6999" s="33" t="s">
        <v>950</v>
      </c>
      <c r="P6999" s="33" t="s">
        <v>30089</v>
      </c>
      <c r="Q6999" s="40" t="s">
        <v>13646</v>
      </c>
      <c r="R6999" s="33" t="s">
        <v>94</v>
      </c>
      <c r="S6999" s="33" t="s">
        <v>22</v>
      </c>
      <c r="T6999" s="1" t="s">
        <v>26774</v>
      </c>
      <c r="Z6999" s="33" t="s">
        <v>42966</v>
      </c>
      <c r="AA6999" s="33">
        <v>666</v>
      </c>
    </row>
    <row r="7000" spans="1:27" ht="12" customHeight="1" x14ac:dyDescent="0.15">
      <c r="A7000" s="33" t="s">
        <v>13651</v>
      </c>
      <c r="B7000" s="33">
        <v>40</v>
      </c>
      <c r="C7000" s="33" t="s">
        <v>103</v>
      </c>
      <c r="D7000" s="33" t="s">
        <v>31</v>
      </c>
      <c r="E7000" s="33" t="s">
        <v>13652</v>
      </c>
      <c r="F7000" s="67">
        <v>41484</v>
      </c>
      <c r="G7000" s="33" t="s">
        <v>13653</v>
      </c>
      <c r="H7000" s="33" t="s">
        <v>13654</v>
      </c>
      <c r="I7000" s="33" t="s">
        <v>56</v>
      </c>
      <c r="J7000" s="33" t="s">
        <v>13655</v>
      </c>
      <c r="K7000" s="33" t="s">
        <v>5086</v>
      </c>
      <c r="L7000" s="33" t="s">
        <v>7052</v>
      </c>
      <c r="M7000" s="33" t="s">
        <v>21</v>
      </c>
      <c r="N7000" s="33" t="s">
        <v>13656</v>
      </c>
      <c r="O7000" s="33" t="s">
        <v>950</v>
      </c>
      <c r="P7000" s="33" t="s">
        <v>30089</v>
      </c>
      <c r="Q7000" s="40" t="s">
        <v>13657</v>
      </c>
      <c r="R7000" s="33" t="s">
        <v>94</v>
      </c>
      <c r="S7000" s="33" t="s">
        <v>22</v>
      </c>
      <c r="T7000" s="1" t="s">
        <v>26781</v>
      </c>
      <c r="Z7000" s="33" t="s">
        <v>42968</v>
      </c>
      <c r="AA7000" s="33">
        <v>663</v>
      </c>
    </row>
    <row r="7001" spans="1:27" ht="12" customHeight="1" x14ac:dyDescent="0.15">
      <c r="A7001" s="33" t="s">
        <v>13647</v>
      </c>
      <c r="B7001" s="33">
        <v>56</v>
      </c>
      <c r="C7001" s="33" t="s">
        <v>14</v>
      </c>
      <c r="D7001" s="33" t="s">
        <v>24</v>
      </c>
      <c r="F7001" s="67">
        <v>41484</v>
      </c>
      <c r="G7001" s="33" t="s">
        <v>13648</v>
      </c>
      <c r="H7001" s="33" t="s">
        <v>2574</v>
      </c>
      <c r="I7001" s="33" t="s">
        <v>337</v>
      </c>
      <c r="J7001" s="33" t="s">
        <v>2575</v>
      </c>
      <c r="K7001" s="33" t="s">
        <v>2576</v>
      </c>
      <c r="L7001" s="33" t="s">
        <v>2577</v>
      </c>
      <c r="M7001" s="33" t="s">
        <v>21</v>
      </c>
      <c r="N7001" s="33" t="s">
        <v>13649</v>
      </c>
      <c r="O7001" s="33" t="s">
        <v>507</v>
      </c>
      <c r="P7001" s="33" t="s">
        <v>30089</v>
      </c>
      <c r="Q7001" s="40" t="s">
        <v>13650</v>
      </c>
      <c r="R7001" s="33" t="s">
        <v>23</v>
      </c>
      <c r="S7001" s="33" t="s">
        <v>22</v>
      </c>
      <c r="T7001" s="1" t="s">
        <v>26774</v>
      </c>
      <c r="Z7001" s="33" t="s">
        <v>42966</v>
      </c>
      <c r="AA7001" s="33">
        <v>667</v>
      </c>
    </row>
    <row r="7002" spans="1:27" ht="12" customHeight="1" x14ac:dyDescent="0.15">
      <c r="A7002" s="33" t="s">
        <v>13631</v>
      </c>
      <c r="B7002" s="33">
        <v>29</v>
      </c>
      <c r="C7002" s="33" t="s">
        <v>14</v>
      </c>
      <c r="D7002" s="33" t="s">
        <v>79</v>
      </c>
      <c r="E7002" s="33" t="s">
        <v>13632</v>
      </c>
      <c r="F7002" s="67">
        <v>41484</v>
      </c>
      <c r="H7002" s="33" t="s">
        <v>505</v>
      </c>
      <c r="I7002" s="33" t="s">
        <v>88</v>
      </c>
      <c r="J7002" s="33" t="s">
        <v>13633</v>
      </c>
      <c r="K7002" s="33" t="s">
        <v>392</v>
      </c>
      <c r="L7002" s="33" t="s">
        <v>568</v>
      </c>
      <c r="M7002" s="33" t="s">
        <v>21</v>
      </c>
      <c r="N7002" s="33" t="s">
        <v>13634</v>
      </c>
      <c r="O7002" s="33" t="s">
        <v>950</v>
      </c>
      <c r="P7002" s="33" t="s">
        <v>30089</v>
      </c>
      <c r="Q7002" s="40" t="s">
        <v>13635</v>
      </c>
      <c r="R7002" s="33" t="s">
        <v>23</v>
      </c>
      <c r="S7002" s="33" t="s">
        <v>22</v>
      </c>
      <c r="T7002" s="1" t="s">
        <v>26781</v>
      </c>
      <c r="Z7002" s="33" t="s">
        <v>42967</v>
      </c>
      <c r="AA7002" s="33">
        <v>664</v>
      </c>
    </row>
    <row r="7003" spans="1:27" ht="12" customHeight="1" x14ac:dyDescent="0.15">
      <c r="A7003" s="33" t="s">
        <v>13687</v>
      </c>
      <c r="B7003" s="33">
        <v>31</v>
      </c>
      <c r="C7003" s="33" t="s">
        <v>14</v>
      </c>
      <c r="D7003" s="33" t="s">
        <v>31</v>
      </c>
      <c r="E7003" s="33" t="s">
        <v>13688</v>
      </c>
      <c r="F7003" s="67">
        <v>41483</v>
      </c>
      <c r="G7003" s="33" t="s">
        <v>13689</v>
      </c>
      <c r="H7003" s="33" t="s">
        <v>2330</v>
      </c>
      <c r="I7003" s="33" t="s">
        <v>67</v>
      </c>
      <c r="J7003" s="33" t="s">
        <v>13690</v>
      </c>
      <c r="K7003" s="33" t="s">
        <v>266</v>
      </c>
      <c r="L7003" s="33" t="s">
        <v>2331</v>
      </c>
      <c r="M7003" s="33" t="s">
        <v>21</v>
      </c>
      <c r="N7003" s="33" t="s">
        <v>13691</v>
      </c>
      <c r="O7003" s="33" t="s">
        <v>950</v>
      </c>
      <c r="P7003" s="33" t="s">
        <v>30089</v>
      </c>
      <c r="Q7003" s="40" t="s">
        <v>13692</v>
      </c>
      <c r="R7003" s="33" t="s">
        <v>94</v>
      </c>
      <c r="S7003" s="33" t="s">
        <v>351</v>
      </c>
      <c r="T7003" s="1" t="s">
        <v>26867</v>
      </c>
      <c r="Y7003" s="33" t="s">
        <v>42476</v>
      </c>
      <c r="Z7003" s="33" t="s">
        <v>42968</v>
      </c>
      <c r="AA7003" s="33">
        <v>661</v>
      </c>
    </row>
    <row r="7004" spans="1:27" ht="12" customHeight="1" x14ac:dyDescent="0.15">
      <c r="A7004" s="33" t="s">
        <v>13658</v>
      </c>
      <c r="B7004" s="33">
        <v>32</v>
      </c>
      <c r="C7004" s="33" t="s">
        <v>14</v>
      </c>
      <c r="D7004" s="33" t="s">
        <v>79</v>
      </c>
      <c r="E7004" s="33" t="s">
        <v>13659</v>
      </c>
      <c r="F7004" s="67">
        <v>41483</v>
      </c>
      <c r="G7004" s="33" t="s">
        <v>13660</v>
      </c>
      <c r="H7004" s="33" t="s">
        <v>172</v>
      </c>
      <c r="I7004" s="33" t="s">
        <v>19</v>
      </c>
      <c r="J7004" s="33" t="s">
        <v>13661</v>
      </c>
      <c r="K7004" s="33" t="s">
        <v>3435</v>
      </c>
      <c r="L7004" s="33" t="s">
        <v>1573</v>
      </c>
      <c r="M7004" s="33" t="s">
        <v>21</v>
      </c>
      <c r="N7004" s="33" t="s">
        <v>36870</v>
      </c>
      <c r="O7004" s="33" t="s">
        <v>507</v>
      </c>
      <c r="P7004" s="33" t="s">
        <v>30089</v>
      </c>
      <c r="Q7004" s="40" t="s">
        <v>13662</v>
      </c>
      <c r="R7004" s="33" t="s">
        <v>94</v>
      </c>
      <c r="S7004" s="33" t="s">
        <v>351</v>
      </c>
      <c r="T7004" s="1" t="s">
        <v>42983</v>
      </c>
      <c r="Y7004" s="33" t="s">
        <v>42476</v>
      </c>
      <c r="Z7004" s="33" t="s">
        <v>42968</v>
      </c>
      <c r="AA7004" s="33">
        <v>662</v>
      </c>
    </row>
    <row r="7005" spans="1:27" ht="12" customHeight="1" x14ac:dyDescent="0.15">
      <c r="A7005" s="33" t="s">
        <v>13668</v>
      </c>
      <c r="B7005" s="33">
        <v>39</v>
      </c>
      <c r="C7005" s="33" t="s">
        <v>14</v>
      </c>
      <c r="D7005" s="33" t="s">
        <v>42</v>
      </c>
      <c r="F7005" s="67">
        <v>41483</v>
      </c>
      <c r="G7005" s="33" t="s">
        <v>22229</v>
      </c>
      <c r="H7005" s="33" t="s">
        <v>81</v>
      </c>
      <c r="I7005" s="33" t="s">
        <v>38</v>
      </c>
      <c r="J7005" s="33" t="s">
        <v>7695</v>
      </c>
      <c r="K7005" s="33" t="s">
        <v>82</v>
      </c>
      <c r="L7005" s="33" t="s">
        <v>83</v>
      </c>
      <c r="M7005" s="33" t="s">
        <v>21</v>
      </c>
      <c r="N7005" s="33" t="s">
        <v>13669</v>
      </c>
      <c r="O7005" s="33" t="s">
        <v>372</v>
      </c>
      <c r="P7005" s="33" t="s">
        <v>30089</v>
      </c>
      <c r="Q7005" s="40" t="s">
        <v>13670</v>
      </c>
      <c r="R7005" s="33" t="s">
        <v>94</v>
      </c>
      <c r="S7005" s="33" t="s">
        <v>22</v>
      </c>
      <c r="T7005" s="1" t="s">
        <v>26774</v>
      </c>
      <c r="Z7005" s="33" t="s">
        <v>42966</v>
      </c>
      <c r="AA7005" s="33">
        <v>657</v>
      </c>
    </row>
    <row r="7006" spans="1:27" ht="12" customHeight="1" x14ac:dyDescent="0.15">
      <c r="A7006" s="33" t="s">
        <v>13681</v>
      </c>
      <c r="B7006" s="33">
        <v>28</v>
      </c>
      <c r="C7006" s="33" t="s">
        <v>14</v>
      </c>
      <c r="D7006" s="33" t="s">
        <v>31</v>
      </c>
      <c r="E7006" s="33" t="s">
        <v>13682</v>
      </c>
      <c r="F7006" s="67">
        <v>41483</v>
      </c>
      <c r="G7006" s="33" t="s">
        <v>22230</v>
      </c>
      <c r="H7006" s="33" t="s">
        <v>13683</v>
      </c>
      <c r="I7006" s="33" t="s">
        <v>63</v>
      </c>
      <c r="J7006" s="33" t="s">
        <v>13684</v>
      </c>
      <c r="K7006" s="33" t="s">
        <v>2114</v>
      </c>
      <c r="L7006" s="33" t="s">
        <v>36954</v>
      </c>
      <c r="M7006" s="33" t="s">
        <v>21</v>
      </c>
      <c r="N7006" s="33" t="s">
        <v>13685</v>
      </c>
      <c r="O7006" s="33" t="s">
        <v>372</v>
      </c>
      <c r="P7006" s="33" t="s">
        <v>30089</v>
      </c>
      <c r="Q7006" s="40" t="s">
        <v>13686</v>
      </c>
      <c r="R7006" s="33" t="s">
        <v>94</v>
      </c>
      <c r="S7006" s="33" t="s">
        <v>22</v>
      </c>
      <c r="T7006" s="1" t="s">
        <v>26774</v>
      </c>
      <c r="Z7006" s="33" t="s">
        <v>42968</v>
      </c>
      <c r="AA7006" s="33">
        <v>658</v>
      </c>
    </row>
    <row r="7007" spans="1:27" ht="12" customHeight="1" x14ac:dyDescent="0.15">
      <c r="A7007" s="33" t="s">
        <v>13663</v>
      </c>
      <c r="B7007" s="33">
        <v>24</v>
      </c>
      <c r="C7007" s="33" t="s">
        <v>14</v>
      </c>
      <c r="D7007" s="33" t="s">
        <v>79</v>
      </c>
      <c r="E7007" s="33" t="s">
        <v>13664</v>
      </c>
      <c r="F7007" s="67">
        <v>41483</v>
      </c>
      <c r="G7007" s="33" t="s">
        <v>13665</v>
      </c>
      <c r="H7007" s="33" t="s">
        <v>401</v>
      </c>
      <c r="I7007" s="33" t="s">
        <v>402</v>
      </c>
      <c r="J7007" s="33" t="s">
        <v>13666</v>
      </c>
      <c r="K7007" s="33" t="s">
        <v>404</v>
      </c>
      <c r="L7007" s="33" t="s">
        <v>405</v>
      </c>
      <c r="M7007" s="33" t="s">
        <v>21</v>
      </c>
      <c r="N7007" s="33" t="s">
        <v>42970</v>
      </c>
      <c r="O7007" s="33" t="s">
        <v>507</v>
      </c>
      <c r="P7007" s="33" t="s">
        <v>30089</v>
      </c>
      <c r="Q7007" s="40" t="s">
        <v>13667</v>
      </c>
      <c r="R7007" s="33" t="s">
        <v>94</v>
      </c>
      <c r="S7007" s="33" t="s">
        <v>12</v>
      </c>
      <c r="T7007" s="54" t="s">
        <v>29705</v>
      </c>
      <c r="Z7007" s="33" t="s">
        <v>42966</v>
      </c>
      <c r="AA7007" s="33">
        <v>659</v>
      </c>
    </row>
    <row r="7008" spans="1:27" ht="12" customHeight="1" x14ac:dyDescent="0.15">
      <c r="A7008" s="33" t="s">
        <v>13671</v>
      </c>
      <c r="B7008" s="33">
        <v>44</v>
      </c>
      <c r="C7008" s="33" t="s">
        <v>14</v>
      </c>
      <c r="D7008" s="33" t="s">
        <v>42</v>
      </c>
      <c r="E7008" s="33" t="s">
        <v>13672</v>
      </c>
      <c r="F7008" s="67">
        <v>41483</v>
      </c>
      <c r="G7008" s="33" t="s">
        <v>13673</v>
      </c>
      <c r="H7008" s="33" t="s">
        <v>584</v>
      </c>
      <c r="I7008" s="33" t="s">
        <v>112</v>
      </c>
      <c r="J7008" s="33" t="s">
        <v>6791</v>
      </c>
      <c r="K7008" s="33" t="s">
        <v>585</v>
      </c>
      <c r="L7008" s="33" t="s">
        <v>586</v>
      </c>
      <c r="M7008" s="33" t="s">
        <v>363</v>
      </c>
      <c r="N7008" s="33" t="s">
        <v>13674</v>
      </c>
      <c r="O7008" s="33" t="s">
        <v>950</v>
      </c>
      <c r="P7008" s="33" t="s">
        <v>30089</v>
      </c>
      <c r="Q7008" s="40" t="s">
        <v>13675</v>
      </c>
      <c r="R7008" s="33" t="s">
        <v>904</v>
      </c>
      <c r="S7008" s="33" t="s">
        <v>12</v>
      </c>
      <c r="T7008" s="54" t="s">
        <v>29705</v>
      </c>
      <c r="Z7008" s="33" t="s">
        <v>42966</v>
      </c>
      <c r="AA7008" s="33">
        <v>660</v>
      </c>
    </row>
    <row r="7009" spans="1:27" ht="12" customHeight="1" x14ac:dyDescent="0.15">
      <c r="A7009" s="33" t="s">
        <v>13676</v>
      </c>
      <c r="B7009" s="33">
        <v>30</v>
      </c>
      <c r="C7009" s="33" t="s">
        <v>14</v>
      </c>
      <c r="D7009" s="33" t="s">
        <v>24</v>
      </c>
      <c r="F7009" s="67">
        <v>41483</v>
      </c>
      <c r="H7009" s="33" t="s">
        <v>13677</v>
      </c>
      <c r="I7009" s="33" t="s">
        <v>112</v>
      </c>
      <c r="J7009" s="33" t="s">
        <v>13678</v>
      </c>
      <c r="K7009" s="33" t="s">
        <v>585</v>
      </c>
      <c r="L7009" s="33" t="s">
        <v>1765</v>
      </c>
      <c r="M7009" s="33" t="s">
        <v>21</v>
      </c>
      <c r="N7009" s="33" t="s">
        <v>13679</v>
      </c>
      <c r="O7009" s="33" t="s">
        <v>950</v>
      </c>
      <c r="P7009" s="33" t="s">
        <v>30089</v>
      </c>
      <c r="Q7009" s="40" t="s">
        <v>13680</v>
      </c>
      <c r="R7009" s="33" t="s">
        <v>94</v>
      </c>
      <c r="S7009" s="33" t="s">
        <v>22</v>
      </c>
      <c r="T7009" s="1" t="s">
        <v>26580</v>
      </c>
      <c r="Y7009" s="33" t="s">
        <v>42476</v>
      </c>
      <c r="Z7009" s="33" t="s">
        <v>42967</v>
      </c>
      <c r="AA7009" s="33">
        <v>656</v>
      </c>
    </row>
    <row r="7010" spans="1:27" ht="12" customHeight="1" x14ac:dyDescent="0.15">
      <c r="A7010" s="33" t="s">
        <v>13693</v>
      </c>
      <c r="B7010" s="33">
        <v>42</v>
      </c>
      <c r="C7010" s="33" t="s">
        <v>14</v>
      </c>
      <c r="D7010" s="33" t="s">
        <v>42</v>
      </c>
      <c r="E7010" s="33" t="s">
        <v>13694</v>
      </c>
      <c r="F7010" s="67">
        <v>41482</v>
      </c>
      <c r="G7010" s="33" t="s">
        <v>13695</v>
      </c>
      <c r="H7010" s="33" t="s">
        <v>5902</v>
      </c>
      <c r="I7010" s="33" t="s">
        <v>56</v>
      </c>
      <c r="J7010" s="33">
        <v>33012</v>
      </c>
      <c r="K7010" s="33" t="s">
        <v>148</v>
      </c>
      <c r="L7010" s="33" t="s">
        <v>149</v>
      </c>
      <c r="M7010" s="33" t="s">
        <v>21</v>
      </c>
      <c r="N7010" s="33" t="s">
        <v>13696</v>
      </c>
      <c r="O7010" s="33" t="s">
        <v>23</v>
      </c>
      <c r="P7010" s="33" t="s">
        <v>30089</v>
      </c>
      <c r="Q7010" s="40" t="s">
        <v>13697</v>
      </c>
      <c r="R7010" s="33" t="s">
        <v>94</v>
      </c>
      <c r="S7010" s="33" t="s">
        <v>22</v>
      </c>
      <c r="T7010" s="1" t="s">
        <v>26781</v>
      </c>
      <c r="Z7010" s="33" t="s">
        <v>42966</v>
      </c>
      <c r="AA7010" s="33">
        <v>653</v>
      </c>
    </row>
    <row r="7011" spans="1:27" ht="12" customHeight="1" x14ac:dyDescent="0.15">
      <c r="A7011" s="33" t="s">
        <v>13702</v>
      </c>
      <c r="B7011" s="33">
        <v>49</v>
      </c>
      <c r="C7011" s="33" t="s">
        <v>103</v>
      </c>
      <c r="D7011" s="33" t="s">
        <v>24</v>
      </c>
      <c r="F7011" s="67">
        <v>41482</v>
      </c>
      <c r="G7011" s="33" t="s">
        <v>13703</v>
      </c>
      <c r="H7011" s="33" t="s">
        <v>2870</v>
      </c>
      <c r="I7011" s="33" t="s">
        <v>67</v>
      </c>
      <c r="J7011" s="33" t="s">
        <v>13704</v>
      </c>
      <c r="K7011" s="33" t="s">
        <v>13705</v>
      </c>
      <c r="L7011" s="33" t="s">
        <v>36871</v>
      </c>
      <c r="M7011" s="33" t="s">
        <v>21</v>
      </c>
      <c r="N7011" s="33" t="s">
        <v>13706</v>
      </c>
      <c r="O7011" s="33" t="s">
        <v>372</v>
      </c>
      <c r="P7011" s="33" t="s">
        <v>30089</v>
      </c>
      <c r="Q7011" s="40" t="s">
        <v>13707</v>
      </c>
      <c r="R7011" s="33" t="s">
        <v>94</v>
      </c>
      <c r="S7011" s="33" t="s">
        <v>22</v>
      </c>
      <c r="T7011" s="1" t="s">
        <v>26781</v>
      </c>
      <c r="Z7011" s="33" t="s">
        <v>42967</v>
      </c>
      <c r="AA7011" s="33">
        <v>652</v>
      </c>
    </row>
    <row r="7012" spans="1:27" ht="12" customHeight="1" x14ac:dyDescent="0.15">
      <c r="A7012" s="33" t="s">
        <v>13708</v>
      </c>
      <c r="B7012" s="33">
        <v>20</v>
      </c>
      <c r="C7012" s="33" t="s">
        <v>14</v>
      </c>
      <c r="D7012" s="33" t="s">
        <v>31</v>
      </c>
      <c r="E7012" s="33" t="s">
        <v>13709</v>
      </c>
      <c r="F7012" s="67">
        <v>41482</v>
      </c>
      <c r="G7012" s="33" t="s">
        <v>13710</v>
      </c>
      <c r="H7012" s="33" t="s">
        <v>13711</v>
      </c>
      <c r="I7012" s="33" t="s">
        <v>376</v>
      </c>
      <c r="J7012" s="33" t="s">
        <v>13712</v>
      </c>
      <c r="K7012" s="33" t="s">
        <v>3977</v>
      </c>
      <c r="L7012" s="33" t="s">
        <v>13713</v>
      </c>
      <c r="M7012" s="33" t="s">
        <v>21</v>
      </c>
      <c r="N7012" s="33" t="s">
        <v>13714</v>
      </c>
      <c r="O7012" s="33" t="s">
        <v>507</v>
      </c>
      <c r="P7012" s="33" t="s">
        <v>30089</v>
      </c>
      <c r="Q7012" s="40" t="s">
        <v>13715</v>
      </c>
      <c r="R7012" s="33" t="s">
        <v>94</v>
      </c>
      <c r="S7012" s="33" t="s">
        <v>22</v>
      </c>
      <c r="T7012" s="1" t="s">
        <v>26781</v>
      </c>
      <c r="Z7012" s="33" t="s">
        <v>42968</v>
      </c>
      <c r="AA7012" s="33">
        <v>654</v>
      </c>
    </row>
    <row r="7013" spans="1:27" ht="12" customHeight="1" x14ac:dyDescent="0.15">
      <c r="A7013" s="33" t="s">
        <v>13698</v>
      </c>
      <c r="B7013" s="33">
        <v>33</v>
      </c>
      <c r="C7013" s="33" t="s">
        <v>14</v>
      </c>
      <c r="D7013" s="33" t="s">
        <v>42</v>
      </c>
      <c r="E7013" s="33" t="s">
        <v>13699</v>
      </c>
      <c r="F7013" s="67">
        <v>41482</v>
      </c>
      <c r="G7013" s="33" t="s">
        <v>22231</v>
      </c>
      <c r="H7013" s="33" t="s">
        <v>455</v>
      </c>
      <c r="I7013" s="33" t="s">
        <v>338</v>
      </c>
      <c r="J7013" s="33" t="s">
        <v>456</v>
      </c>
      <c r="K7013" s="33" t="s">
        <v>455</v>
      </c>
      <c r="L7013" s="33" t="s">
        <v>457</v>
      </c>
      <c r="M7013" s="33" t="s">
        <v>21</v>
      </c>
      <c r="N7013" s="33" t="s">
        <v>13700</v>
      </c>
      <c r="O7013" s="33" t="s">
        <v>507</v>
      </c>
      <c r="P7013" s="33" t="s">
        <v>30089</v>
      </c>
      <c r="Q7013" s="40" t="s">
        <v>13701</v>
      </c>
      <c r="R7013" s="33" t="s">
        <v>94</v>
      </c>
      <c r="S7013" s="33" t="s">
        <v>22</v>
      </c>
      <c r="T7013" s="1" t="s">
        <v>26774</v>
      </c>
      <c r="Z7013" s="33" t="s">
        <v>42968</v>
      </c>
      <c r="AA7013" s="33">
        <v>655</v>
      </c>
    </row>
    <row r="7014" spans="1:27" ht="12" customHeight="1" x14ac:dyDescent="0.15">
      <c r="A7014" s="33" t="s">
        <v>13716</v>
      </c>
      <c r="B7014" s="103">
        <v>32</v>
      </c>
      <c r="C7014" s="33" t="s">
        <v>14</v>
      </c>
      <c r="D7014" s="33" t="s">
        <v>79</v>
      </c>
      <c r="E7014" s="33" t="s">
        <v>13717</v>
      </c>
      <c r="F7014" s="67">
        <v>41481</v>
      </c>
      <c r="G7014" s="33" t="s">
        <v>13718</v>
      </c>
      <c r="H7014" s="33" t="s">
        <v>1227</v>
      </c>
      <c r="I7014" s="33" t="s">
        <v>67</v>
      </c>
      <c r="J7014" s="33" t="s">
        <v>13719</v>
      </c>
      <c r="K7014" s="33" t="s">
        <v>1228</v>
      </c>
      <c r="L7014" s="33" t="s">
        <v>1229</v>
      </c>
      <c r="M7014" s="33" t="s">
        <v>21</v>
      </c>
      <c r="N7014" s="33" t="s">
        <v>13720</v>
      </c>
      <c r="O7014" s="33" t="s">
        <v>27773</v>
      </c>
      <c r="P7014" s="33" t="s">
        <v>26762</v>
      </c>
      <c r="Q7014" s="40" t="str">
        <f>HYPERLINK("http://pjmedia.com/tatler/2013/07/30/the-strange-killing-of-larry-eugene-jackson-jr-by-an-austin-police-detective/","http://pjmedia.com/tatler/2013/07/30/the-strange-killing-of-larry-eugene-jackson-jr-by-an-austin-police-detective/")</f>
        <v>http://pjmedia.com/tatler/2013/07/30/the-strange-killing-of-larry-eugene-jackson-jr-by-an-austin-police-detective/</v>
      </c>
      <c r="R7014" s="33" t="s">
        <v>94</v>
      </c>
      <c r="S7014" s="33" t="s">
        <v>12</v>
      </c>
      <c r="T7014" s="54" t="s">
        <v>29705</v>
      </c>
      <c r="Z7014" s="33" t="s">
        <v>42966</v>
      </c>
      <c r="AA7014" s="33">
        <v>651</v>
      </c>
    </row>
    <row r="7015" spans="1:27" ht="12" customHeight="1" x14ac:dyDescent="0.15">
      <c r="A7015" s="33" t="s">
        <v>13721</v>
      </c>
      <c r="B7015" s="33">
        <v>30</v>
      </c>
      <c r="C7015" s="33" t="s">
        <v>14</v>
      </c>
      <c r="D7015" s="33" t="s">
        <v>42</v>
      </c>
      <c r="E7015" s="33" t="s">
        <v>13722</v>
      </c>
      <c r="F7015" s="67">
        <v>41481</v>
      </c>
      <c r="G7015" s="33" t="s">
        <v>13723</v>
      </c>
      <c r="H7015" s="33" t="s">
        <v>5818</v>
      </c>
      <c r="I7015" s="33" t="s">
        <v>39</v>
      </c>
      <c r="J7015" s="33" t="s">
        <v>5819</v>
      </c>
      <c r="K7015" s="33" t="s">
        <v>59</v>
      </c>
      <c r="L7015" s="33" t="s">
        <v>5820</v>
      </c>
      <c r="M7015" s="33" t="s">
        <v>21</v>
      </c>
      <c r="N7015" s="33" t="s">
        <v>13724</v>
      </c>
      <c r="O7015" s="33" t="s">
        <v>950</v>
      </c>
      <c r="P7015" s="33" t="s">
        <v>30089</v>
      </c>
      <c r="Q7015" s="40" t="s">
        <v>13725</v>
      </c>
      <c r="R7015" s="33" t="s">
        <v>94</v>
      </c>
      <c r="S7015" s="33" t="s">
        <v>22</v>
      </c>
      <c r="T7015" s="1" t="s">
        <v>26781</v>
      </c>
      <c r="Z7015" s="33" t="s">
        <v>42968</v>
      </c>
      <c r="AA7015" s="33">
        <v>650</v>
      </c>
    </row>
    <row r="7016" spans="1:27" ht="12" customHeight="1" x14ac:dyDescent="0.15">
      <c r="A7016" s="33" t="s">
        <v>13735</v>
      </c>
      <c r="B7016" s="33">
        <v>42</v>
      </c>
      <c r="C7016" s="33" t="s">
        <v>14</v>
      </c>
      <c r="D7016" s="33" t="s">
        <v>42</v>
      </c>
      <c r="F7016" s="67">
        <v>41480</v>
      </c>
      <c r="G7016" s="33" t="s">
        <v>13736</v>
      </c>
      <c r="H7016" s="33" t="s">
        <v>4767</v>
      </c>
      <c r="I7016" s="33" t="s">
        <v>39</v>
      </c>
      <c r="J7016" s="33" t="s">
        <v>8126</v>
      </c>
      <c r="K7016" s="33" t="s">
        <v>92</v>
      </c>
      <c r="L7016" s="33" t="s">
        <v>12795</v>
      </c>
      <c r="M7016" s="33" t="s">
        <v>21</v>
      </c>
      <c r="N7016" s="33" t="s">
        <v>13737</v>
      </c>
      <c r="O7016" s="33" t="s">
        <v>950</v>
      </c>
      <c r="P7016" s="33" t="s">
        <v>30089</v>
      </c>
      <c r="Q7016" s="40" t="s">
        <v>13738</v>
      </c>
      <c r="R7016" s="33" t="s">
        <v>23</v>
      </c>
      <c r="S7016" s="33" t="s">
        <v>29</v>
      </c>
      <c r="T7016" s="33" t="s">
        <v>41840</v>
      </c>
      <c r="Z7016" s="33" t="s">
        <v>42968</v>
      </c>
      <c r="AA7016" s="33">
        <v>649</v>
      </c>
    </row>
    <row r="7017" spans="1:27" ht="12" customHeight="1" x14ac:dyDescent="0.15">
      <c r="A7017" s="33" t="s">
        <v>13726</v>
      </c>
      <c r="B7017" s="33">
        <v>29</v>
      </c>
      <c r="C7017" s="33" t="s">
        <v>14</v>
      </c>
      <c r="D7017" s="33" t="s">
        <v>79</v>
      </c>
      <c r="E7017" s="33" t="s">
        <v>13727</v>
      </c>
      <c r="F7017" s="67">
        <v>41480</v>
      </c>
      <c r="G7017" s="33" t="s">
        <v>13728</v>
      </c>
      <c r="H7017" s="33" t="s">
        <v>13729</v>
      </c>
      <c r="I7017" s="33" t="s">
        <v>395</v>
      </c>
      <c r="J7017" s="33" t="s">
        <v>13730</v>
      </c>
      <c r="K7017" s="33" t="s">
        <v>1588</v>
      </c>
      <c r="L7017" s="33" t="s">
        <v>3093</v>
      </c>
      <c r="M7017" s="33" t="s">
        <v>363</v>
      </c>
      <c r="N7017" s="33" t="s">
        <v>13731</v>
      </c>
      <c r="O7017" s="33" t="s">
        <v>950</v>
      </c>
      <c r="P7017" s="33" t="s">
        <v>30089</v>
      </c>
      <c r="Q7017" s="40" t="s">
        <v>13732</v>
      </c>
      <c r="R7017" s="33" t="s">
        <v>512</v>
      </c>
      <c r="S7017" s="33" t="s">
        <v>12</v>
      </c>
      <c r="T7017" s="54" t="s">
        <v>29705</v>
      </c>
      <c r="Z7017" s="33" t="s">
        <v>42968</v>
      </c>
      <c r="AA7017" s="33">
        <v>648</v>
      </c>
    </row>
    <row r="7018" spans="1:27" ht="12" customHeight="1" x14ac:dyDescent="0.15">
      <c r="A7018" s="33" t="s">
        <v>3002</v>
      </c>
      <c r="B7018" s="33">
        <v>42</v>
      </c>
      <c r="C7018" s="33" t="s">
        <v>14</v>
      </c>
      <c r="D7018" s="33" t="s">
        <v>42</v>
      </c>
      <c r="F7018" s="67">
        <v>41480</v>
      </c>
      <c r="G7018" s="33" t="s">
        <v>22232</v>
      </c>
      <c r="H7018" s="33" t="s">
        <v>4767</v>
      </c>
      <c r="I7018" s="33" t="s">
        <v>39</v>
      </c>
      <c r="J7018" s="33" t="s">
        <v>8126</v>
      </c>
      <c r="K7018" s="33" t="s">
        <v>92</v>
      </c>
      <c r="L7018" s="33" t="s">
        <v>386</v>
      </c>
      <c r="M7018" s="33" t="s">
        <v>21</v>
      </c>
      <c r="N7018" s="33" t="s">
        <v>13733</v>
      </c>
      <c r="O7018" s="33" t="s">
        <v>372</v>
      </c>
      <c r="P7018" s="33" t="s">
        <v>30089</v>
      </c>
      <c r="Q7018" s="40" t="s">
        <v>13734</v>
      </c>
      <c r="R7018" s="33" t="s">
        <v>94</v>
      </c>
      <c r="S7018" s="33" t="s">
        <v>12</v>
      </c>
      <c r="T7018" s="54" t="s">
        <v>29705</v>
      </c>
      <c r="Z7018" s="33" t="s">
        <v>42968</v>
      </c>
      <c r="AA7018" s="33">
        <v>647</v>
      </c>
    </row>
    <row r="7019" spans="1:27" ht="12" customHeight="1" x14ac:dyDescent="0.15">
      <c r="A7019" s="33" t="s">
        <v>13739</v>
      </c>
      <c r="B7019" s="33">
        <v>49</v>
      </c>
      <c r="C7019" s="33" t="s">
        <v>14</v>
      </c>
      <c r="D7019" s="33" t="s">
        <v>24</v>
      </c>
      <c r="F7019" s="67">
        <v>41480</v>
      </c>
      <c r="G7019" s="33" t="s">
        <v>13740</v>
      </c>
      <c r="H7019" s="33" t="s">
        <v>1037</v>
      </c>
      <c r="I7019" s="33" t="s">
        <v>338</v>
      </c>
      <c r="J7019" s="33" t="s">
        <v>13741</v>
      </c>
      <c r="K7019" s="33" t="s">
        <v>622</v>
      </c>
      <c r="L7019" s="33" t="s">
        <v>4611</v>
      </c>
      <c r="M7019" s="33" t="s">
        <v>21</v>
      </c>
      <c r="N7019" s="33" t="s">
        <v>13742</v>
      </c>
      <c r="O7019" s="33" t="s">
        <v>507</v>
      </c>
      <c r="P7019" s="33" t="s">
        <v>30089</v>
      </c>
      <c r="Q7019" s="40" t="s">
        <v>13743</v>
      </c>
      <c r="R7019" s="33" t="s">
        <v>94</v>
      </c>
      <c r="S7019" s="33" t="s">
        <v>22</v>
      </c>
      <c r="T7019" s="1" t="s">
        <v>26781</v>
      </c>
      <c r="Z7019" s="33" t="s">
        <v>42967</v>
      </c>
      <c r="AA7019" s="33">
        <v>646</v>
      </c>
    </row>
    <row r="7020" spans="1:27" ht="12" customHeight="1" x14ac:dyDescent="0.15">
      <c r="A7020" s="33" t="s">
        <v>13744</v>
      </c>
      <c r="B7020" s="33">
        <v>32</v>
      </c>
      <c r="C7020" s="33" t="s">
        <v>14</v>
      </c>
      <c r="D7020" s="33" t="s">
        <v>31</v>
      </c>
      <c r="E7020" s="33" t="s">
        <v>13745</v>
      </c>
      <c r="F7020" s="67">
        <v>41479</v>
      </c>
      <c r="G7020" s="33" t="s">
        <v>13746</v>
      </c>
      <c r="H7020" s="33" t="s">
        <v>504</v>
      </c>
      <c r="I7020" s="33" t="s">
        <v>63</v>
      </c>
      <c r="J7020" s="33" t="s">
        <v>13747</v>
      </c>
      <c r="K7020" s="33" t="s">
        <v>505</v>
      </c>
      <c r="L7020" s="33" t="s">
        <v>506</v>
      </c>
      <c r="M7020" s="33" t="s">
        <v>21</v>
      </c>
      <c r="N7020" s="33" t="s">
        <v>13748</v>
      </c>
      <c r="O7020" s="33" t="s">
        <v>23</v>
      </c>
      <c r="P7020" s="33" t="s">
        <v>30089</v>
      </c>
      <c r="Q7020" s="40" t="s">
        <v>13749</v>
      </c>
      <c r="R7020" s="33" t="s">
        <v>512</v>
      </c>
      <c r="S7020" s="33" t="s">
        <v>22</v>
      </c>
      <c r="T7020" s="1" t="s">
        <v>26781</v>
      </c>
      <c r="Z7020" s="33" t="s">
        <v>42966</v>
      </c>
      <c r="AA7020" s="33">
        <v>645</v>
      </c>
    </row>
    <row r="7021" spans="1:27" ht="12" customHeight="1" x14ac:dyDescent="0.15">
      <c r="A7021" s="33" t="s">
        <v>13755</v>
      </c>
      <c r="B7021" s="33">
        <v>43</v>
      </c>
      <c r="C7021" s="33" t="s">
        <v>14</v>
      </c>
      <c r="D7021" s="33" t="s">
        <v>24</v>
      </c>
      <c r="F7021" s="67">
        <v>41478</v>
      </c>
      <c r="G7021" s="33" t="s">
        <v>22234</v>
      </c>
      <c r="H7021" s="33" t="s">
        <v>3585</v>
      </c>
      <c r="I7021" s="33" t="s">
        <v>112</v>
      </c>
      <c r="J7021" s="33" t="s">
        <v>10121</v>
      </c>
      <c r="K7021" s="33" t="s">
        <v>585</v>
      </c>
      <c r="L7021" s="33" t="s">
        <v>3587</v>
      </c>
      <c r="M7021" s="33" t="s">
        <v>21</v>
      </c>
      <c r="N7021" s="33" t="s">
        <v>36872</v>
      </c>
      <c r="O7021" s="33" t="s">
        <v>23</v>
      </c>
      <c r="P7021" s="33" t="s">
        <v>30089</v>
      </c>
      <c r="Q7021" s="40" t="s">
        <v>13756</v>
      </c>
      <c r="R7021" s="33" t="s">
        <v>94</v>
      </c>
      <c r="S7021" s="33" t="s">
        <v>12</v>
      </c>
      <c r="T7021" s="33" t="s">
        <v>29425</v>
      </c>
      <c r="Z7021" s="33" t="s">
        <v>42968</v>
      </c>
      <c r="AA7021" s="33">
        <v>644</v>
      </c>
    </row>
    <row r="7022" spans="1:27" ht="12" customHeight="1" x14ac:dyDescent="0.15">
      <c r="A7022" s="33" t="s">
        <v>13750</v>
      </c>
      <c r="B7022" s="33">
        <v>35</v>
      </c>
      <c r="C7022" s="33" t="s">
        <v>14</v>
      </c>
      <c r="D7022" s="33" t="s">
        <v>15</v>
      </c>
      <c r="E7022" s="33" t="s">
        <v>13751</v>
      </c>
      <c r="F7022" s="67">
        <v>41478</v>
      </c>
      <c r="G7022" s="33" t="s">
        <v>22233</v>
      </c>
      <c r="H7022" s="33" t="s">
        <v>607</v>
      </c>
      <c r="I7022" s="33" t="s">
        <v>250</v>
      </c>
      <c r="J7022" s="33" t="s">
        <v>13752</v>
      </c>
      <c r="K7022" s="33" t="s">
        <v>527</v>
      </c>
      <c r="L7022" s="33" t="s">
        <v>528</v>
      </c>
      <c r="M7022" s="33" t="s">
        <v>21</v>
      </c>
      <c r="N7022" s="33" t="s">
        <v>13753</v>
      </c>
      <c r="O7022" s="33" t="s">
        <v>507</v>
      </c>
      <c r="P7022" s="33" t="s">
        <v>30089</v>
      </c>
      <c r="Q7022" s="40" t="s">
        <v>13754</v>
      </c>
      <c r="R7022" s="33" t="s">
        <v>94</v>
      </c>
      <c r="S7022" s="33" t="s">
        <v>22</v>
      </c>
      <c r="T7022" s="1" t="s">
        <v>42987</v>
      </c>
      <c r="Z7022" s="33" t="s">
        <v>42968</v>
      </c>
      <c r="AA7022" s="33">
        <v>643</v>
      </c>
    </row>
    <row r="7023" spans="1:27" ht="12" customHeight="1" x14ac:dyDescent="0.15">
      <c r="A7023" s="33" t="s">
        <v>13757</v>
      </c>
      <c r="B7023" s="33">
        <v>21</v>
      </c>
      <c r="C7023" s="33" t="s">
        <v>14</v>
      </c>
      <c r="D7023" s="33" t="s">
        <v>79</v>
      </c>
      <c r="E7023" s="33" t="s">
        <v>13758</v>
      </c>
      <c r="F7023" s="67">
        <v>41477</v>
      </c>
      <c r="G7023" s="33" t="s">
        <v>13759</v>
      </c>
      <c r="H7023" s="33" t="s">
        <v>1033</v>
      </c>
      <c r="I7023" s="33" t="s">
        <v>376</v>
      </c>
      <c r="J7023" s="33" t="s">
        <v>13760</v>
      </c>
      <c r="K7023" s="33" t="s">
        <v>1033</v>
      </c>
      <c r="L7023" s="33" t="s">
        <v>1034</v>
      </c>
      <c r="M7023" s="33" t="s">
        <v>21</v>
      </c>
      <c r="N7023" s="33" t="s">
        <v>13761</v>
      </c>
      <c r="O7023" s="33" t="s">
        <v>507</v>
      </c>
      <c r="P7023" s="33" t="s">
        <v>30089</v>
      </c>
      <c r="Q7023" s="40" t="s">
        <v>13762</v>
      </c>
      <c r="R7023" s="33" t="s">
        <v>94</v>
      </c>
      <c r="S7023" s="33" t="s">
        <v>22</v>
      </c>
      <c r="T7023" s="1" t="s">
        <v>26781</v>
      </c>
      <c r="Z7023" s="33" t="s">
        <v>42966</v>
      </c>
      <c r="AA7023" s="33">
        <v>641</v>
      </c>
    </row>
    <row r="7024" spans="1:27" ht="12" customHeight="1" x14ac:dyDescent="0.15">
      <c r="A7024" s="33" t="s">
        <v>13763</v>
      </c>
      <c r="B7024" s="33">
        <v>40</v>
      </c>
      <c r="C7024" s="33" t="s">
        <v>14</v>
      </c>
      <c r="D7024" s="33" t="s">
        <v>42</v>
      </c>
      <c r="F7024" s="67">
        <v>41477</v>
      </c>
      <c r="G7024" s="33" t="s">
        <v>22235</v>
      </c>
      <c r="H7024" s="33" t="s">
        <v>13764</v>
      </c>
      <c r="I7024" s="33" t="s">
        <v>342</v>
      </c>
      <c r="J7024" s="33" t="s">
        <v>13765</v>
      </c>
      <c r="K7024" s="33" t="s">
        <v>3032</v>
      </c>
      <c r="L7024" s="33" t="s">
        <v>13766</v>
      </c>
      <c r="M7024" s="33" t="s">
        <v>363</v>
      </c>
      <c r="N7024" s="33" t="s">
        <v>13767</v>
      </c>
      <c r="O7024" s="33" t="s">
        <v>372</v>
      </c>
      <c r="P7024" s="33" t="s">
        <v>30089</v>
      </c>
      <c r="Q7024" s="40" t="s">
        <v>13768</v>
      </c>
      <c r="R7024" s="33" t="s">
        <v>94</v>
      </c>
      <c r="S7024" s="33" t="s">
        <v>12</v>
      </c>
      <c r="T7024" s="54" t="s">
        <v>29705</v>
      </c>
      <c r="Z7024" s="33" t="s">
        <v>42968</v>
      </c>
      <c r="AA7024" s="33">
        <v>642</v>
      </c>
    </row>
    <row r="7025" spans="1:31" ht="12" customHeight="1" x14ac:dyDescent="0.15">
      <c r="A7025" s="33" t="s">
        <v>13769</v>
      </c>
      <c r="B7025" s="33">
        <v>28</v>
      </c>
      <c r="C7025" s="33" t="s">
        <v>14</v>
      </c>
      <c r="D7025" s="33" t="s">
        <v>79</v>
      </c>
      <c r="E7025" s="33" t="s">
        <v>13770</v>
      </c>
      <c r="F7025" s="67">
        <v>41476</v>
      </c>
      <c r="G7025" s="33" t="s">
        <v>22236</v>
      </c>
      <c r="H7025" s="33" t="s">
        <v>205</v>
      </c>
      <c r="I7025" s="33" t="s">
        <v>206</v>
      </c>
      <c r="J7025" s="33" t="s">
        <v>13771</v>
      </c>
      <c r="K7025" s="33" t="s">
        <v>3496</v>
      </c>
      <c r="L7025" s="33" t="s">
        <v>207</v>
      </c>
      <c r="M7025" s="33" t="s">
        <v>363</v>
      </c>
      <c r="N7025" s="33" t="s">
        <v>13772</v>
      </c>
      <c r="O7025" s="33" t="s">
        <v>950</v>
      </c>
      <c r="P7025" s="33" t="s">
        <v>30089</v>
      </c>
      <c r="Q7025" s="40" t="s">
        <v>19082</v>
      </c>
      <c r="R7025" s="33" t="s">
        <v>94</v>
      </c>
      <c r="S7025" s="33" t="s">
        <v>12</v>
      </c>
      <c r="T7025" s="54" t="s">
        <v>29705</v>
      </c>
      <c r="Z7025" s="33" t="s">
        <v>42966</v>
      </c>
      <c r="AA7025" s="33">
        <v>639</v>
      </c>
    </row>
    <row r="7026" spans="1:31" ht="12" customHeight="1" x14ac:dyDescent="0.15">
      <c r="A7026" s="33" t="s">
        <v>13773</v>
      </c>
      <c r="B7026" s="33">
        <v>36</v>
      </c>
      <c r="C7026" s="33" t="s">
        <v>14</v>
      </c>
      <c r="D7026" s="33" t="s">
        <v>31</v>
      </c>
      <c r="E7026" s="33" t="s">
        <v>13774</v>
      </c>
      <c r="F7026" s="67">
        <v>41476</v>
      </c>
      <c r="G7026" s="33" t="s">
        <v>13775</v>
      </c>
      <c r="H7026" s="33" t="s">
        <v>13776</v>
      </c>
      <c r="I7026" s="33" t="s">
        <v>1605</v>
      </c>
      <c r="J7026" s="33" t="s">
        <v>13777</v>
      </c>
      <c r="K7026" s="33" t="s">
        <v>13776</v>
      </c>
      <c r="L7026" s="33" t="s">
        <v>13778</v>
      </c>
      <c r="M7026" s="33" t="s">
        <v>21</v>
      </c>
      <c r="N7026" s="33" t="s">
        <v>13779</v>
      </c>
      <c r="O7026" s="33" t="s">
        <v>950</v>
      </c>
      <c r="P7026" s="33" t="s">
        <v>30089</v>
      </c>
      <c r="Q7026" s="40" t="s">
        <v>13780</v>
      </c>
      <c r="R7026" s="33" t="s">
        <v>94</v>
      </c>
      <c r="S7026" s="33" t="s">
        <v>22</v>
      </c>
      <c r="T7026" s="1" t="s">
        <v>26781</v>
      </c>
      <c r="Z7026" s="33" t="s">
        <v>42966</v>
      </c>
      <c r="AA7026" s="33">
        <v>638</v>
      </c>
    </row>
    <row r="7027" spans="1:31" ht="12" customHeight="1" x14ac:dyDescent="0.15">
      <c r="A7027" s="33" t="s">
        <v>13781</v>
      </c>
      <c r="B7027" s="33">
        <v>28</v>
      </c>
      <c r="C7027" s="33" t="s">
        <v>14</v>
      </c>
      <c r="D7027" s="33" t="s">
        <v>31</v>
      </c>
      <c r="E7027" s="33" t="s">
        <v>13782</v>
      </c>
      <c r="F7027" s="67">
        <v>41476</v>
      </c>
      <c r="G7027" s="33" t="s">
        <v>13783</v>
      </c>
      <c r="H7027" s="33" t="s">
        <v>13784</v>
      </c>
      <c r="I7027" s="33" t="s">
        <v>338</v>
      </c>
      <c r="J7027" s="33" t="s">
        <v>13785</v>
      </c>
      <c r="K7027" s="33" t="s">
        <v>13784</v>
      </c>
      <c r="L7027" s="33" t="s">
        <v>36941</v>
      </c>
      <c r="M7027" s="33" t="s">
        <v>21</v>
      </c>
      <c r="N7027" s="33" t="s">
        <v>13786</v>
      </c>
      <c r="O7027" s="33" t="s">
        <v>507</v>
      </c>
      <c r="P7027" s="33" t="s">
        <v>30089</v>
      </c>
      <c r="Q7027" s="40" t="str">
        <f>HYPERLINK("http://www.wral.com/suspect-killed-in-officer-involved-shooting-identified/12688890/","http://www.wral.com/suspect-killed-in-officer-involved-shooting-identified/12688890/")</f>
        <v>http://www.wral.com/suspect-killed-in-officer-involved-shooting-identified/12688890/</v>
      </c>
      <c r="R7027" s="33" t="s">
        <v>94</v>
      </c>
      <c r="S7027" s="33" t="s">
        <v>29</v>
      </c>
      <c r="T7027" s="1" t="s">
        <v>41840</v>
      </c>
      <c r="Z7027" s="33" t="s">
        <v>42968</v>
      </c>
      <c r="AA7027" s="33">
        <v>640</v>
      </c>
    </row>
    <row r="7028" spans="1:31" ht="12" customHeight="1" x14ac:dyDescent="0.15">
      <c r="A7028" s="33" t="s">
        <v>13792</v>
      </c>
      <c r="B7028" s="33">
        <v>24</v>
      </c>
      <c r="C7028" s="33" t="s">
        <v>14</v>
      </c>
      <c r="D7028" s="33" t="s">
        <v>24</v>
      </c>
      <c r="F7028" s="67">
        <v>41475</v>
      </c>
      <c r="G7028" s="33" t="s">
        <v>13793</v>
      </c>
      <c r="H7028" s="33" t="s">
        <v>3760</v>
      </c>
      <c r="I7028" s="33" t="s">
        <v>160</v>
      </c>
      <c r="J7028" s="33" t="s">
        <v>3761</v>
      </c>
      <c r="K7028" s="33" t="s">
        <v>3052</v>
      </c>
      <c r="L7028" s="33" t="s">
        <v>13794</v>
      </c>
      <c r="M7028" s="33" t="s">
        <v>21</v>
      </c>
      <c r="N7028" s="33" t="s">
        <v>13795</v>
      </c>
      <c r="O7028" s="33" t="s">
        <v>950</v>
      </c>
      <c r="P7028" s="33" t="s">
        <v>30089</v>
      </c>
      <c r="Q7028" s="40" t="s">
        <v>13796</v>
      </c>
      <c r="R7028" s="33" t="s">
        <v>94</v>
      </c>
      <c r="S7028" s="33" t="s">
        <v>22</v>
      </c>
      <c r="T7028" s="33" t="s">
        <v>26781</v>
      </c>
      <c r="Z7028" s="33" t="s">
        <v>42968</v>
      </c>
      <c r="AA7028" s="33">
        <v>636</v>
      </c>
      <c r="AE7028" s="33"/>
    </row>
    <row r="7029" spans="1:31" ht="12" customHeight="1" x14ac:dyDescent="0.15">
      <c r="A7029" s="33" t="s">
        <v>13787</v>
      </c>
      <c r="B7029" s="33">
        <v>49</v>
      </c>
      <c r="C7029" s="33" t="s">
        <v>14</v>
      </c>
      <c r="D7029" s="33" t="s">
        <v>31</v>
      </c>
      <c r="F7029" s="67">
        <v>41475</v>
      </c>
      <c r="G7029" s="33" t="s">
        <v>22237</v>
      </c>
      <c r="H7029" s="33" t="s">
        <v>13788</v>
      </c>
      <c r="I7029" s="33" t="s">
        <v>46</v>
      </c>
      <c r="J7029" s="33" t="s">
        <v>13789</v>
      </c>
      <c r="K7029" s="33" t="s">
        <v>1487</v>
      </c>
      <c r="L7029" s="33" t="s">
        <v>212</v>
      </c>
      <c r="M7029" s="33" t="s">
        <v>21</v>
      </c>
      <c r="N7029" s="33" t="s">
        <v>13790</v>
      </c>
      <c r="O7029" s="33" t="s">
        <v>950</v>
      </c>
      <c r="P7029" s="33" t="s">
        <v>30089</v>
      </c>
      <c r="Q7029" s="40" t="s">
        <v>13791</v>
      </c>
      <c r="R7029" s="33" t="s">
        <v>94</v>
      </c>
      <c r="S7029" s="33" t="s">
        <v>22</v>
      </c>
      <c r="T7029" s="1" t="s">
        <v>26774</v>
      </c>
      <c r="Z7029" s="33" t="s">
        <v>42968</v>
      </c>
      <c r="AA7029" s="33">
        <v>637</v>
      </c>
    </row>
    <row r="7030" spans="1:31" ht="12" customHeight="1" x14ac:dyDescent="0.15">
      <c r="A7030" s="33" t="s">
        <v>13816</v>
      </c>
      <c r="B7030" s="33">
        <v>46</v>
      </c>
      <c r="C7030" s="33" t="s">
        <v>14</v>
      </c>
      <c r="D7030" s="33" t="s">
        <v>31</v>
      </c>
      <c r="E7030" s="33" t="s">
        <v>13817</v>
      </c>
      <c r="F7030" s="67">
        <v>41474</v>
      </c>
      <c r="G7030" s="33" t="s">
        <v>22238</v>
      </c>
      <c r="H7030" s="33" t="s">
        <v>13818</v>
      </c>
      <c r="I7030" s="33" t="s">
        <v>376</v>
      </c>
      <c r="J7030" s="33" t="s">
        <v>13819</v>
      </c>
      <c r="K7030" s="33" t="s">
        <v>10921</v>
      </c>
      <c r="L7030" s="33" t="s">
        <v>8484</v>
      </c>
      <c r="M7030" s="33" t="s">
        <v>21</v>
      </c>
      <c r="N7030" s="33" t="s">
        <v>13820</v>
      </c>
      <c r="O7030" s="33" t="s">
        <v>950</v>
      </c>
      <c r="P7030" s="33" t="s">
        <v>30089</v>
      </c>
      <c r="Q7030" s="40" t="s">
        <v>13821</v>
      </c>
      <c r="R7030" s="33" t="s">
        <v>94</v>
      </c>
      <c r="S7030" s="33" t="s">
        <v>29</v>
      </c>
      <c r="T7030" s="1" t="s">
        <v>41840</v>
      </c>
      <c r="Z7030" s="33" t="s">
        <v>42968</v>
      </c>
      <c r="AA7030" s="33">
        <v>634</v>
      </c>
    </row>
    <row r="7031" spans="1:31" ht="12" customHeight="1" x14ac:dyDescent="0.15">
      <c r="A7031" s="33" t="s">
        <v>13797</v>
      </c>
      <c r="B7031" s="33">
        <v>47</v>
      </c>
      <c r="C7031" s="33" t="s">
        <v>14</v>
      </c>
      <c r="D7031" s="33" t="s">
        <v>79</v>
      </c>
      <c r="E7031" s="33" t="s">
        <v>13798</v>
      </c>
      <c r="F7031" s="67">
        <v>41474</v>
      </c>
      <c r="G7031" s="33" t="s">
        <v>13799</v>
      </c>
      <c r="H7031" s="33" t="s">
        <v>4499</v>
      </c>
      <c r="I7031" s="33" t="s">
        <v>39</v>
      </c>
      <c r="J7031" s="33" t="s">
        <v>4500</v>
      </c>
      <c r="K7031" s="33" t="s">
        <v>3145</v>
      </c>
      <c r="L7031" s="33" t="s">
        <v>4501</v>
      </c>
      <c r="M7031" s="33" t="s">
        <v>21</v>
      </c>
      <c r="N7031" s="33" t="s">
        <v>13800</v>
      </c>
      <c r="O7031" s="33" t="s">
        <v>507</v>
      </c>
      <c r="P7031" s="33" t="s">
        <v>30089</v>
      </c>
      <c r="Q7031" s="40" t="s">
        <v>13801</v>
      </c>
      <c r="R7031" s="33" t="s">
        <v>94</v>
      </c>
      <c r="S7031" s="33" t="s">
        <v>22</v>
      </c>
      <c r="T7031" s="1" t="s">
        <v>26781</v>
      </c>
      <c r="Z7031" s="33" t="s">
        <v>42968</v>
      </c>
      <c r="AA7031" s="33">
        <v>633</v>
      </c>
    </row>
    <row r="7032" spans="1:31" ht="12" customHeight="1" x14ac:dyDescent="0.15">
      <c r="A7032" s="33" t="s">
        <v>13802</v>
      </c>
      <c r="B7032" s="33">
        <v>29</v>
      </c>
      <c r="C7032" s="33" t="s">
        <v>14</v>
      </c>
      <c r="D7032" s="33" t="s">
        <v>42</v>
      </c>
      <c r="E7032" s="33" t="s">
        <v>13803</v>
      </c>
      <c r="F7032" s="67">
        <v>41474</v>
      </c>
      <c r="G7032" s="33" t="s">
        <v>13804</v>
      </c>
      <c r="H7032" s="33" t="s">
        <v>907</v>
      </c>
      <c r="I7032" s="33" t="s">
        <v>39</v>
      </c>
      <c r="J7032" s="33" t="s">
        <v>13805</v>
      </c>
      <c r="K7032" s="33" t="s">
        <v>92</v>
      </c>
      <c r="L7032" s="33" t="s">
        <v>386</v>
      </c>
      <c r="M7032" s="33" t="s">
        <v>21</v>
      </c>
      <c r="N7032" s="33" t="s">
        <v>13806</v>
      </c>
      <c r="O7032" s="33" t="s">
        <v>950</v>
      </c>
      <c r="P7032" s="33" t="s">
        <v>30089</v>
      </c>
      <c r="Q7032" s="40" t="s">
        <v>13807</v>
      </c>
      <c r="R7032" s="33" t="s">
        <v>23</v>
      </c>
      <c r="S7032" s="33" t="s">
        <v>29</v>
      </c>
      <c r="T7032" s="33" t="s">
        <v>41840</v>
      </c>
      <c r="Z7032" s="33" t="s">
        <v>42966</v>
      </c>
      <c r="AA7032" s="33">
        <v>635</v>
      </c>
    </row>
    <row r="7033" spans="1:31" ht="12" customHeight="1" x14ac:dyDescent="0.15">
      <c r="A7033" s="33" t="s">
        <v>13827</v>
      </c>
      <c r="B7033" s="33">
        <v>42</v>
      </c>
      <c r="C7033" s="33" t="s">
        <v>14</v>
      </c>
      <c r="D7033" s="33" t="s">
        <v>79</v>
      </c>
      <c r="F7033" s="67">
        <v>41473</v>
      </c>
      <c r="G7033" s="33" t="s">
        <v>13828</v>
      </c>
      <c r="H7033" s="33" t="s">
        <v>558</v>
      </c>
      <c r="I7033" s="33" t="s">
        <v>39</v>
      </c>
      <c r="J7033" s="33" t="s">
        <v>13829</v>
      </c>
      <c r="K7033" s="33" t="s">
        <v>558</v>
      </c>
      <c r="L7033" s="33" t="s">
        <v>13830</v>
      </c>
      <c r="M7033" s="33" t="s">
        <v>21</v>
      </c>
      <c r="N7033" s="33" t="s">
        <v>13831</v>
      </c>
      <c r="O7033" s="33" t="s">
        <v>4311</v>
      </c>
      <c r="P7033" s="33" t="s">
        <v>30089</v>
      </c>
      <c r="Q7033" s="40" t="s">
        <v>13832</v>
      </c>
      <c r="R7033" s="33" t="s">
        <v>94</v>
      </c>
      <c r="S7033" s="33" t="s">
        <v>29</v>
      </c>
      <c r="T7033" s="1" t="s">
        <v>41840</v>
      </c>
      <c r="Y7033" s="33" t="s">
        <v>42476</v>
      </c>
      <c r="Z7033" s="33" t="s">
        <v>42966</v>
      </c>
      <c r="AA7033" s="33">
        <v>632</v>
      </c>
    </row>
    <row r="7034" spans="1:31" ht="12" customHeight="1" x14ac:dyDescent="0.15">
      <c r="A7034" s="33" t="s">
        <v>13833</v>
      </c>
      <c r="B7034" s="33">
        <v>44</v>
      </c>
      <c r="C7034" s="33" t="s">
        <v>14</v>
      </c>
      <c r="D7034" s="33" t="s">
        <v>79</v>
      </c>
      <c r="E7034" s="33" t="s">
        <v>13834</v>
      </c>
      <c r="F7034" s="67">
        <v>41473</v>
      </c>
      <c r="G7034" s="33" t="s">
        <v>22239</v>
      </c>
      <c r="H7034" s="33" t="s">
        <v>1487</v>
      </c>
      <c r="I7034" s="33" t="s">
        <v>46</v>
      </c>
      <c r="J7034" s="33" t="s">
        <v>9108</v>
      </c>
      <c r="K7034" s="33" t="s">
        <v>4324</v>
      </c>
      <c r="L7034" s="33" t="s">
        <v>2556</v>
      </c>
      <c r="M7034" s="33" t="s">
        <v>2909</v>
      </c>
      <c r="N7034" s="33" t="s">
        <v>13835</v>
      </c>
      <c r="O7034" s="33" t="s">
        <v>507</v>
      </c>
      <c r="P7034" s="33" t="s">
        <v>30089</v>
      </c>
      <c r="Q7034" s="40" t="s">
        <v>13836</v>
      </c>
      <c r="R7034" s="33" t="s">
        <v>94</v>
      </c>
      <c r="S7034" s="33" t="s">
        <v>12</v>
      </c>
      <c r="T7034" s="54" t="s">
        <v>29705</v>
      </c>
      <c r="Z7034" s="33" t="s">
        <v>42966</v>
      </c>
      <c r="AA7034" s="33">
        <v>631</v>
      </c>
    </row>
    <row r="7035" spans="1:31" ht="12" customHeight="1" x14ac:dyDescent="0.15">
      <c r="A7035" s="33" t="s">
        <v>13837</v>
      </c>
      <c r="B7035" s="33">
        <v>23</v>
      </c>
      <c r="C7035" s="33" t="s">
        <v>14</v>
      </c>
      <c r="D7035" s="33" t="s">
        <v>79</v>
      </c>
      <c r="F7035" s="67">
        <v>41473</v>
      </c>
      <c r="G7035" s="33" t="s">
        <v>13838</v>
      </c>
      <c r="H7035" s="33" t="s">
        <v>13839</v>
      </c>
      <c r="I7035" s="33" t="s">
        <v>56</v>
      </c>
      <c r="J7035" s="33" t="s">
        <v>13840</v>
      </c>
      <c r="K7035" s="33" t="s">
        <v>1052</v>
      </c>
      <c r="L7035" s="33" t="s">
        <v>4045</v>
      </c>
      <c r="M7035" s="33" t="s">
        <v>21</v>
      </c>
      <c r="N7035" s="33" t="s">
        <v>13841</v>
      </c>
      <c r="O7035" s="33" t="s">
        <v>507</v>
      </c>
      <c r="P7035" s="33" t="s">
        <v>30089</v>
      </c>
      <c r="Q7035" s="40" t="s">
        <v>13842</v>
      </c>
      <c r="R7035" s="33" t="s">
        <v>94</v>
      </c>
      <c r="S7035" s="33" t="s">
        <v>22</v>
      </c>
      <c r="T7035" s="1" t="s">
        <v>26781</v>
      </c>
      <c r="Z7035" s="33" t="s">
        <v>42968</v>
      </c>
      <c r="AA7035" s="33">
        <v>629</v>
      </c>
    </row>
    <row r="7036" spans="1:31" ht="12" customHeight="1" x14ac:dyDescent="0.15">
      <c r="A7036" s="33" t="s">
        <v>13843</v>
      </c>
      <c r="B7036" s="33">
        <v>24</v>
      </c>
      <c r="C7036" s="33" t="s">
        <v>14</v>
      </c>
      <c r="D7036" s="33" t="s">
        <v>79</v>
      </c>
      <c r="F7036" s="67">
        <v>41473</v>
      </c>
      <c r="G7036" s="33" t="s">
        <v>13844</v>
      </c>
      <c r="H7036" s="33" t="s">
        <v>13845</v>
      </c>
      <c r="I7036" s="33" t="s">
        <v>39</v>
      </c>
      <c r="J7036" s="33" t="s">
        <v>13846</v>
      </c>
      <c r="K7036" s="33" t="s">
        <v>3145</v>
      </c>
      <c r="L7036" s="33" t="s">
        <v>13847</v>
      </c>
      <c r="M7036" s="33" t="s">
        <v>21</v>
      </c>
      <c r="N7036" s="33" t="s">
        <v>13848</v>
      </c>
      <c r="O7036" s="33" t="s">
        <v>23</v>
      </c>
      <c r="P7036" s="33" t="s">
        <v>30089</v>
      </c>
      <c r="Q7036" s="40" t="s">
        <v>13849</v>
      </c>
      <c r="R7036" s="33" t="s">
        <v>94</v>
      </c>
      <c r="S7036" s="33" t="s">
        <v>22</v>
      </c>
      <c r="T7036" s="1" t="s">
        <v>42986</v>
      </c>
      <c r="Z7036" s="33" t="s">
        <v>42968</v>
      </c>
      <c r="AA7036" s="33">
        <v>630</v>
      </c>
    </row>
    <row r="7037" spans="1:31" ht="12" customHeight="1" x14ac:dyDescent="0.15">
      <c r="A7037" s="33" t="s">
        <v>13822</v>
      </c>
      <c r="B7037" s="33">
        <v>34</v>
      </c>
      <c r="C7037" s="33" t="s">
        <v>14</v>
      </c>
      <c r="D7037" s="33" t="s">
        <v>15</v>
      </c>
      <c r="F7037" s="67">
        <v>41473</v>
      </c>
      <c r="G7037" s="33" t="s">
        <v>13823</v>
      </c>
      <c r="H7037" s="33" t="s">
        <v>45</v>
      </c>
      <c r="I7037" s="33" t="s">
        <v>26</v>
      </c>
      <c r="J7037" s="33" t="s">
        <v>13824</v>
      </c>
      <c r="K7037" s="33" t="s">
        <v>2402</v>
      </c>
      <c r="L7037" s="33" t="s">
        <v>10058</v>
      </c>
      <c r="M7037" s="33" t="s">
        <v>21</v>
      </c>
      <c r="N7037" s="33" t="s">
        <v>13825</v>
      </c>
      <c r="O7037" s="33" t="s">
        <v>372</v>
      </c>
      <c r="P7037" s="33" t="s">
        <v>30089</v>
      </c>
      <c r="Q7037" s="40" t="s">
        <v>13826</v>
      </c>
      <c r="R7037" s="33" t="s">
        <v>94</v>
      </c>
      <c r="S7037" s="33" t="s">
        <v>22</v>
      </c>
      <c r="T7037" s="1" t="s">
        <v>26781</v>
      </c>
      <c r="Z7037" s="33" t="s">
        <v>42968</v>
      </c>
      <c r="AA7037" s="33">
        <v>628</v>
      </c>
    </row>
    <row r="7038" spans="1:31" ht="12" customHeight="1" x14ac:dyDescent="0.15">
      <c r="A7038" s="33" t="s">
        <v>13850</v>
      </c>
      <c r="B7038" s="33">
        <v>19</v>
      </c>
      <c r="C7038" s="33" t="s">
        <v>14</v>
      </c>
      <c r="D7038" s="33" t="s">
        <v>42</v>
      </c>
      <c r="E7038" s="33" t="s">
        <v>13851</v>
      </c>
      <c r="F7038" s="67">
        <v>41472</v>
      </c>
      <c r="G7038" s="33" t="s">
        <v>22240</v>
      </c>
      <c r="H7038" s="33" t="s">
        <v>266</v>
      </c>
      <c r="I7038" s="33" t="s">
        <v>67</v>
      </c>
      <c r="J7038" s="33" t="s">
        <v>6964</v>
      </c>
      <c r="K7038" s="33" t="s">
        <v>266</v>
      </c>
      <c r="L7038" s="33" t="s">
        <v>267</v>
      </c>
      <c r="M7038" s="33" t="s">
        <v>21</v>
      </c>
      <c r="N7038" s="33" t="s">
        <v>13852</v>
      </c>
      <c r="O7038" s="33" t="s">
        <v>507</v>
      </c>
      <c r="P7038" s="33" t="s">
        <v>30089</v>
      </c>
      <c r="Q7038" s="40" t="str">
        <f>HYPERLINK("http://crimeblog.dallasnews.com/2013/07/police-shoot-burglary-suspect-in-confrontation-in-southeast-dallas.html/","http://crimeblog.dallasnews.com/2013/07/police-shoot-burglary-suspect-in-confrontation-in-southeast-dallas.html/")</f>
        <v>http://crimeblog.dallasnews.com/2013/07/police-shoot-burglary-suspect-in-confrontation-in-southeast-dallas.html/</v>
      </c>
      <c r="R7038" s="33" t="s">
        <v>23</v>
      </c>
      <c r="S7038" s="33" t="s">
        <v>12</v>
      </c>
      <c r="T7038" s="54" t="s">
        <v>29705</v>
      </c>
      <c r="Z7038" s="33" t="s">
        <v>42968</v>
      </c>
      <c r="AA7038" s="33">
        <v>627</v>
      </c>
    </row>
    <row r="7039" spans="1:31" ht="12" customHeight="1" x14ac:dyDescent="0.15">
      <c r="A7039" s="33" t="s">
        <v>13853</v>
      </c>
      <c r="B7039" s="33">
        <v>38</v>
      </c>
      <c r="C7039" s="33" t="s">
        <v>14</v>
      </c>
      <c r="D7039" s="33" t="s">
        <v>31</v>
      </c>
      <c r="E7039" s="33" t="s">
        <v>13854</v>
      </c>
      <c r="F7039" s="67">
        <v>41472</v>
      </c>
      <c r="G7039" s="33" t="s">
        <v>22241</v>
      </c>
      <c r="H7039" s="33" t="s">
        <v>233</v>
      </c>
      <c r="I7039" s="33" t="s">
        <v>39</v>
      </c>
      <c r="J7039" s="33" t="s">
        <v>13855</v>
      </c>
      <c r="K7039" s="33" t="s">
        <v>6887</v>
      </c>
      <c r="L7039" s="33" t="s">
        <v>13856</v>
      </c>
      <c r="M7039" s="33" t="s">
        <v>21</v>
      </c>
      <c r="N7039" s="33" t="s">
        <v>13857</v>
      </c>
      <c r="O7039" s="33" t="s">
        <v>507</v>
      </c>
      <c r="P7039" s="33" t="s">
        <v>30089</v>
      </c>
      <c r="Q7039" s="40" t="s">
        <v>13858</v>
      </c>
      <c r="R7039" s="33" t="s">
        <v>94</v>
      </c>
      <c r="S7039" s="33" t="s">
        <v>22</v>
      </c>
      <c r="T7039" s="1" t="s">
        <v>26781</v>
      </c>
      <c r="Z7039" s="33" t="s">
        <v>42967</v>
      </c>
      <c r="AA7039" s="33">
        <v>626</v>
      </c>
    </row>
    <row r="7040" spans="1:31" ht="12" customHeight="1" x14ac:dyDescent="0.15">
      <c r="A7040" s="33" t="s">
        <v>13872</v>
      </c>
      <c r="B7040" s="33">
        <v>68</v>
      </c>
      <c r="C7040" s="33" t="s">
        <v>103</v>
      </c>
      <c r="D7040" s="33" t="s">
        <v>31</v>
      </c>
      <c r="E7040" s="33" t="s">
        <v>13873</v>
      </c>
      <c r="F7040" s="67">
        <v>41471</v>
      </c>
      <c r="G7040" s="33" t="s">
        <v>22243</v>
      </c>
      <c r="H7040" s="33" t="s">
        <v>13874</v>
      </c>
      <c r="I7040" s="33" t="s">
        <v>376</v>
      </c>
      <c r="J7040" s="33" t="s">
        <v>13875</v>
      </c>
      <c r="K7040" s="33" t="s">
        <v>13876</v>
      </c>
      <c r="L7040" s="33" t="s">
        <v>13877</v>
      </c>
      <c r="M7040" s="33" t="s">
        <v>21</v>
      </c>
      <c r="N7040" s="33" t="s">
        <v>13878</v>
      </c>
      <c r="O7040" s="33" t="s">
        <v>507</v>
      </c>
      <c r="P7040" s="33" t="s">
        <v>30089</v>
      </c>
      <c r="Q7040" s="40" t="str">
        <f>HYPERLINK("http://explorevenango.com/vigil-rally-held-for-oil-city-woman-fatally-shot-by-police/","http://explorevenango.com/vigil-rally-held-for-oil-city-woman-fatally-shot-by-police/")</f>
        <v>http://explorevenango.com/vigil-rally-held-for-oil-city-woman-fatally-shot-by-police/</v>
      </c>
      <c r="R7040" s="33" t="s">
        <v>512</v>
      </c>
      <c r="S7040" s="33" t="s">
        <v>22</v>
      </c>
      <c r="T7040" s="1" t="s">
        <v>26774</v>
      </c>
      <c r="Z7040" s="33" t="s">
        <v>42967</v>
      </c>
      <c r="AA7040" s="33">
        <v>624</v>
      </c>
    </row>
    <row r="7041" spans="1:64" ht="12" customHeight="1" x14ac:dyDescent="0.15">
      <c r="A7041" s="33" t="s">
        <v>13869</v>
      </c>
      <c r="B7041" s="33">
        <v>37</v>
      </c>
      <c r="C7041" s="33" t="s">
        <v>14</v>
      </c>
      <c r="D7041" s="33" t="s">
        <v>31</v>
      </c>
      <c r="F7041" s="67">
        <v>41471</v>
      </c>
      <c r="G7041" s="33" t="s">
        <v>22242</v>
      </c>
      <c r="H7041" s="33" t="s">
        <v>92</v>
      </c>
      <c r="I7041" s="33" t="s">
        <v>39</v>
      </c>
      <c r="J7041" s="33" t="s">
        <v>13137</v>
      </c>
      <c r="K7041" s="33" t="s">
        <v>92</v>
      </c>
      <c r="L7041" s="33" t="s">
        <v>93</v>
      </c>
      <c r="M7041" s="33" t="s">
        <v>21</v>
      </c>
      <c r="N7041" s="33" t="s">
        <v>13870</v>
      </c>
      <c r="O7041" s="33" t="s">
        <v>950</v>
      </c>
      <c r="P7041" s="33" t="s">
        <v>30089</v>
      </c>
      <c r="Q7041" s="40" t="s">
        <v>13871</v>
      </c>
      <c r="R7041" s="33" t="s">
        <v>94</v>
      </c>
      <c r="S7041" s="33" t="s">
        <v>22</v>
      </c>
      <c r="T7041" s="1" t="s">
        <v>26781</v>
      </c>
      <c r="Z7041" s="33" t="s">
        <v>42966</v>
      </c>
      <c r="AA7041" s="33">
        <v>622</v>
      </c>
    </row>
    <row r="7042" spans="1:64" ht="12" customHeight="1" x14ac:dyDescent="0.15">
      <c r="A7042" s="63" t="s">
        <v>42677</v>
      </c>
      <c r="B7042" s="99">
        <v>46</v>
      </c>
      <c r="C7042" s="10" t="s">
        <v>14</v>
      </c>
      <c r="D7042" s="10" t="s">
        <v>24</v>
      </c>
      <c r="E7042" s="10"/>
      <c r="F7042" s="67">
        <v>41471</v>
      </c>
      <c r="G7042" s="10" t="s">
        <v>42678</v>
      </c>
      <c r="H7042" s="10" t="s">
        <v>31200</v>
      </c>
      <c r="I7042" s="10" t="s">
        <v>294</v>
      </c>
      <c r="J7042" s="65">
        <v>41256</v>
      </c>
      <c r="K7042" s="10" t="s">
        <v>3032</v>
      </c>
      <c r="L7042" s="10" t="s">
        <v>18258</v>
      </c>
      <c r="M7042" s="10" t="s">
        <v>21</v>
      </c>
      <c r="N7042" s="10" t="s">
        <v>42679</v>
      </c>
      <c r="O7042" s="10" t="s">
        <v>950</v>
      </c>
      <c r="P7042" s="10" t="s">
        <v>30089</v>
      </c>
      <c r="Q7042" s="62" t="s">
        <v>42680</v>
      </c>
      <c r="R7042" s="10" t="s">
        <v>904</v>
      </c>
      <c r="S7042" s="10" t="s">
        <v>22</v>
      </c>
      <c r="T7042" s="10" t="s">
        <v>26781</v>
      </c>
      <c r="U7042" s="10"/>
      <c r="V7042" s="10"/>
      <c r="W7042" s="10"/>
      <c r="X7042" s="89"/>
      <c r="Y7042" s="68"/>
      <c r="Z7042" s="68" t="s">
        <v>42967</v>
      </c>
      <c r="AA7042" s="33">
        <v>623</v>
      </c>
      <c r="AG7042" s="68"/>
      <c r="AK7042" s="68"/>
      <c r="AL7042" s="68"/>
      <c r="AM7042" s="68"/>
      <c r="AN7042" s="68"/>
      <c r="AO7042" s="68"/>
      <c r="AP7042" s="68"/>
      <c r="AQ7042" s="68"/>
      <c r="AR7042" s="68"/>
      <c r="AS7042" s="68"/>
      <c r="AT7042" s="68"/>
      <c r="AU7042" s="68"/>
      <c r="AV7042" s="68"/>
      <c r="AW7042" s="68"/>
      <c r="AX7042" s="68"/>
      <c r="AY7042" s="68"/>
      <c r="AZ7042" s="68"/>
      <c r="BA7042" s="68"/>
      <c r="BB7042" s="68"/>
      <c r="BC7042" s="68"/>
      <c r="BD7042" s="68"/>
      <c r="BE7042" s="68"/>
      <c r="BF7042" s="68"/>
      <c r="BG7042" s="68"/>
      <c r="BH7042" s="68"/>
      <c r="BI7042" s="68"/>
      <c r="BJ7042" s="68"/>
      <c r="BK7042" s="68"/>
      <c r="BL7042" s="68"/>
    </row>
    <row r="7043" spans="1:64" ht="12" customHeight="1" x14ac:dyDescent="0.15">
      <c r="A7043" s="33" t="s">
        <v>13859</v>
      </c>
      <c r="B7043" s="33">
        <v>19</v>
      </c>
      <c r="C7043" s="33" t="s">
        <v>14</v>
      </c>
      <c r="D7043" s="33" t="s">
        <v>79</v>
      </c>
      <c r="E7043" s="33" t="s">
        <v>13860</v>
      </c>
      <c r="F7043" s="67">
        <v>41471</v>
      </c>
      <c r="G7043" s="33" t="s">
        <v>22244</v>
      </c>
      <c r="H7043" s="33" t="s">
        <v>532</v>
      </c>
      <c r="I7043" s="33" t="s">
        <v>67</v>
      </c>
      <c r="J7043" s="33" t="s">
        <v>13861</v>
      </c>
      <c r="K7043" s="33" t="s">
        <v>533</v>
      </c>
      <c r="L7043" s="33" t="s">
        <v>534</v>
      </c>
      <c r="M7043" s="33" t="s">
        <v>21</v>
      </c>
      <c r="N7043" s="33" t="s">
        <v>13862</v>
      </c>
      <c r="O7043" s="33" t="s">
        <v>950</v>
      </c>
      <c r="P7043" s="33" t="s">
        <v>30089</v>
      </c>
      <c r="Q7043" s="40" t="s">
        <v>19083</v>
      </c>
      <c r="R7043" s="33" t="s">
        <v>94</v>
      </c>
      <c r="S7043" s="33" t="s">
        <v>12</v>
      </c>
      <c r="T7043" s="54" t="s">
        <v>29705</v>
      </c>
      <c r="Z7043" s="33" t="s">
        <v>42966</v>
      </c>
      <c r="AA7043" s="33">
        <v>625</v>
      </c>
    </row>
    <row r="7044" spans="1:64" ht="12" customHeight="1" x14ac:dyDescent="0.15">
      <c r="A7044" s="33" t="s">
        <v>13863</v>
      </c>
      <c r="B7044" s="33">
        <v>39</v>
      </c>
      <c r="C7044" s="33" t="s">
        <v>14</v>
      </c>
      <c r="D7044" s="33" t="s">
        <v>79</v>
      </c>
      <c r="E7044" s="33" t="s">
        <v>13864</v>
      </c>
      <c r="F7044" s="67">
        <v>41471</v>
      </c>
      <c r="G7044" s="33" t="s">
        <v>13865</v>
      </c>
      <c r="H7044" s="33" t="s">
        <v>12230</v>
      </c>
      <c r="I7044" s="33" t="s">
        <v>56</v>
      </c>
      <c r="J7044" s="33" t="s">
        <v>13866</v>
      </c>
      <c r="K7044" s="33" t="s">
        <v>2152</v>
      </c>
      <c r="L7044" s="33" t="s">
        <v>12747</v>
      </c>
      <c r="M7044" s="33" t="s">
        <v>21</v>
      </c>
      <c r="N7044" s="33" t="s">
        <v>13867</v>
      </c>
      <c r="O7044" s="33" t="s">
        <v>507</v>
      </c>
      <c r="P7044" s="33" t="s">
        <v>30089</v>
      </c>
      <c r="Q7044" s="40" t="s">
        <v>13868</v>
      </c>
      <c r="R7044" s="33" t="s">
        <v>94</v>
      </c>
      <c r="S7044" s="33" t="s">
        <v>22</v>
      </c>
      <c r="T7044" s="1" t="s">
        <v>26781</v>
      </c>
      <c r="Z7044" s="33" t="s">
        <v>42968</v>
      </c>
      <c r="AA7044" s="33">
        <v>621</v>
      </c>
    </row>
    <row r="7045" spans="1:64" ht="12" customHeight="1" x14ac:dyDescent="0.15">
      <c r="A7045" s="33" t="s">
        <v>13879</v>
      </c>
      <c r="B7045" s="33">
        <v>26</v>
      </c>
      <c r="C7045" s="33" t="s">
        <v>14</v>
      </c>
      <c r="D7045" s="33" t="s">
        <v>79</v>
      </c>
      <c r="E7045" s="33" t="s">
        <v>13880</v>
      </c>
      <c r="F7045" s="67">
        <v>41470</v>
      </c>
      <c r="G7045" s="33" t="s">
        <v>22245</v>
      </c>
      <c r="H7045" s="33" t="s">
        <v>8861</v>
      </c>
      <c r="I7045" s="33" t="s">
        <v>918</v>
      </c>
      <c r="J7045" s="33" t="s">
        <v>13881</v>
      </c>
      <c r="K7045" s="33" t="s">
        <v>2312</v>
      </c>
      <c r="L7045" s="33" t="s">
        <v>8863</v>
      </c>
      <c r="M7045" s="33" t="s">
        <v>21</v>
      </c>
      <c r="N7045" s="33" t="s">
        <v>13882</v>
      </c>
      <c r="O7045" s="33" t="s">
        <v>507</v>
      </c>
      <c r="P7045" s="33" t="s">
        <v>30089</v>
      </c>
      <c r="Q7045" s="40" t="str">
        <f>HYPERLINK("http://hiphopwired.com/2013/07/17/arkansas-cop-kills-wrongfully-suspected-in-car-thief-claims-self-defense/","http://hiphopwired.com/2013/07/17/arkansas-cop-kills-wrongfully-suspected-in-car-thief-claims-self-defense/")</f>
        <v>http://hiphopwired.com/2013/07/17/arkansas-cop-kills-wrongfully-suspected-in-car-thief-claims-self-defense/</v>
      </c>
      <c r="R7045" s="33" t="s">
        <v>94</v>
      </c>
      <c r="S7045" s="33" t="s">
        <v>22</v>
      </c>
      <c r="T7045" s="1" t="s">
        <v>26781</v>
      </c>
      <c r="Z7045" s="33" t="s">
        <v>42968</v>
      </c>
      <c r="AA7045" s="33">
        <v>620</v>
      </c>
    </row>
    <row r="7046" spans="1:64" ht="12" customHeight="1" x14ac:dyDescent="0.15">
      <c r="A7046" s="33" t="s">
        <v>13896</v>
      </c>
      <c r="B7046" s="33">
        <v>24</v>
      </c>
      <c r="C7046" s="33" t="s">
        <v>14</v>
      </c>
      <c r="D7046" s="33" t="s">
        <v>31</v>
      </c>
      <c r="E7046" s="33" t="s">
        <v>13897</v>
      </c>
      <c r="F7046" s="67">
        <v>41469</v>
      </c>
      <c r="G7046" s="33" t="s">
        <v>22246</v>
      </c>
      <c r="H7046" s="33" t="s">
        <v>13898</v>
      </c>
      <c r="I7046" s="33" t="s">
        <v>67</v>
      </c>
      <c r="J7046" s="33" t="s">
        <v>13899</v>
      </c>
      <c r="K7046" s="33" t="s">
        <v>7728</v>
      </c>
      <c r="L7046" s="33" t="s">
        <v>13900</v>
      </c>
      <c r="M7046" s="33" t="s">
        <v>21</v>
      </c>
      <c r="N7046" s="33" t="s">
        <v>13901</v>
      </c>
      <c r="O7046" s="33" t="s">
        <v>507</v>
      </c>
      <c r="P7046" s="33" t="s">
        <v>30089</v>
      </c>
      <c r="Q7046" s="40" t="s">
        <v>13902</v>
      </c>
      <c r="R7046" s="33" t="s">
        <v>94</v>
      </c>
      <c r="S7046" s="33" t="s">
        <v>22</v>
      </c>
      <c r="T7046" s="1" t="s">
        <v>26781</v>
      </c>
      <c r="Z7046" s="33" t="s">
        <v>42968</v>
      </c>
      <c r="AA7046" s="33">
        <v>618</v>
      </c>
    </row>
    <row r="7047" spans="1:64" ht="12" customHeight="1" x14ac:dyDescent="0.15">
      <c r="A7047" s="33" t="s">
        <v>13889</v>
      </c>
      <c r="B7047" s="33">
        <v>34</v>
      </c>
      <c r="C7047" s="33" t="s">
        <v>14</v>
      </c>
      <c r="D7047" s="33" t="s">
        <v>42</v>
      </c>
      <c r="E7047" s="33" t="s">
        <v>13890</v>
      </c>
      <c r="F7047" s="67">
        <v>41469</v>
      </c>
      <c r="G7047" s="33" t="s">
        <v>13891</v>
      </c>
      <c r="H7047" s="33" t="s">
        <v>10335</v>
      </c>
      <c r="I7047" s="33" t="s">
        <v>19</v>
      </c>
      <c r="J7047" s="33" t="s">
        <v>13892</v>
      </c>
      <c r="K7047" s="33" t="s">
        <v>10335</v>
      </c>
      <c r="L7047" s="33" t="s">
        <v>13893</v>
      </c>
      <c r="M7047" s="33" t="s">
        <v>21</v>
      </c>
      <c r="N7047" s="33" t="s">
        <v>13894</v>
      </c>
      <c r="O7047" s="33" t="s">
        <v>507</v>
      </c>
      <c r="P7047" s="33" t="s">
        <v>30089</v>
      </c>
      <c r="Q7047" s="40" t="s">
        <v>13895</v>
      </c>
      <c r="R7047" s="33" t="s">
        <v>512</v>
      </c>
      <c r="S7047" s="33" t="s">
        <v>22</v>
      </c>
      <c r="T7047" s="1" t="s">
        <v>26781</v>
      </c>
      <c r="Z7047" s="33" t="s">
        <v>42968</v>
      </c>
      <c r="AA7047" s="33">
        <v>617</v>
      </c>
    </row>
    <row r="7048" spans="1:64" ht="12" customHeight="1" x14ac:dyDescent="0.15">
      <c r="A7048" s="33" t="s">
        <v>13883</v>
      </c>
      <c r="B7048" s="33">
        <v>76</v>
      </c>
      <c r="C7048" s="33" t="s">
        <v>14</v>
      </c>
      <c r="D7048" s="33" t="s">
        <v>15</v>
      </c>
      <c r="F7048" s="67">
        <v>41469</v>
      </c>
      <c r="G7048" s="33" t="s">
        <v>13884</v>
      </c>
      <c r="H7048" s="33" t="s">
        <v>13885</v>
      </c>
      <c r="I7048" s="33" t="s">
        <v>122</v>
      </c>
      <c r="J7048" s="33" t="s">
        <v>13886</v>
      </c>
      <c r="K7048" s="33" t="s">
        <v>1009</v>
      </c>
      <c r="L7048" s="33" t="s">
        <v>17187</v>
      </c>
      <c r="M7048" s="33" t="s">
        <v>363</v>
      </c>
      <c r="N7048" s="33" t="s">
        <v>13887</v>
      </c>
      <c r="O7048" s="33" t="s">
        <v>950</v>
      </c>
      <c r="P7048" s="33" t="s">
        <v>30089</v>
      </c>
      <c r="Q7048" s="40" t="s">
        <v>13888</v>
      </c>
      <c r="R7048" s="33" t="s">
        <v>94</v>
      </c>
      <c r="S7048" s="33" t="s">
        <v>22</v>
      </c>
      <c r="T7048" s="1" t="s">
        <v>42985</v>
      </c>
      <c r="Z7048" s="33" t="s">
        <v>42968</v>
      </c>
      <c r="AA7048" s="33">
        <v>619</v>
      </c>
    </row>
    <row r="7049" spans="1:64" ht="12" customHeight="1" x14ac:dyDescent="0.15">
      <c r="A7049" s="33" t="s">
        <v>13903</v>
      </c>
      <c r="B7049" s="33">
        <v>25</v>
      </c>
      <c r="C7049" s="33" t="s">
        <v>14</v>
      </c>
      <c r="D7049" s="33" t="s">
        <v>31</v>
      </c>
      <c r="E7049" s="33" t="s">
        <v>13904</v>
      </c>
      <c r="F7049" s="67">
        <v>41468</v>
      </c>
      <c r="G7049" s="33" t="s">
        <v>13905</v>
      </c>
      <c r="H7049" s="33" t="s">
        <v>13906</v>
      </c>
      <c r="I7049" s="33" t="s">
        <v>198</v>
      </c>
      <c r="J7049" s="33" t="s">
        <v>13907</v>
      </c>
      <c r="K7049" s="33" t="s">
        <v>3032</v>
      </c>
      <c r="L7049" s="33" t="s">
        <v>13908</v>
      </c>
      <c r="M7049" s="33" t="s">
        <v>21</v>
      </c>
      <c r="N7049" s="33" t="s">
        <v>13909</v>
      </c>
      <c r="O7049" s="33" t="s">
        <v>507</v>
      </c>
      <c r="P7049" s="33" t="s">
        <v>30089</v>
      </c>
      <c r="Q7049" s="40" t="s">
        <v>13910</v>
      </c>
      <c r="R7049" s="33" t="s">
        <v>94</v>
      </c>
      <c r="S7049" s="33" t="s">
        <v>22</v>
      </c>
      <c r="T7049" s="1" t="s">
        <v>26781</v>
      </c>
      <c r="Z7049" s="33" t="s">
        <v>42967</v>
      </c>
      <c r="AA7049" s="33">
        <v>616</v>
      </c>
    </row>
    <row r="7050" spans="1:64" ht="12" customHeight="1" x14ac:dyDescent="0.15">
      <c r="A7050" s="33" t="s">
        <v>13911</v>
      </c>
      <c r="B7050" s="33">
        <v>42</v>
      </c>
      <c r="C7050" s="33" t="s">
        <v>14</v>
      </c>
      <c r="D7050" s="33" t="s">
        <v>31</v>
      </c>
      <c r="E7050" s="33" t="s">
        <v>13912</v>
      </c>
      <c r="F7050" s="67">
        <v>41467</v>
      </c>
      <c r="G7050" s="33" t="s">
        <v>22247</v>
      </c>
      <c r="H7050" s="33" t="s">
        <v>13913</v>
      </c>
      <c r="I7050" s="33" t="s">
        <v>39</v>
      </c>
      <c r="J7050" s="33" t="s">
        <v>12935</v>
      </c>
      <c r="K7050" s="33" t="s">
        <v>2985</v>
      </c>
      <c r="L7050" s="33" t="s">
        <v>12936</v>
      </c>
      <c r="M7050" s="33" t="s">
        <v>21</v>
      </c>
      <c r="N7050" s="33" t="s">
        <v>13914</v>
      </c>
      <c r="O7050" s="33" t="s">
        <v>507</v>
      </c>
      <c r="P7050" s="33" t="s">
        <v>30089</v>
      </c>
      <c r="Q7050" s="40" t="s">
        <v>13915</v>
      </c>
      <c r="R7050" s="33" t="s">
        <v>94</v>
      </c>
      <c r="S7050" s="33" t="s">
        <v>22</v>
      </c>
      <c r="T7050" s="1" t="s">
        <v>26781</v>
      </c>
      <c r="Z7050" s="33" t="s">
        <v>42968</v>
      </c>
      <c r="AA7050" s="33">
        <v>615</v>
      </c>
    </row>
    <row r="7051" spans="1:64" ht="12" customHeight="1" x14ac:dyDescent="0.15">
      <c r="A7051" s="33" t="s">
        <v>13926</v>
      </c>
      <c r="B7051" s="103">
        <v>26</v>
      </c>
      <c r="C7051" s="33" t="s">
        <v>14</v>
      </c>
      <c r="D7051" s="33" t="s">
        <v>79</v>
      </c>
      <c r="F7051" s="67">
        <v>41466</v>
      </c>
      <c r="G7051" s="33" t="s">
        <v>13927</v>
      </c>
      <c r="H7051" s="33" t="s">
        <v>728</v>
      </c>
      <c r="I7051" s="33" t="s">
        <v>39</v>
      </c>
      <c r="J7051" s="33" t="s">
        <v>11202</v>
      </c>
      <c r="K7051" s="33" t="s">
        <v>728</v>
      </c>
      <c r="L7051" s="33" t="s">
        <v>5461</v>
      </c>
      <c r="M7051" s="33" t="s">
        <v>21</v>
      </c>
      <c r="N7051" s="33" t="s">
        <v>13928</v>
      </c>
      <c r="O7051" s="33" t="s">
        <v>23</v>
      </c>
      <c r="P7051" s="33" t="s">
        <v>30089</v>
      </c>
      <c r="Q7051" s="40" t="s">
        <v>13929</v>
      </c>
      <c r="R7051" s="33" t="s">
        <v>94</v>
      </c>
      <c r="S7051" s="33" t="s">
        <v>22</v>
      </c>
      <c r="T7051" s="1" t="s">
        <v>26781</v>
      </c>
      <c r="Z7051" s="33" t="s">
        <v>42968</v>
      </c>
      <c r="AA7051" s="33">
        <v>612</v>
      </c>
    </row>
    <row r="7052" spans="1:64" ht="12" customHeight="1" x14ac:dyDescent="0.15">
      <c r="A7052" s="33" t="s">
        <v>13916</v>
      </c>
      <c r="B7052" s="33">
        <v>24</v>
      </c>
      <c r="C7052" s="33" t="s">
        <v>14</v>
      </c>
      <c r="D7052" s="33" t="s">
        <v>79</v>
      </c>
      <c r="E7052" s="33" t="s">
        <v>13917</v>
      </c>
      <c r="F7052" s="67">
        <v>41466</v>
      </c>
      <c r="G7052" s="33" t="s">
        <v>13918</v>
      </c>
      <c r="H7052" s="33" t="s">
        <v>1027</v>
      </c>
      <c r="I7052" s="33" t="s">
        <v>367</v>
      </c>
      <c r="J7052" s="33" t="s">
        <v>13919</v>
      </c>
      <c r="K7052" s="33" t="s">
        <v>1028</v>
      </c>
      <c r="L7052" s="33" t="s">
        <v>1029</v>
      </c>
      <c r="M7052" s="33" t="s">
        <v>21</v>
      </c>
      <c r="N7052" s="33" t="s">
        <v>13920</v>
      </c>
      <c r="O7052" s="33" t="s">
        <v>507</v>
      </c>
      <c r="P7052" s="33" t="s">
        <v>30089</v>
      </c>
      <c r="Q7052" s="40" t="str">
        <f>HYPERLINK("http://newsok.com/family-member-identifies-man-shot-by-oklahoma-city-police/article/3861642","http://newsok.com/family-member-identifies-man-shot-by-oklahoma-city-police/article/3861642")</f>
        <v>http://newsok.com/family-member-identifies-man-shot-by-oklahoma-city-police/article/3861642</v>
      </c>
      <c r="R7052" s="33" t="s">
        <v>23</v>
      </c>
      <c r="S7052" s="33" t="s">
        <v>22</v>
      </c>
      <c r="T7052" s="1" t="s">
        <v>26781</v>
      </c>
      <c r="Y7052" s="33" t="s">
        <v>42476</v>
      </c>
      <c r="Z7052" s="33" t="s">
        <v>42966</v>
      </c>
      <c r="AA7052" s="33">
        <v>610</v>
      </c>
    </row>
    <row r="7053" spans="1:64" ht="12" customHeight="1" x14ac:dyDescent="0.15">
      <c r="A7053" s="33" t="s">
        <v>13930</v>
      </c>
      <c r="B7053" s="33">
        <v>31</v>
      </c>
      <c r="C7053" s="33" t="s">
        <v>14</v>
      </c>
      <c r="D7053" s="33" t="s">
        <v>42</v>
      </c>
      <c r="E7053" s="33" t="s">
        <v>13931</v>
      </c>
      <c r="F7053" s="67">
        <v>41466</v>
      </c>
      <c r="G7053" s="33" t="s">
        <v>13932</v>
      </c>
      <c r="H7053" s="33" t="s">
        <v>584</v>
      </c>
      <c r="I7053" s="33" t="s">
        <v>112</v>
      </c>
      <c r="J7053" s="33" t="s">
        <v>4254</v>
      </c>
      <c r="K7053" s="33" t="s">
        <v>585</v>
      </c>
      <c r="L7053" s="33" t="s">
        <v>586</v>
      </c>
      <c r="M7053" s="33" t="s">
        <v>21</v>
      </c>
      <c r="N7053" s="33" t="s">
        <v>13933</v>
      </c>
      <c r="O7053" s="33" t="s">
        <v>950</v>
      </c>
      <c r="P7053" s="33" t="s">
        <v>30089</v>
      </c>
      <c r="Q7053" s="40" t="s">
        <v>13934</v>
      </c>
      <c r="R7053" s="33" t="s">
        <v>94</v>
      </c>
      <c r="S7053" s="33" t="s">
        <v>22</v>
      </c>
      <c r="T7053" s="1" t="s">
        <v>26781</v>
      </c>
      <c r="Z7053" s="33" t="s">
        <v>42968</v>
      </c>
      <c r="AA7053" s="33">
        <v>613</v>
      </c>
    </row>
    <row r="7054" spans="1:64" ht="12" customHeight="1" x14ac:dyDescent="0.15">
      <c r="A7054" s="33" t="s">
        <v>13935</v>
      </c>
      <c r="B7054" s="33">
        <v>24</v>
      </c>
      <c r="C7054" s="33" t="s">
        <v>14</v>
      </c>
      <c r="D7054" s="33" t="s">
        <v>31</v>
      </c>
      <c r="E7054" s="33" t="s">
        <v>13936</v>
      </c>
      <c r="F7054" s="67">
        <v>41466</v>
      </c>
      <c r="G7054" s="33" t="s">
        <v>13937</v>
      </c>
      <c r="H7054" s="33" t="s">
        <v>635</v>
      </c>
      <c r="I7054" s="33" t="s">
        <v>337</v>
      </c>
      <c r="J7054" s="33" t="s">
        <v>13938</v>
      </c>
      <c r="K7054" s="33" t="s">
        <v>636</v>
      </c>
      <c r="L7054" s="33" t="s">
        <v>637</v>
      </c>
      <c r="M7054" s="33" t="s">
        <v>21</v>
      </c>
      <c r="N7054" s="33" t="s">
        <v>13939</v>
      </c>
      <c r="O7054" s="33" t="s">
        <v>507</v>
      </c>
      <c r="P7054" s="33" t="s">
        <v>30089</v>
      </c>
      <c r="Q7054" s="40" t="s">
        <v>13940</v>
      </c>
      <c r="R7054" s="33" t="s">
        <v>904</v>
      </c>
      <c r="S7054" s="33" t="s">
        <v>22</v>
      </c>
      <c r="T7054" s="1" t="s">
        <v>26781</v>
      </c>
      <c r="Z7054" s="33" t="s">
        <v>42968</v>
      </c>
      <c r="AA7054" s="33">
        <v>614</v>
      </c>
    </row>
    <row r="7055" spans="1:64" ht="12" customHeight="1" x14ac:dyDescent="0.15">
      <c r="A7055" s="33" t="s">
        <v>13921</v>
      </c>
      <c r="B7055" s="103">
        <v>27</v>
      </c>
      <c r="C7055" s="33" t="s">
        <v>14</v>
      </c>
      <c r="D7055" s="33" t="s">
        <v>79</v>
      </c>
      <c r="E7055" s="33" t="s">
        <v>13922</v>
      </c>
      <c r="F7055" s="67">
        <v>41466</v>
      </c>
      <c r="G7055" s="33" t="s">
        <v>13923</v>
      </c>
      <c r="H7055" s="33" t="s">
        <v>1506</v>
      </c>
      <c r="I7055" s="33" t="s">
        <v>250</v>
      </c>
      <c r="J7055" s="33" t="s">
        <v>6761</v>
      </c>
      <c r="K7055" s="33" t="s">
        <v>5732</v>
      </c>
      <c r="L7055" s="33" t="s">
        <v>6817</v>
      </c>
      <c r="M7055" s="33" t="s">
        <v>21</v>
      </c>
      <c r="N7055" s="33" t="s">
        <v>13924</v>
      </c>
      <c r="O7055" s="33" t="s">
        <v>23</v>
      </c>
      <c r="P7055" s="33" t="s">
        <v>30089</v>
      </c>
      <c r="Q7055" s="40" t="s">
        <v>13925</v>
      </c>
      <c r="R7055" s="33" t="s">
        <v>512</v>
      </c>
      <c r="S7055" s="33" t="s">
        <v>22</v>
      </c>
      <c r="T7055" s="1" t="s">
        <v>26781</v>
      </c>
      <c r="Z7055" s="33" t="s">
        <v>42968</v>
      </c>
      <c r="AA7055" s="33">
        <v>611</v>
      </c>
    </row>
    <row r="7056" spans="1:64" ht="12" customHeight="1" x14ac:dyDescent="0.15">
      <c r="A7056" s="33" t="s">
        <v>13951</v>
      </c>
      <c r="B7056" s="33">
        <v>30</v>
      </c>
      <c r="C7056" s="33" t="s">
        <v>14</v>
      </c>
      <c r="D7056" s="33" t="s">
        <v>31</v>
      </c>
      <c r="E7056" s="33" t="s">
        <v>13952</v>
      </c>
      <c r="F7056" s="67">
        <v>41465</v>
      </c>
      <c r="G7056" s="33" t="s">
        <v>13953</v>
      </c>
      <c r="H7056" s="33" t="s">
        <v>13954</v>
      </c>
      <c r="I7056" s="33" t="s">
        <v>56</v>
      </c>
      <c r="J7056" s="33" t="s">
        <v>13955</v>
      </c>
      <c r="K7056" s="33" t="s">
        <v>1175</v>
      </c>
      <c r="L7056" s="33" t="s">
        <v>17188</v>
      </c>
      <c r="M7056" s="33" t="s">
        <v>363</v>
      </c>
      <c r="N7056" s="33" t="s">
        <v>13956</v>
      </c>
      <c r="O7056" s="33" t="s">
        <v>372</v>
      </c>
      <c r="P7056" s="33" t="s">
        <v>30089</v>
      </c>
      <c r="Q7056" s="40" t="s">
        <v>19084</v>
      </c>
      <c r="R7056" s="33" t="s">
        <v>94</v>
      </c>
      <c r="S7056" s="33" t="s">
        <v>12</v>
      </c>
      <c r="T7056" s="54" t="s">
        <v>29705</v>
      </c>
      <c r="Z7056" s="33" t="s">
        <v>42968</v>
      </c>
      <c r="AA7056" s="33">
        <v>609</v>
      </c>
    </row>
    <row r="7057" spans="1:31" ht="12" customHeight="1" x14ac:dyDescent="0.15">
      <c r="A7057" s="33" t="s">
        <v>3002</v>
      </c>
      <c r="B7057" s="33">
        <v>20</v>
      </c>
      <c r="C7057" s="33" t="s">
        <v>14</v>
      </c>
      <c r="D7057" s="33" t="s">
        <v>24</v>
      </c>
      <c r="F7057" s="67">
        <v>41465</v>
      </c>
      <c r="G7057" s="33" t="s">
        <v>13948</v>
      </c>
      <c r="H7057" s="33" t="s">
        <v>674</v>
      </c>
      <c r="I7057" s="33" t="s">
        <v>67</v>
      </c>
      <c r="J7057" s="33" t="s">
        <v>11898</v>
      </c>
      <c r="K7057" s="33" t="s">
        <v>515</v>
      </c>
      <c r="L7057" s="33" t="s">
        <v>262</v>
      </c>
      <c r="M7057" s="33" t="s">
        <v>21</v>
      </c>
      <c r="N7057" s="33" t="s">
        <v>13949</v>
      </c>
      <c r="O7057" s="33" t="s">
        <v>4311</v>
      </c>
      <c r="P7057" s="33" t="s">
        <v>30089</v>
      </c>
      <c r="Q7057" s="40" t="s">
        <v>13950</v>
      </c>
      <c r="R7057" s="33" t="s">
        <v>94</v>
      </c>
      <c r="S7057" s="33" t="s">
        <v>22</v>
      </c>
      <c r="T7057" s="1" t="s">
        <v>26781</v>
      </c>
      <c r="Z7057" s="33" t="s">
        <v>42968</v>
      </c>
      <c r="AA7057" s="33">
        <v>608</v>
      </c>
    </row>
    <row r="7058" spans="1:31" ht="12" customHeight="1" x14ac:dyDescent="0.15">
      <c r="A7058" s="33" t="s">
        <v>13941</v>
      </c>
      <c r="B7058" s="33">
        <v>36</v>
      </c>
      <c r="C7058" s="33" t="s">
        <v>14</v>
      </c>
      <c r="D7058" s="33" t="s">
        <v>79</v>
      </c>
      <c r="E7058" s="33" t="s">
        <v>13942</v>
      </c>
      <c r="F7058" s="67">
        <v>41465</v>
      </c>
      <c r="G7058" s="33" t="s">
        <v>13943</v>
      </c>
      <c r="H7058" s="33" t="s">
        <v>13944</v>
      </c>
      <c r="I7058" s="33" t="s">
        <v>192</v>
      </c>
      <c r="J7058" s="33" t="s">
        <v>13945</v>
      </c>
      <c r="K7058" s="33" t="s">
        <v>1337</v>
      </c>
      <c r="L7058" s="33" t="s">
        <v>2530</v>
      </c>
      <c r="M7058" s="33" t="s">
        <v>21</v>
      </c>
      <c r="N7058" s="33" t="s">
        <v>13946</v>
      </c>
      <c r="O7058" s="33" t="s">
        <v>507</v>
      </c>
      <c r="P7058" s="33" t="s">
        <v>30089</v>
      </c>
      <c r="Q7058" s="40" t="s">
        <v>13947</v>
      </c>
      <c r="R7058" s="33" t="s">
        <v>94</v>
      </c>
      <c r="S7058" s="33" t="s">
        <v>22</v>
      </c>
      <c r="T7058" s="1" t="s">
        <v>26781</v>
      </c>
      <c r="Z7058" s="33" t="s">
        <v>42967</v>
      </c>
      <c r="AA7058" s="33">
        <v>607</v>
      </c>
    </row>
    <row r="7059" spans="1:31" ht="12" customHeight="1" x14ac:dyDescent="0.15">
      <c r="A7059" s="33" t="s">
        <v>13975</v>
      </c>
      <c r="B7059" s="33">
        <v>42</v>
      </c>
      <c r="C7059" s="33" t="s">
        <v>14</v>
      </c>
      <c r="D7059" s="33" t="s">
        <v>42</v>
      </c>
      <c r="E7059" s="33" t="s">
        <v>13976</v>
      </c>
      <c r="F7059" s="67">
        <v>41464</v>
      </c>
      <c r="G7059" s="33" t="s">
        <v>22250</v>
      </c>
      <c r="H7059" s="33" t="s">
        <v>12195</v>
      </c>
      <c r="I7059" s="33" t="s">
        <v>112</v>
      </c>
      <c r="J7059" s="33" t="s">
        <v>13977</v>
      </c>
      <c r="K7059" s="33" t="s">
        <v>12195</v>
      </c>
      <c r="L7059" s="33" t="s">
        <v>13978</v>
      </c>
      <c r="M7059" s="33" t="s">
        <v>21</v>
      </c>
      <c r="N7059" s="33" t="s">
        <v>13979</v>
      </c>
      <c r="O7059" s="33" t="s">
        <v>23</v>
      </c>
      <c r="P7059" s="33" t="s">
        <v>30089</v>
      </c>
      <c r="Q7059" s="40" t="s">
        <v>13980</v>
      </c>
      <c r="R7059" s="33" t="s">
        <v>94</v>
      </c>
      <c r="S7059" s="33" t="s">
        <v>22</v>
      </c>
      <c r="T7059" s="1" t="s">
        <v>26781</v>
      </c>
      <c r="Z7059" s="33" t="s">
        <v>42968</v>
      </c>
      <c r="AA7059" s="33">
        <v>603</v>
      </c>
    </row>
    <row r="7060" spans="1:31" ht="12" customHeight="1" x14ac:dyDescent="0.15">
      <c r="A7060" s="33" t="s">
        <v>13963</v>
      </c>
      <c r="B7060" s="33">
        <v>24</v>
      </c>
      <c r="C7060" s="33" t="s">
        <v>14</v>
      </c>
      <c r="D7060" s="33" t="s">
        <v>79</v>
      </c>
      <c r="E7060" s="33" t="s">
        <v>13964</v>
      </c>
      <c r="F7060" s="67">
        <v>41464</v>
      </c>
      <c r="G7060" s="33" t="s">
        <v>22249</v>
      </c>
      <c r="H7060" s="33" t="s">
        <v>603</v>
      </c>
      <c r="I7060" s="33" t="s">
        <v>56</v>
      </c>
      <c r="J7060" s="33">
        <v>32210</v>
      </c>
      <c r="K7060" s="33" t="s">
        <v>604</v>
      </c>
      <c r="L7060" s="33" t="s">
        <v>605</v>
      </c>
      <c r="M7060" s="33" t="s">
        <v>21</v>
      </c>
      <c r="N7060" s="33" t="s">
        <v>13965</v>
      </c>
      <c r="O7060" s="33" t="s">
        <v>23</v>
      </c>
      <c r="P7060" s="33" t="s">
        <v>30089</v>
      </c>
      <c r="Q7060" s="40" t="s">
        <v>13966</v>
      </c>
      <c r="R7060" s="33" t="s">
        <v>94</v>
      </c>
      <c r="S7060" s="33" t="s">
        <v>22</v>
      </c>
      <c r="T7060" s="1" t="s">
        <v>26781</v>
      </c>
      <c r="Z7060" s="33" t="s">
        <v>42968</v>
      </c>
      <c r="AA7060" s="33">
        <v>602</v>
      </c>
    </row>
    <row r="7061" spans="1:31" ht="12" customHeight="1" x14ac:dyDescent="0.15">
      <c r="A7061" s="33" t="s">
        <v>13967</v>
      </c>
      <c r="B7061" s="33">
        <v>40</v>
      </c>
      <c r="C7061" s="33" t="s">
        <v>14</v>
      </c>
      <c r="D7061" s="33" t="s">
        <v>42</v>
      </c>
      <c r="E7061" s="33" t="s">
        <v>13968</v>
      </c>
      <c r="F7061" s="67">
        <v>41464</v>
      </c>
      <c r="G7061" s="33" t="s">
        <v>13969</v>
      </c>
      <c r="H7061" s="33" t="s">
        <v>13970</v>
      </c>
      <c r="I7061" s="33" t="s">
        <v>75</v>
      </c>
      <c r="J7061" s="33" t="s">
        <v>13971</v>
      </c>
      <c r="K7061" s="33" t="s">
        <v>486</v>
      </c>
      <c r="L7061" s="33" t="s">
        <v>13972</v>
      </c>
      <c r="M7061" s="33" t="s">
        <v>21</v>
      </c>
      <c r="N7061" s="33" t="s">
        <v>13973</v>
      </c>
      <c r="O7061" s="33" t="s">
        <v>13974</v>
      </c>
      <c r="P7061" s="33" t="s">
        <v>30089</v>
      </c>
      <c r="Q7061" s="40" t="str">
        <f>HYPERLINK("http://www.nj.com/essex/index.ssf/2013/09/woman_files_multi-million_dollar_suit_against_belleville_after_police_shot_husband_24_times.html","http://www.nj.com/essex/index.ssf/2013/09/woman_files_multi-million_dollar_suit_against_belleville_after_police_shot_husband_24_times.html")</f>
        <v>http://www.nj.com/essex/index.ssf/2013/09/woman_files_multi-million_dollar_suit_against_belleville_after_police_shot_husband_24_times.html</v>
      </c>
      <c r="R7061" s="33" t="s">
        <v>904</v>
      </c>
      <c r="S7061" s="33" t="s">
        <v>22</v>
      </c>
      <c r="T7061" s="1" t="s">
        <v>42984</v>
      </c>
      <c r="Z7061" s="33" t="s">
        <v>42968</v>
      </c>
      <c r="AA7061" s="33">
        <v>605</v>
      </c>
    </row>
    <row r="7062" spans="1:31" ht="12" customHeight="1" x14ac:dyDescent="0.15">
      <c r="A7062" s="33" t="s">
        <v>13981</v>
      </c>
      <c r="B7062" s="33">
        <v>46</v>
      </c>
      <c r="C7062" s="33" t="s">
        <v>14</v>
      </c>
      <c r="D7062" s="33" t="s">
        <v>24</v>
      </c>
      <c r="F7062" s="67">
        <v>41464</v>
      </c>
      <c r="G7062" s="33" t="s">
        <v>13982</v>
      </c>
      <c r="H7062" s="33" t="s">
        <v>13983</v>
      </c>
      <c r="I7062" s="33" t="s">
        <v>39</v>
      </c>
      <c r="J7062" s="33" t="s">
        <v>13984</v>
      </c>
      <c r="K7062" s="33" t="s">
        <v>728</v>
      </c>
      <c r="L7062" s="33" t="s">
        <v>729</v>
      </c>
      <c r="M7062" s="33" t="s">
        <v>21</v>
      </c>
      <c r="N7062" s="33" t="s">
        <v>13985</v>
      </c>
      <c r="O7062" s="33" t="s">
        <v>950</v>
      </c>
      <c r="P7062" s="33" t="s">
        <v>30089</v>
      </c>
      <c r="Q7062" s="40" t="s">
        <v>13986</v>
      </c>
      <c r="R7062" s="33" t="s">
        <v>23</v>
      </c>
      <c r="S7062" s="33" t="s">
        <v>22</v>
      </c>
      <c r="T7062" s="1" t="s">
        <v>26774</v>
      </c>
      <c r="Z7062" s="33" t="s">
        <v>42967</v>
      </c>
      <c r="AA7062" s="33">
        <v>604</v>
      </c>
    </row>
    <row r="7063" spans="1:31" ht="12" customHeight="1" x14ac:dyDescent="0.15">
      <c r="A7063" s="33" t="s">
        <v>13957</v>
      </c>
      <c r="B7063" s="33">
        <v>40</v>
      </c>
      <c r="C7063" s="33" t="s">
        <v>14</v>
      </c>
      <c r="D7063" s="33" t="s">
        <v>79</v>
      </c>
      <c r="E7063" s="33" t="s">
        <v>13958</v>
      </c>
      <c r="F7063" s="67">
        <v>41464</v>
      </c>
      <c r="G7063" s="33" t="s">
        <v>22248</v>
      </c>
      <c r="H7063" s="33" t="s">
        <v>13959</v>
      </c>
      <c r="I7063" s="33" t="s">
        <v>402</v>
      </c>
      <c r="J7063" s="33" t="s">
        <v>13960</v>
      </c>
      <c r="K7063" s="33" t="s">
        <v>661</v>
      </c>
      <c r="L7063" s="33" t="s">
        <v>13961</v>
      </c>
      <c r="M7063" s="33" t="s">
        <v>19024</v>
      </c>
      <c r="N7063" s="33" t="s">
        <v>19085</v>
      </c>
      <c r="O7063" s="33" t="s">
        <v>372</v>
      </c>
      <c r="P7063" s="33" t="s">
        <v>30089</v>
      </c>
      <c r="Q7063" s="40" t="s">
        <v>13962</v>
      </c>
      <c r="R7063" s="33" t="s">
        <v>94</v>
      </c>
      <c r="S7063" s="33" t="s">
        <v>12</v>
      </c>
      <c r="T7063" s="54" t="s">
        <v>29705</v>
      </c>
      <c r="Z7063" s="33" t="s">
        <v>42968</v>
      </c>
      <c r="AA7063" s="33">
        <v>606</v>
      </c>
    </row>
    <row r="7064" spans="1:31" ht="12" customHeight="1" x14ac:dyDescent="0.15">
      <c r="A7064" s="33" t="s">
        <v>13995</v>
      </c>
      <c r="B7064" s="33">
        <v>55</v>
      </c>
      <c r="C7064" s="33" t="s">
        <v>14</v>
      </c>
      <c r="D7064" s="33" t="s">
        <v>24</v>
      </c>
      <c r="F7064" s="67">
        <v>41463</v>
      </c>
      <c r="G7064" s="33" t="s">
        <v>13996</v>
      </c>
      <c r="H7064" s="33" t="s">
        <v>13997</v>
      </c>
      <c r="I7064" s="33" t="s">
        <v>376</v>
      </c>
      <c r="J7064" s="33" t="s">
        <v>9422</v>
      </c>
      <c r="K7064" s="33" t="s">
        <v>9421</v>
      </c>
      <c r="L7064" s="33" t="s">
        <v>8484</v>
      </c>
      <c r="M7064" s="33" t="s">
        <v>21</v>
      </c>
      <c r="N7064" s="33" t="s">
        <v>13998</v>
      </c>
      <c r="O7064" s="33" t="s">
        <v>507</v>
      </c>
      <c r="P7064" s="33" t="s">
        <v>30089</v>
      </c>
      <c r="Q7064" s="40" t="s">
        <v>13999</v>
      </c>
      <c r="R7064" s="33" t="s">
        <v>94</v>
      </c>
      <c r="S7064" s="33" t="s">
        <v>22</v>
      </c>
      <c r="T7064" s="1" t="s">
        <v>26781</v>
      </c>
      <c r="Z7064" s="33" t="s">
        <v>42968</v>
      </c>
      <c r="AA7064" s="33">
        <v>599</v>
      </c>
    </row>
    <row r="7065" spans="1:31" ht="12" customHeight="1" x14ac:dyDescent="0.15">
      <c r="A7065" s="33" t="s">
        <v>14000</v>
      </c>
      <c r="B7065" s="33">
        <v>52</v>
      </c>
      <c r="C7065" s="33" t="s">
        <v>14</v>
      </c>
      <c r="D7065" s="33" t="s">
        <v>31</v>
      </c>
      <c r="F7065" s="67">
        <v>41463</v>
      </c>
      <c r="G7065" s="33" t="s">
        <v>14001</v>
      </c>
      <c r="H7065" s="33" t="s">
        <v>14002</v>
      </c>
      <c r="I7065" s="33" t="s">
        <v>38</v>
      </c>
      <c r="J7065" s="33" t="s">
        <v>14003</v>
      </c>
      <c r="K7065" s="33" t="s">
        <v>7119</v>
      </c>
      <c r="L7065" s="33" t="s">
        <v>14004</v>
      </c>
      <c r="M7065" s="33" t="s">
        <v>21</v>
      </c>
      <c r="N7065" s="33" t="s">
        <v>14005</v>
      </c>
      <c r="O7065" s="33" t="s">
        <v>507</v>
      </c>
      <c r="P7065" s="33" t="s">
        <v>30089</v>
      </c>
      <c r="Q7065" s="40" t="s">
        <v>14006</v>
      </c>
      <c r="R7065" s="33" t="s">
        <v>512</v>
      </c>
      <c r="S7065" s="33" t="s">
        <v>22</v>
      </c>
      <c r="T7065" s="1" t="s">
        <v>26781</v>
      </c>
      <c r="Z7065" s="33" t="s">
        <v>42968</v>
      </c>
      <c r="AA7065" s="33">
        <v>601</v>
      </c>
    </row>
    <row r="7066" spans="1:31" ht="12" customHeight="1" x14ac:dyDescent="0.15">
      <c r="A7066" s="33" t="s">
        <v>13987</v>
      </c>
      <c r="B7066" s="33">
        <v>57</v>
      </c>
      <c r="C7066" s="33" t="s">
        <v>14</v>
      </c>
      <c r="D7066" s="33" t="s">
        <v>79</v>
      </c>
      <c r="E7066" s="33" t="s">
        <v>13988</v>
      </c>
      <c r="F7066" s="67">
        <v>41463</v>
      </c>
      <c r="G7066" s="33" t="s">
        <v>13989</v>
      </c>
      <c r="H7066" s="33" t="s">
        <v>2595</v>
      </c>
      <c r="I7066" s="33" t="s">
        <v>56</v>
      </c>
      <c r="J7066" s="33" t="s">
        <v>13990</v>
      </c>
      <c r="K7066" s="33" t="s">
        <v>3214</v>
      </c>
      <c r="L7066" s="33" t="s">
        <v>13991</v>
      </c>
      <c r="M7066" s="33" t="s">
        <v>21</v>
      </c>
      <c r="N7066" s="33" t="s">
        <v>13992</v>
      </c>
      <c r="O7066" s="33" t="s">
        <v>507</v>
      </c>
      <c r="P7066" s="33" t="s">
        <v>30089</v>
      </c>
      <c r="Q7066" s="40" t="s">
        <v>13993</v>
      </c>
      <c r="R7066" s="33" t="s">
        <v>94</v>
      </c>
      <c r="S7066" s="33" t="s">
        <v>22</v>
      </c>
      <c r="T7066" s="1" t="s">
        <v>26781</v>
      </c>
      <c r="Z7066" s="33" t="s">
        <v>42966</v>
      </c>
      <c r="AA7066" s="33">
        <v>598</v>
      </c>
    </row>
    <row r="7067" spans="1:31" ht="12" customHeight="1" x14ac:dyDescent="0.15">
      <c r="A7067" s="33" t="s">
        <v>14014</v>
      </c>
      <c r="B7067" s="33">
        <v>27</v>
      </c>
      <c r="C7067" s="33" t="s">
        <v>14</v>
      </c>
      <c r="D7067" s="33" t="s">
        <v>31</v>
      </c>
      <c r="E7067" s="33" t="s">
        <v>14015</v>
      </c>
      <c r="F7067" s="67">
        <v>41463</v>
      </c>
      <c r="G7067" s="33" t="s">
        <v>14016</v>
      </c>
      <c r="H7067" s="33" t="s">
        <v>14017</v>
      </c>
      <c r="I7067" s="33" t="s">
        <v>376</v>
      </c>
      <c r="J7067" s="33" t="s">
        <v>14018</v>
      </c>
      <c r="K7067" s="33" t="s">
        <v>1530</v>
      </c>
      <c r="L7067" s="33" t="s">
        <v>36942</v>
      </c>
      <c r="M7067" s="33" t="s">
        <v>21</v>
      </c>
      <c r="N7067" s="33" t="s">
        <v>14019</v>
      </c>
      <c r="O7067" s="33" t="s">
        <v>507</v>
      </c>
      <c r="P7067" s="33" t="s">
        <v>30089</v>
      </c>
      <c r="Q7067" s="40" t="str">
        <f>HYPERLINK("http://www.post-gazette.com/stories/local/neighborhoods-north/man-shot-to-death-in-sewickley-694786/","http://www.post-gazette.com/stories/local/neighborhoods-north/man-shot-to-death-in-sewickley-694786/")</f>
        <v>http://www.post-gazette.com/stories/local/neighborhoods-north/man-shot-to-death-in-sewickley-694786/</v>
      </c>
      <c r="R7067" s="33" t="s">
        <v>94</v>
      </c>
      <c r="S7067" s="33" t="s">
        <v>22</v>
      </c>
      <c r="T7067" s="1" t="s">
        <v>26781</v>
      </c>
      <c r="Z7067" s="33" t="s">
        <v>42968</v>
      </c>
      <c r="AA7067" s="33">
        <v>597</v>
      </c>
    </row>
    <row r="7068" spans="1:31" ht="12" customHeight="1" x14ac:dyDescent="0.15">
      <c r="A7068" s="33" t="s">
        <v>14007</v>
      </c>
      <c r="B7068" s="33">
        <v>50</v>
      </c>
      <c r="C7068" s="33" t="s">
        <v>14</v>
      </c>
      <c r="D7068" s="33" t="s">
        <v>31</v>
      </c>
      <c r="E7068" s="33" t="s">
        <v>14008</v>
      </c>
      <c r="F7068" s="67">
        <v>41463</v>
      </c>
      <c r="G7068" s="33" t="s">
        <v>22251</v>
      </c>
      <c r="H7068" s="33" t="s">
        <v>14009</v>
      </c>
      <c r="I7068" s="33" t="s">
        <v>160</v>
      </c>
      <c r="J7068" s="33" t="s">
        <v>14010</v>
      </c>
      <c r="K7068" s="33" t="s">
        <v>3428</v>
      </c>
      <c r="L7068" s="33" t="s">
        <v>14011</v>
      </c>
      <c r="M7068" s="33" t="s">
        <v>21</v>
      </c>
      <c r="N7068" s="33" t="s">
        <v>14012</v>
      </c>
      <c r="O7068" s="33" t="s">
        <v>372</v>
      </c>
      <c r="P7068" s="33" t="s">
        <v>30089</v>
      </c>
      <c r="Q7068" s="40" t="s">
        <v>14013</v>
      </c>
      <c r="R7068" s="33" t="s">
        <v>512</v>
      </c>
      <c r="S7068" s="33" t="s">
        <v>22</v>
      </c>
      <c r="T7068" s="1" t="s">
        <v>26781</v>
      </c>
      <c r="Z7068" s="33" t="s">
        <v>42968</v>
      </c>
      <c r="AA7068" s="33">
        <v>600</v>
      </c>
    </row>
    <row r="7069" spans="1:31" ht="12" customHeight="1" x14ac:dyDescent="0.15">
      <c r="A7069" s="33" t="s">
        <v>14025</v>
      </c>
      <c r="B7069" s="33">
        <v>35</v>
      </c>
      <c r="C7069" s="33" t="s">
        <v>14</v>
      </c>
      <c r="D7069" s="33" t="s">
        <v>42</v>
      </c>
      <c r="E7069" s="33" t="s">
        <v>14026</v>
      </c>
      <c r="F7069" s="67">
        <v>41462</v>
      </c>
      <c r="G7069" s="33" t="s">
        <v>14027</v>
      </c>
      <c r="H7069" s="33" t="s">
        <v>116</v>
      </c>
      <c r="I7069" s="33" t="s">
        <v>67</v>
      </c>
      <c r="J7069" s="33" t="s">
        <v>14028</v>
      </c>
      <c r="K7069" s="33" t="s">
        <v>14029</v>
      </c>
      <c r="L7069" s="33" t="s">
        <v>14030</v>
      </c>
      <c r="M7069" s="33" t="s">
        <v>21</v>
      </c>
      <c r="N7069" s="33" t="s">
        <v>14031</v>
      </c>
      <c r="O7069" s="33" t="s">
        <v>23</v>
      </c>
      <c r="P7069" s="33" t="s">
        <v>30089</v>
      </c>
      <c r="Q7069" s="40" t="s">
        <v>14032</v>
      </c>
      <c r="R7069" s="33" t="s">
        <v>94</v>
      </c>
      <c r="S7069" s="33" t="s">
        <v>12</v>
      </c>
      <c r="T7069" s="33" t="s">
        <v>29425</v>
      </c>
      <c r="Z7069" s="33" t="s">
        <v>42966</v>
      </c>
      <c r="AA7069" s="33">
        <v>594</v>
      </c>
      <c r="AE7069" s="33"/>
    </row>
    <row r="7070" spans="1:31" ht="12" customHeight="1" x14ac:dyDescent="0.15">
      <c r="A7070" s="33" t="s">
        <v>14033</v>
      </c>
      <c r="B7070" s="33">
        <v>62</v>
      </c>
      <c r="C7070" s="33" t="s">
        <v>14</v>
      </c>
      <c r="D7070" s="33" t="s">
        <v>31</v>
      </c>
      <c r="F7070" s="67">
        <v>41462</v>
      </c>
      <c r="G7070" s="33" t="s">
        <v>14034</v>
      </c>
      <c r="H7070" s="33" t="s">
        <v>14035</v>
      </c>
      <c r="I7070" s="33" t="s">
        <v>38</v>
      </c>
      <c r="J7070" s="33" t="s">
        <v>14036</v>
      </c>
      <c r="K7070" s="33" t="s">
        <v>1203</v>
      </c>
      <c r="L7070" s="33" t="s">
        <v>14037</v>
      </c>
      <c r="M7070" s="33" t="s">
        <v>26725</v>
      </c>
      <c r="N7070" s="33" t="s">
        <v>14038</v>
      </c>
      <c r="O7070" s="33" t="s">
        <v>19026</v>
      </c>
      <c r="P7070" s="33" t="s">
        <v>19026</v>
      </c>
      <c r="Q7070" s="40" t="s">
        <v>14039</v>
      </c>
      <c r="R7070" s="33" t="s">
        <v>94</v>
      </c>
      <c r="S7070" s="33" t="s">
        <v>12</v>
      </c>
      <c r="T7070" s="54" t="s">
        <v>29705</v>
      </c>
      <c r="Z7070" s="33" t="s">
        <v>42968</v>
      </c>
      <c r="AA7070" s="33">
        <v>595</v>
      </c>
    </row>
    <row r="7071" spans="1:31" ht="12" customHeight="1" x14ac:dyDescent="0.15">
      <c r="A7071" s="33" t="s">
        <v>14040</v>
      </c>
      <c r="B7071" s="33">
        <v>29</v>
      </c>
      <c r="C7071" s="33" t="s">
        <v>14</v>
      </c>
      <c r="D7071" s="33" t="s">
        <v>31</v>
      </c>
      <c r="E7071" s="33" t="s">
        <v>14041</v>
      </c>
      <c r="F7071" s="67">
        <v>41462</v>
      </c>
      <c r="G7071" s="33" t="s">
        <v>22253</v>
      </c>
      <c r="H7071" s="33" t="s">
        <v>14042</v>
      </c>
      <c r="I7071" s="33" t="s">
        <v>39</v>
      </c>
      <c r="J7071" s="33" t="s">
        <v>14043</v>
      </c>
      <c r="K7071" s="33" t="s">
        <v>728</v>
      </c>
      <c r="L7071" s="33" t="s">
        <v>729</v>
      </c>
      <c r="M7071" s="33" t="s">
        <v>21</v>
      </c>
      <c r="N7071" s="33" t="s">
        <v>14044</v>
      </c>
      <c r="O7071" s="33" t="s">
        <v>372</v>
      </c>
      <c r="P7071" s="33" t="s">
        <v>30089</v>
      </c>
      <c r="Q7071" s="40" t="s">
        <v>14045</v>
      </c>
      <c r="R7071" s="33" t="s">
        <v>94</v>
      </c>
      <c r="S7071" s="33" t="s">
        <v>351</v>
      </c>
      <c r="T7071" s="1" t="s">
        <v>26867</v>
      </c>
      <c r="Z7071" s="33" t="s">
        <v>42968</v>
      </c>
      <c r="AA7071" s="33">
        <v>596</v>
      </c>
    </row>
    <row r="7072" spans="1:31" ht="12" customHeight="1" x14ac:dyDescent="0.15">
      <c r="A7072" s="33" t="s">
        <v>14020</v>
      </c>
      <c r="B7072" s="33">
        <v>29</v>
      </c>
      <c r="C7072" s="33" t="s">
        <v>14</v>
      </c>
      <c r="D7072" s="33" t="s">
        <v>79</v>
      </c>
      <c r="E7072" s="33" t="s">
        <v>14021</v>
      </c>
      <c r="F7072" s="67">
        <v>41462</v>
      </c>
      <c r="G7072" s="33" t="s">
        <v>22252</v>
      </c>
      <c r="H7072" s="33" t="s">
        <v>834</v>
      </c>
      <c r="I7072" s="33" t="s">
        <v>294</v>
      </c>
      <c r="J7072" s="33" t="s">
        <v>14022</v>
      </c>
      <c r="K7072" s="33" t="s">
        <v>1659</v>
      </c>
      <c r="L7072" s="33" t="s">
        <v>835</v>
      </c>
      <c r="M7072" s="33" t="s">
        <v>21</v>
      </c>
      <c r="N7072" s="33" t="s">
        <v>14023</v>
      </c>
      <c r="O7072" s="33" t="s">
        <v>950</v>
      </c>
      <c r="P7072" s="33" t="s">
        <v>30089</v>
      </c>
      <c r="Q7072" s="40" t="s">
        <v>14024</v>
      </c>
      <c r="R7072" s="33" t="s">
        <v>94</v>
      </c>
      <c r="S7072" s="33" t="s">
        <v>22</v>
      </c>
      <c r="T7072" s="1" t="s">
        <v>26781</v>
      </c>
      <c r="Z7072" s="33" t="s">
        <v>42968</v>
      </c>
      <c r="AA7072" s="33">
        <v>593</v>
      </c>
    </row>
    <row r="7073" spans="1:31" ht="12" customHeight="1" x14ac:dyDescent="0.15">
      <c r="A7073" s="33" t="s">
        <v>14046</v>
      </c>
      <c r="B7073" s="33">
        <v>27</v>
      </c>
      <c r="C7073" s="33" t="s">
        <v>14</v>
      </c>
      <c r="D7073" s="33" t="s">
        <v>15</v>
      </c>
      <c r="F7073" s="67">
        <v>41461</v>
      </c>
      <c r="G7073" s="33" t="s">
        <v>22254</v>
      </c>
      <c r="H7073" s="33" t="s">
        <v>183</v>
      </c>
      <c r="I7073" s="33" t="s">
        <v>39</v>
      </c>
      <c r="J7073" s="33" t="s">
        <v>14047</v>
      </c>
      <c r="K7073" s="33" t="s">
        <v>183</v>
      </c>
      <c r="L7073" s="33" t="s">
        <v>184</v>
      </c>
      <c r="M7073" s="33" t="s">
        <v>21</v>
      </c>
      <c r="N7073" s="33" t="s">
        <v>14048</v>
      </c>
      <c r="O7073" s="33" t="s">
        <v>950</v>
      </c>
      <c r="P7073" s="33" t="s">
        <v>30089</v>
      </c>
      <c r="Q7073" s="40" t="s">
        <v>14049</v>
      </c>
      <c r="R7073" s="33" t="s">
        <v>94</v>
      </c>
      <c r="S7073" s="33" t="s">
        <v>22</v>
      </c>
      <c r="T7073" s="1" t="s">
        <v>26781</v>
      </c>
      <c r="Z7073" s="33" t="s">
        <v>42966</v>
      </c>
      <c r="AA7073" s="33">
        <v>589</v>
      </c>
    </row>
    <row r="7074" spans="1:31" ht="12" customHeight="1" x14ac:dyDescent="0.15">
      <c r="A7074" s="33" t="s">
        <v>14057</v>
      </c>
      <c r="B7074" s="33">
        <v>34</v>
      </c>
      <c r="C7074" s="33" t="s">
        <v>14</v>
      </c>
      <c r="D7074" s="33" t="s">
        <v>24</v>
      </c>
      <c r="F7074" s="67">
        <v>41461</v>
      </c>
      <c r="G7074" s="33" t="s">
        <v>14058</v>
      </c>
      <c r="H7074" s="33" t="s">
        <v>584</v>
      </c>
      <c r="I7074" s="33" t="s">
        <v>112</v>
      </c>
      <c r="J7074" s="33" t="s">
        <v>2590</v>
      </c>
      <c r="K7074" s="33" t="s">
        <v>585</v>
      </c>
      <c r="L7074" s="33" t="s">
        <v>586</v>
      </c>
      <c r="M7074" s="33" t="s">
        <v>21</v>
      </c>
      <c r="N7074" s="33" t="s">
        <v>14059</v>
      </c>
      <c r="O7074" s="33" t="s">
        <v>950</v>
      </c>
      <c r="P7074" s="33" t="s">
        <v>30089</v>
      </c>
      <c r="Q7074" s="40" t="s">
        <v>14060</v>
      </c>
      <c r="R7074" s="33" t="s">
        <v>512</v>
      </c>
      <c r="S7074" s="33" t="s">
        <v>22</v>
      </c>
      <c r="T7074" s="1" t="s">
        <v>26774</v>
      </c>
      <c r="Z7074" s="33" t="s">
        <v>42966</v>
      </c>
      <c r="AA7074" s="33">
        <v>592</v>
      </c>
    </row>
    <row r="7075" spans="1:31" ht="12" customHeight="1" x14ac:dyDescent="0.15">
      <c r="A7075" s="33" t="s">
        <v>14061</v>
      </c>
      <c r="B7075" s="33">
        <v>59</v>
      </c>
      <c r="C7075" s="33" t="s">
        <v>14</v>
      </c>
      <c r="D7075" s="33" t="s">
        <v>31</v>
      </c>
      <c r="E7075" s="33" t="s">
        <v>14062</v>
      </c>
      <c r="F7075" s="67">
        <v>41461</v>
      </c>
      <c r="G7075" s="33" t="s">
        <v>14063</v>
      </c>
      <c r="H7075" s="33" t="s">
        <v>3855</v>
      </c>
      <c r="I7075" s="33" t="s">
        <v>338</v>
      </c>
      <c r="J7075" s="33" t="s">
        <v>8263</v>
      </c>
      <c r="K7075" s="33" t="s">
        <v>3857</v>
      </c>
      <c r="L7075" s="33" t="s">
        <v>3858</v>
      </c>
      <c r="M7075" s="33" t="s">
        <v>21</v>
      </c>
      <c r="N7075" s="33" t="s">
        <v>14064</v>
      </c>
      <c r="O7075" s="33" t="s">
        <v>507</v>
      </c>
      <c r="P7075" s="33" t="s">
        <v>30089</v>
      </c>
      <c r="Q7075" s="40" t="s">
        <v>14065</v>
      </c>
      <c r="R7075" s="33" t="s">
        <v>94</v>
      </c>
      <c r="S7075" s="33" t="s">
        <v>22</v>
      </c>
      <c r="T7075" s="1" t="s">
        <v>26781</v>
      </c>
      <c r="Z7075" s="33" t="s">
        <v>42966</v>
      </c>
      <c r="AA7075" s="33">
        <v>591</v>
      </c>
    </row>
    <row r="7076" spans="1:31" ht="12" customHeight="1" x14ac:dyDescent="0.15">
      <c r="A7076" s="33" t="s">
        <v>14050</v>
      </c>
      <c r="B7076" s="33">
        <v>84</v>
      </c>
      <c r="C7076" s="33" t="s">
        <v>14</v>
      </c>
      <c r="D7076" s="33" t="s">
        <v>24</v>
      </c>
      <c r="F7076" s="67">
        <v>41461</v>
      </c>
      <c r="G7076" s="33" t="s">
        <v>14051</v>
      </c>
      <c r="H7076" s="33" t="s">
        <v>14052</v>
      </c>
      <c r="I7076" s="33" t="s">
        <v>139</v>
      </c>
      <c r="J7076" s="33" t="s">
        <v>14053</v>
      </c>
      <c r="K7076" s="33" t="s">
        <v>14054</v>
      </c>
      <c r="L7076" s="33" t="s">
        <v>36873</v>
      </c>
      <c r="M7076" s="33" t="s">
        <v>21</v>
      </c>
      <c r="N7076" s="33" t="s">
        <v>14055</v>
      </c>
      <c r="O7076" s="33" t="s">
        <v>950</v>
      </c>
      <c r="P7076" s="33" t="s">
        <v>30089</v>
      </c>
      <c r="Q7076" s="40" t="s">
        <v>14056</v>
      </c>
      <c r="R7076" s="33" t="s">
        <v>94</v>
      </c>
      <c r="S7076" s="33" t="s">
        <v>22</v>
      </c>
      <c r="T7076" s="1" t="s">
        <v>26781</v>
      </c>
      <c r="Z7076" s="33" t="s">
        <v>42967</v>
      </c>
      <c r="AA7076" s="33">
        <v>590</v>
      </c>
    </row>
    <row r="7077" spans="1:31" ht="12" customHeight="1" x14ac:dyDescent="0.15">
      <c r="A7077" s="33" t="s">
        <v>14066</v>
      </c>
      <c r="B7077" s="103">
        <v>66</v>
      </c>
      <c r="C7077" s="33" t="s">
        <v>14</v>
      </c>
      <c r="D7077" s="33" t="s">
        <v>79</v>
      </c>
      <c r="E7077" s="33" t="s">
        <v>14067</v>
      </c>
      <c r="F7077" s="67">
        <v>41460</v>
      </c>
      <c r="G7077" s="33" t="s">
        <v>14068</v>
      </c>
      <c r="H7077" s="33" t="s">
        <v>866</v>
      </c>
      <c r="I7077" s="33" t="s">
        <v>178</v>
      </c>
      <c r="J7077" s="33" t="s">
        <v>4561</v>
      </c>
      <c r="K7077" s="33" t="s">
        <v>433</v>
      </c>
      <c r="L7077" s="33" t="s">
        <v>4562</v>
      </c>
      <c r="M7077" s="33" t="s">
        <v>21</v>
      </c>
      <c r="N7077" s="33" t="s">
        <v>14069</v>
      </c>
      <c r="O7077" s="33" t="s">
        <v>23</v>
      </c>
      <c r="P7077" s="33" t="s">
        <v>30089</v>
      </c>
      <c r="Q7077" s="40" t="s">
        <v>9174</v>
      </c>
      <c r="R7077" s="33" t="s">
        <v>512</v>
      </c>
      <c r="S7077" s="33" t="s">
        <v>22</v>
      </c>
      <c r="T7077" s="1" t="s">
        <v>26781</v>
      </c>
      <c r="Z7077" s="33" t="s">
        <v>42966</v>
      </c>
      <c r="AA7077" s="33">
        <v>584</v>
      </c>
    </row>
    <row r="7078" spans="1:31" ht="12" customHeight="1" x14ac:dyDescent="0.15">
      <c r="A7078" s="33" t="s">
        <v>14075</v>
      </c>
      <c r="B7078" s="33">
        <v>39</v>
      </c>
      <c r="C7078" s="33" t="s">
        <v>14</v>
      </c>
      <c r="D7078" s="33" t="s">
        <v>31</v>
      </c>
      <c r="E7078" s="33" t="s">
        <v>14076</v>
      </c>
      <c r="F7078" s="67">
        <v>41460</v>
      </c>
      <c r="G7078" s="33" t="s">
        <v>22255</v>
      </c>
      <c r="H7078" s="33" t="s">
        <v>4990</v>
      </c>
      <c r="I7078" s="33" t="s">
        <v>56</v>
      </c>
      <c r="J7078" s="33" t="s">
        <v>14077</v>
      </c>
      <c r="K7078" s="33" t="s">
        <v>4991</v>
      </c>
      <c r="L7078" s="33" t="s">
        <v>4992</v>
      </c>
      <c r="M7078" s="33" t="s">
        <v>21</v>
      </c>
      <c r="N7078" s="33" t="s">
        <v>14078</v>
      </c>
      <c r="O7078" s="33" t="s">
        <v>507</v>
      </c>
      <c r="P7078" s="33" t="s">
        <v>30089</v>
      </c>
      <c r="Q7078" s="40" t="s">
        <v>14079</v>
      </c>
      <c r="R7078" s="33" t="s">
        <v>94</v>
      </c>
      <c r="S7078" s="33" t="s">
        <v>22</v>
      </c>
      <c r="T7078" s="1" t="s">
        <v>26781</v>
      </c>
      <c r="Z7078" s="33" t="s">
        <v>42968</v>
      </c>
      <c r="AA7078" s="33">
        <v>587</v>
      </c>
    </row>
    <row r="7079" spans="1:31" ht="12" customHeight="1" x14ac:dyDescent="0.15">
      <c r="A7079" s="33" t="s">
        <v>14080</v>
      </c>
      <c r="B7079" s="33">
        <v>28</v>
      </c>
      <c r="C7079" s="33" t="s">
        <v>14</v>
      </c>
      <c r="D7079" s="33" t="s">
        <v>31</v>
      </c>
      <c r="E7079" s="33" t="s">
        <v>14081</v>
      </c>
      <c r="F7079" s="67">
        <v>41460</v>
      </c>
      <c r="G7079" s="33" t="s">
        <v>22256</v>
      </c>
      <c r="H7079" s="33" t="s">
        <v>1132</v>
      </c>
      <c r="I7079" s="33" t="s">
        <v>282</v>
      </c>
      <c r="J7079" s="33" t="s">
        <v>14082</v>
      </c>
      <c r="K7079" s="33" t="s">
        <v>1133</v>
      </c>
      <c r="L7079" s="33" t="s">
        <v>1134</v>
      </c>
      <c r="M7079" s="33" t="s">
        <v>21</v>
      </c>
      <c r="N7079" s="33" t="s">
        <v>14083</v>
      </c>
      <c r="O7079" s="33" t="s">
        <v>507</v>
      </c>
      <c r="P7079" s="33" t="s">
        <v>30089</v>
      </c>
      <c r="Q7079" s="40" t="s">
        <v>14084</v>
      </c>
      <c r="R7079" s="33" t="s">
        <v>512</v>
      </c>
      <c r="S7079" s="33" t="s">
        <v>22</v>
      </c>
      <c r="T7079" s="1" t="s">
        <v>26781</v>
      </c>
      <c r="Z7079" s="33" t="s">
        <v>42966</v>
      </c>
      <c r="AA7079" s="33">
        <v>588</v>
      </c>
    </row>
    <row r="7080" spans="1:31" ht="12" customHeight="1" x14ac:dyDescent="0.15">
      <c r="A7080" s="33" t="s">
        <v>14085</v>
      </c>
      <c r="B7080" s="33">
        <v>42</v>
      </c>
      <c r="C7080" s="33" t="s">
        <v>14</v>
      </c>
      <c r="D7080" s="33" t="s">
        <v>31</v>
      </c>
      <c r="F7080" s="67">
        <v>41460</v>
      </c>
      <c r="G7080" s="33" t="s">
        <v>14086</v>
      </c>
      <c r="H7080" s="33" t="s">
        <v>4219</v>
      </c>
      <c r="I7080" s="33" t="s">
        <v>798</v>
      </c>
      <c r="J7080" s="33" t="s">
        <v>14087</v>
      </c>
      <c r="K7080" s="33" t="s">
        <v>4221</v>
      </c>
      <c r="L7080" s="33" t="s">
        <v>4624</v>
      </c>
      <c r="M7080" s="33" t="s">
        <v>21</v>
      </c>
      <c r="N7080" s="33" t="s">
        <v>14088</v>
      </c>
      <c r="O7080" s="33" t="s">
        <v>507</v>
      </c>
      <c r="P7080" s="33" t="s">
        <v>30089</v>
      </c>
      <c r="Q7080" s="40" t="s">
        <v>14089</v>
      </c>
      <c r="R7080" s="33" t="s">
        <v>94</v>
      </c>
      <c r="S7080" s="33" t="s">
        <v>22</v>
      </c>
      <c r="T7080" s="1" t="s">
        <v>26781</v>
      </c>
      <c r="Z7080" s="33" t="s">
        <v>42968</v>
      </c>
      <c r="AA7080" s="33">
        <v>586</v>
      </c>
    </row>
    <row r="7081" spans="1:31" ht="12" customHeight="1" x14ac:dyDescent="0.15">
      <c r="A7081" s="33" t="s">
        <v>14070</v>
      </c>
      <c r="B7081" s="33">
        <v>57</v>
      </c>
      <c r="C7081" s="33" t="s">
        <v>14</v>
      </c>
      <c r="D7081" s="33" t="s">
        <v>24</v>
      </c>
      <c r="F7081" s="67">
        <v>41460</v>
      </c>
      <c r="G7081" s="33" t="s">
        <v>14071</v>
      </c>
      <c r="H7081" s="33" t="s">
        <v>1734</v>
      </c>
      <c r="I7081" s="33" t="s">
        <v>342</v>
      </c>
      <c r="J7081" s="33" t="s">
        <v>14072</v>
      </c>
      <c r="K7081" s="33" t="s">
        <v>1736</v>
      </c>
      <c r="L7081" s="33" t="s">
        <v>1737</v>
      </c>
      <c r="M7081" s="33" t="s">
        <v>21</v>
      </c>
      <c r="N7081" s="33" t="s">
        <v>14073</v>
      </c>
      <c r="O7081" s="33" t="s">
        <v>507</v>
      </c>
      <c r="P7081" s="33" t="s">
        <v>30089</v>
      </c>
      <c r="Q7081" s="40" t="s">
        <v>14074</v>
      </c>
      <c r="R7081" s="33" t="s">
        <v>94</v>
      </c>
      <c r="S7081" s="33" t="s">
        <v>22</v>
      </c>
      <c r="T7081" s="1" t="s">
        <v>26781</v>
      </c>
      <c r="Z7081" s="33" t="s">
        <v>42966</v>
      </c>
      <c r="AA7081" s="33">
        <v>585</v>
      </c>
    </row>
    <row r="7082" spans="1:31" ht="12" customHeight="1" x14ac:dyDescent="0.15">
      <c r="A7082" s="33" t="s">
        <v>14095</v>
      </c>
      <c r="B7082" s="33">
        <v>17</v>
      </c>
      <c r="C7082" s="33" t="s">
        <v>14</v>
      </c>
      <c r="D7082" s="33" t="s">
        <v>79</v>
      </c>
      <c r="E7082" s="33" t="s">
        <v>14096</v>
      </c>
      <c r="F7082" s="67">
        <v>41459</v>
      </c>
      <c r="G7082" s="33" t="s">
        <v>22257</v>
      </c>
      <c r="H7082" s="33" t="s">
        <v>81</v>
      </c>
      <c r="I7082" s="33" t="s">
        <v>38</v>
      </c>
      <c r="J7082" s="33" t="s">
        <v>14097</v>
      </c>
      <c r="K7082" s="33" t="s">
        <v>82</v>
      </c>
      <c r="L7082" s="33" t="s">
        <v>83</v>
      </c>
      <c r="M7082" s="33" t="s">
        <v>21</v>
      </c>
      <c r="N7082" s="33" t="s">
        <v>14098</v>
      </c>
      <c r="O7082" s="33" t="s">
        <v>4311</v>
      </c>
      <c r="P7082" s="33" t="s">
        <v>30089</v>
      </c>
      <c r="Q7082" s="40" t="s">
        <v>14099</v>
      </c>
      <c r="R7082" s="33" t="s">
        <v>94</v>
      </c>
      <c r="S7082" s="33" t="s">
        <v>29</v>
      </c>
      <c r="T7082" s="33" t="s">
        <v>41840</v>
      </c>
      <c r="Z7082" s="33" t="s">
        <v>42966</v>
      </c>
      <c r="AA7082" s="33">
        <v>583</v>
      </c>
      <c r="AE7082" s="33"/>
    </row>
    <row r="7083" spans="1:31" ht="12" customHeight="1" x14ac:dyDescent="0.15">
      <c r="A7083" s="33" t="s">
        <v>14090</v>
      </c>
      <c r="B7083" s="33">
        <v>31</v>
      </c>
      <c r="C7083" s="33" t="s">
        <v>14</v>
      </c>
      <c r="D7083" s="33" t="s">
        <v>15</v>
      </c>
      <c r="F7083" s="67">
        <v>41459</v>
      </c>
      <c r="G7083" s="33" t="s">
        <v>14091</v>
      </c>
      <c r="H7083" s="33" t="s">
        <v>787</v>
      </c>
      <c r="I7083" s="33" t="s">
        <v>67</v>
      </c>
      <c r="J7083" s="33" t="s">
        <v>14092</v>
      </c>
      <c r="K7083" s="33" t="s">
        <v>68</v>
      </c>
      <c r="L7083" s="33" t="s">
        <v>788</v>
      </c>
      <c r="M7083" s="33" t="s">
        <v>21</v>
      </c>
      <c r="N7083" s="33" t="s">
        <v>14093</v>
      </c>
      <c r="O7083" s="33" t="s">
        <v>507</v>
      </c>
      <c r="P7083" s="33" t="s">
        <v>30089</v>
      </c>
      <c r="Q7083" s="40" t="s">
        <v>14094</v>
      </c>
      <c r="R7083" s="33" t="s">
        <v>94</v>
      </c>
      <c r="S7083" s="33" t="s">
        <v>22</v>
      </c>
      <c r="T7083" s="1" t="s">
        <v>26781</v>
      </c>
      <c r="Z7083" s="33" t="s">
        <v>42968</v>
      </c>
      <c r="AA7083" s="33">
        <v>580</v>
      </c>
    </row>
    <row r="7084" spans="1:31" ht="12" customHeight="1" x14ac:dyDescent="0.15">
      <c r="A7084" s="33" t="s">
        <v>14100</v>
      </c>
      <c r="B7084" s="33">
        <v>37</v>
      </c>
      <c r="C7084" s="33" t="s">
        <v>14</v>
      </c>
      <c r="D7084" s="33" t="s">
        <v>79</v>
      </c>
      <c r="E7084" s="33" t="s">
        <v>14101</v>
      </c>
      <c r="F7084" s="67">
        <v>41459</v>
      </c>
      <c r="G7084" s="33" t="s">
        <v>14102</v>
      </c>
      <c r="H7084" s="33" t="s">
        <v>5782</v>
      </c>
      <c r="I7084" s="33" t="s">
        <v>39</v>
      </c>
      <c r="J7084" s="33" t="s">
        <v>5783</v>
      </c>
      <c r="K7084" s="33" t="s">
        <v>728</v>
      </c>
      <c r="L7084" s="33" t="s">
        <v>5784</v>
      </c>
      <c r="M7084" s="33" t="s">
        <v>21</v>
      </c>
      <c r="N7084" s="33" t="s">
        <v>14103</v>
      </c>
      <c r="O7084" s="33" t="s">
        <v>4311</v>
      </c>
      <c r="P7084" s="33" t="s">
        <v>30089</v>
      </c>
      <c r="Q7084" s="40" t="s">
        <v>14104</v>
      </c>
      <c r="R7084" s="33" t="s">
        <v>94</v>
      </c>
      <c r="S7084" s="33" t="s">
        <v>22</v>
      </c>
      <c r="T7084" s="1" t="s">
        <v>26781</v>
      </c>
      <c r="Z7084" s="33" t="s">
        <v>42968</v>
      </c>
      <c r="AA7084" s="33">
        <v>581</v>
      </c>
    </row>
    <row r="7085" spans="1:31" ht="12" customHeight="1" x14ac:dyDescent="0.15">
      <c r="A7085" s="33" t="s">
        <v>14105</v>
      </c>
      <c r="B7085" s="33">
        <v>53</v>
      </c>
      <c r="C7085" s="33" t="s">
        <v>14</v>
      </c>
      <c r="D7085" s="33" t="s">
        <v>42</v>
      </c>
      <c r="F7085" s="67">
        <v>41459</v>
      </c>
      <c r="G7085" s="33" t="s">
        <v>14106</v>
      </c>
      <c r="H7085" s="33" t="s">
        <v>14107</v>
      </c>
      <c r="I7085" s="33" t="s">
        <v>51</v>
      </c>
      <c r="J7085" s="33" t="s">
        <v>14108</v>
      </c>
      <c r="K7085" s="33" t="s">
        <v>14109</v>
      </c>
      <c r="L7085" s="33" t="s">
        <v>14110</v>
      </c>
      <c r="M7085" s="33" t="s">
        <v>21</v>
      </c>
      <c r="N7085" s="33" t="s">
        <v>14111</v>
      </c>
      <c r="O7085" s="33" t="s">
        <v>4311</v>
      </c>
      <c r="P7085" s="33" t="s">
        <v>30089</v>
      </c>
      <c r="Q7085" s="40" t="s">
        <v>14112</v>
      </c>
      <c r="R7085" s="33" t="s">
        <v>94</v>
      </c>
      <c r="S7085" s="33" t="s">
        <v>22</v>
      </c>
      <c r="T7085" s="1" t="s">
        <v>26781</v>
      </c>
      <c r="Z7085" s="33" t="s">
        <v>42967</v>
      </c>
      <c r="AA7085" s="33">
        <v>582</v>
      </c>
    </row>
    <row r="7086" spans="1:31" ht="12" customHeight="1" x14ac:dyDescent="0.15">
      <c r="A7086" s="33" t="s">
        <v>14121</v>
      </c>
      <c r="B7086" s="33">
        <v>26</v>
      </c>
      <c r="C7086" s="33" t="s">
        <v>14</v>
      </c>
      <c r="D7086" s="33" t="s">
        <v>31</v>
      </c>
      <c r="E7086" s="33" t="s">
        <v>14122</v>
      </c>
      <c r="F7086" s="67">
        <v>41458</v>
      </c>
      <c r="G7086" s="33" t="s">
        <v>14123</v>
      </c>
      <c r="H7086" s="33" t="s">
        <v>14124</v>
      </c>
      <c r="I7086" s="33" t="s">
        <v>4034</v>
      </c>
      <c r="J7086" s="33" t="s">
        <v>14125</v>
      </c>
      <c r="K7086" s="33" t="s">
        <v>107</v>
      </c>
      <c r="L7086" s="33" t="s">
        <v>14126</v>
      </c>
      <c r="M7086" s="33" t="s">
        <v>21</v>
      </c>
      <c r="N7086" s="33" t="s">
        <v>14127</v>
      </c>
      <c r="O7086" s="33" t="s">
        <v>507</v>
      </c>
      <c r="P7086" s="33" t="s">
        <v>30089</v>
      </c>
      <c r="Q7086" s="40" t="s">
        <v>14128</v>
      </c>
      <c r="R7086" s="33" t="s">
        <v>94</v>
      </c>
      <c r="S7086" s="33" t="s">
        <v>22</v>
      </c>
      <c r="T7086" s="1" t="s">
        <v>26781</v>
      </c>
      <c r="Z7086" s="33" t="s">
        <v>42967</v>
      </c>
      <c r="AA7086" s="33">
        <v>579</v>
      </c>
    </row>
    <row r="7087" spans="1:31" ht="12" customHeight="1" x14ac:dyDescent="0.15">
      <c r="A7087" s="33" t="s">
        <v>14136</v>
      </c>
      <c r="B7087" s="33">
        <v>34</v>
      </c>
      <c r="C7087" s="33" t="s">
        <v>14</v>
      </c>
      <c r="D7087" s="33" t="s">
        <v>31</v>
      </c>
      <c r="E7087" s="33" t="s">
        <v>14137</v>
      </c>
      <c r="F7087" s="67">
        <v>41458</v>
      </c>
      <c r="G7087" s="33" t="s">
        <v>14138</v>
      </c>
      <c r="H7087" s="33" t="s">
        <v>14139</v>
      </c>
      <c r="I7087" s="33" t="s">
        <v>918</v>
      </c>
      <c r="J7087" s="33" t="s">
        <v>14140</v>
      </c>
      <c r="K7087" s="33" t="s">
        <v>14141</v>
      </c>
      <c r="L7087" s="33" t="s">
        <v>14142</v>
      </c>
      <c r="M7087" s="33" t="s">
        <v>21</v>
      </c>
      <c r="N7087" s="33" t="s">
        <v>14143</v>
      </c>
      <c r="O7087" s="33" t="s">
        <v>4311</v>
      </c>
      <c r="P7087" s="33" t="s">
        <v>30089</v>
      </c>
      <c r="Q7087" s="40" t="s">
        <v>14144</v>
      </c>
      <c r="R7087" s="33" t="s">
        <v>94</v>
      </c>
      <c r="S7087" s="33" t="s">
        <v>22</v>
      </c>
      <c r="T7087" s="1" t="s">
        <v>26781</v>
      </c>
      <c r="Z7087" s="33" t="s">
        <v>42967</v>
      </c>
      <c r="AA7087" s="33">
        <v>576</v>
      </c>
    </row>
    <row r="7088" spans="1:31" ht="12" customHeight="1" x14ac:dyDescent="0.15">
      <c r="A7088" s="33" t="s">
        <v>14113</v>
      </c>
      <c r="B7088" s="33">
        <v>30</v>
      </c>
      <c r="C7088" s="33" t="s">
        <v>14</v>
      </c>
      <c r="D7088" s="33" t="s">
        <v>31</v>
      </c>
      <c r="F7088" s="67">
        <v>41458</v>
      </c>
      <c r="G7088" s="33" t="s">
        <v>14114</v>
      </c>
      <c r="H7088" s="33" t="s">
        <v>14115</v>
      </c>
      <c r="I7088" s="33" t="s">
        <v>63</v>
      </c>
      <c r="J7088" s="33" t="s">
        <v>14116</v>
      </c>
      <c r="K7088" s="33" t="s">
        <v>14117</v>
      </c>
      <c r="L7088" s="33" t="s">
        <v>14118</v>
      </c>
      <c r="M7088" s="33" t="s">
        <v>21</v>
      </c>
      <c r="N7088" s="33" t="s">
        <v>14119</v>
      </c>
      <c r="O7088" s="33" t="s">
        <v>372</v>
      </c>
      <c r="P7088" s="33" t="s">
        <v>30089</v>
      </c>
      <c r="Q7088" s="40" t="s">
        <v>14120</v>
      </c>
      <c r="R7088" s="33" t="s">
        <v>512</v>
      </c>
      <c r="S7088" s="33" t="s">
        <v>22</v>
      </c>
      <c r="T7088" s="1" t="s">
        <v>26781</v>
      </c>
      <c r="Z7088" s="33" t="s">
        <v>42966</v>
      </c>
      <c r="AA7088" s="33">
        <v>578</v>
      </c>
    </row>
    <row r="7089" spans="1:64" ht="12" customHeight="1" x14ac:dyDescent="0.15">
      <c r="A7089" s="33" t="s">
        <v>14129</v>
      </c>
      <c r="B7089" s="33">
        <v>23</v>
      </c>
      <c r="C7089" s="33" t="s">
        <v>14</v>
      </c>
      <c r="D7089" s="33" t="s">
        <v>31</v>
      </c>
      <c r="E7089" s="33" t="s">
        <v>14130</v>
      </c>
      <c r="F7089" s="67">
        <v>41458</v>
      </c>
      <c r="G7089" s="33" t="s">
        <v>14131</v>
      </c>
      <c r="H7089" s="33" t="s">
        <v>998</v>
      </c>
      <c r="I7089" s="33" t="s">
        <v>40</v>
      </c>
      <c r="J7089" s="33" t="s">
        <v>14132</v>
      </c>
      <c r="K7089" s="33" t="s">
        <v>1203</v>
      </c>
      <c r="L7089" s="33" t="s">
        <v>14133</v>
      </c>
      <c r="M7089" s="33" t="s">
        <v>21</v>
      </c>
      <c r="N7089" s="33" t="s">
        <v>14134</v>
      </c>
      <c r="O7089" s="33" t="s">
        <v>507</v>
      </c>
      <c r="P7089" s="33" t="s">
        <v>30089</v>
      </c>
      <c r="Q7089" s="40" t="s">
        <v>14135</v>
      </c>
      <c r="R7089" s="33" t="s">
        <v>94</v>
      </c>
      <c r="S7089" s="33" t="s">
        <v>22</v>
      </c>
      <c r="T7089" s="1" t="s">
        <v>26781</v>
      </c>
      <c r="Z7089" s="33" t="s">
        <v>42967</v>
      </c>
      <c r="AA7089" s="33">
        <v>577</v>
      </c>
    </row>
    <row r="7090" spans="1:64" ht="12" customHeight="1" x14ac:dyDescent="0.15">
      <c r="A7090" s="33" t="s">
        <v>14156</v>
      </c>
      <c r="B7090" s="103">
        <v>27</v>
      </c>
      <c r="C7090" s="33" t="s">
        <v>14</v>
      </c>
      <c r="D7090" s="33" t="s">
        <v>31</v>
      </c>
      <c r="F7090" s="67">
        <v>41457</v>
      </c>
      <c r="G7090" s="33" t="s">
        <v>14157</v>
      </c>
      <c r="H7090" s="33" t="s">
        <v>8405</v>
      </c>
      <c r="I7090" s="33" t="s">
        <v>40</v>
      </c>
      <c r="J7090" s="33" t="s">
        <v>14158</v>
      </c>
      <c r="K7090" s="33" t="s">
        <v>36</v>
      </c>
      <c r="L7090" s="33" t="s">
        <v>19214</v>
      </c>
      <c r="M7090" s="33" t="s">
        <v>21</v>
      </c>
      <c r="N7090" s="33" t="s">
        <v>14159</v>
      </c>
      <c r="O7090" s="33" t="s">
        <v>507</v>
      </c>
      <c r="P7090" s="33" t="s">
        <v>30089</v>
      </c>
      <c r="Q7090" s="40" t="s">
        <v>14160</v>
      </c>
      <c r="R7090" s="33" t="s">
        <v>904</v>
      </c>
      <c r="S7090" s="33" t="s">
        <v>22</v>
      </c>
      <c r="T7090" s="1" t="s">
        <v>26781</v>
      </c>
      <c r="Z7090" s="33" t="s">
        <v>42968</v>
      </c>
      <c r="AA7090" s="33">
        <v>574</v>
      </c>
    </row>
    <row r="7091" spans="1:64" ht="12" customHeight="1" x14ac:dyDescent="0.15">
      <c r="A7091" s="63" t="s">
        <v>42604</v>
      </c>
      <c r="B7091" s="99">
        <v>35</v>
      </c>
      <c r="C7091" s="10" t="s">
        <v>14</v>
      </c>
      <c r="D7091" s="10" t="s">
        <v>15</v>
      </c>
      <c r="E7091" s="10"/>
      <c r="F7091" s="67">
        <v>41457</v>
      </c>
      <c r="G7091" s="10" t="s">
        <v>42605</v>
      </c>
      <c r="H7091" s="10" t="s">
        <v>8871</v>
      </c>
      <c r="I7091" s="10" t="s">
        <v>39</v>
      </c>
      <c r="J7091" s="65">
        <v>95966</v>
      </c>
      <c r="K7091" s="10" t="s">
        <v>4807</v>
      </c>
      <c r="L7091" s="10" t="s">
        <v>8873</v>
      </c>
      <c r="M7091" s="10" t="s">
        <v>21</v>
      </c>
      <c r="N7091" s="10" t="s">
        <v>42606</v>
      </c>
      <c r="O7091" s="10" t="s">
        <v>31972</v>
      </c>
      <c r="P7091" s="10" t="s">
        <v>30089</v>
      </c>
      <c r="Q7091" s="62" t="s">
        <v>42607</v>
      </c>
      <c r="R7091" s="10" t="s">
        <v>94</v>
      </c>
      <c r="S7091" s="10" t="s">
        <v>22</v>
      </c>
      <c r="T7091" s="10" t="s">
        <v>26781</v>
      </c>
      <c r="U7091" s="10"/>
      <c r="V7091" s="10"/>
      <c r="W7091" s="10"/>
      <c r="X7091" s="89"/>
      <c r="Y7091" s="68"/>
      <c r="Z7091" s="68" t="s">
        <v>42967</v>
      </c>
      <c r="AA7091" s="33">
        <v>575</v>
      </c>
      <c r="AG7091" s="68"/>
      <c r="AK7091" s="68"/>
      <c r="AL7091" s="68"/>
      <c r="AM7091" s="68"/>
      <c r="AN7091" s="68"/>
      <c r="AO7091" s="68"/>
      <c r="AP7091" s="68"/>
      <c r="AQ7091" s="68"/>
      <c r="AR7091" s="68"/>
      <c r="AS7091" s="68"/>
      <c r="AT7091" s="68"/>
      <c r="AU7091" s="68"/>
      <c r="AV7091" s="68"/>
      <c r="AW7091" s="68"/>
      <c r="AX7091" s="68"/>
      <c r="AY7091" s="68"/>
      <c r="AZ7091" s="68"/>
      <c r="BA7091" s="68"/>
      <c r="BB7091" s="68"/>
      <c r="BC7091" s="68"/>
      <c r="BD7091" s="68"/>
      <c r="BE7091" s="68"/>
      <c r="BF7091" s="68"/>
      <c r="BG7091" s="68"/>
      <c r="BH7091" s="68"/>
      <c r="BI7091" s="68"/>
      <c r="BJ7091" s="68"/>
      <c r="BK7091" s="68"/>
      <c r="BL7091" s="68"/>
    </row>
    <row r="7092" spans="1:64" ht="12" customHeight="1" x14ac:dyDescent="0.15">
      <c r="A7092" s="33" t="s">
        <v>14145</v>
      </c>
      <c r="B7092" s="33">
        <v>37</v>
      </c>
      <c r="C7092" s="33" t="s">
        <v>14</v>
      </c>
      <c r="D7092" s="33" t="s">
        <v>42</v>
      </c>
      <c r="E7092" s="33" t="s">
        <v>14146</v>
      </c>
      <c r="F7092" s="67">
        <v>41457</v>
      </c>
      <c r="G7092" s="33" t="s">
        <v>22259</v>
      </c>
      <c r="H7092" s="33" t="s">
        <v>911</v>
      </c>
      <c r="I7092" s="33" t="s">
        <v>178</v>
      </c>
      <c r="J7092" s="33" t="s">
        <v>6511</v>
      </c>
      <c r="K7092" s="33" t="s">
        <v>912</v>
      </c>
      <c r="L7092" s="33" t="s">
        <v>6512</v>
      </c>
      <c r="M7092" s="33" t="s">
        <v>21</v>
      </c>
      <c r="N7092" s="33" t="s">
        <v>14147</v>
      </c>
      <c r="O7092" s="33" t="s">
        <v>4311</v>
      </c>
      <c r="P7092" s="33" t="s">
        <v>30089</v>
      </c>
      <c r="Q7092" s="40" t="s">
        <v>14148</v>
      </c>
      <c r="R7092" s="33" t="s">
        <v>94</v>
      </c>
      <c r="S7092" s="33" t="s">
        <v>22</v>
      </c>
      <c r="T7092" s="1" t="s">
        <v>26781</v>
      </c>
      <c r="Z7092" s="33" t="s">
        <v>42966</v>
      </c>
      <c r="AA7092" s="33">
        <v>573</v>
      </c>
    </row>
    <row r="7093" spans="1:64" ht="12" customHeight="1" x14ac:dyDescent="0.15">
      <c r="A7093" s="33" t="s">
        <v>14149</v>
      </c>
      <c r="B7093" s="33">
        <v>54</v>
      </c>
      <c r="C7093" s="33" t="s">
        <v>103</v>
      </c>
      <c r="D7093" s="33" t="s">
        <v>24</v>
      </c>
      <c r="F7093" s="67">
        <v>41457</v>
      </c>
      <c r="G7093" s="33" t="s">
        <v>22258</v>
      </c>
      <c r="H7093" s="33" t="s">
        <v>14150</v>
      </c>
      <c r="I7093" s="33" t="s">
        <v>106</v>
      </c>
      <c r="J7093" s="33" t="s">
        <v>14151</v>
      </c>
      <c r="K7093" s="33" t="s">
        <v>11726</v>
      </c>
      <c r="L7093" s="33" t="s">
        <v>14152</v>
      </c>
      <c r="M7093" s="33" t="s">
        <v>21</v>
      </c>
      <c r="N7093" s="33" t="s">
        <v>14153</v>
      </c>
      <c r="O7093" s="33" t="s">
        <v>507</v>
      </c>
      <c r="P7093" s="33" t="s">
        <v>30089</v>
      </c>
      <c r="Q7093" s="40" t="s">
        <v>14154</v>
      </c>
      <c r="R7093" s="33" t="s">
        <v>94</v>
      </c>
      <c r="S7093" s="33" t="s">
        <v>22</v>
      </c>
      <c r="T7093" s="1" t="s">
        <v>26781</v>
      </c>
      <c r="Z7093" s="33" t="s">
        <v>42966</v>
      </c>
      <c r="AA7093" s="33">
        <v>572</v>
      </c>
    </row>
    <row r="7094" spans="1:64" ht="12" customHeight="1" x14ac:dyDescent="0.15">
      <c r="A7094" s="33" t="s">
        <v>14161</v>
      </c>
      <c r="B7094" s="33">
        <v>76</v>
      </c>
      <c r="C7094" s="33" t="s">
        <v>14</v>
      </c>
      <c r="D7094" s="33" t="s">
        <v>24</v>
      </c>
      <c r="F7094" s="67">
        <v>41456</v>
      </c>
      <c r="G7094" s="33" t="s">
        <v>14162</v>
      </c>
      <c r="H7094" s="33" t="s">
        <v>14163</v>
      </c>
      <c r="I7094" s="33" t="s">
        <v>409</v>
      </c>
      <c r="J7094" s="33" t="s">
        <v>14164</v>
      </c>
      <c r="K7094" s="33" t="s">
        <v>14165</v>
      </c>
      <c r="L7094" s="33" t="s">
        <v>14166</v>
      </c>
      <c r="M7094" s="33" t="s">
        <v>21</v>
      </c>
      <c r="N7094" s="33" t="s">
        <v>14167</v>
      </c>
      <c r="O7094" s="33" t="s">
        <v>4311</v>
      </c>
      <c r="P7094" s="33" t="s">
        <v>30089</v>
      </c>
      <c r="Q7094" s="40" t="s">
        <v>14168</v>
      </c>
      <c r="R7094" s="33" t="s">
        <v>512</v>
      </c>
      <c r="S7094" s="33" t="s">
        <v>22</v>
      </c>
      <c r="T7094" s="1" t="s">
        <v>26781</v>
      </c>
      <c r="Z7094" s="33" t="s">
        <v>42967</v>
      </c>
      <c r="AA7094" s="33">
        <v>571</v>
      </c>
    </row>
    <row r="7095" spans="1:64" ht="12" customHeight="1" x14ac:dyDescent="0.15">
      <c r="A7095" s="33" t="s">
        <v>14169</v>
      </c>
      <c r="B7095" s="103">
        <v>33</v>
      </c>
      <c r="C7095" s="33" t="s">
        <v>14</v>
      </c>
      <c r="D7095" s="33" t="s">
        <v>24</v>
      </c>
      <c r="F7095" s="67">
        <v>41456</v>
      </c>
      <c r="G7095" s="33" t="s">
        <v>22260</v>
      </c>
      <c r="H7095" s="33" t="s">
        <v>1116</v>
      </c>
      <c r="I7095" s="33" t="s">
        <v>298</v>
      </c>
      <c r="J7095" s="33">
        <v>38117</v>
      </c>
      <c r="K7095" s="33" t="s">
        <v>1117</v>
      </c>
      <c r="L7095" s="33" t="s">
        <v>1118</v>
      </c>
      <c r="M7095" s="33" t="s">
        <v>21</v>
      </c>
      <c r="N7095" s="33" t="s">
        <v>14170</v>
      </c>
      <c r="O7095" s="33" t="s">
        <v>23</v>
      </c>
      <c r="P7095" s="33" t="s">
        <v>30089</v>
      </c>
      <c r="Q7095" s="40" t="s">
        <v>14171</v>
      </c>
      <c r="R7095" s="33" t="s">
        <v>512</v>
      </c>
      <c r="S7095" s="33" t="s">
        <v>22</v>
      </c>
      <c r="T7095" s="1" t="s">
        <v>26781</v>
      </c>
      <c r="Z7095" s="33" t="s">
        <v>42968</v>
      </c>
      <c r="AA7095" s="33">
        <v>570</v>
      </c>
    </row>
    <row r="7096" spans="1:64" ht="12" customHeight="1" x14ac:dyDescent="0.15">
      <c r="A7096" s="33" t="s">
        <v>4275</v>
      </c>
      <c r="B7096" s="33">
        <v>34</v>
      </c>
      <c r="C7096" s="33" t="s">
        <v>14</v>
      </c>
      <c r="D7096" s="33" t="s">
        <v>42</v>
      </c>
      <c r="F7096" s="67">
        <v>41455</v>
      </c>
      <c r="G7096" s="33" t="s">
        <v>22261</v>
      </c>
      <c r="H7096" s="33" t="s">
        <v>14177</v>
      </c>
      <c r="I7096" s="33" t="s">
        <v>39</v>
      </c>
      <c r="J7096" s="33" t="s">
        <v>14178</v>
      </c>
      <c r="K7096" s="33" t="s">
        <v>92</v>
      </c>
      <c r="L7096" s="33" t="s">
        <v>93</v>
      </c>
      <c r="M7096" s="33" t="s">
        <v>21</v>
      </c>
      <c r="N7096" s="33" t="s">
        <v>14179</v>
      </c>
      <c r="O7096" s="33" t="s">
        <v>950</v>
      </c>
      <c r="P7096" s="33" t="s">
        <v>30089</v>
      </c>
      <c r="Q7096" s="40" t="s">
        <v>14180</v>
      </c>
      <c r="R7096" s="33" t="s">
        <v>94</v>
      </c>
      <c r="S7096" s="33" t="s">
        <v>22</v>
      </c>
      <c r="T7096" s="1" t="s">
        <v>26781</v>
      </c>
      <c r="Z7096" s="33" t="s">
        <v>42966</v>
      </c>
      <c r="AA7096" s="33">
        <v>568</v>
      </c>
    </row>
    <row r="7097" spans="1:64" ht="12" customHeight="1" x14ac:dyDescent="0.15">
      <c r="A7097" s="33" t="s">
        <v>14172</v>
      </c>
      <c r="B7097" s="33">
        <v>39</v>
      </c>
      <c r="C7097" s="33" t="s">
        <v>14</v>
      </c>
      <c r="D7097" s="33" t="s">
        <v>79</v>
      </c>
      <c r="E7097" s="33" t="s">
        <v>14173</v>
      </c>
      <c r="F7097" s="67">
        <v>41455</v>
      </c>
      <c r="G7097" s="33" t="s">
        <v>14174</v>
      </c>
      <c r="H7097" s="33" t="s">
        <v>1542</v>
      </c>
      <c r="I7097" s="33" t="s">
        <v>160</v>
      </c>
      <c r="J7097" s="33" t="s">
        <v>1543</v>
      </c>
      <c r="K7097" s="33" t="s">
        <v>818</v>
      </c>
      <c r="L7097" s="33" t="s">
        <v>1544</v>
      </c>
      <c r="M7097" s="33" t="s">
        <v>363</v>
      </c>
      <c r="N7097" s="33" t="s">
        <v>14175</v>
      </c>
      <c r="O7097" s="33" t="s">
        <v>950</v>
      </c>
      <c r="P7097" s="33" t="s">
        <v>30089</v>
      </c>
      <c r="Q7097" s="40" t="s">
        <v>14176</v>
      </c>
      <c r="R7097" s="33" t="s">
        <v>94</v>
      </c>
      <c r="S7097" s="33" t="s">
        <v>12</v>
      </c>
      <c r="T7097" s="1" t="s">
        <v>29705</v>
      </c>
      <c r="Z7097" s="33" t="s">
        <v>42968</v>
      </c>
      <c r="AA7097" s="33">
        <v>569</v>
      </c>
    </row>
    <row r="7098" spans="1:64" ht="12" customHeight="1" x14ac:dyDescent="0.15">
      <c r="A7098" s="33" t="s">
        <v>14187</v>
      </c>
      <c r="B7098" s="33">
        <v>46</v>
      </c>
      <c r="C7098" s="33" t="s">
        <v>14</v>
      </c>
      <c r="D7098" s="33" t="s">
        <v>24</v>
      </c>
      <c r="F7098" s="67">
        <v>41454</v>
      </c>
      <c r="G7098" s="33" t="s">
        <v>14188</v>
      </c>
      <c r="H7098" s="33" t="s">
        <v>14189</v>
      </c>
      <c r="I7098" s="33" t="s">
        <v>395</v>
      </c>
      <c r="J7098" s="33" t="s">
        <v>14190</v>
      </c>
      <c r="K7098" s="33" t="s">
        <v>1588</v>
      </c>
      <c r="L7098" s="33" t="s">
        <v>3093</v>
      </c>
      <c r="M7098" s="33" t="s">
        <v>21</v>
      </c>
      <c r="N7098" s="33" t="s">
        <v>14191</v>
      </c>
      <c r="O7098" s="33" t="s">
        <v>950</v>
      </c>
      <c r="P7098" s="33" t="s">
        <v>30089</v>
      </c>
      <c r="Q7098" s="40" t="s">
        <v>14192</v>
      </c>
      <c r="R7098" s="33" t="s">
        <v>94</v>
      </c>
      <c r="S7098" s="33" t="s">
        <v>22</v>
      </c>
      <c r="T7098" s="1" t="s">
        <v>26781</v>
      </c>
      <c r="Z7098" s="33" t="s">
        <v>42968</v>
      </c>
      <c r="AA7098" s="33">
        <v>565</v>
      </c>
    </row>
    <row r="7099" spans="1:64" ht="12" customHeight="1" x14ac:dyDescent="0.15">
      <c r="A7099" s="33" t="s">
        <v>14193</v>
      </c>
      <c r="B7099" s="33">
        <v>26</v>
      </c>
      <c r="C7099" s="33" t="s">
        <v>14</v>
      </c>
      <c r="D7099" s="33" t="s">
        <v>24</v>
      </c>
      <c r="F7099" s="67">
        <v>41454</v>
      </c>
      <c r="G7099" s="33" t="s">
        <v>22262</v>
      </c>
      <c r="H7099" s="33" t="s">
        <v>14194</v>
      </c>
      <c r="I7099" s="33" t="s">
        <v>39</v>
      </c>
      <c r="J7099" s="33" t="s">
        <v>14195</v>
      </c>
      <c r="K7099" s="33" t="s">
        <v>288</v>
      </c>
      <c r="L7099" s="33" t="s">
        <v>14196</v>
      </c>
      <c r="M7099" s="33" t="s">
        <v>21</v>
      </c>
      <c r="N7099" s="33" t="s">
        <v>14197</v>
      </c>
      <c r="O7099" s="33" t="s">
        <v>507</v>
      </c>
      <c r="P7099" s="33" t="s">
        <v>30089</v>
      </c>
      <c r="Q7099" s="40" t="s">
        <v>14198</v>
      </c>
      <c r="R7099" s="33" t="s">
        <v>94</v>
      </c>
      <c r="S7099" s="33" t="s">
        <v>22</v>
      </c>
      <c r="T7099" s="1" t="s">
        <v>26781</v>
      </c>
      <c r="Z7099" s="33" t="s">
        <v>42968</v>
      </c>
      <c r="AA7099" s="33">
        <v>564</v>
      </c>
    </row>
    <row r="7100" spans="1:64" ht="12" customHeight="1" x14ac:dyDescent="0.15">
      <c r="A7100" s="33" t="s">
        <v>14181</v>
      </c>
      <c r="B7100" s="33">
        <v>21</v>
      </c>
      <c r="C7100" s="33" t="s">
        <v>14</v>
      </c>
      <c r="D7100" s="33" t="s">
        <v>79</v>
      </c>
      <c r="E7100" s="33" t="s">
        <v>14182</v>
      </c>
      <c r="F7100" s="67">
        <v>41454</v>
      </c>
      <c r="G7100" s="33" t="s">
        <v>14183</v>
      </c>
      <c r="H7100" s="33" t="s">
        <v>13845</v>
      </c>
      <c r="I7100" s="33" t="s">
        <v>39</v>
      </c>
      <c r="J7100" s="33" t="s">
        <v>14184</v>
      </c>
      <c r="K7100" s="33" t="s">
        <v>3145</v>
      </c>
      <c r="L7100" s="33" t="s">
        <v>13847</v>
      </c>
      <c r="M7100" s="33" t="s">
        <v>21</v>
      </c>
      <c r="N7100" s="33" t="s">
        <v>14185</v>
      </c>
      <c r="O7100" s="33" t="s">
        <v>950</v>
      </c>
      <c r="P7100" s="33" t="s">
        <v>30089</v>
      </c>
      <c r="Q7100" s="40" t="s">
        <v>14186</v>
      </c>
      <c r="R7100" s="33" t="s">
        <v>94</v>
      </c>
      <c r="S7100" s="33" t="s">
        <v>351</v>
      </c>
      <c r="T7100" s="1" t="s">
        <v>42983</v>
      </c>
      <c r="Z7100" s="33" t="s">
        <v>42968</v>
      </c>
      <c r="AA7100" s="33">
        <v>567</v>
      </c>
    </row>
    <row r="7101" spans="1:64" ht="12" customHeight="1" x14ac:dyDescent="0.15">
      <c r="A7101" s="33" t="s">
        <v>27529</v>
      </c>
      <c r="B7101" s="33">
        <v>62</v>
      </c>
      <c r="C7101" s="33" t="s">
        <v>14</v>
      </c>
      <c r="D7101" s="33" t="s">
        <v>42</v>
      </c>
      <c r="F7101" s="67">
        <v>41454</v>
      </c>
      <c r="H7101" s="33" t="s">
        <v>196</v>
      </c>
      <c r="I7101" s="33" t="s">
        <v>56</v>
      </c>
      <c r="K7101" s="33" t="s">
        <v>148</v>
      </c>
      <c r="L7101" s="33" t="s">
        <v>149</v>
      </c>
      <c r="M7101" s="33" t="s">
        <v>21</v>
      </c>
      <c r="N7101" s="33" t="s">
        <v>27530</v>
      </c>
      <c r="O7101" s="33" t="s">
        <v>950</v>
      </c>
      <c r="P7101" s="33" t="s">
        <v>30089</v>
      </c>
      <c r="Q7101" s="40" t="s">
        <v>27531</v>
      </c>
      <c r="R7101" s="33" t="s">
        <v>94</v>
      </c>
      <c r="S7101" s="33" t="s">
        <v>22</v>
      </c>
      <c r="T7101" s="1" t="s">
        <v>26774</v>
      </c>
      <c r="Z7101" s="33" t="e">
        <v>#N/A</v>
      </c>
      <c r="AA7101" s="33">
        <v>566</v>
      </c>
    </row>
    <row r="7102" spans="1:64" ht="12" customHeight="1" x14ac:dyDescent="0.15">
      <c r="A7102" s="33" t="s">
        <v>14203</v>
      </c>
      <c r="B7102" s="103">
        <v>49</v>
      </c>
      <c r="C7102" s="33" t="s">
        <v>14</v>
      </c>
      <c r="D7102" s="33" t="s">
        <v>31</v>
      </c>
      <c r="E7102" s="33" t="s">
        <v>14204</v>
      </c>
      <c r="F7102" s="67">
        <v>41453</v>
      </c>
      <c r="G7102" s="33" t="s">
        <v>14205</v>
      </c>
      <c r="H7102" s="33" t="s">
        <v>14206</v>
      </c>
      <c r="I7102" s="33" t="s">
        <v>67</v>
      </c>
      <c r="J7102" s="33" t="s">
        <v>14207</v>
      </c>
      <c r="K7102" s="33" t="s">
        <v>14208</v>
      </c>
      <c r="L7102" s="33" t="s">
        <v>14209</v>
      </c>
      <c r="M7102" s="33" t="s">
        <v>21</v>
      </c>
      <c r="N7102" s="33" t="s">
        <v>14210</v>
      </c>
      <c r="O7102" s="33" t="s">
        <v>23</v>
      </c>
      <c r="P7102" s="33" t="s">
        <v>30089</v>
      </c>
      <c r="Q7102" s="40" t="s">
        <v>14211</v>
      </c>
      <c r="R7102" s="33" t="s">
        <v>94</v>
      </c>
      <c r="S7102" s="33" t="s">
        <v>22</v>
      </c>
      <c r="T7102" s="1" t="s">
        <v>26781</v>
      </c>
      <c r="Z7102" s="33" t="s">
        <v>42967</v>
      </c>
      <c r="AA7102" s="33">
        <v>561</v>
      </c>
    </row>
    <row r="7103" spans="1:64" ht="12" customHeight="1" x14ac:dyDescent="0.15">
      <c r="A7103" s="33" t="s">
        <v>14212</v>
      </c>
      <c r="B7103" s="103">
        <v>64</v>
      </c>
      <c r="C7103" s="33" t="s">
        <v>14</v>
      </c>
      <c r="D7103" s="33" t="s">
        <v>31</v>
      </c>
      <c r="E7103" s="33" t="s">
        <v>14213</v>
      </c>
      <c r="F7103" s="67">
        <v>41453</v>
      </c>
      <c r="G7103" s="33" t="s">
        <v>14214</v>
      </c>
      <c r="H7103" s="33" t="s">
        <v>603</v>
      </c>
      <c r="I7103" s="33" t="s">
        <v>918</v>
      </c>
      <c r="J7103" s="33" t="s">
        <v>14215</v>
      </c>
      <c r="K7103" s="33" t="s">
        <v>2312</v>
      </c>
      <c r="L7103" s="33" t="s">
        <v>2186</v>
      </c>
      <c r="M7103" s="33" t="s">
        <v>21</v>
      </c>
      <c r="N7103" s="33" t="s">
        <v>14216</v>
      </c>
      <c r="O7103" s="33" t="s">
        <v>23</v>
      </c>
      <c r="P7103" s="33" t="s">
        <v>30089</v>
      </c>
      <c r="Q7103" s="40" t="s">
        <v>14217</v>
      </c>
      <c r="R7103" s="33" t="s">
        <v>94</v>
      </c>
      <c r="S7103" s="33" t="s">
        <v>22</v>
      </c>
      <c r="T7103" s="1" t="s">
        <v>26774</v>
      </c>
      <c r="Z7103" s="33" t="s">
        <v>42968</v>
      </c>
      <c r="AA7103" s="33">
        <v>563</v>
      </c>
    </row>
    <row r="7104" spans="1:64" ht="12" customHeight="1" x14ac:dyDescent="0.15">
      <c r="A7104" s="33" t="s">
        <v>14199</v>
      </c>
      <c r="B7104" s="33">
        <v>32</v>
      </c>
      <c r="C7104" s="33" t="s">
        <v>14</v>
      </c>
      <c r="D7104" s="33" t="s">
        <v>15</v>
      </c>
      <c r="E7104" s="33" t="s">
        <v>14200</v>
      </c>
      <c r="F7104" s="67">
        <v>41453</v>
      </c>
      <c r="G7104" s="33" t="s">
        <v>22263</v>
      </c>
      <c r="H7104" s="33" t="s">
        <v>532</v>
      </c>
      <c r="I7104" s="33" t="s">
        <v>67</v>
      </c>
      <c r="J7104" s="33" t="s">
        <v>2781</v>
      </c>
      <c r="K7104" s="33" t="s">
        <v>533</v>
      </c>
      <c r="L7104" s="33" t="s">
        <v>534</v>
      </c>
      <c r="M7104" s="33" t="s">
        <v>21</v>
      </c>
      <c r="N7104" s="33" t="s">
        <v>14201</v>
      </c>
      <c r="O7104" s="33" t="s">
        <v>507</v>
      </c>
      <c r="P7104" s="33" t="s">
        <v>30089</v>
      </c>
      <c r="Q7104" s="40" t="s">
        <v>14202</v>
      </c>
      <c r="R7104" s="33" t="s">
        <v>23</v>
      </c>
      <c r="S7104" s="33" t="s">
        <v>22</v>
      </c>
      <c r="T7104" s="1" t="s">
        <v>26781</v>
      </c>
      <c r="Z7104" s="33" t="s">
        <v>42968</v>
      </c>
      <c r="AA7104" s="33">
        <v>560</v>
      </c>
    </row>
    <row r="7105" spans="1:27" ht="12" customHeight="1" x14ac:dyDescent="0.15">
      <c r="A7105" s="33" t="s">
        <v>14218</v>
      </c>
      <c r="B7105" s="33">
        <v>50</v>
      </c>
      <c r="C7105" s="33" t="s">
        <v>14</v>
      </c>
      <c r="D7105" s="33" t="s">
        <v>31</v>
      </c>
      <c r="E7105" s="33" t="s">
        <v>14219</v>
      </c>
      <c r="F7105" s="67">
        <v>41453</v>
      </c>
      <c r="G7105" s="33" t="s">
        <v>14220</v>
      </c>
      <c r="H7105" s="33" t="s">
        <v>14221</v>
      </c>
      <c r="I7105" s="33" t="s">
        <v>376</v>
      </c>
      <c r="J7105" s="33" t="s">
        <v>14222</v>
      </c>
      <c r="K7105" s="33" t="s">
        <v>1415</v>
      </c>
      <c r="L7105" s="33" t="s">
        <v>8484</v>
      </c>
      <c r="M7105" s="33" t="s">
        <v>21</v>
      </c>
      <c r="N7105" s="33" t="s">
        <v>14223</v>
      </c>
      <c r="O7105" s="33" t="s">
        <v>950</v>
      </c>
      <c r="P7105" s="33" t="s">
        <v>30089</v>
      </c>
      <c r="Q7105" s="40" t="s">
        <v>14224</v>
      </c>
      <c r="R7105" s="33" t="s">
        <v>94</v>
      </c>
      <c r="S7105" s="33" t="s">
        <v>22</v>
      </c>
      <c r="T7105" s="1" t="s">
        <v>26781</v>
      </c>
      <c r="Z7105" s="33" t="s">
        <v>42968</v>
      </c>
      <c r="AA7105" s="33">
        <v>562</v>
      </c>
    </row>
    <row r="7106" spans="1:27" ht="12" customHeight="1" x14ac:dyDescent="0.15">
      <c r="A7106" s="33" t="s">
        <v>14225</v>
      </c>
      <c r="B7106" s="103">
        <v>22</v>
      </c>
      <c r="C7106" s="33" t="s">
        <v>14</v>
      </c>
      <c r="D7106" s="33" t="s">
        <v>79</v>
      </c>
      <c r="F7106" s="67">
        <v>41452</v>
      </c>
      <c r="G7106" s="33" t="s">
        <v>22264</v>
      </c>
      <c r="H7106" s="33" t="s">
        <v>4767</v>
      </c>
      <c r="I7106" s="33" t="s">
        <v>39</v>
      </c>
      <c r="J7106" s="33" t="s">
        <v>11388</v>
      </c>
      <c r="K7106" s="33" t="s">
        <v>92</v>
      </c>
      <c r="L7106" s="33" t="s">
        <v>386</v>
      </c>
      <c r="M7106" s="33" t="s">
        <v>21</v>
      </c>
      <c r="N7106" s="33" t="s">
        <v>14226</v>
      </c>
      <c r="O7106" s="33" t="s">
        <v>23</v>
      </c>
      <c r="P7106" s="33" t="s">
        <v>30089</v>
      </c>
      <c r="Q7106" s="40" t="s">
        <v>14227</v>
      </c>
      <c r="R7106" s="33" t="s">
        <v>94</v>
      </c>
      <c r="S7106" s="33" t="s">
        <v>22</v>
      </c>
      <c r="T7106" s="1" t="s">
        <v>26781</v>
      </c>
      <c r="Z7106" s="33" t="s">
        <v>42968</v>
      </c>
      <c r="AA7106" s="33">
        <v>557</v>
      </c>
    </row>
    <row r="7107" spans="1:27" ht="12" customHeight="1" x14ac:dyDescent="0.15">
      <c r="A7107" s="33" t="s">
        <v>14233</v>
      </c>
      <c r="B7107" s="103">
        <v>80</v>
      </c>
      <c r="C7107" s="33" t="s">
        <v>14</v>
      </c>
      <c r="D7107" s="33" t="s">
        <v>31</v>
      </c>
      <c r="E7107" s="33" t="s">
        <v>14234</v>
      </c>
      <c r="F7107" s="67">
        <v>41452</v>
      </c>
      <c r="G7107" s="33" t="s">
        <v>22265</v>
      </c>
      <c r="H7107" s="33" t="s">
        <v>14235</v>
      </c>
      <c r="I7107" s="33" t="s">
        <v>39</v>
      </c>
      <c r="J7107" s="33" t="s">
        <v>14236</v>
      </c>
      <c r="K7107" s="33" t="s">
        <v>92</v>
      </c>
      <c r="L7107" s="33" t="s">
        <v>386</v>
      </c>
      <c r="M7107" s="33" t="s">
        <v>21</v>
      </c>
      <c r="N7107" s="33" t="s">
        <v>14237</v>
      </c>
      <c r="O7107" s="33" t="s">
        <v>23</v>
      </c>
      <c r="P7107" s="33" t="s">
        <v>30089</v>
      </c>
      <c r="Q7107" s="40" t="s">
        <v>14238</v>
      </c>
      <c r="R7107" s="33" t="s">
        <v>94</v>
      </c>
      <c r="S7107" s="33" t="s">
        <v>22</v>
      </c>
      <c r="T7107" s="1" t="s">
        <v>26781</v>
      </c>
      <c r="Z7107" s="33" t="s">
        <v>42967</v>
      </c>
      <c r="AA7107" s="33">
        <v>558</v>
      </c>
    </row>
    <row r="7108" spans="1:27" ht="12" customHeight="1" x14ac:dyDescent="0.15">
      <c r="A7108" s="33" t="s">
        <v>14228</v>
      </c>
      <c r="B7108" s="103">
        <v>38</v>
      </c>
      <c r="C7108" s="33" t="s">
        <v>14</v>
      </c>
      <c r="D7108" s="33" t="s">
        <v>24</v>
      </c>
      <c r="F7108" s="67">
        <v>41452</v>
      </c>
      <c r="G7108" s="33" t="s">
        <v>14229</v>
      </c>
      <c r="H7108" s="33" t="s">
        <v>1786</v>
      </c>
      <c r="I7108" s="33" t="s">
        <v>160</v>
      </c>
      <c r="J7108" s="33" t="s">
        <v>14230</v>
      </c>
      <c r="K7108" s="33" t="s">
        <v>1454</v>
      </c>
      <c r="L7108" s="33" t="s">
        <v>2356</v>
      </c>
      <c r="M7108" s="33" t="s">
        <v>21</v>
      </c>
      <c r="N7108" s="33" t="s">
        <v>14231</v>
      </c>
      <c r="O7108" s="33" t="s">
        <v>23</v>
      </c>
      <c r="P7108" s="33" t="s">
        <v>30089</v>
      </c>
      <c r="Q7108" s="40" t="s">
        <v>14232</v>
      </c>
      <c r="R7108" s="33" t="s">
        <v>94</v>
      </c>
      <c r="S7108" s="33" t="s">
        <v>29</v>
      </c>
      <c r="T7108" s="1" t="s">
        <v>41840</v>
      </c>
      <c r="Z7108" s="33" t="s">
        <v>42966</v>
      </c>
      <c r="AA7108" s="33">
        <v>559</v>
      </c>
    </row>
    <row r="7109" spans="1:27" ht="12" customHeight="1" x14ac:dyDescent="0.15">
      <c r="A7109" s="33" t="s">
        <v>14255</v>
      </c>
      <c r="B7109" s="103">
        <v>30</v>
      </c>
      <c r="C7109" s="33" t="s">
        <v>14</v>
      </c>
      <c r="D7109" s="33" t="s">
        <v>31</v>
      </c>
      <c r="E7109" s="33" t="s">
        <v>14256</v>
      </c>
      <c r="F7109" s="67">
        <v>41451</v>
      </c>
      <c r="G7109" s="33" t="s">
        <v>22266</v>
      </c>
      <c r="H7109" s="33" t="s">
        <v>727</v>
      </c>
      <c r="I7109" s="33" t="s">
        <v>39</v>
      </c>
      <c r="J7109" s="33" t="s">
        <v>2614</v>
      </c>
      <c r="K7109" s="33" t="s">
        <v>728</v>
      </c>
      <c r="L7109" s="33" t="s">
        <v>729</v>
      </c>
      <c r="M7109" s="33" t="s">
        <v>21</v>
      </c>
      <c r="N7109" s="33" t="s">
        <v>36874</v>
      </c>
      <c r="O7109" s="33" t="s">
        <v>507</v>
      </c>
      <c r="P7109" s="33" t="s">
        <v>30089</v>
      </c>
      <c r="Q7109" s="40" t="s">
        <v>14257</v>
      </c>
      <c r="R7109" s="33" t="s">
        <v>94</v>
      </c>
      <c r="S7109" s="33" t="s">
        <v>22</v>
      </c>
      <c r="T7109" s="1" t="s">
        <v>26781</v>
      </c>
      <c r="Z7109" s="33" t="s">
        <v>42968</v>
      </c>
      <c r="AA7109" s="33">
        <v>556</v>
      </c>
    </row>
    <row r="7110" spans="1:27" ht="12" customHeight="1" x14ac:dyDescent="0.15">
      <c r="A7110" s="33" t="s">
        <v>14239</v>
      </c>
      <c r="B7110" s="103">
        <v>66</v>
      </c>
      <c r="C7110" s="33" t="s">
        <v>14</v>
      </c>
      <c r="D7110" s="33" t="s">
        <v>24</v>
      </c>
      <c r="F7110" s="67">
        <v>41451</v>
      </c>
      <c r="G7110" s="33" t="s">
        <v>14240</v>
      </c>
      <c r="H7110" s="33" t="s">
        <v>14241</v>
      </c>
      <c r="I7110" s="33" t="s">
        <v>139</v>
      </c>
      <c r="J7110" s="33" t="s">
        <v>14242</v>
      </c>
      <c r="K7110" s="33" t="s">
        <v>3117</v>
      </c>
      <c r="L7110" s="33" t="s">
        <v>14243</v>
      </c>
      <c r="M7110" s="33" t="s">
        <v>21</v>
      </c>
      <c r="N7110" s="33" t="s">
        <v>14244</v>
      </c>
      <c r="O7110" s="33" t="s">
        <v>23</v>
      </c>
      <c r="P7110" s="33" t="s">
        <v>30089</v>
      </c>
      <c r="Q7110" s="40" t="s">
        <v>14245</v>
      </c>
      <c r="R7110" s="33" t="s">
        <v>94</v>
      </c>
      <c r="S7110" s="33" t="s">
        <v>22</v>
      </c>
      <c r="T7110" s="1" t="s">
        <v>26781</v>
      </c>
      <c r="Z7110" s="33" t="s">
        <v>42967</v>
      </c>
      <c r="AA7110" s="33">
        <v>554</v>
      </c>
    </row>
    <row r="7111" spans="1:27" ht="12" customHeight="1" x14ac:dyDescent="0.15">
      <c r="A7111" s="33" t="s">
        <v>14246</v>
      </c>
      <c r="B7111" s="33">
        <v>34</v>
      </c>
      <c r="C7111" s="33" t="s">
        <v>14</v>
      </c>
      <c r="D7111" s="33" t="s">
        <v>31</v>
      </c>
      <c r="E7111" s="33" t="s">
        <v>14247</v>
      </c>
      <c r="F7111" s="67">
        <v>41451</v>
      </c>
      <c r="G7111" s="33" t="s">
        <v>14248</v>
      </c>
      <c r="H7111" s="33" t="s">
        <v>14249</v>
      </c>
      <c r="I7111" s="33" t="s">
        <v>122</v>
      </c>
      <c r="J7111" s="33" t="s">
        <v>14250</v>
      </c>
      <c r="K7111" s="33" t="s">
        <v>14251</v>
      </c>
      <c r="L7111" s="33" t="s">
        <v>14252</v>
      </c>
      <c r="M7111" s="33" t="s">
        <v>21</v>
      </c>
      <c r="N7111" s="33" t="s">
        <v>14253</v>
      </c>
      <c r="O7111" s="33" t="s">
        <v>507</v>
      </c>
      <c r="P7111" s="33" t="s">
        <v>30089</v>
      </c>
      <c r="Q7111" s="40" t="s">
        <v>14254</v>
      </c>
      <c r="R7111" s="33" t="s">
        <v>512</v>
      </c>
      <c r="S7111" s="33" t="s">
        <v>22</v>
      </c>
      <c r="T7111" s="1" t="s">
        <v>26781</v>
      </c>
      <c r="Z7111" s="33" t="s">
        <v>42967</v>
      </c>
      <c r="AA7111" s="33">
        <v>555</v>
      </c>
    </row>
    <row r="7112" spans="1:27" ht="12" customHeight="1" x14ac:dyDescent="0.15">
      <c r="A7112" s="33" t="s">
        <v>14258</v>
      </c>
      <c r="B7112" s="103">
        <v>34</v>
      </c>
      <c r="C7112" s="33" t="s">
        <v>14</v>
      </c>
      <c r="D7112" s="33" t="s">
        <v>24</v>
      </c>
      <c r="F7112" s="67">
        <v>41450</v>
      </c>
      <c r="G7112" s="33" t="s">
        <v>22267</v>
      </c>
      <c r="H7112" s="33" t="s">
        <v>14259</v>
      </c>
      <c r="I7112" s="33" t="s">
        <v>39</v>
      </c>
      <c r="J7112" s="33" t="s">
        <v>14260</v>
      </c>
      <c r="K7112" s="33" t="s">
        <v>728</v>
      </c>
      <c r="L7112" s="33" t="s">
        <v>729</v>
      </c>
      <c r="M7112" s="33" t="s">
        <v>21</v>
      </c>
      <c r="N7112" s="33" t="s">
        <v>14261</v>
      </c>
      <c r="O7112" s="33" t="s">
        <v>23</v>
      </c>
      <c r="P7112" s="33" t="s">
        <v>30089</v>
      </c>
      <c r="Q7112" s="40" t="s">
        <v>14262</v>
      </c>
      <c r="R7112" s="33" t="s">
        <v>94</v>
      </c>
      <c r="S7112" s="33" t="s">
        <v>351</v>
      </c>
      <c r="T7112" s="1" t="s">
        <v>26867</v>
      </c>
      <c r="Z7112" s="33" t="s">
        <v>42968</v>
      </c>
      <c r="AA7112" s="33">
        <v>553</v>
      </c>
    </row>
    <row r="7113" spans="1:27" ht="12" customHeight="1" x14ac:dyDescent="0.15">
      <c r="A7113" s="33" t="s">
        <v>14263</v>
      </c>
      <c r="B7113" s="33">
        <v>26</v>
      </c>
      <c r="C7113" s="33" t="s">
        <v>14</v>
      </c>
      <c r="D7113" s="33" t="s">
        <v>24</v>
      </c>
      <c r="F7113" s="67">
        <v>41449</v>
      </c>
      <c r="G7113" s="33" t="s">
        <v>14264</v>
      </c>
      <c r="H7113" s="33" t="s">
        <v>7963</v>
      </c>
      <c r="I7113" s="33" t="s">
        <v>309</v>
      </c>
      <c r="J7113" s="33" t="s">
        <v>4071</v>
      </c>
      <c r="K7113" s="33" t="s">
        <v>14265</v>
      </c>
      <c r="L7113" s="33" t="s">
        <v>4072</v>
      </c>
      <c r="M7113" s="33" t="s">
        <v>21</v>
      </c>
      <c r="N7113" s="33" t="s">
        <v>14266</v>
      </c>
      <c r="O7113" s="33" t="s">
        <v>23</v>
      </c>
      <c r="P7113" s="33" t="s">
        <v>30089</v>
      </c>
      <c r="Q7113" s="40" t="s">
        <v>14267</v>
      </c>
      <c r="R7113" s="33" t="s">
        <v>23</v>
      </c>
      <c r="S7113" s="33" t="s">
        <v>22</v>
      </c>
      <c r="T7113" s="1" t="s">
        <v>26774</v>
      </c>
      <c r="Z7113" s="33" t="s">
        <v>42966</v>
      </c>
      <c r="AA7113" s="33">
        <v>552</v>
      </c>
    </row>
    <row r="7114" spans="1:27" ht="12" customHeight="1" x14ac:dyDescent="0.15">
      <c r="A7114" s="33" t="s">
        <v>14268</v>
      </c>
      <c r="B7114" s="103">
        <v>47</v>
      </c>
      <c r="C7114" s="33" t="s">
        <v>14</v>
      </c>
      <c r="D7114" s="33" t="s">
        <v>31</v>
      </c>
      <c r="E7114" s="33" t="s">
        <v>14269</v>
      </c>
      <c r="F7114" s="67">
        <v>41449</v>
      </c>
      <c r="G7114" s="33" t="s">
        <v>22268</v>
      </c>
      <c r="H7114" s="33" t="s">
        <v>7050</v>
      </c>
      <c r="I7114" s="33" t="s">
        <v>56</v>
      </c>
      <c r="J7114" s="33" t="s">
        <v>14270</v>
      </c>
      <c r="K7114" s="33" t="s">
        <v>5086</v>
      </c>
      <c r="L7114" s="33" t="s">
        <v>14271</v>
      </c>
      <c r="M7114" s="33" t="s">
        <v>21</v>
      </c>
      <c r="N7114" s="33" t="s">
        <v>14272</v>
      </c>
      <c r="O7114" s="33" t="s">
        <v>507</v>
      </c>
      <c r="P7114" s="33" t="s">
        <v>30089</v>
      </c>
      <c r="Q7114" s="40" t="s">
        <v>14273</v>
      </c>
      <c r="R7114" s="33" t="s">
        <v>94</v>
      </c>
      <c r="S7114" s="33" t="s">
        <v>22</v>
      </c>
      <c r="T7114" s="1" t="s">
        <v>26781</v>
      </c>
      <c r="Z7114" s="33" t="s">
        <v>42966</v>
      </c>
      <c r="AA7114" s="33">
        <v>551</v>
      </c>
    </row>
    <row r="7115" spans="1:27" ht="12" customHeight="1" x14ac:dyDescent="0.15">
      <c r="A7115" s="33" t="s">
        <v>14274</v>
      </c>
      <c r="B7115" s="103">
        <v>26</v>
      </c>
      <c r="C7115" s="33" t="s">
        <v>14</v>
      </c>
      <c r="D7115" s="33" t="s">
        <v>79</v>
      </c>
      <c r="E7115" s="33" t="s">
        <v>14275</v>
      </c>
      <c r="F7115" s="67">
        <v>41448</v>
      </c>
      <c r="G7115" s="33" t="s">
        <v>14276</v>
      </c>
      <c r="H7115" s="33" t="s">
        <v>947</v>
      </c>
      <c r="I7115" s="33" t="s">
        <v>621</v>
      </c>
      <c r="J7115" s="33" t="s">
        <v>14277</v>
      </c>
      <c r="K7115" s="33" t="s">
        <v>14278</v>
      </c>
      <c r="L7115" s="33" t="s">
        <v>14279</v>
      </c>
      <c r="M7115" s="33" t="s">
        <v>21</v>
      </c>
      <c r="N7115" s="33" t="s">
        <v>14280</v>
      </c>
      <c r="O7115" s="33" t="s">
        <v>23</v>
      </c>
      <c r="P7115" s="33" t="s">
        <v>30089</v>
      </c>
      <c r="Q7115" s="40" t="s">
        <v>14281</v>
      </c>
      <c r="R7115" s="33" t="s">
        <v>94</v>
      </c>
      <c r="S7115" s="33" t="s">
        <v>22</v>
      </c>
      <c r="T7115" s="1" t="s">
        <v>26781</v>
      </c>
      <c r="Z7115" s="33" t="s">
        <v>42967</v>
      </c>
      <c r="AA7115" s="33">
        <v>548</v>
      </c>
    </row>
    <row r="7116" spans="1:27" ht="12" customHeight="1" x14ac:dyDescent="0.15">
      <c r="A7116" s="33" t="s">
        <v>14289</v>
      </c>
      <c r="B7116" s="103">
        <v>26</v>
      </c>
      <c r="C7116" s="33" t="s">
        <v>14</v>
      </c>
      <c r="D7116" s="33" t="s">
        <v>31</v>
      </c>
      <c r="E7116" s="33" t="s">
        <v>14290</v>
      </c>
      <c r="F7116" s="67">
        <v>41448</v>
      </c>
      <c r="G7116" s="33" t="s">
        <v>14291</v>
      </c>
      <c r="H7116" s="33" t="s">
        <v>674</v>
      </c>
      <c r="I7116" s="33" t="s">
        <v>67</v>
      </c>
      <c r="J7116" s="33" t="s">
        <v>6302</v>
      </c>
      <c r="K7116" s="33" t="s">
        <v>515</v>
      </c>
      <c r="L7116" s="33" t="s">
        <v>14292</v>
      </c>
      <c r="M7116" s="33" t="s">
        <v>21</v>
      </c>
      <c r="N7116" s="33" t="s">
        <v>14293</v>
      </c>
      <c r="O7116" s="33" t="s">
        <v>23</v>
      </c>
      <c r="P7116" s="33" t="s">
        <v>30089</v>
      </c>
      <c r="Q7116" s="40" t="s">
        <v>14294</v>
      </c>
      <c r="R7116" s="33" t="s">
        <v>94</v>
      </c>
      <c r="S7116" s="33" t="s">
        <v>12</v>
      </c>
      <c r="T7116" s="1" t="s">
        <v>29705</v>
      </c>
      <c r="Z7116" s="33" t="s">
        <v>42968</v>
      </c>
      <c r="AA7116" s="33">
        <v>550</v>
      </c>
    </row>
    <row r="7117" spans="1:27" ht="12" customHeight="1" x14ac:dyDescent="0.15">
      <c r="A7117" s="33" t="s">
        <v>14282</v>
      </c>
      <c r="B7117" s="103">
        <v>35</v>
      </c>
      <c r="C7117" s="33" t="s">
        <v>103</v>
      </c>
      <c r="D7117" s="33" t="s">
        <v>42</v>
      </c>
      <c r="E7117" s="33" t="s">
        <v>14283</v>
      </c>
      <c r="F7117" s="67">
        <v>41448</v>
      </c>
      <c r="G7117" s="33" t="s">
        <v>22269</v>
      </c>
      <c r="H7117" s="33" t="s">
        <v>3383</v>
      </c>
      <c r="I7117" s="33" t="s">
        <v>39</v>
      </c>
      <c r="J7117" s="33" t="s">
        <v>13610</v>
      </c>
      <c r="K7117" s="33" t="s">
        <v>998</v>
      </c>
      <c r="L7117" s="33" t="s">
        <v>3385</v>
      </c>
      <c r="M7117" s="33" t="s">
        <v>21</v>
      </c>
      <c r="N7117" s="33" t="s">
        <v>36875</v>
      </c>
      <c r="O7117" s="33" t="s">
        <v>507</v>
      </c>
      <c r="P7117" s="33" t="s">
        <v>30089</v>
      </c>
      <c r="Q7117" s="40" t="s">
        <v>14284</v>
      </c>
      <c r="R7117" s="33" t="s">
        <v>94</v>
      </c>
      <c r="S7117" s="33" t="s">
        <v>22</v>
      </c>
      <c r="T7117" s="1" t="s">
        <v>26781</v>
      </c>
      <c r="Z7117" s="33" t="s">
        <v>42966</v>
      </c>
      <c r="AA7117" s="33">
        <v>546</v>
      </c>
    </row>
    <row r="7118" spans="1:27" ht="12" customHeight="1" x14ac:dyDescent="0.15">
      <c r="A7118" s="33" t="s">
        <v>14285</v>
      </c>
      <c r="B7118" s="103">
        <v>37</v>
      </c>
      <c r="C7118" s="33" t="s">
        <v>14</v>
      </c>
      <c r="D7118" s="33" t="s">
        <v>24</v>
      </c>
      <c r="F7118" s="67">
        <v>41448</v>
      </c>
      <c r="G7118" s="33" t="s">
        <v>14286</v>
      </c>
      <c r="H7118" s="33" t="s">
        <v>870</v>
      </c>
      <c r="I7118" s="33" t="s">
        <v>67</v>
      </c>
      <c r="J7118" s="33" t="s">
        <v>6166</v>
      </c>
      <c r="K7118" s="33" t="s">
        <v>68</v>
      </c>
      <c r="L7118" s="33" t="s">
        <v>871</v>
      </c>
      <c r="M7118" s="33" t="s">
        <v>21</v>
      </c>
      <c r="N7118" s="33" t="s">
        <v>14287</v>
      </c>
      <c r="O7118" s="33" t="s">
        <v>23</v>
      </c>
      <c r="P7118" s="33" t="s">
        <v>30089</v>
      </c>
      <c r="Q7118" s="40" t="s">
        <v>14288</v>
      </c>
      <c r="R7118" s="33" t="s">
        <v>94</v>
      </c>
      <c r="S7118" s="33" t="s">
        <v>22</v>
      </c>
      <c r="T7118" s="33" t="s">
        <v>26774</v>
      </c>
      <c r="Z7118" s="33" t="s">
        <v>42968</v>
      </c>
      <c r="AA7118" s="33">
        <v>549</v>
      </c>
    </row>
    <row r="7119" spans="1:27" ht="12" customHeight="1" x14ac:dyDescent="0.15">
      <c r="A7119" s="33" t="s">
        <v>14295</v>
      </c>
      <c r="B7119" s="103">
        <v>31</v>
      </c>
      <c r="C7119" s="33" t="s">
        <v>103</v>
      </c>
      <c r="D7119" s="33" t="s">
        <v>31</v>
      </c>
      <c r="E7119" s="33" t="s">
        <v>14296</v>
      </c>
      <c r="F7119" s="67">
        <v>41448</v>
      </c>
      <c r="G7119" s="33" t="s">
        <v>14297</v>
      </c>
      <c r="H7119" s="33" t="s">
        <v>9953</v>
      </c>
      <c r="I7119" s="33" t="s">
        <v>67</v>
      </c>
      <c r="J7119" s="33" t="s">
        <v>14298</v>
      </c>
      <c r="K7119" s="33" t="s">
        <v>2397</v>
      </c>
      <c r="L7119" s="33" t="s">
        <v>9955</v>
      </c>
      <c r="M7119" s="33" t="s">
        <v>21</v>
      </c>
      <c r="N7119" s="33" t="s">
        <v>14299</v>
      </c>
      <c r="O7119" s="33" t="s">
        <v>23</v>
      </c>
      <c r="P7119" s="33" t="s">
        <v>30089</v>
      </c>
      <c r="Q7119" s="40" t="s">
        <v>14300</v>
      </c>
      <c r="R7119" s="33" t="s">
        <v>23</v>
      </c>
      <c r="S7119" s="33" t="s">
        <v>22</v>
      </c>
      <c r="T7119" s="1" t="s">
        <v>26781</v>
      </c>
      <c r="Z7119" s="33" t="s">
        <v>42966</v>
      </c>
      <c r="AA7119" s="33">
        <v>547</v>
      </c>
    </row>
    <row r="7120" spans="1:27" ht="12" customHeight="1" x14ac:dyDescent="0.15">
      <c r="A7120" s="33" t="s">
        <v>14308</v>
      </c>
      <c r="B7120" s="33">
        <v>56</v>
      </c>
      <c r="C7120" s="33" t="s">
        <v>14</v>
      </c>
      <c r="D7120" s="33" t="s">
        <v>24</v>
      </c>
      <c r="F7120" s="67">
        <v>41447</v>
      </c>
      <c r="G7120" s="33" t="s">
        <v>14309</v>
      </c>
      <c r="H7120" s="33" t="s">
        <v>14310</v>
      </c>
      <c r="I7120" s="33" t="s">
        <v>106</v>
      </c>
      <c r="J7120" s="33" t="s">
        <v>14311</v>
      </c>
      <c r="K7120" s="33" t="s">
        <v>882</v>
      </c>
      <c r="L7120" s="33" t="s">
        <v>1524</v>
      </c>
      <c r="M7120" s="33" t="s">
        <v>363</v>
      </c>
      <c r="N7120" s="33" t="s">
        <v>14312</v>
      </c>
      <c r="O7120" s="33" t="s">
        <v>950</v>
      </c>
      <c r="P7120" s="33" t="s">
        <v>30089</v>
      </c>
      <c r="Q7120" s="40" t="s">
        <v>14313</v>
      </c>
      <c r="R7120" s="33" t="s">
        <v>94</v>
      </c>
      <c r="S7120" s="33" t="s">
        <v>12</v>
      </c>
      <c r="T7120" s="1" t="s">
        <v>29705</v>
      </c>
      <c r="Z7120" s="33" t="s">
        <v>42968</v>
      </c>
      <c r="AA7120" s="33">
        <v>545</v>
      </c>
    </row>
    <row r="7121" spans="1:31" ht="12" customHeight="1" x14ac:dyDescent="0.15">
      <c r="A7121" s="33" t="s">
        <v>14301</v>
      </c>
      <c r="B7121" s="33">
        <v>24</v>
      </c>
      <c r="C7121" s="33" t="s">
        <v>14</v>
      </c>
      <c r="D7121" s="33" t="s">
        <v>42</v>
      </c>
      <c r="E7121" s="33" t="s">
        <v>14302</v>
      </c>
      <c r="F7121" s="67">
        <v>41447</v>
      </c>
      <c r="G7121" s="33" t="s">
        <v>14303</v>
      </c>
      <c r="H7121" s="33" t="s">
        <v>14304</v>
      </c>
      <c r="I7121" s="33" t="s">
        <v>39</v>
      </c>
      <c r="J7121" s="33" t="s">
        <v>14305</v>
      </c>
      <c r="K7121" s="33" t="s">
        <v>92</v>
      </c>
      <c r="L7121" s="33" t="s">
        <v>386</v>
      </c>
      <c r="M7121" s="33" t="s">
        <v>21</v>
      </c>
      <c r="N7121" s="33" t="s">
        <v>14306</v>
      </c>
      <c r="O7121" s="33" t="s">
        <v>507</v>
      </c>
      <c r="P7121" s="33" t="s">
        <v>30089</v>
      </c>
      <c r="Q7121" s="40" t="s">
        <v>14307</v>
      </c>
      <c r="R7121" s="33" t="s">
        <v>23</v>
      </c>
      <c r="S7121" s="33" t="s">
        <v>22</v>
      </c>
      <c r="T7121" s="1" t="s">
        <v>26781</v>
      </c>
      <c r="Z7121" s="33" t="s">
        <v>42968</v>
      </c>
      <c r="AA7121" s="33">
        <v>544</v>
      </c>
    </row>
    <row r="7122" spans="1:31" ht="12" customHeight="1" x14ac:dyDescent="0.15">
      <c r="A7122" s="33" t="s">
        <v>14315</v>
      </c>
      <c r="B7122" s="33">
        <v>46</v>
      </c>
      <c r="C7122" s="33" t="s">
        <v>14</v>
      </c>
      <c r="D7122" s="33" t="s">
        <v>31</v>
      </c>
      <c r="E7122" s="33" t="s">
        <v>14316</v>
      </c>
      <c r="F7122" s="67">
        <v>41446</v>
      </c>
      <c r="G7122" s="33" t="s">
        <v>14317</v>
      </c>
      <c r="H7122" s="33" t="s">
        <v>14318</v>
      </c>
      <c r="I7122" s="33" t="s">
        <v>139</v>
      </c>
      <c r="J7122" s="33" t="s">
        <v>14319</v>
      </c>
      <c r="K7122" s="33" t="s">
        <v>140</v>
      </c>
      <c r="L7122" s="33" t="s">
        <v>14320</v>
      </c>
      <c r="M7122" s="33" t="s">
        <v>21</v>
      </c>
      <c r="N7122" s="33" t="s">
        <v>14321</v>
      </c>
      <c r="O7122" s="33" t="s">
        <v>950</v>
      </c>
      <c r="P7122" s="33" t="s">
        <v>30089</v>
      </c>
      <c r="Q7122" s="40" t="s">
        <v>14322</v>
      </c>
      <c r="R7122" s="33" t="s">
        <v>94</v>
      </c>
      <c r="S7122" s="33" t="s">
        <v>22</v>
      </c>
      <c r="T7122" s="1" t="s">
        <v>26781</v>
      </c>
      <c r="Z7122" s="33" t="s">
        <v>42967</v>
      </c>
      <c r="AA7122" s="33">
        <v>543</v>
      </c>
    </row>
    <row r="7123" spans="1:31" ht="12" customHeight="1" x14ac:dyDescent="0.15">
      <c r="A7123" s="33" t="s">
        <v>14323</v>
      </c>
      <c r="B7123" s="103">
        <v>20</v>
      </c>
      <c r="C7123" s="33" t="s">
        <v>14</v>
      </c>
      <c r="D7123" s="33" t="s">
        <v>79</v>
      </c>
      <c r="E7123" s="33" t="s">
        <v>14324</v>
      </c>
      <c r="F7123" s="67">
        <v>41445</v>
      </c>
      <c r="G7123" s="33" t="s">
        <v>22270</v>
      </c>
      <c r="H7123" s="33" t="s">
        <v>3067</v>
      </c>
      <c r="I7123" s="33" t="s">
        <v>112</v>
      </c>
      <c r="J7123" s="33" t="s">
        <v>14325</v>
      </c>
      <c r="K7123" s="33" t="s">
        <v>585</v>
      </c>
      <c r="L7123" s="33" t="s">
        <v>3069</v>
      </c>
      <c r="M7123" s="33" t="s">
        <v>21</v>
      </c>
      <c r="N7123" s="33" t="s">
        <v>14326</v>
      </c>
      <c r="O7123" s="33" t="s">
        <v>23</v>
      </c>
      <c r="P7123" s="33" t="s">
        <v>30089</v>
      </c>
      <c r="Q7123" s="40" t="s">
        <v>14327</v>
      </c>
      <c r="R7123" s="33" t="s">
        <v>94</v>
      </c>
      <c r="S7123" s="33" t="s">
        <v>22</v>
      </c>
      <c r="T7123" s="1" t="s">
        <v>26781</v>
      </c>
      <c r="Z7123" s="33" t="s">
        <v>42968</v>
      </c>
      <c r="AA7123" s="33">
        <v>541</v>
      </c>
    </row>
    <row r="7124" spans="1:31" ht="12" customHeight="1" x14ac:dyDescent="0.15">
      <c r="A7124" s="33" t="s">
        <v>14328</v>
      </c>
      <c r="B7124" s="103">
        <v>39</v>
      </c>
      <c r="C7124" s="33" t="s">
        <v>14</v>
      </c>
      <c r="D7124" s="33" t="s">
        <v>79</v>
      </c>
      <c r="E7124" s="33" t="s">
        <v>14329</v>
      </c>
      <c r="F7124" s="67">
        <v>41445</v>
      </c>
      <c r="G7124" s="33" t="s">
        <v>14330</v>
      </c>
      <c r="H7124" s="33" t="s">
        <v>831</v>
      </c>
      <c r="I7124" s="33" t="s">
        <v>409</v>
      </c>
      <c r="J7124" s="33" t="s">
        <v>14331</v>
      </c>
      <c r="K7124" s="33" t="s">
        <v>831</v>
      </c>
      <c r="L7124" s="33" t="s">
        <v>3545</v>
      </c>
      <c r="M7124" s="33" t="s">
        <v>21</v>
      </c>
      <c r="N7124" s="33" t="s">
        <v>14332</v>
      </c>
      <c r="O7124" s="33" t="s">
        <v>23</v>
      </c>
      <c r="P7124" s="33" t="s">
        <v>30089</v>
      </c>
      <c r="Q7124" s="40" t="s">
        <v>14333</v>
      </c>
      <c r="R7124" s="33" t="s">
        <v>94</v>
      </c>
      <c r="S7124" s="33" t="s">
        <v>22</v>
      </c>
      <c r="T7124" s="1" t="s">
        <v>26781</v>
      </c>
      <c r="Z7124" s="33" t="s">
        <v>42966</v>
      </c>
      <c r="AA7124" s="33">
        <v>540</v>
      </c>
    </row>
    <row r="7125" spans="1:31" ht="12" customHeight="1" x14ac:dyDescent="0.15">
      <c r="A7125" s="33" t="s">
        <v>14334</v>
      </c>
      <c r="B7125" s="103">
        <v>21</v>
      </c>
      <c r="C7125" s="33" t="s">
        <v>14</v>
      </c>
      <c r="D7125" s="33" t="s">
        <v>31</v>
      </c>
      <c r="E7125" s="33" t="s">
        <v>14335</v>
      </c>
      <c r="F7125" s="67">
        <v>41445</v>
      </c>
      <c r="G7125" s="33" t="s">
        <v>14336</v>
      </c>
      <c r="H7125" s="33" t="s">
        <v>359</v>
      </c>
      <c r="I7125" s="33" t="s">
        <v>298</v>
      </c>
      <c r="J7125" s="33" t="s">
        <v>14337</v>
      </c>
      <c r="K7125" s="33" t="s">
        <v>2476</v>
      </c>
      <c r="L7125" s="33" t="s">
        <v>2477</v>
      </c>
      <c r="M7125" s="33" t="s">
        <v>21</v>
      </c>
      <c r="N7125" s="33" t="s">
        <v>14338</v>
      </c>
      <c r="O7125" s="33" t="s">
        <v>507</v>
      </c>
      <c r="P7125" s="33" t="s">
        <v>30089</v>
      </c>
      <c r="Q7125" s="40" t="s">
        <v>14339</v>
      </c>
      <c r="R7125" s="33" t="s">
        <v>512</v>
      </c>
      <c r="S7125" s="33" t="s">
        <v>22</v>
      </c>
      <c r="T7125" s="1" t="s">
        <v>26781</v>
      </c>
      <c r="Z7125" s="33" t="s">
        <v>42968</v>
      </c>
      <c r="AA7125" s="33">
        <v>542</v>
      </c>
    </row>
    <row r="7126" spans="1:31" ht="12" customHeight="1" x14ac:dyDescent="0.15">
      <c r="A7126" s="33" t="s">
        <v>14345</v>
      </c>
      <c r="B7126" s="103">
        <v>44</v>
      </c>
      <c r="C7126" s="33" t="s">
        <v>14</v>
      </c>
      <c r="D7126" s="33" t="s">
        <v>42</v>
      </c>
      <c r="E7126" s="33" t="s">
        <v>14346</v>
      </c>
      <c r="F7126" s="67">
        <v>41444</v>
      </c>
      <c r="G7126" s="33" t="s">
        <v>22272</v>
      </c>
      <c r="H7126" s="33" t="s">
        <v>5639</v>
      </c>
      <c r="I7126" s="33" t="s">
        <v>67</v>
      </c>
      <c r="J7126" s="33" t="s">
        <v>14347</v>
      </c>
      <c r="K7126" s="33" t="s">
        <v>266</v>
      </c>
      <c r="L7126" s="33" t="s">
        <v>5641</v>
      </c>
      <c r="M7126" s="33" t="s">
        <v>21</v>
      </c>
      <c r="N7126" s="33" t="s">
        <v>14348</v>
      </c>
      <c r="O7126" s="33" t="s">
        <v>23</v>
      </c>
      <c r="P7126" s="33" t="s">
        <v>30089</v>
      </c>
      <c r="Q7126" s="40" t="s">
        <v>14349</v>
      </c>
      <c r="R7126" s="33" t="s">
        <v>94</v>
      </c>
      <c r="S7126" s="33" t="s">
        <v>22</v>
      </c>
      <c r="T7126" s="1" t="s">
        <v>26781</v>
      </c>
      <c r="Z7126" s="33" t="s">
        <v>42968</v>
      </c>
      <c r="AA7126" s="33">
        <v>537</v>
      </c>
    </row>
    <row r="7127" spans="1:31" ht="12" customHeight="1" x14ac:dyDescent="0.15">
      <c r="A7127" s="33" t="s">
        <v>14340</v>
      </c>
      <c r="B7127" s="33">
        <v>45</v>
      </c>
      <c r="C7127" s="33" t="s">
        <v>14</v>
      </c>
      <c r="D7127" s="33" t="s">
        <v>79</v>
      </c>
      <c r="E7127" s="33" t="s">
        <v>14341</v>
      </c>
      <c r="F7127" s="67">
        <v>41444</v>
      </c>
      <c r="G7127" s="33" t="s">
        <v>14342</v>
      </c>
      <c r="H7127" s="33" t="s">
        <v>1027</v>
      </c>
      <c r="I7127" s="33" t="s">
        <v>367</v>
      </c>
      <c r="J7127" s="33" t="s">
        <v>5120</v>
      </c>
      <c r="K7127" s="33" t="s">
        <v>1028</v>
      </c>
      <c r="L7127" s="33" t="s">
        <v>1029</v>
      </c>
      <c r="M7127" s="33" t="s">
        <v>21</v>
      </c>
      <c r="N7127" s="33" t="s">
        <v>14343</v>
      </c>
      <c r="O7127" s="33" t="s">
        <v>23</v>
      </c>
      <c r="P7127" s="33" t="s">
        <v>30089</v>
      </c>
      <c r="Q7127" s="40" t="s">
        <v>14344</v>
      </c>
      <c r="R7127" s="33" t="s">
        <v>94</v>
      </c>
      <c r="S7127" s="33" t="s">
        <v>22</v>
      </c>
      <c r="T7127" s="1" t="s">
        <v>26781</v>
      </c>
      <c r="Z7127" s="33" t="s">
        <v>42966</v>
      </c>
      <c r="AA7127" s="33">
        <v>536</v>
      </c>
    </row>
    <row r="7128" spans="1:31" ht="12" customHeight="1" x14ac:dyDescent="0.15">
      <c r="A7128" s="33" t="s">
        <v>14355</v>
      </c>
      <c r="B7128" s="103">
        <v>46</v>
      </c>
      <c r="C7128" s="33" t="s">
        <v>14</v>
      </c>
      <c r="D7128" s="33" t="s">
        <v>24</v>
      </c>
      <c r="F7128" s="67">
        <v>41444</v>
      </c>
      <c r="G7128" s="33" t="s">
        <v>22273</v>
      </c>
      <c r="H7128" s="33" t="s">
        <v>14356</v>
      </c>
      <c r="I7128" s="33" t="s">
        <v>282</v>
      </c>
      <c r="J7128" s="33" t="s">
        <v>14357</v>
      </c>
      <c r="K7128" s="33" t="s">
        <v>2004</v>
      </c>
      <c r="L7128" s="33" t="s">
        <v>2006</v>
      </c>
      <c r="M7128" s="33" t="s">
        <v>21</v>
      </c>
      <c r="N7128" s="33" t="s">
        <v>14358</v>
      </c>
      <c r="O7128" s="33" t="s">
        <v>507</v>
      </c>
      <c r="P7128" s="33" t="s">
        <v>30089</v>
      </c>
      <c r="Q7128" s="40" t="s">
        <v>14359</v>
      </c>
      <c r="R7128" s="33" t="s">
        <v>94</v>
      </c>
      <c r="S7128" s="33" t="s">
        <v>22</v>
      </c>
      <c r="T7128" s="1" t="s">
        <v>42982</v>
      </c>
      <c r="Z7128" s="33" t="s">
        <v>42968</v>
      </c>
      <c r="AA7128" s="33">
        <v>535</v>
      </c>
    </row>
    <row r="7129" spans="1:31" ht="12" customHeight="1" x14ac:dyDescent="0.15">
      <c r="A7129" s="33" t="s">
        <v>13808</v>
      </c>
      <c r="B7129" s="103">
        <v>62</v>
      </c>
      <c r="C7129" s="33" t="s">
        <v>14</v>
      </c>
      <c r="D7129" s="33" t="s">
        <v>31</v>
      </c>
      <c r="E7129" s="33" t="s">
        <v>13809</v>
      </c>
      <c r="F7129" s="67">
        <v>41444</v>
      </c>
      <c r="G7129" s="33" t="s">
        <v>13810</v>
      </c>
      <c r="H7129" s="33" t="s">
        <v>13811</v>
      </c>
      <c r="I7129" s="33" t="s">
        <v>798</v>
      </c>
      <c r="J7129" s="33" t="s">
        <v>13812</v>
      </c>
      <c r="K7129" s="33" t="s">
        <v>799</v>
      </c>
      <c r="L7129" s="33" t="s">
        <v>13813</v>
      </c>
      <c r="M7129" s="33" t="s">
        <v>21</v>
      </c>
      <c r="N7129" s="33" t="s">
        <v>13814</v>
      </c>
      <c r="O7129" s="33" t="s">
        <v>23</v>
      </c>
      <c r="P7129" s="33" t="s">
        <v>30089</v>
      </c>
      <c r="Q7129" s="40" t="s">
        <v>13815</v>
      </c>
      <c r="R7129" s="33" t="s">
        <v>94</v>
      </c>
      <c r="S7129" s="33" t="s">
        <v>22</v>
      </c>
      <c r="T7129" s="1" t="s">
        <v>26781</v>
      </c>
      <c r="Z7129" s="33" t="s">
        <v>42967</v>
      </c>
      <c r="AA7129" s="33">
        <v>538</v>
      </c>
    </row>
    <row r="7130" spans="1:31" ht="12" customHeight="1" x14ac:dyDescent="0.15">
      <c r="A7130" s="33" t="s">
        <v>14350</v>
      </c>
      <c r="B7130" s="33">
        <v>28</v>
      </c>
      <c r="C7130" s="33" t="s">
        <v>14</v>
      </c>
      <c r="D7130" s="33" t="s">
        <v>24</v>
      </c>
      <c r="F7130" s="67">
        <v>41444</v>
      </c>
      <c r="G7130" s="33" t="s">
        <v>22271</v>
      </c>
      <c r="H7130" s="33" t="s">
        <v>430</v>
      </c>
      <c r="I7130" s="33" t="s">
        <v>19</v>
      </c>
      <c r="J7130" s="33" t="s">
        <v>14351</v>
      </c>
      <c r="K7130" s="33" t="s">
        <v>5432</v>
      </c>
      <c r="L7130" s="33" t="s">
        <v>14352</v>
      </c>
      <c r="M7130" s="33" t="s">
        <v>21</v>
      </c>
      <c r="N7130" s="33" t="s">
        <v>14353</v>
      </c>
      <c r="O7130" s="33" t="s">
        <v>507</v>
      </c>
      <c r="P7130" s="33" t="s">
        <v>30089</v>
      </c>
      <c r="Q7130" s="40" t="s">
        <v>14354</v>
      </c>
      <c r="R7130" s="33" t="s">
        <v>94</v>
      </c>
      <c r="S7130" s="33" t="s">
        <v>22</v>
      </c>
      <c r="T7130" s="33" t="s">
        <v>43023</v>
      </c>
      <c r="Z7130" s="33" t="s">
        <v>42968</v>
      </c>
      <c r="AA7130" s="33">
        <v>539</v>
      </c>
      <c r="AE7130" s="33"/>
    </row>
    <row r="7131" spans="1:31" ht="12" customHeight="1" x14ac:dyDescent="0.15">
      <c r="A7131" s="33" t="s">
        <v>14371</v>
      </c>
      <c r="B7131" s="103">
        <v>28</v>
      </c>
      <c r="C7131" s="33" t="s">
        <v>14</v>
      </c>
      <c r="D7131" s="33" t="s">
        <v>31</v>
      </c>
      <c r="F7131" s="67">
        <v>41443</v>
      </c>
      <c r="G7131" s="33" t="s">
        <v>22274</v>
      </c>
      <c r="H7131" s="33" t="s">
        <v>1342</v>
      </c>
      <c r="I7131" s="33" t="s">
        <v>282</v>
      </c>
      <c r="J7131" s="33" t="s">
        <v>14372</v>
      </c>
      <c r="K7131" s="33" t="s">
        <v>827</v>
      </c>
      <c r="L7131" s="33" t="s">
        <v>2530</v>
      </c>
      <c r="M7131" s="33" t="s">
        <v>21</v>
      </c>
      <c r="N7131" s="33" t="s">
        <v>14373</v>
      </c>
      <c r="O7131" s="33" t="s">
        <v>507</v>
      </c>
      <c r="P7131" s="33" t="s">
        <v>30089</v>
      </c>
      <c r="Q7131" s="40" t="s">
        <v>14374</v>
      </c>
      <c r="R7131" s="33" t="s">
        <v>94</v>
      </c>
      <c r="S7131" s="33" t="s">
        <v>12</v>
      </c>
      <c r="T7131" s="1" t="s">
        <v>29425</v>
      </c>
      <c r="Z7131" s="33" t="s">
        <v>42968</v>
      </c>
      <c r="AA7131" s="33">
        <v>534</v>
      </c>
    </row>
    <row r="7132" spans="1:31" ht="12" customHeight="1" x14ac:dyDescent="0.15">
      <c r="A7132" s="33" t="s">
        <v>14367</v>
      </c>
      <c r="B7132" s="103">
        <v>50</v>
      </c>
      <c r="C7132" s="33" t="s">
        <v>14</v>
      </c>
      <c r="D7132" s="33" t="s">
        <v>24</v>
      </c>
      <c r="F7132" s="67">
        <v>41443</v>
      </c>
      <c r="G7132" s="33" t="s">
        <v>14368</v>
      </c>
      <c r="H7132" s="33" t="s">
        <v>700</v>
      </c>
      <c r="I7132" s="33" t="s">
        <v>395</v>
      </c>
      <c r="J7132" s="33" t="s">
        <v>1993</v>
      </c>
      <c r="K7132" s="33" t="s">
        <v>700</v>
      </c>
      <c r="L7132" s="33" t="s">
        <v>539</v>
      </c>
      <c r="M7132" s="33" t="s">
        <v>21</v>
      </c>
      <c r="N7132" s="33" t="s">
        <v>14369</v>
      </c>
      <c r="O7132" s="33" t="s">
        <v>23</v>
      </c>
      <c r="P7132" s="33" t="s">
        <v>30089</v>
      </c>
      <c r="Q7132" s="40" t="s">
        <v>14370</v>
      </c>
      <c r="R7132" s="33" t="s">
        <v>94</v>
      </c>
      <c r="S7132" s="33" t="s">
        <v>22</v>
      </c>
      <c r="T7132" s="1" t="s">
        <v>26781</v>
      </c>
      <c r="Z7132" s="33" t="s">
        <v>42966</v>
      </c>
      <c r="AA7132" s="33">
        <v>533</v>
      </c>
    </row>
    <row r="7133" spans="1:31" ht="12" customHeight="1" x14ac:dyDescent="0.15">
      <c r="A7133" s="33" t="s">
        <v>14360</v>
      </c>
      <c r="B7133" s="103">
        <v>17</v>
      </c>
      <c r="C7133" s="33" t="s">
        <v>14</v>
      </c>
      <c r="D7133" s="33" t="s">
        <v>79</v>
      </c>
      <c r="E7133" s="33" t="s">
        <v>14361</v>
      </c>
      <c r="F7133" s="67">
        <v>41443</v>
      </c>
      <c r="G7133" s="33" t="s">
        <v>14362</v>
      </c>
      <c r="H7133" s="33" t="s">
        <v>3855</v>
      </c>
      <c r="I7133" s="33" t="s">
        <v>338</v>
      </c>
      <c r="J7133" s="33" t="s">
        <v>14363</v>
      </c>
      <c r="K7133" s="33" t="s">
        <v>3857</v>
      </c>
      <c r="L7133" s="33" t="s">
        <v>3858</v>
      </c>
      <c r="M7133" s="33" t="s">
        <v>21</v>
      </c>
      <c r="N7133" s="33" t="s">
        <v>14364</v>
      </c>
      <c r="O7133" s="33" t="s">
        <v>507</v>
      </c>
      <c r="P7133" s="33" t="s">
        <v>30089</v>
      </c>
      <c r="Q7133" s="40" t="s">
        <v>14365</v>
      </c>
      <c r="R7133" s="33" t="s">
        <v>94</v>
      </c>
      <c r="S7133" s="33" t="s">
        <v>22</v>
      </c>
      <c r="T7133" s="1" t="s">
        <v>26781</v>
      </c>
      <c r="Z7133" s="33" t="s">
        <v>42968</v>
      </c>
      <c r="AA7133" s="33">
        <v>532</v>
      </c>
    </row>
    <row r="7134" spans="1:31" ht="12" customHeight="1" x14ac:dyDescent="0.15">
      <c r="A7134" s="33" t="s">
        <v>14375</v>
      </c>
      <c r="B7134" s="103">
        <v>34</v>
      </c>
      <c r="C7134" s="33" t="s">
        <v>14</v>
      </c>
      <c r="D7134" s="33" t="s">
        <v>79</v>
      </c>
      <c r="E7134" s="33" t="s">
        <v>14376</v>
      </c>
      <c r="F7134" s="67">
        <v>41442</v>
      </c>
      <c r="G7134" s="33" t="s">
        <v>22275</v>
      </c>
      <c r="H7134" s="33" t="s">
        <v>532</v>
      </c>
      <c r="I7134" s="33" t="s">
        <v>67</v>
      </c>
      <c r="J7134" s="33" t="s">
        <v>2781</v>
      </c>
      <c r="K7134" s="33" t="s">
        <v>533</v>
      </c>
      <c r="L7134" s="33" t="s">
        <v>534</v>
      </c>
      <c r="M7134" s="33" t="s">
        <v>21</v>
      </c>
      <c r="N7134" s="33" t="s">
        <v>14377</v>
      </c>
      <c r="O7134" s="33" t="s">
        <v>23</v>
      </c>
      <c r="P7134" s="33" t="s">
        <v>30089</v>
      </c>
      <c r="Q7134" s="40" t="s">
        <v>14378</v>
      </c>
      <c r="R7134" s="33" t="s">
        <v>94</v>
      </c>
      <c r="S7134" s="33" t="s">
        <v>22</v>
      </c>
      <c r="T7134" s="1" t="s">
        <v>26781</v>
      </c>
      <c r="Z7134" s="33" t="s">
        <v>42968</v>
      </c>
      <c r="AA7134" s="33">
        <v>529</v>
      </c>
    </row>
    <row r="7135" spans="1:31" ht="12" customHeight="1" x14ac:dyDescent="0.15">
      <c r="A7135" s="33" t="s">
        <v>14385</v>
      </c>
      <c r="B7135" s="33">
        <v>45</v>
      </c>
      <c r="C7135" s="33" t="s">
        <v>14</v>
      </c>
      <c r="D7135" s="33" t="s">
        <v>24</v>
      </c>
      <c r="F7135" s="67">
        <v>41442</v>
      </c>
      <c r="G7135" s="33" t="s">
        <v>14386</v>
      </c>
      <c r="H7135" s="33" t="s">
        <v>401</v>
      </c>
      <c r="I7135" s="33" t="s">
        <v>402</v>
      </c>
      <c r="J7135" s="33" t="s">
        <v>14387</v>
      </c>
      <c r="K7135" s="33" t="s">
        <v>3117</v>
      </c>
      <c r="L7135" s="33" t="s">
        <v>405</v>
      </c>
      <c r="M7135" s="33" t="s">
        <v>363</v>
      </c>
      <c r="N7135" s="33" t="s">
        <v>14388</v>
      </c>
      <c r="O7135" s="33" t="s">
        <v>4311</v>
      </c>
      <c r="P7135" s="33" t="s">
        <v>30089</v>
      </c>
      <c r="Q7135" s="40" t="s">
        <v>14389</v>
      </c>
      <c r="R7135" s="33" t="s">
        <v>512</v>
      </c>
      <c r="S7135" s="33" t="s">
        <v>29</v>
      </c>
      <c r="T7135" s="33" t="s">
        <v>41840</v>
      </c>
      <c r="Z7135" s="33" t="s">
        <v>42968</v>
      </c>
      <c r="AA7135" s="33">
        <v>531</v>
      </c>
    </row>
    <row r="7136" spans="1:31" ht="12" customHeight="1" x14ac:dyDescent="0.15">
      <c r="A7136" s="33" t="s">
        <v>14390</v>
      </c>
      <c r="B7136" s="33">
        <v>41</v>
      </c>
      <c r="C7136" s="33" t="s">
        <v>14</v>
      </c>
      <c r="D7136" s="33" t="s">
        <v>31</v>
      </c>
      <c r="E7136" s="33" t="s">
        <v>14391</v>
      </c>
      <c r="F7136" s="67">
        <v>41442</v>
      </c>
      <c r="G7136" s="33" t="s">
        <v>14392</v>
      </c>
      <c r="H7136" s="33" t="s">
        <v>9350</v>
      </c>
      <c r="I7136" s="33" t="s">
        <v>67</v>
      </c>
      <c r="J7136" s="33" t="s">
        <v>14393</v>
      </c>
      <c r="K7136" s="33" t="s">
        <v>9350</v>
      </c>
      <c r="L7136" s="33" t="s">
        <v>9351</v>
      </c>
      <c r="M7136" s="33" t="s">
        <v>21</v>
      </c>
      <c r="N7136" s="33" t="s">
        <v>14394</v>
      </c>
      <c r="O7136" s="33" t="s">
        <v>507</v>
      </c>
      <c r="P7136" s="33" t="s">
        <v>30089</v>
      </c>
      <c r="Q7136" s="40" t="s">
        <v>14395</v>
      </c>
      <c r="R7136" s="33" t="s">
        <v>23</v>
      </c>
      <c r="S7136" s="33" t="s">
        <v>22</v>
      </c>
      <c r="T7136" s="1" t="s">
        <v>26781</v>
      </c>
      <c r="Z7136" s="33" t="s">
        <v>42968</v>
      </c>
      <c r="AA7136" s="33">
        <v>530</v>
      </c>
    </row>
    <row r="7137" spans="1:31" ht="12" customHeight="1" x14ac:dyDescent="0.15">
      <c r="A7137" s="33" t="s">
        <v>14380</v>
      </c>
      <c r="B7137" s="103">
        <v>59</v>
      </c>
      <c r="C7137" s="33" t="s">
        <v>14</v>
      </c>
      <c r="D7137" s="33" t="s">
        <v>24</v>
      </c>
      <c r="F7137" s="67">
        <v>41442</v>
      </c>
      <c r="G7137" s="33" t="s">
        <v>14381</v>
      </c>
      <c r="H7137" s="33" t="s">
        <v>2455</v>
      </c>
      <c r="I7137" s="33" t="s">
        <v>35</v>
      </c>
      <c r="J7137" s="33" t="s">
        <v>14382</v>
      </c>
      <c r="K7137" s="33" t="s">
        <v>6257</v>
      </c>
      <c r="L7137" s="33" t="s">
        <v>37</v>
      </c>
      <c r="M7137" s="33" t="s">
        <v>21</v>
      </c>
      <c r="N7137" s="33" t="s">
        <v>14383</v>
      </c>
      <c r="O7137" s="33" t="s">
        <v>23</v>
      </c>
      <c r="P7137" s="33" t="s">
        <v>30089</v>
      </c>
      <c r="Q7137" s="40" t="s">
        <v>14384</v>
      </c>
      <c r="R7137" s="33" t="s">
        <v>512</v>
      </c>
      <c r="S7137" s="33" t="s">
        <v>22</v>
      </c>
      <c r="T7137" s="1" t="s">
        <v>26591</v>
      </c>
      <c r="Z7137" s="33" t="s">
        <v>42967</v>
      </c>
      <c r="AA7137" s="33">
        <v>528</v>
      </c>
    </row>
    <row r="7138" spans="1:31" ht="12" customHeight="1" x14ac:dyDescent="0.15">
      <c r="A7138" s="33" t="s">
        <v>14439</v>
      </c>
      <c r="B7138" s="33">
        <v>33</v>
      </c>
      <c r="C7138" s="33" t="s">
        <v>14</v>
      </c>
      <c r="D7138" s="33" t="s">
        <v>31</v>
      </c>
      <c r="E7138" s="33" t="s">
        <v>14440</v>
      </c>
      <c r="F7138" s="67">
        <v>41441</v>
      </c>
      <c r="G7138" s="33" t="s">
        <v>22276</v>
      </c>
      <c r="H7138" s="33" t="s">
        <v>631</v>
      </c>
      <c r="I7138" s="33" t="s">
        <v>39</v>
      </c>
      <c r="J7138" s="33" t="s">
        <v>3193</v>
      </c>
      <c r="K7138" s="33" t="s">
        <v>632</v>
      </c>
      <c r="L7138" s="33" t="s">
        <v>693</v>
      </c>
      <c r="M7138" s="33" t="s">
        <v>21</v>
      </c>
      <c r="N7138" s="33" t="s">
        <v>14441</v>
      </c>
      <c r="O7138" s="33" t="s">
        <v>950</v>
      </c>
      <c r="P7138" s="33" t="s">
        <v>30089</v>
      </c>
      <c r="Q7138" s="40" t="s">
        <v>14442</v>
      </c>
      <c r="R7138" s="33" t="s">
        <v>94</v>
      </c>
      <c r="S7138" s="33" t="s">
        <v>29</v>
      </c>
      <c r="T7138" s="1" t="s">
        <v>41840</v>
      </c>
      <c r="Z7138" s="33" t="s">
        <v>42968</v>
      </c>
      <c r="AA7138" s="33">
        <v>526</v>
      </c>
    </row>
    <row r="7139" spans="1:31" ht="12" customHeight="1" x14ac:dyDescent="0.15">
      <c r="A7139" s="33" t="s">
        <v>14401</v>
      </c>
      <c r="B7139" s="103">
        <v>24</v>
      </c>
      <c r="C7139" s="33" t="s">
        <v>14</v>
      </c>
      <c r="D7139" s="33" t="s">
        <v>79</v>
      </c>
      <c r="F7139" s="67">
        <v>41441</v>
      </c>
      <c r="G7139" s="33" t="s">
        <v>14402</v>
      </c>
      <c r="H7139" s="33" t="s">
        <v>81</v>
      </c>
      <c r="I7139" s="33" t="s">
        <v>38</v>
      </c>
      <c r="J7139" s="33" t="s">
        <v>14403</v>
      </c>
      <c r="K7139" s="33" t="s">
        <v>82</v>
      </c>
      <c r="L7139" s="33" t="s">
        <v>83</v>
      </c>
      <c r="M7139" s="33" t="s">
        <v>21</v>
      </c>
      <c r="N7139" s="33" t="s">
        <v>14404</v>
      </c>
      <c r="O7139" s="33" t="s">
        <v>23</v>
      </c>
      <c r="P7139" s="33" t="s">
        <v>30089</v>
      </c>
      <c r="Q7139" s="40" t="s">
        <v>14405</v>
      </c>
      <c r="R7139" s="33" t="s">
        <v>94</v>
      </c>
      <c r="S7139" s="33" t="s">
        <v>22</v>
      </c>
      <c r="T7139" s="1" t="s">
        <v>26781</v>
      </c>
      <c r="Z7139" s="33" t="s">
        <v>42966</v>
      </c>
      <c r="AA7139" s="33">
        <v>518</v>
      </c>
    </row>
    <row r="7140" spans="1:31" ht="12" customHeight="1" x14ac:dyDescent="0.15">
      <c r="A7140" s="33" t="s">
        <v>14434</v>
      </c>
      <c r="B7140" s="103">
        <v>60</v>
      </c>
      <c r="C7140" s="33" t="s">
        <v>14</v>
      </c>
      <c r="D7140" s="33" t="s">
        <v>24</v>
      </c>
      <c r="F7140" s="67">
        <v>41441</v>
      </c>
      <c r="G7140" s="33" t="s">
        <v>14435</v>
      </c>
      <c r="H7140" s="33" t="s">
        <v>995</v>
      </c>
      <c r="I7140" s="33" t="s">
        <v>198</v>
      </c>
      <c r="J7140" s="33" t="s">
        <v>14436</v>
      </c>
      <c r="K7140" s="33" t="s">
        <v>2059</v>
      </c>
      <c r="L7140" s="33" t="s">
        <v>4973</v>
      </c>
      <c r="M7140" s="33" t="s">
        <v>21</v>
      </c>
      <c r="N7140" s="33" t="s">
        <v>14437</v>
      </c>
      <c r="O7140" s="33" t="s">
        <v>23</v>
      </c>
      <c r="P7140" s="33" t="s">
        <v>30089</v>
      </c>
      <c r="Q7140" s="40" t="s">
        <v>14438</v>
      </c>
      <c r="R7140" s="33" t="s">
        <v>94</v>
      </c>
      <c r="S7140" s="33" t="s">
        <v>22</v>
      </c>
      <c r="T7140" s="1" t="s">
        <v>26781</v>
      </c>
      <c r="Z7140" s="33" t="s">
        <v>42967</v>
      </c>
      <c r="AA7140" s="33">
        <v>522</v>
      </c>
    </row>
    <row r="7141" spans="1:31" ht="12" customHeight="1" x14ac:dyDescent="0.15">
      <c r="A7141" s="33" t="s">
        <v>14396</v>
      </c>
      <c r="B7141" s="33">
        <v>15</v>
      </c>
      <c r="C7141" s="33" t="s">
        <v>14</v>
      </c>
      <c r="D7141" s="33" t="s">
        <v>79</v>
      </c>
      <c r="E7141" s="33" t="s">
        <v>14397</v>
      </c>
      <c r="F7141" s="67">
        <v>41441</v>
      </c>
      <c r="G7141" s="33" t="s">
        <v>14398</v>
      </c>
      <c r="H7141" s="33" t="s">
        <v>81</v>
      </c>
      <c r="I7141" s="33" t="s">
        <v>38</v>
      </c>
      <c r="J7141" s="33" t="s">
        <v>14097</v>
      </c>
      <c r="K7141" s="33" t="s">
        <v>82</v>
      </c>
      <c r="L7141" s="33" t="s">
        <v>83</v>
      </c>
      <c r="M7141" s="33" t="s">
        <v>21</v>
      </c>
      <c r="N7141" s="33" t="s">
        <v>14399</v>
      </c>
      <c r="O7141" s="33" t="s">
        <v>950</v>
      </c>
      <c r="P7141" s="33" t="s">
        <v>30089</v>
      </c>
      <c r="Q7141" s="40" t="s">
        <v>14400</v>
      </c>
      <c r="R7141" s="33" t="s">
        <v>94</v>
      </c>
      <c r="S7141" s="33" t="s">
        <v>22</v>
      </c>
      <c r="T7141" s="1" t="s">
        <v>26781</v>
      </c>
      <c r="Z7141" s="33" t="s">
        <v>42966</v>
      </c>
      <c r="AA7141" s="33">
        <v>520</v>
      </c>
    </row>
    <row r="7142" spans="1:31" ht="12" customHeight="1" x14ac:dyDescent="0.15">
      <c r="A7142" s="33" t="s">
        <v>3002</v>
      </c>
      <c r="B7142" s="33">
        <v>53</v>
      </c>
      <c r="C7142" s="33" t="s">
        <v>14</v>
      </c>
      <c r="D7142" s="33" t="s">
        <v>24</v>
      </c>
      <c r="F7142" s="67">
        <v>41441</v>
      </c>
      <c r="G7142" s="33" t="s">
        <v>14430</v>
      </c>
      <c r="H7142" s="33" t="s">
        <v>1066</v>
      </c>
      <c r="I7142" s="33" t="s">
        <v>39</v>
      </c>
      <c r="J7142" s="33" t="s">
        <v>14431</v>
      </c>
      <c r="K7142" s="33" t="s">
        <v>558</v>
      </c>
      <c r="L7142" s="33" t="s">
        <v>1067</v>
      </c>
      <c r="M7142" s="33" t="s">
        <v>21</v>
      </c>
      <c r="N7142" s="33" t="s">
        <v>14432</v>
      </c>
      <c r="O7142" s="33" t="s">
        <v>4311</v>
      </c>
      <c r="P7142" s="33" t="s">
        <v>30089</v>
      </c>
      <c r="Q7142" s="40" t="s">
        <v>14433</v>
      </c>
      <c r="R7142" s="33" t="s">
        <v>512</v>
      </c>
      <c r="S7142" s="33" t="s">
        <v>22</v>
      </c>
      <c r="T7142" s="1" t="s">
        <v>26774</v>
      </c>
      <c r="Z7142" s="33" t="s">
        <v>42968</v>
      </c>
      <c r="AA7142" s="33">
        <v>524</v>
      </c>
    </row>
    <row r="7143" spans="1:31" ht="12" customHeight="1" x14ac:dyDescent="0.15">
      <c r="A7143" s="33" t="s">
        <v>14406</v>
      </c>
      <c r="B7143" s="103">
        <v>48</v>
      </c>
      <c r="C7143" s="33" t="s">
        <v>14</v>
      </c>
      <c r="D7143" s="33" t="s">
        <v>79</v>
      </c>
      <c r="E7143" s="33" t="s">
        <v>14407</v>
      </c>
      <c r="F7143" s="67">
        <v>41441</v>
      </c>
      <c r="G7143" s="33" t="s">
        <v>14408</v>
      </c>
      <c r="H7143" s="33" t="s">
        <v>196</v>
      </c>
      <c r="I7143" s="33" t="s">
        <v>56</v>
      </c>
      <c r="J7143" s="33" t="s">
        <v>10288</v>
      </c>
      <c r="K7143" s="33" t="s">
        <v>148</v>
      </c>
      <c r="L7143" s="33" t="s">
        <v>149</v>
      </c>
      <c r="M7143" s="33" t="s">
        <v>21</v>
      </c>
      <c r="N7143" s="33" t="s">
        <v>14409</v>
      </c>
      <c r="O7143" s="33" t="s">
        <v>23</v>
      </c>
      <c r="P7143" s="33" t="s">
        <v>30089</v>
      </c>
      <c r="Q7143" s="40" t="s">
        <v>14410</v>
      </c>
      <c r="R7143" s="33" t="s">
        <v>94</v>
      </c>
      <c r="S7143" s="33" t="s">
        <v>29</v>
      </c>
      <c r="T7143" s="1" t="s">
        <v>41840</v>
      </c>
      <c r="Z7143" s="33" t="s">
        <v>42968</v>
      </c>
      <c r="AA7143" s="33">
        <v>525</v>
      </c>
    </row>
    <row r="7144" spans="1:31" ht="12" customHeight="1" x14ac:dyDescent="0.15">
      <c r="A7144" s="33" t="s">
        <v>14411</v>
      </c>
      <c r="B7144" s="103">
        <v>37</v>
      </c>
      <c r="C7144" s="33" t="s">
        <v>14</v>
      </c>
      <c r="D7144" s="33" t="s">
        <v>79</v>
      </c>
      <c r="E7144" s="33" t="s">
        <v>14412</v>
      </c>
      <c r="F7144" s="67">
        <v>41441</v>
      </c>
      <c r="G7144" s="33" t="s">
        <v>14413</v>
      </c>
      <c r="H7144" s="33" t="s">
        <v>14414</v>
      </c>
      <c r="I7144" s="33" t="s">
        <v>367</v>
      </c>
      <c r="J7144" s="33" t="s">
        <v>14415</v>
      </c>
      <c r="K7144" s="33" t="s">
        <v>1028</v>
      </c>
      <c r="L7144" s="33" t="s">
        <v>1071</v>
      </c>
      <c r="M7144" s="33" t="s">
        <v>21</v>
      </c>
      <c r="N7144" s="33" t="s">
        <v>14416</v>
      </c>
      <c r="O7144" s="33" t="s">
        <v>507</v>
      </c>
      <c r="P7144" s="33" t="s">
        <v>30089</v>
      </c>
      <c r="Q7144" s="40" t="s">
        <v>14417</v>
      </c>
      <c r="R7144" s="33" t="s">
        <v>512</v>
      </c>
      <c r="S7144" s="33" t="s">
        <v>22</v>
      </c>
      <c r="T7144" s="1" t="s">
        <v>26774</v>
      </c>
      <c r="Z7144" s="33" t="s">
        <v>42968</v>
      </c>
      <c r="AA7144" s="33">
        <v>523</v>
      </c>
    </row>
    <row r="7145" spans="1:31" ht="12" customHeight="1" x14ac:dyDescent="0.15">
      <c r="A7145" s="33" t="s">
        <v>14426</v>
      </c>
      <c r="B7145" s="103">
        <v>23</v>
      </c>
      <c r="C7145" s="33" t="s">
        <v>14</v>
      </c>
      <c r="D7145" s="33" t="s">
        <v>42</v>
      </c>
      <c r="E7145" s="33" t="s">
        <v>14427</v>
      </c>
      <c r="F7145" s="67">
        <v>41441</v>
      </c>
      <c r="G7145" s="33" t="s">
        <v>22278</v>
      </c>
      <c r="H7145" s="33" t="s">
        <v>9953</v>
      </c>
      <c r="I7145" s="33" t="s">
        <v>67</v>
      </c>
      <c r="J7145" s="33" t="s">
        <v>14298</v>
      </c>
      <c r="K7145" s="33" t="s">
        <v>2397</v>
      </c>
      <c r="L7145" s="33" t="s">
        <v>9955</v>
      </c>
      <c r="M7145" s="33" t="s">
        <v>21</v>
      </c>
      <c r="N7145" s="33" t="s">
        <v>14428</v>
      </c>
      <c r="O7145" s="33" t="s">
        <v>23</v>
      </c>
      <c r="P7145" s="33" t="s">
        <v>30089</v>
      </c>
      <c r="Q7145" s="40" t="s">
        <v>14429</v>
      </c>
      <c r="R7145" s="33" t="s">
        <v>94</v>
      </c>
      <c r="S7145" s="33" t="s">
        <v>22</v>
      </c>
      <c r="T7145" s="1" t="s">
        <v>26781</v>
      </c>
      <c r="Z7145" s="33" t="s">
        <v>42966</v>
      </c>
      <c r="AA7145" s="33">
        <v>521</v>
      </c>
    </row>
    <row r="7146" spans="1:31" ht="12" customHeight="1" x14ac:dyDescent="0.15">
      <c r="A7146" s="33" t="s">
        <v>14443</v>
      </c>
      <c r="B7146" s="33">
        <v>54</v>
      </c>
      <c r="C7146" s="33" t="s">
        <v>14</v>
      </c>
      <c r="D7146" s="33" t="s">
        <v>31</v>
      </c>
      <c r="E7146" s="33" t="s">
        <v>14444</v>
      </c>
      <c r="F7146" s="67">
        <v>41441</v>
      </c>
      <c r="G7146" s="33" t="s">
        <v>22277</v>
      </c>
      <c r="H7146" s="33" t="s">
        <v>997</v>
      </c>
      <c r="I7146" s="33" t="s">
        <v>56</v>
      </c>
      <c r="J7146" s="33" t="s">
        <v>11663</v>
      </c>
      <c r="K7146" s="33" t="s">
        <v>998</v>
      </c>
      <c r="L7146" s="33" t="s">
        <v>4077</v>
      </c>
      <c r="M7146" s="33" t="s">
        <v>21</v>
      </c>
      <c r="N7146" s="33" t="s">
        <v>14445</v>
      </c>
      <c r="O7146" s="33" t="s">
        <v>4311</v>
      </c>
      <c r="P7146" s="33" t="s">
        <v>30089</v>
      </c>
      <c r="Q7146" s="40" t="s">
        <v>14446</v>
      </c>
      <c r="R7146" s="33" t="s">
        <v>94</v>
      </c>
      <c r="S7146" s="33" t="s">
        <v>22</v>
      </c>
      <c r="T7146" s="1" t="s">
        <v>26576</v>
      </c>
      <c r="Z7146" s="33" t="s">
        <v>42966</v>
      </c>
      <c r="AA7146" s="33">
        <v>527</v>
      </c>
    </row>
    <row r="7147" spans="1:31" ht="12" customHeight="1" x14ac:dyDescent="0.15">
      <c r="A7147" s="33" t="s">
        <v>14418</v>
      </c>
      <c r="B7147" s="103">
        <v>48</v>
      </c>
      <c r="C7147" s="33" t="s">
        <v>14</v>
      </c>
      <c r="D7147" s="33" t="s">
        <v>79</v>
      </c>
      <c r="E7147" s="33" t="s">
        <v>14419</v>
      </c>
      <c r="F7147" s="67">
        <v>41441</v>
      </c>
      <c r="G7147" s="33" t="s">
        <v>14420</v>
      </c>
      <c r="H7147" s="33" t="s">
        <v>14421</v>
      </c>
      <c r="I7147" s="33" t="s">
        <v>26</v>
      </c>
      <c r="J7147" s="33" t="s">
        <v>14422</v>
      </c>
      <c r="K7147" s="33" t="s">
        <v>947</v>
      </c>
      <c r="L7147" s="33" t="s">
        <v>14423</v>
      </c>
      <c r="M7147" s="33" t="s">
        <v>21</v>
      </c>
      <c r="N7147" s="33" t="s">
        <v>14424</v>
      </c>
      <c r="O7147" s="33" t="s">
        <v>23</v>
      </c>
      <c r="P7147" s="33" t="s">
        <v>30089</v>
      </c>
      <c r="Q7147" s="40" t="s">
        <v>14425</v>
      </c>
      <c r="R7147" s="33" t="s">
        <v>94</v>
      </c>
      <c r="S7147" s="33" t="s">
        <v>22</v>
      </c>
      <c r="T7147" s="1" t="s">
        <v>26781</v>
      </c>
      <c r="Z7147" s="33" t="s">
        <v>42968</v>
      </c>
      <c r="AA7147" s="33">
        <v>519</v>
      </c>
    </row>
    <row r="7148" spans="1:31" ht="12" customHeight="1" x14ac:dyDescent="0.15">
      <c r="A7148" s="33" t="s">
        <v>14454</v>
      </c>
      <c r="B7148" s="103">
        <v>25</v>
      </c>
      <c r="C7148" s="33" t="s">
        <v>14</v>
      </c>
      <c r="D7148" s="33" t="s">
        <v>42</v>
      </c>
      <c r="F7148" s="67">
        <v>41440</v>
      </c>
      <c r="G7148" s="33" t="s">
        <v>14455</v>
      </c>
      <c r="H7148" s="33" t="s">
        <v>1522</v>
      </c>
      <c r="I7148" s="33" t="s">
        <v>432</v>
      </c>
      <c r="J7148" s="33" t="s">
        <v>14456</v>
      </c>
      <c r="K7148" s="33" t="s">
        <v>882</v>
      </c>
      <c r="L7148" s="33" t="s">
        <v>2101</v>
      </c>
      <c r="M7148" s="33" t="s">
        <v>21</v>
      </c>
      <c r="N7148" s="33" t="s">
        <v>14457</v>
      </c>
      <c r="O7148" s="33" t="s">
        <v>507</v>
      </c>
      <c r="P7148" s="33" t="s">
        <v>30089</v>
      </c>
      <c r="Q7148" s="40" t="s">
        <v>14458</v>
      </c>
      <c r="R7148" s="33" t="s">
        <v>94</v>
      </c>
      <c r="S7148" s="33" t="s">
        <v>22</v>
      </c>
      <c r="T7148" s="1" t="s">
        <v>26781</v>
      </c>
      <c r="Z7148" s="33" t="s">
        <v>42966</v>
      </c>
      <c r="AA7148" s="33">
        <v>515</v>
      </c>
    </row>
    <row r="7149" spans="1:31" ht="12" customHeight="1" x14ac:dyDescent="0.15">
      <c r="A7149" s="33" t="s">
        <v>3002</v>
      </c>
      <c r="B7149" s="103">
        <v>38</v>
      </c>
      <c r="C7149" s="33" t="s">
        <v>14</v>
      </c>
      <c r="D7149" s="33" t="s">
        <v>24</v>
      </c>
      <c r="F7149" s="67">
        <v>41440</v>
      </c>
      <c r="G7149" s="33" t="s">
        <v>14459</v>
      </c>
      <c r="H7149" s="33" t="s">
        <v>196</v>
      </c>
      <c r="I7149" s="33" t="s">
        <v>56</v>
      </c>
      <c r="J7149" s="33" t="s">
        <v>8232</v>
      </c>
      <c r="K7149" s="33" t="s">
        <v>148</v>
      </c>
      <c r="L7149" s="33" t="s">
        <v>149</v>
      </c>
      <c r="M7149" s="33" t="s">
        <v>21</v>
      </c>
      <c r="N7149" s="33" t="s">
        <v>14460</v>
      </c>
      <c r="O7149" s="33" t="s">
        <v>23</v>
      </c>
      <c r="P7149" s="33" t="s">
        <v>30089</v>
      </c>
      <c r="Q7149" s="40" t="s">
        <v>14461</v>
      </c>
      <c r="R7149" s="33" t="s">
        <v>94</v>
      </c>
      <c r="S7149" s="33" t="s">
        <v>29</v>
      </c>
      <c r="T7149" s="33" t="s">
        <v>41840</v>
      </c>
      <c r="Z7149" s="33" t="s">
        <v>42968</v>
      </c>
      <c r="AA7149" s="33">
        <v>517</v>
      </c>
      <c r="AE7149" s="33"/>
    </row>
    <row r="7150" spans="1:31" ht="12" customHeight="1" x14ac:dyDescent="0.15">
      <c r="A7150" s="33" t="s">
        <v>14462</v>
      </c>
      <c r="B7150" s="103">
        <v>61</v>
      </c>
      <c r="C7150" s="33" t="s">
        <v>14</v>
      </c>
      <c r="D7150" s="33" t="s">
        <v>31</v>
      </c>
      <c r="E7150" s="33" t="s">
        <v>14463</v>
      </c>
      <c r="F7150" s="67">
        <v>41440</v>
      </c>
      <c r="G7150" s="33" t="s">
        <v>14464</v>
      </c>
      <c r="H7150" s="33" t="s">
        <v>14465</v>
      </c>
      <c r="I7150" s="33" t="s">
        <v>192</v>
      </c>
      <c r="J7150" s="33" t="s">
        <v>14466</v>
      </c>
      <c r="K7150" s="33" t="s">
        <v>1337</v>
      </c>
      <c r="L7150" s="33" t="s">
        <v>14467</v>
      </c>
      <c r="M7150" s="33" t="s">
        <v>21</v>
      </c>
      <c r="N7150" s="33" t="s">
        <v>14468</v>
      </c>
      <c r="O7150" s="33" t="s">
        <v>507</v>
      </c>
      <c r="P7150" s="33" t="s">
        <v>30089</v>
      </c>
      <c r="Q7150" s="40" t="s">
        <v>14469</v>
      </c>
      <c r="R7150" s="33" t="s">
        <v>94</v>
      </c>
      <c r="S7150" s="33" t="s">
        <v>22</v>
      </c>
      <c r="T7150" s="1" t="s">
        <v>26781</v>
      </c>
      <c r="Z7150" s="33" t="s">
        <v>42968</v>
      </c>
      <c r="AA7150" s="33">
        <v>516</v>
      </c>
    </row>
    <row r="7151" spans="1:31" ht="12" customHeight="1" x14ac:dyDescent="0.15">
      <c r="A7151" s="33" t="s">
        <v>14447</v>
      </c>
      <c r="B7151" s="103">
        <v>33</v>
      </c>
      <c r="C7151" s="33" t="s">
        <v>14</v>
      </c>
      <c r="D7151" s="33" t="s">
        <v>79</v>
      </c>
      <c r="E7151" s="33" t="s">
        <v>14448</v>
      </c>
      <c r="F7151" s="67">
        <v>41440</v>
      </c>
      <c r="G7151" s="33" t="s">
        <v>14449</v>
      </c>
      <c r="H7151" s="33" t="s">
        <v>10316</v>
      </c>
      <c r="I7151" s="33" t="s">
        <v>56</v>
      </c>
      <c r="J7151" s="33" t="s">
        <v>14450</v>
      </c>
      <c r="K7151" s="33" t="s">
        <v>964</v>
      </c>
      <c r="L7151" s="33" t="s">
        <v>14451</v>
      </c>
      <c r="M7151" s="33" t="s">
        <v>21</v>
      </c>
      <c r="N7151" s="33" t="s">
        <v>14452</v>
      </c>
      <c r="O7151" s="33" t="s">
        <v>23</v>
      </c>
      <c r="P7151" s="33" t="s">
        <v>30089</v>
      </c>
      <c r="Q7151" s="40" t="s">
        <v>14453</v>
      </c>
      <c r="R7151" s="33" t="s">
        <v>94</v>
      </c>
      <c r="S7151" s="33" t="s">
        <v>22</v>
      </c>
      <c r="T7151" s="1" t="s">
        <v>26781</v>
      </c>
      <c r="Z7151" s="33" t="s">
        <v>42968</v>
      </c>
      <c r="AA7151" s="33">
        <v>514</v>
      </c>
    </row>
    <row r="7152" spans="1:31" ht="12" customHeight="1" x14ac:dyDescent="0.15">
      <c r="A7152" s="33" t="s">
        <v>14470</v>
      </c>
      <c r="B7152" s="33">
        <v>32</v>
      </c>
      <c r="C7152" s="33" t="s">
        <v>14</v>
      </c>
      <c r="D7152" s="33" t="s">
        <v>79</v>
      </c>
      <c r="E7152" s="33" t="s">
        <v>14471</v>
      </c>
      <c r="F7152" s="67">
        <v>41439</v>
      </c>
      <c r="G7152" s="33" t="s">
        <v>14472</v>
      </c>
      <c r="H7152" s="33" t="s">
        <v>14473</v>
      </c>
      <c r="I7152" s="33" t="s">
        <v>39</v>
      </c>
      <c r="J7152" s="33" t="s">
        <v>14474</v>
      </c>
      <c r="K7152" s="33" t="s">
        <v>558</v>
      </c>
      <c r="L7152" s="33" t="s">
        <v>230</v>
      </c>
      <c r="M7152" s="33" t="s">
        <v>21</v>
      </c>
      <c r="N7152" s="33" t="s">
        <v>36876</v>
      </c>
      <c r="O7152" s="33" t="s">
        <v>507</v>
      </c>
      <c r="P7152" s="33" t="s">
        <v>30089</v>
      </c>
      <c r="Q7152" s="40" t="s">
        <v>14475</v>
      </c>
      <c r="R7152" s="33" t="s">
        <v>512</v>
      </c>
      <c r="S7152" s="33" t="s">
        <v>22</v>
      </c>
      <c r="T7152" s="1" t="s">
        <v>26781</v>
      </c>
      <c r="Z7152" s="33" t="s">
        <v>42968</v>
      </c>
      <c r="AA7152" s="33">
        <v>512</v>
      </c>
    </row>
    <row r="7153" spans="1:31" ht="12" customHeight="1" x14ac:dyDescent="0.15">
      <c r="A7153" s="33" t="s">
        <v>14476</v>
      </c>
      <c r="B7153" s="103">
        <v>41</v>
      </c>
      <c r="C7153" s="33" t="s">
        <v>14</v>
      </c>
      <c r="D7153" s="33" t="s">
        <v>31</v>
      </c>
      <c r="E7153" s="33" t="s">
        <v>14477</v>
      </c>
      <c r="F7153" s="67">
        <v>41439</v>
      </c>
      <c r="G7153" s="33" t="s">
        <v>14478</v>
      </c>
      <c r="H7153" s="33" t="s">
        <v>14479</v>
      </c>
      <c r="I7153" s="33" t="s">
        <v>40</v>
      </c>
      <c r="J7153" s="33" t="s">
        <v>14480</v>
      </c>
      <c r="K7153" s="33" t="s">
        <v>3060</v>
      </c>
      <c r="L7153" s="33" t="s">
        <v>14843</v>
      </c>
      <c r="M7153" s="33" t="s">
        <v>21</v>
      </c>
      <c r="N7153" s="33" t="s">
        <v>14481</v>
      </c>
      <c r="O7153" s="33" t="s">
        <v>507</v>
      </c>
      <c r="P7153" s="33" t="s">
        <v>30089</v>
      </c>
      <c r="Q7153" s="40" t="s">
        <v>14482</v>
      </c>
      <c r="R7153" s="33" t="s">
        <v>512</v>
      </c>
      <c r="S7153" s="33" t="s">
        <v>12</v>
      </c>
      <c r="T7153" s="1" t="s">
        <v>29705</v>
      </c>
      <c r="Z7153" s="33" t="s">
        <v>42968</v>
      </c>
      <c r="AA7153" s="33">
        <v>513</v>
      </c>
    </row>
    <row r="7154" spans="1:31" ht="12" customHeight="1" x14ac:dyDescent="0.15">
      <c r="A7154" s="33" t="s">
        <v>14483</v>
      </c>
      <c r="B7154" s="33">
        <v>17</v>
      </c>
      <c r="C7154" s="33" t="s">
        <v>14</v>
      </c>
      <c r="D7154" s="33" t="s">
        <v>24</v>
      </c>
      <c r="F7154" s="67">
        <v>41438</v>
      </c>
      <c r="G7154" s="33" t="s">
        <v>14484</v>
      </c>
      <c r="H7154" s="33" t="s">
        <v>2012</v>
      </c>
      <c r="I7154" s="33" t="s">
        <v>88</v>
      </c>
      <c r="J7154" s="33" t="s">
        <v>6223</v>
      </c>
      <c r="K7154" s="33" t="s">
        <v>2014</v>
      </c>
      <c r="L7154" s="33" t="s">
        <v>2015</v>
      </c>
      <c r="M7154" s="33" t="s">
        <v>2909</v>
      </c>
      <c r="N7154" s="33" t="s">
        <v>14485</v>
      </c>
      <c r="O7154" s="33" t="s">
        <v>372</v>
      </c>
      <c r="P7154" s="33" t="s">
        <v>30089</v>
      </c>
      <c r="Q7154" s="40" t="s">
        <v>14486</v>
      </c>
      <c r="R7154" s="33" t="s">
        <v>904</v>
      </c>
      <c r="S7154" s="33" t="s">
        <v>12</v>
      </c>
      <c r="T7154" s="1" t="s">
        <v>29705</v>
      </c>
      <c r="Z7154" s="33" t="s">
        <v>42966</v>
      </c>
      <c r="AA7154" s="33">
        <v>511</v>
      </c>
    </row>
    <row r="7155" spans="1:31" ht="12" customHeight="1" x14ac:dyDescent="0.15">
      <c r="A7155" s="33" t="s">
        <v>14493</v>
      </c>
      <c r="B7155" s="103">
        <v>39</v>
      </c>
      <c r="C7155" s="33" t="s">
        <v>14</v>
      </c>
      <c r="D7155" s="33" t="s">
        <v>31</v>
      </c>
      <c r="E7155" s="33" t="s">
        <v>14494</v>
      </c>
      <c r="F7155" s="67">
        <v>41438</v>
      </c>
      <c r="G7155" s="33" t="s">
        <v>14495</v>
      </c>
      <c r="H7155" s="33" t="s">
        <v>14496</v>
      </c>
      <c r="I7155" s="33" t="s">
        <v>409</v>
      </c>
      <c r="J7155" s="33" t="s">
        <v>14497</v>
      </c>
      <c r="K7155" s="33" t="s">
        <v>14498</v>
      </c>
      <c r="L7155" s="33" t="s">
        <v>14499</v>
      </c>
      <c r="M7155" s="33" t="s">
        <v>21</v>
      </c>
      <c r="N7155" s="33" t="s">
        <v>14500</v>
      </c>
      <c r="O7155" s="33" t="s">
        <v>507</v>
      </c>
      <c r="P7155" s="33" t="s">
        <v>30089</v>
      </c>
      <c r="Q7155" s="40" t="s">
        <v>14501</v>
      </c>
      <c r="R7155" s="33" t="s">
        <v>94</v>
      </c>
      <c r="S7155" s="33" t="s">
        <v>22</v>
      </c>
      <c r="T7155" s="1" t="s">
        <v>26781</v>
      </c>
      <c r="Z7155" s="33" t="s">
        <v>42967</v>
      </c>
      <c r="AA7155" s="33">
        <v>509</v>
      </c>
    </row>
    <row r="7156" spans="1:31" ht="12" customHeight="1" x14ac:dyDescent="0.15">
      <c r="A7156" s="33" t="s">
        <v>14487</v>
      </c>
      <c r="B7156" s="33">
        <v>34</v>
      </c>
      <c r="C7156" s="33" t="s">
        <v>14</v>
      </c>
      <c r="D7156" s="33" t="s">
        <v>31</v>
      </c>
      <c r="E7156" s="33" t="s">
        <v>14488</v>
      </c>
      <c r="F7156" s="67">
        <v>41438</v>
      </c>
      <c r="G7156" s="33" t="s">
        <v>14489</v>
      </c>
      <c r="H7156" s="33" t="s">
        <v>782</v>
      </c>
      <c r="I7156" s="33" t="s">
        <v>282</v>
      </c>
      <c r="J7156" s="33" t="s">
        <v>14490</v>
      </c>
      <c r="K7156" s="33" t="s">
        <v>782</v>
      </c>
      <c r="L7156" s="33" t="s">
        <v>34360</v>
      </c>
      <c r="M7156" s="33" t="s">
        <v>11646</v>
      </c>
      <c r="N7156" s="33" t="s">
        <v>14491</v>
      </c>
      <c r="O7156" s="33" t="s">
        <v>507</v>
      </c>
      <c r="P7156" s="33" t="s">
        <v>30089</v>
      </c>
      <c r="Q7156" s="40" t="s">
        <v>14492</v>
      </c>
      <c r="R7156" s="33" t="s">
        <v>94</v>
      </c>
      <c r="S7156" s="33" t="s">
        <v>12</v>
      </c>
      <c r="T7156" s="1" t="s">
        <v>29705</v>
      </c>
      <c r="Z7156" s="33" t="s">
        <v>42968</v>
      </c>
      <c r="AA7156" s="33">
        <v>510</v>
      </c>
    </row>
    <row r="7157" spans="1:31" ht="12" customHeight="1" x14ac:dyDescent="0.15">
      <c r="A7157" s="33" t="s">
        <v>14502</v>
      </c>
      <c r="B7157" s="33">
        <v>54</v>
      </c>
      <c r="C7157" s="33" t="s">
        <v>14</v>
      </c>
      <c r="D7157" s="33" t="s">
        <v>24</v>
      </c>
      <c r="F7157" s="67">
        <v>41437</v>
      </c>
      <c r="G7157" s="33" t="s">
        <v>22279</v>
      </c>
      <c r="H7157" s="33" t="s">
        <v>998</v>
      </c>
      <c r="I7157" s="33" t="s">
        <v>39</v>
      </c>
      <c r="J7157" s="33" t="s">
        <v>14503</v>
      </c>
      <c r="K7157" s="33" t="s">
        <v>998</v>
      </c>
      <c r="L7157" s="33" t="s">
        <v>14504</v>
      </c>
      <c r="M7157" s="33" t="s">
        <v>21</v>
      </c>
      <c r="N7157" s="33" t="s">
        <v>14505</v>
      </c>
      <c r="O7157" s="33" t="s">
        <v>507</v>
      </c>
      <c r="P7157" s="33" t="s">
        <v>30089</v>
      </c>
      <c r="Q7157" s="40" t="s">
        <v>14506</v>
      </c>
      <c r="R7157" s="33" t="s">
        <v>94</v>
      </c>
      <c r="S7157" s="33" t="s">
        <v>22</v>
      </c>
      <c r="T7157" s="1" t="s">
        <v>26612</v>
      </c>
      <c r="Z7157" s="33" t="s">
        <v>42968</v>
      </c>
      <c r="AA7157" s="33">
        <v>507</v>
      </c>
    </row>
    <row r="7158" spans="1:31" ht="12" customHeight="1" x14ac:dyDescent="0.15">
      <c r="A7158" s="33" t="s">
        <v>14509</v>
      </c>
      <c r="B7158" s="103">
        <v>26</v>
      </c>
      <c r="C7158" s="33" t="s">
        <v>14</v>
      </c>
      <c r="D7158" s="33" t="s">
        <v>31</v>
      </c>
      <c r="E7158" s="33" t="s">
        <v>14510</v>
      </c>
      <c r="F7158" s="67">
        <v>41437</v>
      </c>
      <c r="G7158" s="33" t="s">
        <v>14511</v>
      </c>
      <c r="H7158" s="33" t="s">
        <v>14512</v>
      </c>
      <c r="I7158" s="33" t="s">
        <v>735</v>
      </c>
      <c r="J7158" s="33" t="s">
        <v>14513</v>
      </c>
      <c r="K7158" s="33" t="s">
        <v>14514</v>
      </c>
      <c r="L7158" s="33" t="s">
        <v>14515</v>
      </c>
      <c r="M7158" s="33" t="s">
        <v>21</v>
      </c>
      <c r="N7158" s="33" t="s">
        <v>36877</v>
      </c>
      <c r="O7158" s="33" t="s">
        <v>507</v>
      </c>
      <c r="P7158" s="33" t="s">
        <v>30089</v>
      </c>
      <c r="Q7158" s="40" t="s">
        <v>14516</v>
      </c>
      <c r="R7158" s="33" t="s">
        <v>94</v>
      </c>
      <c r="S7158" s="33" t="s">
        <v>22</v>
      </c>
      <c r="T7158" s="1" t="s">
        <v>26781</v>
      </c>
      <c r="Z7158" s="33" t="s">
        <v>42967</v>
      </c>
      <c r="AA7158" s="33">
        <v>508</v>
      </c>
    </row>
    <row r="7159" spans="1:31" ht="12" customHeight="1" x14ac:dyDescent="0.15">
      <c r="A7159" s="33" t="s">
        <v>14526</v>
      </c>
      <c r="B7159" s="33">
        <v>26</v>
      </c>
      <c r="C7159" s="33" t="s">
        <v>14</v>
      </c>
      <c r="D7159" s="33" t="s">
        <v>31</v>
      </c>
      <c r="E7159" s="33" t="s">
        <v>14527</v>
      </c>
      <c r="F7159" s="67">
        <v>41436</v>
      </c>
      <c r="G7159" s="33" t="s">
        <v>14528</v>
      </c>
      <c r="H7159" s="33" t="s">
        <v>14529</v>
      </c>
      <c r="I7159" s="33" t="s">
        <v>122</v>
      </c>
      <c r="J7159" s="33" t="s">
        <v>14530</v>
      </c>
      <c r="K7159" s="33" t="s">
        <v>661</v>
      </c>
      <c r="L7159" s="33" t="s">
        <v>14531</v>
      </c>
      <c r="M7159" s="33" t="s">
        <v>21</v>
      </c>
      <c r="N7159" s="33" t="s">
        <v>14532</v>
      </c>
      <c r="O7159" s="33" t="s">
        <v>507</v>
      </c>
      <c r="P7159" s="33" t="s">
        <v>30089</v>
      </c>
      <c r="Q7159" s="40" t="s">
        <v>14533</v>
      </c>
      <c r="R7159" s="33" t="s">
        <v>94</v>
      </c>
      <c r="S7159" s="33" t="s">
        <v>22</v>
      </c>
      <c r="T7159" s="1" t="s">
        <v>26781</v>
      </c>
      <c r="Z7159" s="33" t="s">
        <v>42968</v>
      </c>
      <c r="AA7159" s="33">
        <v>505</v>
      </c>
    </row>
    <row r="7160" spans="1:31" ht="12" customHeight="1" x14ac:dyDescent="0.15">
      <c r="A7160" s="33" t="s">
        <v>14517</v>
      </c>
      <c r="B7160" s="103">
        <v>23</v>
      </c>
      <c r="C7160" s="33" t="s">
        <v>14</v>
      </c>
      <c r="D7160" s="33" t="s">
        <v>79</v>
      </c>
      <c r="E7160" s="33" t="s">
        <v>14518</v>
      </c>
      <c r="F7160" s="67">
        <v>41436</v>
      </c>
      <c r="G7160" s="33" t="s">
        <v>14519</v>
      </c>
      <c r="H7160" s="33" t="s">
        <v>14520</v>
      </c>
      <c r="I7160" s="33" t="s">
        <v>409</v>
      </c>
      <c r="J7160" s="33" t="s">
        <v>14521</v>
      </c>
      <c r="K7160" s="33" t="s">
        <v>14522</v>
      </c>
      <c r="L7160" s="33" t="s">
        <v>14523</v>
      </c>
      <c r="M7160" s="33" t="s">
        <v>21</v>
      </c>
      <c r="N7160" s="33" t="s">
        <v>14524</v>
      </c>
      <c r="O7160" s="33" t="s">
        <v>507</v>
      </c>
      <c r="P7160" s="33" t="s">
        <v>30089</v>
      </c>
      <c r="Q7160" s="40" t="s">
        <v>14525</v>
      </c>
      <c r="R7160" s="33" t="s">
        <v>94</v>
      </c>
      <c r="S7160" s="33" t="s">
        <v>351</v>
      </c>
      <c r="T7160" s="1" t="s">
        <v>26867</v>
      </c>
      <c r="Z7160" s="33" t="s">
        <v>42968</v>
      </c>
      <c r="AA7160" s="33">
        <v>506</v>
      </c>
    </row>
    <row r="7161" spans="1:31" ht="12" customHeight="1" x14ac:dyDescent="0.15">
      <c r="A7161" s="33" t="s">
        <v>14539</v>
      </c>
      <c r="B7161" s="103">
        <v>35</v>
      </c>
      <c r="C7161" s="33" t="s">
        <v>14</v>
      </c>
      <c r="D7161" s="33" t="s">
        <v>31</v>
      </c>
      <c r="E7161" s="33" t="s">
        <v>14540</v>
      </c>
      <c r="F7161" s="67">
        <v>41435</v>
      </c>
      <c r="G7161" s="33" t="s">
        <v>22280</v>
      </c>
      <c r="H7161" s="33" t="s">
        <v>1397</v>
      </c>
      <c r="I7161" s="33" t="s">
        <v>376</v>
      </c>
      <c r="J7161" s="33" t="s">
        <v>14541</v>
      </c>
      <c r="K7161" s="33" t="s">
        <v>1397</v>
      </c>
      <c r="L7161" s="33" t="s">
        <v>2121</v>
      </c>
      <c r="M7161" s="33" t="s">
        <v>21</v>
      </c>
      <c r="N7161" s="33" t="s">
        <v>36878</v>
      </c>
      <c r="O7161" s="33" t="s">
        <v>507</v>
      </c>
      <c r="P7161" s="33" t="s">
        <v>30089</v>
      </c>
      <c r="Q7161" s="40" t="s">
        <v>14542</v>
      </c>
      <c r="R7161" s="33" t="s">
        <v>512</v>
      </c>
      <c r="S7161" s="33" t="s">
        <v>22</v>
      </c>
      <c r="T7161" s="1" t="s">
        <v>26774</v>
      </c>
      <c r="Z7161" s="33" t="s">
        <v>42968</v>
      </c>
      <c r="AA7161" s="33">
        <v>504</v>
      </c>
    </row>
    <row r="7162" spans="1:31" ht="12" customHeight="1" x14ac:dyDescent="0.15">
      <c r="A7162" s="33" t="s">
        <v>14534</v>
      </c>
      <c r="B7162" s="103">
        <v>24</v>
      </c>
      <c r="C7162" s="33" t="s">
        <v>14</v>
      </c>
      <c r="D7162" s="33" t="s">
        <v>79</v>
      </c>
      <c r="E7162" s="33" t="s">
        <v>14535</v>
      </c>
      <c r="F7162" s="67">
        <v>41435</v>
      </c>
      <c r="G7162" s="33" t="s">
        <v>14536</v>
      </c>
      <c r="H7162" s="33" t="s">
        <v>997</v>
      </c>
      <c r="I7162" s="33" t="s">
        <v>56</v>
      </c>
      <c r="J7162" s="33" t="s">
        <v>7091</v>
      </c>
      <c r="K7162" s="33" t="s">
        <v>998</v>
      </c>
      <c r="L7162" s="33" t="s">
        <v>999</v>
      </c>
      <c r="M7162" s="33" t="s">
        <v>21</v>
      </c>
      <c r="N7162" s="33" t="s">
        <v>14537</v>
      </c>
      <c r="O7162" s="33" t="s">
        <v>23</v>
      </c>
      <c r="P7162" s="33" t="s">
        <v>30089</v>
      </c>
      <c r="Q7162" s="40" t="s">
        <v>14538</v>
      </c>
      <c r="R7162" s="33" t="s">
        <v>94</v>
      </c>
      <c r="S7162" s="33" t="s">
        <v>22</v>
      </c>
      <c r="T7162" s="1" t="s">
        <v>26781</v>
      </c>
      <c r="Z7162" s="33" t="s">
        <v>42966</v>
      </c>
      <c r="AA7162" s="33">
        <v>503</v>
      </c>
    </row>
    <row r="7163" spans="1:31" ht="12" customHeight="1" x14ac:dyDescent="0.15">
      <c r="A7163" s="33" t="s">
        <v>14543</v>
      </c>
      <c r="B7163" s="103">
        <v>34</v>
      </c>
      <c r="C7163" s="33" t="s">
        <v>14</v>
      </c>
      <c r="D7163" s="33" t="s">
        <v>31</v>
      </c>
      <c r="E7163" s="33" t="s">
        <v>14544</v>
      </c>
      <c r="F7163" s="67">
        <v>41435</v>
      </c>
      <c r="G7163" s="33" t="s">
        <v>14545</v>
      </c>
      <c r="H7163" s="33" t="s">
        <v>14546</v>
      </c>
      <c r="I7163" s="33" t="s">
        <v>160</v>
      </c>
      <c r="J7163" s="33" t="s">
        <v>14547</v>
      </c>
      <c r="K7163" s="33" t="s">
        <v>10093</v>
      </c>
      <c r="L7163" s="33" t="s">
        <v>14548</v>
      </c>
      <c r="M7163" s="33" t="s">
        <v>21</v>
      </c>
      <c r="N7163" s="33" t="s">
        <v>14549</v>
      </c>
      <c r="O7163" s="33" t="s">
        <v>23</v>
      </c>
      <c r="P7163" s="33" t="s">
        <v>30089</v>
      </c>
      <c r="Q7163" s="40" t="s">
        <v>14550</v>
      </c>
      <c r="R7163" s="33" t="s">
        <v>94</v>
      </c>
      <c r="S7163" s="33" t="s">
        <v>22</v>
      </c>
      <c r="T7163" s="1" t="s">
        <v>27020</v>
      </c>
      <c r="Z7163" s="33" t="s">
        <v>42967</v>
      </c>
      <c r="AA7163" s="33">
        <v>502</v>
      </c>
    </row>
    <row r="7164" spans="1:31" ht="12" customHeight="1" x14ac:dyDescent="0.15">
      <c r="A7164" s="33" t="s">
        <v>14551</v>
      </c>
      <c r="B7164" s="33">
        <v>43</v>
      </c>
      <c r="C7164" s="33" t="s">
        <v>14</v>
      </c>
      <c r="D7164" s="33" t="s">
        <v>42</v>
      </c>
      <c r="E7164" s="33" t="s">
        <v>14552</v>
      </c>
      <c r="F7164" s="67">
        <v>41434</v>
      </c>
      <c r="G7164" s="33" t="s">
        <v>14553</v>
      </c>
      <c r="H7164" s="33" t="s">
        <v>14554</v>
      </c>
      <c r="I7164" s="33" t="s">
        <v>35</v>
      </c>
      <c r="J7164" s="33" t="s">
        <v>14555</v>
      </c>
      <c r="K7164" s="33" t="s">
        <v>3298</v>
      </c>
      <c r="L7164" s="33" t="s">
        <v>14556</v>
      </c>
      <c r="M7164" s="33" t="s">
        <v>363</v>
      </c>
      <c r="N7164" s="33" t="s">
        <v>14557</v>
      </c>
      <c r="O7164" s="33" t="s">
        <v>23</v>
      </c>
      <c r="P7164" s="33" t="s">
        <v>30089</v>
      </c>
      <c r="Q7164" s="40" t="s">
        <v>14558</v>
      </c>
      <c r="R7164" s="33" t="s">
        <v>94</v>
      </c>
      <c r="S7164" s="33" t="s">
        <v>29</v>
      </c>
      <c r="T7164" s="33" t="s">
        <v>41840</v>
      </c>
      <c r="Z7164" s="33" t="s">
        <v>42968</v>
      </c>
      <c r="AA7164" s="33">
        <v>501</v>
      </c>
      <c r="AE7164" s="33"/>
    </row>
    <row r="7165" spans="1:31" ht="12" customHeight="1" x14ac:dyDescent="0.15">
      <c r="A7165" s="33" t="s">
        <v>14559</v>
      </c>
      <c r="B7165" s="33">
        <v>21</v>
      </c>
      <c r="C7165" s="33" t="s">
        <v>14</v>
      </c>
      <c r="D7165" s="33" t="s">
        <v>31</v>
      </c>
      <c r="E7165" s="33" t="s">
        <v>14560</v>
      </c>
      <c r="F7165" s="67">
        <v>41434</v>
      </c>
      <c r="G7165" s="33" t="s">
        <v>14561</v>
      </c>
      <c r="H7165" s="33" t="s">
        <v>8092</v>
      </c>
      <c r="I7165" s="33" t="s">
        <v>4034</v>
      </c>
      <c r="J7165" s="33" t="s">
        <v>14562</v>
      </c>
      <c r="K7165" s="33" t="s">
        <v>6374</v>
      </c>
      <c r="L7165" s="33" t="s">
        <v>14563</v>
      </c>
      <c r="M7165" s="33" t="s">
        <v>21</v>
      </c>
      <c r="N7165" s="33" t="s">
        <v>14564</v>
      </c>
      <c r="O7165" s="33" t="s">
        <v>507</v>
      </c>
      <c r="P7165" s="33" t="s">
        <v>30089</v>
      </c>
      <c r="Q7165" s="40" t="s">
        <v>14565</v>
      </c>
      <c r="R7165" s="33" t="s">
        <v>512</v>
      </c>
      <c r="S7165" s="33" t="s">
        <v>22</v>
      </c>
      <c r="T7165" s="1" t="s">
        <v>26781</v>
      </c>
      <c r="Z7165" s="33" t="s">
        <v>42967</v>
      </c>
      <c r="AA7165" s="33">
        <v>498</v>
      </c>
    </row>
    <row r="7166" spans="1:31" ht="12" customHeight="1" x14ac:dyDescent="0.15">
      <c r="A7166" s="33" t="s">
        <v>14566</v>
      </c>
      <c r="B7166" s="33">
        <v>48</v>
      </c>
      <c r="C7166" s="33" t="s">
        <v>14</v>
      </c>
      <c r="D7166" s="33" t="s">
        <v>31</v>
      </c>
      <c r="E7166" s="33" t="s">
        <v>14567</v>
      </c>
      <c r="F7166" s="67">
        <v>41434</v>
      </c>
      <c r="G7166" s="33" t="s">
        <v>2658</v>
      </c>
      <c r="H7166" s="33" t="s">
        <v>14568</v>
      </c>
      <c r="I7166" s="33" t="s">
        <v>367</v>
      </c>
      <c r="J7166" s="33" t="s">
        <v>14569</v>
      </c>
      <c r="K7166" s="33" t="s">
        <v>14570</v>
      </c>
      <c r="L7166" s="33" t="s">
        <v>14571</v>
      </c>
      <c r="M7166" s="33" t="s">
        <v>21</v>
      </c>
      <c r="N7166" s="33" t="s">
        <v>14572</v>
      </c>
      <c r="O7166" s="33" t="s">
        <v>372</v>
      </c>
      <c r="P7166" s="33" t="s">
        <v>30089</v>
      </c>
      <c r="Q7166" s="40" t="s">
        <v>14573</v>
      </c>
      <c r="R7166" s="33" t="s">
        <v>94</v>
      </c>
      <c r="S7166" s="33" t="s">
        <v>22</v>
      </c>
      <c r="T7166" s="1" t="s">
        <v>26781</v>
      </c>
      <c r="Z7166" s="33" t="s">
        <v>42967</v>
      </c>
      <c r="AA7166" s="33">
        <v>499</v>
      </c>
    </row>
    <row r="7167" spans="1:31" ht="12" customHeight="1" x14ac:dyDescent="0.15">
      <c r="A7167" s="33" t="s">
        <v>14574</v>
      </c>
      <c r="B7167" s="33">
        <v>28</v>
      </c>
      <c r="C7167" s="33" t="s">
        <v>14</v>
      </c>
      <c r="D7167" s="33" t="s">
        <v>31</v>
      </c>
      <c r="F7167" s="67">
        <v>41434</v>
      </c>
      <c r="G7167" s="33" t="s">
        <v>22281</v>
      </c>
      <c r="H7167" s="33" t="s">
        <v>11136</v>
      </c>
      <c r="I7167" s="33" t="s">
        <v>38</v>
      </c>
      <c r="J7167" s="33" t="s">
        <v>14575</v>
      </c>
      <c r="K7167" s="33" t="s">
        <v>82</v>
      </c>
      <c r="L7167" s="33" t="s">
        <v>11138</v>
      </c>
      <c r="M7167" s="33" t="s">
        <v>363</v>
      </c>
      <c r="N7167" s="33" t="s">
        <v>14576</v>
      </c>
      <c r="O7167" s="33" t="s">
        <v>372</v>
      </c>
      <c r="P7167" s="33" t="s">
        <v>30089</v>
      </c>
      <c r="Q7167" s="40" t="s">
        <v>14577</v>
      </c>
      <c r="R7167" s="33" t="s">
        <v>23</v>
      </c>
      <c r="S7167" s="33" t="s">
        <v>12</v>
      </c>
      <c r="T7167" s="1" t="s">
        <v>29705</v>
      </c>
      <c r="Z7167" s="33" t="s">
        <v>42968</v>
      </c>
      <c r="AA7167" s="33">
        <v>500</v>
      </c>
    </row>
    <row r="7168" spans="1:31" ht="12" customHeight="1" x14ac:dyDescent="0.15">
      <c r="A7168" s="33" t="s">
        <v>14612</v>
      </c>
      <c r="B7168" s="103">
        <v>36</v>
      </c>
      <c r="C7168" s="33" t="s">
        <v>14</v>
      </c>
      <c r="D7168" s="33" t="s">
        <v>31</v>
      </c>
      <c r="E7168" s="33" t="s">
        <v>14613</v>
      </c>
      <c r="F7168" s="67">
        <v>41433</v>
      </c>
      <c r="G7168" s="33" t="s">
        <v>14614</v>
      </c>
      <c r="H7168" s="33" t="s">
        <v>14615</v>
      </c>
      <c r="I7168" s="33" t="s">
        <v>46</v>
      </c>
      <c r="J7168" s="33" t="s">
        <v>14616</v>
      </c>
      <c r="K7168" s="33" t="s">
        <v>2937</v>
      </c>
      <c r="L7168" s="33" t="s">
        <v>36879</v>
      </c>
      <c r="M7168" s="33" t="s">
        <v>21</v>
      </c>
      <c r="N7168" s="33" t="s">
        <v>14617</v>
      </c>
      <c r="O7168" s="33" t="s">
        <v>7053</v>
      </c>
      <c r="P7168" s="33" t="s">
        <v>18576</v>
      </c>
      <c r="Q7168" s="40" t="str">
        <f>HYPERLINK("http://articles.baltimoresun.com/2013-06-11/news/bs-md-ar-road-rage-bail-20130610_1_police-officer-documents-hudson-county","http://articles.baltimoresun.com/2013-06-11/news/bs-md-ar-road-rage-bail-20130610_1_police-officer-documents-hudson-county")</f>
        <v>http://articles.baltimoresun.com/2013-06-11/news/bs-md-ar-road-rage-bail-20130610_1_police-officer-documents-hudson-county</v>
      </c>
      <c r="R7168" s="33" t="s">
        <v>94</v>
      </c>
      <c r="S7168" s="33" t="s">
        <v>351</v>
      </c>
      <c r="T7168" s="1" t="s">
        <v>26867</v>
      </c>
      <c r="Y7168" s="33" t="s">
        <v>42476</v>
      </c>
      <c r="Z7168" s="33" t="s">
        <v>42968</v>
      </c>
      <c r="AA7168" s="33">
        <v>497</v>
      </c>
    </row>
    <row r="7169" spans="1:64" ht="12" customHeight="1" x14ac:dyDescent="0.15">
      <c r="A7169" s="33" t="s">
        <v>14594</v>
      </c>
      <c r="B7169" s="33">
        <v>48</v>
      </c>
      <c r="C7169" s="33" t="s">
        <v>14</v>
      </c>
      <c r="D7169" s="33" t="s">
        <v>42</v>
      </c>
      <c r="F7169" s="67">
        <v>41433</v>
      </c>
      <c r="G7169" s="33" t="s">
        <v>14595</v>
      </c>
      <c r="H7169" s="33" t="s">
        <v>14596</v>
      </c>
      <c r="I7169" s="33" t="s">
        <v>39</v>
      </c>
      <c r="J7169" s="33" t="s">
        <v>14597</v>
      </c>
      <c r="K7169" s="33" t="s">
        <v>2469</v>
      </c>
      <c r="L7169" s="33" t="s">
        <v>12301</v>
      </c>
      <c r="M7169" s="33" t="s">
        <v>21</v>
      </c>
      <c r="N7169" s="33" t="s">
        <v>14598</v>
      </c>
      <c r="O7169" s="33" t="s">
        <v>23</v>
      </c>
      <c r="P7169" s="33" t="s">
        <v>30089</v>
      </c>
      <c r="Q7169" s="40" t="s">
        <v>14599</v>
      </c>
      <c r="R7169" s="33" t="s">
        <v>23</v>
      </c>
      <c r="S7169" s="33" t="s">
        <v>22</v>
      </c>
      <c r="T7169" s="1" t="s">
        <v>26774</v>
      </c>
      <c r="Z7169" s="33" t="s">
        <v>42968</v>
      </c>
      <c r="AA7169" s="33">
        <v>494</v>
      </c>
    </row>
    <row r="7170" spans="1:64" ht="12" customHeight="1" x14ac:dyDescent="0.15">
      <c r="A7170" s="33" t="s">
        <v>14578</v>
      </c>
      <c r="B7170" s="33">
        <v>21</v>
      </c>
      <c r="C7170" s="33" t="s">
        <v>14</v>
      </c>
      <c r="D7170" s="33" t="s">
        <v>15</v>
      </c>
      <c r="E7170" s="33" t="s">
        <v>14579</v>
      </c>
      <c r="F7170" s="67">
        <v>41433</v>
      </c>
      <c r="G7170" s="33" t="s">
        <v>14580</v>
      </c>
      <c r="H7170" s="33" t="s">
        <v>14581</v>
      </c>
      <c r="I7170" s="33" t="s">
        <v>88</v>
      </c>
      <c r="J7170" s="33" t="s">
        <v>14582</v>
      </c>
      <c r="K7170" s="33" t="s">
        <v>12671</v>
      </c>
      <c r="L7170" s="33" t="s">
        <v>14583</v>
      </c>
      <c r="M7170" s="33" t="s">
        <v>21</v>
      </c>
      <c r="N7170" s="33" t="s">
        <v>14584</v>
      </c>
      <c r="O7170" s="33" t="s">
        <v>372</v>
      </c>
      <c r="P7170" s="33" t="s">
        <v>30089</v>
      </c>
      <c r="Q7170" s="40" t="s">
        <v>14585</v>
      </c>
      <c r="R7170" s="33" t="s">
        <v>94</v>
      </c>
      <c r="S7170" s="33" t="s">
        <v>22</v>
      </c>
      <c r="T7170" s="1" t="s">
        <v>26781</v>
      </c>
      <c r="Z7170" s="33" t="s">
        <v>42967</v>
      </c>
      <c r="AA7170" s="33">
        <v>491</v>
      </c>
    </row>
    <row r="7171" spans="1:64" ht="12" customHeight="1" x14ac:dyDescent="0.15">
      <c r="A7171" s="33" t="s">
        <v>14604</v>
      </c>
      <c r="B7171" s="103">
        <v>21</v>
      </c>
      <c r="C7171" s="33" t="s">
        <v>14</v>
      </c>
      <c r="D7171" s="33" t="s">
        <v>31</v>
      </c>
      <c r="E7171" s="33" t="s">
        <v>14605</v>
      </c>
      <c r="F7171" s="67">
        <v>41433</v>
      </c>
      <c r="G7171" s="33" t="s">
        <v>22282</v>
      </c>
      <c r="H7171" s="33" t="s">
        <v>14606</v>
      </c>
      <c r="I7171" s="33" t="s">
        <v>225</v>
      </c>
      <c r="J7171" s="33" t="s">
        <v>14607</v>
      </c>
      <c r="K7171" s="33" t="s">
        <v>14608</v>
      </c>
      <c r="L7171" s="33" t="s">
        <v>14609</v>
      </c>
      <c r="M7171" s="33" t="s">
        <v>21</v>
      </c>
      <c r="N7171" s="33" t="s">
        <v>14610</v>
      </c>
      <c r="O7171" s="33" t="s">
        <v>507</v>
      </c>
      <c r="P7171" s="33" t="s">
        <v>30089</v>
      </c>
      <c r="Q7171" s="40" t="s">
        <v>14611</v>
      </c>
      <c r="R7171" s="33" t="s">
        <v>94</v>
      </c>
      <c r="S7171" s="33" t="s">
        <v>12</v>
      </c>
      <c r="T7171" s="1" t="s">
        <v>29705</v>
      </c>
      <c r="Z7171" s="33" t="s">
        <v>42967</v>
      </c>
      <c r="AA7171" s="33">
        <v>495</v>
      </c>
    </row>
    <row r="7172" spans="1:64" ht="12" customHeight="1" x14ac:dyDescent="0.15">
      <c r="A7172" s="63" t="s">
        <v>42829</v>
      </c>
      <c r="B7172" s="99">
        <v>24</v>
      </c>
      <c r="C7172" s="10" t="s">
        <v>14</v>
      </c>
      <c r="D7172" s="10" t="s">
        <v>79</v>
      </c>
      <c r="E7172" s="62" t="s">
        <v>42830</v>
      </c>
      <c r="F7172" s="67">
        <v>41433</v>
      </c>
      <c r="G7172" s="10" t="s">
        <v>42831</v>
      </c>
      <c r="H7172" s="10" t="s">
        <v>6660</v>
      </c>
      <c r="I7172" s="10" t="s">
        <v>67</v>
      </c>
      <c r="J7172" s="65">
        <v>76904</v>
      </c>
      <c r="K7172" s="10" t="s">
        <v>6662</v>
      </c>
      <c r="L7172" s="10" t="s">
        <v>6663</v>
      </c>
      <c r="M7172" s="10" t="s">
        <v>42832</v>
      </c>
      <c r="N7172" s="10" t="s">
        <v>42833</v>
      </c>
      <c r="O7172" s="10" t="s">
        <v>950</v>
      </c>
      <c r="P7172" s="10" t="s">
        <v>30089</v>
      </c>
      <c r="Q7172" s="62" t="s">
        <v>42834</v>
      </c>
      <c r="R7172" s="10" t="s">
        <v>23</v>
      </c>
      <c r="S7172" s="10" t="s">
        <v>12</v>
      </c>
      <c r="T7172" s="10" t="s">
        <v>29705</v>
      </c>
      <c r="U7172" s="10"/>
      <c r="V7172" s="10"/>
      <c r="W7172" s="10"/>
      <c r="X7172" s="89"/>
      <c r="Y7172" s="68"/>
      <c r="Z7172" s="68" t="s">
        <v>42968</v>
      </c>
      <c r="AA7172" s="33">
        <v>496</v>
      </c>
      <c r="AG7172" s="68"/>
      <c r="AK7172" s="68"/>
      <c r="AL7172" s="68"/>
      <c r="AM7172" s="68"/>
      <c r="AN7172" s="68"/>
      <c r="AO7172" s="68"/>
      <c r="AP7172" s="68"/>
      <c r="AQ7172" s="68"/>
      <c r="AR7172" s="68"/>
      <c r="AS7172" s="68"/>
      <c r="AT7172" s="68"/>
      <c r="AU7172" s="68"/>
      <c r="AV7172" s="68"/>
      <c r="AW7172" s="68"/>
      <c r="AX7172" s="68"/>
      <c r="AY7172" s="68"/>
      <c r="AZ7172" s="68"/>
      <c r="BA7172" s="68"/>
      <c r="BB7172" s="68"/>
      <c r="BC7172" s="68"/>
      <c r="BD7172" s="68"/>
      <c r="BE7172" s="68"/>
      <c r="BF7172" s="68"/>
      <c r="BG7172" s="68"/>
      <c r="BH7172" s="68"/>
      <c r="BI7172" s="68"/>
      <c r="BJ7172" s="68"/>
      <c r="BK7172" s="68"/>
      <c r="BL7172" s="68"/>
    </row>
    <row r="7173" spans="1:64" ht="12" customHeight="1" x14ac:dyDescent="0.15">
      <c r="A7173" s="33" t="s">
        <v>14618</v>
      </c>
      <c r="B7173" s="33">
        <v>24</v>
      </c>
      <c r="C7173" s="33" t="s">
        <v>103</v>
      </c>
      <c r="D7173" s="33" t="s">
        <v>31</v>
      </c>
      <c r="E7173" s="33" t="s">
        <v>14619</v>
      </c>
      <c r="F7173" s="67">
        <v>41433</v>
      </c>
      <c r="G7173" s="33" t="s">
        <v>14620</v>
      </c>
      <c r="H7173" s="33" t="s">
        <v>518</v>
      </c>
      <c r="I7173" s="33" t="s">
        <v>112</v>
      </c>
      <c r="J7173" s="33" t="s">
        <v>6756</v>
      </c>
      <c r="K7173" s="33" t="s">
        <v>519</v>
      </c>
      <c r="L7173" s="33" t="s">
        <v>520</v>
      </c>
      <c r="M7173" s="33" t="s">
        <v>21</v>
      </c>
      <c r="N7173" s="33" t="s">
        <v>14621</v>
      </c>
      <c r="O7173" s="33" t="s">
        <v>23</v>
      </c>
      <c r="P7173" s="33" t="s">
        <v>30089</v>
      </c>
      <c r="Q7173" s="40" t="s">
        <v>14622</v>
      </c>
      <c r="R7173" s="33" t="s">
        <v>512</v>
      </c>
      <c r="S7173" s="33" t="s">
        <v>22</v>
      </c>
      <c r="T7173" s="1" t="s">
        <v>26781</v>
      </c>
      <c r="Z7173" s="33" t="s">
        <v>42966</v>
      </c>
      <c r="AA7173" s="33">
        <v>490</v>
      </c>
    </row>
    <row r="7174" spans="1:64" ht="12" customHeight="1" x14ac:dyDescent="0.15">
      <c r="A7174" s="33" t="s">
        <v>14586</v>
      </c>
      <c r="B7174" s="103">
        <v>57</v>
      </c>
      <c r="C7174" s="33" t="s">
        <v>14</v>
      </c>
      <c r="D7174" s="33" t="s">
        <v>15</v>
      </c>
      <c r="F7174" s="67">
        <v>41433</v>
      </c>
      <c r="G7174" s="33" t="s">
        <v>14587</v>
      </c>
      <c r="H7174" s="33" t="s">
        <v>3143</v>
      </c>
      <c r="I7174" s="33" t="s">
        <v>39</v>
      </c>
      <c r="J7174" s="33" t="s">
        <v>9631</v>
      </c>
      <c r="K7174" s="33" t="s">
        <v>3145</v>
      </c>
      <c r="L7174" s="33" t="s">
        <v>3146</v>
      </c>
      <c r="M7174" s="33" t="s">
        <v>21</v>
      </c>
      <c r="N7174" s="33" t="s">
        <v>14588</v>
      </c>
      <c r="O7174" s="33" t="s">
        <v>23</v>
      </c>
      <c r="P7174" s="33" t="s">
        <v>30089</v>
      </c>
      <c r="Q7174" s="40" t="s">
        <v>14589</v>
      </c>
      <c r="R7174" s="33" t="s">
        <v>94</v>
      </c>
      <c r="S7174" s="33" t="s">
        <v>22</v>
      </c>
      <c r="T7174" s="1" t="s">
        <v>26781</v>
      </c>
      <c r="Z7174" s="33" t="s">
        <v>42966</v>
      </c>
      <c r="AA7174" s="33">
        <v>492</v>
      </c>
    </row>
    <row r="7175" spans="1:64" ht="12" customHeight="1" x14ac:dyDescent="0.15">
      <c r="A7175" s="33" t="s">
        <v>14600</v>
      </c>
      <c r="B7175" s="103">
        <v>40</v>
      </c>
      <c r="C7175" s="33" t="s">
        <v>14</v>
      </c>
      <c r="D7175" s="33" t="s">
        <v>24</v>
      </c>
      <c r="F7175" s="67">
        <v>41433</v>
      </c>
      <c r="G7175" s="33" t="s">
        <v>14601</v>
      </c>
      <c r="H7175" s="33" t="s">
        <v>3277</v>
      </c>
      <c r="I7175" s="33" t="s">
        <v>56</v>
      </c>
      <c r="J7175" s="33" t="s">
        <v>3278</v>
      </c>
      <c r="K7175" s="33" t="s">
        <v>3279</v>
      </c>
      <c r="L7175" s="33" t="s">
        <v>5355</v>
      </c>
      <c r="M7175" s="33" t="s">
        <v>21</v>
      </c>
      <c r="N7175" s="33" t="s">
        <v>14602</v>
      </c>
      <c r="O7175" s="33" t="s">
        <v>507</v>
      </c>
      <c r="P7175" s="33" t="s">
        <v>30089</v>
      </c>
      <c r="Q7175" s="40" t="s">
        <v>14603</v>
      </c>
      <c r="R7175" s="33" t="s">
        <v>94</v>
      </c>
      <c r="S7175" s="33" t="s">
        <v>22</v>
      </c>
      <c r="T7175" s="1" t="s">
        <v>26591</v>
      </c>
      <c r="Z7175" s="33" t="s">
        <v>42968</v>
      </c>
      <c r="AA7175" s="33">
        <v>489</v>
      </c>
    </row>
    <row r="7176" spans="1:64" ht="12" customHeight="1" x14ac:dyDescent="0.15">
      <c r="A7176" s="33" t="s">
        <v>14590</v>
      </c>
      <c r="B7176" s="103">
        <v>19</v>
      </c>
      <c r="C7176" s="33" t="s">
        <v>14</v>
      </c>
      <c r="D7176" s="33" t="s">
        <v>79</v>
      </c>
      <c r="F7176" s="67">
        <v>41433</v>
      </c>
      <c r="G7176" s="33" t="s">
        <v>19030</v>
      </c>
      <c r="H7176" s="33" t="s">
        <v>5040</v>
      </c>
      <c r="I7176" s="33" t="s">
        <v>39</v>
      </c>
      <c r="J7176" s="33" t="s">
        <v>14591</v>
      </c>
      <c r="K7176" s="33" t="s">
        <v>728</v>
      </c>
      <c r="L7176" s="33" t="s">
        <v>729</v>
      </c>
      <c r="M7176" s="33" t="s">
        <v>21</v>
      </c>
      <c r="N7176" s="33" t="s">
        <v>14592</v>
      </c>
      <c r="O7176" s="33" t="s">
        <v>23</v>
      </c>
      <c r="P7176" s="33" t="s">
        <v>30089</v>
      </c>
      <c r="Q7176" s="40" t="s">
        <v>14593</v>
      </c>
      <c r="R7176" s="33" t="s">
        <v>94</v>
      </c>
      <c r="S7176" s="33" t="s">
        <v>22</v>
      </c>
      <c r="T7176" s="1" t="s">
        <v>26781</v>
      </c>
      <c r="Z7176" s="33" t="s">
        <v>42968</v>
      </c>
      <c r="AA7176" s="33">
        <v>493</v>
      </c>
    </row>
    <row r="7177" spans="1:64" ht="12" customHeight="1" x14ac:dyDescent="0.15">
      <c r="A7177" s="33" t="s">
        <v>14640</v>
      </c>
      <c r="B7177" s="103">
        <v>37</v>
      </c>
      <c r="C7177" s="33" t="s">
        <v>14</v>
      </c>
      <c r="D7177" s="33" t="s">
        <v>31</v>
      </c>
      <c r="E7177" s="33" t="s">
        <v>14641</v>
      </c>
      <c r="F7177" s="67">
        <v>41432</v>
      </c>
      <c r="G7177" s="33" t="s">
        <v>14642</v>
      </c>
      <c r="H7177" s="33" t="s">
        <v>14643</v>
      </c>
      <c r="I7177" s="33" t="s">
        <v>160</v>
      </c>
      <c r="J7177" s="33" t="s">
        <v>14644</v>
      </c>
      <c r="K7177" s="33" t="s">
        <v>3052</v>
      </c>
      <c r="L7177" s="33" t="s">
        <v>3053</v>
      </c>
      <c r="M7177" s="33" t="s">
        <v>21</v>
      </c>
      <c r="N7177" s="33" t="s">
        <v>14645</v>
      </c>
      <c r="O7177" s="33" t="s">
        <v>23</v>
      </c>
      <c r="P7177" s="33" t="s">
        <v>30089</v>
      </c>
      <c r="Q7177" s="40" t="s">
        <v>14646</v>
      </c>
      <c r="R7177" s="33" t="s">
        <v>512</v>
      </c>
      <c r="S7177" s="33" t="s">
        <v>22</v>
      </c>
      <c r="T7177" s="1" t="s">
        <v>26781</v>
      </c>
      <c r="Z7177" s="33" t="s">
        <v>42968</v>
      </c>
      <c r="AA7177" s="33">
        <v>485</v>
      </c>
    </row>
    <row r="7178" spans="1:64" ht="12" customHeight="1" x14ac:dyDescent="0.15">
      <c r="A7178" s="33" t="s">
        <v>14635</v>
      </c>
      <c r="B7178" s="103">
        <v>35</v>
      </c>
      <c r="C7178" s="33" t="s">
        <v>14</v>
      </c>
      <c r="D7178" s="33" t="s">
        <v>31</v>
      </c>
      <c r="E7178" s="33" t="s">
        <v>14636</v>
      </c>
      <c r="F7178" s="67">
        <v>41432</v>
      </c>
      <c r="G7178" s="33" t="s">
        <v>14637</v>
      </c>
      <c r="H7178" s="33" t="s">
        <v>10080</v>
      </c>
      <c r="I7178" s="33" t="s">
        <v>39</v>
      </c>
      <c r="J7178" s="33" t="s">
        <v>10858</v>
      </c>
      <c r="K7178" s="33" t="s">
        <v>6921</v>
      </c>
      <c r="L7178" s="33" t="s">
        <v>36943</v>
      </c>
      <c r="M7178" s="33" t="s">
        <v>21</v>
      </c>
      <c r="N7178" s="33" t="s">
        <v>14638</v>
      </c>
      <c r="O7178" s="33" t="s">
        <v>507</v>
      </c>
      <c r="P7178" s="33" t="s">
        <v>30089</v>
      </c>
      <c r="Q7178" s="40" t="s">
        <v>14639</v>
      </c>
      <c r="R7178" s="33" t="s">
        <v>94</v>
      </c>
      <c r="S7178" s="33" t="s">
        <v>29</v>
      </c>
      <c r="T7178" s="1" t="s">
        <v>41840</v>
      </c>
      <c r="Z7178" s="33" t="s">
        <v>42968</v>
      </c>
      <c r="AA7178" s="33">
        <v>486</v>
      </c>
    </row>
    <row r="7179" spans="1:64" ht="12" customHeight="1" x14ac:dyDescent="0.15">
      <c r="A7179" s="33" t="s">
        <v>14623</v>
      </c>
      <c r="B7179" s="103">
        <v>23</v>
      </c>
      <c r="C7179" s="33" t="s">
        <v>14</v>
      </c>
      <c r="D7179" s="33" t="s">
        <v>15</v>
      </c>
      <c r="E7179" s="33" t="s">
        <v>14624</v>
      </c>
      <c r="F7179" s="67">
        <v>41432</v>
      </c>
      <c r="G7179" s="33" t="s">
        <v>14625</v>
      </c>
      <c r="H7179" s="33" t="s">
        <v>14626</v>
      </c>
      <c r="I7179" s="33" t="s">
        <v>39</v>
      </c>
      <c r="J7179" s="33" t="s">
        <v>14627</v>
      </c>
      <c r="K7179" s="33" t="s">
        <v>92</v>
      </c>
      <c r="L7179" s="33" t="s">
        <v>14628</v>
      </c>
      <c r="M7179" s="33" t="s">
        <v>21</v>
      </c>
      <c r="N7179" s="33" t="s">
        <v>36880</v>
      </c>
      <c r="O7179" s="33" t="s">
        <v>23</v>
      </c>
      <c r="P7179" s="33" t="s">
        <v>30089</v>
      </c>
      <c r="Q7179" s="40" t="s">
        <v>14629</v>
      </c>
      <c r="R7179" s="33" t="s">
        <v>94</v>
      </c>
      <c r="S7179" s="33" t="s">
        <v>22</v>
      </c>
      <c r="T7179" s="1" t="s">
        <v>26781</v>
      </c>
      <c r="Z7179" s="33" t="s">
        <v>42966</v>
      </c>
      <c r="AA7179" s="33">
        <v>483</v>
      </c>
    </row>
    <row r="7180" spans="1:64" ht="12" customHeight="1" x14ac:dyDescent="0.15">
      <c r="A7180" s="33" t="s">
        <v>14630</v>
      </c>
      <c r="B7180" s="103">
        <v>34</v>
      </c>
      <c r="C7180" s="33" t="s">
        <v>14</v>
      </c>
      <c r="D7180" s="33" t="s">
        <v>24</v>
      </c>
      <c r="F7180" s="67">
        <v>41432</v>
      </c>
      <c r="G7180" s="33" t="s">
        <v>14631</v>
      </c>
      <c r="H7180" s="33" t="s">
        <v>2659</v>
      </c>
      <c r="I7180" s="33" t="s">
        <v>160</v>
      </c>
      <c r="J7180" s="33" t="s">
        <v>14632</v>
      </c>
      <c r="K7180" s="33" t="s">
        <v>1669</v>
      </c>
      <c r="L7180" s="33" t="s">
        <v>12258</v>
      </c>
      <c r="M7180" s="33" t="s">
        <v>21</v>
      </c>
      <c r="N7180" s="33" t="s">
        <v>14633</v>
      </c>
      <c r="O7180" s="33" t="s">
        <v>23</v>
      </c>
      <c r="P7180" s="33" t="s">
        <v>30089</v>
      </c>
      <c r="Q7180" s="40" t="s">
        <v>14634</v>
      </c>
      <c r="R7180" s="33" t="s">
        <v>94</v>
      </c>
      <c r="S7180" s="33" t="s">
        <v>22</v>
      </c>
      <c r="T7180" s="1" t="s">
        <v>26781</v>
      </c>
      <c r="Z7180" s="33" t="s">
        <v>42968</v>
      </c>
      <c r="AA7180" s="33">
        <v>484</v>
      </c>
    </row>
    <row r="7181" spans="1:64" ht="12" customHeight="1" x14ac:dyDescent="0.15">
      <c r="A7181" s="33" t="s">
        <v>14655</v>
      </c>
      <c r="B7181" s="103">
        <v>40</v>
      </c>
      <c r="C7181" s="33" t="s">
        <v>14</v>
      </c>
      <c r="D7181" s="33" t="s">
        <v>31</v>
      </c>
      <c r="F7181" s="67">
        <v>41432</v>
      </c>
      <c r="G7181" s="33" t="s">
        <v>14656</v>
      </c>
      <c r="H7181" s="33" t="s">
        <v>1506</v>
      </c>
      <c r="I7181" s="33" t="s">
        <v>250</v>
      </c>
      <c r="J7181" s="33" t="s">
        <v>14657</v>
      </c>
      <c r="K7181" s="33" t="s">
        <v>5732</v>
      </c>
      <c r="L7181" s="33" t="s">
        <v>14658</v>
      </c>
      <c r="M7181" s="33" t="s">
        <v>21</v>
      </c>
      <c r="N7181" s="33" t="s">
        <v>14659</v>
      </c>
      <c r="O7181" s="33" t="s">
        <v>507</v>
      </c>
      <c r="P7181" s="33" t="s">
        <v>30089</v>
      </c>
      <c r="Q7181" s="40" t="s">
        <v>14660</v>
      </c>
      <c r="R7181" s="33" t="s">
        <v>94</v>
      </c>
      <c r="S7181" s="33" t="s">
        <v>29</v>
      </c>
      <c r="T7181" s="1" t="s">
        <v>41840</v>
      </c>
      <c r="Z7181" s="33" t="s">
        <v>42968</v>
      </c>
      <c r="AA7181" s="33">
        <v>487</v>
      </c>
    </row>
    <row r="7182" spans="1:64" ht="12" customHeight="1" x14ac:dyDescent="0.15">
      <c r="A7182" s="33" t="s">
        <v>14647</v>
      </c>
      <c r="B7182" s="33">
        <v>39</v>
      </c>
      <c r="C7182" s="33" t="s">
        <v>14</v>
      </c>
      <c r="D7182" s="33" t="s">
        <v>31</v>
      </c>
      <c r="F7182" s="67">
        <v>41432</v>
      </c>
      <c r="G7182" s="33" t="s">
        <v>14648</v>
      </c>
      <c r="H7182" s="33" t="s">
        <v>14649</v>
      </c>
      <c r="I7182" s="33" t="s">
        <v>56</v>
      </c>
      <c r="J7182" s="33" t="s">
        <v>14650</v>
      </c>
      <c r="K7182" s="33" t="s">
        <v>14651</v>
      </c>
      <c r="L7182" s="33" t="s">
        <v>14652</v>
      </c>
      <c r="M7182" s="33" t="s">
        <v>21</v>
      </c>
      <c r="N7182" s="33" t="s">
        <v>14653</v>
      </c>
      <c r="O7182" s="33" t="s">
        <v>950</v>
      </c>
      <c r="P7182" s="33" t="s">
        <v>30089</v>
      </c>
      <c r="Q7182" s="40" t="s">
        <v>14654</v>
      </c>
      <c r="R7182" s="33" t="s">
        <v>94</v>
      </c>
      <c r="S7182" s="33" t="s">
        <v>351</v>
      </c>
      <c r="T7182" s="1" t="s">
        <v>26867</v>
      </c>
      <c r="Z7182" s="33" t="s">
        <v>42968</v>
      </c>
      <c r="AA7182" s="33">
        <v>488</v>
      </c>
    </row>
    <row r="7183" spans="1:64" ht="12" customHeight="1" x14ac:dyDescent="0.15">
      <c r="A7183" s="33" t="s">
        <v>14666</v>
      </c>
      <c r="B7183" s="33">
        <v>27</v>
      </c>
      <c r="C7183" s="33" t="s">
        <v>14</v>
      </c>
      <c r="D7183" s="33" t="s">
        <v>31</v>
      </c>
      <c r="E7183" s="33" t="s">
        <v>14667</v>
      </c>
      <c r="F7183" s="67">
        <v>41431</v>
      </c>
      <c r="G7183" s="33" t="s">
        <v>22283</v>
      </c>
      <c r="H7183" s="33" t="s">
        <v>14668</v>
      </c>
      <c r="I7183" s="33" t="s">
        <v>67</v>
      </c>
      <c r="J7183" s="33" t="s">
        <v>14669</v>
      </c>
      <c r="K7183" s="33" t="s">
        <v>14670</v>
      </c>
      <c r="L7183" s="33" t="s">
        <v>14671</v>
      </c>
      <c r="M7183" s="33" t="s">
        <v>21</v>
      </c>
      <c r="N7183" s="33" t="s">
        <v>14672</v>
      </c>
      <c r="O7183" s="33" t="s">
        <v>507</v>
      </c>
      <c r="P7183" s="33" t="s">
        <v>30089</v>
      </c>
      <c r="Q7183" s="40" t="s">
        <v>14673</v>
      </c>
      <c r="R7183" s="33" t="s">
        <v>94</v>
      </c>
      <c r="S7183" s="33" t="s">
        <v>22</v>
      </c>
      <c r="T7183" s="1" t="s">
        <v>26781</v>
      </c>
      <c r="Z7183" s="33" t="s">
        <v>42967</v>
      </c>
      <c r="AA7183" s="33">
        <v>481</v>
      </c>
    </row>
    <row r="7184" spans="1:64" ht="12" customHeight="1" x14ac:dyDescent="0.15">
      <c r="A7184" s="33" t="s">
        <v>14661</v>
      </c>
      <c r="B7184" s="33">
        <v>67</v>
      </c>
      <c r="C7184" s="33" t="s">
        <v>14</v>
      </c>
      <c r="D7184" s="33" t="s">
        <v>31</v>
      </c>
      <c r="E7184" s="33" t="s">
        <v>14662</v>
      </c>
      <c r="F7184" s="67">
        <v>41431</v>
      </c>
      <c r="G7184" s="33" t="s">
        <v>14663</v>
      </c>
      <c r="H7184" s="33" t="s">
        <v>8568</v>
      </c>
      <c r="I7184" s="33" t="s">
        <v>338</v>
      </c>
      <c r="J7184" s="33" t="s">
        <v>8569</v>
      </c>
      <c r="K7184" s="33" t="s">
        <v>8570</v>
      </c>
      <c r="L7184" s="33" t="s">
        <v>24694</v>
      </c>
      <c r="M7184" s="33" t="s">
        <v>21</v>
      </c>
      <c r="N7184" s="33" t="s">
        <v>14664</v>
      </c>
      <c r="O7184" s="33" t="s">
        <v>950</v>
      </c>
      <c r="P7184" s="33" t="s">
        <v>30089</v>
      </c>
      <c r="Q7184" s="40" t="s">
        <v>14665</v>
      </c>
      <c r="R7184" s="33" t="s">
        <v>94</v>
      </c>
      <c r="S7184" s="33" t="s">
        <v>22</v>
      </c>
      <c r="T7184" s="1" t="s">
        <v>26781</v>
      </c>
      <c r="Z7184" s="33" t="s">
        <v>42966</v>
      </c>
      <c r="AA7184" s="33">
        <v>482</v>
      </c>
    </row>
    <row r="7185" spans="1:64" ht="12" customHeight="1" x14ac:dyDescent="0.15">
      <c r="A7185" s="33" t="s">
        <v>14681</v>
      </c>
      <c r="B7185" s="103">
        <v>57</v>
      </c>
      <c r="C7185" s="33" t="s">
        <v>14</v>
      </c>
      <c r="D7185" s="33" t="s">
        <v>24</v>
      </c>
      <c r="F7185" s="67">
        <v>41430</v>
      </c>
      <c r="G7185" s="33" t="s">
        <v>14682</v>
      </c>
      <c r="H7185" s="33" t="s">
        <v>7661</v>
      </c>
      <c r="I7185" s="33" t="s">
        <v>46</v>
      </c>
      <c r="J7185" s="33" t="s">
        <v>7662</v>
      </c>
      <c r="K7185" s="33" t="s">
        <v>1487</v>
      </c>
      <c r="L7185" s="33" t="s">
        <v>212</v>
      </c>
      <c r="M7185" s="33" t="s">
        <v>21</v>
      </c>
      <c r="N7185" s="33" t="s">
        <v>14683</v>
      </c>
      <c r="O7185" s="33" t="s">
        <v>23</v>
      </c>
      <c r="P7185" s="33" t="s">
        <v>30089</v>
      </c>
      <c r="Q7185" s="40" t="s">
        <v>14684</v>
      </c>
      <c r="R7185" s="33" t="s">
        <v>23</v>
      </c>
      <c r="S7185" s="33" t="s">
        <v>29</v>
      </c>
      <c r="T7185" s="33" t="s">
        <v>41840</v>
      </c>
      <c r="Z7185" s="33" t="s">
        <v>42968</v>
      </c>
      <c r="AA7185" s="33">
        <v>480</v>
      </c>
      <c r="AE7185" s="33"/>
    </row>
    <row r="7186" spans="1:64" ht="12" customHeight="1" x14ac:dyDescent="0.15">
      <c r="A7186" s="33" t="s">
        <v>14691</v>
      </c>
      <c r="B7186" s="103">
        <v>32</v>
      </c>
      <c r="C7186" s="33" t="s">
        <v>14</v>
      </c>
      <c r="D7186" s="33" t="s">
        <v>31</v>
      </c>
      <c r="E7186" s="33" t="s">
        <v>14692</v>
      </c>
      <c r="F7186" s="67">
        <v>41430</v>
      </c>
      <c r="G7186" s="33" t="s">
        <v>14693</v>
      </c>
      <c r="H7186" s="33" t="s">
        <v>5753</v>
      </c>
      <c r="I7186" s="33" t="s">
        <v>67</v>
      </c>
      <c r="J7186" s="33" t="s">
        <v>14694</v>
      </c>
      <c r="K7186" s="33" t="s">
        <v>266</v>
      </c>
      <c r="L7186" s="33" t="s">
        <v>5755</v>
      </c>
      <c r="M7186" s="33" t="s">
        <v>21</v>
      </c>
      <c r="N7186" s="33" t="s">
        <v>14695</v>
      </c>
      <c r="O7186" s="33" t="s">
        <v>23</v>
      </c>
      <c r="P7186" s="33" t="s">
        <v>30089</v>
      </c>
      <c r="Q7186" s="40" t="s">
        <v>14696</v>
      </c>
      <c r="R7186" s="33" t="s">
        <v>94</v>
      </c>
      <c r="S7186" s="33" t="s">
        <v>22</v>
      </c>
      <c r="T7186" s="1" t="s">
        <v>26781</v>
      </c>
      <c r="Z7186" s="33" t="s">
        <v>42966</v>
      </c>
      <c r="AA7186" s="33">
        <v>477</v>
      </c>
    </row>
    <row r="7187" spans="1:64" ht="12" customHeight="1" x14ac:dyDescent="0.15">
      <c r="A7187" s="33" t="s">
        <v>14678</v>
      </c>
      <c r="B7187" s="103">
        <v>46</v>
      </c>
      <c r="C7187" s="33" t="s">
        <v>103</v>
      </c>
      <c r="D7187" s="33" t="s">
        <v>79</v>
      </c>
      <c r="E7187" s="33" t="s">
        <v>14679</v>
      </c>
      <c r="F7187" s="67">
        <v>41430</v>
      </c>
      <c r="G7187" s="33" t="s">
        <v>14680</v>
      </c>
      <c r="H7187" s="33" t="s">
        <v>14674</v>
      </c>
      <c r="I7187" s="33" t="s">
        <v>395</v>
      </c>
      <c r="J7187" s="33" t="s">
        <v>14675</v>
      </c>
      <c r="K7187" s="33" t="s">
        <v>700</v>
      </c>
      <c r="L7187" s="33" t="s">
        <v>539</v>
      </c>
      <c r="M7187" s="33" t="s">
        <v>21</v>
      </c>
      <c r="N7187" s="33" t="s">
        <v>14676</v>
      </c>
      <c r="O7187" s="33" t="s">
        <v>23116</v>
      </c>
      <c r="P7187" s="33" t="s">
        <v>30089</v>
      </c>
      <c r="Q7187" s="40" t="s">
        <v>14677</v>
      </c>
      <c r="R7187" s="33" t="s">
        <v>94</v>
      </c>
      <c r="S7187" s="33" t="s">
        <v>12</v>
      </c>
      <c r="T7187" s="54" t="s">
        <v>29705</v>
      </c>
      <c r="Y7187" s="33" t="s">
        <v>42476</v>
      </c>
      <c r="Z7187" s="33" t="s">
        <v>42966</v>
      </c>
      <c r="AA7187" s="33">
        <v>479</v>
      </c>
    </row>
    <row r="7188" spans="1:64" ht="12" customHeight="1" x14ac:dyDescent="0.15">
      <c r="A7188" s="33" t="s">
        <v>14685</v>
      </c>
      <c r="B7188" s="33">
        <v>36</v>
      </c>
      <c r="C7188" s="33" t="s">
        <v>14</v>
      </c>
      <c r="D7188" s="33" t="s">
        <v>24</v>
      </c>
      <c r="F7188" s="67">
        <v>41430</v>
      </c>
      <c r="G7188" s="33" t="s">
        <v>14686</v>
      </c>
      <c r="H7188" s="33" t="s">
        <v>14687</v>
      </c>
      <c r="I7188" s="33" t="s">
        <v>39</v>
      </c>
      <c r="J7188" s="33" t="s">
        <v>14688</v>
      </c>
      <c r="K7188" s="33" t="s">
        <v>143</v>
      </c>
      <c r="L7188" s="33" t="s">
        <v>1970</v>
      </c>
      <c r="M7188" s="33" t="s">
        <v>2909</v>
      </c>
      <c r="N7188" s="33" t="s">
        <v>14689</v>
      </c>
      <c r="O7188" s="33" t="s">
        <v>950</v>
      </c>
      <c r="P7188" s="33" t="s">
        <v>30089</v>
      </c>
      <c r="Q7188" s="40" t="s">
        <v>14690</v>
      </c>
      <c r="R7188" s="33" t="s">
        <v>94</v>
      </c>
      <c r="S7188" s="33" t="s">
        <v>12</v>
      </c>
      <c r="T7188" s="1" t="s">
        <v>29705</v>
      </c>
      <c r="Z7188" s="33" t="s">
        <v>42968</v>
      </c>
      <c r="AA7188" s="33">
        <v>478</v>
      </c>
    </row>
    <row r="7189" spans="1:64" ht="12" customHeight="1" x14ac:dyDescent="0.15">
      <c r="A7189" s="33" t="s">
        <v>14697</v>
      </c>
      <c r="B7189" s="103">
        <v>37</v>
      </c>
      <c r="C7189" s="33" t="s">
        <v>14</v>
      </c>
      <c r="D7189" s="33" t="s">
        <v>31</v>
      </c>
      <c r="E7189" s="33" t="s">
        <v>14698</v>
      </c>
      <c r="F7189" s="67">
        <v>41430</v>
      </c>
      <c r="G7189" s="33" t="s">
        <v>14699</v>
      </c>
      <c r="H7189" s="33" t="s">
        <v>10830</v>
      </c>
      <c r="I7189" s="33" t="s">
        <v>39</v>
      </c>
      <c r="J7189" s="33" t="s">
        <v>14700</v>
      </c>
      <c r="K7189" s="33" t="s">
        <v>143</v>
      </c>
      <c r="L7189" s="33" t="s">
        <v>144</v>
      </c>
      <c r="M7189" s="33" t="s">
        <v>21</v>
      </c>
      <c r="N7189" s="33" t="s">
        <v>14701</v>
      </c>
      <c r="O7189" s="33" t="s">
        <v>23</v>
      </c>
      <c r="P7189" s="33" t="s">
        <v>30089</v>
      </c>
      <c r="Q7189" s="40" t="s">
        <v>14702</v>
      </c>
      <c r="R7189" s="33" t="s">
        <v>94</v>
      </c>
      <c r="S7189" s="33" t="s">
        <v>22</v>
      </c>
      <c r="T7189" s="1" t="s">
        <v>42981</v>
      </c>
      <c r="Z7189" s="33" t="s">
        <v>42968</v>
      </c>
      <c r="AA7189" s="33">
        <v>476</v>
      </c>
    </row>
    <row r="7190" spans="1:64" ht="12" customHeight="1" x14ac:dyDescent="0.15">
      <c r="A7190" s="33" t="s">
        <v>14709</v>
      </c>
      <c r="B7190" s="103">
        <v>32</v>
      </c>
      <c r="C7190" s="33" t="s">
        <v>14</v>
      </c>
      <c r="D7190" s="33" t="s">
        <v>24</v>
      </c>
      <c r="F7190" s="67">
        <v>41429</v>
      </c>
      <c r="G7190" s="33" t="s">
        <v>14710</v>
      </c>
      <c r="H7190" s="33" t="s">
        <v>1116</v>
      </c>
      <c r="I7190" s="33" t="s">
        <v>298</v>
      </c>
      <c r="J7190" s="33">
        <v>38120</v>
      </c>
      <c r="K7190" s="33" t="s">
        <v>1117</v>
      </c>
      <c r="L7190" s="33" t="s">
        <v>1118</v>
      </c>
      <c r="M7190" s="33" t="s">
        <v>21</v>
      </c>
      <c r="N7190" s="33" t="s">
        <v>14711</v>
      </c>
      <c r="O7190" s="33" t="s">
        <v>23</v>
      </c>
      <c r="P7190" s="33" t="s">
        <v>30089</v>
      </c>
      <c r="Q7190" s="40" t="s">
        <v>14712</v>
      </c>
      <c r="R7190" s="33" t="s">
        <v>94</v>
      </c>
      <c r="S7190" s="33" t="s">
        <v>22</v>
      </c>
      <c r="T7190" s="1" t="s">
        <v>26781</v>
      </c>
      <c r="Z7190" s="33" t="s">
        <v>42968</v>
      </c>
      <c r="AA7190" s="33">
        <v>472</v>
      </c>
    </row>
    <row r="7191" spans="1:64" ht="12" customHeight="1" x14ac:dyDescent="0.15">
      <c r="A7191" s="33" t="s">
        <v>14725</v>
      </c>
      <c r="B7191" s="103">
        <v>16</v>
      </c>
      <c r="C7191" s="33" t="s">
        <v>14</v>
      </c>
      <c r="D7191" s="33" t="s">
        <v>31</v>
      </c>
      <c r="E7191" s="33" t="s">
        <v>14726</v>
      </c>
      <c r="F7191" s="67">
        <v>41429</v>
      </c>
      <c r="G7191" s="33" t="s">
        <v>14727</v>
      </c>
      <c r="H7191" s="33" t="s">
        <v>401</v>
      </c>
      <c r="I7191" s="33" t="s">
        <v>402</v>
      </c>
      <c r="J7191" s="33" t="s">
        <v>14728</v>
      </c>
      <c r="K7191" s="33" t="s">
        <v>404</v>
      </c>
      <c r="L7191" s="33" t="s">
        <v>405</v>
      </c>
      <c r="M7191" s="33" t="s">
        <v>21</v>
      </c>
      <c r="N7191" s="33" t="s">
        <v>14729</v>
      </c>
      <c r="O7191" s="33" t="s">
        <v>23</v>
      </c>
      <c r="P7191" s="33" t="s">
        <v>30089</v>
      </c>
      <c r="Q7191" s="40" t="s">
        <v>14730</v>
      </c>
      <c r="R7191" s="33" t="s">
        <v>94</v>
      </c>
      <c r="S7191" s="33" t="s">
        <v>22</v>
      </c>
      <c r="T7191" s="1" t="s">
        <v>26781</v>
      </c>
      <c r="Z7191" s="33" t="s">
        <v>42966</v>
      </c>
      <c r="AA7191" s="33">
        <v>473</v>
      </c>
    </row>
    <row r="7192" spans="1:64" ht="12" customHeight="1" x14ac:dyDescent="0.15">
      <c r="A7192" s="63" t="s">
        <v>8521</v>
      </c>
      <c r="B7192" s="99">
        <v>22</v>
      </c>
      <c r="C7192" s="10" t="s">
        <v>14</v>
      </c>
      <c r="D7192" s="10" t="s">
        <v>79</v>
      </c>
      <c r="E7192" s="62" t="s">
        <v>8522</v>
      </c>
      <c r="F7192" s="67">
        <v>41429</v>
      </c>
      <c r="G7192" s="10" t="s">
        <v>8523</v>
      </c>
      <c r="H7192" s="10" t="s">
        <v>7981</v>
      </c>
      <c r="I7192" s="10" t="s">
        <v>51</v>
      </c>
      <c r="J7192" s="65">
        <v>48507</v>
      </c>
      <c r="K7192" s="10" t="s">
        <v>7740</v>
      </c>
      <c r="L7192" s="10" t="s">
        <v>28930</v>
      </c>
      <c r="M7192" s="10" t="s">
        <v>21</v>
      </c>
      <c r="N7192" s="10" t="s">
        <v>42590</v>
      </c>
      <c r="O7192" s="10" t="s">
        <v>507</v>
      </c>
      <c r="P7192" s="10" t="s">
        <v>30089</v>
      </c>
      <c r="Q7192" s="62" t="s">
        <v>42591</v>
      </c>
      <c r="R7192" s="10" t="s">
        <v>94</v>
      </c>
      <c r="S7192" s="10" t="s">
        <v>22</v>
      </c>
      <c r="T7192" s="1" t="s">
        <v>26781</v>
      </c>
      <c r="U7192" s="10"/>
      <c r="V7192" s="10"/>
      <c r="W7192" s="10"/>
      <c r="X7192" s="89"/>
      <c r="Y7192" s="68"/>
      <c r="Z7192" s="68" t="s">
        <v>42966</v>
      </c>
      <c r="AA7192" s="33">
        <v>474</v>
      </c>
      <c r="AG7192" s="68"/>
      <c r="AK7192" s="68"/>
      <c r="AL7192" s="68"/>
      <c r="AM7192" s="68"/>
      <c r="AN7192" s="68"/>
      <c r="AO7192" s="68"/>
      <c r="AP7192" s="68"/>
      <c r="AQ7192" s="68"/>
      <c r="AR7192" s="68"/>
      <c r="AS7192" s="68"/>
      <c r="AT7192" s="68"/>
      <c r="AU7192" s="68"/>
      <c r="AV7192" s="68"/>
      <c r="AW7192" s="68"/>
      <c r="AX7192" s="68"/>
      <c r="AY7192" s="68"/>
      <c r="AZ7192" s="68"/>
      <c r="BA7192" s="68"/>
      <c r="BB7192" s="68"/>
      <c r="BC7192" s="68"/>
      <c r="BD7192" s="68"/>
      <c r="BE7192" s="68"/>
      <c r="BF7192" s="68"/>
      <c r="BG7192" s="68"/>
      <c r="BH7192" s="68"/>
      <c r="BI7192" s="68"/>
      <c r="BJ7192" s="68"/>
      <c r="BK7192" s="68"/>
      <c r="BL7192" s="68"/>
    </row>
    <row r="7193" spans="1:64" ht="12" customHeight="1" x14ac:dyDescent="0.15">
      <c r="A7193" s="33" t="s">
        <v>14703</v>
      </c>
      <c r="B7193" s="103">
        <v>25</v>
      </c>
      <c r="C7193" s="33" t="s">
        <v>14</v>
      </c>
      <c r="D7193" s="33" t="s">
        <v>42</v>
      </c>
      <c r="F7193" s="67">
        <v>41429</v>
      </c>
      <c r="G7193" s="33" t="s">
        <v>14704</v>
      </c>
      <c r="H7193" s="33" t="s">
        <v>14705</v>
      </c>
      <c r="I7193" s="33" t="s">
        <v>39</v>
      </c>
      <c r="J7193" s="33" t="s">
        <v>14706</v>
      </c>
      <c r="K7193" s="33" t="s">
        <v>728</v>
      </c>
      <c r="L7193" s="33" t="s">
        <v>729</v>
      </c>
      <c r="M7193" s="33" t="s">
        <v>21</v>
      </c>
      <c r="N7193" s="33" t="s">
        <v>14707</v>
      </c>
      <c r="O7193" s="33" t="s">
        <v>23</v>
      </c>
      <c r="P7193" s="33" t="s">
        <v>30089</v>
      </c>
      <c r="Q7193" s="40" t="s">
        <v>14708</v>
      </c>
      <c r="R7193" s="33" t="s">
        <v>94</v>
      </c>
      <c r="S7193" s="33" t="s">
        <v>29</v>
      </c>
      <c r="T7193" s="1" t="s">
        <v>41840</v>
      </c>
      <c r="Z7193" s="33" t="s">
        <v>42968</v>
      </c>
      <c r="AA7193" s="33">
        <v>475</v>
      </c>
    </row>
    <row r="7194" spans="1:64" ht="12" customHeight="1" x14ac:dyDescent="0.15">
      <c r="A7194" s="33" t="s">
        <v>14713</v>
      </c>
      <c r="B7194" s="33">
        <v>51</v>
      </c>
      <c r="C7194" s="33" t="s">
        <v>103</v>
      </c>
      <c r="D7194" s="33" t="s">
        <v>24</v>
      </c>
      <c r="F7194" s="67">
        <v>41429</v>
      </c>
      <c r="G7194" s="33" t="s">
        <v>14714</v>
      </c>
      <c r="H7194" s="33" t="s">
        <v>14715</v>
      </c>
      <c r="I7194" s="33" t="s">
        <v>39</v>
      </c>
      <c r="J7194" s="33" t="s">
        <v>14716</v>
      </c>
      <c r="K7194" s="33" t="s">
        <v>14717</v>
      </c>
      <c r="L7194" s="33" t="s">
        <v>14718</v>
      </c>
      <c r="M7194" s="33" t="s">
        <v>21</v>
      </c>
      <c r="N7194" s="33" t="s">
        <v>14719</v>
      </c>
      <c r="O7194" s="33" t="s">
        <v>23</v>
      </c>
      <c r="P7194" s="33" t="s">
        <v>30089</v>
      </c>
      <c r="Q7194" s="40" t="s">
        <v>14720</v>
      </c>
      <c r="R7194" s="33" t="s">
        <v>94</v>
      </c>
      <c r="S7194" s="33" t="s">
        <v>22</v>
      </c>
      <c r="T7194" s="1" t="s">
        <v>26781</v>
      </c>
      <c r="Z7194" s="33" t="s">
        <v>42967</v>
      </c>
      <c r="AA7194" s="33">
        <v>471</v>
      </c>
    </row>
    <row r="7195" spans="1:64" ht="12" customHeight="1" x14ac:dyDescent="0.15">
      <c r="A7195" s="33" t="s">
        <v>14721</v>
      </c>
      <c r="B7195" s="103">
        <v>40</v>
      </c>
      <c r="C7195" s="33" t="s">
        <v>14</v>
      </c>
      <c r="D7195" s="33" t="s">
        <v>24</v>
      </c>
      <c r="F7195" s="67">
        <v>41429</v>
      </c>
      <c r="G7195" s="33" t="s">
        <v>14722</v>
      </c>
      <c r="H7195" s="33" t="s">
        <v>3143</v>
      </c>
      <c r="I7195" s="33" t="s">
        <v>39</v>
      </c>
      <c r="J7195" s="33" t="s">
        <v>9631</v>
      </c>
      <c r="K7195" s="33" t="s">
        <v>3145</v>
      </c>
      <c r="L7195" s="33" t="s">
        <v>3146</v>
      </c>
      <c r="M7195" s="33" t="s">
        <v>21</v>
      </c>
      <c r="N7195" s="33" t="s">
        <v>14723</v>
      </c>
      <c r="O7195" s="33" t="s">
        <v>23</v>
      </c>
      <c r="P7195" s="33" t="s">
        <v>30089</v>
      </c>
      <c r="Q7195" s="40" t="s">
        <v>14724</v>
      </c>
      <c r="R7195" s="33" t="s">
        <v>94</v>
      </c>
      <c r="S7195" s="33" t="s">
        <v>22</v>
      </c>
      <c r="T7195" s="1" t="s">
        <v>42980</v>
      </c>
      <c r="Z7195" s="33" t="s">
        <v>42966</v>
      </c>
      <c r="AA7195" s="33">
        <v>470</v>
      </c>
    </row>
    <row r="7196" spans="1:64" ht="12" customHeight="1" x14ac:dyDescent="0.15">
      <c r="A7196" s="33" t="s">
        <v>14731</v>
      </c>
      <c r="B7196" s="103">
        <v>25</v>
      </c>
      <c r="C7196" s="33" t="s">
        <v>14</v>
      </c>
      <c r="D7196" s="33" t="s">
        <v>42</v>
      </c>
      <c r="F7196" s="67">
        <v>41428</v>
      </c>
      <c r="G7196" s="33" t="s">
        <v>14732</v>
      </c>
      <c r="H7196" s="33" t="s">
        <v>14733</v>
      </c>
      <c r="I7196" s="33" t="s">
        <v>39</v>
      </c>
      <c r="J7196" s="33" t="s">
        <v>14734</v>
      </c>
      <c r="K7196" s="33" t="s">
        <v>183</v>
      </c>
      <c r="L7196" s="33" t="s">
        <v>14735</v>
      </c>
      <c r="M7196" s="33" t="s">
        <v>21</v>
      </c>
      <c r="N7196" s="33" t="s">
        <v>14736</v>
      </c>
      <c r="O7196" s="33" t="s">
        <v>23</v>
      </c>
      <c r="P7196" s="33" t="s">
        <v>30089</v>
      </c>
      <c r="Q7196" s="40" t="s">
        <v>14737</v>
      </c>
      <c r="R7196" s="33" t="s">
        <v>94</v>
      </c>
      <c r="S7196" s="33" t="s">
        <v>22</v>
      </c>
      <c r="T7196" s="1" t="s">
        <v>26781</v>
      </c>
      <c r="Z7196" s="33" t="s">
        <v>42967</v>
      </c>
      <c r="AA7196" s="33">
        <v>467</v>
      </c>
    </row>
    <row r="7197" spans="1:64" ht="12" customHeight="1" x14ac:dyDescent="0.15">
      <c r="A7197" s="33" t="s">
        <v>14738</v>
      </c>
      <c r="B7197" s="33">
        <v>35</v>
      </c>
      <c r="C7197" s="33" t="s">
        <v>14</v>
      </c>
      <c r="D7197" s="33" t="s">
        <v>31</v>
      </c>
      <c r="E7197" s="33" t="s">
        <v>14739</v>
      </c>
      <c r="F7197" s="67">
        <v>41428</v>
      </c>
      <c r="G7197" s="33" t="s">
        <v>14740</v>
      </c>
      <c r="H7197" s="33" t="s">
        <v>14741</v>
      </c>
      <c r="I7197" s="33" t="s">
        <v>814</v>
      </c>
      <c r="J7197" s="33" t="s">
        <v>14742</v>
      </c>
      <c r="K7197" s="33" t="s">
        <v>2196</v>
      </c>
      <c r="L7197" s="33" t="s">
        <v>3281</v>
      </c>
      <c r="M7197" s="33" t="s">
        <v>11646</v>
      </c>
      <c r="N7197" s="33" t="s">
        <v>14743</v>
      </c>
      <c r="O7197" s="33" t="s">
        <v>950</v>
      </c>
      <c r="P7197" s="33" t="s">
        <v>30089</v>
      </c>
      <c r="Q7197" s="40" t="s">
        <v>14744</v>
      </c>
      <c r="R7197" s="33" t="s">
        <v>94</v>
      </c>
      <c r="S7197" s="33" t="s">
        <v>12</v>
      </c>
      <c r="T7197" s="1" t="s">
        <v>29705</v>
      </c>
      <c r="Z7197" s="33" t="s">
        <v>42968</v>
      </c>
      <c r="AA7197" s="33">
        <v>469</v>
      </c>
    </row>
    <row r="7198" spans="1:64" ht="12" customHeight="1" x14ac:dyDescent="0.15">
      <c r="A7198" s="33" t="s">
        <v>14745</v>
      </c>
      <c r="B7198" s="33">
        <v>60</v>
      </c>
      <c r="C7198" s="33" t="s">
        <v>14</v>
      </c>
      <c r="D7198" s="33" t="s">
        <v>31</v>
      </c>
      <c r="E7198" s="33" t="s">
        <v>14746</v>
      </c>
      <c r="F7198" s="67">
        <v>41428</v>
      </c>
      <c r="G7198" s="33" t="s">
        <v>14747</v>
      </c>
      <c r="H7198" s="33" t="s">
        <v>14748</v>
      </c>
      <c r="I7198" s="33" t="s">
        <v>192</v>
      </c>
      <c r="J7198" s="33" t="s">
        <v>14749</v>
      </c>
      <c r="K7198" s="33" t="s">
        <v>510</v>
      </c>
      <c r="L7198" s="33" t="s">
        <v>19778</v>
      </c>
      <c r="M7198" s="33" t="s">
        <v>21</v>
      </c>
      <c r="N7198" s="33" t="s">
        <v>36881</v>
      </c>
      <c r="O7198" s="33" t="s">
        <v>507</v>
      </c>
      <c r="P7198" s="33" t="s">
        <v>30089</v>
      </c>
      <c r="Q7198" s="40" t="s">
        <v>14750</v>
      </c>
      <c r="R7198" s="33" t="s">
        <v>904</v>
      </c>
      <c r="S7198" s="33" t="s">
        <v>22</v>
      </c>
      <c r="T7198" s="1" t="s">
        <v>26781</v>
      </c>
      <c r="Z7198" s="33" t="s">
        <v>42967</v>
      </c>
      <c r="AA7198" s="33">
        <v>468</v>
      </c>
    </row>
    <row r="7199" spans="1:64" ht="12" customHeight="1" x14ac:dyDescent="0.15">
      <c r="A7199" s="33" t="s">
        <v>14756</v>
      </c>
      <c r="B7199" s="103">
        <v>33</v>
      </c>
      <c r="C7199" s="33" t="s">
        <v>14</v>
      </c>
      <c r="D7199" s="33" t="s">
        <v>79</v>
      </c>
      <c r="E7199" s="33" t="s">
        <v>14757</v>
      </c>
      <c r="F7199" s="67">
        <v>41427</v>
      </c>
      <c r="G7199" s="33" t="s">
        <v>14758</v>
      </c>
      <c r="H7199" s="33" t="s">
        <v>14759</v>
      </c>
      <c r="I7199" s="33" t="s">
        <v>198</v>
      </c>
      <c r="J7199" s="33" t="s">
        <v>14760</v>
      </c>
      <c r="K7199" s="33" t="s">
        <v>10132</v>
      </c>
      <c r="L7199" s="33" t="s">
        <v>14761</v>
      </c>
      <c r="M7199" s="33" t="s">
        <v>21</v>
      </c>
      <c r="N7199" s="33" t="s">
        <v>14762</v>
      </c>
      <c r="O7199" s="33" t="s">
        <v>507</v>
      </c>
      <c r="P7199" s="33" t="s">
        <v>30089</v>
      </c>
      <c r="Q7199" s="40" t="s">
        <v>14763</v>
      </c>
      <c r="R7199" s="33" t="s">
        <v>23</v>
      </c>
      <c r="S7199" s="33" t="s">
        <v>22</v>
      </c>
      <c r="T7199" s="1" t="s">
        <v>26774</v>
      </c>
      <c r="Z7199" s="33" t="s">
        <v>42968</v>
      </c>
      <c r="AA7199" s="33">
        <v>462</v>
      </c>
    </row>
    <row r="7200" spans="1:64" ht="12" customHeight="1" x14ac:dyDescent="0.15">
      <c r="A7200" s="33" t="s">
        <v>14775</v>
      </c>
      <c r="B7200" s="33">
        <v>55</v>
      </c>
      <c r="C7200" s="33" t="s">
        <v>14</v>
      </c>
      <c r="D7200" s="33" t="s">
        <v>24</v>
      </c>
      <c r="F7200" s="67">
        <v>41427</v>
      </c>
      <c r="G7200" s="33" t="s">
        <v>14776</v>
      </c>
      <c r="H7200" s="33" t="s">
        <v>6516</v>
      </c>
      <c r="I7200" s="33" t="s">
        <v>192</v>
      </c>
      <c r="J7200" s="33" t="s">
        <v>14777</v>
      </c>
      <c r="K7200" s="33" t="s">
        <v>1659</v>
      </c>
      <c r="L7200" s="33" t="s">
        <v>1579</v>
      </c>
      <c r="M7200" s="33" t="s">
        <v>363</v>
      </c>
      <c r="N7200" s="33" t="s">
        <v>36882</v>
      </c>
      <c r="O7200" s="33" t="s">
        <v>950</v>
      </c>
      <c r="P7200" s="33" t="s">
        <v>30089</v>
      </c>
      <c r="Q7200" s="40" t="s">
        <v>14778</v>
      </c>
      <c r="R7200" s="33" t="s">
        <v>512</v>
      </c>
      <c r="S7200" s="33" t="s">
        <v>12</v>
      </c>
      <c r="T7200" s="1" t="s">
        <v>29425</v>
      </c>
      <c r="Z7200" s="33" t="s">
        <v>42967</v>
      </c>
      <c r="AA7200" s="33">
        <v>463</v>
      </c>
    </row>
    <row r="7201" spans="1:64" ht="12" customHeight="1" x14ac:dyDescent="0.15">
      <c r="A7201" s="33" t="s">
        <v>19218</v>
      </c>
      <c r="B7201" s="103">
        <v>38</v>
      </c>
      <c r="C7201" s="33" t="s">
        <v>14</v>
      </c>
      <c r="D7201" s="33" t="s">
        <v>42</v>
      </c>
      <c r="E7201" s="33" t="s">
        <v>14764</v>
      </c>
      <c r="F7201" s="67">
        <v>41427</v>
      </c>
      <c r="G7201" s="33" t="s">
        <v>14765</v>
      </c>
      <c r="H7201" s="33" t="s">
        <v>766</v>
      </c>
      <c r="I7201" s="33" t="s">
        <v>40</v>
      </c>
      <c r="J7201" s="33" t="s">
        <v>11519</v>
      </c>
      <c r="K7201" s="33" t="s">
        <v>1588</v>
      </c>
      <c r="L7201" s="33" t="s">
        <v>2980</v>
      </c>
      <c r="M7201" s="33" t="s">
        <v>21</v>
      </c>
      <c r="N7201" s="33" t="s">
        <v>14766</v>
      </c>
      <c r="O7201" s="33" t="s">
        <v>23</v>
      </c>
      <c r="P7201" s="33" t="s">
        <v>30089</v>
      </c>
      <c r="Q7201" s="40" t="s">
        <v>14767</v>
      </c>
      <c r="R7201" s="33" t="s">
        <v>23</v>
      </c>
      <c r="S7201" s="33" t="s">
        <v>22</v>
      </c>
      <c r="T7201" s="33" t="s">
        <v>26781</v>
      </c>
      <c r="U7201" s="33" t="s">
        <v>26572</v>
      </c>
      <c r="V7201" s="33" t="s">
        <v>26573</v>
      </c>
      <c r="Z7201" s="33" t="s">
        <v>42966</v>
      </c>
      <c r="AA7201" s="33">
        <v>461</v>
      </c>
    </row>
    <row r="7202" spans="1:64" ht="12" customHeight="1" x14ac:dyDescent="0.15">
      <c r="A7202" s="33" t="s">
        <v>14768</v>
      </c>
      <c r="B7202" s="103">
        <v>34</v>
      </c>
      <c r="C7202" s="33" t="s">
        <v>14</v>
      </c>
      <c r="D7202" s="33" t="s">
        <v>42</v>
      </c>
      <c r="F7202" s="67">
        <v>41427</v>
      </c>
      <c r="G7202" s="33" t="s">
        <v>14769</v>
      </c>
      <c r="H7202" s="33" t="s">
        <v>14770</v>
      </c>
      <c r="I7202" s="33" t="s">
        <v>39</v>
      </c>
      <c r="J7202" s="33" t="s">
        <v>14771</v>
      </c>
      <c r="K7202" s="33" t="s">
        <v>92</v>
      </c>
      <c r="L7202" s="33" t="s">
        <v>14772</v>
      </c>
      <c r="M7202" s="33" t="s">
        <v>21</v>
      </c>
      <c r="N7202" s="33" t="s">
        <v>14773</v>
      </c>
      <c r="O7202" s="33" t="s">
        <v>23</v>
      </c>
      <c r="P7202" s="33" t="s">
        <v>30089</v>
      </c>
      <c r="Q7202" s="40" t="s">
        <v>14774</v>
      </c>
      <c r="R7202" s="33" t="s">
        <v>94</v>
      </c>
      <c r="S7202" s="33" t="s">
        <v>12</v>
      </c>
      <c r="T7202" s="1" t="s">
        <v>29705</v>
      </c>
      <c r="Z7202" s="33" t="s">
        <v>42966</v>
      </c>
      <c r="AA7202" s="33">
        <v>466</v>
      </c>
    </row>
    <row r="7203" spans="1:64" ht="12" customHeight="1" x14ac:dyDescent="0.15">
      <c r="A7203" s="33" t="s">
        <v>14754</v>
      </c>
      <c r="B7203" s="103">
        <v>59</v>
      </c>
      <c r="C7203" s="33" t="s">
        <v>14</v>
      </c>
      <c r="D7203" s="33" t="s">
        <v>79</v>
      </c>
      <c r="F7203" s="67">
        <v>41427</v>
      </c>
      <c r="G7203" s="33" t="s">
        <v>22285</v>
      </c>
      <c r="H7203" s="33" t="s">
        <v>11556</v>
      </c>
      <c r="I7203" s="33" t="s">
        <v>88</v>
      </c>
      <c r="J7203" s="33" t="s">
        <v>11557</v>
      </c>
      <c r="K7203" s="33" t="s">
        <v>266</v>
      </c>
      <c r="L7203" s="33" t="s">
        <v>11558</v>
      </c>
      <c r="M7203" s="33" t="s">
        <v>21</v>
      </c>
      <c r="N7203" s="33" t="s">
        <v>14755</v>
      </c>
      <c r="O7203" s="33" t="s">
        <v>23116</v>
      </c>
      <c r="P7203" s="33" t="s">
        <v>30089</v>
      </c>
      <c r="Q7203" s="40" t="str">
        <f>HYPERLINK("http://www.wsfa.com/story/22481859/selma-police-stunned-that-off-duty-officer-killed-two-then-self-over-the-weekend","http://www.wsfa.com/story/22481859/selma-police-stunned-that-off-duty-officer-killed-two-then-self-over-the-weekend")</f>
        <v>http://www.wsfa.com/story/22481859/selma-police-stunned-that-off-duty-officer-killed-two-then-self-over-the-weekend</v>
      </c>
      <c r="R7203" s="33" t="s">
        <v>94</v>
      </c>
      <c r="S7203" s="33" t="s">
        <v>12</v>
      </c>
      <c r="T7203" s="1" t="s">
        <v>29705</v>
      </c>
      <c r="Y7203" s="33" t="s">
        <v>42476</v>
      </c>
      <c r="Z7203" s="33" t="s">
        <v>42968</v>
      </c>
      <c r="AA7203" s="33">
        <v>465</v>
      </c>
    </row>
    <row r="7204" spans="1:64" ht="12" customHeight="1" x14ac:dyDescent="0.15">
      <c r="A7204" s="33" t="s">
        <v>14751</v>
      </c>
      <c r="B7204" s="103">
        <v>28</v>
      </c>
      <c r="C7204" s="33" t="s">
        <v>103</v>
      </c>
      <c r="D7204" s="33" t="s">
        <v>79</v>
      </c>
      <c r="F7204" s="67">
        <v>41427</v>
      </c>
      <c r="G7204" s="33" t="s">
        <v>22284</v>
      </c>
      <c r="H7204" s="33" t="s">
        <v>11556</v>
      </c>
      <c r="I7204" s="33" t="s">
        <v>88</v>
      </c>
      <c r="J7204" s="33" t="s">
        <v>11557</v>
      </c>
      <c r="K7204" s="33" t="s">
        <v>266</v>
      </c>
      <c r="L7204" s="33" t="s">
        <v>11558</v>
      </c>
      <c r="M7204" s="33" t="s">
        <v>21</v>
      </c>
      <c r="N7204" s="33" t="s">
        <v>14752</v>
      </c>
      <c r="O7204" s="33" t="s">
        <v>23116</v>
      </c>
      <c r="P7204" s="33" t="s">
        <v>30089</v>
      </c>
      <c r="Q7204" s="40" t="s">
        <v>14753</v>
      </c>
      <c r="R7204" s="33" t="s">
        <v>23</v>
      </c>
      <c r="S7204" s="33" t="s">
        <v>12</v>
      </c>
      <c r="T7204" s="1" t="s">
        <v>29705</v>
      </c>
      <c r="Y7204" s="33" t="s">
        <v>42476</v>
      </c>
      <c r="Z7204" s="33" t="s">
        <v>42968</v>
      </c>
      <c r="AA7204" s="33">
        <v>464</v>
      </c>
    </row>
    <row r="7205" spans="1:64" ht="12" customHeight="1" x14ac:dyDescent="0.15">
      <c r="A7205" s="33" t="s">
        <v>14779</v>
      </c>
      <c r="B7205" s="103">
        <v>26</v>
      </c>
      <c r="C7205" s="33" t="s">
        <v>14</v>
      </c>
      <c r="D7205" s="33" t="s">
        <v>24</v>
      </c>
      <c r="F7205" s="67">
        <v>41426</v>
      </c>
      <c r="G7205" s="33" t="s">
        <v>14780</v>
      </c>
      <c r="H7205" s="33" t="s">
        <v>584</v>
      </c>
      <c r="I7205" s="33" t="s">
        <v>112</v>
      </c>
      <c r="J7205" s="33" t="s">
        <v>14781</v>
      </c>
      <c r="K7205" s="33" t="s">
        <v>585</v>
      </c>
      <c r="L7205" s="33" t="s">
        <v>586</v>
      </c>
      <c r="M7205" s="33" t="s">
        <v>21</v>
      </c>
      <c r="N7205" s="33" t="s">
        <v>14782</v>
      </c>
      <c r="O7205" s="33" t="s">
        <v>23</v>
      </c>
      <c r="P7205" s="33" t="s">
        <v>30089</v>
      </c>
      <c r="Q7205" s="40" t="s">
        <v>14783</v>
      </c>
      <c r="R7205" s="33" t="s">
        <v>94</v>
      </c>
      <c r="S7205" s="33" t="s">
        <v>22</v>
      </c>
      <c r="T7205" s="1" t="s">
        <v>26781</v>
      </c>
      <c r="Z7205" s="33" t="s">
        <v>42966</v>
      </c>
      <c r="AA7205" s="33">
        <v>458</v>
      </c>
    </row>
    <row r="7206" spans="1:64" ht="12" customHeight="1" x14ac:dyDescent="0.15">
      <c r="A7206" s="33" t="s">
        <v>14790</v>
      </c>
      <c r="B7206" s="103">
        <v>48</v>
      </c>
      <c r="C7206" s="33" t="s">
        <v>14</v>
      </c>
      <c r="D7206" s="33" t="s">
        <v>31</v>
      </c>
      <c r="E7206" s="33" t="s">
        <v>14791</v>
      </c>
      <c r="F7206" s="67">
        <v>41426</v>
      </c>
      <c r="G7206" s="33" t="s">
        <v>22286</v>
      </c>
      <c r="H7206" s="33" t="s">
        <v>782</v>
      </c>
      <c r="I7206" s="33" t="s">
        <v>282</v>
      </c>
      <c r="J7206" s="33" t="s">
        <v>10575</v>
      </c>
      <c r="K7206" s="33" t="s">
        <v>782</v>
      </c>
      <c r="L7206" s="33" t="s">
        <v>34360</v>
      </c>
      <c r="M7206" s="33" t="s">
        <v>21</v>
      </c>
      <c r="N7206" s="33" t="s">
        <v>14792</v>
      </c>
      <c r="O7206" s="33" t="s">
        <v>507</v>
      </c>
      <c r="P7206" s="33" t="s">
        <v>30089</v>
      </c>
      <c r="Q7206" s="40" t="s">
        <v>14793</v>
      </c>
      <c r="R7206" s="33" t="s">
        <v>904</v>
      </c>
      <c r="S7206" s="33" t="s">
        <v>22</v>
      </c>
      <c r="T7206" s="1" t="s">
        <v>26774</v>
      </c>
      <c r="Z7206" s="33" t="s">
        <v>42966</v>
      </c>
      <c r="AA7206" s="33">
        <v>460</v>
      </c>
    </row>
    <row r="7207" spans="1:64" ht="12" customHeight="1" x14ac:dyDescent="0.15">
      <c r="A7207" s="33" t="s">
        <v>14784</v>
      </c>
      <c r="B7207" s="103">
        <v>21</v>
      </c>
      <c r="C7207" s="33" t="s">
        <v>14</v>
      </c>
      <c r="D7207" s="33" t="s">
        <v>31</v>
      </c>
      <c r="E7207" s="33" t="s">
        <v>14785</v>
      </c>
      <c r="F7207" s="67">
        <v>41426</v>
      </c>
      <c r="G7207" s="33" t="s">
        <v>14786</v>
      </c>
      <c r="H7207" s="33" t="s">
        <v>143</v>
      </c>
      <c r="I7207" s="33" t="s">
        <v>39</v>
      </c>
      <c r="J7207" s="33" t="s">
        <v>14787</v>
      </c>
      <c r="K7207" s="33" t="s">
        <v>143</v>
      </c>
      <c r="L7207" s="33" t="s">
        <v>144</v>
      </c>
      <c r="M7207" s="33" t="s">
        <v>21</v>
      </c>
      <c r="N7207" s="33" t="s">
        <v>14788</v>
      </c>
      <c r="O7207" s="33" t="s">
        <v>23</v>
      </c>
      <c r="P7207" s="33" t="s">
        <v>30089</v>
      </c>
      <c r="Q7207" s="40" t="s">
        <v>14789</v>
      </c>
      <c r="R7207" s="33" t="s">
        <v>94</v>
      </c>
      <c r="S7207" s="33" t="s">
        <v>22</v>
      </c>
      <c r="T7207" s="1" t="s">
        <v>26774</v>
      </c>
      <c r="Z7207" s="33" t="s">
        <v>42966</v>
      </c>
      <c r="AA7207" s="33">
        <v>459</v>
      </c>
    </row>
    <row r="7208" spans="1:64" ht="12" customHeight="1" x14ac:dyDescent="0.15">
      <c r="A7208" s="33" t="s">
        <v>14795</v>
      </c>
      <c r="B7208" s="33">
        <v>54</v>
      </c>
      <c r="C7208" s="33" t="s">
        <v>14</v>
      </c>
      <c r="D7208" s="33" t="s">
        <v>31</v>
      </c>
      <c r="E7208" s="33" t="s">
        <v>14796</v>
      </c>
      <c r="F7208" s="67">
        <v>41425</v>
      </c>
      <c r="G7208" s="33" t="s">
        <v>22287</v>
      </c>
      <c r="H7208" s="33" t="s">
        <v>14797</v>
      </c>
      <c r="I7208" s="33" t="s">
        <v>338</v>
      </c>
      <c r="J7208" s="33" t="s">
        <v>14798</v>
      </c>
      <c r="K7208" s="33" t="s">
        <v>12029</v>
      </c>
      <c r="L7208" s="33" t="s">
        <v>14799</v>
      </c>
      <c r="M7208" s="33" t="s">
        <v>21</v>
      </c>
      <c r="N7208" s="33" t="s">
        <v>14800</v>
      </c>
      <c r="O7208" s="33" t="s">
        <v>507</v>
      </c>
      <c r="P7208" s="33" t="s">
        <v>30089</v>
      </c>
      <c r="Q7208" s="40" t="s">
        <v>14801</v>
      </c>
      <c r="R7208" s="33" t="s">
        <v>512</v>
      </c>
      <c r="S7208" s="33" t="s">
        <v>22</v>
      </c>
      <c r="T7208" s="1" t="s">
        <v>26781</v>
      </c>
      <c r="Z7208" s="33" t="s">
        <v>42967</v>
      </c>
      <c r="AA7208" s="33">
        <v>456</v>
      </c>
    </row>
    <row r="7209" spans="1:64" ht="12" customHeight="1" x14ac:dyDescent="0.15">
      <c r="A7209" s="63" t="s">
        <v>42624</v>
      </c>
      <c r="B7209" s="99">
        <v>30</v>
      </c>
      <c r="C7209" s="10" t="s">
        <v>14</v>
      </c>
      <c r="D7209" s="10" t="s">
        <v>79</v>
      </c>
      <c r="E7209" s="62" t="s">
        <v>42625</v>
      </c>
      <c r="F7209" s="67">
        <v>41425</v>
      </c>
      <c r="G7209" s="10" t="s">
        <v>42626</v>
      </c>
      <c r="H7209" s="10" t="s">
        <v>1786</v>
      </c>
      <c r="I7209" s="10" t="s">
        <v>160</v>
      </c>
      <c r="J7209" s="65">
        <v>30309</v>
      </c>
      <c r="K7209" s="10" t="s">
        <v>1454</v>
      </c>
      <c r="L7209" s="10" t="s">
        <v>2356</v>
      </c>
      <c r="M7209" s="10" t="s">
        <v>21</v>
      </c>
      <c r="N7209" s="10" t="s">
        <v>42627</v>
      </c>
      <c r="O7209" s="10" t="s">
        <v>950</v>
      </c>
      <c r="P7209" s="10" t="s">
        <v>30089</v>
      </c>
      <c r="Q7209" s="62" t="s">
        <v>42628</v>
      </c>
      <c r="R7209" s="10" t="s">
        <v>94</v>
      </c>
      <c r="S7209" s="10" t="s">
        <v>22</v>
      </c>
      <c r="T7209" s="10" t="s">
        <v>26781</v>
      </c>
      <c r="U7209" s="10"/>
      <c r="V7209" s="10"/>
      <c r="W7209" s="10"/>
      <c r="X7209" s="89"/>
      <c r="Y7209" s="68" t="s">
        <v>42476</v>
      </c>
      <c r="Z7209" s="68" t="s">
        <v>42966</v>
      </c>
      <c r="AA7209" s="33">
        <v>457</v>
      </c>
      <c r="AG7209" s="68"/>
      <c r="AK7209" s="68"/>
      <c r="AL7209" s="68"/>
      <c r="AM7209" s="68"/>
      <c r="AN7209" s="68"/>
      <c r="AO7209" s="68"/>
      <c r="AP7209" s="68"/>
      <c r="AQ7209" s="68"/>
      <c r="AR7209" s="68"/>
      <c r="AS7209" s="68"/>
      <c r="AT7209" s="68"/>
      <c r="AU7209" s="68"/>
      <c r="AV7209" s="68"/>
      <c r="AW7209" s="68"/>
      <c r="AX7209" s="68"/>
      <c r="AY7209" s="68"/>
      <c r="AZ7209" s="68"/>
      <c r="BA7209" s="68"/>
      <c r="BB7209" s="68"/>
      <c r="BC7209" s="68"/>
      <c r="BD7209" s="68"/>
      <c r="BE7209" s="68"/>
      <c r="BF7209" s="68"/>
      <c r="BG7209" s="68"/>
      <c r="BH7209" s="68"/>
      <c r="BI7209" s="68"/>
      <c r="BJ7209" s="68"/>
      <c r="BK7209" s="68"/>
      <c r="BL7209" s="68"/>
    </row>
    <row r="7210" spans="1:64" ht="12" customHeight="1" x14ac:dyDescent="0.15">
      <c r="A7210" s="33" t="s">
        <v>14814</v>
      </c>
      <c r="B7210" s="33">
        <v>24</v>
      </c>
      <c r="C7210" s="33" t="s">
        <v>14</v>
      </c>
      <c r="D7210" s="33" t="s">
        <v>42</v>
      </c>
      <c r="E7210" s="33" t="s">
        <v>14815</v>
      </c>
      <c r="F7210" s="67">
        <v>41424</v>
      </c>
      <c r="G7210" s="33" t="s">
        <v>14816</v>
      </c>
      <c r="H7210" s="33" t="s">
        <v>1337</v>
      </c>
      <c r="I7210" s="33" t="s">
        <v>112</v>
      </c>
      <c r="J7210" s="33" t="s">
        <v>14817</v>
      </c>
      <c r="K7210" s="33" t="s">
        <v>585</v>
      </c>
      <c r="L7210" s="33" t="s">
        <v>5161</v>
      </c>
      <c r="M7210" s="33" t="s">
        <v>363</v>
      </c>
      <c r="N7210" s="33" t="s">
        <v>14818</v>
      </c>
      <c r="O7210" s="33" t="s">
        <v>372</v>
      </c>
      <c r="P7210" s="33" t="s">
        <v>30089</v>
      </c>
      <c r="Q7210" s="40" t="s">
        <v>14819</v>
      </c>
      <c r="R7210" s="33" t="s">
        <v>904</v>
      </c>
      <c r="S7210" s="33" t="s">
        <v>22</v>
      </c>
      <c r="T7210" s="1" t="s">
        <v>26781</v>
      </c>
      <c r="Z7210" s="33" t="s">
        <v>42966</v>
      </c>
      <c r="AA7210" s="33">
        <v>453</v>
      </c>
    </row>
    <row r="7211" spans="1:64" ht="12" customHeight="1" x14ac:dyDescent="0.15">
      <c r="A7211" s="33" t="s">
        <v>14802</v>
      </c>
      <c r="B7211" s="103">
        <v>38</v>
      </c>
      <c r="C7211" s="33" t="s">
        <v>103</v>
      </c>
      <c r="D7211" s="33" t="s">
        <v>15</v>
      </c>
      <c r="E7211" s="33" t="s">
        <v>14803</v>
      </c>
      <c r="F7211" s="67">
        <v>41424</v>
      </c>
      <c r="G7211" s="33" t="s">
        <v>14804</v>
      </c>
      <c r="H7211" s="33" t="s">
        <v>14805</v>
      </c>
      <c r="I7211" s="33" t="s">
        <v>225</v>
      </c>
      <c r="J7211" s="33" t="s">
        <v>14806</v>
      </c>
      <c r="K7211" s="33" t="s">
        <v>8751</v>
      </c>
      <c r="L7211" s="33" t="s">
        <v>14807</v>
      </c>
      <c r="M7211" s="33" t="s">
        <v>21</v>
      </c>
      <c r="N7211" s="33" t="s">
        <v>14808</v>
      </c>
      <c r="O7211" s="33" t="s">
        <v>507</v>
      </c>
      <c r="P7211" s="33" t="s">
        <v>30089</v>
      </c>
      <c r="Q7211" s="40" t="s">
        <v>14809</v>
      </c>
      <c r="R7211" s="33" t="s">
        <v>512</v>
      </c>
      <c r="S7211" s="33" t="s">
        <v>22</v>
      </c>
      <c r="T7211" s="1" t="s">
        <v>42979</v>
      </c>
      <c r="Z7211" s="33" t="s">
        <v>42968</v>
      </c>
      <c r="AA7211" s="33">
        <v>454</v>
      </c>
    </row>
    <row r="7212" spans="1:64" ht="12" customHeight="1" x14ac:dyDescent="0.15">
      <c r="A7212" s="33" t="s">
        <v>14810</v>
      </c>
      <c r="B7212" s="103">
        <v>26</v>
      </c>
      <c r="C7212" s="33" t="s">
        <v>14</v>
      </c>
      <c r="D7212" s="33" t="s">
        <v>42</v>
      </c>
      <c r="F7212" s="67">
        <v>41424</v>
      </c>
      <c r="G7212" s="33" t="s">
        <v>22288</v>
      </c>
      <c r="H7212" s="33" t="s">
        <v>3383</v>
      </c>
      <c r="I7212" s="33" t="s">
        <v>39</v>
      </c>
      <c r="J7212" s="33" t="s">
        <v>14811</v>
      </c>
      <c r="K7212" s="33" t="s">
        <v>998</v>
      </c>
      <c r="L7212" s="33" t="s">
        <v>3385</v>
      </c>
      <c r="M7212" s="33" t="s">
        <v>21</v>
      </c>
      <c r="N7212" s="33" t="s">
        <v>14812</v>
      </c>
      <c r="O7212" s="33" t="s">
        <v>23</v>
      </c>
      <c r="P7212" s="33" t="s">
        <v>30089</v>
      </c>
      <c r="Q7212" s="40" t="s">
        <v>14813</v>
      </c>
      <c r="R7212" s="33" t="s">
        <v>94</v>
      </c>
      <c r="S7212" s="33" t="s">
        <v>351</v>
      </c>
      <c r="T7212" s="1" t="s">
        <v>26867</v>
      </c>
      <c r="Z7212" s="33" t="s">
        <v>42966</v>
      </c>
      <c r="AA7212" s="33">
        <v>455</v>
      </c>
    </row>
    <row r="7213" spans="1:64" ht="12" customHeight="1" x14ac:dyDescent="0.15">
      <c r="A7213" s="33" t="s">
        <v>14830</v>
      </c>
      <c r="B7213" s="103">
        <v>22</v>
      </c>
      <c r="C7213" s="33" t="s">
        <v>14</v>
      </c>
      <c r="D7213" s="33" t="s">
        <v>79</v>
      </c>
      <c r="F7213" s="67">
        <v>41423</v>
      </c>
      <c r="G7213" s="33" t="s">
        <v>14831</v>
      </c>
      <c r="H7213" s="33" t="s">
        <v>1033</v>
      </c>
      <c r="I7213" s="33" t="s">
        <v>376</v>
      </c>
      <c r="J7213" s="33" t="s">
        <v>14832</v>
      </c>
      <c r="K7213" s="33" t="s">
        <v>1033</v>
      </c>
      <c r="L7213" s="33" t="s">
        <v>1034</v>
      </c>
      <c r="M7213" s="33" t="s">
        <v>21</v>
      </c>
      <c r="N7213" s="33" t="s">
        <v>36883</v>
      </c>
      <c r="O7213" s="33" t="s">
        <v>23</v>
      </c>
      <c r="P7213" s="33" t="s">
        <v>30089</v>
      </c>
      <c r="Q7213" s="40" t="s">
        <v>14833</v>
      </c>
      <c r="R7213" s="33" t="s">
        <v>94</v>
      </c>
      <c r="S7213" s="33" t="s">
        <v>22</v>
      </c>
      <c r="T7213" s="1" t="s">
        <v>26781</v>
      </c>
      <c r="Z7213" s="33" t="s">
        <v>42966</v>
      </c>
      <c r="AA7213" s="33">
        <v>451</v>
      </c>
    </row>
    <row r="7214" spans="1:64" ht="12" customHeight="1" x14ac:dyDescent="0.15">
      <c r="A7214" s="33" t="s">
        <v>14834</v>
      </c>
      <c r="B7214" s="103">
        <v>62</v>
      </c>
      <c r="C7214" s="33" t="s">
        <v>14</v>
      </c>
      <c r="D7214" s="33" t="s">
        <v>24</v>
      </c>
      <c r="F7214" s="67">
        <v>41423</v>
      </c>
      <c r="G7214" s="33" t="s">
        <v>14835</v>
      </c>
      <c r="H7214" s="33" t="s">
        <v>14836</v>
      </c>
      <c r="I7214" s="33" t="s">
        <v>798</v>
      </c>
      <c r="J7214" s="33" t="s">
        <v>14837</v>
      </c>
      <c r="K7214" s="33" t="s">
        <v>14838</v>
      </c>
      <c r="L7214" s="33" t="s">
        <v>14839</v>
      </c>
      <c r="M7214" s="33" t="s">
        <v>21</v>
      </c>
      <c r="N7214" s="33" t="s">
        <v>14840</v>
      </c>
      <c r="O7214" s="33" t="s">
        <v>507</v>
      </c>
      <c r="P7214" s="33" t="s">
        <v>30089</v>
      </c>
      <c r="Q7214" s="40" t="s">
        <v>14841</v>
      </c>
      <c r="R7214" s="33" t="s">
        <v>512</v>
      </c>
      <c r="S7214" s="33" t="s">
        <v>22</v>
      </c>
      <c r="T7214" s="1" t="s">
        <v>26781</v>
      </c>
      <c r="Z7214" s="33" t="s">
        <v>42967</v>
      </c>
      <c r="AA7214" s="33">
        <v>449</v>
      </c>
    </row>
    <row r="7215" spans="1:64" ht="12" customHeight="1" x14ac:dyDescent="0.15">
      <c r="A7215" s="33" t="s">
        <v>14825</v>
      </c>
      <c r="B7215" s="33">
        <v>22</v>
      </c>
      <c r="C7215" s="33" t="s">
        <v>14</v>
      </c>
      <c r="D7215" s="33" t="s">
        <v>79</v>
      </c>
      <c r="E7215" s="33" t="s">
        <v>14826</v>
      </c>
      <c r="F7215" s="67">
        <v>41423</v>
      </c>
      <c r="G7215" s="33" t="s">
        <v>22289</v>
      </c>
      <c r="H7215" s="33" t="s">
        <v>557</v>
      </c>
      <c r="I7215" s="33" t="s">
        <v>39</v>
      </c>
      <c r="J7215" s="33" t="s">
        <v>14827</v>
      </c>
      <c r="K7215" s="33" t="s">
        <v>558</v>
      </c>
      <c r="L7215" s="33" t="s">
        <v>559</v>
      </c>
      <c r="M7215" s="33" t="s">
        <v>21</v>
      </c>
      <c r="N7215" s="33" t="s">
        <v>14828</v>
      </c>
      <c r="O7215" s="33" t="s">
        <v>950</v>
      </c>
      <c r="P7215" s="33" t="s">
        <v>30089</v>
      </c>
      <c r="Q7215" s="40" t="s">
        <v>14829</v>
      </c>
      <c r="R7215" s="33" t="s">
        <v>94</v>
      </c>
      <c r="S7215" s="33" t="s">
        <v>22</v>
      </c>
      <c r="T7215" s="1" t="s">
        <v>26781</v>
      </c>
      <c r="Z7215" s="33" t="s">
        <v>42968</v>
      </c>
      <c r="AA7215" s="33">
        <v>450</v>
      </c>
    </row>
    <row r="7216" spans="1:64" ht="12" customHeight="1" x14ac:dyDescent="0.15">
      <c r="A7216" s="33" t="s">
        <v>14820</v>
      </c>
      <c r="B7216" s="33">
        <v>34</v>
      </c>
      <c r="C7216" s="33" t="s">
        <v>14</v>
      </c>
      <c r="D7216" s="33" t="s">
        <v>79</v>
      </c>
      <c r="E7216" s="33" t="s">
        <v>14821</v>
      </c>
      <c r="F7216" s="67">
        <v>41423</v>
      </c>
      <c r="G7216" s="33" t="s">
        <v>14822</v>
      </c>
      <c r="H7216" s="33" t="s">
        <v>107</v>
      </c>
      <c r="I7216" s="33" t="s">
        <v>3357</v>
      </c>
      <c r="J7216" s="33" t="s">
        <v>6264</v>
      </c>
      <c r="K7216" s="33" t="s">
        <v>3359</v>
      </c>
      <c r="L7216" s="33" t="s">
        <v>17581</v>
      </c>
      <c r="M7216" s="33" t="s">
        <v>21</v>
      </c>
      <c r="N7216" s="33" t="s">
        <v>14823</v>
      </c>
      <c r="O7216" s="33" t="s">
        <v>950</v>
      </c>
      <c r="P7216" s="33" t="s">
        <v>30089</v>
      </c>
      <c r="Q7216" s="40" t="s">
        <v>14824</v>
      </c>
      <c r="R7216" s="33" t="s">
        <v>94</v>
      </c>
      <c r="S7216" s="33" t="s">
        <v>22</v>
      </c>
      <c r="T7216" s="1" t="s">
        <v>26576</v>
      </c>
      <c r="Z7216" s="33" t="s">
        <v>42966</v>
      </c>
      <c r="AA7216" s="33">
        <v>452</v>
      </c>
    </row>
    <row r="7217" spans="1:64" ht="12" customHeight="1" x14ac:dyDescent="0.15">
      <c r="A7217" s="33" t="s">
        <v>14851</v>
      </c>
      <c r="B7217" s="33">
        <v>72</v>
      </c>
      <c r="C7217" s="33" t="s">
        <v>14</v>
      </c>
      <c r="D7217" s="33" t="s">
        <v>31</v>
      </c>
      <c r="E7217" s="33" t="s">
        <v>14852</v>
      </c>
      <c r="F7217" s="67">
        <v>41422</v>
      </c>
      <c r="G7217" s="33" t="s">
        <v>14853</v>
      </c>
      <c r="H7217" s="33" t="s">
        <v>870</v>
      </c>
      <c r="I7217" s="33" t="s">
        <v>67</v>
      </c>
      <c r="J7217" s="33" t="s">
        <v>6166</v>
      </c>
      <c r="K7217" s="33" t="s">
        <v>68</v>
      </c>
      <c r="L7217" s="33" t="s">
        <v>871</v>
      </c>
      <c r="M7217" s="33" t="s">
        <v>21</v>
      </c>
      <c r="N7217" s="33" t="s">
        <v>14854</v>
      </c>
      <c r="O7217" s="33" t="s">
        <v>507</v>
      </c>
      <c r="P7217" s="33" t="s">
        <v>30089</v>
      </c>
      <c r="Q7217" s="40" t="s">
        <v>14855</v>
      </c>
      <c r="R7217" s="33" t="s">
        <v>94</v>
      </c>
      <c r="S7217" s="33" t="s">
        <v>22</v>
      </c>
      <c r="T7217" s="1" t="s">
        <v>26781</v>
      </c>
      <c r="Z7217" s="33" t="s">
        <v>42968</v>
      </c>
      <c r="AA7217" s="33">
        <v>448</v>
      </c>
    </row>
    <row r="7218" spans="1:64" ht="12" customHeight="1" x14ac:dyDescent="0.15">
      <c r="A7218" s="33" t="s">
        <v>14844</v>
      </c>
      <c r="B7218" s="33">
        <v>37</v>
      </c>
      <c r="C7218" s="33" t="s">
        <v>103</v>
      </c>
      <c r="D7218" s="33" t="s">
        <v>31</v>
      </c>
      <c r="E7218" s="33" t="s">
        <v>14845</v>
      </c>
      <c r="F7218" s="67">
        <v>41422</v>
      </c>
      <c r="G7218" s="33" t="s">
        <v>14846</v>
      </c>
      <c r="H7218" s="33" t="s">
        <v>14847</v>
      </c>
      <c r="I7218" s="33" t="s">
        <v>298</v>
      </c>
      <c r="J7218" s="33" t="s">
        <v>14848</v>
      </c>
      <c r="K7218" s="33" t="s">
        <v>2907</v>
      </c>
      <c r="L7218" s="33" t="s">
        <v>5949</v>
      </c>
      <c r="M7218" s="33" t="s">
        <v>21</v>
      </c>
      <c r="N7218" s="33" t="s">
        <v>14849</v>
      </c>
      <c r="O7218" s="33" t="s">
        <v>507</v>
      </c>
      <c r="P7218" s="33" t="s">
        <v>30089</v>
      </c>
      <c r="Q7218" s="40" t="s">
        <v>14850</v>
      </c>
      <c r="R7218" s="33" t="s">
        <v>94</v>
      </c>
      <c r="S7218" s="33" t="s">
        <v>22</v>
      </c>
      <c r="T7218" s="1" t="s">
        <v>26781</v>
      </c>
      <c r="Z7218" s="33" t="s">
        <v>42967</v>
      </c>
      <c r="AA7218" s="33">
        <v>447</v>
      </c>
    </row>
    <row r="7219" spans="1:64" ht="12" customHeight="1" x14ac:dyDescent="0.15">
      <c r="A7219" s="33" t="s">
        <v>14856</v>
      </c>
      <c r="B7219" s="103">
        <v>32</v>
      </c>
      <c r="C7219" s="33" t="s">
        <v>14</v>
      </c>
      <c r="D7219" s="33" t="s">
        <v>79</v>
      </c>
      <c r="E7219" s="33" t="s">
        <v>14857</v>
      </c>
      <c r="F7219" s="67">
        <v>41421</v>
      </c>
      <c r="G7219" s="33" t="s">
        <v>22290</v>
      </c>
      <c r="H7219" s="33" t="s">
        <v>661</v>
      </c>
      <c r="I7219" s="33" t="s">
        <v>402</v>
      </c>
      <c r="J7219" s="33" t="s">
        <v>4947</v>
      </c>
      <c r="K7219" s="33" t="s">
        <v>661</v>
      </c>
      <c r="L7219" s="33" t="s">
        <v>14858</v>
      </c>
      <c r="M7219" s="33" t="s">
        <v>21</v>
      </c>
      <c r="N7219" s="33" t="s">
        <v>36884</v>
      </c>
      <c r="O7219" s="33" t="s">
        <v>27772</v>
      </c>
      <c r="P7219" s="33" t="s">
        <v>18576</v>
      </c>
      <c r="Q7219" s="40" t="s">
        <v>14859</v>
      </c>
      <c r="R7219" s="33" t="s">
        <v>94</v>
      </c>
      <c r="S7219" s="33" t="s">
        <v>29</v>
      </c>
      <c r="T7219" s="1" t="s">
        <v>41840</v>
      </c>
      <c r="Y7219" s="33" t="s">
        <v>42476</v>
      </c>
      <c r="Z7219" s="33" t="s">
        <v>42966</v>
      </c>
      <c r="AA7219" s="33">
        <v>446</v>
      </c>
    </row>
    <row r="7220" spans="1:64" ht="12" customHeight="1" x14ac:dyDescent="0.15">
      <c r="A7220" s="33" t="s">
        <v>14868</v>
      </c>
      <c r="B7220" s="103">
        <v>48</v>
      </c>
      <c r="C7220" s="33" t="s">
        <v>14</v>
      </c>
      <c r="D7220" s="33" t="s">
        <v>42</v>
      </c>
      <c r="E7220" s="33" t="s">
        <v>14869</v>
      </c>
      <c r="F7220" s="67">
        <v>41420</v>
      </c>
      <c r="G7220" s="33" t="s">
        <v>14870</v>
      </c>
      <c r="H7220" s="33" t="s">
        <v>14871</v>
      </c>
      <c r="I7220" s="33" t="s">
        <v>395</v>
      </c>
      <c r="J7220" s="33" t="s">
        <v>14872</v>
      </c>
      <c r="K7220" s="33" t="s">
        <v>538</v>
      </c>
      <c r="L7220" s="33" t="s">
        <v>14873</v>
      </c>
      <c r="M7220" s="33" t="s">
        <v>21</v>
      </c>
      <c r="N7220" s="33" t="s">
        <v>14874</v>
      </c>
      <c r="O7220" s="33" t="s">
        <v>507</v>
      </c>
      <c r="P7220" s="33" t="s">
        <v>30089</v>
      </c>
      <c r="Q7220" s="40" t="s">
        <v>14875</v>
      </c>
      <c r="R7220" s="33" t="s">
        <v>512</v>
      </c>
      <c r="S7220" s="33" t="s">
        <v>22</v>
      </c>
      <c r="T7220" s="1" t="s">
        <v>26774</v>
      </c>
      <c r="Z7220" s="33" t="s">
        <v>42966</v>
      </c>
      <c r="AA7220" s="33">
        <v>445</v>
      </c>
    </row>
    <row r="7221" spans="1:64" ht="12" customHeight="1" x14ac:dyDescent="0.15">
      <c r="A7221" s="33" t="s">
        <v>14876</v>
      </c>
      <c r="B7221" s="103">
        <v>36</v>
      </c>
      <c r="C7221" s="33" t="s">
        <v>14</v>
      </c>
      <c r="D7221" s="33" t="s">
        <v>31</v>
      </c>
      <c r="F7221" s="67">
        <v>41420</v>
      </c>
      <c r="G7221" s="33" t="s">
        <v>22291</v>
      </c>
      <c r="H7221" s="33" t="s">
        <v>14877</v>
      </c>
      <c r="I7221" s="33" t="s">
        <v>192</v>
      </c>
      <c r="J7221" s="33" t="s">
        <v>14878</v>
      </c>
      <c r="K7221" s="33" t="s">
        <v>14879</v>
      </c>
      <c r="L7221" s="33" t="s">
        <v>14880</v>
      </c>
      <c r="M7221" s="33" t="s">
        <v>21</v>
      </c>
      <c r="N7221" s="33" t="s">
        <v>14881</v>
      </c>
      <c r="O7221" s="33" t="s">
        <v>507</v>
      </c>
      <c r="P7221" s="33" t="s">
        <v>30089</v>
      </c>
      <c r="Q7221" s="40" t="s">
        <v>14882</v>
      </c>
      <c r="R7221" s="33" t="s">
        <v>94</v>
      </c>
      <c r="S7221" s="33" t="s">
        <v>22</v>
      </c>
      <c r="T7221" s="1" t="s">
        <v>26781</v>
      </c>
      <c r="Z7221" s="33" t="s">
        <v>42967</v>
      </c>
      <c r="AA7221" s="33">
        <v>444</v>
      </c>
    </row>
    <row r="7222" spans="1:64" ht="12" customHeight="1" x14ac:dyDescent="0.15">
      <c r="A7222" s="33" t="s">
        <v>14860</v>
      </c>
      <c r="B7222" s="103">
        <v>23</v>
      </c>
      <c r="C7222" s="33" t="s">
        <v>14</v>
      </c>
      <c r="D7222" s="33" t="s">
        <v>42</v>
      </c>
      <c r="E7222" s="33" t="s">
        <v>14861</v>
      </c>
      <c r="F7222" s="67">
        <v>41420</v>
      </c>
      <c r="G7222" s="33" t="s">
        <v>14862</v>
      </c>
      <c r="H7222" s="33" t="s">
        <v>14863</v>
      </c>
      <c r="I7222" s="33" t="s">
        <v>67</v>
      </c>
      <c r="J7222" s="33" t="s">
        <v>14864</v>
      </c>
      <c r="K7222" s="33" t="s">
        <v>14865</v>
      </c>
      <c r="L7222" s="33" t="s">
        <v>36944</v>
      </c>
      <c r="M7222" s="33" t="s">
        <v>21</v>
      </c>
      <c r="N7222" s="33" t="s">
        <v>14866</v>
      </c>
      <c r="O7222" s="33" t="s">
        <v>23</v>
      </c>
      <c r="P7222" s="33" t="s">
        <v>30089</v>
      </c>
      <c r="Q7222" s="40" t="s">
        <v>14867</v>
      </c>
      <c r="R7222" s="33" t="s">
        <v>94</v>
      </c>
      <c r="S7222" s="33" t="s">
        <v>22</v>
      </c>
      <c r="T7222" s="1" t="s">
        <v>26781</v>
      </c>
      <c r="Z7222" s="33" t="s">
        <v>42967</v>
      </c>
      <c r="AA7222" s="33">
        <v>442</v>
      </c>
    </row>
    <row r="7223" spans="1:64" ht="12" customHeight="1" x14ac:dyDescent="0.15">
      <c r="A7223" s="33" t="s">
        <v>14883</v>
      </c>
      <c r="B7223" s="103">
        <v>32</v>
      </c>
      <c r="C7223" s="33" t="s">
        <v>14</v>
      </c>
      <c r="D7223" s="33" t="s">
        <v>31</v>
      </c>
      <c r="E7223" s="33" t="s">
        <v>14884</v>
      </c>
      <c r="F7223" s="67">
        <v>41420</v>
      </c>
      <c r="G7223" s="33" t="s">
        <v>14885</v>
      </c>
      <c r="H7223" s="33" t="s">
        <v>14886</v>
      </c>
      <c r="I7223" s="33" t="s">
        <v>376</v>
      </c>
      <c r="J7223" s="33" t="s">
        <v>14887</v>
      </c>
      <c r="K7223" s="33" t="s">
        <v>850</v>
      </c>
      <c r="L7223" s="33" t="s">
        <v>14888</v>
      </c>
      <c r="M7223" s="33" t="s">
        <v>21</v>
      </c>
      <c r="N7223" s="33" t="s">
        <v>36885</v>
      </c>
      <c r="O7223" s="33" t="s">
        <v>23</v>
      </c>
      <c r="P7223" s="33" t="s">
        <v>30089</v>
      </c>
      <c r="Q7223" s="40" t="s">
        <v>14889</v>
      </c>
      <c r="R7223" s="33" t="s">
        <v>94</v>
      </c>
      <c r="S7223" s="33" t="s">
        <v>22</v>
      </c>
      <c r="T7223" s="1" t="s">
        <v>26781</v>
      </c>
      <c r="Z7223" s="33" t="s">
        <v>42968</v>
      </c>
      <c r="AA7223" s="33">
        <v>443</v>
      </c>
    </row>
    <row r="7224" spans="1:64" ht="12" customHeight="1" x14ac:dyDescent="0.15">
      <c r="A7224" s="33" t="s">
        <v>14895</v>
      </c>
      <c r="B7224" s="103">
        <v>26</v>
      </c>
      <c r="C7224" s="33" t="s">
        <v>14</v>
      </c>
      <c r="D7224" s="33" t="s">
        <v>79</v>
      </c>
      <c r="E7224" s="33" t="s">
        <v>14896</v>
      </c>
      <c r="F7224" s="67">
        <v>41419</v>
      </c>
      <c r="G7224" s="33" t="s">
        <v>14897</v>
      </c>
      <c r="H7224" s="33" t="s">
        <v>14898</v>
      </c>
      <c r="I7224" s="33" t="s">
        <v>51</v>
      </c>
      <c r="J7224" s="33" t="s">
        <v>7739</v>
      </c>
      <c r="K7224" s="33" t="s">
        <v>7740</v>
      </c>
      <c r="L7224" s="33" t="s">
        <v>3627</v>
      </c>
      <c r="M7224" s="33" t="s">
        <v>21</v>
      </c>
      <c r="N7224" s="33" t="s">
        <v>14899</v>
      </c>
      <c r="O7224" s="33" t="s">
        <v>507</v>
      </c>
      <c r="P7224" s="33" t="s">
        <v>30089</v>
      </c>
      <c r="Q7224" s="40" t="s">
        <v>14900</v>
      </c>
      <c r="R7224" s="33" t="s">
        <v>94</v>
      </c>
      <c r="S7224" s="33" t="s">
        <v>29</v>
      </c>
      <c r="T7224" s="33" t="s">
        <v>41840</v>
      </c>
      <c r="Z7224" s="33" t="s">
        <v>42966</v>
      </c>
      <c r="AA7224" s="33">
        <v>441</v>
      </c>
      <c r="AE7224" s="33"/>
    </row>
    <row r="7225" spans="1:64" ht="12" customHeight="1" x14ac:dyDescent="0.15">
      <c r="A7225" s="33" t="s">
        <v>14905</v>
      </c>
      <c r="B7225" s="33">
        <v>42</v>
      </c>
      <c r="C7225" s="33" t="s">
        <v>14</v>
      </c>
      <c r="D7225" s="33" t="s">
        <v>31</v>
      </c>
      <c r="E7225" s="33" t="s">
        <v>14906</v>
      </c>
      <c r="F7225" s="67">
        <v>41419</v>
      </c>
      <c r="G7225" s="33" t="s">
        <v>22292</v>
      </c>
      <c r="H7225" s="33" t="s">
        <v>1537</v>
      </c>
      <c r="I7225" s="33" t="s">
        <v>39</v>
      </c>
      <c r="J7225" s="33" t="s">
        <v>14907</v>
      </c>
      <c r="K7225" s="33" t="s">
        <v>1537</v>
      </c>
      <c r="L7225" s="33" t="s">
        <v>2166</v>
      </c>
      <c r="M7225" s="33" t="s">
        <v>2909</v>
      </c>
      <c r="N7225" s="33" t="s">
        <v>14908</v>
      </c>
      <c r="O7225" s="33" t="s">
        <v>23</v>
      </c>
      <c r="P7225" s="33" t="s">
        <v>30089</v>
      </c>
      <c r="Q7225" s="40" t="s">
        <v>14909</v>
      </c>
      <c r="R7225" s="33" t="s">
        <v>23</v>
      </c>
      <c r="S7225" s="33" t="s">
        <v>29</v>
      </c>
      <c r="T7225" s="1" t="s">
        <v>41840</v>
      </c>
      <c r="Z7225" s="33" t="s">
        <v>42968</v>
      </c>
      <c r="AA7225" s="33">
        <v>440</v>
      </c>
    </row>
    <row r="7226" spans="1:64" ht="12" customHeight="1" x14ac:dyDescent="0.15">
      <c r="A7226" s="33" t="s">
        <v>3002</v>
      </c>
      <c r="B7226" s="33">
        <v>23</v>
      </c>
      <c r="C7226" s="33" t="s">
        <v>14</v>
      </c>
      <c r="D7226" s="33" t="s">
        <v>24</v>
      </c>
      <c r="F7226" s="67">
        <v>41419</v>
      </c>
      <c r="G7226" s="33" t="s">
        <v>14902</v>
      </c>
      <c r="H7226" s="33" t="s">
        <v>1033</v>
      </c>
      <c r="I7226" s="33" t="s">
        <v>376</v>
      </c>
      <c r="J7226" s="33" t="s">
        <v>10685</v>
      </c>
      <c r="K7226" s="33" t="s">
        <v>1033</v>
      </c>
      <c r="L7226" s="33" t="s">
        <v>1034</v>
      </c>
      <c r="M7226" s="33" t="s">
        <v>21</v>
      </c>
      <c r="N7226" s="33" t="s">
        <v>14903</v>
      </c>
      <c r="O7226" s="33" t="s">
        <v>372</v>
      </c>
      <c r="P7226" s="33" t="s">
        <v>30089</v>
      </c>
      <c r="Q7226" s="40" t="s">
        <v>14904</v>
      </c>
      <c r="R7226" s="33" t="s">
        <v>23</v>
      </c>
      <c r="S7226" s="33" t="s">
        <v>22</v>
      </c>
      <c r="T7226" s="33" t="s">
        <v>26774</v>
      </c>
      <c r="Z7226" s="33" t="s">
        <v>42966</v>
      </c>
      <c r="AA7226" s="33">
        <v>439</v>
      </c>
    </row>
    <row r="7227" spans="1:64" ht="12" customHeight="1" x14ac:dyDescent="0.15">
      <c r="A7227" s="33" t="s">
        <v>14910</v>
      </c>
      <c r="B7227" s="103">
        <v>39</v>
      </c>
      <c r="C7227" s="33" t="s">
        <v>14</v>
      </c>
      <c r="D7227" s="33" t="s">
        <v>31</v>
      </c>
      <c r="E7227" s="33" t="s">
        <v>14911</v>
      </c>
      <c r="F7227" s="67">
        <v>41419</v>
      </c>
      <c r="G7227" s="33" t="s">
        <v>14912</v>
      </c>
      <c r="H7227" s="33" t="s">
        <v>14913</v>
      </c>
      <c r="I7227" s="33" t="s">
        <v>221</v>
      </c>
      <c r="J7227" s="33" t="s">
        <v>14914</v>
      </c>
      <c r="K7227" s="33" t="s">
        <v>1356</v>
      </c>
      <c r="L7227" s="33" t="s">
        <v>14915</v>
      </c>
      <c r="M7227" s="33" t="s">
        <v>21</v>
      </c>
      <c r="N7227" s="33" t="s">
        <v>36887</v>
      </c>
      <c r="O7227" s="33" t="s">
        <v>507</v>
      </c>
      <c r="P7227" s="33" t="s">
        <v>30089</v>
      </c>
      <c r="Q7227" s="40" t="s">
        <v>14916</v>
      </c>
      <c r="R7227" s="33" t="s">
        <v>512</v>
      </c>
      <c r="S7227" s="33" t="s">
        <v>22</v>
      </c>
      <c r="T7227" s="1" t="s">
        <v>26781</v>
      </c>
      <c r="Z7227" s="33" t="s">
        <v>42968</v>
      </c>
      <c r="AA7227" s="33">
        <v>438</v>
      </c>
    </row>
    <row r="7228" spans="1:64" ht="12" customHeight="1" x14ac:dyDescent="0.15">
      <c r="A7228" s="33" t="s">
        <v>14890</v>
      </c>
      <c r="B7228" s="103">
        <v>21</v>
      </c>
      <c r="C7228" s="33" t="s">
        <v>14</v>
      </c>
      <c r="D7228" s="33" t="s">
        <v>79</v>
      </c>
      <c r="E7228" s="33" t="s">
        <v>14891</v>
      </c>
      <c r="F7228" s="67">
        <v>41419</v>
      </c>
      <c r="G7228" s="33" t="s">
        <v>14892</v>
      </c>
      <c r="H7228" s="33" t="s">
        <v>45</v>
      </c>
      <c r="I7228" s="33" t="s">
        <v>26</v>
      </c>
      <c r="J7228" s="33" t="s">
        <v>14893</v>
      </c>
      <c r="K7228" s="33" t="s">
        <v>2402</v>
      </c>
      <c r="L7228" s="33" t="s">
        <v>1712</v>
      </c>
      <c r="M7228" s="33" t="s">
        <v>21</v>
      </c>
      <c r="N7228" s="33" t="s">
        <v>36886</v>
      </c>
      <c r="O7228" s="33" t="s">
        <v>507</v>
      </c>
      <c r="P7228" s="33" t="s">
        <v>30089</v>
      </c>
      <c r="Q7228" s="40" t="s">
        <v>14894</v>
      </c>
      <c r="R7228" s="33" t="s">
        <v>23</v>
      </c>
      <c r="S7228" s="33" t="s">
        <v>22</v>
      </c>
      <c r="T7228" s="1" t="s">
        <v>26781</v>
      </c>
      <c r="Z7228" s="33" t="s">
        <v>42968</v>
      </c>
      <c r="AA7228" s="33">
        <v>437</v>
      </c>
    </row>
    <row r="7229" spans="1:64" ht="12" customHeight="1" x14ac:dyDescent="0.15">
      <c r="A7229" s="33" t="s">
        <v>14922</v>
      </c>
      <c r="B7229" s="33">
        <v>49</v>
      </c>
      <c r="C7229" s="33" t="s">
        <v>14</v>
      </c>
      <c r="D7229" s="33" t="s">
        <v>24</v>
      </c>
      <c r="F7229" s="67">
        <v>41418</v>
      </c>
      <c r="G7229" s="33" t="s">
        <v>14923</v>
      </c>
      <c r="H7229" s="33" t="s">
        <v>14924</v>
      </c>
      <c r="I7229" s="33" t="s">
        <v>798</v>
      </c>
      <c r="J7229" s="33" t="s">
        <v>14925</v>
      </c>
      <c r="K7229" s="33" t="s">
        <v>4221</v>
      </c>
      <c r="L7229" s="33" t="s">
        <v>4624</v>
      </c>
      <c r="M7229" s="33" t="s">
        <v>21</v>
      </c>
      <c r="N7229" s="33" t="s">
        <v>14926</v>
      </c>
      <c r="O7229" s="33" t="s">
        <v>507</v>
      </c>
      <c r="P7229" s="33" t="s">
        <v>30089</v>
      </c>
      <c r="Q7229" s="40" t="s">
        <v>14927</v>
      </c>
      <c r="R7229" s="33" t="s">
        <v>94</v>
      </c>
      <c r="S7229" s="33" t="s">
        <v>22</v>
      </c>
      <c r="T7229" s="1" t="s">
        <v>26781</v>
      </c>
      <c r="Z7229" s="33" t="s">
        <v>42967</v>
      </c>
      <c r="AA7229" s="33">
        <v>432</v>
      </c>
    </row>
    <row r="7230" spans="1:64" ht="12" customHeight="1" x14ac:dyDescent="0.15">
      <c r="A7230" s="63" t="s">
        <v>42848</v>
      </c>
      <c r="B7230" s="99">
        <v>42</v>
      </c>
      <c r="C7230" s="10" t="s">
        <v>14</v>
      </c>
      <c r="D7230" s="10" t="s">
        <v>31</v>
      </c>
      <c r="E7230" s="62" t="s">
        <v>42849</v>
      </c>
      <c r="F7230" s="67">
        <v>41418</v>
      </c>
      <c r="G7230" s="10" t="s">
        <v>42943</v>
      </c>
      <c r="H7230" s="10" t="s">
        <v>1537</v>
      </c>
      <c r="I7230" s="10" t="s">
        <v>39</v>
      </c>
      <c r="J7230" s="65">
        <v>95826</v>
      </c>
      <c r="K7230" s="10" t="s">
        <v>1537</v>
      </c>
      <c r="L7230" s="10" t="s">
        <v>2166</v>
      </c>
      <c r="M7230" s="10" t="s">
        <v>21</v>
      </c>
      <c r="N7230" s="10" t="s">
        <v>14908</v>
      </c>
      <c r="O7230" s="10" t="s">
        <v>950</v>
      </c>
      <c r="P7230" s="10" t="s">
        <v>30089</v>
      </c>
      <c r="Q7230" s="62" t="s">
        <v>42850</v>
      </c>
      <c r="R7230" s="10" t="s">
        <v>94</v>
      </c>
      <c r="S7230" s="10" t="s">
        <v>12</v>
      </c>
      <c r="T7230" s="10" t="s">
        <v>29705</v>
      </c>
      <c r="U7230" s="10"/>
      <c r="V7230" s="10"/>
      <c r="W7230" s="10"/>
      <c r="X7230" s="89"/>
      <c r="Y7230" s="68"/>
      <c r="Z7230" s="68" t="s">
        <v>42968</v>
      </c>
      <c r="AA7230" s="33">
        <v>435</v>
      </c>
      <c r="AG7230" s="68"/>
      <c r="AK7230" s="68"/>
      <c r="AL7230" s="68"/>
      <c r="AM7230" s="68"/>
      <c r="AN7230" s="68"/>
      <c r="AO7230" s="68"/>
      <c r="AP7230" s="68"/>
      <c r="AQ7230" s="68"/>
      <c r="AR7230" s="68"/>
      <c r="AS7230" s="68"/>
      <c r="AT7230" s="68"/>
      <c r="AU7230" s="68"/>
      <c r="AV7230" s="68"/>
      <c r="AW7230" s="68"/>
      <c r="AX7230" s="68"/>
      <c r="AY7230" s="68"/>
      <c r="AZ7230" s="68"/>
      <c r="BA7230" s="68"/>
      <c r="BB7230" s="68"/>
      <c r="BC7230" s="68"/>
      <c r="BD7230" s="68"/>
      <c r="BE7230" s="68"/>
      <c r="BF7230" s="68"/>
      <c r="BG7230" s="68"/>
      <c r="BH7230" s="68"/>
      <c r="BI7230" s="68"/>
      <c r="BJ7230" s="68"/>
      <c r="BK7230" s="68"/>
      <c r="BL7230" s="68"/>
    </row>
    <row r="7231" spans="1:64" ht="12" customHeight="1" x14ac:dyDescent="0.15">
      <c r="A7231" s="33" t="s">
        <v>14928</v>
      </c>
      <c r="B7231" s="103">
        <v>30</v>
      </c>
      <c r="C7231" s="33" t="s">
        <v>14</v>
      </c>
      <c r="D7231" s="33" t="s">
        <v>31</v>
      </c>
      <c r="F7231" s="67">
        <v>41418</v>
      </c>
      <c r="G7231" s="33" t="s">
        <v>22293</v>
      </c>
      <c r="H7231" s="33" t="s">
        <v>1132</v>
      </c>
      <c r="I7231" s="33" t="s">
        <v>282</v>
      </c>
      <c r="J7231" s="33" t="s">
        <v>14929</v>
      </c>
      <c r="K7231" s="33" t="s">
        <v>1133</v>
      </c>
      <c r="L7231" s="33" t="s">
        <v>14930</v>
      </c>
      <c r="M7231" s="33" t="s">
        <v>21</v>
      </c>
      <c r="N7231" s="33" t="s">
        <v>14931</v>
      </c>
      <c r="O7231" s="33" t="s">
        <v>23</v>
      </c>
      <c r="P7231" s="33" t="s">
        <v>30089</v>
      </c>
      <c r="Q7231" s="40" t="s">
        <v>14932</v>
      </c>
      <c r="R7231" s="33" t="s">
        <v>904</v>
      </c>
      <c r="S7231" s="33" t="s">
        <v>12</v>
      </c>
      <c r="T7231" s="1" t="s">
        <v>29705</v>
      </c>
      <c r="Z7231" s="33" t="s">
        <v>42966</v>
      </c>
      <c r="AA7231" s="33">
        <v>434</v>
      </c>
    </row>
    <row r="7232" spans="1:64" ht="12" customHeight="1" x14ac:dyDescent="0.15">
      <c r="A7232" s="33" t="s">
        <v>14917</v>
      </c>
      <c r="B7232" s="33">
        <v>47</v>
      </c>
      <c r="C7232" s="33" t="s">
        <v>14</v>
      </c>
      <c r="D7232" s="33" t="s">
        <v>42</v>
      </c>
      <c r="F7232" s="67">
        <v>41418</v>
      </c>
      <c r="G7232" s="33" t="s">
        <v>22294</v>
      </c>
      <c r="H7232" s="33" t="s">
        <v>143</v>
      </c>
      <c r="I7232" s="33" t="s">
        <v>39</v>
      </c>
      <c r="J7232" s="33" t="s">
        <v>14918</v>
      </c>
      <c r="K7232" s="33" t="s">
        <v>143</v>
      </c>
      <c r="L7232" s="33" t="s">
        <v>144</v>
      </c>
      <c r="M7232" s="33" t="s">
        <v>21</v>
      </c>
      <c r="N7232" s="33" t="s">
        <v>14919</v>
      </c>
      <c r="O7232" s="33" t="s">
        <v>23</v>
      </c>
      <c r="P7232" s="33" t="s">
        <v>30089</v>
      </c>
      <c r="Q7232" s="40" t="s">
        <v>14920</v>
      </c>
      <c r="R7232" s="33" t="s">
        <v>94</v>
      </c>
      <c r="S7232" s="33" t="s">
        <v>351</v>
      </c>
      <c r="T7232" s="1" t="s">
        <v>26867</v>
      </c>
      <c r="Z7232" s="33" t="s">
        <v>42968</v>
      </c>
      <c r="AA7232" s="33">
        <v>436</v>
      </c>
    </row>
    <row r="7233" spans="1:64" ht="12" customHeight="1" x14ac:dyDescent="0.15">
      <c r="A7233" s="33" t="s">
        <v>14933</v>
      </c>
      <c r="B7233" s="103">
        <v>75</v>
      </c>
      <c r="C7233" s="33" t="s">
        <v>14</v>
      </c>
      <c r="D7233" s="33" t="s">
        <v>31</v>
      </c>
      <c r="E7233" s="33" t="s">
        <v>14934</v>
      </c>
      <c r="F7233" s="67">
        <v>41418</v>
      </c>
      <c r="G7233" s="33" t="s">
        <v>14935</v>
      </c>
      <c r="H7233" s="33" t="s">
        <v>10064</v>
      </c>
      <c r="I7233" s="33" t="s">
        <v>35</v>
      </c>
      <c r="J7233" s="33" t="s">
        <v>14936</v>
      </c>
      <c r="K7233" s="33" t="s">
        <v>4499</v>
      </c>
      <c r="L7233" s="33" t="s">
        <v>14937</v>
      </c>
      <c r="M7233" s="33" t="s">
        <v>21</v>
      </c>
      <c r="N7233" s="33" t="s">
        <v>14938</v>
      </c>
      <c r="O7233" s="33" t="s">
        <v>23</v>
      </c>
      <c r="P7233" s="33" t="s">
        <v>30089</v>
      </c>
      <c r="Q7233" s="40" t="s">
        <v>14939</v>
      </c>
      <c r="R7233" s="33" t="s">
        <v>23</v>
      </c>
      <c r="S7233" s="33" t="s">
        <v>22</v>
      </c>
      <c r="T7233" s="1" t="s">
        <v>26781</v>
      </c>
      <c r="Z7233" s="33" t="s">
        <v>42968</v>
      </c>
      <c r="AA7233" s="33">
        <v>433</v>
      </c>
    </row>
    <row r="7234" spans="1:64" ht="12" customHeight="1" x14ac:dyDescent="0.15">
      <c r="A7234" s="33" t="s">
        <v>14940</v>
      </c>
      <c r="B7234" s="33">
        <v>27</v>
      </c>
      <c r="C7234" s="33" t="s">
        <v>14</v>
      </c>
      <c r="D7234" s="33" t="s">
        <v>79</v>
      </c>
      <c r="F7234" s="67">
        <v>41417</v>
      </c>
      <c r="G7234" s="33" t="s">
        <v>14941</v>
      </c>
      <c r="H7234" s="33" t="s">
        <v>4767</v>
      </c>
      <c r="I7234" s="33" t="s">
        <v>39</v>
      </c>
      <c r="J7234" s="33" t="s">
        <v>8126</v>
      </c>
      <c r="K7234" s="33" t="s">
        <v>92</v>
      </c>
      <c r="L7234" s="33" t="s">
        <v>386</v>
      </c>
      <c r="M7234" s="33" t="s">
        <v>21</v>
      </c>
      <c r="N7234" s="33" t="s">
        <v>14942</v>
      </c>
      <c r="O7234" s="33" t="s">
        <v>950</v>
      </c>
      <c r="P7234" s="33" t="s">
        <v>30089</v>
      </c>
      <c r="Q7234" s="40" t="s">
        <v>14943</v>
      </c>
      <c r="R7234" s="33" t="s">
        <v>94</v>
      </c>
      <c r="S7234" s="33" t="s">
        <v>22</v>
      </c>
      <c r="T7234" s="1" t="s">
        <v>26781</v>
      </c>
      <c r="Z7234" s="33" t="s">
        <v>42968</v>
      </c>
      <c r="AA7234" s="33">
        <v>428</v>
      </c>
    </row>
    <row r="7235" spans="1:64" ht="12" customHeight="1" x14ac:dyDescent="0.15">
      <c r="A7235" s="63" t="s">
        <v>42672</v>
      </c>
      <c r="B7235" s="99">
        <v>58</v>
      </c>
      <c r="C7235" s="10" t="s">
        <v>14</v>
      </c>
      <c r="D7235" s="10" t="s">
        <v>24</v>
      </c>
      <c r="E7235" s="10"/>
      <c r="F7235" s="67">
        <v>41417</v>
      </c>
      <c r="G7235" s="10" t="s">
        <v>42673</v>
      </c>
      <c r="H7235" s="10" t="s">
        <v>42674</v>
      </c>
      <c r="I7235" s="10" t="s">
        <v>309</v>
      </c>
      <c r="J7235" s="65">
        <v>99674</v>
      </c>
      <c r="K7235" s="10" t="s">
        <v>6590</v>
      </c>
      <c r="L7235" s="10" t="s">
        <v>10186</v>
      </c>
      <c r="M7235" s="10" t="s">
        <v>21</v>
      </c>
      <c r="N7235" s="10" t="s">
        <v>42675</v>
      </c>
      <c r="O7235" s="10" t="s">
        <v>950</v>
      </c>
      <c r="P7235" s="10" t="s">
        <v>30089</v>
      </c>
      <c r="Q7235" s="62" t="s">
        <v>42676</v>
      </c>
      <c r="R7235" s="10" t="s">
        <v>94</v>
      </c>
      <c r="S7235" s="10" t="s">
        <v>22</v>
      </c>
      <c r="T7235" s="10" t="s">
        <v>26781</v>
      </c>
      <c r="U7235" s="10"/>
      <c r="V7235" s="10"/>
      <c r="W7235" s="10"/>
      <c r="X7235" s="89"/>
      <c r="Y7235" s="68"/>
      <c r="Z7235" s="68" t="s">
        <v>42967</v>
      </c>
      <c r="AA7235" s="33">
        <v>430</v>
      </c>
      <c r="AG7235" s="68"/>
      <c r="AK7235" s="68"/>
      <c r="AL7235" s="68"/>
      <c r="AM7235" s="68"/>
      <c r="AN7235" s="68"/>
      <c r="AO7235" s="68"/>
      <c r="AP7235" s="68"/>
      <c r="AQ7235" s="68"/>
      <c r="AR7235" s="68"/>
      <c r="AS7235" s="68"/>
      <c r="AT7235" s="68"/>
      <c r="AU7235" s="68"/>
      <c r="AV7235" s="68"/>
      <c r="AW7235" s="68"/>
      <c r="AX7235" s="68"/>
      <c r="AY7235" s="68"/>
      <c r="AZ7235" s="68"/>
      <c r="BA7235" s="68"/>
      <c r="BB7235" s="68"/>
      <c r="BC7235" s="68"/>
      <c r="BD7235" s="68"/>
      <c r="BE7235" s="68"/>
      <c r="BF7235" s="68"/>
      <c r="BG7235" s="68"/>
      <c r="BH7235" s="68"/>
      <c r="BI7235" s="68"/>
      <c r="BJ7235" s="68"/>
      <c r="BK7235" s="68"/>
      <c r="BL7235" s="68"/>
    </row>
    <row r="7236" spans="1:64" ht="12" customHeight="1" x14ac:dyDescent="0.15">
      <c r="A7236" s="33" t="s">
        <v>14951</v>
      </c>
      <c r="B7236" s="33">
        <v>28</v>
      </c>
      <c r="C7236" s="33" t="s">
        <v>14</v>
      </c>
      <c r="D7236" s="33" t="s">
        <v>24</v>
      </c>
      <c r="F7236" s="67">
        <v>41417</v>
      </c>
      <c r="G7236" s="33" t="s">
        <v>14952</v>
      </c>
      <c r="H7236" s="33" t="s">
        <v>700</v>
      </c>
      <c r="I7236" s="33" t="s">
        <v>395</v>
      </c>
      <c r="J7236" s="33" t="s">
        <v>14953</v>
      </c>
      <c r="K7236" s="33" t="s">
        <v>1601</v>
      </c>
      <c r="L7236" s="33" t="s">
        <v>539</v>
      </c>
      <c r="M7236" s="33" t="s">
        <v>21</v>
      </c>
      <c r="N7236" s="33" t="s">
        <v>14954</v>
      </c>
      <c r="O7236" s="33" t="s">
        <v>950</v>
      </c>
      <c r="P7236" s="33" t="s">
        <v>30089</v>
      </c>
      <c r="Q7236" s="40" t="str">
        <f>HYPERLINK("http://www.nydailynews.com/new-york/brooklyn/crazed-brooklyn-man-shot-cops-bad-mouthed-article-1.1297528","http://www.nydailynews.com/new-york/brooklyn/crazed-brooklyn-man-shot-cops-bad-mouthed-article-1.1297528")</f>
        <v>http://www.nydailynews.com/new-york/brooklyn/crazed-brooklyn-man-shot-cops-bad-mouthed-article-1.1297528</v>
      </c>
      <c r="R7236" s="33" t="s">
        <v>512</v>
      </c>
      <c r="S7236" s="33" t="s">
        <v>22</v>
      </c>
      <c r="T7236" s="1" t="s">
        <v>26774</v>
      </c>
      <c r="Z7236" s="33" t="s">
        <v>42966</v>
      </c>
      <c r="AA7236" s="33">
        <v>431</v>
      </c>
    </row>
    <row r="7237" spans="1:64" ht="12" customHeight="1" x14ac:dyDescent="0.15">
      <c r="A7237" s="33" t="s">
        <v>14944</v>
      </c>
      <c r="B7237" s="103">
        <v>43</v>
      </c>
      <c r="C7237" s="33" t="s">
        <v>14</v>
      </c>
      <c r="D7237" s="33" t="s">
        <v>79</v>
      </c>
      <c r="E7237" s="33" t="s">
        <v>14945</v>
      </c>
      <c r="F7237" s="67">
        <v>41417</v>
      </c>
      <c r="G7237" s="33" t="s">
        <v>14946</v>
      </c>
      <c r="H7237" s="33" t="s">
        <v>720</v>
      </c>
      <c r="I7237" s="33" t="s">
        <v>63</v>
      </c>
      <c r="J7237" s="33" t="s">
        <v>14947</v>
      </c>
      <c r="K7237" s="33" t="s">
        <v>721</v>
      </c>
      <c r="L7237" s="33" t="s">
        <v>722</v>
      </c>
      <c r="M7237" s="33" t="s">
        <v>21</v>
      </c>
      <c r="N7237" s="33" t="s">
        <v>14948</v>
      </c>
      <c r="O7237" s="33" t="s">
        <v>23</v>
      </c>
      <c r="P7237" s="33" t="s">
        <v>30089</v>
      </c>
      <c r="Q7237" s="40" t="s">
        <v>14949</v>
      </c>
      <c r="R7237" s="33" t="s">
        <v>94</v>
      </c>
      <c r="S7237" s="33" t="s">
        <v>22</v>
      </c>
      <c r="T7237" s="1" t="s">
        <v>26781</v>
      </c>
      <c r="Z7237" s="33" t="s">
        <v>42966</v>
      </c>
      <c r="AA7237" s="33">
        <v>429</v>
      </c>
    </row>
    <row r="7238" spans="1:64" ht="12" customHeight="1" x14ac:dyDescent="0.15">
      <c r="A7238" s="33" t="s">
        <v>14962</v>
      </c>
      <c r="B7238" s="103">
        <v>35</v>
      </c>
      <c r="C7238" s="33" t="s">
        <v>14</v>
      </c>
      <c r="D7238" s="33" t="s">
        <v>79</v>
      </c>
      <c r="F7238" s="67">
        <v>41416</v>
      </c>
      <c r="G7238" s="33" t="s">
        <v>14963</v>
      </c>
      <c r="H7238" s="33" t="s">
        <v>1033</v>
      </c>
      <c r="I7238" s="33" t="s">
        <v>376</v>
      </c>
      <c r="J7238" s="33" t="s">
        <v>14964</v>
      </c>
      <c r="K7238" s="33" t="s">
        <v>1033</v>
      </c>
      <c r="L7238" s="33" t="s">
        <v>1034</v>
      </c>
      <c r="M7238" s="33" t="s">
        <v>21</v>
      </c>
      <c r="N7238" s="33" t="s">
        <v>14965</v>
      </c>
      <c r="O7238" s="33" t="s">
        <v>23</v>
      </c>
      <c r="P7238" s="33" t="s">
        <v>30089</v>
      </c>
      <c r="Q7238" s="40" t="s">
        <v>14966</v>
      </c>
      <c r="R7238" s="33" t="s">
        <v>94</v>
      </c>
      <c r="S7238" s="33" t="s">
        <v>22</v>
      </c>
      <c r="T7238" s="1" t="s">
        <v>26781</v>
      </c>
      <c r="Z7238" s="33" t="s">
        <v>42966</v>
      </c>
      <c r="AA7238" s="33">
        <v>425</v>
      </c>
    </row>
    <row r="7239" spans="1:64" ht="12" customHeight="1" x14ac:dyDescent="0.15">
      <c r="A7239" s="33" t="s">
        <v>3002</v>
      </c>
      <c r="B7239" s="33" t="s">
        <v>23</v>
      </c>
      <c r="C7239" s="33" t="s">
        <v>14</v>
      </c>
      <c r="D7239" s="33" t="s">
        <v>24</v>
      </c>
      <c r="F7239" s="67">
        <v>41416</v>
      </c>
      <c r="G7239" s="33" t="s">
        <v>19031</v>
      </c>
      <c r="H7239" s="33" t="s">
        <v>1033</v>
      </c>
      <c r="I7239" s="33" t="s">
        <v>376</v>
      </c>
      <c r="J7239" s="33" t="s">
        <v>14967</v>
      </c>
      <c r="K7239" s="33" t="s">
        <v>1033</v>
      </c>
      <c r="L7239" s="33" t="s">
        <v>1034</v>
      </c>
      <c r="M7239" s="33" t="s">
        <v>21</v>
      </c>
      <c r="N7239" s="33" t="s">
        <v>14968</v>
      </c>
      <c r="O7239" s="33" t="s">
        <v>950</v>
      </c>
      <c r="P7239" s="33" t="s">
        <v>30089</v>
      </c>
      <c r="Q7239" s="40" t="s">
        <v>14966</v>
      </c>
      <c r="R7239" s="33" t="s">
        <v>94</v>
      </c>
      <c r="S7239" s="33" t="s">
        <v>22</v>
      </c>
      <c r="T7239" s="1" t="s">
        <v>26781</v>
      </c>
      <c r="Z7239" s="33" t="s">
        <v>42966</v>
      </c>
      <c r="AA7239" s="33">
        <v>426</v>
      </c>
    </row>
    <row r="7240" spans="1:64" ht="12" customHeight="1" x14ac:dyDescent="0.15">
      <c r="A7240" s="33" t="s">
        <v>14955</v>
      </c>
      <c r="B7240" s="103">
        <v>22</v>
      </c>
      <c r="C7240" s="33" t="s">
        <v>14</v>
      </c>
      <c r="D7240" s="33" t="s">
        <v>79</v>
      </c>
      <c r="E7240" s="33" t="s">
        <v>14956</v>
      </c>
      <c r="F7240" s="67">
        <v>41416</v>
      </c>
      <c r="G7240" s="33" t="s">
        <v>19032</v>
      </c>
      <c r="H7240" s="33" t="s">
        <v>315</v>
      </c>
      <c r="I7240" s="33" t="s">
        <v>225</v>
      </c>
      <c r="J7240" s="33" t="s">
        <v>14957</v>
      </c>
      <c r="K7240" s="33" t="s">
        <v>14958</v>
      </c>
      <c r="L7240" s="33" t="s">
        <v>14959</v>
      </c>
      <c r="M7240" s="33" t="s">
        <v>21</v>
      </c>
      <c r="N7240" s="33" t="s">
        <v>14960</v>
      </c>
      <c r="O7240" s="33" t="s">
        <v>27510</v>
      </c>
      <c r="P7240" s="33" t="s">
        <v>19029</v>
      </c>
      <c r="Q7240" s="40" t="s">
        <v>14961</v>
      </c>
      <c r="R7240" s="33" t="s">
        <v>23</v>
      </c>
      <c r="S7240" s="33" t="s">
        <v>12</v>
      </c>
      <c r="T7240" s="54" t="s">
        <v>29705</v>
      </c>
      <c r="Y7240" s="33" t="s">
        <v>42476</v>
      </c>
      <c r="Z7240" s="33" t="s">
        <v>42966</v>
      </c>
      <c r="AA7240" s="33">
        <v>427</v>
      </c>
    </row>
    <row r="7241" spans="1:64" ht="12" customHeight="1" x14ac:dyDescent="0.15">
      <c r="A7241" s="33" t="s">
        <v>14969</v>
      </c>
      <c r="B7241" s="103">
        <v>27</v>
      </c>
      <c r="C7241" s="33" t="s">
        <v>14</v>
      </c>
      <c r="D7241" s="33" t="s">
        <v>31</v>
      </c>
      <c r="E7241" s="33" t="s">
        <v>14970</v>
      </c>
      <c r="F7241" s="67">
        <v>41416</v>
      </c>
      <c r="G7241" s="33" t="s">
        <v>14971</v>
      </c>
      <c r="H7241" s="33" t="s">
        <v>997</v>
      </c>
      <c r="I7241" s="33" t="s">
        <v>56</v>
      </c>
      <c r="J7241" s="33" t="s">
        <v>14972</v>
      </c>
      <c r="K7241" s="33" t="s">
        <v>998</v>
      </c>
      <c r="L7241" s="33" t="s">
        <v>377</v>
      </c>
      <c r="M7241" s="33" t="s">
        <v>21</v>
      </c>
      <c r="N7241" s="33" t="s">
        <v>14973</v>
      </c>
      <c r="O7241" s="33" t="s">
        <v>23</v>
      </c>
      <c r="P7241" s="33" t="s">
        <v>30089</v>
      </c>
      <c r="Q7241" s="40" t="s">
        <v>14974</v>
      </c>
      <c r="R7241" s="33" t="s">
        <v>23</v>
      </c>
      <c r="S7241" s="33" t="s">
        <v>22</v>
      </c>
      <c r="T7241" s="1" t="s">
        <v>26591</v>
      </c>
      <c r="Z7241" s="33" t="s">
        <v>42968</v>
      </c>
      <c r="AA7241" s="33">
        <v>424</v>
      </c>
    </row>
    <row r="7242" spans="1:64" ht="12" customHeight="1" x14ac:dyDescent="0.15">
      <c r="A7242" s="33" t="s">
        <v>14975</v>
      </c>
      <c r="B7242" s="33">
        <v>18</v>
      </c>
      <c r="C7242" s="33" t="s">
        <v>14</v>
      </c>
      <c r="D7242" s="33" t="s">
        <v>42</v>
      </c>
      <c r="F7242" s="67">
        <v>41415</v>
      </c>
      <c r="G7242" s="33" t="s">
        <v>14976</v>
      </c>
      <c r="H7242" s="33" t="s">
        <v>92</v>
      </c>
      <c r="I7242" s="33" t="s">
        <v>39</v>
      </c>
      <c r="J7242" s="33" t="s">
        <v>2767</v>
      </c>
      <c r="K7242" s="33" t="s">
        <v>92</v>
      </c>
      <c r="L7242" s="33" t="s">
        <v>93</v>
      </c>
      <c r="M7242" s="33" t="s">
        <v>21</v>
      </c>
      <c r="N7242" s="33" t="s">
        <v>14977</v>
      </c>
      <c r="O7242" s="33" t="s">
        <v>950</v>
      </c>
      <c r="P7242" s="33" t="s">
        <v>30089</v>
      </c>
      <c r="Q7242" s="40" t="s">
        <v>14978</v>
      </c>
      <c r="R7242" s="33" t="s">
        <v>94</v>
      </c>
      <c r="S7242" s="33" t="s">
        <v>22</v>
      </c>
      <c r="T7242" s="1" t="s">
        <v>26781</v>
      </c>
      <c r="Z7242" s="33" t="s">
        <v>42966</v>
      </c>
      <c r="AA7242" s="33">
        <v>423</v>
      </c>
    </row>
    <row r="7243" spans="1:64" ht="12" customHeight="1" x14ac:dyDescent="0.15">
      <c r="A7243" s="33" t="s">
        <v>14987</v>
      </c>
      <c r="B7243" s="103">
        <v>22</v>
      </c>
      <c r="C7243" s="33" t="s">
        <v>14</v>
      </c>
      <c r="D7243" s="33" t="s">
        <v>79</v>
      </c>
      <c r="E7243" s="33" t="s">
        <v>14988</v>
      </c>
      <c r="F7243" s="67">
        <v>41414</v>
      </c>
      <c r="G7243" s="33" t="s">
        <v>14989</v>
      </c>
      <c r="H7243" s="33" t="s">
        <v>3060</v>
      </c>
      <c r="I7243" s="33" t="s">
        <v>225</v>
      </c>
      <c r="J7243" s="33" t="s">
        <v>14990</v>
      </c>
      <c r="K7243" s="33" t="s">
        <v>14991</v>
      </c>
      <c r="L7243" s="33" t="s">
        <v>4650</v>
      </c>
      <c r="M7243" s="33" t="s">
        <v>21</v>
      </c>
      <c r="N7243" s="33" t="s">
        <v>14992</v>
      </c>
      <c r="O7243" s="33" t="s">
        <v>507</v>
      </c>
      <c r="P7243" s="33" t="s">
        <v>30089</v>
      </c>
      <c r="Q7243" s="40" t="s">
        <v>14993</v>
      </c>
      <c r="R7243" s="33" t="s">
        <v>94</v>
      </c>
      <c r="S7243" s="33" t="s">
        <v>351</v>
      </c>
      <c r="T7243" s="33" t="s">
        <v>26867</v>
      </c>
      <c r="Z7243" s="33" t="s">
        <v>42966</v>
      </c>
      <c r="AA7243" s="33">
        <v>421</v>
      </c>
      <c r="AE7243" s="33"/>
    </row>
    <row r="7244" spans="1:64" ht="12" customHeight="1" x14ac:dyDescent="0.15">
      <c r="A7244" s="33" t="s">
        <v>14979</v>
      </c>
      <c r="B7244" s="103">
        <v>26</v>
      </c>
      <c r="C7244" s="33" t="s">
        <v>14</v>
      </c>
      <c r="D7244" s="33" t="s">
        <v>79</v>
      </c>
      <c r="E7244" s="33" t="s">
        <v>14980</v>
      </c>
      <c r="F7244" s="67">
        <v>41414</v>
      </c>
      <c r="G7244" s="33" t="s">
        <v>14981</v>
      </c>
      <c r="H7244" s="33" t="s">
        <v>3100</v>
      </c>
      <c r="I7244" s="33" t="s">
        <v>225</v>
      </c>
      <c r="J7244" s="33" t="s">
        <v>14982</v>
      </c>
      <c r="K7244" s="33" t="s">
        <v>14983</v>
      </c>
      <c r="L7244" s="33" t="s">
        <v>14984</v>
      </c>
      <c r="M7244" s="33" t="s">
        <v>21</v>
      </c>
      <c r="N7244" s="33" t="s">
        <v>14985</v>
      </c>
      <c r="O7244" s="33" t="s">
        <v>507</v>
      </c>
      <c r="P7244" s="33" t="s">
        <v>30089</v>
      </c>
      <c r="Q7244" s="40" t="s">
        <v>14986</v>
      </c>
      <c r="R7244" s="33" t="s">
        <v>23</v>
      </c>
      <c r="S7244" s="33" t="s">
        <v>351</v>
      </c>
      <c r="T7244" s="1" t="s">
        <v>26867</v>
      </c>
      <c r="Z7244" s="33" t="s">
        <v>42968</v>
      </c>
      <c r="AA7244" s="33">
        <v>420</v>
      </c>
    </row>
    <row r="7245" spans="1:64" ht="12" customHeight="1" x14ac:dyDescent="0.15">
      <c r="A7245" s="33" t="s">
        <v>14994</v>
      </c>
      <c r="B7245" s="33">
        <v>28</v>
      </c>
      <c r="C7245" s="33" t="s">
        <v>14</v>
      </c>
      <c r="D7245" s="33" t="s">
        <v>42</v>
      </c>
      <c r="E7245" s="33" t="s">
        <v>14995</v>
      </c>
      <c r="F7245" s="67">
        <v>41414</v>
      </c>
      <c r="G7245" s="33" t="s">
        <v>14996</v>
      </c>
      <c r="H7245" s="33" t="s">
        <v>550</v>
      </c>
      <c r="I7245" s="33" t="s">
        <v>67</v>
      </c>
      <c r="J7245" s="33" t="s">
        <v>4365</v>
      </c>
      <c r="K7245" s="33" t="s">
        <v>551</v>
      </c>
      <c r="L7245" s="33" t="s">
        <v>552</v>
      </c>
      <c r="M7245" s="33" t="s">
        <v>21</v>
      </c>
      <c r="N7245" s="33" t="s">
        <v>14997</v>
      </c>
      <c r="O7245" s="33" t="s">
        <v>507</v>
      </c>
      <c r="P7245" s="33" t="s">
        <v>30089</v>
      </c>
      <c r="Q7245" s="40" t="s">
        <v>14998</v>
      </c>
      <c r="R7245" s="33" t="s">
        <v>23</v>
      </c>
      <c r="S7245" s="33" t="s">
        <v>351</v>
      </c>
      <c r="T7245" s="33" t="s">
        <v>26867</v>
      </c>
      <c r="Z7245" s="33" t="s">
        <v>42968</v>
      </c>
      <c r="AA7245" s="33">
        <v>422</v>
      </c>
      <c r="AE7245" s="33"/>
    </row>
    <row r="7246" spans="1:64" ht="12" customHeight="1" x14ac:dyDescent="0.15">
      <c r="A7246" s="63" t="s">
        <v>42520</v>
      </c>
      <c r="B7246" s="99">
        <v>22</v>
      </c>
      <c r="C7246" s="10" t="s">
        <v>14</v>
      </c>
      <c r="D7246" s="10" t="s">
        <v>31</v>
      </c>
      <c r="E7246" s="62" t="s">
        <v>42521</v>
      </c>
      <c r="F7246" s="67">
        <v>41414</v>
      </c>
      <c r="G7246" s="10" t="s">
        <v>42925</v>
      </c>
      <c r="H7246" s="10" t="s">
        <v>8603</v>
      </c>
      <c r="I7246" s="10" t="s">
        <v>67</v>
      </c>
      <c r="J7246" s="65">
        <v>76634</v>
      </c>
      <c r="K7246" s="10" t="s">
        <v>42522</v>
      </c>
      <c r="L7246" s="10" t="s">
        <v>42523</v>
      </c>
      <c r="M7246" s="10" t="s">
        <v>21</v>
      </c>
      <c r="N7246" s="10" t="s">
        <v>42524</v>
      </c>
      <c r="O7246" s="10" t="s">
        <v>42518</v>
      </c>
      <c r="P7246" s="10" t="s">
        <v>30089</v>
      </c>
      <c r="Q7246" s="62" t="s">
        <v>42525</v>
      </c>
      <c r="R7246" s="10" t="s">
        <v>512</v>
      </c>
      <c r="S7246" s="10" t="s">
        <v>22</v>
      </c>
      <c r="T7246" s="10" t="s">
        <v>26781</v>
      </c>
      <c r="U7246" s="10"/>
      <c r="V7246" s="10"/>
      <c r="W7246" s="69"/>
      <c r="X7246" s="89"/>
      <c r="Y7246" s="68"/>
      <c r="Z7246" s="68" t="s">
        <v>42967</v>
      </c>
      <c r="AA7246" s="33">
        <v>418</v>
      </c>
      <c r="AG7246" s="68"/>
      <c r="AK7246" s="68"/>
      <c r="AL7246" s="68"/>
      <c r="AM7246" s="68"/>
      <c r="AN7246" s="68"/>
      <c r="AO7246" s="68"/>
      <c r="AP7246" s="68"/>
      <c r="AQ7246" s="68"/>
      <c r="AR7246" s="68"/>
      <c r="AS7246" s="68"/>
      <c r="AT7246" s="68"/>
      <c r="AU7246" s="68"/>
      <c r="AV7246" s="68"/>
      <c r="AW7246" s="68"/>
      <c r="AX7246" s="68"/>
      <c r="AY7246" s="68"/>
      <c r="AZ7246" s="68"/>
      <c r="BA7246" s="68"/>
      <c r="BB7246" s="68"/>
      <c r="BC7246" s="68"/>
      <c r="BD7246" s="68"/>
      <c r="BE7246" s="68"/>
      <c r="BF7246" s="68"/>
      <c r="BG7246" s="68"/>
      <c r="BH7246" s="68"/>
      <c r="BI7246" s="68"/>
      <c r="BJ7246" s="68"/>
      <c r="BK7246" s="68"/>
      <c r="BL7246" s="68"/>
    </row>
    <row r="7247" spans="1:64" ht="12" customHeight="1" x14ac:dyDescent="0.15">
      <c r="A7247" s="63" t="s">
        <v>42760</v>
      </c>
      <c r="B7247" s="99">
        <v>56</v>
      </c>
      <c r="C7247" s="10" t="s">
        <v>14</v>
      </c>
      <c r="D7247" s="10" t="s">
        <v>31</v>
      </c>
      <c r="E7247" s="62" t="s">
        <v>42761</v>
      </c>
      <c r="F7247" s="67">
        <v>41414</v>
      </c>
      <c r="G7247" s="10" t="s">
        <v>42762</v>
      </c>
      <c r="H7247" s="10" t="s">
        <v>6380</v>
      </c>
      <c r="I7247" s="10" t="s">
        <v>67</v>
      </c>
      <c r="J7247" s="65">
        <v>76401</v>
      </c>
      <c r="K7247" s="10" t="s">
        <v>42763</v>
      </c>
      <c r="L7247" s="10" t="s">
        <v>42764</v>
      </c>
      <c r="M7247" s="10" t="s">
        <v>21</v>
      </c>
      <c r="N7247" s="10" t="s">
        <v>42765</v>
      </c>
      <c r="O7247" s="10" t="s">
        <v>42518</v>
      </c>
      <c r="P7247" s="10" t="s">
        <v>30089</v>
      </c>
      <c r="Q7247" s="62" t="s">
        <v>42766</v>
      </c>
      <c r="R7247" s="10" t="s">
        <v>512</v>
      </c>
      <c r="S7247" s="10" t="s">
        <v>22</v>
      </c>
      <c r="T7247" s="10" t="s">
        <v>26774</v>
      </c>
      <c r="U7247" s="10"/>
      <c r="V7247" s="10"/>
      <c r="W7247" s="10"/>
      <c r="X7247" s="89"/>
      <c r="Y7247" s="68"/>
      <c r="Z7247" s="68" t="s">
        <v>42967</v>
      </c>
      <c r="AA7247" s="33">
        <v>419</v>
      </c>
      <c r="AG7247" s="68"/>
      <c r="AK7247" s="68"/>
      <c r="AL7247" s="68"/>
      <c r="AM7247" s="68"/>
      <c r="AN7247" s="68"/>
      <c r="AO7247" s="68"/>
      <c r="AP7247" s="68"/>
      <c r="AQ7247" s="68"/>
      <c r="AR7247" s="68"/>
      <c r="AS7247" s="68"/>
      <c r="AT7247" s="68"/>
      <c r="AU7247" s="68"/>
      <c r="AV7247" s="68"/>
      <c r="AW7247" s="68"/>
      <c r="AX7247" s="68"/>
      <c r="AY7247" s="68"/>
      <c r="AZ7247" s="68"/>
      <c r="BA7247" s="68"/>
      <c r="BB7247" s="68"/>
      <c r="BC7247" s="68"/>
      <c r="BD7247" s="68"/>
      <c r="BE7247" s="68"/>
      <c r="BF7247" s="68"/>
      <c r="BG7247" s="68"/>
      <c r="BH7247" s="68"/>
      <c r="BI7247" s="68"/>
      <c r="BJ7247" s="68"/>
      <c r="BK7247" s="68"/>
      <c r="BL7247" s="68"/>
    </row>
    <row r="7248" spans="1:64" ht="12" customHeight="1" x14ac:dyDescent="0.15">
      <c r="A7248" s="63" t="s">
        <v>42513</v>
      </c>
      <c r="B7248" s="99">
        <v>29</v>
      </c>
      <c r="C7248" s="10" t="s">
        <v>14</v>
      </c>
      <c r="D7248" s="10" t="s">
        <v>42</v>
      </c>
      <c r="E7248" s="62" t="s">
        <v>42514</v>
      </c>
      <c r="F7248" s="67">
        <v>41413</v>
      </c>
      <c r="G7248" s="10" t="s">
        <v>42515</v>
      </c>
      <c r="H7248" s="10" t="s">
        <v>14863</v>
      </c>
      <c r="I7248" s="10" t="s">
        <v>67</v>
      </c>
      <c r="J7248" s="65">
        <v>76837</v>
      </c>
      <c r="K7248" s="10" t="s">
        <v>14865</v>
      </c>
      <c r="L7248" s="10" t="s">
        <v>42516</v>
      </c>
      <c r="M7248" s="10" t="s">
        <v>21</v>
      </c>
      <c r="N7248" s="10" t="s">
        <v>42517</v>
      </c>
      <c r="O7248" s="10" t="s">
        <v>42518</v>
      </c>
      <c r="P7248" s="10" t="s">
        <v>30089</v>
      </c>
      <c r="Q7248" s="62" t="s">
        <v>42519</v>
      </c>
      <c r="R7248" s="10" t="s">
        <v>512</v>
      </c>
      <c r="S7248" s="10" t="s">
        <v>22</v>
      </c>
      <c r="T7248" s="10" t="s">
        <v>26781</v>
      </c>
      <c r="U7248" s="10"/>
      <c r="V7248" s="10"/>
      <c r="W7248" s="10"/>
      <c r="X7248" s="89"/>
      <c r="Y7248" s="68"/>
      <c r="Z7248" s="68" t="s">
        <v>42967</v>
      </c>
      <c r="AA7248" s="33">
        <v>417</v>
      </c>
      <c r="AG7248" s="68"/>
      <c r="AK7248" s="68"/>
      <c r="AL7248" s="68"/>
      <c r="AM7248" s="68"/>
      <c r="AN7248" s="68"/>
      <c r="AO7248" s="68"/>
      <c r="AP7248" s="68"/>
      <c r="AQ7248" s="68"/>
      <c r="AR7248" s="68"/>
      <c r="AS7248" s="68"/>
      <c r="AT7248" s="68"/>
      <c r="AU7248" s="68"/>
      <c r="AV7248" s="68"/>
      <c r="AW7248" s="68"/>
      <c r="AX7248" s="68"/>
      <c r="AY7248" s="68"/>
      <c r="AZ7248" s="68"/>
      <c r="BA7248" s="68"/>
      <c r="BB7248" s="68"/>
      <c r="BC7248" s="68"/>
      <c r="BD7248" s="68"/>
      <c r="BE7248" s="68"/>
      <c r="BF7248" s="68"/>
      <c r="BG7248" s="68"/>
      <c r="BH7248" s="68"/>
      <c r="BI7248" s="68"/>
      <c r="BJ7248" s="68"/>
      <c r="BK7248" s="68"/>
      <c r="BL7248" s="68"/>
    </row>
    <row r="7249" spans="1:31" ht="12" customHeight="1" x14ac:dyDescent="0.15">
      <c r="A7249" s="33" t="s">
        <v>15011</v>
      </c>
      <c r="B7249" s="33">
        <v>50</v>
      </c>
      <c r="C7249" s="33" t="s">
        <v>14</v>
      </c>
      <c r="D7249" s="33" t="s">
        <v>79</v>
      </c>
      <c r="E7249" s="33" t="s">
        <v>15012</v>
      </c>
      <c r="F7249" s="67">
        <v>41412</v>
      </c>
      <c r="G7249" s="33" t="s">
        <v>22296</v>
      </c>
      <c r="H7249" s="33" t="s">
        <v>92</v>
      </c>
      <c r="I7249" s="33" t="s">
        <v>39</v>
      </c>
      <c r="J7249" s="33" t="s">
        <v>15013</v>
      </c>
      <c r="K7249" s="33" t="s">
        <v>92</v>
      </c>
      <c r="L7249" s="33" t="s">
        <v>386</v>
      </c>
      <c r="M7249" s="33" t="s">
        <v>21</v>
      </c>
      <c r="N7249" s="33" t="s">
        <v>15014</v>
      </c>
      <c r="O7249" s="33" t="s">
        <v>23</v>
      </c>
      <c r="P7249" s="33" t="s">
        <v>30089</v>
      </c>
      <c r="Q7249" s="40" t="s">
        <v>15015</v>
      </c>
      <c r="R7249" s="33" t="s">
        <v>94</v>
      </c>
      <c r="S7249" s="33" t="s">
        <v>22</v>
      </c>
      <c r="T7249" s="1" t="s">
        <v>26781</v>
      </c>
      <c r="Z7249" s="33" t="s">
        <v>42966</v>
      </c>
      <c r="AA7249" s="33">
        <v>413</v>
      </c>
    </row>
    <row r="7250" spans="1:31" ht="12" customHeight="1" x14ac:dyDescent="0.15">
      <c r="A7250" s="33" t="s">
        <v>15016</v>
      </c>
      <c r="B7250" s="103">
        <v>43</v>
      </c>
      <c r="C7250" s="33" t="s">
        <v>14</v>
      </c>
      <c r="D7250" s="33" t="s">
        <v>31</v>
      </c>
      <c r="E7250" s="33" t="s">
        <v>15017</v>
      </c>
      <c r="F7250" s="67">
        <v>41412</v>
      </c>
      <c r="G7250" s="33" t="s">
        <v>15018</v>
      </c>
      <c r="H7250" s="33" t="s">
        <v>11378</v>
      </c>
      <c r="I7250" s="33" t="s">
        <v>1020</v>
      </c>
      <c r="J7250" s="33" t="s">
        <v>15019</v>
      </c>
      <c r="K7250" s="33" t="s">
        <v>15020</v>
      </c>
      <c r="L7250" s="33" t="s">
        <v>36888</v>
      </c>
      <c r="M7250" s="33" t="s">
        <v>21</v>
      </c>
      <c r="N7250" s="33" t="s">
        <v>15021</v>
      </c>
      <c r="O7250" s="33" t="s">
        <v>23</v>
      </c>
      <c r="P7250" s="33" t="s">
        <v>30089</v>
      </c>
      <c r="Q7250" s="40" t="s">
        <v>15022</v>
      </c>
      <c r="R7250" s="33" t="s">
        <v>23</v>
      </c>
      <c r="S7250" s="33" t="s">
        <v>22</v>
      </c>
      <c r="T7250" s="1" t="s">
        <v>26781</v>
      </c>
      <c r="Z7250" s="33" t="s">
        <v>42967</v>
      </c>
      <c r="AA7250" s="33">
        <v>414</v>
      </c>
    </row>
    <row r="7251" spans="1:31" ht="12" customHeight="1" x14ac:dyDescent="0.15">
      <c r="A7251" s="33" t="s">
        <v>14999</v>
      </c>
      <c r="B7251" s="103">
        <v>30</v>
      </c>
      <c r="C7251" s="33" t="s">
        <v>14</v>
      </c>
      <c r="D7251" s="33" t="s">
        <v>79</v>
      </c>
      <c r="E7251" s="33" t="s">
        <v>15000</v>
      </c>
      <c r="F7251" s="67">
        <v>41412</v>
      </c>
      <c r="G7251" s="33" t="s">
        <v>22295</v>
      </c>
      <c r="H7251" s="33" t="s">
        <v>15001</v>
      </c>
      <c r="I7251" s="33" t="s">
        <v>918</v>
      </c>
      <c r="J7251" s="33" t="s">
        <v>15002</v>
      </c>
      <c r="K7251" s="33" t="s">
        <v>919</v>
      </c>
      <c r="L7251" s="33" t="s">
        <v>15003</v>
      </c>
      <c r="M7251" s="33" t="s">
        <v>21</v>
      </c>
      <c r="N7251" s="33" t="s">
        <v>15004</v>
      </c>
      <c r="O7251" s="33" t="s">
        <v>507</v>
      </c>
      <c r="P7251" s="33" t="s">
        <v>30089</v>
      </c>
      <c r="Q7251" s="40" t="s">
        <v>15005</v>
      </c>
      <c r="R7251" s="33" t="s">
        <v>94</v>
      </c>
      <c r="S7251" s="33" t="s">
        <v>22</v>
      </c>
      <c r="T7251" s="1" t="s">
        <v>26774</v>
      </c>
      <c r="Z7251" s="33" t="s">
        <v>42967</v>
      </c>
      <c r="AA7251" s="33">
        <v>415</v>
      </c>
    </row>
    <row r="7252" spans="1:31" ht="12" customHeight="1" x14ac:dyDescent="0.15">
      <c r="A7252" s="33" t="s">
        <v>15006</v>
      </c>
      <c r="B7252" s="103">
        <v>46</v>
      </c>
      <c r="C7252" s="33" t="s">
        <v>14</v>
      </c>
      <c r="D7252" s="33" t="s">
        <v>79</v>
      </c>
      <c r="F7252" s="67">
        <v>41412</v>
      </c>
      <c r="G7252" s="33" t="s">
        <v>15007</v>
      </c>
      <c r="H7252" s="33" t="s">
        <v>8049</v>
      </c>
      <c r="I7252" s="33" t="s">
        <v>39</v>
      </c>
      <c r="J7252" s="33" t="s">
        <v>15008</v>
      </c>
      <c r="K7252" s="33" t="s">
        <v>92</v>
      </c>
      <c r="L7252" s="33" t="s">
        <v>8051</v>
      </c>
      <c r="M7252" s="33" t="s">
        <v>21</v>
      </c>
      <c r="N7252" s="33" t="s">
        <v>15009</v>
      </c>
      <c r="O7252" s="33" t="s">
        <v>23</v>
      </c>
      <c r="P7252" s="33" t="s">
        <v>30089</v>
      </c>
      <c r="Q7252" s="40" t="s">
        <v>15010</v>
      </c>
      <c r="R7252" s="33" t="s">
        <v>94</v>
      </c>
      <c r="S7252" s="33" t="s">
        <v>22</v>
      </c>
      <c r="T7252" s="1" t="s">
        <v>26593</v>
      </c>
      <c r="Z7252" s="33" t="s">
        <v>42966</v>
      </c>
      <c r="AA7252" s="33">
        <v>416</v>
      </c>
    </row>
    <row r="7253" spans="1:31" ht="12" customHeight="1" x14ac:dyDescent="0.15">
      <c r="A7253" s="33" t="s">
        <v>15030</v>
      </c>
      <c r="B7253" s="33">
        <v>30</v>
      </c>
      <c r="C7253" s="33" t="s">
        <v>14</v>
      </c>
      <c r="D7253" s="33" t="s">
        <v>79</v>
      </c>
      <c r="E7253" s="33" t="s">
        <v>15031</v>
      </c>
      <c r="F7253" s="67">
        <v>41411</v>
      </c>
      <c r="G7253" s="33" t="s">
        <v>15032</v>
      </c>
      <c r="H7253" s="33" t="s">
        <v>15033</v>
      </c>
      <c r="I7253" s="33" t="s">
        <v>395</v>
      </c>
      <c r="J7253" s="33" t="s">
        <v>15034</v>
      </c>
      <c r="K7253" s="33" t="s">
        <v>5127</v>
      </c>
      <c r="L7253" s="33" t="s">
        <v>15035</v>
      </c>
      <c r="M7253" s="33" t="s">
        <v>21</v>
      </c>
      <c r="N7253" s="33" t="s">
        <v>36889</v>
      </c>
      <c r="O7253" s="33" t="s">
        <v>507</v>
      </c>
      <c r="P7253" s="33" t="s">
        <v>30089</v>
      </c>
      <c r="Q7253" s="40" t="s">
        <v>15036</v>
      </c>
      <c r="R7253" s="33" t="s">
        <v>94</v>
      </c>
      <c r="S7253" s="33" t="s">
        <v>22</v>
      </c>
      <c r="T7253" s="1" t="s">
        <v>26781</v>
      </c>
      <c r="Z7253" s="33" t="s">
        <v>42968</v>
      </c>
      <c r="AA7253" s="33">
        <v>407</v>
      </c>
    </row>
    <row r="7254" spans="1:31" ht="12" customHeight="1" x14ac:dyDescent="0.15">
      <c r="A7254" s="33" t="s">
        <v>15048</v>
      </c>
      <c r="B7254" s="33">
        <v>43</v>
      </c>
      <c r="C7254" s="33" t="s">
        <v>14</v>
      </c>
      <c r="D7254" s="33" t="s">
        <v>31</v>
      </c>
      <c r="E7254" s="33" t="s">
        <v>15049</v>
      </c>
      <c r="F7254" s="67">
        <v>41411</v>
      </c>
      <c r="G7254" s="33" t="s">
        <v>15050</v>
      </c>
      <c r="H7254" s="33" t="s">
        <v>2014</v>
      </c>
      <c r="I7254" s="33" t="s">
        <v>409</v>
      </c>
      <c r="J7254" s="33">
        <v>53704</v>
      </c>
      <c r="K7254" s="33" t="s">
        <v>8880</v>
      </c>
      <c r="L7254" s="33" t="s">
        <v>3519</v>
      </c>
      <c r="M7254" s="33" t="s">
        <v>21</v>
      </c>
      <c r="N7254" s="33" t="s">
        <v>15051</v>
      </c>
      <c r="O7254" s="33" t="s">
        <v>507</v>
      </c>
      <c r="P7254" s="33" t="s">
        <v>30089</v>
      </c>
      <c r="Q7254" s="40" t="s">
        <v>15052</v>
      </c>
      <c r="R7254" s="33" t="s">
        <v>512</v>
      </c>
      <c r="S7254" s="33" t="s">
        <v>22</v>
      </c>
      <c r="T7254" s="1" t="s">
        <v>28239</v>
      </c>
      <c r="Z7254" s="33" t="s">
        <v>42968</v>
      </c>
      <c r="AA7254" s="33">
        <v>411</v>
      </c>
    </row>
    <row r="7255" spans="1:31" ht="12" customHeight="1" x14ac:dyDescent="0.15">
      <c r="A7255" s="33" t="s">
        <v>15037</v>
      </c>
      <c r="B7255" s="33">
        <v>44</v>
      </c>
      <c r="C7255" s="33" t="s">
        <v>14</v>
      </c>
      <c r="D7255" s="33" t="s">
        <v>42</v>
      </c>
      <c r="E7255" s="33" t="s">
        <v>15038</v>
      </c>
      <c r="F7255" s="67">
        <v>41411</v>
      </c>
      <c r="G7255" s="33" t="s">
        <v>22297</v>
      </c>
      <c r="H7255" s="33" t="s">
        <v>15039</v>
      </c>
      <c r="I7255" s="33" t="s">
        <v>39</v>
      </c>
      <c r="J7255" s="33" t="s">
        <v>15040</v>
      </c>
      <c r="K7255" s="33" t="s">
        <v>92</v>
      </c>
      <c r="L7255" s="33" t="s">
        <v>15041</v>
      </c>
      <c r="M7255" s="33" t="s">
        <v>27767</v>
      </c>
      <c r="N7255" s="33" t="s">
        <v>15042</v>
      </c>
      <c r="O7255" s="33" t="s">
        <v>950</v>
      </c>
      <c r="P7255" s="33" t="s">
        <v>30089</v>
      </c>
      <c r="Q7255" s="40" t="s">
        <v>15043</v>
      </c>
      <c r="R7255" s="33" t="s">
        <v>94</v>
      </c>
      <c r="S7255" s="33" t="s">
        <v>22</v>
      </c>
      <c r="T7255" s="1" t="s">
        <v>42978</v>
      </c>
      <c r="Z7255" s="33" t="s">
        <v>42966</v>
      </c>
      <c r="AA7255" s="33">
        <v>410</v>
      </c>
    </row>
    <row r="7256" spans="1:31" ht="12" customHeight="1" x14ac:dyDescent="0.15">
      <c r="A7256" s="33" t="s">
        <v>15044</v>
      </c>
      <c r="B7256" s="103">
        <v>21</v>
      </c>
      <c r="C7256" s="33" t="s">
        <v>103</v>
      </c>
      <c r="D7256" s="33" t="s">
        <v>42</v>
      </c>
      <c r="E7256" s="33" t="s">
        <v>15045</v>
      </c>
      <c r="F7256" s="67">
        <v>41411</v>
      </c>
      <c r="G7256" s="33" t="s">
        <v>15032</v>
      </c>
      <c r="H7256" s="33" t="s">
        <v>15033</v>
      </c>
      <c r="I7256" s="33" t="s">
        <v>395</v>
      </c>
      <c r="J7256" s="33" t="s">
        <v>15034</v>
      </c>
      <c r="K7256" s="33" t="s">
        <v>5127</v>
      </c>
      <c r="L7256" s="33" t="s">
        <v>15035</v>
      </c>
      <c r="M7256" s="33" t="s">
        <v>21</v>
      </c>
      <c r="N7256" s="33" t="s">
        <v>15046</v>
      </c>
      <c r="O7256" s="33" t="s">
        <v>507</v>
      </c>
      <c r="P7256" s="33" t="s">
        <v>30089</v>
      </c>
      <c r="Q7256" s="40" t="s">
        <v>15047</v>
      </c>
      <c r="R7256" s="33" t="s">
        <v>94</v>
      </c>
      <c r="S7256" s="33" t="s">
        <v>12</v>
      </c>
      <c r="T7256" s="1" t="s">
        <v>29705</v>
      </c>
      <c r="Z7256" s="33" t="s">
        <v>42968</v>
      </c>
      <c r="AA7256" s="33">
        <v>412</v>
      </c>
    </row>
    <row r="7257" spans="1:31" ht="12" customHeight="1" x14ac:dyDescent="0.15">
      <c r="A7257" s="33" t="s">
        <v>15023</v>
      </c>
      <c r="B7257" s="103">
        <v>35</v>
      </c>
      <c r="C7257" s="33" t="s">
        <v>14</v>
      </c>
      <c r="D7257" s="33" t="s">
        <v>15</v>
      </c>
      <c r="F7257" s="67">
        <v>41411</v>
      </c>
      <c r="G7257" s="33" t="s">
        <v>15024</v>
      </c>
      <c r="H7257" s="33" t="s">
        <v>15025</v>
      </c>
      <c r="I7257" s="33" t="s">
        <v>39</v>
      </c>
      <c r="J7257" s="33" t="s">
        <v>15026</v>
      </c>
      <c r="K7257" s="33" t="s">
        <v>92</v>
      </c>
      <c r="L7257" s="33" t="s">
        <v>15027</v>
      </c>
      <c r="M7257" s="33" t="s">
        <v>21</v>
      </c>
      <c r="N7257" s="33" t="s">
        <v>15028</v>
      </c>
      <c r="O7257" s="33" t="s">
        <v>23</v>
      </c>
      <c r="P7257" s="33" t="s">
        <v>30089</v>
      </c>
      <c r="Q7257" s="40" t="s">
        <v>15029</v>
      </c>
      <c r="R7257" s="33" t="s">
        <v>94</v>
      </c>
      <c r="S7257" s="33" t="s">
        <v>22</v>
      </c>
      <c r="T7257" s="1" t="s">
        <v>26774</v>
      </c>
      <c r="Z7257" s="33" t="s">
        <v>42966</v>
      </c>
      <c r="AA7257" s="33">
        <v>409</v>
      </c>
    </row>
    <row r="7258" spans="1:31" ht="12" customHeight="1" x14ac:dyDescent="0.15">
      <c r="A7258" s="33" t="s">
        <v>15053</v>
      </c>
      <c r="B7258" s="33">
        <v>33</v>
      </c>
      <c r="C7258" s="33" t="s">
        <v>103</v>
      </c>
      <c r="D7258" s="33" t="s">
        <v>31</v>
      </c>
      <c r="E7258" s="33" t="s">
        <v>15054</v>
      </c>
      <c r="F7258" s="67">
        <v>41411</v>
      </c>
      <c r="G7258" s="33" t="s">
        <v>15055</v>
      </c>
      <c r="H7258" s="33" t="s">
        <v>140</v>
      </c>
      <c r="I7258" s="33" t="s">
        <v>338</v>
      </c>
      <c r="J7258" s="33" t="s">
        <v>15056</v>
      </c>
      <c r="K7258" s="33" t="s">
        <v>642</v>
      </c>
      <c r="L7258" s="33" t="s">
        <v>15057</v>
      </c>
      <c r="M7258" s="33" t="s">
        <v>21</v>
      </c>
      <c r="N7258" s="33" t="s">
        <v>15058</v>
      </c>
      <c r="O7258" s="33" t="s">
        <v>4311</v>
      </c>
      <c r="P7258" s="33" t="s">
        <v>30089</v>
      </c>
      <c r="Q7258" s="40" t="s">
        <v>15059</v>
      </c>
      <c r="R7258" s="33" t="s">
        <v>94</v>
      </c>
      <c r="S7258" s="33" t="s">
        <v>22</v>
      </c>
      <c r="T7258" s="1" t="s">
        <v>26774</v>
      </c>
      <c r="Z7258" s="33" t="s">
        <v>42968</v>
      </c>
      <c r="AA7258" s="33">
        <v>408</v>
      </c>
    </row>
    <row r="7259" spans="1:31" ht="12" customHeight="1" x14ac:dyDescent="0.15">
      <c r="A7259" s="33" t="s">
        <v>15066</v>
      </c>
      <c r="B7259" s="103">
        <v>22</v>
      </c>
      <c r="C7259" s="33" t="s">
        <v>14</v>
      </c>
      <c r="D7259" s="33" t="s">
        <v>24</v>
      </c>
      <c r="F7259" s="67">
        <v>41410</v>
      </c>
      <c r="G7259" s="33" t="s">
        <v>15067</v>
      </c>
      <c r="H7259" s="33" t="s">
        <v>518</v>
      </c>
      <c r="I7259" s="33" t="s">
        <v>112</v>
      </c>
      <c r="J7259" s="33" t="s">
        <v>15068</v>
      </c>
      <c r="K7259" s="33" t="s">
        <v>519</v>
      </c>
      <c r="L7259" s="33" t="s">
        <v>520</v>
      </c>
      <c r="M7259" s="33" t="s">
        <v>21</v>
      </c>
      <c r="N7259" s="33" t="s">
        <v>15069</v>
      </c>
      <c r="O7259" s="33" t="s">
        <v>23</v>
      </c>
      <c r="P7259" s="33" t="s">
        <v>30089</v>
      </c>
      <c r="Q7259" s="40" t="s">
        <v>15070</v>
      </c>
      <c r="R7259" s="33" t="s">
        <v>94</v>
      </c>
      <c r="S7259" s="33" t="s">
        <v>12</v>
      </c>
      <c r="T7259" s="33" t="s">
        <v>29425</v>
      </c>
      <c r="Z7259" s="33" t="s">
        <v>42968</v>
      </c>
      <c r="AA7259" s="33">
        <v>404</v>
      </c>
      <c r="AE7259" s="33"/>
    </row>
    <row r="7260" spans="1:31" ht="12" customHeight="1" x14ac:dyDescent="0.15">
      <c r="A7260" s="33" t="s">
        <v>15077</v>
      </c>
      <c r="B7260" s="103">
        <v>64</v>
      </c>
      <c r="C7260" s="33" t="s">
        <v>14</v>
      </c>
      <c r="D7260" s="33" t="s">
        <v>31</v>
      </c>
      <c r="E7260" s="33" t="s">
        <v>15078</v>
      </c>
      <c r="F7260" s="67">
        <v>41410</v>
      </c>
      <c r="G7260" s="33" t="s">
        <v>15079</v>
      </c>
      <c r="H7260" s="33" t="s">
        <v>187</v>
      </c>
      <c r="I7260" s="33" t="s">
        <v>63</v>
      </c>
      <c r="J7260" s="33" t="s">
        <v>15080</v>
      </c>
      <c r="K7260" s="33" t="s">
        <v>3180</v>
      </c>
      <c r="L7260" s="33" t="s">
        <v>15081</v>
      </c>
      <c r="M7260" s="33" t="s">
        <v>21</v>
      </c>
      <c r="N7260" s="33" t="s">
        <v>15082</v>
      </c>
      <c r="O7260" s="33" t="s">
        <v>23</v>
      </c>
      <c r="P7260" s="33" t="s">
        <v>30089</v>
      </c>
      <c r="Q7260" s="40" t="s">
        <v>15083</v>
      </c>
      <c r="R7260" s="33" t="s">
        <v>94</v>
      </c>
      <c r="S7260" s="33" t="s">
        <v>22</v>
      </c>
      <c r="T7260" s="1" t="s">
        <v>26781</v>
      </c>
      <c r="Z7260" s="33" t="s">
        <v>42966</v>
      </c>
      <c r="AA7260" s="33">
        <v>402</v>
      </c>
    </row>
    <row r="7261" spans="1:31" ht="12" customHeight="1" x14ac:dyDescent="0.15">
      <c r="A7261" s="33" t="s">
        <v>15063</v>
      </c>
      <c r="B7261" s="33">
        <v>25</v>
      </c>
      <c r="C7261" s="33" t="s">
        <v>14</v>
      </c>
      <c r="D7261" s="33" t="s">
        <v>79</v>
      </c>
      <c r="F7261" s="67">
        <v>41410</v>
      </c>
      <c r="G7261" s="33" t="s">
        <v>22299</v>
      </c>
      <c r="H7261" s="33" t="s">
        <v>14177</v>
      </c>
      <c r="I7261" s="33" t="s">
        <v>39</v>
      </c>
      <c r="J7261" s="33" t="s">
        <v>7215</v>
      </c>
      <c r="K7261" s="33" t="s">
        <v>92</v>
      </c>
      <c r="L7261" s="33" t="s">
        <v>93</v>
      </c>
      <c r="M7261" s="33" t="s">
        <v>21</v>
      </c>
      <c r="N7261" s="33" t="s">
        <v>15064</v>
      </c>
      <c r="O7261" s="33" t="s">
        <v>372</v>
      </c>
      <c r="P7261" s="33" t="s">
        <v>30089</v>
      </c>
      <c r="Q7261" s="40" t="s">
        <v>15065</v>
      </c>
      <c r="R7261" s="33" t="s">
        <v>23</v>
      </c>
      <c r="S7261" s="33" t="s">
        <v>22</v>
      </c>
      <c r="T7261" s="1" t="s">
        <v>26774</v>
      </c>
      <c r="Z7261" s="33" t="s">
        <v>42966</v>
      </c>
      <c r="AA7261" s="33">
        <v>403</v>
      </c>
    </row>
    <row r="7262" spans="1:31" ht="12" customHeight="1" x14ac:dyDescent="0.15">
      <c r="A7262" s="33" t="s">
        <v>15071</v>
      </c>
      <c r="B7262" s="103">
        <v>21</v>
      </c>
      <c r="C7262" s="33" t="s">
        <v>14</v>
      </c>
      <c r="D7262" s="33" t="s">
        <v>31</v>
      </c>
      <c r="E7262" s="33" t="s">
        <v>15072</v>
      </c>
      <c r="F7262" s="67">
        <v>41410</v>
      </c>
      <c r="G7262" s="33" t="s">
        <v>22300</v>
      </c>
      <c r="H7262" s="33" t="s">
        <v>15073</v>
      </c>
      <c r="I7262" s="33" t="s">
        <v>282</v>
      </c>
      <c r="J7262" s="33" t="s">
        <v>15074</v>
      </c>
      <c r="K7262" s="33" t="s">
        <v>782</v>
      </c>
      <c r="L7262" s="33" t="s">
        <v>783</v>
      </c>
      <c r="M7262" s="33" t="s">
        <v>21</v>
      </c>
      <c r="N7262" s="33" t="s">
        <v>15075</v>
      </c>
      <c r="O7262" s="33" t="s">
        <v>507</v>
      </c>
      <c r="P7262" s="33" t="s">
        <v>30089</v>
      </c>
      <c r="Q7262" s="40" t="s">
        <v>15076</v>
      </c>
      <c r="R7262" s="33" t="s">
        <v>94</v>
      </c>
      <c r="S7262" s="33" t="s">
        <v>351</v>
      </c>
      <c r="T7262" s="1" t="s">
        <v>26867</v>
      </c>
      <c r="Z7262" s="33" t="s">
        <v>42967</v>
      </c>
      <c r="AA7262" s="33">
        <v>406</v>
      </c>
    </row>
    <row r="7263" spans="1:31" ht="12" customHeight="1" x14ac:dyDescent="0.15">
      <c r="A7263" s="33" t="s">
        <v>15060</v>
      </c>
      <c r="B7263" s="33">
        <v>34</v>
      </c>
      <c r="C7263" s="33" t="s">
        <v>14</v>
      </c>
      <c r="D7263" s="33" t="s">
        <v>79</v>
      </c>
      <c r="E7263" s="33" t="s">
        <v>15061</v>
      </c>
      <c r="F7263" s="67">
        <v>41410</v>
      </c>
      <c r="G7263" s="33" t="s">
        <v>22298</v>
      </c>
      <c r="H7263" s="33" t="s">
        <v>870</v>
      </c>
      <c r="I7263" s="33" t="s">
        <v>67</v>
      </c>
      <c r="J7263" s="33" t="s">
        <v>15062</v>
      </c>
      <c r="K7263" s="33" t="s">
        <v>68</v>
      </c>
      <c r="L7263" s="33" t="s">
        <v>871</v>
      </c>
      <c r="M7263" s="33" t="s">
        <v>363</v>
      </c>
      <c r="N7263" s="33" t="s">
        <v>37063</v>
      </c>
      <c r="O7263" s="33" t="s">
        <v>950</v>
      </c>
      <c r="P7263" s="33" t="s">
        <v>30089</v>
      </c>
      <c r="Q7263" s="42" t="s">
        <v>37064</v>
      </c>
      <c r="R7263" s="33" t="s">
        <v>94</v>
      </c>
      <c r="S7263" s="33" t="s">
        <v>12</v>
      </c>
      <c r="T7263" s="1" t="s">
        <v>29705</v>
      </c>
      <c r="Z7263" s="33" t="s">
        <v>42966</v>
      </c>
      <c r="AA7263" s="33">
        <v>405</v>
      </c>
    </row>
    <row r="7264" spans="1:31" ht="12" customHeight="1" x14ac:dyDescent="0.15">
      <c r="A7264" s="33" t="s">
        <v>15100</v>
      </c>
      <c r="B7264" s="33">
        <v>52</v>
      </c>
      <c r="C7264" s="33" t="s">
        <v>14</v>
      </c>
      <c r="D7264" s="33" t="s">
        <v>42</v>
      </c>
      <c r="F7264" s="67">
        <v>41409</v>
      </c>
      <c r="G7264" s="33" t="s">
        <v>15101</v>
      </c>
      <c r="H7264" s="33" t="s">
        <v>793</v>
      </c>
      <c r="I7264" s="33" t="s">
        <v>35</v>
      </c>
      <c r="J7264" s="33" t="s">
        <v>15102</v>
      </c>
      <c r="K7264" s="33" t="s">
        <v>793</v>
      </c>
      <c r="L7264" s="33" t="s">
        <v>794</v>
      </c>
      <c r="M7264" s="33" t="s">
        <v>21</v>
      </c>
      <c r="N7264" s="33" t="s">
        <v>15103</v>
      </c>
      <c r="O7264" s="33" t="s">
        <v>950</v>
      </c>
      <c r="P7264" s="33" t="s">
        <v>30089</v>
      </c>
      <c r="Q7264" s="40" t="s">
        <v>15104</v>
      </c>
      <c r="R7264" s="33" t="s">
        <v>23</v>
      </c>
      <c r="S7264" s="33" t="s">
        <v>22</v>
      </c>
      <c r="T7264" s="1" t="s">
        <v>26612</v>
      </c>
      <c r="Z7264" s="33" t="s">
        <v>42966</v>
      </c>
      <c r="AA7264" s="33">
        <v>398</v>
      </c>
    </row>
    <row r="7265" spans="1:31" ht="12" customHeight="1" x14ac:dyDescent="0.15">
      <c r="A7265" s="33" t="s">
        <v>15091</v>
      </c>
      <c r="B7265" s="103">
        <v>24</v>
      </c>
      <c r="C7265" s="33" t="s">
        <v>14</v>
      </c>
      <c r="D7265" s="33" t="s">
        <v>79</v>
      </c>
      <c r="E7265" s="33" t="s">
        <v>15092</v>
      </c>
      <c r="F7265" s="67">
        <v>41409</v>
      </c>
      <c r="G7265" s="33" t="s">
        <v>15086</v>
      </c>
      <c r="H7265" s="33" t="s">
        <v>15087</v>
      </c>
      <c r="I7265" s="33" t="s">
        <v>63</v>
      </c>
      <c r="J7265" s="33" t="s">
        <v>15088</v>
      </c>
      <c r="K7265" s="33" t="s">
        <v>1203</v>
      </c>
      <c r="L7265" s="33" t="s">
        <v>11441</v>
      </c>
      <c r="M7265" s="33" t="s">
        <v>21</v>
      </c>
      <c r="N7265" s="33" t="s">
        <v>15093</v>
      </c>
      <c r="O7265" s="33" t="s">
        <v>23</v>
      </c>
      <c r="P7265" s="33" t="s">
        <v>30089</v>
      </c>
      <c r="Q7265" s="40" t="s">
        <v>15090</v>
      </c>
      <c r="R7265" s="33" t="s">
        <v>94</v>
      </c>
      <c r="S7265" s="33" t="s">
        <v>29</v>
      </c>
      <c r="T7265" s="1" t="s">
        <v>41840</v>
      </c>
      <c r="Z7265" s="33" t="s">
        <v>42968</v>
      </c>
      <c r="AA7265" s="33">
        <v>401</v>
      </c>
    </row>
    <row r="7266" spans="1:31" ht="12" customHeight="1" x14ac:dyDescent="0.15">
      <c r="A7266" s="33" t="s">
        <v>15084</v>
      </c>
      <c r="B7266" s="103">
        <v>21</v>
      </c>
      <c r="C7266" s="33" t="s">
        <v>103</v>
      </c>
      <c r="D7266" s="33" t="s">
        <v>79</v>
      </c>
      <c r="E7266" s="33" t="s">
        <v>15085</v>
      </c>
      <c r="F7266" s="67">
        <v>41409</v>
      </c>
      <c r="G7266" s="33" t="s">
        <v>15086</v>
      </c>
      <c r="H7266" s="33" t="s">
        <v>15087</v>
      </c>
      <c r="I7266" s="33" t="s">
        <v>63</v>
      </c>
      <c r="J7266" s="33" t="s">
        <v>15088</v>
      </c>
      <c r="K7266" s="33" t="s">
        <v>1203</v>
      </c>
      <c r="L7266" s="33" t="s">
        <v>11441</v>
      </c>
      <c r="M7266" s="33" t="s">
        <v>21</v>
      </c>
      <c r="N7266" s="33" t="s">
        <v>15089</v>
      </c>
      <c r="O7266" s="33" t="s">
        <v>23</v>
      </c>
      <c r="P7266" s="33" t="s">
        <v>30089</v>
      </c>
      <c r="Q7266" s="40" t="s">
        <v>15090</v>
      </c>
      <c r="R7266" s="33" t="s">
        <v>94</v>
      </c>
      <c r="S7266" s="33" t="s">
        <v>29</v>
      </c>
      <c r="T7266" s="1" t="s">
        <v>41840</v>
      </c>
      <c r="Z7266" s="33" t="s">
        <v>42968</v>
      </c>
      <c r="AA7266" s="33">
        <v>400</v>
      </c>
    </row>
    <row r="7267" spans="1:31" ht="12" customHeight="1" x14ac:dyDescent="0.15">
      <c r="A7267" s="33" t="s">
        <v>15094</v>
      </c>
      <c r="B7267" s="103">
        <v>44</v>
      </c>
      <c r="C7267" s="33" t="s">
        <v>14</v>
      </c>
      <c r="D7267" s="33" t="s">
        <v>79</v>
      </c>
      <c r="E7267" s="33" t="s">
        <v>15095</v>
      </c>
      <c r="F7267" s="67">
        <v>41409</v>
      </c>
      <c r="G7267" s="33" t="s">
        <v>15096</v>
      </c>
      <c r="H7267" s="33" t="s">
        <v>3846</v>
      </c>
      <c r="I7267" s="33" t="s">
        <v>40</v>
      </c>
      <c r="J7267" s="33" t="s">
        <v>15097</v>
      </c>
      <c r="K7267" s="33" t="s">
        <v>8092</v>
      </c>
      <c r="L7267" s="33" t="s">
        <v>3849</v>
      </c>
      <c r="M7267" s="33" t="s">
        <v>21</v>
      </c>
      <c r="N7267" s="33" t="s">
        <v>15098</v>
      </c>
      <c r="O7267" s="33" t="s">
        <v>23</v>
      </c>
      <c r="P7267" s="33" t="s">
        <v>30089</v>
      </c>
      <c r="Q7267" s="40" t="s">
        <v>15099</v>
      </c>
      <c r="R7267" s="33" t="s">
        <v>94</v>
      </c>
      <c r="S7267" s="33" t="s">
        <v>22</v>
      </c>
      <c r="T7267" s="1" t="s">
        <v>26781</v>
      </c>
      <c r="Z7267" s="33" t="s">
        <v>42966</v>
      </c>
      <c r="AA7267" s="33">
        <v>399</v>
      </c>
    </row>
    <row r="7268" spans="1:31" ht="12" customHeight="1" x14ac:dyDescent="0.15">
      <c r="A7268" s="33" t="s">
        <v>15105</v>
      </c>
      <c r="B7268" s="33">
        <v>37</v>
      </c>
      <c r="C7268" s="33" t="s">
        <v>14</v>
      </c>
      <c r="D7268" s="33" t="s">
        <v>42</v>
      </c>
      <c r="F7268" s="67">
        <v>41408</v>
      </c>
      <c r="G7268" s="33" t="s">
        <v>15106</v>
      </c>
      <c r="H7268" s="33" t="s">
        <v>5882</v>
      </c>
      <c r="I7268" s="33" t="s">
        <v>39</v>
      </c>
      <c r="J7268" s="33" t="s">
        <v>12017</v>
      </c>
      <c r="K7268" s="33" t="s">
        <v>92</v>
      </c>
      <c r="L7268" s="33" t="s">
        <v>386</v>
      </c>
      <c r="M7268" s="33" t="s">
        <v>21</v>
      </c>
      <c r="N7268" s="33" t="s">
        <v>15107</v>
      </c>
      <c r="O7268" s="33" t="s">
        <v>950</v>
      </c>
      <c r="P7268" s="33" t="s">
        <v>30089</v>
      </c>
      <c r="Q7268" s="40" t="s">
        <v>15108</v>
      </c>
      <c r="R7268" s="33" t="s">
        <v>23</v>
      </c>
      <c r="S7268" s="33" t="s">
        <v>12</v>
      </c>
      <c r="T7268" s="1" t="s">
        <v>29705</v>
      </c>
      <c r="Z7268" s="33" t="s">
        <v>42966</v>
      </c>
      <c r="AA7268" s="33">
        <v>396</v>
      </c>
    </row>
    <row r="7269" spans="1:31" ht="12" customHeight="1" x14ac:dyDescent="0.15">
      <c r="A7269" s="33" t="s">
        <v>15109</v>
      </c>
      <c r="B7269" s="103">
        <v>39</v>
      </c>
      <c r="C7269" s="33" t="s">
        <v>14</v>
      </c>
      <c r="D7269" s="33" t="s">
        <v>31</v>
      </c>
      <c r="E7269" s="33" t="s">
        <v>15110</v>
      </c>
      <c r="F7269" s="67">
        <v>41408</v>
      </c>
      <c r="G7269" s="33" t="s">
        <v>22301</v>
      </c>
      <c r="H7269" s="33" t="s">
        <v>1212</v>
      </c>
      <c r="I7269" s="33" t="s">
        <v>192</v>
      </c>
      <c r="J7269" s="33" t="s">
        <v>15111</v>
      </c>
      <c r="K7269" s="33" t="s">
        <v>1212</v>
      </c>
      <c r="L7269" s="33" t="s">
        <v>1213</v>
      </c>
      <c r="M7269" s="33" t="s">
        <v>21</v>
      </c>
      <c r="N7269" s="33" t="s">
        <v>15112</v>
      </c>
      <c r="O7269" s="33" t="s">
        <v>23</v>
      </c>
      <c r="P7269" s="33" t="s">
        <v>30089</v>
      </c>
      <c r="Q7269" s="40" t="s">
        <v>15113</v>
      </c>
      <c r="R7269" s="33" t="s">
        <v>512</v>
      </c>
      <c r="S7269" s="33" t="s">
        <v>22</v>
      </c>
      <c r="T7269" s="1" t="s">
        <v>26781</v>
      </c>
      <c r="Z7269" s="33" t="s">
        <v>42966</v>
      </c>
      <c r="AA7269" s="33">
        <v>395</v>
      </c>
    </row>
    <row r="7270" spans="1:31" ht="12" customHeight="1" x14ac:dyDescent="0.15">
      <c r="A7270" s="33" t="s">
        <v>15114</v>
      </c>
      <c r="B7270" s="103">
        <v>50</v>
      </c>
      <c r="C7270" s="33" t="s">
        <v>14</v>
      </c>
      <c r="D7270" s="33" t="s">
        <v>31</v>
      </c>
      <c r="E7270" s="33" t="s">
        <v>15115</v>
      </c>
      <c r="F7270" s="67">
        <v>41408</v>
      </c>
      <c r="G7270" s="33" t="s">
        <v>15116</v>
      </c>
      <c r="H7270" s="33" t="s">
        <v>9240</v>
      </c>
      <c r="I7270" s="33" t="s">
        <v>56</v>
      </c>
      <c r="J7270" s="33" t="s">
        <v>15117</v>
      </c>
      <c r="K7270" s="33" t="s">
        <v>590</v>
      </c>
      <c r="L7270" s="33" t="s">
        <v>591</v>
      </c>
      <c r="M7270" s="33" t="s">
        <v>21</v>
      </c>
      <c r="N7270" s="33" t="s">
        <v>15118</v>
      </c>
      <c r="O7270" s="33" t="s">
        <v>23</v>
      </c>
      <c r="P7270" s="33" t="s">
        <v>30089</v>
      </c>
      <c r="Q7270" s="40" t="s">
        <v>15119</v>
      </c>
      <c r="R7270" s="33" t="s">
        <v>94</v>
      </c>
      <c r="S7270" s="33" t="s">
        <v>29</v>
      </c>
      <c r="T7270" s="33" t="s">
        <v>41840</v>
      </c>
      <c r="Z7270" s="33" t="s">
        <v>42968</v>
      </c>
      <c r="AA7270" s="33">
        <v>397</v>
      </c>
      <c r="AE7270" s="33"/>
    </row>
    <row r="7271" spans="1:31" ht="12" customHeight="1" x14ac:dyDescent="0.15">
      <c r="A7271" s="33" t="s">
        <v>15120</v>
      </c>
      <c r="B7271" s="103">
        <v>38</v>
      </c>
      <c r="C7271" s="33" t="s">
        <v>14</v>
      </c>
      <c r="D7271" s="33" t="s">
        <v>31</v>
      </c>
      <c r="E7271" s="33" t="s">
        <v>15121</v>
      </c>
      <c r="F7271" s="67">
        <v>41407</v>
      </c>
      <c r="G7271" s="33" t="s">
        <v>15122</v>
      </c>
      <c r="H7271" s="33" t="s">
        <v>13105</v>
      </c>
      <c r="I7271" s="33" t="s">
        <v>160</v>
      </c>
      <c r="J7271" s="33" t="s">
        <v>13106</v>
      </c>
      <c r="K7271" s="33" t="s">
        <v>1239</v>
      </c>
      <c r="L7271" s="33" t="s">
        <v>1240</v>
      </c>
      <c r="M7271" s="33" t="s">
        <v>21</v>
      </c>
      <c r="N7271" s="33" t="s">
        <v>15123</v>
      </c>
      <c r="O7271" s="33" t="s">
        <v>23</v>
      </c>
      <c r="P7271" s="33" t="s">
        <v>30089</v>
      </c>
      <c r="Q7271" s="40" t="s">
        <v>15124</v>
      </c>
      <c r="R7271" s="33" t="s">
        <v>904</v>
      </c>
      <c r="S7271" s="33" t="s">
        <v>351</v>
      </c>
      <c r="T7271" s="1" t="s">
        <v>26867</v>
      </c>
      <c r="Z7271" s="33" t="s">
        <v>42968</v>
      </c>
      <c r="AA7271" s="33">
        <v>394</v>
      </c>
    </row>
    <row r="7272" spans="1:31" ht="12" customHeight="1" x14ac:dyDescent="0.15">
      <c r="A7272" s="33" t="s">
        <v>15132</v>
      </c>
      <c r="B7272" s="103">
        <v>29</v>
      </c>
      <c r="C7272" s="33" t="s">
        <v>14</v>
      </c>
      <c r="D7272" s="33" t="s">
        <v>24</v>
      </c>
      <c r="F7272" s="67">
        <v>41406</v>
      </c>
      <c r="G7272" s="33" t="s">
        <v>22302</v>
      </c>
      <c r="H7272" s="33" t="s">
        <v>15133</v>
      </c>
      <c r="I7272" s="33" t="s">
        <v>402</v>
      </c>
      <c r="J7272" s="33" t="s">
        <v>15134</v>
      </c>
      <c r="K7272" s="33" t="s">
        <v>661</v>
      </c>
      <c r="L7272" s="33" t="s">
        <v>6535</v>
      </c>
      <c r="M7272" s="33" t="s">
        <v>21</v>
      </c>
      <c r="N7272" s="33" t="s">
        <v>15135</v>
      </c>
      <c r="O7272" s="33" t="s">
        <v>23</v>
      </c>
      <c r="P7272" s="33" t="s">
        <v>30089</v>
      </c>
      <c r="Q7272" s="40" t="s">
        <v>15136</v>
      </c>
      <c r="R7272" s="33" t="s">
        <v>94</v>
      </c>
      <c r="S7272" s="33" t="s">
        <v>22</v>
      </c>
      <c r="T7272" s="1" t="s">
        <v>26781</v>
      </c>
      <c r="Z7272" s="33" t="s">
        <v>42968</v>
      </c>
      <c r="AA7272" s="33">
        <v>391</v>
      </c>
    </row>
    <row r="7273" spans="1:31" ht="12" customHeight="1" x14ac:dyDescent="0.15">
      <c r="A7273" s="33" t="s">
        <v>15137</v>
      </c>
      <c r="B7273" s="33">
        <v>28</v>
      </c>
      <c r="C7273" s="33" t="s">
        <v>103</v>
      </c>
      <c r="D7273" s="33" t="s">
        <v>31</v>
      </c>
      <c r="E7273" s="33" t="s">
        <v>15138</v>
      </c>
      <c r="F7273" s="67">
        <v>41406</v>
      </c>
      <c r="G7273" s="33" t="s">
        <v>15139</v>
      </c>
      <c r="H7273" s="33" t="s">
        <v>15140</v>
      </c>
      <c r="I7273" s="33" t="s">
        <v>282</v>
      </c>
      <c r="J7273" s="33" t="s">
        <v>15141</v>
      </c>
      <c r="K7273" s="33" t="s">
        <v>1780</v>
      </c>
      <c r="L7273" s="33" t="s">
        <v>15142</v>
      </c>
      <c r="M7273" s="33" t="s">
        <v>363</v>
      </c>
      <c r="N7273" s="33" t="s">
        <v>15143</v>
      </c>
      <c r="O7273" s="33" t="s">
        <v>507</v>
      </c>
      <c r="P7273" s="33" t="s">
        <v>30089</v>
      </c>
      <c r="Q7273" s="40" t="s">
        <v>15144</v>
      </c>
      <c r="R7273" s="33" t="s">
        <v>904</v>
      </c>
      <c r="S7273" s="33" t="s">
        <v>29</v>
      </c>
      <c r="T7273" s="1" t="s">
        <v>41840</v>
      </c>
      <c r="Z7273" s="33" t="s">
        <v>42967</v>
      </c>
      <c r="AA7273" s="33">
        <v>393</v>
      </c>
    </row>
    <row r="7274" spans="1:31" ht="12" customHeight="1" x14ac:dyDescent="0.15">
      <c r="A7274" s="33" t="s">
        <v>15125</v>
      </c>
      <c r="B7274" s="103">
        <v>38</v>
      </c>
      <c r="C7274" s="33" t="s">
        <v>14</v>
      </c>
      <c r="D7274" s="33" t="s">
        <v>79</v>
      </c>
      <c r="E7274" s="33" t="s">
        <v>15126</v>
      </c>
      <c r="F7274" s="67">
        <v>41406</v>
      </c>
      <c r="G7274" s="33" t="s">
        <v>22303</v>
      </c>
      <c r="H7274" s="33" t="s">
        <v>1956</v>
      </c>
      <c r="I7274" s="33" t="s">
        <v>75</v>
      </c>
      <c r="J7274" s="33" t="s">
        <v>15127</v>
      </c>
      <c r="K7274" s="33" t="s">
        <v>2675</v>
      </c>
      <c r="L7274" s="33" t="s">
        <v>15128</v>
      </c>
      <c r="M7274" s="33" t="s">
        <v>21</v>
      </c>
      <c r="N7274" s="33" t="s">
        <v>15129</v>
      </c>
      <c r="O7274" s="33" t="s">
        <v>23</v>
      </c>
      <c r="P7274" s="33" t="s">
        <v>30089</v>
      </c>
      <c r="Q7274" s="40" t="s">
        <v>15130</v>
      </c>
      <c r="R7274" s="33" t="s">
        <v>512</v>
      </c>
      <c r="S7274" s="33" t="s">
        <v>29</v>
      </c>
      <c r="T7274" s="1" t="s">
        <v>41840</v>
      </c>
      <c r="Z7274" s="33" t="s">
        <v>42966</v>
      </c>
      <c r="AA7274" s="33">
        <v>392</v>
      </c>
    </row>
    <row r="7275" spans="1:31" ht="12" customHeight="1" x14ac:dyDescent="0.15">
      <c r="A7275" s="33" t="s">
        <v>15150</v>
      </c>
      <c r="B7275" s="33">
        <v>28</v>
      </c>
      <c r="C7275" s="33" t="s">
        <v>14</v>
      </c>
      <c r="D7275" s="33" t="s">
        <v>31</v>
      </c>
      <c r="E7275" s="33" t="s">
        <v>15151</v>
      </c>
      <c r="F7275" s="67">
        <v>41405</v>
      </c>
      <c r="G7275" s="33" t="s">
        <v>15152</v>
      </c>
      <c r="H7275" s="33" t="s">
        <v>15153</v>
      </c>
      <c r="I7275" s="33" t="s">
        <v>432</v>
      </c>
      <c r="J7275" s="33" t="s">
        <v>15154</v>
      </c>
      <c r="K7275" s="33" t="s">
        <v>1736</v>
      </c>
      <c r="L7275" s="33" t="s">
        <v>15155</v>
      </c>
      <c r="M7275" s="33" t="s">
        <v>21</v>
      </c>
      <c r="N7275" s="33" t="s">
        <v>15156</v>
      </c>
      <c r="O7275" s="33" t="s">
        <v>950</v>
      </c>
      <c r="P7275" s="33" t="s">
        <v>30089</v>
      </c>
      <c r="Q7275" s="40" t="s">
        <v>15157</v>
      </c>
      <c r="R7275" s="33" t="s">
        <v>94</v>
      </c>
      <c r="S7275" s="33" t="s">
        <v>22</v>
      </c>
      <c r="T7275" s="1" t="s">
        <v>26781</v>
      </c>
      <c r="Z7275" s="33" t="s">
        <v>42967</v>
      </c>
      <c r="AA7275" s="33">
        <v>389</v>
      </c>
    </row>
    <row r="7276" spans="1:31" ht="12" customHeight="1" x14ac:dyDescent="0.15">
      <c r="A7276" s="33" t="s">
        <v>15145</v>
      </c>
      <c r="B7276" s="103">
        <v>34</v>
      </c>
      <c r="C7276" s="33" t="s">
        <v>14</v>
      </c>
      <c r="D7276" s="33" t="s">
        <v>42</v>
      </c>
      <c r="E7276" s="33" t="s">
        <v>15146</v>
      </c>
      <c r="F7276" s="67">
        <v>41405</v>
      </c>
      <c r="G7276" s="33" t="s">
        <v>22304</v>
      </c>
      <c r="H7276" s="33" t="s">
        <v>15147</v>
      </c>
      <c r="I7276" s="33" t="s">
        <v>39</v>
      </c>
      <c r="J7276" s="33" t="s">
        <v>15148</v>
      </c>
      <c r="K7276" s="33" t="s">
        <v>92</v>
      </c>
      <c r="L7276" s="33" t="s">
        <v>386</v>
      </c>
      <c r="M7276" s="33" t="s">
        <v>21</v>
      </c>
      <c r="N7276" s="33" t="s">
        <v>36890</v>
      </c>
      <c r="O7276" s="33" t="s">
        <v>507</v>
      </c>
      <c r="P7276" s="33" t="s">
        <v>30089</v>
      </c>
      <c r="Q7276" s="40" t="s">
        <v>15149</v>
      </c>
      <c r="R7276" s="33" t="s">
        <v>94</v>
      </c>
      <c r="S7276" s="33" t="s">
        <v>29</v>
      </c>
      <c r="T7276" s="1" t="s">
        <v>41840</v>
      </c>
      <c r="Z7276" s="33" t="s">
        <v>42966</v>
      </c>
      <c r="AA7276" s="33">
        <v>390</v>
      </c>
    </row>
    <row r="7277" spans="1:31" ht="12" customHeight="1" x14ac:dyDescent="0.15">
      <c r="A7277" s="33" t="s">
        <v>15158</v>
      </c>
      <c r="B7277" s="103">
        <v>22</v>
      </c>
      <c r="C7277" s="33" t="s">
        <v>14</v>
      </c>
      <c r="D7277" s="33" t="s">
        <v>79</v>
      </c>
      <c r="E7277" s="33" t="s">
        <v>15159</v>
      </c>
      <c r="F7277" s="67">
        <v>41404</v>
      </c>
      <c r="G7277" s="33" t="s">
        <v>15160</v>
      </c>
      <c r="H7277" s="33" t="s">
        <v>6191</v>
      </c>
      <c r="I7277" s="33" t="s">
        <v>122</v>
      </c>
      <c r="J7277" s="33" t="s">
        <v>15161</v>
      </c>
      <c r="K7277" s="33" t="s">
        <v>1009</v>
      </c>
      <c r="L7277" s="33" t="s">
        <v>15162</v>
      </c>
      <c r="M7277" s="33" t="s">
        <v>21</v>
      </c>
      <c r="N7277" s="33" t="s">
        <v>15163</v>
      </c>
      <c r="O7277" s="33" t="s">
        <v>507</v>
      </c>
      <c r="P7277" s="33" t="s">
        <v>30089</v>
      </c>
      <c r="Q7277" s="40" t="s">
        <v>15164</v>
      </c>
      <c r="R7277" s="33" t="s">
        <v>94</v>
      </c>
      <c r="S7277" s="33" t="s">
        <v>29</v>
      </c>
      <c r="T7277" s="1" t="s">
        <v>41840</v>
      </c>
      <c r="Z7277" s="33" t="s">
        <v>42966</v>
      </c>
      <c r="AA7277" s="33">
        <v>386</v>
      </c>
    </row>
    <row r="7278" spans="1:31" ht="12" customHeight="1" x14ac:dyDescent="0.15">
      <c r="A7278" s="33" t="s">
        <v>15171</v>
      </c>
      <c r="B7278" s="103">
        <v>43</v>
      </c>
      <c r="C7278" s="33" t="s">
        <v>14</v>
      </c>
      <c r="D7278" s="33" t="s">
        <v>24</v>
      </c>
      <c r="F7278" s="67">
        <v>41404</v>
      </c>
      <c r="G7278" s="33" t="s">
        <v>15172</v>
      </c>
      <c r="H7278" s="33" t="s">
        <v>12725</v>
      </c>
      <c r="I7278" s="33" t="s">
        <v>198</v>
      </c>
      <c r="J7278" s="33" t="s">
        <v>12726</v>
      </c>
      <c r="K7278" s="33" t="s">
        <v>12727</v>
      </c>
      <c r="L7278" s="33" t="s">
        <v>377</v>
      </c>
      <c r="M7278" s="33" t="s">
        <v>21</v>
      </c>
      <c r="N7278" s="33" t="s">
        <v>15173</v>
      </c>
      <c r="O7278" s="33" t="s">
        <v>23</v>
      </c>
      <c r="P7278" s="33" t="s">
        <v>30089</v>
      </c>
      <c r="Q7278" s="40" t="s">
        <v>15174</v>
      </c>
      <c r="R7278" s="33" t="s">
        <v>94</v>
      </c>
      <c r="S7278" s="33" t="s">
        <v>22</v>
      </c>
      <c r="T7278" s="1" t="s">
        <v>26781</v>
      </c>
      <c r="Z7278" s="33" t="s">
        <v>42968</v>
      </c>
      <c r="AA7278" s="33">
        <v>385</v>
      </c>
    </row>
    <row r="7279" spans="1:31" ht="12" customHeight="1" x14ac:dyDescent="0.15">
      <c r="A7279" s="33" t="s">
        <v>15181</v>
      </c>
      <c r="B7279" s="103">
        <v>21</v>
      </c>
      <c r="C7279" s="33" t="s">
        <v>14</v>
      </c>
      <c r="D7279" s="33" t="s">
        <v>31</v>
      </c>
      <c r="E7279" s="33" t="s">
        <v>15182</v>
      </c>
      <c r="F7279" s="67">
        <v>41404</v>
      </c>
      <c r="G7279" s="33" t="s">
        <v>15183</v>
      </c>
      <c r="H7279" s="33" t="s">
        <v>822</v>
      </c>
      <c r="I7279" s="33" t="s">
        <v>39</v>
      </c>
      <c r="J7279" s="33" t="s">
        <v>4145</v>
      </c>
      <c r="K7279" s="33" t="s">
        <v>4146</v>
      </c>
      <c r="L7279" s="33" t="s">
        <v>5605</v>
      </c>
      <c r="M7279" s="33" t="s">
        <v>21</v>
      </c>
      <c r="N7279" s="33" t="s">
        <v>15184</v>
      </c>
      <c r="O7279" s="33" t="s">
        <v>23</v>
      </c>
      <c r="P7279" s="33" t="s">
        <v>30089</v>
      </c>
      <c r="Q7279" s="40" t="s">
        <v>15185</v>
      </c>
      <c r="R7279" s="33" t="s">
        <v>94</v>
      </c>
      <c r="S7279" s="33" t="s">
        <v>351</v>
      </c>
      <c r="T7279" s="1" t="s">
        <v>26867</v>
      </c>
      <c r="Z7279" s="33" t="s">
        <v>42968</v>
      </c>
      <c r="AA7279" s="33">
        <v>388</v>
      </c>
    </row>
    <row r="7280" spans="1:31" ht="12" customHeight="1" x14ac:dyDescent="0.15">
      <c r="A7280" s="33" t="s">
        <v>15175</v>
      </c>
      <c r="B7280" s="33">
        <v>45</v>
      </c>
      <c r="C7280" s="33" t="s">
        <v>14</v>
      </c>
      <c r="D7280" s="33" t="s">
        <v>24</v>
      </c>
      <c r="F7280" s="67">
        <v>41404</v>
      </c>
      <c r="G7280" s="33" t="s">
        <v>15176</v>
      </c>
      <c r="H7280" s="33" t="s">
        <v>818</v>
      </c>
      <c r="I7280" s="33" t="s">
        <v>38</v>
      </c>
      <c r="J7280" s="33" t="s">
        <v>15177</v>
      </c>
      <c r="K7280" s="33" t="s">
        <v>15178</v>
      </c>
      <c r="L7280" s="33" t="s">
        <v>377</v>
      </c>
      <c r="M7280" s="33" t="s">
        <v>21</v>
      </c>
      <c r="N7280" s="33" t="s">
        <v>15179</v>
      </c>
      <c r="O7280" s="33" t="s">
        <v>507</v>
      </c>
      <c r="P7280" s="33" t="s">
        <v>30089</v>
      </c>
      <c r="Q7280" s="40" t="s">
        <v>15180</v>
      </c>
      <c r="R7280" s="33" t="s">
        <v>94</v>
      </c>
      <c r="S7280" s="33" t="s">
        <v>351</v>
      </c>
      <c r="T7280" s="1" t="s">
        <v>26867</v>
      </c>
      <c r="Z7280" s="33" t="s">
        <v>42967</v>
      </c>
      <c r="AA7280" s="33">
        <v>387</v>
      </c>
    </row>
    <row r="7281" spans="1:64" ht="12" customHeight="1" x14ac:dyDescent="0.15">
      <c r="A7281" s="33" t="s">
        <v>15186</v>
      </c>
      <c r="B7281" s="103">
        <v>38</v>
      </c>
      <c r="C7281" s="33" t="s">
        <v>103</v>
      </c>
      <c r="D7281" s="33" t="s">
        <v>31</v>
      </c>
      <c r="E7281" s="33" t="s">
        <v>15187</v>
      </c>
      <c r="F7281" s="67">
        <v>41404</v>
      </c>
      <c r="G7281" s="33" t="s">
        <v>22305</v>
      </c>
      <c r="H7281" s="33" t="s">
        <v>550</v>
      </c>
      <c r="I7281" s="33" t="s">
        <v>67</v>
      </c>
      <c r="J7281" s="33" t="s">
        <v>4365</v>
      </c>
      <c r="K7281" s="33" t="s">
        <v>551</v>
      </c>
      <c r="L7281" s="33" t="s">
        <v>552</v>
      </c>
      <c r="M7281" s="33" t="s">
        <v>21</v>
      </c>
      <c r="N7281" s="33" t="s">
        <v>15188</v>
      </c>
      <c r="O7281" s="33" t="s">
        <v>23</v>
      </c>
      <c r="P7281" s="33" t="s">
        <v>30089</v>
      </c>
      <c r="Q7281" s="40" t="s">
        <v>15189</v>
      </c>
      <c r="R7281" s="33" t="s">
        <v>94</v>
      </c>
      <c r="S7281" s="33" t="s">
        <v>22</v>
      </c>
      <c r="T7281" s="1" t="s">
        <v>26781</v>
      </c>
      <c r="Z7281" s="33" t="s">
        <v>42968</v>
      </c>
      <c r="AA7281" s="33">
        <v>384</v>
      </c>
    </row>
    <row r="7282" spans="1:64" ht="12" customHeight="1" x14ac:dyDescent="0.15">
      <c r="A7282" s="33" t="s">
        <v>15166</v>
      </c>
      <c r="B7282" s="103">
        <v>49</v>
      </c>
      <c r="C7282" s="33" t="s">
        <v>14</v>
      </c>
      <c r="D7282" s="33" t="s">
        <v>42</v>
      </c>
      <c r="F7282" s="67">
        <v>41404</v>
      </c>
      <c r="G7282" s="33" t="s">
        <v>15167</v>
      </c>
      <c r="H7282" s="33" t="s">
        <v>6560</v>
      </c>
      <c r="I7282" s="33" t="s">
        <v>402</v>
      </c>
      <c r="J7282" s="33" t="s">
        <v>15168</v>
      </c>
      <c r="K7282" s="33" t="s">
        <v>661</v>
      </c>
      <c r="L7282" s="33" t="s">
        <v>36945</v>
      </c>
      <c r="M7282" s="33" t="s">
        <v>21</v>
      </c>
      <c r="N7282" s="33" t="s">
        <v>15169</v>
      </c>
      <c r="O7282" s="33" t="s">
        <v>23</v>
      </c>
      <c r="P7282" s="33" t="s">
        <v>30089</v>
      </c>
      <c r="Q7282" s="40" t="s">
        <v>15170</v>
      </c>
      <c r="R7282" s="33" t="s">
        <v>94</v>
      </c>
      <c r="S7282" s="33" t="s">
        <v>22</v>
      </c>
      <c r="T7282" s="1" t="s">
        <v>26781</v>
      </c>
      <c r="Z7282" s="33" t="s">
        <v>42968</v>
      </c>
      <c r="AA7282" s="33">
        <v>383</v>
      </c>
    </row>
    <row r="7283" spans="1:64" ht="12" customHeight="1" x14ac:dyDescent="0.15">
      <c r="A7283" s="33" t="s">
        <v>15202</v>
      </c>
      <c r="B7283" s="103">
        <v>19</v>
      </c>
      <c r="C7283" s="33" t="s">
        <v>14</v>
      </c>
      <c r="D7283" s="33" t="s">
        <v>24</v>
      </c>
      <c r="F7283" s="67">
        <v>41403</v>
      </c>
      <c r="G7283" s="33" t="s">
        <v>15203</v>
      </c>
      <c r="H7283" s="33" t="s">
        <v>288</v>
      </c>
      <c r="I7283" s="33" t="s">
        <v>39</v>
      </c>
      <c r="J7283" s="33" t="s">
        <v>5586</v>
      </c>
      <c r="K7283" s="33" t="s">
        <v>288</v>
      </c>
      <c r="L7283" s="33" t="s">
        <v>15204</v>
      </c>
      <c r="M7283" s="33" t="s">
        <v>21</v>
      </c>
      <c r="N7283" s="33" t="s">
        <v>15205</v>
      </c>
      <c r="O7283" s="33" t="s">
        <v>23</v>
      </c>
      <c r="P7283" s="33" t="s">
        <v>30089</v>
      </c>
      <c r="Q7283" s="40" t="s">
        <v>15206</v>
      </c>
      <c r="R7283" s="33" t="s">
        <v>94</v>
      </c>
      <c r="S7283" s="33" t="s">
        <v>22</v>
      </c>
      <c r="T7283" s="1" t="s">
        <v>26781</v>
      </c>
      <c r="Z7283" s="33" t="s">
        <v>42968</v>
      </c>
      <c r="AA7283" s="33">
        <v>380</v>
      </c>
    </row>
    <row r="7284" spans="1:64" ht="12" customHeight="1" x14ac:dyDescent="0.15">
      <c r="A7284" s="33" t="s">
        <v>15197</v>
      </c>
      <c r="B7284" s="33">
        <v>58</v>
      </c>
      <c r="C7284" s="33" t="s">
        <v>14</v>
      </c>
      <c r="D7284" s="33" t="s">
        <v>42</v>
      </c>
      <c r="F7284" s="67">
        <v>41403</v>
      </c>
      <c r="G7284" s="33" t="s">
        <v>15198</v>
      </c>
      <c r="H7284" s="33" t="s">
        <v>6993</v>
      </c>
      <c r="I7284" s="33" t="s">
        <v>56</v>
      </c>
      <c r="J7284" s="33" t="s">
        <v>6994</v>
      </c>
      <c r="K7284" s="33" t="s">
        <v>45</v>
      </c>
      <c r="L7284" s="33" t="s">
        <v>15199</v>
      </c>
      <c r="M7284" s="33" t="s">
        <v>21</v>
      </c>
      <c r="N7284" s="33" t="s">
        <v>15200</v>
      </c>
      <c r="O7284" s="33" t="s">
        <v>507</v>
      </c>
      <c r="P7284" s="33" t="s">
        <v>30089</v>
      </c>
      <c r="Q7284" s="40" t="s">
        <v>15201</v>
      </c>
      <c r="R7284" s="33" t="s">
        <v>94</v>
      </c>
      <c r="S7284" s="33" t="s">
        <v>22</v>
      </c>
      <c r="T7284" s="1" t="s">
        <v>26781</v>
      </c>
      <c r="Z7284" s="33" t="s">
        <v>42967</v>
      </c>
      <c r="AA7284" s="33">
        <v>379</v>
      </c>
    </row>
    <row r="7285" spans="1:64" ht="12" customHeight="1" x14ac:dyDescent="0.15">
      <c r="A7285" s="33" t="s">
        <v>3002</v>
      </c>
      <c r="B7285" s="33">
        <v>21</v>
      </c>
      <c r="C7285" s="33" t="s">
        <v>14</v>
      </c>
      <c r="D7285" s="33" t="s">
        <v>24</v>
      </c>
      <c r="F7285" s="67">
        <v>41403</v>
      </c>
      <c r="G7285" s="33" t="s">
        <v>15207</v>
      </c>
      <c r="H7285" s="33" t="s">
        <v>1033</v>
      </c>
      <c r="I7285" s="33" t="s">
        <v>376</v>
      </c>
      <c r="J7285" s="33" t="s">
        <v>15208</v>
      </c>
      <c r="K7285" s="33" t="s">
        <v>1033</v>
      </c>
      <c r="L7285" s="33" t="s">
        <v>1034</v>
      </c>
      <c r="M7285" s="33" t="s">
        <v>21</v>
      </c>
      <c r="N7285" s="33" t="s">
        <v>15209</v>
      </c>
      <c r="O7285" s="33" t="s">
        <v>950</v>
      </c>
      <c r="P7285" s="33" t="s">
        <v>30089</v>
      </c>
      <c r="Q7285" s="40" t="s">
        <v>15210</v>
      </c>
      <c r="R7285" s="33" t="s">
        <v>94</v>
      </c>
      <c r="S7285" s="33" t="s">
        <v>22</v>
      </c>
      <c r="T7285" s="1" t="s">
        <v>26781</v>
      </c>
      <c r="Z7285" s="33" t="s">
        <v>42966</v>
      </c>
      <c r="AA7285" s="33">
        <v>381</v>
      </c>
    </row>
    <row r="7286" spans="1:64" ht="12" customHeight="1" x14ac:dyDescent="0.15">
      <c r="A7286" s="33" t="s">
        <v>15190</v>
      </c>
      <c r="B7286" s="33">
        <v>38</v>
      </c>
      <c r="C7286" s="33" t="s">
        <v>14</v>
      </c>
      <c r="D7286" s="33" t="s">
        <v>79</v>
      </c>
      <c r="E7286" s="33" t="s">
        <v>15191</v>
      </c>
      <c r="F7286" s="67">
        <v>41403</v>
      </c>
      <c r="G7286" s="33" t="s">
        <v>15192</v>
      </c>
      <c r="H7286" s="33" t="s">
        <v>15193</v>
      </c>
      <c r="I7286" s="33" t="s">
        <v>56</v>
      </c>
      <c r="J7286" s="33" t="s">
        <v>15194</v>
      </c>
      <c r="K7286" s="33" t="s">
        <v>3571</v>
      </c>
      <c r="L7286" s="33" t="s">
        <v>15195</v>
      </c>
      <c r="M7286" s="33" t="s">
        <v>351</v>
      </c>
      <c r="N7286" s="33" t="s">
        <v>42495</v>
      </c>
      <c r="O7286" s="33" t="s">
        <v>507</v>
      </c>
      <c r="P7286" s="33" t="s">
        <v>30089</v>
      </c>
      <c r="Q7286" s="40" t="s">
        <v>15196</v>
      </c>
      <c r="R7286" s="33" t="s">
        <v>94</v>
      </c>
      <c r="S7286" s="33" t="s">
        <v>12</v>
      </c>
      <c r="T7286" s="33" t="s">
        <v>29705</v>
      </c>
      <c r="U7286" s="33" t="s">
        <v>26570</v>
      </c>
      <c r="V7286" s="33" t="s">
        <v>26574</v>
      </c>
      <c r="Z7286" s="33" t="s">
        <v>42968</v>
      </c>
      <c r="AA7286" s="33">
        <v>382</v>
      </c>
    </row>
    <row r="7287" spans="1:64" ht="12" customHeight="1" x14ac:dyDescent="0.15">
      <c r="A7287" s="33" t="s">
        <v>15220</v>
      </c>
      <c r="B7287" s="33">
        <v>33</v>
      </c>
      <c r="C7287" s="33" t="s">
        <v>14</v>
      </c>
      <c r="D7287" s="33" t="s">
        <v>31</v>
      </c>
      <c r="E7287" s="33" t="s">
        <v>15221</v>
      </c>
      <c r="F7287" s="67">
        <v>41402</v>
      </c>
      <c r="G7287" s="33" t="s">
        <v>15222</v>
      </c>
      <c r="H7287" s="33" t="s">
        <v>631</v>
      </c>
      <c r="I7287" s="33" t="s">
        <v>39</v>
      </c>
      <c r="J7287" s="33" t="s">
        <v>3000</v>
      </c>
      <c r="K7287" s="33" t="s">
        <v>632</v>
      </c>
      <c r="L7287" s="33" t="s">
        <v>693</v>
      </c>
      <c r="M7287" s="33" t="s">
        <v>2909</v>
      </c>
      <c r="N7287" s="33" t="s">
        <v>15223</v>
      </c>
      <c r="O7287" s="33" t="s">
        <v>507</v>
      </c>
      <c r="P7287" s="33" t="s">
        <v>30089</v>
      </c>
      <c r="Q7287" s="40" t="s">
        <v>15224</v>
      </c>
      <c r="R7287" s="33" t="s">
        <v>94</v>
      </c>
      <c r="S7287" s="33" t="s">
        <v>29</v>
      </c>
      <c r="T7287" s="1" t="s">
        <v>41840</v>
      </c>
      <c r="Z7287" s="33" t="s">
        <v>42966</v>
      </c>
      <c r="AA7287" s="33">
        <v>377</v>
      </c>
    </row>
    <row r="7288" spans="1:64" ht="12" customHeight="1" x14ac:dyDescent="0.15">
      <c r="A7288" s="33" t="s">
        <v>15214</v>
      </c>
      <c r="B7288" s="103">
        <v>29</v>
      </c>
      <c r="C7288" s="33" t="s">
        <v>14</v>
      </c>
      <c r="D7288" s="33" t="s">
        <v>31</v>
      </c>
      <c r="E7288" s="33" t="s">
        <v>15215</v>
      </c>
      <c r="F7288" s="67">
        <v>41402</v>
      </c>
      <c r="G7288" s="33" t="s">
        <v>22306</v>
      </c>
      <c r="H7288" s="33" t="s">
        <v>15216</v>
      </c>
      <c r="I7288" s="33" t="s">
        <v>798</v>
      </c>
      <c r="J7288" s="33" t="s">
        <v>15217</v>
      </c>
      <c r="K7288" s="33" t="s">
        <v>13474</v>
      </c>
      <c r="L7288" s="33" t="s">
        <v>36891</v>
      </c>
      <c r="M7288" s="33" t="s">
        <v>21</v>
      </c>
      <c r="N7288" s="33" t="s">
        <v>15218</v>
      </c>
      <c r="O7288" s="33" t="s">
        <v>507</v>
      </c>
      <c r="P7288" s="33" t="s">
        <v>30089</v>
      </c>
      <c r="Q7288" s="40" t="s">
        <v>15219</v>
      </c>
      <c r="R7288" s="33" t="s">
        <v>94</v>
      </c>
      <c r="S7288" s="33" t="s">
        <v>22</v>
      </c>
      <c r="T7288" s="1" t="s">
        <v>26781</v>
      </c>
      <c r="Z7288" s="33" t="s">
        <v>42968</v>
      </c>
      <c r="AA7288" s="33">
        <v>376</v>
      </c>
    </row>
    <row r="7289" spans="1:64" ht="12" customHeight="1" x14ac:dyDescent="0.15">
      <c r="A7289" s="33" t="s">
        <v>3002</v>
      </c>
      <c r="B7289" s="33" t="s">
        <v>23</v>
      </c>
      <c r="C7289" s="33" t="s">
        <v>14</v>
      </c>
      <c r="D7289" s="33" t="s">
        <v>24</v>
      </c>
      <c r="F7289" s="67">
        <v>41402</v>
      </c>
      <c r="G7289" s="33" t="s">
        <v>15211</v>
      </c>
      <c r="H7289" s="33" t="s">
        <v>196</v>
      </c>
      <c r="I7289" s="33" t="s">
        <v>56</v>
      </c>
      <c r="J7289" s="33" t="s">
        <v>12097</v>
      </c>
      <c r="K7289" s="33" t="s">
        <v>148</v>
      </c>
      <c r="L7289" s="33" t="s">
        <v>149</v>
      </c>
      <c r="M7289" s="33" t="s">
        <v>21</v>
      </c>
      <c r="N7289" s="33" t="s">
        <v>15212</v>
      </c>
      <c r="O7289" s="33" t="s">
        <v>950</v>
      </c>
      <c r="P7289" s="33" t="s">
        <v>30089</v>
      </c>
      <c r="Q7289" s="40" t="s">
        <v>15213</v>
      </c>
      <c r="R7289" s="33" t="s">
        <v>94</v>
      </c>
      <c r="S7289" s="33" t="s">
        <v>29</v>
      </c>
      <c r="T7289" s="1" t="s">
        <v>41840</v>
      </c>
      <c r="Z7289" s="33" t="s">
        <v>42966</v>
      </c>
      <c r="AA7289" s="33">
        <v>378</v>
      </c>
    </row>
    <row r="7290" spans="1:64" ht="12" customHeight="1" x14ac:dyDescent="0.15">
      <c r="A7290" s="33" t="s">
        <v>15225</v>
      </c>
      <c r="B7290" s="103">
        <v>37</v>
      </c>
      <c r="C7290" s="33" t="s">
        <v>103</v>
      </c>
      <c r="D7290" s="33" t="s">
        <v>79</v>
      </c>
      <c r="E7290" s="33" t="s">
        <v>15226</v>
      </c>
      <c r="F7290" s="67">
        <v>41401</v>
      </c>
      <c r="G7290" s="33" t="s">
        <v>22307</v>
      </c>
      <c r="H7290" s="33" t="s">
        <v>1487</v>
      </c>
      <c r="I7290" s="33" t="s">
        <v>46</v>
      </c>
      <c r="J7290" s="33" t="s">
        <v>2555</v>
      </c>
      <c r="K7290" s="33" t="s">
        <v>4324</v>
      </c>
      <c r="L7290" s="33" t="s">
        <v>2556</v>
      </c>
      <c r="M7290" s="33" t="s">
        <v>21</v>
      </c>
      <c r="N7290" s="33" t="s">
        <v>37050</v>
      </c>
      <c r="O7290" s="33" t="s">
        <v>23116</v>
      </c>
      <c r="P7290" s="33" t="s">
        <v>30089</v>
      </c>
      <c r="Q7290" s="40" t="s">
        <v>15227</v>
      </c>
      <c r="R7290" s="33" t="s">
        <v>94</v>
      </c>
      <c r="S7290" s="33" t="s">
        <v>12</v>
      </c>
      <c r="T7290" s="1" t="s">
        <v>29705</v>
      </c>
      <c r="Y7290" s="33" t="s">
        <v>42476</v>
      </c>
      <c r="Z7290" s="33" t="s">
        <v>42966</v>
      </c>
      <c r="AA7290" s="33">
        <v>373</v>
      </c>
    </row>
    <row r="7291" spans="1:64" ht="12" customHeight="1" x14ac:dyDescent="0.15">
      <c r="A7291" s="33" t="s">
        <v>15228</v>
      </c>
      <c r="B7291" s="103">
        <v>23</v>
      </c>
      <c r="C7291" s="33" t="s">
        <v>14</v>
      </c>
      <c r="D7291" s="33" t="s">
        <v>42</v>
      </c>
      <c r="E7291" s="33" t="s">
        <v>15229</v>
      </c>
      <c r="F7291" s="67">
        <v>41401</v>
      </c>
      <c r="G7291" s="33" t="s">
        <v>15230</v>
      </c>
      <c r="H7291" s="33" t="s">
        <v>11065</v>
      </c>
      <c r="I7291" s="33" t="s">
        <v>56</v>
      </c>
      <c r="J7291" s="33" t="s">
        <v>11066</v>
      </c>
      <c r="K7291" s="33" t="s">
        <v>1179</v>
      </c>
      <c r="L7291" s="33" t="s">
        <v>12313</v>
      </c>
      <c r="M7291" s="33" t="s">
        <v>21</v>
      </c>
      <c r="N7291" s="33" t="s">
        <v>15231</v>
      </c>
      <c r="O7291" s="33" t="s">
        <v>507</v>
      </c>
      <c r="P7291" s="33" t="s">
        <v>30089</v>
      </c>
      <c r="Q7291" s="40" t="s">
        <v>15232</v>
      </c>
      <c r="R7291" s="33" t="s">
        <v>94</v>
      </c>
      <c r="S7291" s="33" t="s">
        <v>351</v>
      </c>
      <c r="T7291" s="1" t="s">
        <v>26867</v>
      </c>
      <c r="Z7291" s="33" t="s">
        <v>42968</v>
      </c>
      <c r="AA7291" s="33">
        <v>375</v>
      </c>
    </row>
    <row r="7292" spans="1:64" ht="12" customHeight="1" x14ac:dyDescent="0.15">
      <c r="A7292" s="33" t="s">
        <v>15233</v>
      </c>
      <c r="B7292" s="103">
        <v>30</v>
      </c>
      <c r="C7292" s="33" t="s">
        <v>14</v>
      </c>
      <c r="D7292" s="33" t="s">
        <v>42</v>
      </c>
      <c r="F7292" s="67">
        <v>41401</v>
      </c>
      <c r="G7292" s="33" t="s">
        <v>15234</v>
      </c>
      <c r="H7292" s="33" t="s">
        <v>196</v>
      </c>
      <c r="I7292" s="33" t="s">
        <v>56</v>
      </c>
      <c r="J7292" s="33" t="s">
        <v>12097</v>
      </c>
      <c r="K7292" s="33" t="s">
        <v>148</v>
      </c>
      <c r="L7292" s="33" t="s">
        <v>149</v>
      </c>
      <c r="M7292" s="33" t="s">
        <v>21</v>
      </c>
      <c r="N7292" s="33" t="s">
        <v>15235</v>
      </c>
      <c r="O7292" s="33" t="s">
        <v>23</v>
      </c>
      <c r="P7292" s="33" t="s">
        <v>30089</v>
      </c>
      <c r="Q7292" s="40" t="s">
        <v>15236</v>
      </c>
      <c r="R7292" s="33" t="s">
        <v>94</v>
      </c>
      <c r="S7292" s="33" t="s">
        <v>29</v>
      </c>
      <c r="T7292" s="1" t="s">
        <v>41840</v>
      </c>
      <c r="Z7292" s="33" t="s">
        <v>42966</v>
      </c>
      <c r="AA7292" s="33">
        <v>374</v>
      </c>
    </row>
    <row r="7293" spans="1:64" ht="12" customHeight="1" x14ac:dyDescent="0.15">
      <c r="A7293" s="33" t="s">
        <v>15237</v>
      </c>
      <c r="B7293" s="33">
        <v>32</v>
      </c>
      <c r="C7293" s="33" t="s">
        <v>14</v>
      </c>
      <c r="D7293" s="33" t="s">
        <v>15</v>
      </c>
      <c r="E7293" s="33" t="s">
        <v>15238</v>
      </c>
      <c r="F7293" s="67">
        <v>41400</v>
      </c>
      <c r="G7293" s="33" t="s">
        <v>15239</v>
      </c>
      <c r="H7293" s="33" t="s">
        <v>5854</v>
      </c>
      <c r="I7293" s="33" t="s">
        <v>39</v>
      </c>
      <c r="J7293" s="33" t="s">
        <v>5855</v>
      </c>
      <c r="K7293" s="33" t="s">
        <v>3145</v>
      </c>
      <c r="L7293" s="33" t="s">
        <v>5856</v>
      </c>
      <c r="M7293" s="33" t="s">
        <v>21</v>
      </c>
      <c r="N7293" s="33" t="s">
        <v>15240</v>
      </c>
      <c r="O7293" s="33" t="s">
        <v>23</v>
      </c>
      <c r="P7293" s="33" t="s">
        <v>30089</v>
      </c>
      <c r="Q7293" s="40" t="s">
        <v>15241</v>
      </c>
      <c r="R7293" s="33" t="s">
        <v>512</v>
      </c>
      <c r="S7293" s="33" t="s">
        <v>12</v>
      </c>
      <c r="T7293" s="1" t="s">
        <v>29425</v>
      </c>
      <c r="Z7293" s="33" t="s">
        <v>42968</v>
      </c>
      <c r="AA7293" s="33">
        <v>372</v>
      </c>
    </row>
    <row r="7294" spans="1:64" ht="12" customHeight="1" x14ac:dyDescent="0.15">
      <c r="A7294" s="33" t="s">
        <v>15242</v>
      </c>
      <c r="B7294" s="103">
        <v>16</v>
      </c>
      <c r="C7294" s="33" t="s">
        <v>14</v>
      </c>
      <c r="D7294" s="33" t="s">
        <v>79</v>
      </c>
      <c r="E7294" s="33" t="s">
        <v>15243</v>
      </c>
      <c r="F7294" s="67">
        <v>41399</v>
      </c>
      <c r="G7294" s="33" t="s">
        <v>22308</v>
      </c>
      <c r="H7294" s="33" t="s">
        <v>81</v>
      </c>
      <c r="I7294" s="33" t="s">
        <v>38</v>
      </c>
      <c r="J7294" s="33" t="s">
        <v>14403</v>
      </c>
      <c r="K7294" s="33" t="s">
        <v>82</v>
      </c>
      <c r="L7294" s="33" t="s">
        <v>83</v>
      </c>
      <c r="M7294" s="33" t="s">
        <v>21</v>
      </c>
      <c r="N7294" s="33" t="s">
        <v>15244</v>
      </c>
      <c r="O7294" s="33" t="s">
        <v>23</v>
      </c>
      <c r="P7294" s="33" t="s">
        <v>30089</v>
      </c>
      <c r="Q7294" s="40" t="s">
        <v>15245</v>
      </c>
      <c r="R7294" s="33" t="s">
        <v>512</v>
      </c>
      <c r="S7294" s="33" t="s">
        <v>22</v>
      </c>
      <c r="T7294" s="1" t="s">
        <v>26781</v>
      </c>
      <c r="Z7294" s="33" t="s">
        <v>42966</v>
      </c>
      <c r="AA7294" s="33">
        <v>370</v>
      </c>
    </row>
    <row r="7295" spans="1:64" ht="12" customHeight="1" x14ac:dyDescent="0.15">
      <c r="A7295" s="33" t="s">
        <v>15246</v>
      </c>
      <c r="B7295" s="33">
        <v>17</v>
      </c>
      <c r="C7295" s="33" t="s">
        <v>14</v>
      </c>
      <c r="D7295" s="33" t="s">
        <v>79</v>
      </c>
      <c r="E7295" s="33" t="s">
        <v>15247</v>
      </c>
      <c r="F7295" s="67">
        <v>41399</v>
      </c>
      <c r="G7295" s="33" t="s">
        <v>15248</v>
      </c>
      <c r="H7295" s="33" t="s">
        <v>700</v>
      </c>
      <c r="I7295" s="33" t="s">
        <v>395</v>
      </c>
      <c r="J7295" s="33" t="s">
        <v>15249</v>
      </c>
      <c r="K7295" s="33" t="s">
        <v>1601</v>
      </c>
      <c r="L7295" s="33" t="s">
        <v>539</v>
      </c>
      <c r="M7295" s="33" t="s">
        <v>2909</v>
      </c>
      <c r="N7295" s="33" t="s">
        <v>15250</v>
      </c>
      <c r="O7295" s="33" t="s">
        <v>950</v>
      </c>
      <c r="P7295" s="33" t="s">
        <v>30089</v>
      </c>
      <c r="Q7295" s="40" t="s">
        <v>15251</v>
      </c>
      <c r="R7295" s="33" t="s">
        <v>94</v>
      </c>
      <c r="S7295" s="33" t="s">
        <v>12</v>
      </c>
      <c r="T7295" s="1" t="s">
        <v>29705</v>
      </c>
      <c r="Z7295" s="33" t="s">
        <v>42966</v>
      </c>
      <c r="AA7295" s="33">
        <v>371</v>
      </c>
    </row>
    <row r="7296" spans="1:64" ht="12" customHeight="1" x14ac:dyDescent="0.15">
      <c r="A7296" s="63" t="s">
        <v>42908</v>
      </c>
      <c r="B7296" s="99">
        <v>30</v>
      </c>
      <c r="C7296" s="10" t="s">
        <v>14</v>
      </c>
      <c r="D7296" s="10" t="s">
        <v>31</v>
      </c>
      <c r="E7296" s="10"/>
      <c r="F7296" s="67">
        <v>41398</v>
      </c>
      <c r="G7296" s="10" t="s">
        <v>42909</v>
      </c>
      <c r="H7296" s="10" t="s">
        <v>42910</v>
      </c>
      <c r="I7296" s="10" t="s">
        <v>367</v>
      </c>
      <c r="J7296" s="65">
        <v>74569</v>
      </c>
      <c r="K7296" s="10" t="s">
        <v>29370</v>
      </c>
      <c r="L7296" s="10" t="s">
        <v>42911</v>
      </c>
      <c r="M7296" s="10" t="s">
        <v>21</v>
      </c>
      <c r="N7296" s="10" t="s">
        <v>42912</v>
      </c>
      <c r="O7296" s="10" t="s">
        <v>950</v>
      </c>
      <c r="P7296" s="10" t="s">
        <v>30089</v>
      </c>
      <c r="Q7296" s="62" t="s">
        <v>42913</v>
      </c>
      <c r="R7296" s="10" t="s">
        <v>94</v>
      </c>
      <c r="S7296" s="10" t="s">
        <v>351</v>
      </c>
      <c r="T7296" s="10" t="s">
        <v>26867</v>
      </c>
      <c r="U7296" s="10"/>
      <c r="V7296" s="10"/>
      <c r="W7296" s="10"/>
      <c r="X7296" s="89"/>
      <c r="Y7296" s="68"/>
      <c r="Z7296" s="68" t="s">
        <v>42967</v>
      </c>
      <c r="AA7296" s="33">
        <v>369</v>
      </c>
      <c r="AG7296" s="68"/>
      <c r="AK7296" s="68"/>
      <c r="AL7296" s="68"/>
      <c r="AM7296" s="68"/>
      <c r="AN7296" s="68"/>
      <c r="AO7296" s="68"/>
      <c r="AP7296" s="68"/>
      <c r="AQ7296" s="68"/>
      <c r="AR7296" s="68"/>
      <c r="AS7296" s="68"/>
      <c r="AT7296" s="68"/>
      <c r="AU7296" s="68"/>
      <c r="AV7296" s="68"/>
      <c r="AW7296" s="68"/>
      <c r="AX7296" s="68"/>
      <c r="AY7296" s="68"/>
      <c r="AZ7296" s="68"/>
      <c r="BA7296" s="68"/>
      <c r="BB7296" s="68"/>
      <c r="BC7296" s="68"/>
      <c r="BD7296" s="68"/>
      <c r="BE7296" s="68"/>
      <c r="BF7296" s="68"/>
      <c r="BG7296" s="68"/>
      <c r="BH7296" s="68"/>
      <c r="BI7296" s="68"/>
      <c r="BJ7296" s="68"/>
      <c r="BK7296" s="68"/>
      <c r="BL7296" s="68"/>
    </row>
    <row r="7297" spans="1:64" ht="12" customHeight="1" x14ac:dyDescent="0.15">
      <c r="A7297" s="33" t="s">
        <v>3002</v>
      </c>
      <c r="B7297" s="33" t="s">
        <v>23</v>
      </c>
      <c r="C7297" s="33" t="s">
        <v>14</v>
      </c>
      <c r="D7297" s="33" t="s">
        <v>24</v>
      </c>
      <c r="F7297" s="67">
        <v>41398</v>
      </c>
      <c r="G7297" s="33" t="s">
        <v>15264</v>
      </c>
      <c r="H7297" s="33" t="s">
        <v>196</v>
      </c>
      <c r="I7297" s="33" t="s">
        <v>56</v>
      </c>
      <c r="J7297" s="33" t="s">
        <v>15265</v>
      </c>
      <c r="K7297" s="33" t="s">
        <v>148</v>
      </c>
      <c r="L7297" s="33" t="s">
        <v>149</v>
      </c>
      <c r="M7297" s="33" t="s">
        <v>21</v>
      </c>
      <c r="N7297" s="33" t="s">
        <v>15266</v>
      </c>
      <c r="O7297" s="33" t="s">
        <v>2244</v>
      </c>
      <c r="P7297" s="33" t="s">
        <v>30089</v>
      </c>
      <c r="Q7297" s="40" t="s">
        <v>15267</v>
      </c>
      <c r="R7297" s="33" t="s">
        <v>23</v>
      </c>
      <c r="S7297" s="33" t="s">
        <v>22</v>
      </c>
      <c r="T7297" s="33" t="s">
        <v>26781</v>
      </c>
      <c r="Z7297" s="33" t="s">
        <v>42968</v>
      </c>
      <c r="AA7297" s="33">
        <v>367</v>
      </c>
    </row>
    <row r="7298" spans="1:64" ht="12" customHeight="1" x14ac:dyDescent="0.15">
      <c r="A7298" s="33" t="s">
        <v>15258</v>
      </c>
      <c r="B7298" s="103">
        <v>29</v>
      </c>
      <c r="C7298" s="33" t="s">
        <v>14</v>
      </c>
      <c r="D7298" s="33" t="s">
        <v>42</v>
      </c>
      <c r="F7298" s="67">
        <v>41398</v>
      </c>
      <c r="G7298" s="33" t="s">
        <v>15259</v>
      </c>
      <c r="H7298" s="33" t="s">
        <v>10830</v>
      </c>
      <c r="I7298" s="33" t="s">
        <v>39</v>
      </c>
      <c r="J7298" s="33" t="s">
        <v>15260</v>
      </c>
      <c r="K7298" s="33" t="s">
        <v>143</v>
      </c>
      <c r="L7298" s="33" t="s">
        <v>15261</v>
      </c>
      <c r="M7298" s="33" t="s">
        <v>21</v>
      </c>
      <c r="N7298" s="33" t="s">
        <v>15262</v>
      </c>
      <c r="O7298" s="33" t="s">
        <v>23</v>
      </c>
      <c r="P7298" s="33" t="s">
        <v>30089</v>
      </c>
      <c r="Q7298" s="40" t="s">
        <v>15263</v>
      </c>
      <c r="R7298" s="33" t="s">
        <v>512</v>
      </c>
      <c r="S7298" s="33" t="s">
        <v>22</v>
      </c>
      <c r="T7298" s="1" t="s">
        <v>26774</v>
      </c>
      <c r="Z7298" s="33" t="s">
        <v>42968</v>
      </c>
      <c r="AA7298" s="33">
        <v>368</v>
      </c>
    </row>
    <row r="7299" spans="1:64" ht="12" customHeight="1" x14ac:dyDescent="0.15">
      <c r="A7299" s="33" t="s">
        <v>15252</v>
      </c>
      <c r="B7299" s="103">
        <v>21</v>
      </c>
      <c r="C7299" s="33" t="s">
        <v>14</v>
      </c>
      <c r="D7299" s="33" t="s">
        <v>79</v>
      </c>
      <c r="E7299" s="33" t="s">
        <v>15253</v>
      </c>
      <c r="F7299" s="67">
        <v>41398</v>
      </c>
      <c r="G7299" s="33" t="s">
        <v>15254</v>
      </c>
      <c r="H7299" s="33" t="s">
        <v>997</v>
      </c>
      <c r="I7299" s="33" t="s">
        <v>56</v>
      </c>
      <c r="J7299" s="33" t="s">
        <v>15255</v>
      </c>
      <c r="K7299" s="33" t="s">
        <v>998</v>
      </c>
      <c r="L7299" s="33" t="s">
        <v>999</v>
      </c>
      <c r="M7299" s="33" t="s">
        <v>21</v>
      </c>
      <c r="N7299" s="33" t="s">
        <v>15256</v>
      </c>
      <c r="O7299" s="33" t="s">
        <v>23</v>
      </c>
      <c r="P7299" s="33" t="s">
        <v>30089</v>
      </c>
      <c r="Q7299" s="40" t="s">
        <v>15257</v>
      </c>
      <c r="R7299" s="33" t="s">
        <v>94</v>
      </c>
      <c r="S7299" s="33" t="s">
        <v>22</v>
      </c>
      <c r="T7299" s="1" t="s">
        <v>26781</v>
      </c>
      <c r="Z7299" s="33" t="s">
        <v>42968</v>
      </c>
      <c r="AA7299" s="33">
        <v>366</v>
      </c>
    </row>
    <row r="7300" spans="1:64" ht="12" customHeight="1" x14ac:dyDescent="0.15">
      <c r="A7300" s="33" t="s">
        <v>15268</v>
      </c>
      <c r="B7300" s="103">
        <v>27</v>
      </c>
      <c r="C7300" s="33" t="s">
        <v>14</v>
      </c>
      <c r="D7300" s="33" t="s">
        <v>31</v>
      </c>
      <c r="F7300" s="67">
        <v>41397</v>
      </c>
      <c r="G7300" s="33" t="s">
        <v>15269</v>
      </c>
      <c r="H7300" s="33" t="s">
        <v>5481</v>
      </c>
      <c r="I7300" s="33" t="s">
        <v>106</v>
      </c>
      <c r="J7300" s="33" t="s">
        <v>15270</v>
      </c>
      <c r="K7300" s="33" t="s">
        <v>45</v>
      </c>
      <c r="L7300" s="33" t="s">
        <v>1910</v>
      </c>
      <c r="M7300" s="33" t="s">
        <v>21</v>
      </c>
      <c r="N7300" s="33" t="s">
        <v>15271</v>
      </c>
      <c r="O7300" s="33" t="s">
        <v>23</v>
      </c>
      <c r="P7300" s="33" t="s">
        <v>30089</v>
      </c>
      <c r="Q7300" s="40" t="s">
        <v>15272</v>
      </c>
      <c r="R7300" s="33" t="s">
        <v>94</v>
      </c>
      <c r="S7300" s="33" t="s">
        <v>22</v>
      </c>
      <c r="T7300" s="33" t="s">
        <v>26781</v>
      </c>
      <c r="Z7300" s="33" t="s">
        <v>42967</v>
      </c>
      <c r="AA7300" s="33">
        <v>365</v>
      </c>
    </row>
    <row r="7301" spans="1:64" ht="12" customHeight="1" x14ac:dyDescent="0.15">
      <c r="A7301" s="33" t="s">
        <v>15291</v>
      </c>
      <c r="B7301" s="103">
        <v>35</v>
      </c>
      <c r="C7301" s="33" t="s">
        <v>14</v>
      </c>
      <c r="D7301" s="33" t="s">
        <v>31</v>
      </c>
      <c r="E7301" s="33" t="s">
        <v>15292</v>
      </c>
      <c r="F7301" s="67">
        <v>41396</v>
      </c>
      <c r="G7301" s="33" t="s">
        <v>15293</v>
      </c>
      <c r="H7301" s="33" t="s">
        <v>15294</v>
      </c>
      <c r="I7301" s="33" t="s">
        <v>435</v>
      </c>
      <c r="J7301" s="33" t="s">
        <v>15295</v>
      </c>
      <c r="K7301" s="33" t="s">
        <v>434</v>
      </c>
      <c r="L7301" s="33" t="s">
        <v>15296</v>
      </c>
      <c r="M7301" s="33" t="s">
        <v>21</v>
      </c>
      <c r="N7301" s="33" t="s">
        <v>15297</v>
      </c>
      <c r="O7301" s="33" t="s">
        <v>23</v>
      </c>
      <c r="P7301" s="33" t="s">
        <v>30089</v>
      </c>
      <c r="Q7301" s="40" t="s">
        <v>15298</v>
      </c>
      <c r="R7301" s="33" t="s">
        <v>94</v>
      </c>
      <c r="S7301" s="33" t="s">
        <v>22</v>
      </c>
      <c r="T7301" s="1" t="s">
        <v>26781</v>
      </c>
      <c r="Z7301" s="33" t="s">
        <v>42966</v>
      </c>
      <c r="AA7301" s="33">
        <v>362</v>
      </c>
    </row>
    <row r="7302" spans="1:64" ht="12" customHeight="1" x14ac:dyDescent="0.15">
      <c r="A7302" s="33" t="s">
        <v>15279</v>
      </c>
      <c r="B7302" s="33">
        <v>38</v>
      </c>
      <c r="C7302" s="33" t="s">
        <v>14</v>
      </c>
      <c r="D7302" s="33" t="s">
        <v>79</v>
      </c>
      <c r="E7302" s="33" t="s">
        <v>15280</v>
      </c>
      <c r="F7302" s="67">
        <v>41396</v>
      </c>
      <c r="G7302" s="33" t="s">
        <v>15281</v>
      </c>
      <c r="H7302" s="33" t="s">
        <v>1027</v>
      </c>
      <c r="I7302" s="33" t="s">
        <v>367</v>
      </c>
      <c r="J7302" s="33" t="s">
        <v>11131</v>
      </c>
      <c r="K7302" s="33" t="s">
        <v>1028</v>
      </c>
      <c r="L7302" s="33" t="s">
        <v>1029</v>
      </c>
      <c r="M7302" s="33" t="s">
        <v>11646</v>
      </c>
      <c r="N7302" s="33" t="s">
        <v>15282</v>
      </c>
      <c r="O7302" s="33" t="s">
        <v>372</v>
      </c>
      <c r="P7302" s="33" t="s">
        <v>30089</v>
      </c>
      <c r="Q7302" s="40" t="s">
        <v>15283</v>
      </c>
      <c r="R7302" s="33" t="s">
        <v>512</v>
      </c>
      <c r="S7302" s="33" t="s">
        <v>12</v>
      </c>
      <c r="T7302" s="1" t="s">
        <v>29705</v>
      </c>
      <c r="Z7302" s="33" t="s">
        <v>42968</v>
      </c>
      <c r="AA7302" s="33">
        <v>364</v>
      </c>
    </row>
    <row r="7303" spans="1:64" ht="12" customHeight="1" x14ac:dyDescent="0.15">
      <c r="A7303" s="33" t="s">
        <v>15274</v>
      </c>
      <c r="B7303" s="103">
        <v>22</v>
      </c>
      <c r="C7303" s="33" t="s">
        <v>14</v>
      </c>
      <c r="D7303" s="33" t="s">
        <v>79</v>
      </c>
      <c r="E7303" s="33" t="s">
        <v>15275</v>
      </c>
      <c r="F7303" s="67">
        <v>41396</v>
      </c>
      <c r="G7303" s="33" t="s">
        <v>22309</v>
      </c>
      <c r="H7303" s="33" t="s">
        <v>1678</v>
      </c>
      <c r="I7303" s="33" t="s">
        <v>198</v>
      </c>
      <c r="J7303" s="33" t="s">
        <v>15276</v>
      </c>
      <c r="K7303" s="33" t="s">
        <v>1680</v>
      </c>
      <c r="L7303" s="33" t="s">
        <v>1681</v>
      </c>
      <c r="M7303" s="33" t="s">
        <v>21</v>
      </c>
      <c r="N7303" s="33" t="s">
        <v>15277</v>
      </c>
      <c r="O7303" s="33" t="s">
        <v>23</v>
      </c>
      <c r="P7303" s="33" t="s">
        <v>30089</v>
      </c>
      <c r="Q7303" s="40" t="s">
        <v>15278</v>
      </c>
      <c r="R7303" s="33" t="s">
        <v>904</v>
      </c>
      <c r="S7303" s="33" t="s">
        <v>22</v>
      </c>
      <c r="T7303" s="1" t="s">
        <v>26781</v>
      </c>
      <c r="Z7303" s="33" t="s">
        <v>42966</v>
      </c>
      <c r="AA7303" s="33">
        <v>361</v>
      </c>
    </row>
    <row r="7304" spans="1:64" ht="12" customHeight="1" x14ac:dyDescent="0.15">
      <c r="A7304" s="33" t="s">
        <v>15284</v>
      </c>
      <c r="B7304" s="103">
        <v>40</v>
      </c>
      <c r="C7304" s="33" t="s">
        <v>14</v>
      </c>
      <c r="D7304" s="33" t="s">
        <v>42</v>
      </c>
      <c r="F7304" s="67">
        <v>41396</v>
      </c>
      <c r="G7304" s="33" t="s">
        <v>15285</v>
      </c>
      <c r="H7304" s="33" t="s">
        <v>15286</v>
      </c>
      <c r="I7304" s="33" t="s">
        <v>395</v>
      </c>
      <c r="J7304" s="33" t="s">
        <v>15287</v>
      </c>
      <c r="K7304" s="33" t="s">
        <v>15286</v>
      </c>
      <c r="L7304" s="33" t="s">
        <v>15288</v>
      </c>
      <c r="M7304" s="33" t="s">
        <v>21</v>
      </c>
      <c r="N7304" s="33" t="s">
        <v>15289</v>
      </c>
      <c r="O7304" s="33" t="s">
        <v>23</v>
      </c>
      <c r="P7304" s="33" t="s">
        <v>30089</v>
      </c>
      <c r="Q7304" s="40" t="s">
        <v>15290</v>
      </c>
      <c r="R7304" s="33" t="s">
        <v>23</v>
      </c>
      <c r="S7304" s="33" t="s">
        <v>22</v>
      </c>
      <c r="T7304" s="1" t="s">
        <v>26774</v>
      </c>
      <c r="Z7304" s="33" t="s">
        <v>42968</v>
      </c>
      <c r="AA7304" s="33">
        <v>363</v>
      </c>
    </row>
    <row r="7305" spans="1:64" ht="12" customHeight="1" x14ac:dyDescent="0.15">
      <c r="A7305" s="33" t="s">
        <v>15312</v>
      </c>
      <c r="B7305" s="33">
        <v>55</v>
      </c>
      <c r="C7305" s="33" t="s">
        <v>14</v>
      </c>
      <c r="D7305" s="33" t="s">
        <v>79</v>
      </c>
      <c r="F7305" s="67">
        <v>41395</v>
      </c>
      <c r="G7305" s="33" t="s">
        <v>15313</v>
      </c>
      <c r="H7305" s="33" t="s">
        <v>92</v>
      </c>
      <c r="I7305" s="33" t="s">
        <v>39</v>
      </c>
      <c r="J7305" s="33" t="s">
        <v>3602</v>
      </c>
      <c r="K7305" s="33" t="s">
        <v>92</v>
      </c>
      <c r="L7305" s="33" t="s">
        <v>12795</v>
      </c>
      <c r="M7305" s="33" t="s">
        <v>21</v>
      </c>
      <c r="N7305" s="33" t="s">
        <v>15314</v>
      </c>
      <c r="O7305" s="33" t="s">
        <v>950</v>
      </c>
      <c r="P7305" s="33" t="s">
        <v>30089</v>
      </c>
      <c r="Q7305" s="40" t="s">
        <v>15315</v>
      </c>
      <c r="R7305" s="33" t="s">
        <v>23</v>
      </c>
      <c r="S7305" s="33" t="s">
        <v>22</v>
      </c>
      <c r="T7305" s="33" t="s">
        <v>41840</v>
      </c>
      <c r="Z7305" s="33" t="s">
        <v>42966</v>
      </c>
      <c r="AA7305" s="33">
        <v>358</v>
      </c>
    </row>
    <row r="7306" spans="1:64" ht="12" customHeight="1" x14ac:dyDescent="0.15">
      <c r="A7306" s="33" t="s">
        <v>15299</v>
      </c>
      <c r="B7306" s="103">
        <v>26</v>
      </c>
      <c r="C7306" s="33" t="s">
        <v>14</v>
      </c>
      <c r="D7306" s="33" t="s">
        <v>79</v>
      </c>
      <c r="E7306" s="33" t="s">
        <v>15300</v>
      </c>
      <c r="F7306" s="67">
        <v>41395</v>
      </c>
      <c r="G7306" s="33" t="s">
        <v>15301</v>
      </c>
      <c r="H7306" s="33" t="s">
        <v>415</v>
      </c>
      <c r="I7306" s="33" t="s">
        <v>51</v>
      </c>
      <c r="J7306" s="33" t="s">
        <v>15302</v>
      </c>
      <c r="K7306" s="33" t="s">
        <v>1057</v>
      </c>
      <c r="L7306" s="33" t="s">
        <v>15303</v>
      </c>
      <c r="M7306" s="33" t="s">
        <v>21</v>
      </c>
      <c r="N7306" s="33" t="s">
        <v>15304</v>
      </c>
      <c r="O7306" s="33" t="s">
        <v>27774</v>
      </c>
      <c r="P7306" s="33" t="s">
        <v>18576</v>
      </c>
      <c r="Q7306" s="40" t="s">
        <v>15305</v>
      </c>
      <c r="R7306" s="33" t="s">
        <v>94</v>
      </c>
      <c r="S7306" s="33" t="s">
        <v>29</v>
      </c>
      <c r="T7306" s="33" t="s">
        <v>41840</v>
      </c>
      <c r="Y7306" s="33" t="s">
        <v>42476</v>
      </c>
      <c r="Z7306" s="33" t="s">
        <v>42966</v>
      </c>
      <c r="AA7306" s="33">
        <v>359</v>
      </c>
      <c r="AE7306" s="33"/>
    </row>
    <row r="7307" spans="1:64" ht="12" customHeight="1" x14ac:dyDescent="0.15">
      <c r="A7307" s="33" t="s">
        <v>15320</v>
      </c>
      <c r="B7307" s="103">
        <v>59</v>
      </c>
      <c r="C7307" s="33" t="s">
        <v>14</v>
      </c>
      <c r="D7307" s="33" t="s">
        <v>24</v>
      </c>
      <c r="F7307" s="67">
        <v>41395</v>
      </c>
      <c r="G7307" s="33" t="s">
        <v>15321</v>
      </c>
      <c r="H7307" s="33" t="s">
        <v>261</v>
      </c>
      <c r="I7307" s="33" t="s">
        <v>67</v>
      </c>
      <c r="J7307" s="33" t="s">
        <v>15322</v>
      </c>
      <c r="K7307" s="33" t="s">
        <v>6396</v>
      </c>
      <c r="L7307" s="33" t="s">
        <v>36892</v>
      </c>
      <c r="M7307" s="33" t="s">
        <v>21</v>
      </c>
      <c r="N7307" s="33" t="s">
        <v>36893</v>
      </c>
      <c r="O7307" s="33" t="s">
        <v>23</v>
      </c>
      <c r="P7307" s="33" t="s">
        <v>30089</v>
      </c>
      <c r="Q7307" s="40" t="s">
        <v>15323</v>
      </c>
      <c r="R7307" s="33" t="s">
        <v>23</v>
      </c>
      <c r="S7307" s="33" t="s">
        <v>351</v>
      </c>
      <c r="T7307" s="1" t="s">
        <v>26867</v>
      </c>
      <c r="Z7307" s="33" t="s">
        <v>42968</v>
      </c>
      <c r="AA7307" s="33">
        <v>360</v>
      </c>
    </row>
    <row r="7308" spans="1:64" ht="12" customHeight="1" x14ac:dyDescent="0.15">
      <c r="A7308" s="33" t="s">
        <v>15306</v>
      </c>
      <c r="B7308" s="33">
        <v>20</v>
      </c>
      <c r="C7308" s="33" t="s">
        <v>14</v>
      </c>
      <c r="D7308" s="33" t="s">
        <v>79</v>
      </c>
      <c r="E7308" s="33" t="s">
        <v>15307</v>
      </c>
      <c r="F7308" s="67">
        <v>41395</v>
      </c>
      <c r="G7308" s="33" t="s">
        <v>15308</v>
      </c>
      <c r="H7308" s="33" t="s">
        <v>5472</v>
      </c>
      <c r="I7308" s="33" t="s">
        <v>338</v>
      </c>
      <c r="J7308" s="33" t="s">
        <v>15309</v>
      </c>
      <c r="K7308" s="33" t="s">
        <v>2907</v>
      </c>
      <c r="L7308" s="33" t="s">
        <v>5474</v>
      </c>
      <c r="M7308" s="33" t="s">
        <v>21</v>
      </c>
      <c r="N7308" s="33" t="s">
        <v>15310</v>
      </c>
      <c r="O7308" s="33" t="s">
        <v>507</v>
      </c>
      <c r="P7308" s="33" t="s">
        <v>30089</v>
      </c>
      <c r="Q7308" s="40" t="s">
        <v>15311</v>
      </c>
      <c r="R7308" s="33" t="s">
        <v>94</v>
      </c>
      <c r="S7308" s="33" t="s">
        <v>22</v>
      </c>
      <c r="T7308" s="1" t="s">
        <v>26781</v>
      </c>
      <c r="Z7308" s="33" t="s">
        <v>42968</v>
      </c>
      <c r="AA7308" s="33">
        <v>355</v>
      </c>
    </row>
    <row r="7309" spans="1:64" ht="12" customHeight="1" x14ac:dyDescent="0.15">
      <c r="A7309" s="63" t="s">
        <v>42788</v>
      </c>
      <c r="B7309" s="99">
        <v>54</v>
      </c>
      <c r="C7309" s="10" t="s">
        <v>14</v>
      </c>
      <c r="D7309" s="10" t="s">
        <v>31</v>
      </c>
      <c r="E7309" s="10"/>
      <c r="F7309" s="67">
        <v>41395</v>
      </c>
      <c r="G7309" s="10" t="s">
        <v>42940</v>
      </c>
      <c r="H7309" s="10" t="s">
        <v>42789</v>
      </c>
      <c r="I7309" s="10" t="s">
        <v>67</v>
      </c>
      <c r="J7309" s="65">
        <v>77539</v>
      </c>
      <c r="K7309" s="10" t="s">
        <v>4843</v>
      </c>
      <c r="L7309" s="10" t="s">
        <v>36594</v>
      </c>
      <c r="M7309" s="10" t="s">
        <v>21</v>
      </c>
      <c r="N7309" s="10" t="s">
        <v>42790</v>
      </c>
      <c r="O7309" s="10" t="s">
        <v>42518</v>
      </c>
      <c r="P7309" s="10" t="s">
        <v>30089</v>
      </c>
      <c r="Q7309" s="62" t="s">
        <v>42791</v>
      </c>
      <c r="R7309" s="10" t="s">
        <v>23</v>
      </c>
      <c r="S7309" s="10" t="s">
        <v>29</v>
      </c>
      <c r="T7309" s="10" t="s">
        <v>29867</v>
      </c>
      <c r="U7309" s="10"/>
      <c r="V7309" s="10"/>
      <c r="W7309" s="69"/>
      <c r="X7309" s="89"/>
      <c r="Y7309" s="68"/>
      <c r="Z7309" s="68" t="s">
        <v>42968</v>
      </c>
      <c r="AA7309" s="33">
        <v>357</v>
      </c>
      <c r="AG7309" s="68"/>
      <c r="AK7309" s="68"/>
      <c r="AL7309" s="68"/>
      <c r="AM7309" s="68"/>
      <c r="AN7309" s="68"/>
      <c r="AO7309" s="68"/>
      <c r="AP7309" s="68"/>
      <c r="AQ7309" s="68"/>
      <c r="AR7309" s="68"/>
      <c r="AS7309" s="68"/>
      <c r="AT7309" s="68"/>
      <c r="AU7309" s="68"/>
      <c r="AV7309" s="68"/>
      <c r="AW7309" s="68"/>
      <c r="AX7309" s="68"/>
      <c r="AY7309" s="68"/>
      <c r="AZ7309" s="68"/>
      <c r="BA7309" s="68"/>
      <c r="BB7309" s="68"/>
      <c r="BC7309" s="68"/>
      <c r="BD7309" s="68"/>
      <c r="BE7309" s="68"/>
      <c r="BF7309" s="68"/>
      <c r="BG7309" s="68"/>
      <c r="BH7309" s="68"/>
      <c r="BI7309" s="68"/>
      <c r="BJ7309" s="68"/>
      <c r="BK7309" s="68"/>
      <c r="BL7309" s="68"/>
    </row>
    <row r="7310" spans="1:64" ht="12" customHeight="1" x14ac:dyDescent="0.15">
      <c r="A7310" s="33" t="s">
        <v>15316</v>
      </c>
      <c r="B7310" s="33" t="s">
        <v>23</v>
      </c>
      <c r="C7310" s="33" t="s">
        <v>14</v>
      </c>
      <c r="D7310" s="33" t="s">
        <v>24</v>
      </c>
      <c r="F7310" s="67">
        <v>41395</v>
      </c>
      <c r="G7310" s="33" t="s">
        <v>15317</v>
      </c>
      <c r="H7310" s="33" t="s">
        <v>92</v>
      </c>
      <c r="I7310" s="33" t="s">
        <v>39</v>
      </c>
      <c r="J7310" s="33" t="s">
        <v>3602</v>
      </c>
      <c r="K7310" s="33" t="s">
        <v>92</v>
      </c>
      <c r="L7310" s="33" t="s">
        <v>93</v>
      </c>
      <c r="M7310" s="33" t="s">
        <v>21</v>
      </c>
      <c r="N7310" s="33" t="s">
        <v>15318</v>
      </c>
      <c r="O7310" s="33" t="s">
        <v>950</v>
      </c>
      <c r="P7310" s="33" t="s">
        <v>30089</v>
      </c>
      <c r="Q7310" s="40" t="s">
        <v>15319</v>
      </c>
      <c r="R7310" s="33" t="s">
        <v>23</v>
      </c>
      <c r="S7310" s="33" t="s">
        <v>22</v>
      </c>
      <c r="T7310" s="1" t="s">
        <v>26781</v>
      </c>
      <c r="Z7310" s="33" t="s">
        <v>42966</v>
      </c>
      <c r="AA7310" s="33">
        <v>356</v>
      </c>
    </row>
    <row r="7311" spans="1:64" ht="12" customHeight="1" x14ac:dyDescent="0.15">
      <c r="A7311" s="33" t="s">
        <v>15324</v>
      </c>
      <c r="B7311" s="103">
        <v>35</v>
      </c>
      <c r="C7311" s="33" t="s">
        <v>14</v>
      </c>
      <c r="D7311" s="33" t="s">
        <v>42</v>
      </c>
      <c r="F7311" s="67">
        <v>41394</v>
      </c>
      <c r="G7311" s="33" t="s">
        <v>22311</v>
      </c>
      <c r="H7311" s="33" t="s">
        <v>92</v>
      </c>
      <c r="I7311" s="33" t="s">
        <v>39</v>
      </c>
      <c r="J7311" s="33" t="s">
        <v>2767</v>
      </c>
      <c r="K7311" s="33" t="s">
        <v>92</v>
      </c>
      <c r="L7311" s="33" t="s">
        <v>93</v>
      </c>
      <c r="M7311" s="33" t="s">
        <v>21</v>
      </c>
      <c r="N7311" s="33" t="s">
        <v>15325</v>
      </c>
      <c r="O7311" s="33" t="s">
        <v>23</v>
      </c>
      <c r="P7311" s="33" t="s">
        <v>30089</v>
      </c>
      <c r="Q7311" s="40" t="s">
        <v>15326</v>
      </c>
      <c r="R7311" s="33" t="s">
        <v>94</v>
      </c>
      <c r="S7311" s="33" t="s">
        <v>22</v>
      </c>
      <c r="T7311" s="33" t="s">
        <v>41840</v>
      </c>
      <c r="Z7311" s="33" t="s">
        <v>42966</v>
      </c>
      <c r="AA7311" s="33">
        <v>353</v>
      </c>
    </row>
    <row r="7312" spans="1:64" ht="12" customHeight="1" x14ac:dyDescent="0.15">
      <c r="A7312" s="33" t="s">
        <v>7525</v>
      </c>
      <c r="B7312" s="103">
        <v>19</v>
      </c>
      <c r="C7312" s="33" t="s">
        <v>14</v>
      </c>
      <c r="D7312" s="33" t="s">
        <v>24</v>
      </c>
      <c r="F7312" s="67">
        <v>41394</v>
      </c>
      <c r="G7312" s="33" t="s">
        <v>15334</v>
      </c>
      <c r="H7312" s="33" t="s">
        <v>15335</v>
      </c>
      <c r="I7312" s="33" t="s">
        <v>178</v>
      </c>
      <c r="J7312" s="33" t="s">
        <v>15336</v>
      </c>
      <c r="K7312" s="33" t="s">
        <v>6147</v>
      </c>
      <c r="L7312" s="33" t="s">
        <v>15337</v>
      </c>
      <c r="M7312" s="33" t="s">
        <v>21</v>
      </c>
      <c r="N7312" s="33" t="s">
        <v>15338</v>
      </c>
      <c r="O7312" s="33" t="s">
        <v>507</v>
      </c>
      <c r="P7312" s="33" t="s">
        <v>30089</v>
      </c>
      <c r="Q7312" s="40" t="s">
        <v>15339</v>
      </c>
      <c r="R7312" s="33" t="s">
        <v>23</v>
      </c>
      <c r="S7312" s="33" t="s">
        <v>22</v>
      </c>
      <c r="T7312" s="1" t="s">
        <v>26781</v>
      </c>
      <c r="Z7312" s="33" t="s">
        <v>42967</v>
      </c>
      <c r="AA7312" s="33">
        <v>349</v>
      </c>
    </row>
    <row r="7313" spans="1:64" ht="12" customHeight="1" x14ac:dyDescent="0.15">
      <c r="A7313" s="33" t="s">
        <v>15340</v>
      </c>
      <c r="B7313" s="33">
        <v>28</v>
      </c>
      <c r="C7313" s="33" t="s">
        <v>14</v>
      </c>
      <c r="D7313" s="33" t="s">
        <v>31</v>
      </c>
      <c r="E7313" s="33" t="s">
        <v>15341</v>
      </c>
      <c r="F7313" s="67">
        <v>41394</v>
      </c>
      <c r="G7313" s="33" t="s">
        <v>15342</v>
      </c>
      <c r="H7313" s="33" t="s">
        <v>15343</v>
      </c>
      <c r="I7313" s="33" t="s">
        <v>221</v>
      </c>
      <c r="J7313" s="33" t="s">
        <v>15344</v>
      </c>
      <c r="K7313" s="33" t="s">
        <v>15345</v>
      </c>
      <c r="L7313" s="33" t="s">
        <v>15346</v>
      </c>
      <c r="M7313" s="33" t="s">
        <v>363</v>
      </c>
      <c r="N7313" s="33" t="s">
        <v>15347</v>
      </c>
      <c r="O7313" s="33" t="s">
        <v>23</v>
      </c>
      <c r="P7313" s="33" t="s">
        <v>30089</v>
      </c>
      <c r="Q7313" s="40" t="s">
        <v>15348</v>
      </c>
      <c r="R7313" s="33" t="s">
        <v>512</v>
      </c>
      <c r="S7313" s="33" t="s">
        <v>12</v>
      </c>
      <c r="T7313" s="33" t="s">
        <v>29705</v>
      </c>
      <c r="Z7313" s="33" t="s">
        <v>42967</v>
      </c>
      <c r="AA7313" s="33">
        <v>352</v>
      </c>
    </row>
    <row r="7314" spans="1:64" ht="12" customHeight="1" x14ac:dyDescent="0.15">
      <c r="A7314" s="33" t="s">
        <v>27532</v>
      </c>
      <c r="B7314" s="33">
        <v>41</v>
      </c>
      <c r="C7314" s="33" t="s">
        <v>14</v>
      </c>
      <c r="D7314" s="33" t="s">
        <v>31</v>
      </c>
      <c r="F7314" s="67">
        <v>41394</v>
      </c>
      <c r="G7314" s="33" t="s">
        <v>27533</v>
      </c>
      <c r="H7314" s="33" t="s">
        <v>603</v>
      </c>
      <c r="I7314" s="33" t="s">
        <v>56</v>
      </c>
      <c r="J7314" s="33" t="s">
        <v>15355</v>
      </c>
      <c r="K7314" s="33" t="s">
        <v>604</v>
      </c>
      <c r="L7314" s="33" t="s">
        <v>605</v>
      </c>
      <c r="M7314" s="33" t="s">
        <v>21</v>
      </c>
      <c r="N7314" s="33" t="s">
        <v>36894</v>
      </c>
      <c r="O7314" s="33" t="s">
        <v>950</v>
      </c>
      <c r="P7314" s="33" t="s">
        <v>30089</v>
      </c>
      <c r="Q7314" s="40" t="s">
        <v>27534</v>
      </c>
      <c r="R7314" s="33" t="s">
        <v>512</v>
      </c>
      <c r="S7314" s="33" t="s">
        <v>12</v>
      </c>
      <c r="T7314" s="33" t="s">
        <v>29425</v>
      </c>
      <c r="Z7314" s="33" t="s">
        <v>42968</v>
      </c>
      <c r="AA7314" s="33">
        <v>351</v>
      </c>
    </row>
    <row r="7315" spans="1:64" ht="12" customHeight="1" x14ac:dyDescent="0.15">
      <c r="A7315" s="33" t="s">
        <v>15327</v>
      </c>
      <c r="B7315" s="103">
        <v>60</v>
      </c>
      <c r="C7315" s="33" t="s">
        <v>14</v>
      </c>
      <c r="D7315" s="33" t="s">
        <v>24</v>
      </c>
      <c r="F7315" s="67">
        <v>41394</v>
      </c>
      <c r="G7315" s="33" t="s">
        <v>22310</v>
      </c>
      <c r="H7315" s="33" t="s">
        <v>15328</v>
      </c>
      <c r="I7315" s="33" t="s">
        <v>225</v>
      </c>
      <c r="J7315" s="33" t="s">
        <v>15329</v>
      </c>
      <c r="K7315" s="33" t="s">
        <v>15330</v>
      </c>
      <c r="L7315" s="33" t="s">
        <v>15331</v>
      </c>
      <c r="M7315" s="33" t="s">
        <v>21</v>
      </c>
      <c r="N7315" s="33" t="s">
        <v>15332</v>
      </c>
      <c r="O7315" s="33" t="s">
        <v>23</v>
      </c>
      <c r="P7315" s="33" t="s">
        <v>30089</v>
      </c>
      <c r="Q7315" s="40" t="s">
        <v>15333</v>
      </c>
      <c r="R7315" s="33" t="s">
        <v>23</v>
      </c>
      <c r="S7315" s="33" t="s">
        <v>22</v>
      </c>
      <c r="T7315" s="1" t="s">
        <v>26774</v>
      </c>
      <c r="Z7315" s="33" t="s">
        <v>42967</v>
      </c>
      <c r="AA7315" s="33">
        <v>350</v>
      </c>
    </row>
    <row r="7316" spans="1:64" ht="12" customHeight="1" x14ac:dyDescent="0.15">
      <c r="A7316" s="63" t="s">
        <v>42869</v>
      </c>
      <c r="B7316" s="99">
        <v>59</v>
      </c>
      <c r="C7316" s="10" t="s">
        <v>14</v>
      </c>
      <c r="D7316" s="10" t="s">
        <v>31</v>
      </c>
      <c r="E7316" s="10"/>
      <c r="F7316" s="67">
        <v>41394</v>
      </c>
      <c r="G7316" s="10" t="s">
        <v>42870</v>
      </c>
      <c r="H7316" s="10" t="s">
        <v>42871</v>
      </c>
      <c r="I7316" s="10" t="s">
        <v>160</v>
      </c>
      <c r="J7316" s="65">
        <v>31634</v>
      </c>
      <c r="K7316" s="10" t="s">
        <v>42872</v>
      </c>
      <c r="L7316" s="10" t="s">
        <v>42873</v>
      </c>
      <c r="M7316" s="10" t="s">
        <v>21</v>
      </c>
      <c r="N7316" s="10" t="s">
        <v>42874</v>
      </c>
      <c r="O7316" s="10" t="s">
        <v>950</v>
      </c>
      <c r="P7316" s="10" t="s">
        <v>30089</v>
      </c>
      <c r="Q7316" s="62" t="s">
        <v>42875</v>
      </c>
      <c r="R7316" s="10" t="s">
        <v>23</v>
      </c>
      <c r="S7316" s="10" t="s">
        <v>29</v>
      </c>
      <c r="T7316" s="10" t="s">
        <v>41840</v>
      </c>
      <c r="U7316" s="10"/>
      <c r="V7316" s="10"/>
      <c r="W7316" s="10"/>
      <c r="X7316" s="89"/>
      <c r="Y7316" s="68"/>
      <c r="Z7316" s="68" t="s">
        <v>42967</v>
      </c>
      <c r="AA7316" s="33">
        <v>354</v>
      </c>
      <c r="AG7316" s="68"/>
      <c r="AK7316" s="68"/>
      <c r="AL7316" s="68"/>
      <c r="AM7316" s="68"/>
      <c r="AN7316" s="68"/>
      <c r="AO7316" s="68"/>
      <c r="AP7316" s="68"/>
      <c r="AQ7316" s="68"/>
      <c r="AR7316" s="68"/>
      <c r="AS7316" s="68"/>
      <c r="AT7316" s="68"/>
      <c r="AU7316" s="68"/>
      <c r="AV7316" s="68"/>
      <c r="AW7316" s="68"/>
      <c r="AX7316" s="68"/>
      <c r="AY7316" s="68"/>
      <c r="AZ7316" s="68"/>
      <c r="BA7316" s="68"/>
      <c r="BB7316" s="68"/>
      <c r="BC7316" s="68"/>
      <c r="BD7316" s="68"/>
      <c r="BE7316" s="68"/>
      <c r="BF7316" s="68"/>
      <c r="BG7316" s="68"/>
      <c r="BH7316" s="68"/>
      <c r="BI7316" s="68"/>
      <c r="BJ7316" s="68"/>
      <c r="BK7316" s="68"/>
      <c r="BL7316" s="68"/>
    </row>
    <row r="7317" spans="1:64" ht="12" customHeight="1" x14ac:dyDescent="0.15">
      <c r="A7317" s="33" t="s">
        <v>15349</v>
      </c>
      <c r="B7317" s="33">
        <v>34</v>
      </c>
      <c r="C7317" s="33" t="s">
        <v>14</v>
      </c>
      <c r="D7317" s="33" t="s">
        <v>42</v>
      </c>
      <c r="F7317" s="67">
        <v>41393</v>
      </c>
      <c r="G7317" s="33" t="s">
        <v>15350</v>
      </c>
      <c r="H7317" s="33" t="s">
        <v>997</v>
      </c>
      <c r="I7317" s="33" t="s">
        <v>56</v>
      </c>
      <c r="J7317" s="33" t="s">
        <v>15351</v>
      </c>
      <c r="K7317" s="33" t="s">
        <v>998</v>
      </c>
      <c r="L7317" s="33" t="s">
        <v>4077</v>
      </c>
      <c r="M7317" s="33" t="s">
        <v>21</v>
      </c>
      <c r="N7317" s="33" t="s">
        <v>15352</v>
      </c>
      <c r="O7317" s="33" t="s">
        <v>950</v>
      </c>
      <c r="P7317" s="33" t="s">
        <v>30089</v>
      </c>
      <c r="Q7317" s="40" t="s">
        <v>15353</v>
      </c>
      <c r="R7317" s="33" t="s">
        <v>94</v>
      </c>
      <c r="S7317" s="33" t="s">
        <v>12</v>
      </c>
      <c r="T7317" s="1" t="s">
        <v>29425</v>
      </c>
      <c r="Z7317" s="33" t="s">
        <v>42968</v>
      </c>
      <c r="AA7317" s="33">
        <v>346</v>
      </c>
    </row>
    <row r="7318" spans="1:64" ht="12" customHeight="1" x14ac:dyDescent="0.15">
      <c r="A7318" s="63" t="s">
        <v>42854</v>
      </c>
      <c r="B7318" s="99">
        <v>23</v>
      </c>
      <c r="C7318" s="10" t="s">
        <v>14</v>
      </c>
      <c r="D7318" s="10" t="s">
        <v>79</v>
      </c>
      <c r="E7318" s="10"/>
      <c r="F7318" s="67">
        <v>41393</v>
      </c>
      <c r="G7318" s="10" t="s">
        <v>42855</v>
      </c>
      <c r="H7318" s="10" t="s">
        <v>674</v>
      </c>
      <c r="I7318" s="10" t="s">
        <v>67</v>
      </c>
      <c r="J7318" s="65">
        <v>77086</v>
      </c>
      <c r="K7318" s="10" t="s">
        <v>515</v>
      </c>
      <c r="L7318" s="10" t="s">
        <v>516</v>
      </c>
      <c r="M7318" s="10" t="s">
        <v>21</v>
      </c>
      <c r="N7318" s="10" t="s">
        <v>42856</v>
      </c>
      <c r="O7318" s="10" t="s">
        <v>42518</v>
      </c>
      <c r="P7318" s="10" t="s">
        <v>30089</v>
      </c>
      <c r="Q7318" s="62" t="s">
        <v>42857</v>
      </c>
      <c r="R7318" s="10" t="s">
        <v>94</v>
      </c>
      <c r="S7318" s="10" t="s">
        <v>29</v>
      </c>
      <c r="T7318" s="10" t="s">
        <v>41840</v>
      </c>
      <c r="U7318" s="10"/>
      <c r="V7318" s="10"/>
      <c r="W7318" s="69"/>
      <c r="X7318" s="89"/>
      <c r="Y7318" s="68"/>
      <c r="Z7318" s="68" t="s">
        <v>42968</v>
      </c>
      <c r="AA7318" s="33">
        <v>348</v>
      </c>
      <c r="AG7318" s="68"/>
      <c r="AK7318" s="68"/>
      <c r="AL7318" s="68"/>
      <c r="AM7318" s="68"/>
      <c r="AN7318" s="68"/>
      <c r="AO7318" s="68"/>
      <c r="AP7318" s="68"/>
      <c r="AQ7318" s="68"/>
      <c r="AR7318" s="68"/>
      <c r="AS7318" s="68"/>
      <c r="AT7318" s="68"/>
      <c r="AU7318" s="68"/>
      <c r="AV7318" s="68"/>
      <c r="AW7318" s="68"/>
      <c r="AX7318" s="68"/>
      <c r="AY7318" s="68"/>
      <c r="AZ7318" s="68"/>
      <c r="BA7318" s="68"/>
      <c r="BB7318" s="68"/>
      <c r="BC7318" s="68"/>
      <c r="BD7318" s="68"/>
      <c r="BE7318" s="68"/>
      <c r="BF7318" s="68"/>
      <c r="BG7318" s="68"/>
      <c r="BH7318" s="68"/>
      <c r="BI7318" s="68"/>
      <c r="BJ7318" s="68"/>
      <c r="BK7318" s="68"/>
      <c r="BL7318" s="68"/>
    </row>
    <row r="7319" spans="1:64" ht="12" customHeight="1" x14ac:dyDescent="0.15">
      <c r="A7319" s="33" t="s">
        <v>15354</v>
      </c>
      <c r="B7319" s="103">
        <v>41</v>
      </c>
      <c r="C7319" s="33" t="s">
        <v>14</v>
      </c>
      <c r="D7319" s="33" t="s">
        <v>24</v>
      </c>
      <c r="F7319" s="67">
        <v>41393</v>
      </c>
      <c r="G7319" s="33" t="s">
        <v>22312</v>
      </c>
      <c r="H7319" s="33" t="s">
        <v>603</v>
      </c>
      <c r="I7319" s="33" t="s">
        <v>56</v>
      </c>
      <c r="J7319" s="33" t="s">
        <v>15355</v>
      </c>
      <c r="K7319" s="33" t="s">
        <v>604</v>
      </c>
      <c r="L7319" s="33" t="s">
        <v>605</v>
      </c>
      <c r="M7319" s="33" t="s">
        <v>21</v>
      </c>
      <c r="N7319" s="33" t="s">
        <v>15356</v>
      </c>
      <c r="O7319" s="33" t="s">
        <v>23</v>
      </c>
      <c r="P7319" s="33" t="s">
        <v>30089</v>
      </c>
      <c r="Q7319" s="40" t="s">
        <v>15357</v>
      </c>
      <c r="R7319" s="33" t="s">
        <v>94</v>
      </c>
      <c r="S7319" s="33" t="s">
        <v>12</v>
      </c>
      <c r="T7319" s="1" t="s">
        <v>29425</v>
      </c>
      <c r="Z7319" s="33" t="s">
        <v>42968</v>
      </c>
      <c r="AA7319" s="33">
        <v>347</v>
      </c>
    </row>
    <row r="7320" spans="1:64" ht="12" customHeight="1" x14ac:dyDescent="0.15">
      <c r="A7320" s="33" t="s">
        <v>3002</v>
      </c>
      <c r="B7320" s="103">
        <v>33</v>
      </c>
      <c r="C7320" s="33" t="s">
        <v>14</v>
      </c>
      <c r="D7320" s="33" t="s">
        <v>24</v>
      </c>
      <c r="F7320" s="67">
        <v>41393</v>
      </c>
      <c r="G7320" s="33" t="s">
        <v>22313</v>
      </c>
      <c r="H7320" s="33" t="s">
        <v>1033</v>
      </c>
      <c r="I7320" s="33" t="s">
        <v>376</v>
      </c>
      <c r="J7320" s="33" t="s">
        <v>15364</v>
      </c>
      <c r="K7320" s="33" t="s">
        <v>1033</v>
      </c>
      <c r="L7320" s="33" t="s">
        <v>1034</v>
      </c>
      <c r="M7320" s="33" t="s">
        <v>21</v>
      </c>
      <c r="N7320" s="33" t="s">
        <v>15365</v>
      </c>
      <c r="O7320" s="33" t="s">
        <v>507</v>
      </c>
      <c r="P7320" s="33" t="s">
        <v>30089</v>
      </c>
      <c r="Q7320" s="40" t="s">
        <v>15366</v>
      </c>
      <c r="R7320" s="33" t="s">
        <v>23</v>
      </c>
      <c r="S7320" s="33" t="s">
        <v>22</v>
      </c>
      <c r="T7320" s="1" t="s">
        <v>26774</v>
      </c>
      <c r="Z7320" s="33" t="s">
        <v>42966</v>
      </c>
      <c r="AA7320" s="33">
        <v>345</v>
      </c>
    </row>
    <row r="7321" spans="1:64" ht="12" customHeight="1" x14ac:dyDescent="0.15">
      <c r="A7321" s="33" t="s">
        <v>15358</v>
      </c>
      <c r="B7321" s="103">
        <v>42</v>
      </c>
      <c r="C7321" s="33" t="s">
        <v>14</v>
      </c>
      <c r="D7321" s="33" t="s">
        <v>24</v>
      </c>
      <c r="F7321" s="67">
        <v>41393</v>
      </c>
      <c r="G7321" s="33" t="s">
        <v>15359</v>
      </c>
      <c r="H7321" s="33" t="s">
        <v>15360</v>
      </c>
      <c r="I7321" s="33" t="s">
        <v>198</v>
      </c>
      <c r="J7321" s="33" t="s">
        <v>15361</v>
      </c>
      <c r="K7321" s="33" t="s">
        <v>2476</v>
      </c>
      <c r="L7321" s="33" t="s">
        <v>36895</v>
      </c>
      <c r="M7321" s="33" t="s">
        <v>21</v>
      </c>
      <c r="N7321" s="33" t="s">
        <v>15362</v>
      </c>
      <c r="O7321" s="33" t="s">
        <v>23</v>
      </c>
      <c r="P7321" s="33" t="s">
        <v>30089</v>
      </c>
      <c r="Q7321" s="40" t="s">
        <v>15363</v>
      </c>
      <c r="R7321" s="33" t="s">
        <v>94</v>
      </c>
      <c r="S7321" s="33" t="s">
        <v>22</v>
      </c>
      <c r="T7321" s="1" t="s">
        <v>26781</v>
      </c>
      <c r="Z7321" s="33" t="s">
        <v>42968</v>
      </c>
      <c r="AA7321" s="33">
        <v>344</v>
      </c>
    </row>
    <row r="7322" spans="1:64" ht="12" customHeight="1" x14ac:dyDescent="0.15">
      <c r="A7322" s="33" t="s">
        <v>15371</v>
      </c>
      <c r="B7322" s="103">
        <v>53</v>
      </c>
      <c r="C7322" s="33" t="s">
        <v>103</v>
      </c>
      <c r="D7322" s="33" t="s">
        <v>31</v>
      </c>
      <c r="E7322" s="33" t="s">
        <v>15372</v>
      </c>
      <c r="F7322" s="67">
        <v>41392</v>
      </c>
      <c r="G7322" s="33" t="s">
        <v>15373</v>
      </c>
      <c r="H7322" s="33" t="s">
        <v>12230</v>
      </c>
      <c r="I7322" s="33" t="s">
        <v>56</v>
      </c>
      <c r="J7322" s="33" t="s">
        <v>12930</v>
      </c>
      <c r="K7322" s="33" t="s">
        <v>2152</v>
      </c>
      <c r="L7322" s="33" t="s">
        <v>12747</v>
      </c>
      <c r="M7322" s="33" t="s">
        <v>21</v>
      </c>
      <c r="N7322" s="33" t="s">
        <v>15374</v>
      </c>
      <c r="O7322" s="33" t="s">
        <v>23</v>
      </c>
      <c r="P7322" s="33" t="s">
        <v>30089</v>
      </c>
      <c r="Q7322" s="40" t="s">
        <v>15375</v>
      </c>
      <c r="R7322" s="33" t="s">
        <v>512</v>
      </c>
      <c r="S7322" s="33" t="s">
        <v>22</v>
      </c>
      <c r="T7322" s="1" t="s">
        <v>26781</v>
      </c>
      <c r="Z7322" s="33" t="s">
        <v>42966</v>
      </c>
      <c r="AA7322" s="33">
        <v>342</v>
      </c>
    </row>
    <row r="7323" spans="1:64" ht="12" customHeight="1" x14ac:dyDescent="0.15">
      <c r="A7323" s="33" t="s">
        <v>15367</v>
      </c>
      <c r="B7323" s="103">
        <v>21</v>
      </c>
      <c r="C7323" s="33" t="s">
        <v>14</v>
      </c>
      <c r="D7323" s="33" t="s">
        <v>42</v>
      </c>
      <c r="F7323" s="67">
        <v>41392</v>
      </c>
      <c r="G7323" s="33" t="s">
        <v>15368</v>
      </c>
      <c r="H7323" s="33" t="s">
        <v>451</v>
      </c>
      <c r="I7323" s="33" t="s">
        <v>39</v>
      </c>
      <c r="J7323" s="33" t="s">
        <v>14901</v>
      </c>
      <c r="K7323" s="33" t="s">
        <v>92</v>
      </c>
      <c r="L7323" s="33" t="s">
        <v>452</v>
      </c>
      <c r="M7323" s="33" t="s">
        <v>21</v>
      </c>
      <c r="N7323" s="33" t="s">
        <v>15369</v>
      </c>
      <c r="O7323" s="33" t="s">
        <v>23</v>
      </c>
      <c r="P7323" s="33" t="s">
        <v>30089</v>
      </c>
      <c r="Q7323" s="40" t="s">
        <v>15370</v>
      </c>
      <c r="R7323" s="33" t="s">
        <v>23</v>
      </c>
      <c r="S7323" s="33" t="s">
        <v>22</v>
      </c>
      <c r="T7323" s="1" t="s">
        <v>26781</v>
      </c>
      <c r="Z7323" s="33" t="s">
        <v>42966</v>
      </c>
      <c r="AA7323" s="33">
        <v>343</v>
      </c>
    </row>
    <row r="7324" spans="1:64" ht="12" customHeight="1" x14ac:dyDescent="0.15">
      <c r="A7324" s="33" t="s">
        <v>15389</v>
      </c>
      <c r="B7324" s="103">
        <v>28</v>
      </c>
      <c r="C7324" s="33" t="s">
        <v>14</v>
      </c>
      <c r="D7324" s="33" t="s">
        <v>24</v>
      </c>
      <c r="F7324" s="67">
        <v>41391</v>
      </c>
      <c r="G7324" s="33" t="s">
        <v>15390</v>
      </c>
      <c r="H7324" s="33" t="s">
        <v>15391</v>
      </c>
      <c r="I7324" s="33" t="s">
        <v>56</v>
      </c>
      <c r="J7324" s="33" t="s">
        <v>13840</v>
      </c>
      <c r="K7324" s="33" t="s">
        <v>1052</v>
      </c>
      <c r="L7324" s="33" t="s">
        <v>4758</v>
      </c>
      <c r="M7324" s="33" t="s">
        <v>21</v>
      </c>
      <c r="N7324" s="33" t="s">
        <v>15392</v>
      </c>
      <c r="O7324" s="33" t="s">
        <v>23</v>
      </c>
      <c r="P7324" s="33" t="s">
        <v>30089</v>
      </c>
      <c r="Q7324" s="40" t="s">
        <v>15393</v>
      </c>
      <c r="R7324" s="33" t="s">
        <v>94</v>
      </c>
      <c r="S7324" s="33" t="s">
        <v>22</v>
      </c>
      <c r="T7324" s="1" t="s">
        <v>26781</v>
      </c>
      <c r="Z7324" s="33" t="s">
        <v>42968</v>
      </c>
      <c r="AA7324" s="33">
        <v>336</v>
      </c>
    </row>
    <row r="7325" spans="1:64" ht="12" customHeight="1" x14ac:dyDescent="0.15">
      <c r="A7325" s="33" t="s">
        <v>15376</v>
      </c>
      <c r="B7325" s="103">
        <v>19</v>
      </c>
      <c r="C7325" s="33" t="s">
        <v>14</v>
      </c>
      <c r="D7325" s="33" t="s">
        <v>79</v>
      </c>
      <c r="E7325" s="33" t="s">
        <v>15377</v>
      </c>
      <c r="F7325" s="67">
        <v>41391</v>
      </c>
      <c r="G7325" s="33" t="s">
        <v>22314</v>
      </c>
      <c r="H7325" s="33" t="s">
        <v>1678</v>
      </c>
      <c r="I7325" s="33" t="s">
        <v>198</v>
      </c>
      <c r="J7325" s="33" t="s">
        <v>15378</v>
      </c>
      <c r="K7325" s="33" t="s">
        <v>1680</v>
      </c>
      <c r="L7325" s="33" t="s">
        <v>1681</v>
      </c>
      <c r="M7325" s="33" t="s">
        <v>21</v>
      </c>
      <c r="N7325" s="33" t="s">
        <v>15379</v>
      </c>
      <c r="O7325" s="33" t="s">
        <v>23</v>
      </c>
      <c r="P7325" s="33" t="s">
        <v>30089</v>
      </c>
      <c r="Q7325" s="40" t="s">
        <v>15380</v>
      </c>
      <c r="R7325" s="33" t="s">
        <v>94</v>
      </c>
      <c r="S7325" s="33" t="s">
        <v>22</v>
      </c>
      <c r="T7325" s="1" t="s">
        <v>26781</v>
      </c>
      <c r="Z7325" s="33" t="s">
        <v>42966</v>
      </c>
      <c r="AA7325" s="33">
        <v>335</v>
      </c>
    </row>
    <row r="7326" spans="1:64" ht="12" customHeight="1" x14ac:dyDescent="0.15">
      <c r="A7326" s="33" t="s">
        <v>15399</v>
      </c>
      <c r="B7326" s="103">
        <v>47</v>
      </c>
      <c r="C7326" s="33" t="s">
        <v>14</v>
      </c>
      <c r="D7326" s="33" t="s">
        <v>31</v>
      </c>
      <c r="E7326" s="33" t="s">
        <v>15400</v>
      </c>
      <c r="F7326" s="67">
        <v>41391</v>
      </c>
      <c r="G7326" s="33" t="s">
        <v>15401</v>
      </c>
      <c r="H7326" s="33" t="s">
        <v>1746</v>
      </c>
      <c r="I7326" s="33" t="s">
        <v>918</v>
      </c>
      <c r="J7326" s="33" t="s">
        <v>15402</v>
      </c>
      <c r="K7326" s="33" t="s">
        <v>15403</v>
      </c>
      <c r="L7326" s="33" t="s">
        <v>15404</v>
      </c>
      <c r="M7326" s="33" t="s">
        <v>21</v>
      </c>
      <c r="N7326" s="33" t="s">
        <v>15405</v>
      </c>
      <c r="O7326" s="33" t="s">
        <v>23</v>
      </c>
      <c r="P7326" s="33" t="s">
        <v>30089</v>
      </c>
      <c r="Q7326" s="40" t="s">
        <v>15406</v>
      </c>
      <c r="R7326" s="33" t="s">
        <v>94</v>
      </c>
      <c r="S7326" s="33" t="s">
        <v>22</v>
      </c>
      <c r="T7326" s="33" t="s">
        <v>26774</v>
      </c>
      <c r="Z7326" s="33" t="s">
        <v>42967</v>
      </c>
      <c r="AA7326" s="33">
        <v>341</v>
      </c>
    </row>
    <row r="7327" spans="1:64" ht="12" customHeight="1" x14ac:dyDescent="0.15">
      <c r="A7327" s="33" t="s">
        <v>15407</v>
      </c>
      <c r="B7327" s="103">
        <v>46</v>
      </c>
      <c r="C7327" s="33" t="s">
        <v>14</v>
      </c>
      <c r="D7327" s="33" t="s">
        <v>31</v>
      </c>
      <c r="E7327" s="33" t="s">
        <v>15408</v>
      </c>
      <c r="F7327" s="67">
        <v>41391</v>
      </c>
      <c r="G7327" s="33" t="s">
        <v>22315</v>
      </c>
      <c r="H7327" s="33" t="s">
        <v>831</v>
      </c>
      <c r="I7327" s="33" t="s">
        <v>409</v>
      </c>
      <c r="J7327" s="33" t="s">
        <v>15409</v>
      </c>
      <c r="K7327" s="33" t="s">
        <v>831</v>
      </c>
      <c r="L7327" s="33" t="s">
        <v>3545</v>
      </c>
      <c r="M7327" s="33" t="s">
        <v>21</v>
      </c>
      <c r="N7327" s="33" t="s">
        <v>15410</v>
      </c>
      <c r="O7327" s="33" t="s">
        <v>23</v>
      </c>
      <c r="P7327" s="33" t="s">
        <v>30089</v>
      </c>
      <c r="Q7327" s="40" t="s">
        <v>15411</v>
      </c>
      <c r="R7327" s="33" t="s">
        <v>23</v>
      </c>
      <c r="S7327" s="33" t="s">
        <v>22</v>
      </c>
      <c r="T7327" s="1" t="s">
        <v>26774</v>
      </c>
      <c r="Z7327" s="33" t="s">
        <v>42966</v>
      </c>
      <c r="AA7327" s="33">
        <v>340</v>
      </c>
    </row>
    <row r="7328" spans="1:64" ht="12" customHeight="1" x14ac:dyDescent="0.15">
      <c r="A7328" s="33" t="s">
        <v>9257</v>
      </c>
      <c r="B7328" s="103">
        <v>31</v>
      </c>
      <c r="C7328" s="33" t="s">
        <v>14</v>
      </c>
      <c r="D7328" s="33" t="s">
        <v>79</v>
      </c>
      <c r="E7328" s="33" t="str">
        <f>HYPERLINK("http://www.news-graphic.com/image_5c8d94e0-b110-11e2-af2b-001a4bcf887a.html","http://www.news-graphic.com/image_5c8d94e0-b110-11e2-af2b-001a4bcf887a.html")</f>
        <v>http://www.news-graphic.com/image_5c8d94e0-b110-11e2-af2b-001a4bcf887a.html</v>
      </c>
      <c r="F7328" s="67">
        <v>41391</v>
      </c>
      <c r="G7328" s="33" t="s">
        <v>9258</v>
      </c>
      <c r="H7328" s="33" t="s">
        <v>7825</v>
      </c>
      <c r="I7328" s="33" t="s">
        <v>294</v>
      </c>
      <c r="J7328" s="33" t="s">
        <v>9259</v>
      </c>
      <c r="K7328" s="33" t="s">
        <v>6440</v>
      </c>
      <c r="L7328" s="33" t="s">
        <v>9260</v>
      </c>
      <c r="M7328" s="33" t="s">
        <v>21</v>
      </c>
      <c r="N7328" s="33" t="s">
        <v>9261</v>
      </c>
      <c r="O7328" s="33" t="s">
        <v>23</v>
      </c>
      <c r="P7328" s="33" t="s">
        <v>30089</v>
      </c>
      <c r="Q7328" s="40" t="s">
        <v>9262</v>
      </c>
      <c r="R7328" s="33" t="s">
        <v>23</v>
      </c>
      <c r="S7328" s="33" t="s">
        <v>22</v>
      </c>
      <c r="T7328" s="1" t="s">
        <v>26781</v>
      </c>
      <c r="Z7328" s="33" t="s">
        <v>42968</v>
      </c>
      <c r="AA7328" s="33">
        <v>338</v>
      </c>
    </row>
    <row r="7329" spans="1:64" ht="12" customHeight="1" x14ac:dyDescent="0.15">
      <c r="A7329" s="33" t="s">
        <v>9257</v>
      </c>
      <c r="B7329" s="33">
        <v>31</v>
      </c>
      <c r="C7329" s="33" t="s">
        <v>14</v>
      </c>
      <c r="D7329" s="33" t="s">
        <v>24</v>
      </c>
      <c r="F7329" s="67">
        <v>41391</v>
      </c>
      <c r="G7329" s="33" t="s">
        <v>27535</v>
      </c>
      <c r="H7329" s="33" t="s">
        <v>947</v>
      </c>
      <c r="I7329" s="33" t="s">
        <v>294</v>
      </c>
      <c r="J7329" s="33">
        <v>40509</v>
      </c>
      <c r="K7329" s="33" t="s">
        <v>1415</v>
      </c>
      <c r="L7329" s="33" t="s">
        <v>27536</v>
      </c>
      <c r="M7329" s="33" t="s">
        <v>21</v>
      </c>
      <c r="N7329" s="33" t="s">
        <v>27537</v>
      </c>
      <c r="O7329" s="33" t="s">
        <v>507</v>
      </c>
      <c r="P7329" s="33" t="s">
        <v>30089</v>
      </c>
      <c r="Q7329" s="40" t="s">
        <v>27538</v>
      </c>
      <c r="R7329" s="33" t="s">
        <v>94</v>
      </c>
      <c r="S7329" s="33" t="s">
        <v>22</v>
      </c>
      <c r="T7329" s="1" t="s">
        <v>26781</v>
      </c>
      <c r="Z7329" s="33" t="s">
        <v>42966</v>
      </c>
      <c r="AA7329" s="33">
        <v>337</v>
      </c>
    </row>
    <row r="7330" spans="1:64" ht="12" customHeight="1" x14ac:dyDescent="0.15">
      <c r="A7330" s="33" t="s">
        <v>15381</v>
      </c>
      <c r="B7330" s="103">
        <v>25</v>
      </c>
      <c r="C7330" s="33" t="s">
        <v>14</v>
      </c>
      <c r="D7330" s="33" t="s">
        <v>79</v>
      </c>
      <c r="E7330" s="33" t="s">
        <v>15382</v>
      </c>
      <c r="F7330" s="67">
        <v>41391</v>
      </c>
      <c r="G7330" s="33" t="s">
        <v>15383</v>
      </c>
      <c r="H7330" s="33" t="s">
        <v>15384</v>
      </c>
      <c r="I7330" s="33" t="s">
        <v>67</v>
      </c>
      <c r="J7330" s="33" t="s">
        <v>15385</v>
      </c>
      <c r="K7330" s="33" t="s">
        <v>15386</v>
      </c>
      <c r="L7330" s="33" t="s">
        <v>25896</v>
      </c>
      <c r="M7330" s="33" t="s">
        <v>21</v>
      </c>
      <c r="N7330" s="33" t="s">
        <v>15387</v>
      </c>
      <c r="O7330" s="33" t="s">
        <v>23</v>
      </c>
      <c r="P7330" s="33" t="s">
        <v>30089</v>
      </c>
      <c r="Q7330" s="40" t="s">
        <v>15388</v>
      </c>
      <c r="R7330" s="33" t="s">
        <v>23</v>
      </c>
      <c r="S7330" s="33" t="s">
        <v>22</v>
      </c>
      <c r="T7330" s="1" t="s">
        <v>26781</v>
      </c>
      <c r="Z7330" s="33" t="s">
        <v>42967</v>
      </c>
      <c r="AA7330" s="33">
        <v>334</v>
      </c>
    </row>
    <row r="7331" spans="1:64" ht="12" customHeight="1" x14ac:dyDescent="0.15">
      <c r="A7331" s="33" t="s">
        <v>15394</v>
      </c>
      <c r="B7331" s="103">
        <v>33</v>
      </c>
      <c r="C7331" s="33" t="s">
        <v>103</v>
      </c>
      <c r="D7331" s="33" t="s">
        <v>24</v>
      </c>
      <c r="F7331" s="67">
        <v>41391</v>
      </c>
      <c r="G7331" s="33" t="s">
        <v>22316</v>
      </c>
      <c r="H7331" s="33" t="s">
        <v>143</v>
      </c>
      <c r="I7331" s="33" t="s">
        <v>39</v>
      </c>
      <c r="J7331" s="33" t="s">
        <v>15395</v>
      </c>
      <c r="K7331" s="33" t="s">
        <v>143</v>
      </c>
      <c r="L7331" s="33" t="s">
        <v>144</v>
      </c>
      <c r="M7331" s="33" t="s">
        <v>21</v>
      </c>
      <c r="N7331" s="33" t="s">
        <v>15396</v>
      </c>
      <c r="O7331" s="33" t="s">
        <v>23</v>
      </c>
      <c r="P7331" s="33" t="s">
        <v>30089</v>
      </c>
      <c r="Q7331" s="40" t="s">
        <v>15397</v>
      </c>
      <c r="R7331" s="33" t="s">
        <v>512</v>
      </c>
      <c r="S7331" s="33" t="s">
        <v>22</v>
      </c>
      <c r="T7331" s="1" t="s">
        <v>26774</v>
      </c>
      <c r="Z7331" s="33" t="s">
        <v>42966</v>
      </c>
      <c r="AA7331" s="33">
        <v>339</v>
      </c>
    </row>
    <row r="7332" spans="1:64" ht="12" customHeight="1" x14ac:dyDescent="0.15">
      <c r="A7332" s="33" t="s">
        <v>15419</v>
      </c>
      <c r="B7332" s="33">
        <v>24</v>
      </c>
      <c r="C7332" s="33" t="s">
        <v>14</v>
      </c>
      <c r="D7332" s="33" t="s">
        <v>79</v>
      </c>
      <c r="F7332" s="67">
        <v>41390</v>
      </c>
      <c r="G7332" s="33" t="s">
        <v>15420</v>
      </c>
      <c r="H7332" s="33" t="s">
        <v>6316</v>
      </c>
      <c r="I7332" s="33" t="s">
        <v>39</v>
      </c>
      <c r="J7332" s="33" t="s">
        <v>3045</v>
      </c>
      <c r="K7332" s="33" t="s">
        <v>92</v>
      </c>
      <c r="L7332" s="33" t="s">
        <v>386</v>
      </c>
      <c r="M7332" s="33" t="s">
        <v>21</v>
      </c>
      <c r="N7332" s="33" t="s">
        <v>15421</v>
      </c>
      <c r="O7332" s="33" t="s">
        <v>950</v>
      </c>
      <c r="P7332" s="33" t="s">
        <v>30089</v>
      </c>
      <c r="Q7332" s="40" t="s">
        <v>15422</v>
      </c>
      <c r="R7332" s="33" t="s">
        <v>23</v>
      </c>
      <c r="S7332" s="33" t="s">
        <v>351</v>
      </c>
      <c r="T7332" s="1" t="s">
        <v>42983</v>
      </c>
      <c r="Z7332" s="33" t="s">
        <v>42966</v>
      </c>
      <c r="AA7332" s="33">
        <v>333</v>
      </c>
    </row>
    <row r="7333" spans="1:64" ht="12" customHeight="1" x14ac:dyDescent="0.15">
      <c r="A7333" s="33" t="s">
        <v>15412</v>
      </c>
      <c r="B7333" s="103">
        <v>18</v>
      </c>
      <c r="C7333" s="33" t="s">
        <v>14</v>
      </c>
      <c r="D7333" s="33" t="s">
        <v>79</v>
      </c>
      <c r="E7333" s="33" t="s">
        <v>15413</v>
      </c>
      <c r="F7333" s="67">
        <v>41390</v>
      </c>
      <c r="G7333" s="33" t="s">
        <v>15414</v>
      </c>
      <c r="H7333" s="33" t="s">
        <v>15415</v>
      </c>
      <c r="I7333" s="33" t="s">
        <v>67</v>
      </c>
      <c r="J7333" s="33" t="s">
        <v>15416</v>
      </c>
      <c r="K7333" s="33" t="s">
        <v>515</v>
      </c>
      <c r="L7333" s="33" t="s">
        <v>675</v>
      </c>
      <c r="M7333" s="33" t="s">
        <v>21</v>
      </c>
      <c r="N7333" s="33" t="s">
        <v>15417</v>
      </c>
      <c r="O7333" s="33" t="s">
        <v>23</v>
      </c>
      <c r="P7333" s="33" t="s">
        <v>30089</v>
      </c>
      <c r="Q7333" s="40" t="s">
        <v>15418</v>
      </c>
      <c r="R7333" s="33" t="s">
        <v>94</v>
      </c>
      <c r="S7333" s="33" t="s">
        <v>22</v>
      </c>
      <c r="T7333" s="1" t="s">
        <v>26781</v>
      </c>
      <c r="Z7333" s="33" t="s">
        <v>42968</v>
      </c>
      <c r="AA7333" s="33">
        <v>332</v>
      </c>
    </row>
    <row r="7334" spans="1:64" ht="12" customHeight="1" x14ac:dyDescent="0.15">
      <c r="A7334" s="33" t="s">
        <v>15428</v>
      </c>
      <c r="B7334" s="103">
        <v>45</v>
      </c>
      <c r="C7334" s="33" t="s">
        <v>14</v>
      </c>
      <c r="D7334" s="33" t="s">
        <v>42</v>
      </c>
      <c r="F7334" s="67">
        <v>41389</v>
      </c>
      <c r="G7334" s="33" t="s">
        <v>22317</v>
      </c>
      <c r="H7334" s="33" t="s">
        <v>7214</v>
      </c>
      <c r="I7334" s="33" t="s">
        <v>39</v>
      </c>
      <c r="J7334" s="33" t="s">
        <v>7215</v>
      </c>
      <c r="K7334" s="33" t="s">
        <v>92</v>
      </c>
      <c r="L7334" s="33" t="s">
        <v>15429</v>
      </c>
      <c r="M7334" s="33" t="s">
        <v>21</v>
      </c>
      <c r="N7334" s="33" t="s">
        <v>36896</v>
      </c>
      <c r="O7334" s="33" t="s">
        <v>23</v>
      </c>
      <c r="P7334" s="33" t="s">
        <v>30089</v>
      </c>
      <c r="Q7334" s="40" t="s">
        <v>15430</v>
      </c>
      <c r="R7334" s="33" t="s">
        <v>512</v>
      </c>
      <c r="S7334" s="33" t="s">
        <v>22</v>
      </c>
      <c r="T7334" s="1" t="s">
        <v>42977</v>
      </c>
      <c r="Z7334" s="33" t="s">
        <v>42966</v>
      </c>
      <c r="AA7334" s="33">
        <v>330</v>
      </c>
    </row>
    <row r="7335" spans="1:64" ht="12" customHeight="1" x14ac:dyDescent="0.15">
      <c r="A7335" s="63" t="s">
        <v>42920</v>
      </c>
      <c r="B7335" s="99">
        <v>36</v>
      </c>
      <c r="C7335" s="10" t="s">
        <v>14</v>
      </c>
      <c r="D7335" s="10" t="s">
        <v>31</v>
      </c>
      <c r="E7335" s="62" t="s">
        <v>42921</v>
      </c>
      <c r="F7335" s="67">
        <v>41389</v>
      </c>
      <c r="G7335" s="10" t="s">
        <v>42922</v>
      </c>
      <c r="H7335" s="10" t="s">
        <v>2411</v>
      </c>
      <c r="I7335" s="10" t="s">
        <v>39</v>
      </c>
      <c r="J7335" s="65">
        <v>92841</v>
      </c>
      <c r="K7335" s="10" t="s">
        <v>998</v>
      </c>
      <c r="L7335" s="10" t="s">
        <v>5808</v>
      </c>
      <c r="M7335" s="70" t="s">
        <v>21</v>
      </c>
      <c r="N7335" s="10" t="s">
        <v>42923</v>
      </c>
      <c r="O7335" s="10" t="s">
        <v>507</v>
      </c>
      <c r="P7335" s="10" t="s">
        <v>30089</v>
      </c>
      <c r="Q7335" s="62" t="s">
        <v>42924</v>
      </c>
      <c r="R7335" s="10" t="s">
        <v>23</v>
      </c>
      <c r="S7335" s="10" t="s">
        <v>351</v>
      </c>
      <c r="T7335" s="10" t="s">
        <v>26867</v>
      </c>
      <c r="U7335" s="10"/>
      <c r="V7335" s="10"/>
      <c r="W7335" s="69"/>
      <c r="X7335" s="89"/>
      <c r="Y7335" s="68"/>
      <c r="Z7335" s="68" t="s">
        <v>42968</v>
      </c>
      <c r="AA7335" s="33">
        <v>331</v>
      </c>
      <c r="AG7335" s="68"/>
      <c r="AK7335" s="68"/>
      <c r="AL7335" s="68"/>
      <c r="AM7335" s="68"/>
      <c r="AN7335" s="68"/>
      <c r="AO7335" s="68"/>
      <c r="AP7335" s="68"/>
      <c r="AQ7335" s="68"/>
      <c r="AR7335" s="68"/>
      <c r="AS7335" s="68"/>
      <c r="AT7335" s="68"/>
      <c r="AU7335" s="68"/>
      <c r="AV7335" s="68"/>
      <c r="AW7335" s="68"/>
      <c r="AX7335" s="68"/>
      <c r="AY7335" s="68"/>
      <c r="AZ7335" s="68"/>
      <c r="BA7335" s="68"/>
      <c r="BB7335" s="68"/>
      <c r="BC7335" s="68"/>
      <c r="BD7335" s="68"/>
      <c r="BE7335" s="68"/>
      <c r="BF7335" s="68"/>
      <c r="BG7335" s="68"/>
      <c r="BH7335" s="68"/>
      <c r="BI7335" s="68"/>
      <c r="BJ7335" s="68"/>
      <c r="BK7335" s="68"/>
      <c r="BL7335" s="68"/>
    </row>
    <row r="7336" spans="1:64" ht="12" customHeight="1" x14ac:dyDescent="0.15">
      <c r="A7336" s="33" t="s">
        <v>15423</v>
      </c>
      <c r="B7336" s="103">
        <v>18</v>
      </c>
      <c r="C7336" s="33" t="s">
        <v>14</v>
      </c>
      <c r="D7336" s="33" t="s">
        <v>79</v>
      </c>
      <c r="E7336" s="33" t="s">
        <v>15424</v>
      </c>
      <c r="F7336" s="67">
        <v>41389</v>
      </c>
      <c r="G7336" s="33" t="s">
        <v>15425</v>
      </c>
      <c r="H7336" s="33" t="s">
        <v>8861</v>
      </c>
      <c r="I7336" s="33" t="s">
        <v>918</v>
      </c>
      <c r="J7336" s="33" t="s">
        <v>10248</v>
      </c>
      <c r="K7336" s="33" t="s">
        <v>2312</v>
      </c>
      <c r="L7336" s="33" t="s">
        <v>8863</v>
      </c>
      <c r="M7336" s="33" t="s">
        <v>21</v>
      </c>
      <c r="N7336" s="33" t="s">
        <v>15426</v>
      </c>
      <c r="O7336" s="33" t="s">
        <v>23</v>
      </c>
      <c r="P7336" s="33" t="s">
        <v>30089</v>
      </c>
      <c r="Q7336" s="40" t="s">
        <v>15427</v>
      </c>
      <c r="R7336" s="33" t="s">
        <v>94</v>
      </c>
      <c r="S7336" s="33" t="s">
        <v>22</v>
      </c>
      <c r="T7336" s="33" t="s">
        <v>26781</v>
      </c>
      <c r="Z7336" s="33" t="s">
        <v>42966</v>
      </c>
      <c r="AA7336" s="33">
        <v>329</v>
      </c>
    </row>
    <row r="7337" spans="1:64" ht="12" customHeight="1" x14ac:dyDescent="0.15">
      <c r="A7337" s="33" t="s">
        <v>15431</v>
      </c>
      <c r="B7337" s="103">
        <v>24</v>
      </c>
      <c r="C7337" s="33" t="s">
        <v>14</v>
      </c>
      <c r="D7337" s="33" t="s">
        <v>79</v>
      </c>
      <c r="E7337" s="33" t="s">
        <v>15432</v>
      </c>
      <c r="F7337" s="67">
        <v>41388</v>
      </c>
      <c r="G7337" s="33" t="s">
        <v>22319</v>
      </c>
      <c r="H7337" s="33" t="s">
        <v>831</v>
      </c>
      <c r="I7337" s="33" t="s">
        <v>409</v>
      </c>
      <c r="J7337" s="33" t="s">
        <v>10757</v>
      </c>
      <c r="K7337" s="33" t="s">
        <v>831</v>
      </c>
      <c r="L7337" s="33" t="s">
        <v>3545</v>
      </c>
      <c r="M7337" s="33" t="s">
        <v>21</v>
      </c>
      <c r="N7337" s="33" t="s">
        <v>15433</v>
      </c>
      <c r="O7337" s="33" t="s">
        <v>23</v>
      </c>
      <c r="P7337" s="33" t="s">
        <v>30089</v>
      </c>
      <c r="Q7337" s="40" t="s">
        <v>15434</v>
      </c>
      <c r="R7337" s="33" t="s">
        <v>512</v>
      </c>
      <c r="S7337" s="33" t="s">
        <v>22</v>
      </c>
      <c r="T7337" s="33" t="s">
        <v>26774</v>
      </c>
      <c r="Z7337" s="33" t="s">
        <v>42966</v>
      </c>
      <c r="AA7337" s="33">
        <v>328</v>
      </c>
    </row>
    <row r="7338" spans="1:64" ht="12" customHeight="1" x14ac:dyDescent="0.15">
      <c r="A7338" s="33" t="s">
        <v>15435</v>
      </c>
      <c r="B7338" s="103">
        <v>25</v>
      </c>
      <c r="C7338" s="33" t="s">
        <v>14</v>
      </c>
      <c r="D7338" s="33" t="s">
        <v>79</v>
      </c>
      <c r="E7338" s="33" t="s">
        <v>15436</v>
      </c>
      <c r="F7338" s="67">
        <v>41388</v>
      </c>
      <c r="G7338" s="33" t="s">
        <v>15437</v>
      </c>
      <c r="H7338" s="33" t="s">
        <v>661</v>
      </c>
      <c r="I7338" s="33" t="s">
        <v>402</v>
      </c>
      <c r="J7338" s="33" t="s">
        <v>15438</v>
      </c>
      <c r="K7338" s="33" t="s">
        <v>661</v>
      </c>
      <c r="L7338" s="33" t="s">
        <v>4162</v>
      </c>
      <c r="M7338" s="33" t="s">
        <v>21</v>
      </c>
      <c r="N7338" s="33" t="s">
        <v>15439</v>
      </c>
      <c r="O7338" s="33" t="s">
        <v>23</v>
      </c>
      <c r="P7338" s="33" t="s">
        <v>30089</v>
      </c>
      <c r="Q7338" s="40" t="s">
        <v>15440</v>
      </c>
      <c r="R7338" s="33" t="s">
        <v>94</v>
      </c>
      <c r="S7338" s="33" t="s">
        <v>22</v>
      </c>
      <c r="T7338" s="1" t="s">
        <v>26781</v>
      </c>
      <c r="Z7338" s="33" t="s">
        <v>42966</v>
      </c>
      <c r="AA7338" s="33">
        <v>326</v>
      </c>
    </row>
    <row r="7339" spans="1:64" ht="12" customHeight="1" x14ac:dyDescent="0.15">
      <c r="A7339" s="33" t="s">
        <v>15441</v>
      </c>
      <c r="B7339" s="103">
        <v>29</v>
      </c>
      <c r="C7339" s="33" t="s">
        <v>14</v>
      </c>
      <c r="D7339" s="33" t="s">
        <v>24</v>
      </c>
      <c r="F7339" s="67">
        <v>41388</v>
      </c>
      <c r="G7339" s="33" t="s">
        <v>22318</v>
      </c>
      <c r="H7339" s="33" t="s">
        <v>870</v>
      </c>
      <c r="I7339" s="33" t="s">
        <v>67</v>
      </c>
      <c r="J7339" s="33" t="s">
        <v>6166</v>
      </c>
      <c r="K7339" s="33" t="s">
        <v>68</v>
      </c>
      <c r="L7339" s="33" t="s">
        <v>871</v>
      </c>
      <c r="M7339" s="33" t="s">
        <v>21</v>
      </c>
      <c r="N7339" s="33" t="s">
        <v>15442</v>
      </c>
      <c r="O7339" s="33" t="s">
        <v>507</v>
      </c>
      <c r="P7339" s="33" t="s">
        <v>30089</v>
      </c>
      <c r="Q7339" s="40" t="s">
        <v>15443</v>
      </c>
      <c r="R7339" s="33" t="s">
        <v>94</v>
      </c>
      <c r="S7339" s="33" t="s">
        <v>22</v>
      </c>
      <c r="T7339" s="1" t="s">
        <v>26781</v>
      </c>
      <c r="Z7339" s="33" t="s">
        <v>42968</v>
      </c>
      <c r="AA7339" s="33">
        <v>327</v>
      </c>
    </row>
    <row r="7340" spans="1:64" ht="12" customHeight="1" x14ac:dyDescent="0.15">
      <c r="A7340" s="33" t="s">
        <v>15455</v>
      </c>
      <c r="B7340" s="103">
        <v>43</v>
      </c>
      <c r="C7340" s="33" t="s">
        <v>14</v>
      </c>
      <c r="D7340" s="33" t="s">
        <v>31</v>
      </c>
      <c r="E7340" s="33" t="s">
        <v>15456</v>
      </c>
      <c r="F7340" s="67">
        <v>41387</v>
      </c>
      <c r="G7340" s="33" t="s">
        <v>15457</v>
      </c>
      <c r="H7340" s="33" t="s">
        <v>5677</v>
      </c>
      <c r="I7340" s="33" t="s">
        <v>38</v>
      </c>
      <c r="J7340" s="33" t="s">
        <v>15458</v>
      </c>
      <c r="K7340" s="33" t="s">
        <v>6440</v>
      </c>
      <c r="L7340" s="33" t="s">
        <v>15459</v>
      </c>
      <c r="M7340" s="33" t="s">
        <v>21</v>
      </c>
      <c r="N7340" s="33" t="s">
        <v>15460</v>
      </c>
      <c r="O7340" s="33" t="s">
        <v>23</v>
      </c>
      <c r="P7340" s="33" t="s">
        <v>30089</v>
      </c>
      <c r="Q7340" s="40" t="s">
        <v>15461</v>
      </c>
      <c r="R7340" s="33" t="s">
        <v>23</v>
      </c>
      <c r="S7340" s="33" t="s">
        <v>22</v>
      </c>
      <c r="T7340" s="1" t="s">
        <v>26781</v>
      </c>
      <c r="Z7340" s="33" t="s">
        <v>42968</v>
      </c>
      <c r="AA7340" s="33">
        <v>324</v>
      </c>
    </row>
    <row r="7341" spans="1:64" ht="12" customHeight="1" x14ac:dyDescent="0.15">
      <c r="A7341" s="33" t="s">
        <v>15444</v>
      </c>
      <c r="B7341" s="103">
        <v>28</v>
      </c>
      <c r="C7341" s="33" t="s">
        <v>14</v>
      </c>
      <c r="D7341" s="33" t="s">
        <v>79</v>
      </c>
      <c r="F7341" s="67">
        <v>41387</v>
      </c>
      <c r="G7341" s="33" t="s">
        <v>15445</v>
      </c>
      <c r="H7341" s="33" t="s">
        <v>1116</v>
      </c>
      <c r="I7341" s="33" t="s">
        <v>298</v>
      </c>
      <c r="J7341" s="33" t="s">
        <v>3407</v>
      </c>
      <c r="K7341" s="33" t="s">
        <v>1117</v>
      </c>
      <c r="L7341" s="33" t="s">
        <v>1118</v>
      </c>
      <c r="M7341" s="33" t="s">
        <v>21</v>
      </c>
      <c r="N7341" s="33" t="s">
        <v>15446</v>
      </c>
      <c r="O7341" s="33" t="s">
        <v>23</v>
      </c>
      <c r="P7341" s="33" t="s">
        <v>30089</v>
      </c>
      <c r="Q7341" s="40" t="s">
        <v>15447</v>
      </c>
      <c r="R7341" s="33" t="s">
        <v>94</v>
      </c>
      <c r="S7341" s="33" t="s">
        <v>351</v>
      </c>
      <c r="T7341" s="1" t="s">
        <v>42983</v>
      </c>
      <c r="Z7341" s="33" t="s">
        <v>42966</v>
      </c>
      <c r="AA7341" s="33">
        <v>325</v>
      </c>
    </row>
    <row r="7342" spans="1:64" ht="12" customHeight="1" x14ac:dyDescent="0.15">
      <c r="A7342" s="33" t="s">
        <v>15452</v>
      </c>
      <c r="B7342" s="103">
        <v>54</v>
      </c>
      <c r="C7342" s="33" t="s">
        <v>14</v>
      </c>
      <c r="D7342" s="33" t="s">
        <v>31</v>
      </c>
      <c r="E7342" s="33" t="s">
        <v>15453</v>
      </c>
      <c r="F7342" s="67">
        <v>41387</v>
      </c>
      <c r="G7342" s="33" t="s">
        <v>22320</v>
      </c>
      <c r="H7342" s="33" t="s">
        <v>1227</v>
      </c>
      <c r="I7342" s="33" t="s">
        <v>67</v>
      </c>
      <c r="J7342" s="33" t="s">
        <v>7613</v>
      </c>
      <c r="K7342" s="33" t="s">
        <v>1228</v>
      </c>
      <c r="L7342" s="33" t="s">
        <v>1229</v>
      </c>
      <c r="M7342" s="33" t="s">
        <v>21</v>
      </c>
      <c r="N7342" s="33" t="s">
        <v>36897</v>
      </c>
      <c r="O7342" s="33" t="s">
        <v>23</v>
      </c>
      <c r="P7342" s="33" t="s">
        <v>30089</v>
      </c>
      <c r="Q7342" s="40" t="s">
        <v>15454</v>
      </c>
      <c r="R7342" s="33" t="s">
        <v>512</v>
      </c>
      <c r="S7342" s="33" t="s">
        <v>22</v>
      </c>
      <c r="T7342" s="1" t="s">
        <v>26781</v>
      </c>
      <c r="Z7342" s="33" t="s">
        <v>42966</v>
      </c>
      <c r="AA7342" s="33">
        <v>323</v>
      </c>
    </row>
    <row r="7343" spans="1:64" ht="12" customHeight="1" x14ac:dyDescent="0.15">
      <c r="A7343" s="33" t="s">
        <v>15448</v>
      </c>
      <c r="B7343" s="103">
        <v>33</v>
      </c>
      <c r="C7343" s="33" t="s">
        <v>14</v>
      </c>
      <c r="D7343" s="33" t="s">
        <v>42</v>
      </c>
      <c r="E7343" s="33" t="s">
        <v>15449</v>
      </c>
      <c r="F7343" s="67">
        <v>41387</v>
      </c>
      <c r="G7343" s="33" t="s">
        <v>22321</v>
      </c>
      <c r="H7343" s="33" t="s">
        <v>518</v>
      </c>
      <c r="I7343" s="33" t="s">
        <v>112</v>
      </c>
      <c r="J7343" s="33" t="s">
        <v>10433</v>
      </c>
      <c r="K7343" s="33" t="s">
        <v>519</v>
      </c>
      <c r="L7343" s="33" t="s">
        <v>520</v>
      </c>
      <c r="M7343" s="33" t="s">
        <v>21</v>
      </c>
      <c r="N7343" s="33" t="s">
        <v>15450</v>
      </c>
      <c r="O7343" s="33" t="s">
        <v>23</v>
      </c>
      <c r="P7343" s="33" t="s">
        <v>30089</v>
      </c>
      <c r="Q7343" s="40" t="s">
        <v>15451</v>
      </c>
      <c r="R7343" s="33" t="s">
        <v>94</v>
      </c>
      <c r="S7343" s="33" t="s">
        <v>22</v>
      </c>
      <c r="T7343" s="1" t="s">
        <v>26781</v>
      </c>
      <c r="Z7343" s="33" t="s">
        <v>42966</v>
      </c>
      <c r="AA7343" s="33">
        <v>322</v>
      </c>
    </row>
    <row r="7344" spans="1:64" ht="12" customHeight="1" x14ac:dyDescent="0.15">
      <c r="A7344" s="33" t="s">
        <v>15462</v>
      </c>
      <c r="B7344" s="103">
        <v>23</v>
      </c>
      <c r="C7344" s="33" t="s">
        <v>14</v>
      </c>
      <c r="D7344" s="33" t="s">
        <v>79</v>
      </c>
      <c r="F7344" s="67">
        <v>41386</v>
      </c>
      <c r="G7344" s="33" t="s">
        <v>22322</v>
      </c>
      <c r="H7344" s="33" t="s">
        <v>1487</v>
      </c>
      <c r="I7344" s="33" t="s">
        <v>46</v>
      </c>
      <c r="J7344" s="33" t="s">
        <v>4323</v>
      </c>
      <c r="K7344" s="33" t="s">
        <v>4324</v>
      </c>
      <c r="L7344" s="33" t="s">
        <v>2556</v>
      </c>
      <c r="M7344" s="33" t="s">
        <v>21</v>
      </c>
      <c r="N7344" s="33" t="s">
        <v>15463</v>
      </c>
      <c r="O7344" s="33" t="s">
        <v>23</v>
      </c>
      <c r="P7344" s="33" t="s">
        <v>30089</v>
      </c>
      <c r="Q7344" s="40" t="s">
        <v>15464</v>
      </c>
      <c r="R7344" s="33" t="s">
        <v>94</v>
      </c>
      <c r="S7344" s="33" t="s">
        <v>22</v>
      </c>
      <c r="T7344" s="1" t="s">
        <v>26781</v>
      </c>
      <c r="Z7344" s="33" t="s">
        <v>42966</v>
      </c>
      <c r="AA7344" s="33">
        <v>316</v>
      </c>
    </row>
    <row r="7345" spans="1:31" ht="12" customHeight="1" x14ac:dyDescent="0.15">
      <c r="A7345" s="33" t="s">
        <v>15478</v>
      </c>
      <c r="B7345" s="103">
        <v>24</v>
      </c>
      <c r="C7345" s="33" t="s">
        <v>14</v>
      </c>
      <c r="D7345" s="33" t="s">
        <v>24</v>
      </c>
      <c r="F7345" s="67">
        <v>41386</v>
      </c>
      <c r="G7345" s="33" t="s">
        <v>15479</v>
      </c>
      <c r="H7345" s="33" t="s">
        <v>15480</v>
      </c>
      <c r="I7345" s="33" t="s">
        <v>160</v>
      </c>
      <c r="J7345" s="33" t="s">
        <v>15481</v>
      </c>
      <c r="K7345" s="33" t="s">
        <v>1239</v>
      </c>
      <c r="L7345" s="33" t="s">
        <v>8269</v>
      </c>
      <c r="M7345" s="33" t="s">
        <v>21</v>
      </c>
      <c r="N7345" s="33" t="s">
        <v>15482</v>
      </c>
      <c r="O7345" s="33" t="s">
        <v>23</v>
      </c>
      <c r="P7345" s="33" t="s">
        <v>30089</v>
      </c>
      <c r="Q7345" s="40" t="s">
        <v>15483</v>
      </c>
      <c r="R7345" s="33" t="s">
        <v>94</v>
      </c>
      <c r="S7345" s="33" t="s">
        <v>22</v>
      </c>
      <c r="T7345" s="1" t="s">
        <v>29424</v>
      </c>
      <c r="Z7345" s="33" t="s">
        <v>42968</v>
      </c>
      <c r="AA7345" s="33">
        <v>321</v>
      </c>
    </row>
    <row r="7346" spans="1:31" ht="12" customHeight="1" x14ac:dyDescent="0.15">
      <c r="A7346" s="33" t="s">
        <v>15472</v>
      </c>
      <c r="B7346" s="103">
        <v>22</v>
      </c>
      <c r="C7346" s="33" t="s">
        <v>14</v>
      </c>
      <c r="D7346" s="33" t="s">
        <v>24</v>
      </c>
      <c r="F7346" s="67">
        <v>41386</v>
      </c>
      <c r="G7346" s="33" t="s">
        <v>22323</v>
      </c>
      <c r="H7346" s="33" t="s">
        <v>15473</v>
      </c>
      <c r="I7346" s="33" t="s">
        <v>38</v>
      </c>
      <c r="J7346" s="33" t="s">
        <v>15474</v>
      </c>
      <c r="K7346" s="33" t="s">
        <v>82</v>
      </c>
      <c r="L7346" s="33" t="s">
        <v>15475</v>
      </c>
      <c r="M7346" s="33" t="s">
        <v>21</v>
      </c>
      <c r="N7346" s="33" t="s">
        <v>15476</v>
      </c>
      <c r="O7346" s="33" t="s">
        <v>23</v>
      </c>
      <c r="P7346" s="33" t="s">
        <v>30089</v>
      </c>
      <c r="Q7346" s="40" t="s">
        <v>15477</v>
      </c>
      <c r="R7346" s="33" t="s">
        <v>94</v>
      </c>
      <c r="S7346" s="33" t="s">
        <v>22</v>
      </c>
      <c r="T7346" s="1" t="s">
        <v>26781</v>
      </c>
      <c r="Z7346" s="33" t="s">
        <v>42968</v>
      </c>
      <c r="AA7346" s="33">
        <v>318</v>
      </c>
    </row>
    <row r="7347" spans="1:31" ht="12" customHeight="1" x14ac:dyDescent="0.15">
      <c r="A7347" s="33" t="s">
        <v>15491</v>
      </c>
      <c r="B7347" s="103">
        <v>19</v>
      </c>
      <c r="C7347" s="33" t="s">
        <v>14</v>
      </c>
      <c r="D7347" s="33" t="s">
        <v>31</v>
      </c>
      <c r="E7347" s="33" t="s">
        <v>15492</v>
      </c>
      <c r="F7347" s="67">
        <v>41386</v>
      </c>
      <c r="G7347" s="33" t="s">
        <v>22324</v>
      </c>
      <c r="H7347" s="33" t="s">
        <v>15493</v>
      </c>
      <c r="I7347" s="33" t="s">
        <v>75</v>
      </c>
      <c r="J7347" s="33" t="s">
        <v>15494</v>
      </c>
      <c r="K7347" s="33" t="s">
        <v>1310</v>
      </c>
      <c r="L7347" s="33" t="s">
        <v>15495</v>
      </c>
      <c r="M7347" s="33" t="s">
        <v>21</v>
      </c>
      <c r="N7347" s="33" t="s">
        <v>15496</v>
      </c>
      <c r="O7347" s="33" t="s">
        <v>507</v>
      </c>
      <c r="P7347" s="33" t="s">
        <v>30089</v>
      </c>
      <c r="Q7347" s="40" t="s">
        <v>15497</v>
      </c>
      <c r="R7347" s="33" t="s">
        <v>23</v>
      </c>
      <c r="S7347" s="33" t="s">
        <v>22</v>
      </c>
      <c r="T7347" s="1" t="s">
        <v>26774</v>
      </c>
      <c r="Z7347" s="33" t="s">
        <v>42968</v>
      </c>
      <c r="AA7347" s="33">
        <v>320</v>
      </c>
    </row>
    <row r="7348" spans="1:31" ht="12" customHeight="1" x14ac:dyDescent="0.15">
      <c r="A7348" s="33" t="s">
        <v>15465</v>
      </c>
      <c r="C7348" s="33" t="s">
        <v>14</v>
      </c>
      <c r="D7348" s="33" t="s">
        <v>24</v>
      </c>
      <c r="F7348" s="67">
        <v>41386</v>
      </c>
      <c r="G7348" s="33" t="s">
        <v>15466</v>
      </c>
      <c r="H7348" s="33" t="s">
        <v>15467</v>
      </c>
      <c r="I7348" s="33" t="s">
        <v>56</v>
      </c>
      <c r="J7348" s="33" t="s">
        <v>15468</v>
      </c>
      <c r="K7348" s="33" t="s">
        <v>8294</v>
      </c>
      <c r="L7348" s="33" t="s">
        <v>15469</v>
      </c>
      <c r="M7348" s="33" t="s">
        <v>21</v>
      </c>
      <c r="N7348" s="33" t="s">
        <v>15470</v>
      </c>
      <c r="O7348" s="33" t="s">
        <v>23</v>
      </c>
      <c r="P7348" s="33" t="s">
        <v>30089</v>
      </c>
      <c r="Q7348" s="40" t="s">
        <v>15471</v>
      </c>
      <c r="R7348" s="33" t="s">
        <v>512</v>
      </c>
      <c r="S7348" s="33" t="s">
        <v>22</v>
      </c>
      <c r="T7348" s="1" t="s">
        <v>26781</v>
      </c>
      <c r="Z7348" s="33" t="s">
        <v>42968</v>
      </c>
      <c r="AA7348" s="33">
        <v>317</v>
      </c>
    </row>
    <row r="7349" spans="1:31" ht="12" customHeight="1" x14ac:dyDescent="0.15">
      <c r="A7349" s="33" t="s">
        <v>15484</v>
      </c>
      <c r="B7349" s="33">
        <v>57</v>
      </c>
      <c r="C7349" s="33" t="s">
        <v>14</v>
      </c>
      <c r="D7349" s="33" t="s">
        <v>31</v>
      </c>
      <c r="E7349" s="33" t="s">
        <v>15485</v>
      </c>
      <c r="F7349" s="67">
        <v>41386</v>
      </c>
      <c r="G7349" s="33" t="s">
        <v>15486</v>
      </c>
      <c r="H7349" s="33" t="s">
        <v>15487</v>
      </c>
      <c r="I7349" s="33" t="s">
        <v>56</v>
      </c>
      <c r="J7349" s="33" t="s">
        <v>15488</v>
      </c>
      <c r="K7349" s="33" t="s">
        <v>1654</v>
      </c>
      <c r="L7349" s="33" t="s">
        <v>3452</v>
      </c>
      <c r="M7349" s="33" t="s">
        <v>21</v>
      </c>
      <c r="N7349" s="33" t="s">
        <v>15489</v>
      </c>
      <c r="O7349" s="33" t="s">
        <v>950</v>
      </c>
      <c r="P7349" s="33" t="s">
        <v>30089</v>
      </c>
      <c r="Q7349" s="40" t="s">
        <v>15490</v>
      </c>
      <c r="R7349" s="33" t="s">
        <v>94</v>
      </c>
      <c r="S7349" s="33" t="s">
        <v>22</v>
      </c>
      <c r="T7349" s="1" t="s">
        <v>26781</v>
      </c>
      <c r="Z7349" s="33" t="s">
        <v>42968</v>
      </c>
      <c r="AA7349" s="33">
        <v>319</v>
      </c>
    </row>
    <row r="7350" spans="1:31" ht="12" customHeight="1" x14ac:dyDescent="0.15">
      <c r="A7350" s="33" t="s">
        <v>15498</v>
      </c>
      <c r="B7350" s="33">
        <v>51</v>
      </c>
      <c r="C7350" s="33" t="s">
        <v>14</v>
      </c>
      <c r="D7350" s="33" t="s">
        <v>79</v>
      </c>
      <c r="E7350" s="33" t="s">
        <v>15499</v>
      </c>
      <c r="F7350" s="67">
        <v>41385</v>
      </c>
      <c r="G7350" s="33" t="s">
        <v>15500</v>
      </c>
      <c r="H7350" s="33" t="s">
        <v>266</v>
      </c>
      <c r="I7350" s="33" t="s">
        <v>67</v>
      </c>
      <c r="J7350" s="33" t="s">
        <v>9718</v>
      </c>
      <c r="K7350" s="33" t="s">
        <v>266</v>
      </c>
      <c r="L7350" s="33" t="s">
        <v>267</v>
      </c>
      <c r="M7350" s="33" t="s">
        <v>351</v>
      </c>
      <c r="N7350" s="33" t="s">
        <v>42493</v>
      </c>
      <c r="O7350" s="33" t="s">
        <v>27775</v>
      </c>
      <c r="P7350" s="33" t="s">
        <v>18576</v>
      </c>
      <c r="Q7350" s="40" t="s">
        <v>15501</v>
      </c>
      <c r="R7350" s="33" t="s">
        <v>94</v>
      </c>
      <c r="S7350" s="33" t="s">
        <v>12</v>
      </c>
      <c r="T7350" s="33" t="s">
        <v>42494</v>
      </c>
      <c r="U7350" s="33" t="s">
        <v>26570</v>
      </c>
      <c r="Z7350" s="33" t="s">
        <v>42966</v>
      </c>
      <c r="AA7350" s="33">
        <v>314</v>
      </c>
    </row>
    <row r="7351" spans="1:31" ht="12" customHeight="1" x14ac:dyDescent="0.15">
      <c r="A7351" s="33" t="s">
        <v>15502</v>
      </c>
      <c r="B7351" s="103">
        <v>28</v>
      </c>
      <c r="C7351" s="33" t="s">
        <v>14</v>
      </c>
      <c r="D7351" s="33" t="s">
        <v>79</v>
      </c>
      <c r="E7351" s="33" t="s">
        <v>15503</v>
      </c>
      <c r="F7351" s="67">
        <v>41385</v>
      </c>
      <c r="G7351" s="33" t="s">
        <v>15504</v>
      </c>
      <c r="H7351" s="33" t="s">
        <v>15505</v>
      </c>
      <c r="I7351" s="33" t="s">
        <v>282</v>
      </c>
      <c r="J7351" s="33" t="s">
        <v>15506</v>
      </c>
      <c r="K7351" s="33" t="s">
        <v>1133</v>
      </c>
      <c r="L7351" s="33" t="s">
        <v>15507</v>
      </c>
      <c r="M7351" s="33" t="s">
        <v>21</v>
      </c>
      <c r="N7351" s="33" t="s">
        <v>15508</v>
      </c>
      <c r="O7351" s="33" t="s">
        <v>23</v>
      </c>
      <c r="P7351" s="33" t="s">
        <v>30089</v>
      </c>
      <c r="Q7351" s="40" t="s">
        <v>15509</v>
      </c>
      <c r="R7351" s="33" t="s">
        <v>94</v>
      </c>
      <c r="S7351" s="33" t="s">
        <v>29</v>
      </c>
      <c r="T7351" s="33" t="s">
        <v>41840</v>
      </c>
      <c r="Z7351" s="33" t="s">
        <v>42968</v>
      </c>
      <c r="AA7351" s="33">
        <v>315</v>
      </c>
      <c r="AE7351" s="33"/>
    </row>
    <row r="7352" spans="1:31" ht="12" customHeight="1" x14ac:dyDescent="0.15">
      <c r="A7352" s="33" t="s">
        <v>15518</v>
      </c>
      <c r="B7352" s="103">
        <v>25</v>
      </c>
      <c r="C7352" s="33" t="s">
        <v>14</v>
      </c>
      <c r="D7352" s="33" t="s">
        <v>42</v>
      </c>
      <c r="E7352" s="33" t="s">
        <v>15519</v>
      </c>
      <c r="F7352" s="67">
        <v>41384</v>
      </c>
      <c r="G7352" s="33" t="s">
        <v>15520</v>
      </c>
      <c r="H7352" s="33" t="s">
        <v>1632</v>
      </c>
      <c r="I7352" s="33" t="s">
        <v>39</v>
      </c>
      <c r="J7352" s="33" t="s">
        <v>1633</v>
      </c>
      <c r="K7352" s="33" t="s">
        <v>1088</v>
      </c>
      <c r="L7352" s="33" t="s">
        <v>1634</v>
      </c>
      <c r="M7352" s="33" t="s">
        <v>21</v>
      </c>
      <c r="N7352" s="33" t="s">
        <v>15521</v>
      </c>
      <c r="O7352" s="33" t="s">
        <v>23</v>
      </c>
      <c r="P7352" s="33" t="s">
        <v>30089</v>
      </c>
      <c r="Q7352" s="40" t="s">
        <v>15522</v>
      </c>
      <c r="R7352" s="33" t="s">
        <v>23</v>
      </c>
      <c r="S7352" s="33" t="s">
        <v>22</v>
      </c>
      <c r="T7352" s="1" t="s">
        <v>26781</v>
      </c>
      <c r="Z7352" s="33" t="s">
        <v>42968</v>
      </c>
      <c r="AA7352" s="33">
        <v>309</v>
      </c>
    </row>
    <row r="7353" spans="1:31" ht="12" customHeight="1" x14ac:dyDescent="0.15">
      <c r="A7353" s="33" t="s">
        <v>15539</v>
      </c>
      <c r="B7353" s="103">
        <v>22</v>
      </c>
      <c r="C7353" s="33" t="s">
        <v>14</v>
      </c>
      <c r="D7353" s="33" t="s">
        <v>31</v>
      </c>
      <c r="E7353" s="33" t="s">
        <v>15540</v>
      </c>
      <c r="F7353" s="67">
        <v>41384</v>
      </c>
      <c r="G7353" s="33" t="s">
        <v>15541</v>
      </c>
      <c r="H7353" s="33" t="s">
        <v>584</v>
      </c>
      <c r="I7353" s="33" t="s">
        <v>112</v>
      </c>
      <c r="J7353" s="33" t="s">
        <v>15542</v>
      </c>
      <c r="K7353" s="33" t="s">
        <v>585</v>
      </c>
      <c r="L7353" s="33" t="s">
        <v>586</v>
      </c>
      <c r="M7353" s="33" t="s">
        <v>21</v>
      </c>
      <c r="N7353" s="33" t="s">
        <v>15543</v>
      </c>
      <c r="O7353" s="33" t="s">
        <v>23</v>
      </c>
      <c r="P7353" s="33" t="s">
        <v>30089</v>
      </c>
      <c r="Q7353" s="40" t="s">
        <v>15544</v>
      </c>
      <c r="R7353" s="33" t="s">
        <v>23</v>
      </c>
      <c r="S7353" s="33" t="s">
        <v>22</v>
      </c>
      <c r="T7353" s="1" t="s">
        <v>42976</v>
      </c>
      <c r="Z7353" s="33" t="s">
        <v>42966</v>
      </c>
      <c r="AA7353" s="33">
        <v>312</v>
      </c>
    </row>
    <row r="7354" spans="1:31" ht="12" customHeight="1" x14ac:dyDescent="0.15">
      <c r="A7354" s="33" t="s">
        <v>15513</v>
      </c>
      <c r="B7354" s="103">
        <v>31</v>
      </c>
      <c r="C7354" s="33" t="s">
        <v>14</v>
      </c>
      <c r="D7354" s="33" t="s">
        <v>42</v>
      </c>
      <c r="E7354" s="33" t="s">
        <v>15514</v>
      </c>
      <c r="F7354" s="67">
        <v>41384</v>
      </c>
      <c r="G7354" s="33" t="s">
        <v>15515</v>
      </c>
      <c r="H7354" s="33" t="s">
        <v>584</v>
      </c>
      <c r="I7354" s="33" t="s">
        <v>112</v>
      </c>
      <c r="J7354" s="33" t="s">
        <v>14781</v>
      </c>
      <c r="K7354" s="33" t="s">
        <v>585</v>
      </c>
      <c r="L7354" s="33" t="s">
        <v>586</v>
      </c>
      <c r="M7354" s="33" t="s">
        <v>21</v>
      </c>
      <c r="N7354" s="33" t="s">
        <v>15516</v>
      </c>
      <c r="O7354" s="33" t="s">
        <v>23</v>
      </c>
      <c r="P7354" s="33" t="s">
        <v>30089</v>
      </c>
      <c r="Q7354" s="40" t="s">
        <v>15517</v>
      </c>
      <c r="R7354" s="33" t="s">
        <v>94</v>
      </c>
      <c r="S7354" s="33" t="s">
        <v>22</v>
      </c>
      <c r="T7354" s="1" t="s">
        <v>26781</v>
      </c>
      <c r="Z7354" s="33" t="s">
        <v>42966</v>
      </c>
      <c r="AA7354" s="33">
        <v>308</v>
      </c>
    </row>
    <row r="7355" spans="1:31" ht="12" customHeight="1" x14ac:dyDescent="0.15">
      <c r="A7355" s="33" t="s">
        <v>15523</v>
      </c>
      <c r="B7355" s="103">
        <v>33</v>
      </c>
      <c r="C7355" s="33" t="s">
        <v>14</v>
      </c>
      <c r="D7355" s="33" t="s">
        <v>31</v>
      </c>
      <c r="E7355" s="33" t="s">
        <v>15524</v>
      </c>
      <c r="F7355" s="67">
        <v>41384</v>
      </c>
      <c r="G7355" s="33" t="s">
        <v>15525</v>
      </c>
      <c r="H7355" s="33" t="s">
        <v>15526</v>
      </c>
      <c r="I7355" s="33" t="s">
        <v>112</v>
      </c>
      <c r="J7355" s="33" t="s">
        <v>15527</v>
      </c>
      <c r="K7355" s="33" t="s">
        <v>585</v>
      </c>
      <c r="L7355" s="33" t="s">
        <v>1338</v>
      </c>
      <c r="M7355" s="33" t="s">
        <v>21</v>
      </c>
      <c r="N7355" s="33" t="s">
        <v>15528</v>
      </c>
      <c r="O7355" s="33" t="s">
        <v>23</v>
      </c>
      <c r="P7355" s="33" t="s">
        <v>30089</v>
      </c>
      <c r="Q7355" s="40" t="s">
        <v>15529</v>
      </c>
      <c r="R7355" s="33" t="s">
        <v>94</v>
      </c>
      <c r="S7355" s="33" t="s">
        <v>22</v>
      </c>
      <c r="T7355" s="33" t="s">
        <v>26781</v>
      </c>
      <c r="Z7355" s="33" t="s">
        <v>42968</v>
      </c>
      <c r="AA7355" s="33">
        <v>311</v>
      </c>
    </row>
    <row r="7356" spans="1:31" ht="12" customHeight="1" x14ac:dyDescent="0.15">
      <c r="A7356" s="33" t="s">
        <v>15530</v>
      </c>
      <c r="B7356" s="103">
        <v>25</v>
      </c>
      <c r="C7356" s="33" t="s">
        <v>14</v>
      </c>
      <c r="D7356" s="33" t="s">
        <v>31</v>
      </c>
      <c r="E7356" s="33" t="s">
        <v>15531</v>
      </c>
      <c r="F7356" s="67">
        <v>41384</v>
      </c>
      <c r="G7356" s="33" t="s">
        <v>15532</v>
      </c>
      <c r="H7356" s="33" t="s">
        <v>15533</v>
      </c>
      <c r="I7356" s="33" t="s">
        <v>621</v>
      </c>
      <c r="J7356" s="33" t="s">
        <v>15534</v>
      </c>
      <c r="K7356" s="33" t="s">
        <v>15535</v>
      </c>
      <c r="L7356" s="33" t="s">
        <v>15536</v>
      </c>
      <c r="M7356" s="33" t="s">
        <v>21</v>
      </c>
      <c r="N7356" s="33" t="s">
        <v>15537</v>
      </c>
      <c r="O7356" s="33" t="s">
        <v>23</v>
      </c>
      <c r="P7356" s="33" t="s">
        <v>30089</v>
      </c>
      <c r="Q7356" s="40" t="s">
        <v>15538</v>
      </c>
      <c r="R7356" s="33" t="s">
        <v>23</v>
      </c>
      <c r="S7356" s="33" t="s">
        <v>22</v>
      </c>
      <c r="T7356" s="1" t="s">
        <v>26781</v>
      </c>
      <c r="Z7356" s="33" t="s">
        <v>42967</v>
      </c>
      <c r="AA7356" s="33">
        <v>310</v>
      </c>
    </row>
    <row r="7357" spans="1:31" ht="12" customHeight="1" x14ac:dyDescent="0.15">
      <c r="A7357" s="33" t="s">
        <v>15510</v>
      </c>
      <c r="B7357" s="33">
        <v>22</v>
      </c>
      <c r="C7357" s="33" t="s">
        <v>14</v>
      </c>
      <c r="D7357" s="33" t="s">
        <v>79</v>
      </c>
      <c r="E7357" s="33" t="s">
        <v>15511</v>
      </c>
      <c r="F7357" s="67">
        <v>41384</v>
      </c>
      <c r="G7357" s="33" t="s">
        <v>15512</v>
      </c>
      <c r="H7357" s="33" t="s">
        <v>55</v>
      </c>
      <c r="I7357" s="33" t="s">
        <v>56</v>
      </c>
      <c r="J7357" s="33" t="s">
        <v>12166</v>
      </c>
      <c r="K7357" s="33" t="s">
        <v>4878</v>
      </c>
      <c r="L7357" s="33" t="s">
        <v>57</v>
      </c>
      <c r="M7357" s="33" t="s">
        <v>21</v>
      </c>
      <c r="N7357" s="33" t="s">
        <v>19086</v>
      </c>
      <c r="O7357" s="33" t="s">
        <v>950</v>
      </c>
      <c r="P7357" s="33" t="s">
        <v>30089</v>
      </c>
      <c r="Q7357" s="40" t="str">
        <f>HYPERLINK("http://www.palmbeachpost.com/news/news/man-shot-and-killed-by-deputies-near-marriott-in-w/nXR2K/","http://www.palmbeachpost.com/news/news/man-shot-and-killed-by-deputies-near-marriott-in-w/nXR2K/")</f>
        <v>http://www.palmbeachpost.com/news/news/man-shot-and-killed-by-deputies-near-marriott-in-w/nXR2K/</v>
      </c>
      <c r="R7357" s="33" t="s">
        <v>94</v>
      </c>
      <c r="S7357" s="33" t="s">
        <v>12</v>
      </c>
      <c r="T7357" s="54" t="s">
        <v>29705</v>
      </c>
      <c r="Z7357" s="33" t="s">
        <v>42966</v>
      </c>
      <c r="AA7357" s="33">
        <v>313</v>
      </c>
    </row>
    <row r="7358" spans="1:31" ht="12" customHeight="1" x14ac:dyDescent="0.15">
      <c r="A7358" s="33" t="s">
        <v>15557</v>
      </c>
      <c r="B7358" s="103">
        <v>51</v>
      </c>
      <c r="C7358" s="33" t="s">
        <v>14</v>
      </c>
      <c r="D7358" s="33" t="s">
        <v>24</v>
      </c>
      <c r="F7358" s="67">
        <v>41383</v>
      </c>
      <c r="G7358" s="33" t="s">
        <v>22327</v>
      </c>
      <c r="H7358" s="33" t="s">
        <v>15558</v>
      </c>
      <c r="I7358" s="33" t="s">
        <v>376</v>
      </c>
      <c r="J7358" s="33" t="s">
        <v>15559</v>
      </c>
      <c r="K7358" s="33" t="s">
        <v>15560</v>
      </c>
      <c r="L7358" s="33" t="s">
        <v>15561</v>
      </c>
      <c r="M7358" s="33" t="s">
        <v>21</v>
      </c>
      <c r="N7358" s="33" t="s">
        <v>15562</v>
      </c>
      <c r="O7358" s="33" t="s">
        <v>23</v>
      </c>
      <c r="P7358" s="33" t="s">
        <v>30089</v>
      </c>
      <c r="Q7358" s="40" t="s">
        <v>15563</v>
      </c>
      <c r="R7358" s="33" t="s">
        <v>23</v>
      </c>
      <c r="S7358" s="33" t="s">
        <v>22</v>
      </c>
      <c r="T7358" s="1" t="s">
        <v>26781</v>
      </c>
      <c r="Z7358" s="33" t="s">
        <v>42967</v>
      </c>
      <c r="AA7358" s="33">
        <v>303</v>
      </c>
    </row>
    <row r="7359" spans="1:31" ht="12" customHeight="1" x14ac:dyDescent="0.15">
      <c r="A7359" s="33" t="s">
        <v>15545</v>
      </c>
      <c r="B7359" s="103">
        <v>42</v>
      </c>
      <c r="C7359" s="33" t="s">
        <v>103</v>
      </c>
      <c r="D7359" s="33" t="s">
        <v>42</v>
      </c>
      <c r="E7359" s="33" t="s">
        <v>15546</v>
      </c>
      <c r="F7359" s="67">
        <v>41383</v>
      </c>
      <c r="G7359" s="33" t="s">
        <v>15547</v>
      </c>
      <c r="H7359" s="33" t="s">
        <v>15548</v>
      </c>
      <c r="I7359" s="33" t="s">
        <v>225</v>
      </c>
      <c r="J7359" s="33" t="s">
        <v>15549</v>
      </c>
      <c r="K7359" s="33" t="s">
        <v>15548</v>
      </c>
      <c r="L7359" s="33" t="s">
        <v>377</v>
      </c>
      <c r="M7359" s="33" t="s">
        <v>21</v>
      </c>
      <c r="N7359" s="33" t="s">
        <v>15550</v>
      </c>
      <c r="O7359" s="33" t="s">
        <v>18576</v>
      </c>
      <c r="P7359" s="33" t="s">
        <v>18576</v>
      </c>
      <c r="Q7359" s="40" t="s">
        <v>15551</v>
      </c>
      <c r="R7359" s="33" t="s">
        <v>94</v>
      </c>
      <c r="S7359" s="33" t="s">
        <v>22</v>
      </c>
      <c r="T7359" s="1" t="s">
        <v>26774</v>
      </c>
      <c r="Y7359" s="33" t="s">
        <v>42476</v>
      </c>
      <c r="Z7359" s="33" t="s">
        <v>42968</v>
      </c>
      <c r="AA7359" s="33">
        <v>305</v>
      </c>
    </row>
    <row r="7360" spans="1:31" ht="12" customHeight="1" x14ac:dyDescent="0.15">
      <c r="A7360" s="33" t="s">
        <v>15554</v>
      </c>
      <c r="B7360" s="103">
        <v>62</v>
      </c>
      <c r="C7360" s="33" t="s">
        <v>14</v>
      </c>
      <c r="D7360" s="33" t="s">
        <v>24</v>
      </c>
      <c r="F7360" s="67">
        <v>41383</v>
      </c>
      <c r="G7360" s="33" t="s">
        <v>22326</v>
      </c>
      <c r="H7360" s="33" t="s">
        <v>3067</v>
      </c>
      <c r="I7360" s="33" t="s">
        <v>112</v>
      </c>
      <c r="J7360" s="33" t="s">
        <v>3068</v>
      </c>
      <c r="K7360" s="33" t="s">
        <v>585</v>
      </c>
      <c r="L7360" s="33" t="s">
        <v>586</v>
      </c>
      <c r="M7360" s="33" t="s">
        <v>21</v>
      </c>
      <c r="N7360" s="33" t="s">
        <v>15555</v>
      </c>
      <c r="O7360" s="33" t="s">
        <v>23</v>
      </c>
      <c r="P7360" s="33" t="s">
        <v>30089</v>
      </c>
      <c r="Q7360" s="40" t="s">
        <v>15556</v>
      </c>
      <c r="R7360" s="33" t="s">
        <v>94</v>
      </c>
      <c r="S7360" s="33" t="s">
        <v>29</v>
      </c>
      <c r="T7360" s="33" t="s">
        <v>43025</v>
      </c>
      <c r="Z7360" s="33" t="s">
        <v>42966</v>
      </c>
      <c r="AA7360" s="33">
        <v>307</v>
      </c>
    </row>
    <row r="7361" spans="1:64" ht="12" customHeight="1" x14ac:dyDescent="0.15">
      <c r="A7361" s="33" t="s">
        <v>15552</v>
      </c>
      <c r="B7361" s="33">
        <v>51</v>
      </c>
      <c r="C7361" s="33" t="s">
        <v>14</v>
      </c>
      <c r="D7361" s="33" t="s">
        <v>24</v>
      </c>
      <c r="F7361" s="67">
        <v>41383</v>
      </c>
      <c r="G7361" s="33" t="s">
        <v>22325</v>
      </c>
      <c r="H7361" s="33" t="s">
        <v>10750</v>
      </c>
      <c r="I7361" s="33" t="s">
        <v>46</v>
      </c>
      <c r="J7361" s="33" t="s">
        <v>10751</v>
      </c>
      <c r="K7361" s="33" t="s">
        <v>995</v>
      </c>
      <c r="L7361" s="33" t="s">
        <v>2191</v>
      </c>
      <c r="M7361" s="33" t="s">
        <v>363</v>
      </c>
      <c r="N7361" s="33" t="s">
        <v>37062</v>
      </c>
      <c r="O7361" s="33" t="s">
        <v>950</v>
      </c>
      <c r="P7361" s="33" t="s">
        <v>30089</v>
      </c>
      <c r="Q7361" s="40" t="s">
        <v>15553</v>
      </c>
      <c r="R7361" s="33" t="s">
        <v>94</v>
      </c>
      <c r="S7361" s="33" t="s">
        <v>29</v>
      </c>
      <c r="T7361" s="1" t="s">
        <v>26590</v>
      </c>
      <c r="Z7361" s="33" t="s">
        <v>42968</v>
      </c>
      <c r="AA7361" s="33">
        <v>306</v>
      </c>
    </row>
    <row r="7362" spans="1:64" ht="12" customHeight="1" x14ac:dyDescent="0.15">
      <c r="A7362" s="33" t="s">
        <v>15564</v>
      </c>
      <c r="B7362" s="33">
        <v>66</v>
      </c>
      <c r="C7362" s="33" t="s">
        <v>14</v>
      </c>
      <c r="D7362" s="33" t="s">
        <v>31</v>
      </c>
      <c r="F7362" s="67">
        <v>41383</v>
      </c>
      <c r="G7362" s="33" t="s">
        <v>15565</v>
      </c>
      <c r="H7362" s="33" t="s">
        <v>15566</v>
      </c>
      <c r="I7362" s="33" t="s">
        <v>409</v>
      </c>
      <c r="J7362" s="33" t="s">
        <v>15567</v>
      </c>
      <c r="K7362" s="33" t="s">
        <v>2173</v>
      </c>
      <c r="L7362" s="33" t="s">
        <v>15568</v>
      </c>
      <c r="M7362" s="33" t="s">
        <v>21</v>
      </c>
      <c r="N7362" s="33" t="s">
        <v>15569</v>
      </c>
      <c r="O7362" s="33" t="s">
        <v>507</v>
      </c>
      <c r="P7362" s="33" t="s">
        <v>30089</v>
      </c>
      <c r="Q7362" s="40" t="s">
        <v>15570</v>
      </c>
      <c r="R7362" s="33" t="s">
        <v>512</v>
      </c>
      <c r="S7362" s="33" t="s">
        <v>22</v>
      </c>
      <c r="T7362" s="33" t="s">
        <v>26781</v>
      </c>
      <c r="Z7362" s="33" t="s">
        <v>42968</v>
      </c>
      <c r="AA7362" s="33">
        <v>304</v>
      </c>
    </row>
    <row r="7363" spans="1:64" ht="12" customHeight="1" x14ac:dyDescent="0.15">
      <c r="A7363" s="33" t="s">
        <v>15592</v>
      </c>
      <c r="B7363" s="33">
        <v>47</v>
      </c>
      <c r="C7363" s="33" t="s">
        <v>103</v>
      </c>
      <c r="D7363" s="33" t="s">
        <v>31</v>
      </c>
      <c r="F7363" s="67">
        <v>41382</v>
      </c>
      <c r="G7363" s="33" t="s">
        <v>15593</v>
      </c>
      <c r="H7363" s="33" t="s">
        <v>14318</v>
      </c>
      <c r="I7363" s="33" t="s">
        <v>139</v>
      </c>
      <c r="J7363" s="33" t="s">
        <v>14319</v>
      </c>
      <c r="K7363" s="33" t="s">
        <v>140</v>
      </c>
      <c r="L7363" s="33" t="s">
        <v>15594</v>
      </c>
      <c r="M7363" s="33" t="s">
        <v>21</v>
      </c>
      <c r="N7363" s="33" t="s">
        <v>15595</v>
      </c>
      <c r="O7363" s="33" t="s">
        <v>23</v>
      </c>
      <c r="P7363" s="33" t="s">
        <v>30089</v>
      </c>
      <c r="Q7363" s="40" t="s">
        <v>15596</v>
      </c>
      <c r="R7363" s="33" t="s">
        <v>512</v>
      </c>
      <c r="S7363" s="33" t="s">
        <v>22</v>
      </c>
      <c r="T7363" s="1" t="s">
        <v>26781</v>
      </c>
      <c r="Z7363" s="33" t="s">
        <v>42967</v>
      </c>
      <c r="AA7363" s="33">
        <v>298</v>
      </c>
    </row>
    <row r="7364" spans="1:64" ht="12" customHeight="1" x14ac:dyDescent="0.15">
      <c r="A7364" s="63" t="s">
        <v>42666</v>
      </c>
      <c r="B7364" s="99">
        <v>57</v>
      </c>
      <c r="C7364" s="10" t="s">
        <v>14</v>
      </c>
      <c r="D7364" s="10" t="s">
        <v>24</v>
      </c>
      <c r="E7364" s="10"/>
      <c r="F7364" s="67">
        <v>41382</v>
      </c>
      <c r="G7364" s="10" t="s">
        <v>42667</v>
      </c>
      <c r="H7364" s="10" t="s">
        <v>42668</v>
      </c>
      <c r="I7364" s="10" t="s">
        <v>402</v>
      </c>
      <c r="J7364" s="65">
        <v>64093</v>
      </c>
      <c r="K7364" s="10" t="s">
        <v>3032</v>
      </c>
      <c r="L7364" s="10" t="s">
        <v>42669</v>
      </c>
      <c r="M7364" s="10" t="s">
        <v>21</v>
      </c>
      <c r="N7364" s="10" t="s">
        <v>42670</v>
      </c>
      <c r="O7364" s="10" t="s">
        <v>950</v>
      </c>
      <c r="P7364" s="10" t="s">
        <v>30089</v>
      </c>
      <c r="Q7364" s="62" t="s">
        <v>42671</v>
      </c>
      <c r="R7364" s="10" t="s">
        <v>904</v>
      </c>
      <c r="S7364" s="10" t="s">
        <v>22</v>
      </c>
      <c r="T7364" s="10" t="s">
        <v>26781</v>
      </c>
      <c r="U7364" s="10"/>
      <c r="V7364" s="10"/>
      <c r="W7364" s="10"/>
      <c r="X7364" s="89"/>
      <c r="Y7364" s="68"/>
      <c r="Z7364" s="68" t="s">
        <v>42968</v>
      </c>
      <c r="AA7364" s="33">
        <v>301</v>
      </c>
      <c r="AG7364" s="68"/>
      <c r="AK7364" s="68"/>
      <c r="AL7364" s="68"/>
      <c r="AM7364" s="68"/>
      <c r="AN7364" s="68"/>
      <c r="AO7364" s="68"/>
      <c r="AP7364" s="68"/>
      <c r="AQ7364" s="68"/>
      <c r="AR7364" s="68"/>
      <c r="AS7364" s="68"/>
      <c r="AT7364" s="68"/>
      <c r="AU7364" s="68"/>
      <c r="AV7364" s="68"/>
      <c r="AW7364" s="68"/>
      <c r="AX7364" s="68"/>
      <c r="AY7364" s="68"/>
      <c r="AZ7364" s="68"/>
      <c r="BA7364" s="68"/>
      <c r="BB7364" s="68"/>
      <c r="BC7364" s="68"/>
      <c r="BD7364" s="68"/>
      <c r="BE7364" s="68"/>
      <c r="BF7364" s="68"/>
      <c r="BG7364" s="68"/>
      <c r="BH7364" s="68"/>
      <c r="BI7364" s="68"/>
      <c r="BJ7364" s="68"/>
      <c r="BK7364" s="68"/>
      <c r="BL7364" s="68"/>
    </row>
    <row r="7365" spans="1:64" ht="12" customHeight="1" x14ac:dyDescent="0.15">
      <c r="A7365" s="33" t="s">
        <v>15584</v>
      </c>
      <c r="B7365" s="33">
        <v>26</v>
      </c>
      <c r="C7365" s="33" t="s">
        <v>14</v>
      </c>
      <c r="D7365" s="33" t="s">
        <v>31</v>
      </c>
      <c r="E7365" s="33" t="s">
        <v>15585</v>
      </c>
      <c r="F7365" s="67">
        <v>41382</v>
      </c>
      <c r="G7365" s="33" t="s">
        <v>15586</v>
      </c>
      <c r="H7365" s="33" t="s">
        <v>15587</v>
      </c>
      <c r="I7365" s="33" t="s">
        <v>40</v>
      </c>
      <c r="J7365" s="33" t="s">
        <v>15588</v>
      </c>
      <c r="K7365" s="33" t="s">
        <v>36</v>
      </c>
      <c r="L7365" s="33" t="s">
        <v>15589</v>
      </c>
      <c r="M7365" s="33" t="s">
        <v>21</v>
      </c>
      <c r="N7365" s="33" t="s">
        <v>15590</v>
      </c>
      <c r="O7365" s="33" t="s">
        <v>23</v>
      </c>
      <c r="P7365" s="33" t="s">
        <v>30089</v>
      </c>
      <c r="Q7365" s="40" t="s">
        <v>15591</v>
      </c>
      <c r="R7365" s="33" t="s">
        <v>94</v>
      </c>
      <c r="S7365" s="33" t="s">
        <v>22</v>
      </c>
      <c r="T7365" s="33" t="s">
        <v>26781</v>
      </c>
      <c r="Z7365" s="33" t="s">
        <v>42966</v>
      </c>
      <c r="AA7365" s="33">
        <v>302</v>
      </c>
    </row>
    <row r="7366" spans="1:64" ht="12" customHeight="1" x14ac:dyDescent="0.15">
      <c r="A7366" s="33" t="s">
        <v>15575</v>
      </c>
      <c r="B7366" s="103">
        <v>50</v>
      </c>
      <c r="C7366" s="33" t="s">
        <v>14</v>
      </c>
      <c r="D7366" s="33" t="s">
        <v>31</v>
      </c>
      <c r="E7366" s="33" t="s">
        <v>15576</v>
      </c>
      <c r="F7366" s="67">
        <v>41382</v>
      </c>
      <c r="G7366" s="33" t="s">
        <v>15577</v>
      </c>
      <c r="H7366" s="33" t="s">
        <v>15578</v>
      </c>
      <c r="I7366" s="33" t="s">
        <v>376</v>
      </c>
      <c r="J7366" s="33" t="s">
        <v>15579</v>
      </c>
      <c r="K7366" s="33" t="s">
        <v>15580</v>
      </c>
      <c r="L7366" s="33" t="s">
        <v>15581</v>
      </c>
      <c r="M7366" s="33" t="s">
        <v>21</v>
      </c>
      <c r="N7366" s="33" t="s">
        <v>15582</v>
      </c>
      <c r="O7366" s="33" t="s">
        <v>507</v>
      </c>
      <c r="P7366" s="33" t="s">
        <v>30089</v>
      </c>
      <c r="Q7366" s="40" t="s">
        <v>15583</v>
      </c>
      <c r="R7366" s="33" t="s">
        <v>94</v>
      </c>
      <c r="S7366" s="33" t="s">
        <v>22</v>
      </c>
      <c r="T7366" s="1" t="s">
        <v>26781</v>
      </c>
      <c r="Z7366" s="33" t="s">
        <v>42968</v>
      </c>
      <c r="AA7366" s="33">
        <v>300</v>
      </c>
    </row>
    <row r="7367" spans="1:64" ht="12" customHeight="1" x14ac:dyDescent="0.15">
      <c r="A7367" s="33" t="s">
        <v>15571</v>
      </c>
      <c r="B7367" s="103">
        <v>42</v>
      </c>
      <c r="C7367" s="33" t="s">
        <v>14</v>
      </c>
      <c r="D7367" s="33" t="s">
        <v>24</v>
      </c>
      <c r="F7367" s="67">
        <v>41382</v>
      </c>
      <c r="G7367" s="33" t="s">
        <v>22328</v>
      </c>
      <c r="H7367" s="33" t="s">
        <v>1487</v>
      </c>
      <c r="I7367" s="33" t="s">
        <v>46</v>
      </c>
      <c r="J7367" s="33" t="s">
        <v>15572</v>
      </c>
      <c r="K7367" s="33" t="s">
        <v>4324</v>
      </c>
      <c r="L7367" s="33" t="s">
        <v>2556</v>
      </c>
      <c r="M7367" s="33" t="s">
        <v>21</v>
      </c>
      <c r="N7367" s="33" t="s">
        <v>15573</v>
      </c>
      <c r="O7367" s="33" t="s">
        <v>23</v>
      </c>
      <c r="P7367" s="33" t="s">
        <v>30089</v>
      </c>
      <c r="Q7367" s="40" t="s">
        <v>15574</v>
      </c>
      <c r="R7367" s="33" t="s">
        <v>23</v>
      </c>
      <c r="S7367" s="33" t="s">
        <v>22</v>
      </c>
      <c r="T7367" s="1" t="s">
        <v>26781</v>
      </c>
      <c r="Z7367" s="33" t="s">
        <v>42966</v>
      </c>
      <c r="AA7367" s="33">
        <v>299</v>
      </c>
    </row>
    <row r="7368" spans="1:64" ht="12" customHeight="1" x14ac:dyDescent="0.15">
      <c r="A7368" s="33" t="s">
        <v>15597</v>
      </c>
      <c r="B7368" s="103">
        <v>22</v>
      </c>
      <c r="C7368" s="33" t="s">
        <v>14</v>
      </c>
      <c r="D7368" s="33" t="s">
        <v>79</v>
      </c>
      <c r="E7368" s="33" t="s">
        <v>15598</v>
      </c>
      <c r="F7368" s="67">
        <v>41381</v>
      </c>
      <c r="G7368" s="33" t="s">
        <v>15599</v>
      </c>
      <c r="H7368" s="33" t="s">
        <v>15600</v>
      </c>
      <c r="I7368" s="33" t="s">
        <v>51</v>
      </c>
      <c r="J7368" s="33" t="s">
        <v>7982</v>
      </c>
      <c r="K7368" s="33" t="s">
        <v>7740</v>
      </c>
      <c r="L7368" s="33" t="s">
        <v>15601</v>
      </c>
      <c r="M7368" s="33" t="s">
        <v>21</v>
      </c>
      <c r="N7368" s="33" t="s">
        <v>15602</v>
      </c>
      <c r="O7368" s="33" t="s">
        <v>507</v>
      </c>
      <c r="P7368" s="33" t="s">
        <v>30089</v>
      </c>
      <c r="Q7368" s="40" t="s">
        <v>15603</v>
      </c>
      <c r="R7368" s="33" t="s">
        <v>94</v>
      </c>
      <c r="S7368" s="33" t="s">
        <v>22</v>
      </c>
      <c r="T7368" s="1" t="s">
        <v>26781</v>
      </c>
      <c r="Z7368" s="33" t="s">
        <v>42966</v>
      </c>
      <c r="AA7368" s="33">
        <v>295</v>
      </c>
    </row>
    <row r="7369" spans="1:64" ht="12" customHeight="1" x14ac:dyDescent="0.15">
      <c r="A7369" s="33" t="s">
        <v>15604</v>
      </c>
      <c r="B7369" s="103">
        <v>25</v>
      </c>
      <c r="C7369" s="33" t="s">
        <v>14</v>
      </c>
      <c r="D7369" s="33" t="s">
        <v>42</v>
      </c>
      <c r="F7369" s="67">
        <v>41381</v>
      </c>
      <c r="G7369" s="33" t="s">
        <v>22330</v>
      </c>
      <c r="H7369" s="33" t="s">
        <v>15605</v>
      </c>
      <c r="I7369" s="33" t="s">
        <v>67</v>
      </c>
      <c r="J7369" s="33" t="s">
        <v>15606</v>
      </c>
      <c r="K7369" s="33" t="s">
        <v>6919</v>
      </c>
      <c r="L7369" s="33" t="s">
        <v>15607</v>
      </c>
      <c r="M7369" s="33" t="s">
        <v>21</v>
      </c>
      <c r="N7369" s="33" t="s">
        <v>15608</v>
      </c>
      <c r="O7369" s="33" t="s">
        <v>23</v>
      </c>
      <c r="P7369" s="33" t="s">
        <v>30089</v>
      </c>
      <c r="Q7369" s="40" t="s">
        <v>15609</v>
      </c>
      <c r="R7369" s="33" t="s">
        <v>94</v>
      </c>
      <c r="S7369" s="33" t="s">
        <v>22</v>
      </c>
      <c r="T7369" s="33" t="s">
        <v>27803</v>
      </c>
      <c r="Z7369" s="33" t="s">
        <v>42967</v>
      </c>
      <c r="AA7369" s="33">
        <v>297</v>
      </c>
    </row>
    <row r="7370" spans="1:64" ht="12" customHeight="1" x14ac:dyDescent="0.15">
      <c r="A7370" s="33" t="s">
        <v>15610</v>
      </c>
      <c r="B7370" s="33">
        <v>60</v>
      </c>
      <c r="C7370" s="33" t="s">
        <v>14</v>
      </c>
      <c r="D7370" s="33" t="s">
        <v>31</v>
      </c>
      <c r="F7370" s="67">
        <v>41381</v>
      </c>
      <c r="G7370" s="33" t="s">
        <v>22329</v>
      </c>
      <c r="H7370" s="33" t="s">
        <v>886</v>
      </c>
      <c r="I7370" s="33" t="s">
        <v>39</v>
      </c>
      <c r="J7370" s="33" t="s">
        <v>6235</v>
      </c>
      <c r="K7370" s="33" t="s">
        <v>886</v>
      </c>
      <c r="L7370" s="33" t="s">
        <v>887</v>
      </c>
      <c r="M7370" s="33" t="s">
        <v>21</v>
      </c>
      <c r="N7370" s="33" t="s">
        <v>15611</v>
      </c>
      <c r="O7370" s="33" t="s">
        <v>23</v>
      </c>
      <c r="P7370" s="33" t="s">
        <v>30089</v>
      </c>
      <c r="Q7370" s="40" t="s">
        <v>15612</v>
      </c>
      <c r="R7370" s="33" t="s">
        <v>23</v>
      </c>
      <c r="S7370" s="33" t="s">
        <v>22</v>
      </c>
      <c r="T7370" s="1" t="s">
        <v>26594</v>
      </c>
      <c r="Z7370" s="33" t="s">
        <v>42966</v>
      </c>
      <c r="AA7370" s="33">
        <v>296</v>
      </c>
    </row>
    <row r="7371" spans="1:64" ht="12" customHeight="1" x14ac:dyDescent="0.15">
      <c r="A7371" s="33" t="s">
        <v>15617</v>
      </c>
      <c r="B7371" s="33">
        <v>33</v>
      </c>
      <c r="C7371" s="33" t="s">
        <v>14</v>
      </c>
      <c r="D7371" s="33" t="s">
        <v>79</v>
      </c>
      <c r="F7371" s="67">
        <v>41379</v>
      </c>
      <c r="G7371" s="33" t="s">
        <v>15614</v>
      </c>
      <c r="H7371" s="33" t="s">
        <v>1599</v>
      </c>
      <c r="I7371" s="33" t="s">
        <v>395</v>
      </c>
      <c r="J7371" s="33" t="s">
        <v>8825</v>
      </c>
      <c r="K7371" s="33" t="s">
        <v>1601</v>
      </c>
      <c r="L7371" s="33" t="s">
        <v>539</v>
      </c>
      <c r="M7371" s="33" t="s">
        <v>21</v>
      </c>
      <c r="N7371" s="33" t="s">
        <v>15615</v>
      </c>
      <c r="O7371" s="33" t="s">
        <v>23116</v>
      </c>
      <c r="P7371" s="33" t="s">
        <v>30089</v>
      </c>
      <c r="Q7371" s="40" t="s">
        <v>15616</v>
      </c>
      <c r="R7371" s="33" t="s">
        <v>94</v>
      </c>
      <c r="S7371" s="33" t="s">
        <v>12</v>
      </c>
      <c r="T7371" s="54" t="s">
        <v>29705</v>
      </c>
      <c r="Y7371" s="33" t="s">
        <v>42476</v>
      </c>
      <c r="Z7371" s="33" t="s">
        <v>42966</v>
      </c>
      <c r="AA7371" s="33">
        <v>293</v>
      </c>
    </row>
    <row r="7372" spans="1:64" ht="12" customHeight="1" x14ac:dyDescent="0.15">
      <c r="A7372" s="33" t="s">
        <v>15613</v>
      </c>
      <c r="B7372" s="33">
        <v>1</v>
      </c>
      <c r="C7372" s="33" t="s">
        <v>14</v>
      </c>
      <c r="D7372" s="33" t="s">
        <v>79</v>
      </c>
      <c r="F7372" s="67">
        <v>41379</v>
      </c>
      <c r="G7372" s="33" t="s">
        <v>15614</v>
      </c>
      <c r="H7372" s="33" t="s">
        <v>1599</v>
      </c>
      <c r="I7372" s="33" t="s">
        <v>395</v>
      </c>
      <c r="J7372" s="33" t="s">
        <v>8825</v>
      </c>
      <c r="K7372" s="33" t="s">
        <v>1601</v>
      </c>
      <c r="L7372" s="33" t="s">
        <v>539</v>
      </c>
      <c r="M7372" s="33" t="s">
        <v>21</v>
      </c>
      <c r="N7372" s="33" t="s">
        <v>15615</v>
      </c>
      <c r="O7372" s="33" t="s">
        <v>23116</v>
      </c>
      <c r="P7372" s="33" t="s">
        <v>30089</v>
      </c>
      <c r="Q7372" s="40" t="s">
        <v>15616</v>
      </c>
      <c r="R7372" s="33" t="s">
        <v>94</v>
      </c>
      <c r="S7372" s="33" t="s">
        <v>12</v>
      </c>
      <c r="T7372" s="54" t="s">
        <v>29705</v>
      </c>
      <c r="Y7372" s="33" t="s">
        <v>42476</v>
      </c>
      <c r="Z7372" s="33" t="s">
        <v>42966</v>
      </c>
      <c r="AA7372" s="33">
        <v>294</v>
      </c>
    </row>
    <row r="7373" spans="1:64" ht="12" customHeight="1" x14ac:dyDescent="0.15">
      <c r="A7373" s="33" t="s">
        <v>15618</v>
      </c>
      <c r="B7373" s="33">
        <v>29</v>
      </c>
      <c r="C7373" s="33" t="s">
        <v>14</v>
      </c>
      <c r="D7373" s="33" t="s">
        <v>42</v>
      </c>
      <c r="F7373" s="67">
        <v>41377</v>
      </c>
      <c r="G7373" s="33" t="s">
        <v>15619</v>
      </c>
      <c r="H7373" s="33" t="s">
        <v>584</v>
      </c>
      <c r="I7373" s="33" t="s">
        <v>112</v>
      </c>
      <c r="J7373" s="33" t="s">
        <v>15620</v>
      </c>
      <c r="K7373" s="33" t="s">
        <v>585</v>
      </c>
      <c r="L7373" s="33" t="s">
        <v>586</v>
      </c>
      <c r="M7373" s="33" t="s">
        <v>21</v>
      </c>
      <c r="N7373" s="33" t="s">
        <v>15621</v>
      </c>
      <c r="O7373" s="33" t="s">
        <v>23</v>
      </c>
      <c r="P7373" s="33" t="s">
        <v>30089</v>
      </c>
      <c r="Q7373" s="40" t="s">
        <v>15622</v>
      </c>
      <c r="R7373" s="33" t="s">
        <v>94</v>
      </c>
      <c r="S7373" s="33" t="s">
        <v>22</v>
      </c>
      <c r="T7373" s="1" t="s">
        <v>26781</v>
      </c>
      <c r="Z7373" s="33" t="s">
        <v>42968</v>
      </c>
      <c r="AA7373" s="33">
        <v>291</v>
      </c>
    </row>
    <row r="7374" spans="1:64" ht="12" customHeight="1" x14ac:dyDescent="0.15">
      <c r="A7374" s="63" t="s">
        <v>42771</v>
      </c>
      <c r="B7374" s="99">
        <v>21</v>
      </c>
      <c r="C7374" s="10" t="s">
        <v>14</v>
      </c>
      <c r="D7374" s="10" t="s">
        <v>31</v>
      </c>
      <c r="E7374" s="62" t="s">
        <v>42772</v>
      </c>
      <c r="F7374" s="67">
        <v>41377</v>
      </c>
      <c r="G7374" s="10" t="s">
        <v>42937</v>
      </c>
      <c r="H7374" s="10" t="s">
        <v>42773</v>
      </c>
      <c r="I7374" s="10" t="s">
        <v>39</v>
      </c>
      <c r="J7374" s="65">
        <v>93561</v>
      </c>
      <c r="K7374" s="10" t="s">
        <v>632</v>
      </c>
      <c r="L7374" s="10" t="s">
        <v>42774</v>
      </c>
      <c r="M7374" s="10" t="s">
        <v>21</v>
      </c>
      <c r="N7374" s="10" t="s">
        <v>42775</v>
      </c>
      <c r="O7374" s="10" t="s">
        <v>507</v>
      </c>
      <c r="P7374" s="10" t="s">
        <v>30089</v>
      </c>
      <c r="Q7374" s="62" t="s">
        <v>42776</v>
      </c>
      <c r="R7374" s="10" t="s">
        <v>23</v>
      </c>
      <c r="S7374" s="10" t="s">
        <v>22</v>
      </c>
      <c r="T7374" s="10" t="s">
        <v>26774</v>
      </c>
      <c r="U7374" s="10"/>
      <c r="V7374" s="10"/>
      <c r="W7374" s="69"/>
      <c r="X7374" s="89"/>
      <c r="Y7374" s="68"/>
      <c r="Z7374" s="68" t="s">
        <v>42967</v>
      </c>
      <c r="AA7374" s="33">
        <v>292</v>
      </c>
      <c r="AG7374" s="68"/>
      <c r="AK7374" s="68"/>
      <c r="AL7374" s="68"/>
      <c r="AM7374" s="68"/>
      <c r="AN7374" s="68"/>
      <c r="AO7374" s="68"/>
      <c r="AP7374" s="68"/>
      <c r="AQ7374" s="68"/>
      <c r="AR7374" s="68"/>
      <c r="AS7374" s="68"/>
      <c r="AT7374" s="68"/>
      <c r="AU7374" s="68"/>
      <c r="AV7374" s="68"/>
      <c r="AW7374" s="68"/>
      <c r="AX7374" s="68"/>
      <c r="AY7374" s="68"/>
      <c r="AZ7374" s="68"/>
      <c r="BA7374" s="68"/>
      <c r="BB7374" s="68"/>
      <c r="BC7374" s="68"/>
      <c r="BD7374" s="68"/>
      <c r="BE7374" s="68"/>
      <c r="BF7374" s="68"/>
      <c r="BG7374" s="68"/>
      <c r="BH7374" s="68"/>
      <c r="BI7374" s="68"/>
      <c r="BJ7374" s="68"/>
      <c r="BK7374" s="68"/>
      <c r="BL7374" s="68"/>
    </row>
    <row r="7375" spans="1:64" ht="12" customHeight="1" x14ac:dyDescent="0.15">
      <c r="A7375" s="33" t="s">
        <v>15623</v>
      </c>
      <c r="B7375" s="103">
        <v>45</v>
      </c>
      <c r="C7375" s="33" t="s">
        <v>14</v>
      </c>
      <c r="D7375" s="33" t="s">
        <v>24</v>
      </c>
      <c r="F7375" s="67">
        <v>41376</v>
      </c>
      <c r="G7375" s="33" t="s">
        <v>15624</v>
      </c>
      <c r="H7375" s="33" t="s">
        <v>15625</v>
      </c>
      <c r="I7375" s="33" t="s">
        <v>402</v>
      </c>
      <c r="J7375" s="33" t="s">
        <v>15626</v>
      </c>
      <c r="K7375" s="33" t="s">
        <v>4549</v>
      </c>
      <c r="L7375" s="33" t="s">
        <v>11598</v>
      </c>
      <c r="M7375" s="33" t="s">
        <v>21</v>
      </c>
      <c r="N7375" s="33" t="s">
        <v>15627</v>
      </c>
      <c r="O7375" s="33" t="s">
        <v>507</v>
      </c>
      <c r="P7375" s="33" t="s">
        <v>30089</v>
      </c>
      <c r="Q7375" s="40" t="s">
        <v>15628</v>
      </c>
      <c r="R7375" s="33" t="s">
        <v>23</v>
      </c>
      <c r="S7375" s="33" t="s">
        <v>22</v>
      </c>
      <c r="T7375" s="33" t="s">
        <v>26781</v>
      </c>
      <c r="Z7375" s="33" t="s">
        <v>42968</v>
      </c>
      <c r="AA7375" s="33">
        <v>290</v>
      </c>
    </row>
    <row r="7376" spans="1:64" ht="12" customHeight="1" x14ac:dyDescent="0.15">
      <c r="A7376" s="33" t="s">
        <v>15629</v>
      </c>
      <c r="B7376" s="103">
        <v>52</v>
      </c>
      <c r="C7376" s="33" t="s">
        <v>14</v>
      </c>
      <c r="D7376" s="33" t="s">
        <v>31</v>
      </c>
      <c r="E7376" s="33" t="s">
        <v>15630</v>
      </c>
      <c r="F7376" s="67">
        <v>41376</v>
      </c>
      <c r="G7376" s="33" t="s">
        <v>15631</v>
      </c>
      <c r="H7376" s="33" t="s">
        <v>15632</v>
      </c>
      <c r="I7376" s="33" t="s">
        <v>160</v>
      </c>
      <c r="J7376" s="33" t="s">
        <v>15633</v>
      </c>
      <c r="K7376" s="33" t="s">
        <v>1454</v>
      </c>
      <c r="L7376" s="33" t="s">
        <v>36946</v>
      </c>
      <c r="M7376" s="33" t="s">
        <v>21</v>
      </c>
      <c r="N7376" s="33" t="s">
        <v>15634</v>
      </c>
      <c r="O7376" s="33" t="s">
        <v>23</v>
      </c>
      <c r="P7376" s="33" t="s">
        <v>30089</v>
      </c>
      <c r="Q7376" s="40" t="s">
        <v>15635</v>
      </c>
      <c r="R7376" s="33" t="s">
        <v>512</v>
      </c>
      <c r="S7376" s="33" t="s">
        <v>22</v>
      </c>
      <c r="T7376" s="1" t="s">
        <v>26781</v>
      </c>
      <c r="Z7376" s="33" t="s">
        <v>42968</v>
      </c>
      <c r="AA7376" s="33">
        <v>289</v>
      </c>
    </row>
    <row r="7377" spans="1:64" ht="12" customHeight="1" x14ac:dyDescent="0.15">
      <c r="A7377" s="63" t="s">
        <v>42658</v>
      </c>
      <c r="B7377" s="99">
        <v>67</v>
      </c>
      <c r="C7377" s="10" t="s">
        <v>14</v>
      </c>
      <c r="D7377" s="10" t="s">
        <v>24</v>
      </c>
      <c r="E7377" s="10"/>
      <c r="F7377" s="67">
        <v>41375</v>
      </c>
      <c r="G7377" s="10" t="s">
        <v>42932</v>
      </c>
      <c r="H7377" s="10" t="s">
        <v>1894</v>
      </c>
      <c r="I7377" s="10" t="s">
        <v>112</v>
      </c>
      <c r="J7377" s="65">
        <v>86326</v>
      </c>
      <c r="K7377" s="10" t="s">
        <v>166</v>
      </c>
      <c r="L7377" s="10" t="s">
        <v>3129</v>
      </c>
      <c r="M7377" s="10" t="s">
        <v>21</v>
      </c>
      <c r="N7377" s="10" t="s">
        <v>42659</v>
      </c>
      <c r="O7377" s="10" t="s">
        <v>950</v>
      </c>
      <c r="P7377" s="10" t="s">
        <v>30089</v>
      </c>
      <c r="Q7377" s="62" t="s">
        <v>42660</v>
      </c>
      <c r="R7377" s="10" t="s">
        <v>512</v>
      </c>
      <c r="S7377" s="10" t="s">
        <v>22</v>
      </c>
      <c r="T7377" s="10" t="s">
        <v>26781</v>
      </c>
      <c r="U7377" s="10"/>
      <c r="V7377" s="10"/>
      <c r="W7377" s="10"/>
      <c r="X7377" s="89"/>
      <c r="Y7377" s="68"/>
      <c r="Z7377" s="68" t="s">
        <v>42968</v>
      </c>
      <c r="AA7377" s="33">
        <v>286</v>
      </c>
      <c r="AG7377" s="68"/>
      <c r="AK7377" s="68"/>
      <c r="AL7377" s="68"/>
      <c r="AM7377" s="68"/>
      <c r="AN7377" s="68"/>
      <c r="AO7377" s="68"/>
      <c r="AP7377" s="68"/>
      <c r="AQ7377" s="68"/>
      <c r="AR7377" s="68"/>
      <c r="AS7377" s="68"/>
      <c r="AT7377" s="68"/>
      <c r="AU7377" s="68"/>
      <c r="AV7377" s="68"/>
      <c r="AW7377" s="68"/>
      <c r="AX7377" s="68"/>
      <c r="AY7377" s="68"/>
      <c r="AZ7377" s="68"/>
      <c r="BA7377" s="68"/>
      <c r="BB7377" s="68"/>
      <c r="BC7377" s="68"/>
      <c r="BD7377" s="68"/>
      <c r="BE7377" s="68"/>
      <c r="BF7377" s="68"/>
      <c r="BG7377" s="68"/>
      <c r="BH7377" s="68"/>
      <c r="BI7377" s="68"/>
      <c r="BJ7377" s="68"/>
      <c r="BK7377" s="68"/>
      <c r="BL7377" s="68"/>
    </row>
    <row r="7378" spans="1:64" ht="12" customHeight="1" x14ac:dyDescent="0.15">
      <c r="A7378" s="63" t="s">
        <v>42661</v>
      </c>
      <c r="B7378" s="99">
        <v>59</v>
      </c>
      <c r="C7378" s="10" t="s">
        <v>14</v>
      </c>
      <c r="D7378" s="10" t="s">
        <v>24</v>
      </c>
      <c r="E7378" s="10"/>
      <c r="F7378" s="67">
        <v>41375</v>
      </c>
      <c r="G7378" s="10" t="s">
        <v>42662</v>
      </c>
      <c r="H7378" s="10" t="s">
        <v>42663</v>
      </c>
      <c r="I7378" s="10" t="s">
        <v>225</v>
      </c>
      <c r="J7378" s="65">
        <v>22733</v>
      </c>
      <c r="K7378" s="10" t="s">
        <v>2928</v>
      </c>
      <c r="L7378" s="10" t="s">
        <v>21889</v>
      </c>
      <c r="M7378" s="10" t="s">
        <v>21</v>
      </c>
      <c r="N7378" s="10" t="s">
        <v>42664</v>
      </c>
      <c r="O7378" s="10" t="s">
        <v>950</v>
      </c>
      <c r="P7378" s="10" t="s">
        <v>30089</v>
      </c>
      <c r="Q7378" s="62" t="s">
        <v>42665</v>
      </c>
      <c r="R7378" s="10" t="s">
        <v>94</v>
      </c>
      <c r="S7378" s="10" t="s">
        <v>22</v>
      </c>
      <c r="T7378" s="10" t="s">
        <v>26781</v>
      </c>
      <c r="U7378" s="10"/>
      <c r="V7378" s="10"/>
      <c r="W7378" s="10"/>
      <c r="X7378" s="89"/>
      <c r="Y7378" s="68"/>
      <c r="Z7378" s="68" t="s">
        <v>42967</v>
      </c>
      <c r="AA7378" s="33">
        <v>287</v>
      </c>
      <c r="AG7378" s="68"/>
      <c r="AK7378" s="68"/>
      <c r="AL7378" s="68"/>
      <c r="AM7378" s="68"/>
      <c r="AN7378" s="68"/>
      <c r="AO7378" s="68"/>
      <c r="AP7378" s="68"/>
      <c r="AQ7378" s="68"/>
      <c r="AR7378" s="68"/>
      <c r="AS7378" s="68"/>
      <c r="AT7378" s="68"/>
      <c r="AU7378" s="68"/>
      <c r="AV7378" s="68"/>
      <c r="AW7378" s="68"/>
      <c r="AX7378" s="68"/>
      <c r="AY7378" s="68"/>
      <c r="AZ7378" s="68"/>
      <c r="BA7378" s="68"/>
      <c r="BB7378" s="68"/>
      <c r="BC7378" s="68"/>
      <c r="BD7378" s="68"/>
      <c r="BE7378" s="68"/>
      <c r="BF7378" s="68"/>
      <c r="BG7378" s="68"/>
      <c r="BH7378" s="68"/>
      <c r="BI7378" s="68"/>
      <c r="BJ7378" s="68"/>
      <c r="BK7378" s="68"/>
      <c r="BL7378" s="68"/>
    </row>
    <row r="7379" spans="1:64" ht="12" customHeight="1" x14ac:dyDescent="0.15">
      <c r="A7379" s="33" t="s">
        <v>15638</v>
      </c>
      <c r="B7379" s="33">
        <v>25</v>
      </c>
      <c r="C7379" s="33" t="s">
        <v>14</v>
      </c>
      <c r="D7379" s="33" t="s">
        <v>31</v>
      </c>
      <c r="E7379" s="33" t="s">
        <v>15639</v>
      </c>
      <c r="F7379" s="67">
        <v>41375</v>
      </c>
      <c r="G7379" s="33" t="s">
        <v>22331</v>
      </c>
      <c r="H7379" s="33" t="s">
        <v>15640</v>
      </c>
      <c r="I7379" s="33" t="s">
        <v>39</v>
      </c>
      <c r="J7379" s="33" t="s">
        <v>15641</v>
      </c>
      <c r="K7379" s="33" t="s">
        <v>2722</v>
      </c>
      <c r="L7379" s="33" t="s">
        <v>15642</v>
      </c>
      <c r="M7379" s="33" t="s">
        <v>21</v>
      </c>
      <c r="N7379" s="33" t="s">
        <v>15643</v>
      </c>
      <c r="O7379" s="33" t="s">
        <v>12392</v>
      </c>
      <c r="P7379" s="33" t="s">
        <v>30089</v>
      </c>
      <c r="Q7379" s="40" t="s">
        <v>15644</v>
      </c>
      <c r="R7379" s="33" t="s">
        <v>23</v>
      </c>
      <c r="S7379" s="33" t="s">
        <v>22</v>
      </c>
      <c r="T7379" s="1" t="s">
        <v>26774</v>
      </c>
      <c r="Z7379" s="33" t="s">
        <v>42967</v>
      </c>
      <c r="AA7379" s="33">
        <v>288</v>
      </c>
    </row>
    <row r="7380" spans="1:64" ht="12" customHeight="1" x14ac:dyDescent="0.15">
      <c r="A7380" s="63" t="s">
        <v>42707</v>
      </c>
      <c r="B7380" s="99">
        <v>41</v>
      </c>
      <c r="C7380" s="10" t="s">
        <v>14</v>
      </c>
      <c r="D7380" s="10" t="s">
        <v>31</v>
      </c>
      <c r="E7380" s="62" t="s">
        <v>42708</v>
      </c>
      <c r="F7380" s="67">
        <v>41374</v>
      </c>
      <c r="G7380" s="10" t="s">
        <v>42935</v>
      </c>
      <c r="H7380" s="10" t="s">
        <v>6286</v>
      </c>
      <c r="I7380" s="10" t="s">
        <v>225</v>
      </c>
      <c r="J7380" s="65">
        <v>24073</v>
      </c>
      <c r="K7380" s="10" t="s">
        <v>995</v>
      </c>
      <c r="L7380" s="10" t="s">
        <v>42709</v>
      </c>
      <c r="M7380" s="10" t="s">
        <v>21</v>
      </c>
      <c r="N7380" s="10" t="s">
        <v>42710</v>
      </c>
      <c r="O7380" s="10" t="s">
        <v>507</v>
      </c>
      <c r="P7380" s="10" t="s">
        <v>30089</v>
      </c>
      <c r="Q7380" s="62" t="s">
        <v>42711</v>
      </c>
      <c r="R7380" s="10" t="s">
        <v>23</v>
      </c>
      <c r="S7380" s="10" t="s">
        <v>22</v>
      </c>
      <c r="T7380" s="10" t="s">
        <v>26781</v>
      </c>
      <c r="U7380" s="10"/>
      <c r="V7380" s="10"/>
      <c r="W7380" s="10"/>
      <c r="X7380" s="89"/>
      <c r="Y7380" s="68"/>
      <c r="Z7380" s="68" t="s">
        <v>42966</v>
      </c>
      <c r="AA7380" s="33">
        <v>283</v>
      </c>
      <c r="AG7380" s="68"/>
      <c r="AK7380" s="68"/>
      <c r="AL7380" s="68"/>
      <c r="AM7380" s="68"/>
      <c r="AN7380" s="68"/>
      <c r="AO7380" s="68"/>
      <c r="AP7380" s="68"/>
      <c r="AQ7380" s="68"/>
      <c r="AR7380" s="68"/>
      <c r="AS7380" s="68"/>
      <c r="AT7380" s="68"/>
      <c r="AU7380" s="68"/>
      <c r="AV7380" s="68"/>
      <c r="AW7380" s="68"/>
      <c r="AX7380" s="68"/>
      <c r="AY7380" s="68"/>
      <c r="AZ7380" s="68"/>
      <c r="BA7380" s="68"/>
      <c r="BB7380" s="68"/>
      <c r="BC7380" s="68"/>
      <c r="BD7380" s="68"/>
      <c r="BE7380" s="68"/>
      <c r="BF7380" s="68"/>
      <c r="BG7380" s="68"/>
      <c r="BH7380" s="68"/>
      <c r="BI7380" s="68"/>
      <c r="BJ7380" s="68"/>
      <c r="BK7380" s="68"/>
      <c r="BL7380" s="68"/>
    </row>
    <row r="7381" spans="1:64" ht="12" customHeight="1" x14ac:dyDescent="0.15">
      <c r="A7381" s="33" t="s">
        <v>15645</v>
      </c>
      <c r="B7381" s="33">
        <v>55</v>
      </c>
      <c r="C7381" s="33" t="s">
        <v>14</v>
      </c>
      <c r="D7381" s="33" t="s">
        <v>31</v>
      </c>
      <c r="E7381" s="33" t="s">
        <v>15646</v>
      </c>
      <c r="F7381" s="67">
        <v>41374</v>
      </c>
      <c r="G7381" s="33" t="s">
        <v>15647</v>
      </c>
      <c r="H7381" s="33" t="s">
        <v>15648</v>
      </c>
      <c r="I7381" s="33" t="s">
        <v>160</v>
      </c>
      <c r="J7381" s="33" t="s">
        <v>15649</v>
      </c>
      <c r="K7381" s="33" t="s">
        <v>1239</v>
      </c>
      <c r="L7381" s="33" t="s">
        <v>15650</v>
      </c>
      <c r="M7381" s="33" t="s">
        <v>21</v>
      </c>
      <c r="N7381" s="33" t="s">
        <v>15651</v>
      </c>
      <c r="O7381" s="33" t="s">
        <v>23</v>
      </c>
      <c r="P7381" s="33" t="s">
        <v>30089</v>
      </c>
      <c r="Q7381" s="40" t="s">
        <v>15652</v>
      </c>
      <c r="R7381" s="33" t="s">
        <v>23</v>
      </c>
      <c r="S7381" s="33" t="s">
        <v>22</v>
      </c>
      <c r="T7381" s="1" t="s">
        <v>26781</v>
      </c>
      <c r="Z7381" s="33" t="s">
        <v>42968</v>
      </c>
      <c r="AA7381" s="33">
        <v>281</v>
      </c>
    </row>
    <row r="7382" spans="1:64" ht="12" customHeight="1" x14ac:dyDescent="0.15">
      <c r="A7382" s="63" t="s">
        <v>42584</v>
      </c>
      <c r="B7382" s="99">
        <v>39</v>
      </c>
      <c r="C7382" s="10" t="s">
        <v>14</v>
      </c>
      <c r="D7382" s="10" t="s">
        <v>31</v>
      </c>
      <c r="E7382" s="62" t="s">
        <v>42585</v>
      </c>
      <c r="F7382" s="67">
        <v>41374</v>
      </c>
      <c r="G7382" s="10" t="s">
        <v>42586</v>
      </c>
      <c r="H7382" s="10" t="s">
        <v>17336</v>
      </c>
      <c r="I7382" s="10" t="s">
        <v>63</v>
      </c>
      <c r="J7382" s="65">
        <v>45822</v>
      </c>
      <c r="K7382" s="10" t="s">
        <v>2675</v>
      </c>
      <c r="L7382" s="10" t="s">
        <v>42587</v>
      </c>
      <c r="M7382" s="10" t="s">
        <v>21</v>
      </c>
      <c r="N7382" s="10" t="s">
        <v>42588</v>
      </c>
      <c r="O7382" s="10" t="s">
        <v>507</v>
      </c>
      <c r="P7382" s="10" t="s">
        <v>30089</v>
      </c>
      <c r="Q7382" s="62" t="s">
        <v>42589</v>
      </c>
      <c r="R7382" s="10" t="s">
        <v>23</v>
      </c>
      <c r="S7382" s="10" t="s">
        <v>22</v>
      </c>
      <c r="T7382" s="10" t="s">
        <v>26781</v>
      </c>
      <c r="U7382" s="10"/>
      <c r="V7382" s="10"/>
      <c r="W7382" s="10"/>
      <c r="X7382" s="89"/>
      <c r="Y7382" s="68"/>
      <c r="Z7382" s="68" t="s">
        <v>42967</v>
      </c>
      <c r="AA7382" s="33">
        <v>282</v>
      </c>
      <c r="AG7382" s="68"/>
      <c r="AK7382" s="68"/>
      <c r="AL7382" s="68"/>
      <c r="AM7382" s="68"/>
      <c r="AN7382" s="68"/>
      <c r="AO7382" s="68"/>
      <c r="AP7382" s="68"/>
      <c r="AQ7382" s="68"/>
      <c r="AR7382" s="68"/>
      <c r="AS7382" s="68"/>
      <c r="AT7382" s="68"/>
      <c r="AU7382" s="68"/>
      <c r="AV7382" s="68"/>
      <c r="AW7382" s="68"/>
      <c r="AX7382" s="68"/>
      <c r="AY7382" s="68"/>
      <c r="AZ7382" s="68"/>
      <c r="BA7382" s="68"/>
      <c r="BB7382" s="68"/>
      <c r="BC7382" s="68"/>
      <c r="BD7382" s="68"/>
      <c r="BE7382" s="68"/>
      <c r="BF7382" s="68"/>
      <c r="BG7382" s="68"/>
      <c r="BH7382" s="68"/>
      <c r="BI7382" s="68"/>
      <c r="BJ7382" s="68"/>
      <c r="BK7382" s="68"/>
      <c r="BL7382" s="68"/>
    </row>
    <row r="7383" spans="1:64" ht="12" customHeight="1" x14ac:dyDescent="0.15">
      <c r="A7383" s="33" t="s">
        <v>15653</v>
      </c>
      <c r="B7383" s="103">
        <v>47</v>
      </c>
      <c r="C7383" s="33" t="s">
        <v>14</v>
      </c>
      <c r="D7383" s="33" t="s">
        <v>31</v>
      </c>
      <c r="E7383" s="33" t="s">
        <v>15654</v>
      </c>
      <c r="F7383" s="67">
        <v>41374</v>
      </c>
      <c r="G7383" s="33" t="s">
        <v>15655</v>
      </c>
      <c r="H7383" s="33" t="s">
        <v>1116</v>
      </c>
      <c r="I7383" s="33" t="s">
        <v>298</v>
      </c>
      <c r="J7383" s="33">
        <v>38134</v>
      </c>
      <c r="K7383" s="33" t="s">
        <v>1117</v>
      </c>
      <c r="L7383" s="33" t="s">
        <v>1118</v>
      </c>
      <c r="M7383" s="33" t="s">
        <v>21</v>
      </c>
      <c r="N7383" s="33" t="s">
        <v>36898</v>
      </c>
      <c r="O7383" s="33" t="s">
        <v>23</v>
      </c>
      <c r="P7383" s="33" t="s">
        <v>30089</v>
      </c>
      <c r="Q7383" s="40" t="s">
        <v>15656</v>
      </c>
      <c r="R7383" s="33" t="s">
        <v>23</v>
      </c>
      <c r="S7383" s="33" t="s">
        <v>12</v>
      </c>
      <c r="T7383" s="1" t="s">
        <v>29705</v>
      </c>
      <c r="Z7383" s="33" t="s">
        <v>42966</v>
      </c>
      <c r="AA7383" s="33">
        <v>284</v>
      </c>
    </row>
    <row r="7384" spans="1:64" ht="12" customHeight="1" x14ac:dyDescent="0.15">
      <c r="A7384" s="33" t="s">
        <v>15657</v>
      </c>
      <c r="B7384" s="33">
        <v>45</v>
      </c>
      <c r="C7384" s="33" t="s">
        <v>14</v>
      </c>
      <c r="D7384" s="33" t="s">
        <v>31</v>
      </c>
      <c r="E7384" s="33" t="s">
        <v>15658</v>
      </c>
      <c r="F7384" s="67">
        <v>41374</v>
      </c>
      <c r="G7384" s="33" t="s">
        <v>15659</v>
      </c>
      <c r="H7384" s="33" t="s">
        <v>140</v>
      </c>
      <c r="I7384" s="33" t="s">
        <v>338</v>
      </c>
      <c r="J7384" s="33" t="s">
        <v>15660</v>
      </c>
      <c r="K7384" s="33" t="s">
        <v>642</v>
      </c>
      <c r="L7384" s="33" t="s">
        <v>15661</v>
      </c>
      <c r="M7384" s="33" t="s">
        <v>363</v>
      </c>
      <c r="N7384" s="33" t="s">
        <v>15662</v>
      </c>
      <c r="O7384" s="33" t="s">
        <v>950</v>
      </c>
      <c r="P7384" s="33" t="s">
        <v>30089</v>
      </c>
      <c r="Q7384" s="40" t="s">
        <v>15663</v>
      </c>
      <c r="R7384" s="33" t="s">
        <v>94</v>
      </c>
      <c r="S7384" s="33" t="s">
        <v>12</v>
      </c>
      <c r="T7384" s="1" t="s">
        <v>29705</v>
      </c>
      <c r="Z7384" s="33" t="s">
        <v>42968</v>
      </c>
      <c r="AA7384" s="33">
        <v>285</v>
      </c>
    </row>
    <row r="7385" spans="1:64" ht="12" customHeight="1" x14ac:dyDescent="0.15">
      <c r="A7385" s="33" t="s">
        <v>15664</v>
      </c>
      <c r="B7385" s="33">
        <v>25</v>
      </c>
      <c r="C7385" s="33" t="s">
        <v>14</v>
      </c>
      <c r="D7385" s="33" t="s">
        <v>42</v>
      </c>
      <c r="F7385" s="67">
        <v>41373</v>
      </c>
      <c r="G7385" s="33" t="s">
        <v>15665</v>
      </c>
      <c r="H7385" s="33" t="s">
        <v>6899</v>
      </c>
      <c r="I7385" s="33" t="s">
        <v>39</v>
      </c>
      <c r="J7385" s="33" t="s">
        <v>6900</v>
      </c>
      <c r="K7385" s="33" t="s">
        <v>92</v>
      </c>
      <c r="L7385" s="33" t="s">
        <v>12795</v>
      </c>
      <c r="M7385" s="33" t="s">
        <v>21</v>
      </c>
      <c r="N7385" s="33" t="s">
        <v>15666</v>
      </c>
      <c r="O7385" s="33" t="s">
        <v>950</v>
      </c>
      <c r="P7385" s="33" t="s">
        <v>30089</v>
      </c>
      <c r="Q7385" s="40" t="s">
        <v>15667</v>
      </c>
      <c r="R7385" s="33" t="s">
        <v>23</v>
      </c>
      <c r="S7385" s="33" t="s">
        <v>29</v>
      </c>
      <c r="T7385" s="1" t="s">
        <v>41840</v>
      </c>
      <c r="Z7385" s="33" t="s">
        <v>42966</v>
      </c>
      <c r="AA7385" s="33">
        <v>278</v>
      </c>
    </row>
    <row r="7386" spans="1:64" ht="12" customHeight="1" x14ac:dyDescent="0.15">
      <c r="A7386" s="33" t="s">
        <v>15674</v>
      </c>
      <c r="B7386" s="33">
        <v>23</v>
      </c>
      <c r="C7386" s="33" t="s">
        <v>14</v>
      </c>
      <c r="D7386" s="33" t="s">
        <v>31</v>
      </c>
      <c r="E7386" s="33" t="s">
        <v>15675</v>
      </c>
      <c r="F7386" s="67">
        <v>41373</v>
      </c>
      <c r="G7386" s="33" t="s">
        <v>15676</v>
      </c>
      <c r="H7386" s="33" t="s">
        <v>1027</v>
      </c>
      <c r="I7386" s="33" t="s">
        <v>367</v>
      </c>
      <c r="J7386" s="33" t="s">
        <v>15671</v>
      </c>
      <c r="K7386" s="33" t="s">
        <v>1028</v>
      </c>
      <c r="L7386" s="33" t="s">
        <v>1029</v>
      </c>
      <c r="M7386" s="33" t="s">
        <v>21</v>
      </c>
      <c r="N7386" s="33" t="s">
        <v>15672</v>
      </c>
      <c r="O7386" s="33" t="s">
        <v>507</v>
      </c>
      <c r="P7386" s="33" t="s">
        <v>30089</v>
      </c>
      <c r="Q7386" s="40" t="s">
        <v>15673</v>
      </c>
      <c r="R7386" s="33" t="s">
        <v>94</v>
      </c>
      <c r="S7386" s="33" t="s">
        <v>29</v>
      </c>
      <c r="T7386" s="1" t="s">
        <v>41840</v>
      </c>
      <c r="Z7386" s="33" t="s">
        <v>42966</v>
      </c>
      <c r="AA7386" s="33">
        <v>279</v>
      </c>
    </row>
    <row r="7387" spans="1:64" ht="12" customHeight="1" x14ac:dyDescent="0.15">
      <c r="A7387" s="33" t="s">
        <v>15668</v>
      </c>
      <c r="B7387" s="33">
        <v>20</v>
      </c>
      <c r="C7387" s="33" t="s">
        <v>103</v>
      </c>
      <c r="D7387" s="33" t="s">
        <v>31</v>
      </c>
      <c r="E7387" s="33" t="s">
        <v>15669</v>
      </c>
      <c r="F7387" s="67">
        <v>41373</v>
      </c>
      <c r="G7387" s="33" t="s">
        <v>15670</v>
      </c>
      <c r="H7387" s="33" t="s">
        <v>1027</v>
      </c>
      <c r="I7387" s="33" t="s">
        <v>367</v>
      </c>
      <c r="J7387" s="33" t="s">
        <v>15671</v>
      </c>
      <c r="K7387" s="33" t="s">
        <v>1028</v>
      </c>
      <c r="L7387" s="33" t="s">
        <v>1029</v>
      </c>
      <c r="M7387" s="33" t="s">
        <v>21</v>
      </c>
      <c r="N7387" s="33" t="s">
        <v>15672</v>
      </c>
      <c r="O7387" s="33" t="s">
        <v>507</v>
      </c>
      <c r="P7387" s="33" t="s">
        <v>30089</v>
      </c>
      <c r="Q7387" s="40" t="s">
        <v>15673</v>
      </c>
      <c r="R7387" s="33" t="s">
        <v>94</v>
      </c>
      <c r="S7387" s="33" t="s">
        <v>29</v>
      </c>
      <c r="T7387" s="1" t="s">
        <v>41840</v>
      </c>
      <c r="Z7387" s="33" t="s">
        <v>42966</v>
      </c>
      <c r="AA7387" s="33">
        <v>280</v>
      </c>
    </row>
    <row r="7388" spans="1:64" ht="12" customHeight="1" x14ac:dyDescent="0.15">
      <c r="A7388" s="63" t="s">
        <v>42728</v>
      </c>
      <c r="B7388" s="99">
        <v>34</v>
      </c>
      <c r="C7388" s="10" t="s">
        <v>14</v>
      </c>
      <c r="D7388" s="10" t="s">
        <v>79</v>
      </c>
      <c r="E7388" s="62" t="s">
        <v>42729</v>
      </c>
      <c r="F7388" s="67">
        <v>41373</v>
      </c>
      <c r="G7388" s="10" t="s">
        <v>42730</v>
      </c>
      <c r="H7388" s="10" t="s">
        <v>107</v>
      </c>
      <c r="I7388" s="10" t="s">
        <v>3357</v>
      </c>
      <c r="J7388" s="65">
        <v>20020</v>
      </c>
      <c r="K7388" s="10" t="s">
        <v>3359</v>
      </c>
      <c r="L7388" s="10" t="s">
        <v>17581</v>
      </c>
      <c r="M7388" s="10" t="s">
        <v>21</v>
      </c>
      <c r="N7388" s="10" t="s">
        <v>42731</v>
      </c>
      <c r="O7388" s="10" t="s">
        <v>950</v>
      </c>
      <c r="P7388" s="10" t="s">
        <v>30089</v>
      </c>
      <c r="Q7388" s="62" t="s">
        <v>42732</v>
      </c>
      <c r="R7388" s="10" t="s">
        <v>94</v>
      </c>
      <c r="S7388" s="10" t="s">
        <v>22</v>
      </c>
      <c r="T7388" s="10" t="s">
        <v>26781</v>
      </c>
      <c r="U7388" s="10"/>
      <c r="V7388" s="10"/>
      <c r="W7388" s="10"/>
      <c r="X7388" s="89"/>
      <c r="Y7388" s="68"/>
      <c r="Z7388" s="68" t="s">
        <v>42966</v>
      </c>
      <c r="AA7388" s="33">
        <v>277</v>
      </c>
      <c r="AG7388" s="68"/>
      <c r="AK7388" s="68"/>
      <c r="AL7388" s="68"/>
      <c r="AM7388" s="68"/>
      <c r="AN7388" s="68"/>
      <c r="AO7388" s="68"/>
      <c r="AP7388" s="68"/>
      <c r="AQ7388" s="68"/>
      <c r="AR7388" s="68"/>
      <c r="AS7388" s="68"/>
      <c r="AT7388" s="68"/>
      <c r="AU7388" s="68"/>
      <c r="AV7388" s="68"/>
      <c r="AW7388" s="68"/>
      <c r="AX7388" s="68"/>
      <c r="AY7388" s="68"/>
      <c r="AZ7388" s="68"/>
      <c r="BA7388" s="68"/>
      <c r="BB7388" s="68"/>
      <c r="BC7388" s="68"/>
      <c r="BD7388" s="68"/>
      <c r="BE7388" s="68"/>
      <c r="BF7388" s="68"/>
      <c r="BG7388" s="68"/>
      <c r="BH7388" s="68"/>
      <c r="BI7388" s="68"/>
      <c r="BJ7388" s="68"/>
      <c r="BK7388" s="68"/>
      <c r="BL7388" s="68"/>
    </row>
    <row r="7389" spans="1:64" ht="12" customHeight="1" x14ac:dyDescent="0.15">
      <c r="A7389" s="63" t="s">
        <v>42884</v>
      </c>
      <c r="B7389" s="99">
        <v>31</v>
      </c>
      <c r="C7389" s="10" t="s">
        <v>103</v>
      </c>
      <c r="D7389" s="10" t="s">
        <v>31</v>
      </c>
      <c r="E7389" s="62" t="s">
        <v>42885</v>
      </c>
      <c r="F7389" s="67">
        <v>41372</v>
      </c>
      <c r="G7389" s="10" t="s">
        <v>42886</v>
      </c>
      <c r="H7389" s="10" t="s">
        <v>42887</v>
      </c>
      <c r="I7389" s="10" t="s">
        <v>67</v>
      </c>
      <c r="J7389" s="65">
        <v>75080</v>
      </c>
      <c r="K7389" s="10" t="s">
        <v>266</v>
      </c>
      <c r="L7389" s="10" t="s">
        <v>42888</v>
      </c>
      <c r="M7389" s="10" t="s">
        <v>21</v>
      </c>
      <c r="N7389" s="10" t="s">
        <v>42889</v>
      </c>
      <c r="O7389" s="10" t="s">
        <v>507</v>
      </c>
      <c r="P7389" s="10" t="s">
        <v>30089</v>
      </c>
      <c r="Q7389" s="62" t="s">
        <v>42890</v>
      </c>
      <c r="R7389" s="10" t="s">
        <v>94</v>
      </c>
      <c r="S7389" s="10" t="s">
        <v>351</v>
      </c>
      <c r="T7389" s="10" t="s">
        <v>26867</v>
      </c>
      <c r="U7389" s="10"/>
      <c r="V7389" s="10"/>
      <c r="W7389" s="10"/>
      <c r="X7389" s="89"/>
      <c r="Y7389" s="68"/>
      <c r="Z7389" s="68" t="s">
        <v>42968</v>
      </c>
      <c r="AA7389" s="33">
        <v>276</v>
      </c>
      <c r="AG7389" s="68"/>
      <c r="AK7389" s="68"/>
      <c r="AL7389" s="68"/>
      <c r="AM7389" s="68"/>
      <c r="AN7389" s="68"/>
      <c r="AO7389" s="68"/>
      <c r="AP7389" s="68"/>
      <c r="AQ7389" s="68"/>
      <c r="AR7389" s="68"/>
      <c r="AS7389" s="68"/>
      <c r="AT7389" s="68"/>
      <c r="AU7389" s="68"/>
      <c r="AV7389" s="68"/>
      <c r="AW7389" s="68"/>
      <c r="AX7389" s="68"/>
      <c r="AY7389" s="68"/>
      <c r="AZ7389" s="68"/>
      <c r="BA7389" s="68"/>
      <c r="BB7389" s="68"/>
      <c r="BC7389" s="68"/>
      <c r="BD7389" s="68"/>
      <c r="BE7389" s="68"/>
      <c r="BF7389" s="68"/>
      <c r="BG7389" s="68"/>
      <c r="BH7389" s="68"/>
      <c r="BI7389" s="68"/>
      <c r="BJ7389" s="68"/>
      <c r="BK7389" s="68"/>
      <c r="BL7389" s="68"/>
    </row>
    <row r="7390" spans="1:64" ht="12" customHeight="1" x14ac:dyDescent="0.15">
      <c r="A7390" s="33" t="s">
        <v>26766</v>
      </c>
      <c r="B7390" s="33">
        <v>37</v>
      </c>
      <c r="C7390" s="33" t="s">
        <v>14</v>
      </c>
      <c r="D7390" s="33" t="s">
        <v>79</v>
      </c>
      <c r="F7390" s="67">
        <v>41372</v>
      </c>
      <c r="G7390" s="33" t="s">
        <v>26767</v>
      </c>
      <c r="H7390" s="33" t="s">
        <v>172</v>
      </c>
      <c r="I7390" s="33" t="s">
        <v>19</v>
      </c>
      <c r="J7390" s="33">
        <v>70806</v>
      </c>
      <c r="K7390" s="33" t="s">
        <v>3435</v>
      </c>
      <c r="L7390" s="33" t="s">
        <v>1573</v>
      </c>
      <c r="M7390" s="33" t="s">
        <v>21</v>
      </c>
      <c r="N7390" s="33" t="s">
        <v>26768</v>
      </c>
      <c r="O7390" s="33" t="s">
        <v>372</v>
      </c>
      <c r="P7390" s="33" t="s">
        <v>30089</v>
      </c>
      <c r="Q7390" s="40" t="s">
        <v>26769</v>
      </c>
      <c r="R7390" s="33" t="s">
        <v>512</v>
      </c>
      <c r="S7390" s="33" t="s">
        <v>22</v>
      </c>
      <c r="T7390" s="1" t="s">
        <v>26774</v>
      </c>
      <c r="Z7390" s="33" t="s">
        <v>42968</v>
      </c>
      <c r="AA7390" s="33">
        <v>275</v>
      </c>
    </row>
    <row r="7391" spans="1:64" ht="12" customHeight="1" x14ac:dyDescent="0.15">
      <c r="A7391" s="10" t="s">
        <v>42608</v>
      </c>
      <c r="B7391" s="99">
        <v>24</v>
      </c>
      <c r="C7391" s="10" t="s">
        <v>14</v>
      </c>
      <c r="D7391" s="10" t="s">
        <v>24</v>
      </c>
      <c r="E7391" s="63"/>
      <c r="F7391" s="67">
        <v>41372</v>
      </c>
      <c r="G7391" s="10" t="s">
        <v>42609</v>
      </c>
      <c r="H7391" s="10" t="s">
        <v>42610</v>
      </c>
      <c r="I7391" s="10" t="s">
        <v>35</v>
      </c>
      <c r="J7391" s="65">
        <v>6498</v>
      </c>
      <c r="K7391" s="10" t="s">
        <v>36</v>
      </c>
      <c r="L7391" s="80" t="s">
        <v>42611</v>
      </c>
      <c r="M7391" s="10" t="s">
        <v>21</v>
      </c>
      <c r="N7391" s="10" t="s">
        <v>42612</v>
      </c>
      <c r="O7391" s="10" t="s">
        <v>37799</v>
      </c>
      <c r="P7391" s="10" t="s">
        <v>30089</v>
      </c>
      <c r="Q7391" s="64" t="s">
        <v>42613</v>
      </c>
      <c r="R7391" s="10" t="s">
        <v>94</v>
      </c>
      <c r="S7391" s="10" t="s">
        <v>22</v>
      </c>
      <c r="T7391" s="10" t="s">
        <v>26781</v>
      </c>
      <c r="U7391" s="63"/>
      <c r="V7391" s="10"/>
      <c r="W7391" s="69"/>
      <c r="X7391" s="91"/>
      <c r="Y7391" s="68"/>
      <c r="Z7391" s="68" t="s">
        <v>42968</v>
      </c>
      <c r="AA7391" s="33">
        <v>274</v>
      </c>
      <c r="AG7391" s="68"/>
      <c r="AK7391" s="68"/>
      <c r="AL7391" s="68"/>
      <c r="AM7391" s="68"/>
      <c r="AN7391" s="68"/>
      <c r="AO7391" s="68"/>
      <c r="AP7391" s="68"/>
      <c r="AQ7391" s="68"/>
      <c r="AR7391" s="68"/>
      <c r="AS7391" s="68"/>
      <c r="AT7391" s="68"/>
      <c r="AU7391" s="68"/>
      <c r="AV7391" s="68"/>
      <c r="AW7391" s="68"/>
      <c r="AX7391" s="68"/>
      <c r="AY7391" s="68"/>
      <c r="AZ7391" s="68"/>
      <c r="BA7391" s="68"/>
      <c r="BB7391" s="68"/>
      <c r="BC7391" s="68"/>
      <c r="BD7391" s="68"/>
      <c r="BE7391" s="68"/>
      <c r="BF7391" s="68"/>
      <c r="BG7391" s="68"/>
      <c r="BH7391" s="68"/>
      <c r="BI7391" s="68"/>
      <c r="BJ7391" s="68"/>
      <c r="BK7391" s="68"/>
      <c r="BL7391" s="68"/>
    </row>
    <row r="7392" spans="1:64" ht="12" customHeight="1" x14ac:dyDescent="0.15">
      <c r="A7392" s="33" t="s">
        <v>15677</v>
      </c>
      <c r="B7392" s="103">
        <v>16</v>
      </c>
      <c r="C7392" s="33" t="s">
        <v>14</v>
      </c>
      <c r="D7392" s="33" t="s">
        <v>79</v>
      </c>
      <c r="E7392" s="33" t="s">
        <v>15678</v>
      </c>
      <c r="F7392" s="67">
        <v>41371</v>
      </c>
      <c r="G7392" s="33" t="s">
        <v>7020</v>
      </c>
      <c r="H7392" s="33" t="s">
        <v>584</v>
      </c>
      <c r="I7392" s="33" t="s">
        <v>112</v>
      </c>
      <c r="J7392" s="33" t="s">
        <v>4254</v>
      </c>
      <c r="K7392" s="33" t="s">
        <v>585</v>
      </c>
      <c r="L7392" s="33" t="s">
        <v>10122</v>
      </c>
      <c r="M7392" s="33" t="s">
        <v>21</v>
      </c>
      <c r="N7392" s="33" t="s">
        <v>15679</v>
      </c>
      <c r="O7392" s="33" t="s">
        <v>507</v>
      </c>
      <c r="P7392" s="33" t="s">
        <v>30089</v>
      </c>
      <c r="Q7392" s="40" t="s">
        <v>15680</v>
      </c>
      <c r="R7392" s="33" t="s">
        <v>94</v>
      </c>
      <c r="S7392" s="33" t="s">
        <v>351</v>
      </c>
      <c r="T7392" s="1" t="s">
        <v>42983</v>
      </c>
      <c r="Z7392" s="33" t="s">
        <v>42968</v>
      </c>
      <c r="AA7392" s="33">
        <v>273</v>
      </c>
    </row>
    <row r="7393" spans="1:64" ht="12" customHeight="1" x14ac:dyDescent="0.15">
      <c r="A7393" s="63" t="s">
        <v>42767</v>
      </c>
      <c r="B7393" s="99">
        <v>43</v>
      </c>
      <c r="C7393" s="10" t="s">
        <v>14</v>
      </c>
      <c r="D7393" s="10" t="s">
        <v>24</v>
      </c>
      <c r="E7393" s="10"/>
      <c r="F7393" s="67">
        <v>41371</v>
      </c>
      <c r="G7393" s="10" t="s">
        <v>42768</v>
      </c>
      <c r="H7393" s="10" t="s">
        <v>387</v>
      </c>
      <c r="I7393" s="10" t="s">
        <v>39</v>
      </c>
      <c r="J7393" s="65">
        <v>92336</v>
      </c>
      <c r="K7393" s="10" t="s">
        <v>288</v>
      </c>
      <c r="L7393" s="10" t="s">
        <v>897</v>
      </c>
      <c r="M7393" s="10" t="s">
        <v>21</v>
      </c>
      <c r="N7393" s="10" t="s">
        <v>42769</v>
      </c>
      <c r="O7393" s="10" t="s">
        <v>507</v>
      </c>
      <c r="P7393" s="10" t="s">
        <v>30089</v>
      </c>
      <c r="Q7393" s="62" t="s">
        <v>42770</v>
      </c>
      <c r="R7393" s="10" t="s">
        <v>23</v>
      </c>
      <c r="S7393" s="10" t="s">
        <v>22</v>
      </c>
      <c r="T7393" s="10" t="s">
        <v>26774</v>
      </c>
      <c r="U7393" s="10"/>
      <c r="V7393" s="10"/>
      <c r="W7393" s="10"/>
      <c r="X7393" s="89"/>
      <c r="Y7393" s="68"/>
      <c r="Z7393" s="68" t="s">
        <v>42968</v>
      </c>
      <c r="AA7393" s="33">
        <v>272</v>
      </c>
      <c r="AG7393" s="68"/>
      <c r="AK7393" s="68"/>
      <c r="AL7393" s="68"/>
      <c r="AM7393" s="68"/>
      <c r="AN7393" s="68"/>
      <c r="AO7393" s="68"/>
      <c r="AP7393" s="68"/>
      <c r="AQ7393" s="68"/>
      <c r="AR7393" s="68"/>
      <c r="AS7393" s="68"/>
      <c r="AT7393" s="68"/>
      <c r="AU7393" s="68"/>
      <c r="AV7393" s="68"/>
      <c r="AW7393" s="68"/>
      <c r="AX7393" s="68"/>
      <c r="AY7393" s="68"/>
      <c r="AZ7393" s="68"/>
      <c r="BA7393" s="68"/>
      <c r="BB7393" s="68"/>
      <c r="BC7393" s="68"/>
      <c r="BD7393" s="68"/>
      <c r="BE7393" s="68"/>
      <c r="BF7393" s="68"/>
      <c r="BG7393" s="68"/>
      <c r="BH7393" s="68"/>
      <c r="BI7393" s="68"/>
      <c r="BJ7393" s="68"/>
      <c r="BK7393" s="68"/>
      <c r="BL7393" s="68"/>
    </row>
    <row r="7394" spans="1:64" ht="12" customHeight="1" x14ac:dyDescent="0.15">
      <c r="A7394" s="33" t="s">
        <v>15681</v>
      </c>
      <c r="B7394" s="103">
        <v>28</v>
      </c>
      <c r="C7394" s="33" t="s">
        <v>14</v>
      </c>
      <c r="D7394" s="33" t="s">
        <v>24</v>
      </c>
      <c r="F7394" s="67">
        <v>41371</v>
      </c>
      <c r="G7394" s="33" t="s">
        <v>15682</v>
      </c>
      <c r="H7394" s="33" t="s">
        <v>15683</v>
      </c>
      <c r="I7394" s="33" t="s">
        <v>40</v>
      </c>
      <c r="J7394" s="33" t="s">
        <v>15684</v>
      </c>
      <c r="K7394" s="33" t="s">
        <v>8092</v>
      </c>
      <c r="L7394" s="33" t="s">
        <v>15561</v>
      </c>
      <c r="M7394" s="33" t="s">
        <v>21</v>
      </c>
      <c r="N7394" s="33" t="s">
        <v>15685</v>
      </c>
      <c r="O7394" s="33" t="s">
        <v>507</v>
      </c>
      <c r="P7394" s="33" t="s">
        <v>30089</v>
      </c>
      <c r="Q7394" s="40" t="s">
        <v>15686</v>
      </c>
      <c r="R7394" s="33" t="s">
        <v>94</v>
      </c>
      <c r="S7394" s="33" t="s">
        <v>22</v>
      </c>
      <c r="T7394" s="1" t="s">
        <v>26774</v>
      </c>
      <c r="Z7394" s="33" t="s">
        <v>42968</v>
      </c>
      <c r="AA7394" s="33">
        <v>271</v>
      </c>
    </row>
    <row r="7395" spans="1:64" ht="12" customHeight="1" x14ac:dyDescent="0.15">
      <c r="A7395" s="63" t="s">
        <v>42722</v>
      </c>
      <c r="B7395" s="99">
        <v>41</v>
      </c>
      <c r="C7395" s="10" t="s">
        <v>14</v>
      </c>
      <c r="D7395" s="10" t="s">
        <v>31</v>
      </c>
      <c r="E7395" s="62" t="s">
        <v>42723</v>
      </c>
      <c r="F7395" s="67">
        <v>41370</v>
      </c>
      <c r="G7395" s="10" t="s">
        <v>42724</v>
      </c>
      <c r="H7395" s="10" t="s">
        <v>7266</v>
      </c>
      <c r="I7395" s="10" t="s">
        <v>19</v>
      </c>
      <c r="J7395" s="65">
        <v>70526</v>
      </c>
      <c r="K7395" s="10" t="s">
        <v>7268</v>
      </c>
      <c r="L7395" s="10" t="s">
        <v>42725</v>
      </c>
      <c r="M7395" s="10" t="s">
        <v>21</v>
      </c>
      <c r="N7395" s="10" t="s">
        <v>42726</v>
      </c>
      <c r="O7395" s="10" t="s">
        <v>950</v>
      </c>
      <c r="P7395" s="10" t="s">
        <v>30089</v>
      </c>
      <c r="Q7395" s="62" t="s">
        <v>42727</v>
      </c>
      <c r="R7395" s="10" t="s">
        <v>23</v>
      </c>
      <c r="S7395" s="10" t="s">
        <v>22</v>
      </c>
      <c r="T7395" s="10" t="s">
        <v>26781</v>
      </c>
      <c r="U7395" s="10"/>
      <c r="V7395" s="10"/>
      <c r="W7395" s="10"/>
      <c r="X7395" s="89"/>
      <c r="Y7395" s="68"/>
      <c r="Z7395" s="68" t="s">
        <v>42967</v>
      </c>
      <c r="AA7395" s="33">
        <v>270</v>
      </c>
      <c r="AG7395" s="68"/>
      <c r="AK7395" s="68"/>
      <c r="AL7395" s="68"/>
      <c r="AM7395" s="68"/>
      <c r="AN7395" s="68"/>
      <c r="AO7395" s="68"/>
      <c r="AP7395" s="68"/>
      <c r="AQ7395" s="68"/>
      <c r="AR7395" s="68"/>
      <c r="AS7395" s="68"/>
      <c r="AT7395" s="68"/>
      <c r="AU7395" s="68"/>
      <c r="AV7395" s="68"/>
      <c r="AW7395" s="68"/>
      <c r="AX7395" s="68"/>
      <c r="AY7395" s="68"/>
      <c r="AZ7395" s="68"/>
      <c r="BA7395" s="68"/>
      <c r="BB7395" s="68"/>
      <c r="BC7395" s="68"/>
      <c r="BD7395" s="68"/>
      <c r="BE7395" s="68"/>
      <c r="BF7395" s="68"/>
      <c r="BG7395" s="68"/>
      <c r="BH7395" s="68"/>
      <c r="BI7395" s="68"/>
      <c r="BJ7395" s="68"/>
      <c r="BK7395" s="68"/>
      <c r="BL7395" s="68"/>
    </row>
    <row r="7396" spans="1:64" ht="12" customHeight="1" x14ac:dyDescent="0.15">
      <c r="A7396" s="33" t="s">
        <v>15687</v>
      </c>
      <c r="B7396" s="33">
        <v>27</v>
      </c>
      <c r="C7396" s="33" t="s">
        <v>14</v>
      </c>
      <c r="D7396" s="33" t="s">
        <v>24</v>
      </c>
      <c r="F7396" s="67">
        <v>41369</v>
      </c>
      <c r="G7396" s="33" t="s">
        <v>15688</v>
      </c>
      <c r="H7396" s="33" t="s">
        <v>7963</v>
      </c>
      <c r="I7396" s="33" t="s">
        <v>309</v>
      </c>
      <c r="J7396" s="33" t="s">
        <v>4071</v>
      </c>
      <c r="K7396" s="33" t="s">
        <v>6590</v>
      </c>
      <c r="L7396" s="33" t="s">
        <v>4072</v>
      </c>
      <c r="M7396" s="33" t="s">
        <v>21</v>
      </c>
      <c r="N7396" s="33" t="s">
        <v>36899</v>
      </c>
      <c r="O7396" s="33" t="s">
        <v>507</v>
      </c>
      <c r="P7396" s="33" t="s">
        <v>30089</v>
      </c>
      <c r="Q7396" s="40" t="s">
        <v>15689</v>
      </c>
      <c r="R7396" s="33" t="s">
        <v>23</v>
      </c>
      <c r="S7396" s="33" t="s">
        <v>22</v>
      </c>
      <c r="T7396" s="1" t="s">
        <v>26781</v>
      </c>
      <c r="Z7396" s="33" t="s">
        <v>42966</v>
      </c>
      <c r="AA7396" s="33">
        <v>269</v>
      </c>
    </row>
    <row r="7397" spans="1:64" ht="12" customHeight="1" x14ac:dyDescent="0.15">
      <c r="A7397" s="33" t="s">
        <v>15695</v>
      </c>
      <c r="B7397" s="33">
        <v>50</v>
      </c>
      <c r="C7397" s="33" t="s">
        <v>14</v>
      </c>
      <c r="D7397" s="33" t="s">
        <v>24</v>
      </c>
      <c r="F7397" s="67">
        <v>41368</v>
      </c>
      <c r="G7397" s="33" t="s">
        <v>15696</v>
      </c>
      <c r="H7397" s="33" t="s">
        <v>92</v>
      </c>
      <c r="I7397" s="33" t="s">
        <v>39</v>
      </c>
      <c r="J7397" s="33">
        <v>90004</v>
      </c>
      <c r="K7397" s="33" t="s">
        <v>92</v>
      </c>
      <c r="L7397" s="33" t="s">
        <v>93</v>
      </c>
      <c r="M7397" s="33" t="s">
        <v>363</v>
      </c>
      <c r="N7397" s="33" t="s">
        <v>15697</v>
      </c>
      <c r="O7397" s="33" t="s">
        <v>23</v>
      </c>
      <c r="P7397" s="33" t="s">
        <v>30089</v>
      </c>
      <c r="Q7397" s="40" t="s">
        <v>15698</v>
      </c>
      <c r="R7397" s="33" t="s">
        <v>94</v>
      </c>
      <c r="S7397" s="33" t="s">
        <v>29</v>
      </c>
      <c r="T7397" s="1" t="s">
        <v>41840</v>
      </c>
      <c r="Z7397" s="33" t="s">
        <v>42966</v>
      </c>
      <c r="AA7397" s="33">
        <v>267</v>
      </c>
    </row>
    <row r="7398" spans="1:64" ht="12" customHeight="1" x14ac:dyDescent="0.15">
      <c r="A7398" s="63" t="s">
        <v>42578</v>
      </c>
      <c r="B7398" s="99">
        <v>50</v>
      </c>
      <c r="C7398" s="10" t="s">
        <v>103</v>
      </c>
      <c r="D7398" s="10" t="s">
        <v>24</v>
      </c>
      <c r="E7398" s="10"/>
      <c r="F7398" s="67">
        <v>41368</v>
      </c>
      <c r="G7398" s="10" t="s">
        <v>42579</v>
      </c>
      <c r="H7398" s="10" t="s">
        <v>42580</v>
      </c>
      <c r="I7398" s="10" t="s">
        <v>51</v>
      </c>
      <c r="J7398" s="65">
        <v>49814</v>
      </c>
      <c r="K7398" s="10" t="s">
        <v>21906</v>
      </c>
      <c r="L7398" s="10" t="s">
        <v>42581</v>
      </c>
      <c r="M7398" s="10" t="s">
        <v>21</v>
      </c>
      <c r="N7398" s="10" t="s">
        <v>42582</v>
      </c>
      <c r="O7398" s="10" t="s">
        <v>507</v>
      </c>
      <c r="P7398" s="10" t="s">
        <v>30089</v>
      </c>
      <c r="Q7398" s="62" t="s">
        <v>42583</v>
      </c>
      <c r="R7398" s="10" t="s">
        <v>23</v>
      </c>
      <c r="S7398" s="10" t="s">
        <v>22</v>
      </c>
      <c r="T7398" s="10" t="s">
        <v>26781</v>
      </c>
      <c r="U7398" s="10"/>
      <c r="V7398" s="10"/>
      <c r="W7398" s="10"/>
      <c r="X7398" s="89"/>
      <c r="Y7398" s="68"/>
      <c r="Z7398" s="68" t="s">
        <v>42967</v>
      </c>
      <c r="AA7398" s="33">
        <v>266</v>
      </c>
      <c r="AG7398" s="68"/>
      <c r="AK7398" s="68"/>
      <c r="AL7398" s="68"/>
      <c r="AM7398" s="68"/>
      <c r="AN7398" s="68"/>
      <c r="AO7398" s="68"/>
      <c r="AP7398" s="68"/>
      <c r="AQ7398" s="68"/>
      <c r="AR7398" s="68"/>
      <c r="AS7398" s="68"/>
      <c r="AT7398" s="68"/>
      <c r="AU7398" s="68"/>
      <c r="AV7398" s="68"/>
      <c r="AW7398" s="68"/>
      <c r="AX7398" s="68"/>
      <c r="AY7398" s="68"/>
      <c r="AZ7398" s="68"/>
      <c r="BA7398" s="68"/>
      <c r="BB7398" s="68"/>
      <c r="BC7398" s="68"/>
      <c r="BD7398" s="68"/>
      <c r="BE7398" s="68"/>
      <c r="BF7398" s="68"/>
      <c r="BG7398" s="68"/>
      <c r="BH7398" s="68"/>
      <c r="BI7398" s="68"/>
      <c r="BJ7398" s="68"/>
      <c r="BK7398" s="68"/>
      <c r="BL7398" s="68"/>
    </row>
    <row r="7399" spans="1:64" ht="12" customHeight="1" x14ac:dyDescent="0.15">
      <c r="A7399" s="33" t="s">
        <v>15690</v>
      </c>
      <c r="B7399" s="33">
        <v>20</v>
      </c>
      <c r="C7399" s="33" t="s">
        <v>14</v>
      </c>
      <c r="D7399" s="33" t="s">
        <v>79</v>
      </c>
      <c r="E7399" s="33" t="s">
        <v>15691</v>
      </c>
      <c r="F7399" s="67">
        <v>41368</v>
      </c>
      <c r="G7399" s="33" t="s">
        <v>15692</v>
      </c>
      <c r="H7399" s="33" t="s">
        <v>994</v>
      </c>
      <c r="I7399" s="33" t="s">
        <v>63</v>
      </c>
      <c r="J7399" s="33" t="s">
        <v>15693</v>
      </c>
      <c r="K7399" s="33" t="s">
        <v>995</v>
      </c>
      <c r="L7399" s="33" t="s">
        <v>377</v>
      </c>
      <c r="M7399" s="33" t="s">
        <v>21</v>
      </c>
      <c r="N7399" s="33" t="s">
        <v>15694</v>
      </c>
      <c r="O7399" s="33" t="s">
        <v>507</v>
      </c>
      <c r="P7399" s="33" t="s">
        <v>30089</v>
      </c>
      <c r="Q7399" s="40" t="str">
        <f>HYPERLINK("http://www.daytondailynews.com/news/news/crime-law/fbi-working-at-shooting-site/nXDWH/","http://www.daytondailynews.com/news/news/crime-law/fbi-working-at-shooting-site/nXDWH/")</f>
        <v>http://www.daytondailynews.com/news/news/crime-law/fbi-working-at-shooting-site/nXDWH/</v>
      </c>
      <c r="R7399" s="33" t="s">
        <v>94</v>
      </c>
      <c r="S7399" s="33" t="s">
        <v>29</v>
      </c>
      <c r="T7399" s="33" t="s">
        <v>41840</v>
      </c>
      <c r="Z7399" s="33" t="s">
        <v>42968</v>
      </c>
      <c r="AA7399" s="33">
        <v>268</v>
      </c>
    </row>
    <row r="7400" spans="1:64" ht="12" customHeight="1" x14ac:dyDescent="0.15">
      <c r="A7400" s="10" t="s">
        <v>42569</v>
      </c>
      <c r="B7400" s="100">
        <v>24</v>
      </c>
      <c r="C7400" s="10" t="s">
        <v>14</v>
      </c>
      <c r="D7400" s="10" t="s">
        <v>79</v>
      </c>
      <c r="E7400" s="62" t="s">
        <v>42570</v>
      </c>
      <c r="F7400" s="67">
        <v>41366</v>
      </c>
      <c r="G7400" s="10" t="s">
        <v>42929</v>
      </c>
      <c r="H7400" s="10" t="s">
        <v>197</v>
      </c>
      <c r="I7400" s="10" t="s">
        <v>198</v>
      </c>
      <c r="J7400" s="65">
        <v>46218</v>
      </c>
      <c r="K7400" s="10" t="s">
        <v>392</v>
      </c>
      <c r="L7400" s="10" t="s">
        <v>199</v>
      </c>
      <c r="M7400" s="10" t="s">
        <v>21</v>
      </c>
      <c r="N7400" s="10" t="s">
        <v>42571</v>
      </c>
      <c r="O7400" s="10" t="s">
        <v>507</v>
      </c>
      <c r="P7400" s="10" t="s">
        <v>30089</v>
      </c>
      <c r="Q7400" s="62" t="s">
        <v>42572</v>
      </c>
      <c r="R7400" s="10" t="s">
        <v>94</v>
      </c>
      <c r="S7400" s="10" t="s">
        <v>22</v>
      </c>
      <c r="T7400" s="10" t="s">
        <v>26781</v>
      </c>
      <c r="U7400" s="10"/>
      <c r="V7400" s="10"/>
      <c r="W7400" s="10"/>
      <c r="X7400" s="90"/>
      <c r="Y7400" s="10"/>
      <c r="Z7400" s="68" t="s">
        <v>42966</v>
      </c>
      <c r="AA7400" s="33">
        <v>264</v>
      </c>
      <c r="AG7400" s="68"/>
      <c r="AK7400" s="68"/>
      <c r="AL7400" s="68"/>
      <c r="AM7400" s="68"/>
      <c r="AN7400" s="68"/>
      <c r="AO7400" s="68"/>
      <c r="AP7400" s="68"/>
      <c r="AQ7400" s="68"/>
      <c r="AR7400" s="68"/>
      <c r="AS7400" s="68"/>
      <c r="AT7400" s="68"/>
      <c r="AU7400" s="68"/>
      <c r="AV7400" s="68"/>
      <c r="AW7400" s="68"/>
      <c r="AX7400" s="68"/>
      <c r="AY7400" s="68"/>
      <c r="AZ7400" s="68"/>
      <c r="BA7400" s="68"/>
      <c r="BB7400" s="68"/>
      <c r="BC7400" s="68"/>
      <c r="BD7400" s="68"/>
      <c r="BE7400" s="68"/>
      <c r="BF7400" s="68"/>
      <c r="BG7400" s="68"/>
      <c r="BH7400" s="68"/>
      <c r="BI7400" s="68"/>
      <c r="BJ7400" s="68"/>
      <c r="BK7400" s="68"/>
      <c r="BL7400" s="68"/>
    </row>
    <row r="7401" spans="1:64" ht="12" customHeight="1" x14ac:dyDescent="0.15">
      <c r="A7401" s="63" t="s">
        <v>42564</v>
      </c>
      <c r="B7401" s="99">
        <v>41</v>
      </c>
      <c r="C7401" s="10" t="s">
        <v>14</v>
      </c>
      <c r="D7401" s="10" t="s">
        <v>31</v>
      </c>
      <c r="E7401" s="62" t="s">
        <v>42565</v>
      </c>
      <c r="F7401" s="67">
        <v>41366</v>
      </c>
      <c r="G7401" s="10" t="s">
        <v>42566</v>
      </c>
      <c r="H7401" s="10" t="s">
        <v>41111</v>
      </c>
      <c r="I7401" s="10" t="s">
        <v>918</v>
      </c>
      <c r="J7401" s="65">
        <v>72019</v>
      </c>
      <c r="K7401" s="10" t="s">
        <v>4686</v>
      </c>
      <c r="L7401" s="10" t="s">
        <v>41112</v>
      </c>
      <c r="M7401" s="10" t="s">
        <v>21</v>
      </c>
      <c r="N7401" s="10" t="s">
        <v>42567</v>
      </c>
      <c r="O7401" s="10" t="s">
        <v>507</v>
      </c>
      <c r="P7401" s="10" t="s">
        <v>30089</v>
      </c>
      <c r="Q7401" s="62" t="s">
        <v>42568</v>
      </c>
      <c r="R7401" s="10" t="s">
        <v>94</v>
      </c>
      <c r="S7401" s="10" t="s">
        <v>22</v>
      </c>
      <c r="T7401" s="10" t="s">
        <v>26781</v>
      </c>
      <c r="U7401" s="10"/>
      <c r="V7401" s="10"/>
      <c r="W7401" s="10"/>
      <c r="X7401" s="89"/>
      <c r="Y7401" s="68"/>
      <c r="Z7401" s="68" t="s">
        <v>42968</v>
      </c>
      <c r="AA7401" s="33">
        <v>263</v>
      </c>
      <c r="AG7401" s="68"/>
      <c r="AK7401" s="68"/>
      <c r="AL7401" s="68"/>
      <c r="AM7401" s="68"/>
      <c r="AN7401" s="68"/>
      <c r="AO7401" s="68"/>
      <c r="AP7401" s="68"/>
      <c r="AQ7401" s="68"/>
      <c r="AR7401" s="68"/>
      <c r="AS7401" s="68"/>
      <c r="AT7401" s="68"/>
      <c r="AU7401" s="68"/>
      <c r="AV7401" s="68"/>
      <c r="AW7401" s="68"/>
      <c r="AX7401" s="68"/>
      <c r="AY7401" s="68"/>
      <c r="AZ7401" s="68"/>
      <c r="BA7401" s="68"/>
      <c r="BB7401" s="68"/>
      <c r="BC7401" s="68"/>
      <c r="BD7401" s="68"/>
      <c r="BE7401" s="68"/>
      <c r="BF7401" s="68"/>
      <c r="BG7401" s="68"/>
      <c r="BH7401" s="68"/>
      <c r="BI7401" s="68"/>
      <c r="BJ7401" s="68"/>
      <c r="BK7401" s="68"/>
      <c r="BL7401" s="68"/>
    </row>
    <row r="7402" spans="1:64" ht="12" customHeight="1" x14ac:dyDescent="0.15">
      <c r="A7402" s="63" t="s">
        <v>42573</v>
      </c>
      <c r="B7402" s="99">
        <v>23</v>
      </c>
      <c r="C7402" s="10" t="s">
        <v>14</v>
      </c>
      <c r="D7402" s="10" t="s">
        <v>79</v>
      </c>
      <c r="E7402" s="62" t="s">
        <v>42574</v>
      </c>
      <c r="F7402" s="67">
        <v>41366</v>
      </c>
      <c r="G7402" s="10" t="s">
        <v>42575</v>
      </c>
      <c r="H7402" s="10" t="s">
        <v>415</v>
      </c>
      <c r="I7402" s="10" t="s">
        <v>51</v>
      </c>
      <c r="J7402" s="65">
        <v>48208</v>
      </c>
      <c r="K7402" s="10" t="s">
        <v>1057</v>
      </c>
      <c r="L7402" s="10" t="s">
        <v>2030</v>
      </c>
      <c r="M7402" s="10" t="s">
        <v>21</v>
      </c>
      <c r="N7402" s="10" t="s">
        <v>42576</v>
      </c>
      <c r="O7402" s="10" t="s">
        <v>507</v>
      </c>
      <c r="P7402" s="10" t="s">
        <v>30089</v>
      </c>
      <c r="Q7402" s="62" t="s">
        <v>42577</v>
      </c>
      <c r="R7402" s="10" t="s">
        <v>94</v>
      </c>
      <c r="S7402" s="10" t="s">
        <v>22</v>
      </c>
      <c r="T7402" s="10" t="s">
        <v>26781</v>
      </c>
      <c r="U7402" s="10"/>
      <c r="V7402" s="10"/>
      <c r="W7402" s="10"/>
      <c r="X7402" s="89"/>
      <c r="Y7402" s="68"/>
      <c r="Z7402" s="68" t="s">
        <v>42966</v>
      </c>
      <c r="AA7402" s="33">
        <v>265</v>
      </c>
      <c r="AG7402" s="68"/>
      <c r="AK7402" s="68"/>
      <c r="AL7402" s="68"/>
      <c r="AM7402" s="68"/>
      <c r="AN7402" s="68"/>
      <c r="AO7402" s="68"/>
      <c r="AP7402" s="68"/>
      <c r="AQ7402" s="68"/>
      <c r="AR7402" s="68"/>
      <c r="AS7402" s="68"/>
      <c r="AT7402" s="68"/>
      <c r="AU7402" s="68"/>
      <c r="AV7402" s="68"/>
      <c r="AW7402" s="68"/>
      <c r="AX7402" s="68"/>
      <c r="AY7402" s="68"/>
      <c r="AZ7402" s="68"/>
      <c r="BA7402" s="68"/>
      <c r="BB7402" s="68"/>
      <c r="BC7402" s="68"/>
      <c r="BD7402" s="68"/>
      <c r="BE7402" s="68"/>
      <c r="BF7402" s="68"/>
      <c r="BG7402" s="68"/>
      <c r="BH7402" s="68"/>
      <c r="BI7402" s="68"/>
      <c r="BJ7402" s="68"/>
      <c r="BK7402" s="68"/>
      <c r="BL7402" s="68"/>
    </row>
    <row r="7403" spans="1:64" ht="12" customHeight="1" x14ac:dyDescent="0.15">
      <c r="A7403" s="33" t="s">
        <v>15700</v>
      </c>
      <c r="B7403" s="33">
        <v>21</v>
      </c>
      <c r="C7403" s="33" t="s">
        <v>14</v>
      </c>
      <c r="D7403" s="33" t="s">
        <v>79</v>
      </c>
      <c r="E7403" s="33" t="s">
        <v>15701</v>
      </c>
      <c r="F7403" s="67">
        <v>41365</v>
      </c>
      <c r="G7403" s="33" t="s">
        <v>15702</v>
      </c>
      <c r="H7403" s="33" t="s">
        <v>11669</v>
      </c>
      <c r="I7403" s="33" t="s">
        <v>35</v>
      </c>
      <c r="J7403" s="33">
        <v>6604</v>
      </c>
      <c r="K7403" s="33" t="s">
        <v>4499</v>
      </c>
      <c r="L7403" s="33" t="s">
        <v>11671</v>
      </c>
      <c r="M7403" s="33" t="s">
        <v>21</v>
      </c>
      <c r="N7403" s="33" t="s">
        <v>15703</v>
      </c>
      <c r="O7403" s="33" t="s">
        <v>507</v>
      </c>
      <c r="P7403" s="33" t="s">
        <v>30089</v>
      </c>
      <c r="Q7403" s="40" t="s">
        <v>15704</v>
      </c>
      <c r="R7403" s="33" t="s">
        <v>23</v>
      </c>
      <c r="S7403" s="33" t="s">
        <v>22</v>
      </c>
      <c r="T7403" s="1" t="s">
        <v>26781</v>
      </c>
      <c r="Z7403" s="33" t="s">
        <v>42966</v>
      </c>
      <c r="AA7403" s="33">
        <v>261</v>
      </c>
    </row>
    <row r="7404" spans="1:64" ht="12" customHeight="1" x14ac:dyDescent="0.15">
      <c r="A7404" s="33" t="s">
        <v>15705</v>
      </c>
      <c r="B7404" s="33">
        <v>49</v>
      </c>
      <c r="C7404" s="33" t="s">
        <v>103</v>
      </c>
      <c r="D7404" s="33" t="s">
        <v>24</v>
      </c>
      <c r="F7404" s="67">
        <v>41365</v>
      </c>
      <c r="G7404" s="33" t="s">
        <v>22332</v>
      </c>
      <c r="H7404" s="33" t="s">
        <v>13839</v>
      </c>
      <c r="I7404" s="33" t="s">
        <v>56</v>
      </c>
      <c r="J7404" s="33" t="s">
        <v>15706</v>
      </c>
      <c r="K7404" s="33" t="s">
        <v>1052</v>
      </c>
      <c r="L7404" s="33" t="s">
        <v>15707</v>
      </c>
      <c r="M7404" s="33" t="s">
        <v>21</v>
      </c>
      <c r="N7404" s="33" t="s">
        <v>15708</v>
      </c>
      <c r="O7404" s="33" t="s">
        <v>950</v>
      </c>
      <c r="P7404" s="33" t="s">
        <v>30089</v>
      </c>
      <c r="Q7404" s="40" t="s">
        <v>15709</v>
      </c>
      <c r="R7404" s="33" t="s">
        <v>94</v>
      </c>
      <c r="S7404" s="33" t="s">
        <v>22</v>
      </c>
      <c r="T7404" s="1" t="s">
        <v>26781</v>
      </c>
      <c r="Z7404" s="33" t="s">
        <v>42968</v>
      </c>
      <c r="AA7404" s="33">
        <v>260</v>
      </c>
    </row>
    <row r="7405" spans="1:64" ht="12" customHeight="1" x14ac:dyDescent="0.15">
      <c r="A7405" s="63" t="s">
        <v>42841</v>
      </c>
      <c r="B7405" s="99">
        <v>32</v>
      </c>
      <c r="C7405" s="10" t="s">
        <v>14</v>
      </c>
      <c r="D7405" s="10" t="s">
        <v>24</v>
      </c>
      <c r="E7405" s="10"/>
      <c r="F7405" s="67">
        <v>41365</v>
      </c>
      <c r="G7405" s="10" t="s">
        <v>42842</v>
      </c>
      <c r="H7405" s="10" t="s">
        <v>42843</v>
      </c>
      <c r="I7405" s="10" t="s">
        <v>192</v>
      </c>
      <c r="J7405" s="65">
        <v>80451</v>
      </c>
      <c r="K7405" s="10" t="s">
        <v>42844</v>
      </c>
      <c r="L7405" s="10" t="s">
        <v>42845</v>
      </c>
      <c r="M7405" s="10" t="s">
        <v>21</v>
      </c>
      <c r="N7405" s="10" t="s">
        <v>42846</v>
      </c>
      <c r="O7405" s="10" t="s">
        <v>507</v>
      </c>
      <c r="P7405" s="10" t="s">
        <v>30089</v>
      </c>
      <c r="Q7405" s="62" t="s">
        <v>42847</v>
      </c>
      <c r="R7405" s="10" t="s">
        <v>23</v>
      </c>
      <c r="S7405" s="10" t="s">
        <v>12</v>
      </c>
      <c r="T7405" s="10" t="s">
        <v>29705</v>
      </c>
      <c r="U7405" s="10"/>
      <c r="V7405" s="10"/>
      <c r="W7405" s="69"/>
      <c r="X7405" s="89"/>
      <c r="Y7405" s="68" t="s">
        <v>42476</v>
      </c>
      <c r="Z7405" s="68" t="s">
        <v>42967</v>
      </c>
      <c r="AA7405" s="33">
        <v>262</v>
      </c>
      <c r="AG7405" s="68"/>
      <c r="AK7405" s="68"/>
      <c r="AL7405" s="68"/>
      <c r="AM7405" s="68"/>
      <c r="AN7405" s="68"/>
      <c r="AO7405" s="68"/>
      <c r="AP7405" s="68"/>
      <c r="AQ7405" s="68"/>
      <c r="AR7405" s="68"/>
      <c r="AS7405" s="68"/>
      <c r="AT7405" s="68"/>
      <c r="AU7405" s="68"/>
      <c r="AV7405" s="68"/>
      <c r="AW7405" s="68"/>
      <c r="AX7405" s="68"/>
      <c r="AY7405" s="68"/>
      <c r="AZ7405" s="68"/>
      <c r="BA7405" s="68"/>
      <c r="BB7405" s="68"/>
      <c r="BC7405" s="68"/>
      <c r="BD7405" s="68"/>
      <c r="BE7405" s="68"/>
      <c r="BF7405" s="68"/>
      <c r="BG7405" s="68"/>
      <c r="BH7405" s="68"/>
      <c r="BI7405" s="68"/>
      <c r="BJ7405" s="68"/>
      <c r="BK7405" s="68"/>
      <c r="BL7405" s="68"/>
    </row>
    <row r="7406" spans="1:64" ht="12" customHeight="1" x14ac:dyDescent="0.15">
      <c r="A7406" s="63" t="s">
        <v>42879</v>
      </c>
      <c r="B7406" s="99">
        <v>44</v>
      </c>
      <c r="C7406" s="10" t="s">
        <v>14</v>
      </c>
      <c r="D7406" s="10" t="s">
        <v>31</v>
      </c>
      <c r="E7406" s="10"/>
      <c r="F7406" s="67">
        <v>41364</v>
      </c>
      <c r="G7406" s="10" t="s">
        <v>42880</v>
      </c>
      <c r="H7406" s="10" t="s">
        <v>42881</v>
      </c>
      <c r="I7406" s="10" t="s">
        <v>67</v>
      </c>
      <c r="J7406" s="65">
        <v>77380</v>
      </c>
      <c r="K7406" s="10" t="s">
        <v>995</v>
      </c>
      <c r="L7406" s="10" t="s">
        <v>18546</v>
      </c>
      <c r="M7406" s="10" t="s">
        <v>21</v>
      </c>
      <c r="N7406" s="10" t="s">
        <v>42882</v>
      </c>
      <c r="O7406" s="10" t="s">
        <v>42518</v>
      </c>
      <c r="P7406" s="10" t="s">
        <v>30089</v>
      </c>
      <c r="Q7406" s="62" t="s">
        <v>42883</v>
      </c>
      <c r="R7406" s="10" t="s">
        <v>94</v>
      </c>
      <c r="S7406" s="10" t="s">
        <v>351</v>
      </c>
      <c r="T7406" s="10" t="s">
        <v>26867</v>
      </c>
      <c r="U7406" s="10"/>
      <c r="V7406" s="10"/>
      <c r="W7406" s="10"/>
      <c r="X7406" s="89"/>
      <c r="Y7406" s="68"/>
      <c r="Z7406" s="68" t="s">
        <v>42966</v>
      </c>
      <c r="AA7406" s="33">
        <v>259</v>
      </c>
      <c r="AG7406" s="68"/>
      <c r="AK7406" s="68"/>
      <c r="AL7406" s="68"/>
      <c r="AM7406" s="68"/>
      <c r="AN7406" s="68"/>
      <c r="AO7406" s="68"/>
      <c r="AP7406" s="68"/>
      <c r="AQ7406" s="68"/>
      <c r="AR7406" s="68"/>
      <c r="AS7406" s="68"/>
      <c r="AT7406" s="68"/>
      <c r="AU7406" s="68"/>
      <c r="AV7406" s="68"/>
      <c r="AW7406" s="68"/>
      <c r="AX7406" s="68"/>
      <c r="AY7406" s="68"/>
      <c r="AZ7406" s="68"/>
      <c r="BA7406" s="68"/>
      <c r="BB7406" s="68"/>
      <c r="BC7406" s="68"/>
      <c r="BD7406" s="68"/>
      <c r="BE7406" s="68"/>
      <c r="BF7406" s="68"/>
      <c r="BG7406" s="68"/>
      <c r="BH7406" s="68"/>
      <c r="BI7406" s="68"/>
      <c r="BJ7406" s="68"/>
      <c r="BK7406" s="68"/>
      <c r="BL7406" s="68"/>
    </row>
    <row r="7407" spans="1:64" ht="12" customHeight="1" x14ac:dyDescent="0.15">
      <c r="A7407" s="33" t="s">
        <v>15715</v>
      </c>
      <c r="B7407" s="103">
        <v>35</v>
      </c>
      <c r="C7407" s="33" t="s">
        <v>14</v>
      </c>
      <c r="D7407" s="33" t="s">
        <v>31</v>
      </c>
      <c r="E7407" s="33" t="s">
        <v>15716</v>
      </c>
      <c r="F7407" s="67">
        <v>41364</v>
      </c>
      <c r="G7407" s="33" t="s">
        <v>15717</v>
      </c>
      <c r="H7407" s="33" t="s">
        <v>140</v>
      </c>
      <c r="I7407" s="33" t="s">
        <v>338</v>
      </c>
      <c r="J7407" s="33" t="s">
        <v>15718</v>
      </c>
      <c r="K7407" s="33" t="s">
        <v>642</v>
      </c>
      <c r="L7407" s="33" t="s">
        <v>15057</v>
      </c>
      <c r="M7407" s="33" t="s">
        <v>21</v>
      </c>
      <c r="N7407" s="33" t="s">
        <v>15719</v>
      </c>
      <c r="O7407" s="33" t="s">
        <v>507</v>
      </c>
      <c r="P7407" s="33" t="s">
        <v>30089</v>
      </c>
      <c r="Q7407" s="40" t="s">
        <v>15720</v>
      </c>
      <c r="R7407" s="33" t="s">
        <v>512</v>
      </c>
      <c r="S7407" s="33" t="s">
        <v>29</v>
      </c>
      <c r="T7407" s="1" t="s">
        <v>41840</v>
      </c>
      <c r="Z7407" s="33" t="s">
        <v>42968</v>
      </c>
      <c r="AA7407" s="33">
        <v>258</v>
      </c>
    </row>
    <row r="7408" spans="1:64" ht="12" customHeight="1" x14ac:dyDescent="0.15">
      <c r="A7408" s="33" t="s">
        <v>15710</v>
      </c>
      <c r="B7408" s="33">
        <v>60</v>
      </c>
      <c r="C7408" s="33" t="s">
        <v>103</v>
      </c>
      <c r="D7408" s="33" t="s">
        <v>31</v>
      </c>
      <c r="E7408" s="33" t="s">
        <v>15711</v>
      </c>
      <c r="F7408" s="67">
        <v>41364</v>
      </c>
      <c r="G7408" s="33" t="s">
        <v>15712</v>
      </c>
      <c r="H7408" s="33" t="s">
        <v>3638</v>
      </c>
      <c r="I7408" s="33" t="s">
        <v>338</v>
      </c>
      <c r="J7408" s="33" t="s">
        <v>3639</v>
      </c>
      <c r="K7408" s="33" t="s">
        <v>3640</v>
      </c>
      <c r="L7408" s="33" t="s">
        <v>36947</v>
      </c>
      <c r="M7408" s="33" t="s">
        <v>21</v>
      </c>
      <c r="N7408" s="33" t="s">
        <v>15713</v>
      </c>
      <c r="O7408" s="33" t="s">
        <v>950</v>
      </c>
      <c r="P7408" s="33" t="s">
        <v>30089</v>
      </c>
      <c r="Q7408" s="40" t="s">
        <v>15714</v>
      </c>
      <c r="R7408" s="33" t="s">
        <v>512</v>
      </c>
      <c r="S7408" s="33" t="s">
        <v>29</v>
      </c>
      <c r="T7408" s="1" t="s">
        <v>41840</v>
      </c>
      <c r="Z7408" s="33" t="s">
        <v>42967</v>
      </c>
      <c r="AA7408" s="33">
        <v>257</v>
      </c>
    </row>
    <row r="7409" spans="1:64" ht="12" customHeight="1" x14ac:dyDescent="0.15">
      <c r="A7409" s="63" t="s">
        <v>42502</v>
      </c>
      <c r="B7409" s="99">
        <v>46</v>
      </c>
      <c r="C7409" s="10" t="s">
        <v>14</v>
      </c>
      <c r="D7409" s="10" t="s">
        <v>42</v>
      </c>
      <c r="E7409" s="62" t="s">
        <v>42503</v>
      </c>
      <c r="F7409" s="67">
        <v>41363</v>
      </c>
      <c r="G7409" s="10" t="s">
        <v>42504</v>
      </c>
      <c r="H7409" s="10" t="s">
        <v>1826</v>
      </c>
      <c r="I7409" s="10" t="s">
        <v>39</v>
      </c>
      <c r="J7409" s="65">
        <v>93215</v>
      </c>
      <c r="K7409" s="10" t="s">
        <v>632</v>
      </c>
      <c r="L7409" s="10" t="s">
        <v>1828</v>
      </c>
      <c r="M7409" s="10" t="s">
        <v>21</v>
      </c>
      <c r="N7409" s="10" t="s">
        <v>42505</v>
      </c>
      <c r="O7409" s="10" t="s">
        <v>950</v>
      </c>
      <c r="P7409" s="10" t="s">
        <v>30089</v>
      </c>
      <c r="Q7409" s="62" t="s">
        <v>42506</v>
      </c>
      <c r="R7409" s="10"/>
      <c r="S7409" s="10" t="s">
        <v>22</v>
      </c>
      <c r="T7409" s="10" t="s">
        <v>26612</v>
      </c>
      <c r="U7409" s="10"/>
      <c r="V7409" s="10"/>
      <c r="W7409" s="10"/>
      <c r="X7409" s="89"/>
      <c r="Y7409" s="68"/>
      <c r="Z7409" s="68" t="s">
        <v>42968</v>
      </c>
      <c r="AA7409" s="33">
        <v>254</v>
      </c>
      <c r="AG7409" s="68"/>
      <c r="AK7409" s="68"/>
      <c r="AL7409" s="68"/>
      <c r="AM7409" s="68"/>
      <c r="AN7409" s="68"/>
      <c r="AO7409" s="68"/>
      <c r="AP7409" s="68"/>
      <c r="AQ7409" s="68"/>
      <c r="AR7409" s="68"/>
      <c r="AS7409" s="68"/>
      <c r="AT7409" s="68"/>
      <c r="AU7409" s="68"/>
      <c r="AV7409" s="68"/>
      <c r="AW7409" s="68"/>
      <c r="AX7409" s="68"/>
      <c r="AY7409" s="68"/>
      <c r="AZ7409" s="68"/>
      <c r="BA7409" s="68"/>
      <c r="BB7409" s="68"/>
      <c r="BC7409" s="68"/>
      <c r="BD7409" s="68"/>
      <c r="BE7409" s="68"/>
      <c r="BF7409" s="68"/>
      <c r="BG7409" s="68"/>
      <c r="BH7409" s="68"/>
      <c r="BI7409" s="68"/>
      <c r="BJ7409" s="68"/>
      <c r="BK7409" s="68"/>
      <c r="BL7409" s="68"/>
    </row>
    <row r="7410" spans="1:64" ht="12" customHeight="1" x14ac:dyDescent="0.15">
      <c r="A7410" s="63" t="s">
        <v>42620</v>
      </c>
      <c r="B7410" s="99">
        <v>24</v>
      </c>
      <c r="C7410" s="10" t="s">
        <v>14</v>
      </c>
      <c r="D7410" s="10" t="s">
        <v>42</v>
      </c>
      <c r="E7410" s="10"/>
      <c r="F7410" s="67">
        <v>41363</v>
      </c>
      <c r="G7410" s="10" t="s">
        <v>42621</v>
      </c>
      <c r="H7410" s="10" t="s">
        <v>584</v>
      </c>
      <c r="I7410" s="10" t="s">
        <v>112</v>
      </c>
      <c r="J7410" s="65">
        <v>85053</v>
      </c>
      <c r="K7410" s="10" t="s">
        <v>585</v>
      </c>
      <c r="L7410" s="10" t="s">
        <v>586</v>
      </c>
      <c r="M7410" s="10" t="s">
        <v>21</v>
      </c>
      <c r="N7410" s="10" t="s">
        <v>42622</v>
      </c>
      <c r="O7410" s="10" t="s">
        <v>950</v>
      </c>
      <c r="P7410" s="10" t="s">
        <v>30089</v>
      </c>
      <c r="Q7410" s="62" t="s">
        <v>42623</v>
      </c>
      <c r="R7410" s="10" t="s">
        <v>94</v>
      </c>
      <c r="S7410" s="10" t="s">
        <v>22</v>
      </c>
      <c r="T7410" s="10" t="s">
        <v>26781</v>
      </c>
      <c r="U7410" s="10"/>
      <c r="V7410" s="10"/>
      <c r="W7410" s="10"/>
      <c r="X7410" s="89"/>
      <c r="Y7410" s="68" t="s">
        <v>42476</v>
      </c>
      <c r="Z7410" s="68" t="s">
        <v>42968</v>
      </c>
      <c r="AA7410" s="33">
        <v>255</v>
      </c>
      <c r="AG7410" s="68"/>
      <c r="AK7410" s="68"/>
      <c r="AL7410" s="68"/>
      <c r="AM7410" s="68"/>
      <c r="AN7410" s="68"/>
      <c r="AO7410" s="68"/>
      <c r="AP7410" s="68"/>
      <c r="AQ7410" s="68"/>
      <c r="AR7410" s="68"/>
      <c r="AS7410" s="68"/>
      <c r="AT7410" s="68"/>
      <c r="AU7410" s="68"/>
      <c r="AV7410" s="68"/>
      <c r="AW7410" s="68"/>
      <c r="AX7410" s="68"/>
      <c r="AY7410" s="68"/>
      <c r="AZ7410" s="68"/>
      <c r="BA7410" s="68"/>
      <c r="BB7410" s="68"/>
      <c r="BC7410" s="68"/>
      <c r="BD7410" s="68"/>
      <c r="BE7410" s="68"/>
      <c r="BF7410" s="68"/>
      <c r="BG7410" s="68"/>
      <c r="BH7410" s="68"/>
      <c r="BI7410" s="68"/>
      <c r="BJ7410" s="68"/>
      <c r="BK7410" s="68"/>
      <c r="BL7410" s="68"/>
    </row>
    <row r="7411" spans="1:64" ht="12" customHeight="1" x14ac:dyDescent="0.15">
      <c r="A7411" s="33" t="s">
        <v>15721</v>
      </c>
      <c r="B7411" s="33">
        <v>32</v>
      </c>
      <c r="C7411" s="33" t="s">
        <v>14</v>
      </c>
      <c r="D7411" s="33" t="s">
        <v>79</v>
      </c>
      <c r="F7411" s="67">
        <v>41363</v>
      </c>
      <c r="G7411" s="33" t="s">
        <v>15722</v>
      </c>
      <c r="H7411" s="33" t="s">
        <v>557</v>
      </c>
      <c r="I7411" s="33" t="s">
        <v>39</v>
      </c>
      <c r="J7411" s="33" t="s">
        <v>13994</v>
      </c>
      <c r="K7411" s="33" t="s">
        <v>558</v>
      </c>
      <c r="L7411" s="33" t="s">
        <v>230</v>
      </c>
      <c r="M7411" s="33" t="s">
        <v>21</v>
      </c>
      <c r="N7411" s="33" t="s">
        <v>15723</v>
      </c>
      <c r="O7411" s="33" t="s">
        <v>950</v>
      </c>
      <c r="P7411" s="33" t="s">
        <v>30089</v>
      </c>
      <c r="Q7411" s="40" t="s">
        <v>15724</v>
      </c>
      <c r="R7411" s="33" t="s">
        <v>94</v>
      </c>
      <c r="S7411" s="33" t="s">
        <v>351</v>
      </c>
      <c r="T7411" s="1" t="s">
        <v>42983</v>
      </c>
      <c r="Z7411" s="33" t="s">
        <v>42966</v>
      </c>
      <c r="AA7411" s="33">
        <v>256</v>
      </c>
    </row>
    <row r="7412" spans="1:64" ht="12" customHeight="1" x14ac:dyDescent="0.15">
      <c r="A7412" s="63" t="s">
        <v>42561</v>
      </c>
      <c r="B7412" s="99">
        <v>21</v>
      </c>
      <c r="C7412" s="10" t="s">
        <v>14</v>
      </c>
      <c r="D7412" s="10" t="s">
        <v>31</v>
      </c>
      <c r="E7412" s="10"/>
      <c r="F7412" s="67">
        <v>41362</v>
      </c>
      <c r="G7412" s="10" t="s">
        <v>42928</v>
      </c>
      <c r="H7412" s="10" t="s">
        <v>401</v>
      </c>
      <c r="I7412" s="10" t="s">
        <v>402</v>
      </c>
      <c r="J7412" s="65">
        <v>64127</v>
      </c>
      <c r="K7412" s="10" t="s">
        <v>404</v>
      </c>
      <c r="L7412" s="10" t="s">
        <v>405</v>
      </c>
      <c r="M7412" s="10" t="s">
        <v>21</v>
      </c>
      <c r="N7412" s="10" t="s">
        <v>42562</v>
      </c>
      <c r="O7412" s="10" t="s">
        <v>507</v>
      </c>
      <c r="P7412" s="10" t="s">
        <v>30089</v>
      </c>
      <c r="Q7412" s="62" t="s">
        <v>42563</v>
      </c>
      <c r="R7412" s="10" t="s">
        <v>94</v>
      </c>
      <c r="S7412" s="10" t="s">
        <v>22</v>
      </c>
      <c r="T7412" s="10" t="s">
        <v>26781</v>
      </c>
      <c r="U7412" s="10"/>
      <c r="V7412" s="10"/>
      <c r="W7412" s="10"/>
      <c r="X7412" s="89"/>
      <c r="Y7412" s="68"/>
      <c r="Z7412" s="68" t="s">
        <v>42966</v>
      </c>
      <c r="AA7412" s="33">
        <v>252</v>
      </c>
      <c r="AG7412" s="68"/>
      <c r="AK7412" s="68"/>
      <c r="AL7412" s="68"/>
      <c r="AM7412" s="68"/>
      <c r="AN7412" s="68"/>
      <c r="AO7412" s="68"/>
      <c r="AP7412" s="68"/>
      <c r="AQ7412" s="68"/>
      <c r="AR7412" s="68"/>
      <c r="AS7412" s="68"/>
      <c r="AT7412" s="68"/>
      <c r="AU7412" s="68"/>
      <c r="AV7412" s="68"/>
      <c r="AW7412" s="68"/>
      <c r="AX7412" s="68"/>
      <c r="AY7412" s="68"/>
      <c r="AZ7412" s="68"/>
      <c r="BA7412" s="68"/>
      <c r="BB7412" s="68"/>
      <c r="BC7412" s="68"/>
      <c r="BD7412" s="68"/>
      <c r="BE7412" s="68"/>
      <c r="BF7412" s="68"/>
      <c r="BG7412" s="68"/>
      <c r="BH7412" s="68"/>
      <c r="BI7412" s="68"/>
      <c r="BJ7412" s="68"/>
      <c r="BK7412" s="68"/>
      <c r="BL7412" s="68"/>
    </row>
    <row r="7413" spans="1:64" ht="12" customHeight="1" x14ac:dyDescent="0.15">
      <c r="A7413" s="33" t="s">
        <v>15733</v>
      </c>
      <c r="B7413" s="103">
        <v>49</v>
      </c>
      <c r="C7413" s="33" t="s">
        <v>14</v>
      </c>
      <c r="D7413" s="33" t="s">
        <v>31</v>
      </c>
      <c r="E7413" s="33" t="s">
        <v>15734</v>
      </c>
      <c r="F7413" s="67">
        <v>41362</v>
      </c>
      <c r="G7413" s="33" t="s">
        <v>15735</v>
      </c>
      <c r="H7413" s="33" t="s">
        <v>15736</v>
      </c>
      <c r="I7413" s="33" t="s">
        <v>221</v>
      </c>
      <c r="J7413" s="33" t="s">
        <v>15737</v>
      </c>
      <c r="K7413" s="33" t="s">
        <v>15738</v>
      </c>
      <c r="L7413" s="33" t="s">
        <v>15739</v>
      </c>
      <c r="M7413" s="33" t="s">
        <v>21</v>
      </c>
      <c r="N7413" s="33" t="s">
        <v>15740</v>
      </c>
      <c r="O7413" s="33" t="s">
        <v>507</v>
      </c>
      <c r="P7413" s="33" t="s">
        <v>30089</v>
      </c>
      <c r="Q7413" s="40" t="s">
        <v>15741</v>
      </c>
      <c r="R7413" s="33" t="s">
        <v>23</v>
      </c>
      <c r="S7413" s="33" t="s">
        <v>29</v>
      </c>
      <c r="T7413" s="1" t="s">
        <v>41840</v>
      </c>
      <c r="Z7413" s="33" t="s">
        <v>42967</v>
      </c>
      <c r="AA7413" s="33">
        <v>253</v>
      </c>
    </row>
    <row r="7414" spans="1:64" ht="12" customHeight="1" x14ac:dyDescent="0.15">
      <c r="A7414" s="33" t="s">
        <v>15725</v>
      </c>
      <c r="B7414" s="103">
        <v>51</v>
      </c>
      <c r="C7414" s="33" t="s">
        <v>14</v>
      </c>
      <c r="D7414" s="33" t="s">
        <v>31</v>
      </c>
      <c r="E7414" s="33" t="s">
        <v>15726</v>
      </c>
      <c r="F7414" s="67">
        <v>41362</v>
      </c>
      <c r="G7414" s="33" t="s">
        <v>15727</v>
      </c>
      <c r="H7414" s="33" t="s">
        <v>15728</v>
      </c>
      <c r="I7414" s="33" t="s">
        <v>468</v>
      </c>
      <c r="J7414" s="33" t="s">
        <v>15729</v>
      </c>
      <c r="K7414" s="33" t="s">
        <v>13418</v>
      </c>
      <c r="L7414" s="33" t="s">
        <v>15730</v>
      </c>
      <c r="M7414" s="33" t="s">
        <v>21</v>
      </c>
      <c r="N7414" s="33" t="s">
        <v>15731</v>
      </c>
      <c r="O7414" s="33" t="s">
        <v>507</v>
      </c>
      <c r="P7414" s="33" t="s">
        <v>30089</v>
      </c>
      <c r="Q7414" s="40" t="s">
        <v>15732</v>
      </c>
      <c r="R7414" s="33" t="s">
        <v>94</v>
      </c>
      <c r="S7414" s="33" t="s">
        <v>22</v>
      </c>
      <c r="T7414" s="1" t="s">
        <v>26781</v>
      </c>
      <c r="Z7414" s="33" t="s">
        <v>42967</v>
      </c>
      <c r="AA7414" s="33">
        <v>251</v>
      </c>
    </row>
    <row r="7415" spans="1:64" ht="12" customHeight="1" x14ac:dyDescent="0.15">
      <c r="A7415" s="63" t="s">
        <v>42556</v>
      </c>
      <c r="B7415" s="99">
        <v>49</v>
      </c>
      <c r="C7415" s="10" t="s">
        <v>14</v>
      </c>
      <c r="D7415" s="10" t="s">
        <v>31</v>
      </c>
      <c r="E7415" s="62" t="s">
        <v>42557</v>
      </c>
      <c r="F7415" s="67">
        <v>41361</v>
      </c>
      <c r="G7415" s="10" t="s">
        <v>42558</v>
      </c>
      <c r="H7415" s="10" t="s">
        <v>25049</v>
      </c>
      <c r="I7415" s="10" t="s">
        <v>282</v>
      </c>
      <c r="J7415" s="65">
        <v>98520</v>
      </c>
      <c r="K7415" s="10" t="s">
        <v>25050</v>
      </c>
      <c r="L7415" s="10" t="s">
        <v>25051</v>
      </c>
      <c r="M7415" s="10" t="s">
        <v>21</v>
      </c>
      <c r="N7415" s="10" t="s">
        <v>42559</v>
      </c>
      <c r="O7415" s="10" t="s">
        <v>507</v>
      </c>
      <c r="P7415" s="10" t="s">
        <v>30089</v>
      </c>
      <c r="Q7415" s="62" t="s">
        <v>42560</v>
      </c>
      <c r="R7415" s="10" t="s">
        <v>94</v>
      </c>
      <c r="S7415" s="10" t="s">
        <v>22</v>
      </c>
      <c r="T7415" s="10" t="s">
        <v>26781</v>
      </c>
      <c r="U7415" s="10"/>
      <c r="V7415" s="10"/>
      <c r="W7415" s="10"/>
      <c r="X7415" s="89"/>
      <c r="Y7415" s="68"/>
      <c r="Z7415" s="68" t="s">
        <v>42967</v>
      </c>
      <c r="AA7415" s="33">
        <v>249</v>
      </c>
      <c r="AG7415" s="68"/>
      <c r="AK7415" s="68"/>
      <c r="AL7415" s="68"/>
      <c r="AM7415" s="68"/>
      <c r="AN7415" s="68"/>
      <c r="AO7415" s="68"/>
      <c r="AP7415" s="68"/>
      <c r="AQ7415" s="68"/>
      <c r="AR7415" s="68"/>
      <c r="AS7415" s="68"/>
      <c r="AT7415" s="68"/>
      <c r="AU7415" s="68"/>
      <c r="AV7415" s="68"/>
      <c r="AW7415" s="68"/>
      <c r="AX7415" s="68"/>
      <c r="AY7415" s="68"/>
      <c r="AZ7415" s="68"/>
      <c r="BA7415" s="68"/>
      <c r="BB7415" s="68"/>
      <c r="BC7415" s="68"/>
      <c r="BD7415" s="68"/>
      <c r="BE7415" s="68"/>
      <c r="BF7415" s="68"/>
      <c r="BG7415" s="68"/>
      <c r="BH7415" s="68"/>
      <c r="BI7415" s="68"/>
      <c r="BJ7415" s="68"/>
      <c r="BK7415" s="68"/>
      <c r="BL7415" s="68"/>
    </row>
    <row r="7416" spans="1:64" ht="12" customHeight="1" x14ac:dyDescent="0.15">
      <c r="A7416" s="63" t="s">
        <v>42653</v>
      </c>
      <c r="B7416" s="99">
        <v>53</v>
      </c>
      <c r="C7416" s="10" t="s">
        <v>14</v>
      </c>
      <c r="D7416" s="10" t="s">
        <v>24</v>
      </c>
      <c r="E7416" s="10"/>
      <c r="F7416" s="67">
        <v>41361</v>
      </c>
      <c r="G7416" s="10" t="s">
        <v>42654</v>
      </c>
      <c r="H7416" s="10" t="s">
        <v>42655</v>
      </c>
      <c r="I7416" s="10" t="s">
        <v>46</v>
      </c>
      <c r="J7416" s="65">
        <v>21557</v>
      </c>
      <c r="K7416" s="10" t="s">
        <v>31729</v>
      </c>
      <c r="L7416" s="10" t="s">
        <v>647</v>
      </c>
      <c r="M7416" s="10" t="s">
        <v>21</v>
      </c>
      <c r="N7416" s="10" t="s">
        <v>42656</v>
      </c>
      <c r="O7416" s="10" t="s">
        <v>950</v>
      </c>
      <c r="P7416" s="10" t="s">
        <v>30089</v>
      </c>
      <c r="Q7416" s="62" t="s">
        <v>42657</v>
      </c>
      <c r="R7416" s="10" t="s">
        <v>512</v>
      </c>
      <c r="S7416" s="10" t="s">
        <v>22</v>
      </c>
      <c r="T7416" s="10" t="s">
        <v>26781</v>
      </c>
      <c r="U7416" s="10"/>
      <c r="V7416" s="10"/>
      <c r="W7416" s="10"/>
      <c r="X7416" s="89"/>
      <c r="Y7416" s="68"/>
      <c r="Z7416" s="68" t="s">
        <v>42967</v>
      </c>
      <c r="AA7416" s="33">
        <v>250</v>
      </c>
      <c r="AG7416" s="68"/>
      <c r="AK7416" s="68"/>
      <c r="AL7416" s="68"/>
      <c r="AM7416" s="68"/>
      <c r="AN7416" s="68"/>
      <c r="AO7416" s="68"/>
      <c r="AP7416" s="68"/>
      <c r="AQ7416" s="68"/>
      <c r="AR7416" s="68"/>
      <c r="AS7416" s="68"/>
      <c r="AT7416" s="68"/>
      <c r="AU7416" s="68"/>
      <c r="AV7416" s="68"/>
      <c r="AW7416" s="68"/>
      <c r="AX7416" s="68"/>
      <c r="AY7416" s="68"/>
      <c r="AZ7416" s="68"/>
      <c r="BA7416" s="68"/>
      <c r="BB7416" s="68"/>
      <c r="BC7416" s="68"/>
      <c r="BD7416" s="68"/>
      <c r="BE7416" s="68"/>
      <c r="BF7416" s="68"/>
      <c r="BG7416" s="68"/>
      <c r="BH7416" s="68"/>
      <c r="BI7416" s="68"/>
      <c r="BJ7416" s="68"/>
      <c r="BK7416" s="68"/>
      <c r="BL7416" s="68"/>
    </row>
    <row r="7417" spans="1:64" ht="12" customHeight="1" x14ac:dyDescent="0.15">
      <c r="A7417" s="33" t="s">
        <v>15742</v>
      </c>
      <c r="B7417" s="103">
        <v>42</v>
      </c>
      <c r="C7417" s="33" t="s">
        <v>14</v>
      </c>
      <c r="D7417" s="33" t="s">
        <v>24</v>
      </c>
      <c r="F7417" s="67">
        <v>41360</v>
      </c>
      <c r="G7417" s="33" t="s">
        <v>15743</v>
      </c>
      <c r="H7417" s="33" t="s">
        <v>1116</v>
      </c>
      <c r="I7417" s="33" t="s">
        <v>298</v>
      </c>
      <c r="J7417" s="33" t="s">
        <v>15744</v>
      </c>
      <c r="K7417" s="33" t="s">
        <v>1117</v>
      </c>
      <c r="L7417" s="33" t="s">
        <v>1118</v>
      </c>
      <c r="M7417" s="33" t="s">
        <v>21</v>
      </c>
      <c r="N7417" s="33" t="s">
        <v>15745</v>
      </c>
      <c r="O7417" s="33" t="s">
        <v>23</v>
      </c>
      <c r="P7417" s="33" t="s">
        <v>30089</v>
      </c>
      <c r="Q7417" s="40" t="s">
        <v>15746</v>
      </c>
      <c r="R7417" s="33" t="s">
        <v>94</v>
      </c>
      <c r="S7417" s="33" t="s">
        <v>29</v>
      </c>
      <c r="T7417" s="1" t="s">
        <v>41840</v>
      </c>
      <c r="Y7417" s="33" t="s">
        <v>42476</v>
      </c>
      <c r="Z7417" s="33" t="s">
        <v>42968</v>
      </c>
      <c r="AA7417" s="33">
        <v>248</v>
      </c>
    </row>
    <row r="7418" spans="1:64" ht="12" customHeight="1" x14ac:dyDescent="0.15">
      <c r="A7418" s="33" t="s">
        <v>15747</v>
      </c>
      <c r="B7418" s="33">
        <v>72</v>
      </c>
      <c r="C7418" s="33" t="s">
        <v>14</v>
      </c>
      <c r="D7418" s="33" t="s">
        <v>24</v>
      </c>
      <c r="F7418" s="67">
        <v>41360</v>
      </c>
      <c r="G7418" s="33" t="s">
        <v>15748</v>
      </c>
      <c r="H7418" s="33" t="s">
        <v>639</v>
      </c>
      <c r="I7418" s="33" t="s">
        <v>112</v>
      </c>
      <c r="J7418" s="33" t="s">
        <v>11022</v>
      </c>
      <c r="K7418" s="33" t="s">
        <v>585</v>
      </c>
      <c r="L7418" s="33" t="s">
        <v>4494</v>
      </c>
      <c r="M7418" s="33" t="s">
        <v>21</v>
      </c>
      <c r="N7418" s="33" t="s">
        <v>15749</v>
      </c>
      <c r="O7418" s="33" t="s">
        <v>950</v>
      </c>
      <c r="P7418" s="33" t="s">
        <v>30089</v>
      </c>
      <c r="Q7418" s="40" t="s">
        <v>15750</v>
      </c>
      <c r="R7418" s="33" t="s">
        <v>23</v>
      </c>
      <c r="S7418" s="33" t="s">
        <v>22</v>
      </c>
      <c r="T7418" s="1" t="s">
        <v>26781</v>
      </c>
      <c r="Z7418" s="33" t="s">
        <v>42966</v>
      </c>
      <c r="AA7418" s="33">
        <v>247</v>
      </c>
    </row>
    <row r="7419" spans="1:64" ht="12" customHeight="1" x14ac:dyDescent="0.15">
      <c r="A7419" s="63" t="s">
        <v>42649</v>
      </c>
      <c r="B7419" s="99">
        <v>59</v>
      </c>
      <c r="C7419" s="10" t="s">
        <v>14</v>
      </c>
      <c r="D7419" s="10" t="s">
        <v>24</v>
      </c>
      <c r="E7419" s="10"/>
      <c r="F7419" s="67">
        <v>41359</v>
      </c>
      <c r="G7419" s="10" t="s">
        <v>42650</v>
      </c>
      <c r="H7419" s="10" t="s">
        <v>16627</v>
      </c>
      <c r="I7419" s="10" t="s">
        <v>112</v>
      </c>
      <c r="J7419" s="65">
        <v>85326</v>
      </c>
      <c r="K7419" s="10" t="s">
        <v>585</v>
      </c>
      <c r="L7419" s="10" t="s">
        <v>16628</v>
      </c>
      <c r="M7419" s="10" t="s">
        <v>21</v>
      </c>
      <c r="N7419" s="10" t="s">
        <v>42651</v>
      </c>
      <c r="O7419" s="10" t="s">
        <v>950</v>
      </c>
      <c r="P7419" s="10" t="s">
        <v>30089</v>
      </c>
      <c r="Q7419" s="62" t="s">
        <v>42652</v>
      </c>
      <c r="R7419" s="10" t="s">
        <v>94</v>
      </c>
      <c r="S7419" s="10" t="s">
        <v>22</v>
      </c>
      <c r="T7419" s="10" t="s">
        <v>26781</v>
      </c>
      <c r="U7419" s="10"/>
      <c r="V7419" s="10"/>
      <c r="W7419" s="10"/>
      <c r="X7419" s="89"/>
      <c r="Y7419" s="68"/>
      <c r="Z7419" s="68" t="s">
        <v>42968</v>
      </c>
      <c r="AA7419" s="33">
        <v>245</v>
      </c>
      <c r="AG7419" s="68"/>
      <c r="AK7419" s="68"/>
      <c r="AL7419" s="68"/>
      <c r="AM7419" s="68"/>
      <c r="AN7419" s="68"/>
      <c r="AO7419" s="68"/>
      <c r="AP7419" s="68"/>
      <c r="AQ7419" s="68"/>
      <c r="AR7419" s="68"/>
      <c r="AS7419" s="68"/>
      <c r="AT7419" s="68"/>
      <c r="AU7419" s="68"/>
      <c r="AV7419" s="68"/>
      <c r="AW7419" s="68"/>
      <c r="AX7419" s="68"/>
      <c r="AY7419" s="68"/>
      <c r="AZ7419" s="68"/>
      <c r="BA7419" s="68"/>
      <c r="BB7419" s="68"/>
      <c r="BC7419" s="68"/>
      <c r="BD7419" s="68"/>
      <c r="BE7419" s="68"/>
      <c r="BF7419" s="68"/>
      <c r="BG7419" s="68"/>
      <c r="BH7419" s="68"/>
      <c r="BI7419" s="68"/>
      <c r="BJ7419" s="68"/>
      <c r="BK7419" s="68"/>
      <c r="BL7419" s="68"/>
    </row>
    <row r="7420" spans="1:64" ht="12" customHeight="1" x14ac:dyDescent="0.15">
      <c r="A7420" s="33" t="s">
        <v>15751</v>
      </c>
      <c r="B7420" s="33">
        <v>20</v>
      </c>
      <c r="C7420" s="33" t="s">
        <v>14</v>
      </c>
      <c r="D7420" s="33" t="s">
        <v>31</v>
      </c>
      <c r="F7420" s="67">
        <v>41359</v>
      </c>
      <c r="G7420" s="33" t="s">
        <v>15752</v>
      </c>
      <c r="H7420" s="33" t="s">
        <v>15753</v>
      </c>
      <c r="I7420" s="33" t="s">
        <v>63</v>
      </c>
      <c r="J7420" s="33" t="s">
        <v>15754</v>
      </c>
      <c r="K7420" s="33" t="s">
        <v>15753</v>
      </c>
      <c r="L7420" s="33" t="s">
        <v>15755</v>
      </c>
      <c r="M7420" s="33" t="s">
        <v>21</v>
      </c>
      <c r="N7420" s="33" t="s">
        <v>15756</v>
      </c>
      <c r="O7420" s="33" t="s">
        <v>950</v>
      </c>
      <c r="P7420" s="33" t="s">
        <v>30089</v>
      </c>
      <c r="Q7420" s="40" t="s">
        <v>15757</v>
      </c>
      <c r="R7420" s="33" t="s">
        <v>23</v>
      </c>
      <c r="S7420" s="33" t="s">
        <v>29</v>
      </c>
      <c r="T7420" s="1" t="s">
        <v>41840</v>
      </c>
      <c r="Z7420" s="33" t="s">
        <v>42967</v>
      </c>
      <c r="AA7420" s="33">
        <v>246</v>
      </c>
    </row>
    <row r="7421" spans="1:64" ht="12" customHeight="1" x14ac:dyDescent="0.15">
      <c r="A7421" s="63" t="s">
        <v>42750</v>
      </c>
      <c r="B7421" s="99">
        <v>25</v>
      </c>
      <c r="C7421" s="10" t="s">
        <v>14</v>
      </c>
      <c r="D7421" s="10" t="s">
        <v>42</v>
      </c>
      <c r="E7421" s="62" t="s">
        <v>42751</v>
      </c>
      <c r="F7421" s="67">
        <v>41358</v>
      </c>
      <c r="G7421" s="10" t="s">
        <v>42752</v>
      </c>
      <c r="H7421" s="10" t="s">
        <v>42753</v>
      </c>
      <c r="I7421" s="10" t="s">
        <v>160</v>
      </c>
      <c r="J7421" s="65">
        <v>30740</v>
      </c>
      <c r="K7421" s="10" t="s">
        <v>20799</v>
      </c>
      <c r="L7421" s="10" t="s">
        <v>17414</v>
      </c>
      <c r="M7421" s="10" t="s">
        <v>21</v>
      </c>
      <c r="N7421" s="10" t="s">
        <v>42754</v>
      </c>
      <c r="O7421" s="10" t="s">
        <v>42511</v>
      </c>
      <c r="P7421" s="10" t="s">
        <v>30089</v>
      </c>
      <c r="Q7421" s="62" t="s">
        <v>42755</v>
      </c>
      <c r="R7421" s="10" t="s">
        <v>94</v>
      </c>
      <c r="S7421" s="10" t="s">
        <v>22</v>
      </c>
      <c r="T7421" s="10" t="s">
        <v>26774</v>
      </c>
      <c r="U7421" s="10"/>
      <c r="V7421" s="10"/>
      <c r="W7421" s="69"/>
      <c r="X7421" s="89"/>
      <c r="Y7421" s="68"/>
      <c r="Z7421" s="68" t="s">
        <v>42967</v>
      </c>
      <c r="AA7421" s="33">
        <v>243</v>
      </c>
      <c r="AG7421" s="68"/>
      <c r="AK7421" s="68"/>
      <c r="AL7421" s="68"/>
      <c r="AM7421" s="68"/>
      <c r="AN7421" s="68"/>
      <c r="AO7421" s="68"/>
      <c r="AP7421" s="68"/>
      <c r="AQ7421" s="68"/>
      <c r="AR7421" s="68"/>
      <c r="AS7421" s="68"/>
      <c r="AT7421" s="68"/>
      <c r="AU7421" s="68"/>
      <c r="AV7421" s="68"/>
      <c r="AW7421" s="68"/>
      <c r="AX7421" s="68"/>
      <c r="AY7421" s="68"/>
      <c r="AZ7421" s="68"/>
      <c r="BA7421" s="68"/>
      <c r="BB7421" s="68"/>
      <c r="BC7421" s="68"/>
      <c r="BD7421" s="68"/>
      <c r="BE7421" s="68"/>
      <c r="BF7421" s="68"/>
      <c r="BG7421" s="68"/>
      <c r="BH7421" s="68"/>
      <c r="BI7421" s="68"/>
      <c r="BJ7421" s="68"/>
      <c r="BK7421" s="68"/>
      <c r="BL7421" s="68"/>
    </row>
    <row r="7422" spans="1:64" ht="12" customHeight="1" x14ac:dyDescent="0.15">
      <c r="A7422" s="63" t="s">
        <v>42785</v>
      </c>
      <c r="B7422" s="99">
        <v>43</v>
      </c>
      <c r="C7422" s="10" t="s">
        <v>14</v>
      </c>
      <c r="D7422" s="10" t="s">
        <v>24</v>
      </c>
      <c r="E7422" s="10"/>
      <c r="F7422" s="67">
        <v>41358</v>
      </c>
      <c r="G7422" s="10" t="s">
        <v>42939</v>
      </c>
      <c r="H7422" s="10" t="s">
        <v>2654</v>
      </c>
      <c r="I7422" s="10" t="s">
        <v>39</v>
      </c>
      <c r="J7422" s="65">
        <v>91766</v>
      </c>
      <c r="K7422" s="10" t="s">
        <v>92</v>
      </c>
      <c r="L7422" s="10" t="s">
        <v>25634</v>
      </c>
      <c r="M7422" s="10" t="s">
        <v>21</v>
      </c>
      <c r="N7422" s="10" t="s">
        <v>42786</v>
      </c>
      <c r="O7422" s="10" t="s">
        <v>950</v>
      </c>
      <c r="P7422" s="10" t="s">
        <v>30089</v>
      </c>
      <c r="Q7422" s="62" t="s">
        <v>42787</v>
      </c>
      <c r="R7422" s="10" t="s">
        <v>23</v>
      </c>
      <c r="S7422" s="10" t="s">
        <v>22</v>
      </c>
      <c r="T7422" s="10" t="s">
        <v>26774</v>
      </c>
      <c r="U7422" s="10"/>
      <c r="V7422" s="10"/>
      <c r="W7422" s="10"/>
      <c r="X7422" s="89"/>
      <c r="Y7422" s="68"/>
      <c r="Z7422" s="68" t="s">
        <v>42968</v>
      </c>
      <c r="AA7422" s="33">
        <v>244</v>
      </c>
      <c r="AG7422" s="68"/>
      <c r="AK7422" s="68"/>
      <c r="AL7422" s="68"/>
      <c r="AM7422" s="68"/>
      <c r="AN7422" s="68"/>
      <c r="AO7422" s="68"/>
      <c r="AP7422" s="68"/>
      <c r="AQ7422" s="68"/>
      <c r="AR7422" s="68"/>
      <c r="AS7422" s="68"/>
      <c r="AT7422" s="68"/>
      <c r="AU7422" s="68"/>
      <c r="AV7422" s="68"/>
      <c r="AW7422" s="68"/>
      <c r="AX7422" s="68"/>
      <c r="AY7422" s="68"/>
      <c r="AZ7422" s="68"/>
      <c r="BA7422" s="68"/>
      <c r="BB7422" s="68"/>
      <c r="BC7422" s="68"/>
      <c r="BD7422" s="68"/>
      <c r="BE7422" s="68"/>
      <c r="BF7422" s="68"/>
      <c r="BG7422" s="68"/>
      <c r="BH7422" s="68"/>
      <c r="BI7422" s="68"/>
      <c r="BJ7422" s="68"/>
      <c r="BK7422" s="68"/>
      <c r="BL7422" s="68"/>
    </row>
    <row r="7423" spans="1:64" ht="12" customHeight="1" x14ac:dyDescent="0.15">
      <c r="A7423" s="63" t="s">
        <v>42716</v>
      </c>
      <c r="B7423" s="99">
        <v>35</v>
      </c>
      <c r="C7423" s="10" t="s">
        <v>14</v>
      </c>
      <c r="D7423" s="10" t="s">
        <v>31</v>
      </c>
      <c r="E7423" s="62" t="s">
        <v>42717</v>
      </c>
      <c r="F7423" s="67">
        <v>41358</v>
      </c>
      <c r="G7423" s="10" t="s">
        <v>42718</v>
      </c>
      <c r="H7423" s="10" t="s">
        <v>8434</v>
      </c>
      <c r="I7423" s="10" t="s">
        <v>178</v>
      </c>
      <c r="J7423" s="65">
        <v>88220</v>
      </c>
      <c r="K7423" s="10" t="s">
        <v>8436</v>
      </c>
      <c r="L7423" s="10" t="s">
        <v>42719</v>
      </c>
      <c r="M7423" s="10" t="s">
        <v>21</v>
      </c>
      <c r="N7423" s="10" t="s">
        <v>42720</v>
      </c>
      <c r="O7423" s="10" t="s">
        <v>950</v>
      </c>
      <c r="P7423" s="10" t="s">
        <v>30089</v>
      </c>
      <c r="Q7423" s="62" t="s">
        <v>42721</v>
      </c>
      <c r="R7423" s="10" t="s">
        <v>904</v>
      </c>
      <c r="S7423" s="10" t="s">
        <v>22</v>
      </c>
      <c r="T7423" s="10" t="s">
        <v>26781</v>
      </c>
      <c r="U7423" s="10"/>
      <c r="V7423" s="10"/>
      <c r="W7423" s="10"/>
      <c r="X7423" s="89"/>
      <c r="Y7423" s="68"/>
      <c r="Z7423" s="68" t="s">
        <v>42968</v>
      </c>
      <c r="AA7423" s="33">
        <v>242</v>
      </c>
      <c r="AG7423" s="68"/>
      <c r="AK7423" s="68"/>
      <c r="AL7423" s="68"/>
      <c r="AM7423" s="68"/>
      <c r="AN7423" s="68"/>
      <c r="AO7423" s="68"/>
      <c r="AP7423" s="68"/>
      <c r="AQ7423" s="68"/>
      <c r="AR7423" s="68"/>
      <c r="AS7423" s="68"/>
      <c r="AT7423" s="68"/>
      <c r="AU7423" s="68"/>
      <c r="AV7423" s="68"/>
      <c r="AW7423" s="68"/>
      <c r="AX7423" s="68"/>
      <c r="AY7423" s="68"/>
      <c r="AZ7423" s="68"/>
      <c r="BA7423" s="68"/>
      <c r="BB7423" s="68"/>
      <c r="BC7423" s="68"/>
      <c r="BD7423" s="68"/>
      <c r="BE7423" s="68"/>
      <c r="BF7423" s="68"/>
      <c r="BG7423" s="68"/>
      <c r="BH7423" s="68"/>
      <c r="BI7423" s="68"/>
      <c r="BJ7423" s="68"/>
      <c r="BK7423" s="68"/>
      <c r="BL7423" s="68"/>
    </row>
    <row r="7424" spans="1:64" ht="12" customHeight="1" x14ac:dyDescent="0.15">
      <c r="A7424" s="33" t="s">
        <v>15758</v>
      </c>
      <c r="B7424" s="33">
        <v>25</v>
      </c>
      <c r="C7424" s="33" t="s">
        <v>14</v>
      </c>
      <c r="D7424" s="33" t="s">
        <v>24</v>
      </c>
      <c r="F7424" s="67">
        <v>41357</v>
      </c>
      <c r="G7424" s="33" t="s">
        <v>22333</v>
      </c>
      <c r="H7424" s="33" t="s">
        <v>11365</v>
      </c>
      <c r="I7424" s="33" t="s">
        <v>88</v>
      </c>
      <c r="J7424" s="33" t="s">
        <v>11366</v>
      </c>
      <c r="K7424" s="33" t="s">
        <v>11367</v>
      </c>
      <c r="L7424" s="33" t="s">
        <v>11368</v>
      </c>
      <c r="M7424" s="33" t="s">
        <v>363</v>
      </c>
      <c r="N7424" s="33" t="s">
        <v>15759</v>
      </c>
      <c r="O7424" s="33" t="s">
        <v>950</v>
      </c>
      <c r="P7424" s="33" t="s">
        <v>30089</v>
      </c>
      <c r="Q7424" s="40" t="s">
        <v>15760</v>
      </c>
      <c r="R7424" s="33" t="s">
        <v>904</v>
      </c>
      <c r="S7424" s="33" t="s">
        <v>12</v>
      </c>
      <c r="T7424" s="1" t="s">
        <v>29705</v>
      </c>
      <c r="Z7424" s="33" t="s">
        <v>42968</v>
      </c>
      <c r="AA7424" s="33">
        <v>241</v>
      </c>
    </row>
    <row r="7425" spans="1:64" ht="12" customHeight="1" x14ac:dyDescent="0.15">
      <c r="A7425" s="63" t="s">
        <v>42712</v>
      </c>
      <c r="B7425" s="99">
        <v>69</v>
      </c>
      <c r="C7425" s="10" t="s">
        <v>14</v>
      </c>
      <c r="D7425" s="10" t="s">
        <v>24</v>
      </c>
      <c r="E7425" s="10"/>
      <c r="F7425" s="67">
        <v>41356</v>
      </c>
      <c r="G7425" s="10" t="s">
        <v>42713</v>
      </c>
      <c r="H7425" s="10" t="s">
        <v>1397</v>
      </c>
      <c r="I7425" s="10" t="s">
        <v>67</v>
      </c>
      <c r="J7425" s="65">
        <v>75134</v>
      </c>
      <c r="K7425" s="10" t="s">
        <v>266</v>
      </c>
      <c r="L7425" s="10" t="s">
        <v>2683</v>
      </c>
      <c r="M7425" s="10" t="s">
        <v>21</v>
      </c>
      <c r="N7425" s="10" t="s">
        <v>42714</v>
      </c>
      <c r="O7425" s="10" t="s">
        <v>950</v>
      </c>
      <c r="P7425" s="10" t="s">
        <v>30089</v>
      </c>
      <c r="Q7425" s="62" t="s">
        <v>42715</v>
      </c>
      <c r="R7425" s="10" t="s">
        <v>94</v>
      </c>
      <c r="S7425" s="10" t="s">
        <v>22</v>
      </c>
      <c r="T7425" s="10" t="s">
        <v>26781</v>
      </c>
      <c r="U7425" s="10"/>
      <c r="V7425" s="10"/>
      <c r="W7425" s="10"/>
      <c r="X7425" s="89"/>
      <c r="Y7425" s="68"/>
      <c r="Z7425" s="68" t="s">
        <v>42968</v>
      </c>
      <c r="AA7425" s="33">
        <v>240</v>
      </c>
      <c r="AG7425" s="68"/>
      <c r="AK7425" s="68"/>
      <c r="AL7425" s="68"/>
      <c r="AM7425" s="68"/>
      <c r="AN7425" s="68"/>
      <c r="AO7425" s="68"/>
      <c r="AP7425" s="68"/>
      <c r="AQ7425" s="68"/>
      <c r="AR7425" s="68"/>
      <c r="AS7425" s="68"/>
      <c r="AT7425" s="68"/>
      <c r="AU7425" s="68"/>
      <c r="AV7425" s="68"/>
      <c r="AW7425" s="68"/>
      <c r="AX7425" s="68"/>
      <c r="AY7425" s="68"/>
      <c r="AZ7425" s="68"/>
      <c r="BA7425" s="68"/>
      <c r="BB7425" s="68"/>
      <c r="BC7425" s="68"/>
      <c r="BD7425" s="68"/>
      <c r="BE7425" s="68"/>
      <c r="BF7425" s="68"/>
      <c r="BG7425" s="68"/>
      <c r="BH7425" s="68"/>
      <c r="BI7425" s="68"/>
      <c r="BJ7425" s="68"/>
      <c r="BK7425" s="68"/>
      <c r="BL7425" s="68"/>
    </row>
    <row r="7426" spans="1:64" ht="12" customHeight="1" x14ac:dyDescent="0.15">
      <c r="A7426" s="63" t="s">
        <v>42552</v>
      </c>
      <c r="B7426" s="99">
        <v>36</v>
      </c>
      <c r="C7426" s="10" t="s">
        <v>14</v>
      </c>
      <c r="D7426" s="10" t="s">
        <v>31</v>
      </c>
      <c r="E7426" s="62" t="s">
        <v>42553</v>
      </c>
      <c r="F7426" s="67">
        <v>41356</v>
      </c>
      <c r="G7426" s="10" t="s">
        <v>42927</v>
      </c>
      <c r="H7426" s="10" t="s">
        <v>24255</v>
      </c>
      <c r="I7426" s="10" t="s">
        <v>367</v>
      </c>
      <c r="J7426" s="65">
        <v>73701</v>
      </c>
      <c r="K7426" s="10" t="s">
        <v>4026</v>
      </c>
      <c r="L7426" s="10" t="s">
        <v>24256</v>
      </c>
      <c r="M7426" s="10" t="s">
        <v>21</v>
      </c>
      <c r="N7426" s="10" t="s">
        <v>42554</v>
      </c>
      <c r="O7426" s="10" t="s">
        <v>507</v>
      </c>
      <c r="P7426" s="10" t="s">
        <v>30089</v>
      </c>
      <c r="Q7426" s="62" t="s">
        <v>42555</v>
      </c>
      <c r="R7426" s="10" t="s">
        <v>23</v>
      </c>
      <c r="S7426" s="10" t="s">
        <v>22</v>
      </c>
      <c r="T7426" s="10" t="s">
        <v>26781</v>
      </c>
      <c r="U7426" s="10"/>
      <c r="V7426" s="10"/>
      <c r="W7426" s="10"/>
      <c r="X7426" s="89"/>
      <c r="Y7426" s="68"/>
      <c r="Z7426" s="68" t="s">
        <v>42968</v>
      </c>
      <c r="AA7426" s="33">
        <v>239</v>
      </c>
      <c r="AG7426" s="68"/>
      <c r="AK7426" s="68"/>
      <c r="AL7426" s="68"/>
      <c r="AM7426" s="68"/>
      <c r="AN7426" s="68"/>
      <c r="AO7426" s="68"/>
      <c r="AP7426" s="68"/>
      <c r="AQ7426" s="68"/>
      <c r="AR7426" s="68"/>
      <c r="AS7426" s="68"/>
      <c r="AT7426" s="68"/>
      <c r="AU7426" s="68"/>
      <c r="AV7426" s="68"/>
      <c r="AW7426" s="68"/>
      <c r="AX7426" s="68"/>
      <c r="AY7426" s="68"/>
      <c r="AZ7426" s="68"/>
      <c r="BA7426" s="68"/>
      <c r="BB7426" s="68"/>
      <c r="BC7426" s="68"/>
      <c r="BD7426" s="68"/>
      <c r="BE7426" s="68"/>
      <c r="BF7426" s="68"/>
      <c r="BG7426" s="68"/>
      <c r="BH7426" s="68"/>
      <c r="BI7426" s="68"/>
      <c r="BJ7426" s="68"/>
      <c r="BK7426" s="68"/>
      <c r="BL7426" s="68"/>
    </row>
    <row r="7427" spans="1:64" ht="12" customHeight="1" x14ac:dyDescent="0.15">
      <c r="A7427" s="63" t="s">
        <v>42815</v>
      </c>
      <c r="B7427" s="99">
        <v>49</v>
      </c>
      <c r="C7427" s="10" t="s">
        <v>14</v>
      </c>
      <c r="D7427" s="10" t="s">
        <v>31</v>
      </c>
      <c r="E7427" s="62" t="s">
        <v>42816</v>
      </c>
      <c r="F7427" s="67">
        <v>41355</v>
      </c>
      <c r="G7427" s="10" t="s">
        <v>42942</v>
      </c>
      <c r="H7427" s="10" t="s">
        <v>14473</v>
      </c>
      <c r="I7427" s="10" t="s">
        <v>39</v>
      </c>
      <c r="J7427" s="65">
        <v>94546</v>
      </c>
      <c r="K7427" s="10" t="s">
        <v>558</v>
      </c>
      <c r="L7427" s="10" t="s">
        <v>230</v>
      </c>
      <c r="M7427" s="10" t="s">
        <v>21</v>
      </c>
      <c r="N7427" s="10" t="s">
        <v>42817</v>
      </c>
      <c r="O7427" s="10" t="s">
        <v>950</v>
      </c>
      <c r="P7427" s="10" t="s">
        <v>30089</v>
      </c>
      <c r="Q7427" s="62" t="s">
        <v>42818</v>
      </c>
      <c r="R7427" s="10" t="s">
        <v>512</v>
      </c>
      <c r="S7427" s="10" t="s">
        <v>12</v>
      </c>
      <c r="T7427" s="10" t="s">
        <v>29425</v>
      </c>
      <c r="U7427" s="10"/>
      <c r="V7427" s="10"/>
      <c r="W7427" s="10"/>
      <c r="X7427" s="89"/>
      <c r="Y7427" s="68"/>
      <c r="Z7427" s="68" t="s">
        <v>42968</v>
      </c>
      <c r="AA7427" s="33">
        <v>237</v>
      </c>
      <c r="AG7427" s="68"/>
      <c r="AK7427" s="68"/>
      <c r="AL7427" s="68"/>
      <c r="AM7427" s="68"/>
      <c r="AN7427" s="68"/>
      <c r="AO7427" s="68"/>
      <c r="AP7427" s="68"/>
      <c r="AQ7427" s="68"/>
      <c r="AR7427" s="68"/>
      <c r="AS7427" s="68"/>
      <c r="AT7427" s="68"/>
      <c r="AU7427" s="68"/>
      <c r="AV7427" s="68"/>
      <c r="AW7427" s="68"/>
      <c r="AX7427" s="68"/>
      <c r="AY7427" s="68"/>
      <c r="AZ7427" s="68"/>
      <c r="BA7427" s="68"/>
      <c r="BB7427" s="68"/>
      <c r="BC7427" s="68"/>
      <c r="BD7427" s="68"/>
      <c r="BE7427" s="68"/>
      <c r="BF7427" s="68"/>
      <c r="BG7427" s="68"/>
      <c r="BH7427" s="68"/>
      <c r="BI7427" s="68"/>
      <c r="BJ7427" s="68"/>
      <c r="BK7427" s="68"/>
      <c r="BL7427" s="68"/>
    </row>
    <row r="7428" spans="1:64" ht="12" customHeight="1" x14ac:dyDescent="0.15">
      <c r="A7428" s="33" t="s">
        <v>15766</v>
      </c>
      <c r="B7428" s="33">
        <v>49</v>
      </c>
      <c r="C7428" s="33" t="s">
        <v>14</v>
      </c>
      <c r="D7428" s="33" t="s">
        <v>79</v>
      </c>
      <c r="E7428" s="33" t="s">
        <v>15767</v>
      </c>
      <c r="F7428" s="67">
        <v>41355</v>
      </c>
      <c r="G7428" s="33" t="s">
        <v>15768</v>
      </c>
      <c r="H7428" s="33" t="s">
        <v>55</v>
      </c>
      <c r="I7428" s="33" t="s">
        <v>56</v>
      </c>
      <c r="J7428" s="33" t="s">
        <v>15769</v>
      </c>
      <c r="K7428" s="33" t="s">
        <v>4878</v>
      </c>
      <c r="L7428" s="33" t="s">
        <v>57</v>
      </c>
      <c r="M7428" s="33" t="s">
        <v>21</v>
      </c>
      <c r="N7428" s="33" t="s">
        <v>15770</v>
      </c>
      <c r="O7428" s="33" t="s">
        <v>950</v>
      </c>
      <c r="P7428" s="33" t="s">
        <v>30089</v>
      </c>
      <c r="Q7428" s="40" t="s">
        <v>15771</v>
      </c>
      <c r="R7428" s="33" t="s">
        <v>94</v>
      </c>
      <c r="S7428" s="33" t="s">
        <v>22</v>
      </c>
      <c r="T7428" s="1" t="s">
        <v>26774</v>
      </c>
      <c r="Z7428" s="33" t="s">
        <v>42968</v>
      </c>
      <c r="AA7428" s="33">
        <v>236</v>
      </c>
    </row>
    <row r="7429" spans="1:64" ht="12" customHeight="1" x14ac:dyDescent="0.15">
      <c r="A7429" s="33" t="s">
        <v>15761</v>
      </c>
      <c r="B7429" s="33">
        <v>51</v>
      </c>
      <c r="C7429" s="33" t="s">
        <v>14</v>
      </c>
      <c r="D7429" s="33" t="s">
        <v>79</v>
      </c>
      <c r="E7429" s="33" t="s">
        <v>15762</v>
      </c>
      <c r="F7429" s="67">
        <v>41355</v>
      </c>
      <c r="G7429" s="33" t="s">
        <v>22334</v>
      </c>
      <c r="H7429" s="33" t="s">
        <v>1132</v>
      </c>
      <c r="I7429" s="33" t="s">
        <v>282</v>
      </c>
      <c r="J7429" s="33" t="s">
        <v>15763</v>
      </c>
      <c r="K7429" s="33" t="s">
        <v>1133</v>
      </c>
      <c r="L7429" s="33" t="s">
        <v>21387</v>
      </c>
      <c r="M7429" s="33" t="s">
        <v>21</v>
      </c>
      <c r="N7429" s="33" t="s">
        <v>15764</v>
      </c>
      <c r="O7429" s="33" t="s">
        <v>507</v>
      </c>
      <c r="P7429" s="33" t="s">
        <v>30089</v>
      </c>
      <c r="Q7429" s="40" t="s">
        <v>15765</v>
      </c>
      <c r="R7429" s="33" t="s">
        <v>23</v>
      </c>
      <c r="S7429" s="33" t="s">
        <v>351</v>
      </c>
      <c r="T7429" s="1" t="s">
        <v>42983</v>
      </c>
      <c r="Z7429" s="33" t="s">
        <v>42966</v>
      </c>
      <c r="AA7429" s="33">
        <v>238</v>
      </c>
    </row>
    <row r="7430" spans="1:64" ht="12" customHeight="1" x14ac:dyDescent="0.15">
      <c r="A7430" s="63" t="s">
        <v>42638</v>
      </c>
      <c r="B7430" s="99">
        <v>87</v>
      </c>
      <c r="C7430" s="10" t="s">
        <v>14</v>
      </c>
      <c r="D7430" s="10" t="s">
        <v>24</v>
      </c>
      <c r="E7430" s="10"/>
      <c r="F7430" s="67">
        <v>41354</v>
      </c>
      <c r="G7430" s="10" t="s">
        <v>42639</v>
      </c>
      <c r="H7430" s="10" t="s">
        <v>9302</v>
      </c>
      <c r="I7430" s="10" t="s">
        <v>39</v>
      </c>
      <c r="J7430" s="65">
        <v>95350</v>
      </c>
      <c r="K7430" s="10" t="s">
        <v>2954</v>
      </c>
      <c r="L7430" s="10" t="s">
        <v>9304</v>
      </c>
      <c r="M7430" s="10" t="s">
        <v>21</v>
      </c>
      <c r="N7430" s="10" t="s">
        <v>42640</v>
      </c>
      <c r="O7430" s="10" t="s">
        <v>950</v>
      </c>
      <c r="P7430" s="10" t="s">
        <v>30089</v>
      </c>
      <c r="Q7430" s="62" t="s">
        <v>42641</v>
      </c>
      <c r="R7430" s="10" t="s">
        <v>23</v>
      </c>
      <c r="S7430" s="10" t="s">
        <v>22</v>
      </c>
      <c r="T7430" s="10" t="s">
        <v>26781</v>
      </c>
      <c r="U7430" s="10"/>
      <c r="V7430" s="10"/>
      <c r="W7430" s="10"/>
      <c r="X7430" s="89"/>
      <c r="Y7430" s="68"/>
      <c r="Z7430" s="68" t="s">
        <v>42968</v>
      </c>
      <c r="AA7430" s="33">
        <v>232</v>
      </c>
      <c r="AG7430" s="68"/>
      <c r="AK7430" s="68"/>
      <c r="AL7430" s="68"/>
      <c r="AM7430" s="68"/>
      <c r="AN7430" s="68"/>
      <c r="AO7430" s="68"/>
      <c r="AP7430" s="68"/>
      <c r="AQ7430" s="68"/>
      <c r="AR7430" s="68"/>
      <c r="AS7430" s="68"/>
      <c r="AT7430" s="68"/>
      <c r="AU7430" s="68"/>
      <c r="AV7430" s="68"/>
      <c r="AW7430" s="68"/>
      <c r="AX7430" s="68"/>
      <c r="AY7430" s="68"/>
      <c r="AZ7430" s="68"/>
      <c r="BA7430" s="68"/>
      <c r="BB7430" s="68"/>
      <c r="BC7430" s="68"/>
      <c r="BD7430" s="68"/>
      <c r="BE7430" s="68"/>
      <c r="BF7430" s="68"/>
      <c r="BG7430" s="68"/>
      <c r="BH7430" s="68"/>
      <c r="BI7430" s="68"/>
      <c r="BJ7430" s="68"/>
      <c r="BK7430" s="68"/>
      <c r="BL7430" s="68"/>
    </row>
    <row r="7431" spans="1:64" ht="12" customHeight="1" x14ac:dyDescent="0.15">
      <c r="A7431" s="63" t="s">
        <v>42811</v>
      </c>
      <c r="B7431" s="99">
        <v>20</v>
      </c>
      <c r="C7431" s="10" t="s">
        <v>14</v>
      </c>
      <c r="D7431" s="10" t="s">
        <v>31</v>
      </c>
      <c r="E7431" s="62" t="s">
        <v>42812</v>
      </c>
      <c r="F7431" s="67">
        <v>41354</v>
      </c>
      <c r="G7431" s="10" t="s">
        <v>42941</v>
      </c>
      <c r="H7431" s="10" t="s">
        <v>5942</v>
      </c>
      <c r="I7431" s="10" t="s">
        <v>39</v>
      </c>
      <c r="J7431" s="65">
        <v>92649</v>
      </c>
      <c r="K7431" s="10" t="s">
        <v>998</v>
      </c>
      <c r="L7431" s="10" t="s">
        <v>5944</v>
      </c>
      <c r="M7431" s="10" t="s">
        <v>21</v>
      </c>
      <c r="N7431" s="10" t="s">
        <v>42813</v>
      </c>
      <c r="O7431" s="10" t="s">
        <v>507</v>
      </c>
      <c r="P7431" s="10" t="s">
        <v>30089</v>
      </c>
      <c r="Q7431" s="62" t="s">
        <v>42814</v>
      </c>
      <c r="R7431" s="10" t="s">
        <v>94</v>
      </c>
      <c r="S7431" s="10" t="s">
        <v>12</v>
      </c>
      <c r="T7431" s="10" t="s">
        <v>29425</v>
      </c>
      <c r="U7431" s="10"/>
      <c r="V7431" s="10"/>
      <c r="W7431" s="10"/>
      <c r="X7431" s="89"/>
      <c r="Y7431" s="68"/>
      <c r="Z7431" s="68" t="s">
        <v>42966</v>
      </c>
      <c r="AA7431" s="33">
        <v>235</v>
      </c>
      <c r="AG7431" s="68"/>
      <c r="AK7431" s="68"/>
      <c r="AL7431" s="68"/>
      <c r="AM7431" s="68"/>
      <c r="AN7431" s="68"/>
      <c r="AO7431" s="68"/>
      <c r="AP7431" s="68"/>
      <c r="AQ7431" s="68"/>
      <c r="AR7431" s="68"/>
      <c r="AS7431" s="68"/>
      <c r="AT7431" s="68"/>
      <c r="AU7431" s="68"/>
      <c r="AV7431" s="68"/>
      <c r="AW7431" s="68"/>
      <c r="AX7431" s="68"/>
      <c r="AY7431" s="68"/>
      <c r="AZ7431" s="68"/>
      <c r="BA7431" s="68"/>
      <c r="BB7431" s="68"/>
      <c r="BC7431" s="68"/>
      <c r="BD7431" s="68"/>
      <c r="BE7431" s="68"/>
      <c r="BF7431" s="68"/>
      <c r="BG7431" s="68"/>
      <c r="BH7431" s="68"/>
      <c r="BI7431" s="68"/>
      <c r="BJ7431" s="68"/>
      <c r="BK7431" s="68"/>
      <c r="BL7431" s="68"/>
    </row>
    <row r="7432" spans="1:64" ht="12" customHeight="1" x14ac:dyDescent="0.15">
      <c r="A7432" s="63" t="s">
        <v>42701</v>
      </c>
      <c r="B7432" s="99">
        <v>28</v>
      </c>
      <c r="C7432" s="10" t="s">
        <v>14</v>
      </c>
      <c r="D7432" s="10" t="s">
        <v>31</v>
      </c>
      <c r="E7432" s="62" t="s">
        <v>42702</v>
      </c>
      <c r="F7432" s="67">
        <v>41354</v>
      </c>
      <c r="G7432" s="10" t="s">
        <v>42703</v>
      </c>
      <c r="H7432" s="10" t="s">
        <v>974</v>
      </c>
      <c r="I7432" s="10" t="s">
        <v>67</v>
      </c>
      <c r="J7432" s="65">
        <v>76234</v>
      </c>
      <c r="K7432" s="10" t="s">
        <v>32287</v>
      </c>
      <c r="L7432" s="10" t="s">
        <v>42704</v>
      </c>
      <c r="M7432" s="10" t="s">
        <v>21</v>
      </c>
      <c r="N7432" s="10" t="s">
        <v>42705</v>
      </c>
      <c r="O7432" s="10" t="s">
        <v>507</v>
      </c>
      <c r="P7432" s="10" t="s">
        <v>30089</v>
      </c>
      <c r="Q7432" s="62" t="s">
        <v>42706</v>
      </c>
      <c r="R7432" s="10" t="s">
        <v>512</v>
      </c>
      <c r="S7432" s="10" t="s">
        <v>22</v>
      </c>
      <c r="T7432" s="10" t="s">
        <v>26781</v>
      </c>
      <c r="U7432" s="10"/>
      <c r="V7432" s="10"/>
      <c r="W7432" s="10"/>
      <c r="X7432" s="89"/>
      <c r="Y7432" s="68"/>
      <c r="Z7432" s="68" t="s">
        <v>42967</v>
      </c>
      <c r="AA7432" s="33">
        <v>234</v>
      </c>
      <c r="AG7432" s="68"/>
      <c r="AK7432" s="68"/>
      <c r="AL7432" s="68"/>
      <c r="AM7432" s="68"/>
      <c r="AN7432" s="68"/>
      <c r="AO7432" s="68"/>
      <c r="AP7432" s="68"/>
      <c r="AQ7432" s="68"/>
      <c r="AR7432" s="68"/>
      <c r="AS7432" s="68"/>
      <c r="AT7432" s="68"/>
      <c r="AU7432" s="68"/>
      <c r="AV7432" s="68"/>
      <c r="AW7432" s="68"/>
      <c r="AX7432" s="68"/>
      <c r="AY7432" s="68"/>
      <c r="AZ7432" s="68"/>
      <c r="BA7432" s="68"/>
      <c r="BB7432" s="68"/>
      <c r="BC7432" s="68"/>
      <c r="BD7432" s="68"/>
      <c r="BE7432" s="68"/>
      <c r="BF7432" s="68"/>
      <c r="BG7432" s="68"/>
      <c r="BH7432" s="68"/>
      <c r="BI7432" s="68"/>
      <c r="BJ7432" s="68"/>
      <c r="BK7432" s="68"/>
      <c r="BL7432" s="68"/>
    </row>
    <row r="7433" spans="1:64" ht="12" customHeight="1" x14ac:dyDescent="0.15">
      <c r="A7433" s="33" t="s">
        <v>15772</v>
      </c>
      <c r="B7433" s="33">
        <v>28</v>
      </c>
      <c r="C7433" s="33" t="s">
        <v>14</v>
      </c>
      <c r="D7433" s="33" t="s">
        <v>31</v>
      </c>
      <c r="E7433" s="33" t="s">
        <v>15773</v>
      </c>
      <c r="F7433" s="67">
        <v>41354</v>
      </c>
      <c r="G7433" s="33" t="s">
        <v>15774</v>
      </c>
      <c r="H7433" s="33" t="s">
        <v>15775</v>
      </c>
      <c r="I7433" s="33" t="s">
        <v>67</v>
      </c>
      <c r="J7433" s="33" t="s">
        <v>15776</v>
      </c>
      <c r="K7433" s="33" t="s">
        <v>15777</v>
      </c>
      <c r="L7433" s="33" t="s">
        <v>4359</v>
      </c>
      <c r="M7433" s="33" t="s">
        <v>21</v>
      </c>
      <c r="N7433" s="33" t="s">
        <v>15778</v>
      </c>
      <c r="O7433" s="33" t="s">
        <v>507</v>
      </c>
      <c r="P7433" s="33" t="s">
        <v>30089</v>
      </c>
      <c r="Q7433" s="40" t="s">
        <v>15779</v>
      </c>
      <c r="R7433" s="33" t="s">
        <v>94</v>
      </c>
      <c r="S7433" s="33" t="s">
        <v>22</v>
      </c>
      <c r="T7433" s="1" t="s">
        <v>26781</v>
      </c>
      <c r="Z7433" s="33" t="s">
        <v>42967</v>
      </c>
      <c r="AA7433" s="33">
        <v>231</v>
      </c>
    </row>
    <row r="7434" spans="1:64" ht="12" customHeight="1" x14ac:dyDescent="0.15">
      <c r="A7434" s="63" t="s">
        <v>42642</v>
      </c>
      <c r="B7434" s="99">
        <v>27</v>
      </c>
      <c r="C7434" s="10" t="s">
        <v>14</v>
      </c>
      <c r="D7434" s="10" t="s">
        <v>31</v>
      </c>
      <c r="E7434" s="62" t="s">
        <v>42643</v>
      </c>
      <c r="F7434" s="67">
        <v>41354</v>
      </c>
      <c r="G7434" s="10" t="s">
        <v>42644</v>
      </c>
      <c r="H7434" s="10" t="s">
        <v>42645</v>
      </c>
      <c r="I7434" s="10" t="s">
        <v>298</v>
      </c>
      <c r="J7434" s="65">
        <v>37804</v>
      </c>
      <c r="K7434" s="10" t="s">
        <v>5768</v>
      </c>
      <c r="L7434" s="10" t="s">
        <v>42646</v>
      </c>
      <c r="M7434" s="10" t="s">
        <v>21</v>
      </c>
      <c r="N7434" s="10" t="s">
        <v>42647</v>
      </c>
      <c r="O7434" s="10" t="s">
        <v>950</v>
      </c>
      <c r="P7434" s="10" t="s">
        <v>30089</v>
      </c>
      <c r="Q7434" s="62" t="s">
        <v>42648</v>
      </c>
      <c r="R7434" s="10" t="s">
        <v>23</v>
      </c>
      <c r="S7434" s="10" t="s">
        <v>22</v>
      </c>
      <c r="T7434" s="10" t="s">
        <v>26781</v>
      </c>
      <c r="U7434" s="10"/>
      <c r="V7434" s="10"/>
      <c r="W7434" s="10"/>
      <c r="X7434" s="89"/>
      <c r="Y7434" s="68"/>
      <c r="Z7434" s="68" t="s">
        <v>42968</v>
      </c>
      <c r="AA7434" s="33">
        <v>233</v>
      </c>
      <c r="AG7434" s="68"/>
      <c r="AK7434" s="68"/>
      <c r="AL7434" s="68"/>
      <c r="AM7434" s="68"/>
      <c r="AN7434" s="68"/>
      <c r="AO7434" s="68"/>
      <c r="AP7434" s="68"/>
      <c r="AQ7434" s="68"/>
      <c r="AR7434" s="68"/>
      <c r="AS7434" s="68"/>
      <c r="AT7434" s="68"/>
      <c r="AU7434" s="68"/>
      <c r="AV7434" s="68"/>
      <c r="AW7434" s="68"/>
      <c r="AX7434" s="68"/>
      <c r="AY7434" s="68"/>
      <c r="AZ7434" s="68"/>
      <c r="BA7434" s="68"/>
      <c r="BB7434" s="68"/>
      <c r="BC7434" s="68"/>
      <c r="BD7434" s="68"/>
      <c r="BE7434" s="68"/>
      <c r="BF7434" s="68"/>
      <c r="BG7434" s="68"/>
      <c r="BH7434" s="68"/>
      <c r="BI7434" s="68"/>
      <c r="BJ7434" s="68"/>
      <c r="BK7434" s="68"/>
      <c r="BL7434" s="68"/>
    </row>
    <row r="7435" spans="1:64" ht="12" customHeight="1" x14ac:dyDescent="0.15">
      <c r="A7435" s="33" t="s">
        <v>15780</v>
      </c>
      <c r="B7435" s="103">
        <v>45</v>
      </c>
      <c r="C7435" s="33" t="s">
        <v>14</v>
      </c>
      <c r="D7435" s="33" t="s">
        <v>79</v>
      </c>
      <c r="E7435" s="33" t="s">
        <v>15781</v>
      </c>
      <c r="F7435" s="67">
        <v>41353</v>
      </c>
      <c r="G7435" s="33" t="s">
        <v>22335</v>
      </c>
      <c r="H7435" s="33" t="s">
        <v>1678</v>
      </c>
      <c r="I7435" s="33" t="s">
        <v>198</v>
      </c>
      <c r="J7435" s="33" t="s">
        <v>15378</v>
      </c>
      <c r="K7435" s="33" t="s">
        <v>1680</v>
      </c>
      <c r="L7435" s="33" t="s">
        <v>1681</v>
      </c>
      <c r="M7435" s="33" t="s">
        <v>21</v>
      </c>
      <c r="N7435" s="33" t="s">
        <v>15782</v>
      </c>
      <c r="O7435" s="33" t="s">
        <v>23</v>
      </c>
      <c r="P7435" s="33" t="s">
        <v>30089</v>
      </c>
      <c r="Q7435" s="40" t="s">
        <v>15783</v>
      </c>
      <c r="R7435" s="33" t="s">
        <v>94</v>
      </c>
      <c r="S7435" s="33" t="s">
        <v>22</v>
      </c>
      <c r="T7435" s="1" t="s">
        <v>26781</v>
      </c>
      <c r="Z7435" s="33" t="s">
        <v>42966</v>
      </c>
      <c r="AA7435" s="33">
        <v>230</v>
      </c>
    </row>
    <row r="7436" spans="1:64" ht="12" customHeight="1" x14ac:dyDescent="0.15">
      <c r="A7436" s="33" t="s">
        <v>15793</v>
      </c>
      <c r="B7436" s="103">
        <v>35</v>
      </c>
      <c r="C7436" s="33" t="s">
        <v>14</v>
      </c>
      <c r="D7436" s="33" t="s">
        <v>24</v>
      </c>
      <c r="F7436" s="67">
        <v>41352</v>
      </c>
      <c r="G7436" s="33" t="s">
        <v>15794</v>
      </c>
      <c r="H7436" s="33" t="s">
        <v>15795</v>
      </c>
      <c r="I7436" s="33" t="s">
        <v>88</v>
      </c>
      <c r="J7436" s="33">
        <v>36022</v>
      </c>
      <c r="K7436" s="33" t="s">
        <v>3736</v>
      </c>
      <c r="L7436" s="33" t="s">
        <v>15796</v>
      </c>
      <c r="M7436" s="33" t="s">
        <v>21</v>
      </c>
      <c r="N7436" s="33" t="s">
        <v>15797</v>
      </c>
      <c r="O7436" s="33" t="s">
        <v>507</v>
      </c>
      <c r="P7436" s="33" t="s">
        <v>30089</v>
      </c>
      <c r="Q7436" s="40" t="s">
        <v>15798</v>
      </c>
      <c r="R7436" s="33" t="s">
        <v>94</v>
      </c>
      <c r="S7436" s="33" t="s">
        <v>22</v>
      </c>
      <c r="T7436" s="1" t="s">
        <v>26781</v>
      </c>
      <c r="Z7436" s="33" t="s">
        <v>42967</v>
      </c>
      <c r="AA7436" s="33">
        <v>225</v>
      </c>
    </row>
    <row r="7437" spans="1:64" ht="12" customHeight="1" x14ac:dyDescent="0.15">
      <c r="A7437" s="63" t="s">
        <v>42895</v>
      </c>
      <c r="B7437" s="99">
        <v>27</v>
      </c>
      <c r="C7437" s="10" t="s">
        <v>14</v>
      </c>
      <c r="D7437" s="10" t="s">
        <v>24</v>
      </c>
      <c r="E7437" s="10"/>
      <c r="F7437" s="67">
        <v>41352</v>
      </c>
      <c r="G7437" s="10" t="s">
        <v>42896</v>
      </c>
      <c r="H7437" s="10" t="s">
        <v>42897</v>
      </c>
      <c r="I7437" s="10" t="s">
        <v>38</v>
      </c>
      <c r="J7437" s="65">
        <v>60429</v>
      </c>
      <c r="K7437" s="10" t="s">
        <v>82</v>
      </c>
      <c r="L7437" s="10" t="s">
        <v>83</v>
      </c>
      <c r="M7437" s="10" t="s">
        <v>21</v>
      </c>
      <c r="N7437" s="10" t="s">
        <v>42898</v>
      </c>
      <c r="O7437" s="10" t="s">
        <v>372</v>
      </c>
      <c r="P7437" s="10" t="s">
        <v>30089</v>
      </c>
      <c r="Q7437" s="62" t="s">
        <v>42899</v>
      </c>
      <c r="R7437" s="10" t="s">
        <v>94</v>
      </c>
      <c r="S7437" s="10" t="s">
        <v>351</v>
      </c>
      <c r="T7437" s="10" t="s">
        <v>26867</v>
      </c>
      <c r="U7437" s="10"/>
      <c r="V7437" s="10"/>
      <c r="W7437" s="10"/>
      <c r="X7437" s="89"/>
      <c r="Y7437" s="68"/>
      <c r="Z7437" s="68" t="s">
        <v>42968</v>
      </c>
      <c r="AA7437" s="33">
        <v>229</v>
      </c>
      <c r="AG7437" s="68"/>
      <c r="AK7437" s="68"/>
      <c r="AL7437" s="68"/>
      <c r="AM7437" s="68"/>
      <c r="AN7437" s="68"/>
      <c r="AO7437" s="68"/>
      <c r="AP7437" s="68"/>
      <c r="AQ7437" s="68"/>
      <c r="AR7437" s="68"/>
      <c r="AS7437" s="68"/>
      <c r="AT7437" s="68"/>
      <c r="AU7437" s="68"/>
      <c r="AV7437" s="68"/>
      <c r="AW7437" s="68"/>
      <c r="AX7437" s="68"/>
      <c r="AY7437" s="68"/>
      <c r="AZ7437" s="68"/>
      <c r="BA7437" s="68"/>
      <c r="BB7437" s="68"/>
      <c r="BC7437" s="68"/>
      <c r="BD7437" s="68"/>
      <c r="BE7437" s="68"/>
      <c r="BF7437" s="68"/>
      <c r="BG7437" s="68"/>
      <c r="BH7437" s="68"/>
      <c r="BI7437" s="68"/>
      <c r="BJ7437" s="68"/>
      <c r="BK7437" s="68"/>
      <c r="BL7437" s="68"/>
    </row>
    <row r="7438" spans="1:64" ht="12" customHeight="1" x14ac:dyDescent="0.15">
      <c r="A7438" s="33" t="s">
        <v>15784</v>
      </c>
      <c r="B7438" s="103">
        <v>37</v>
      </c>
      <c r="C7438" s="33" t="s">
        <v>14</v>
      </c>
      <c r="D7438" s="33" t="s">
        <v>42</v>
      </c>
      <c r="F7438" s="67">
        <v>41352</v>
      </c>
      <c r="G7438" s="33" t="s">
        <v>15785</v>
      </c>
      <c r="H7438" s="33" t="s">
        <v>220</v>
      </c>
      <c r="I7438" s="33" t="s">
        <v>221</v>
      </c>
      <c r="J7438" s="33" t="s">
        <v>9363</v>
      </c>
      <c r="K7438" s="33" t="s">
        <v>564</v>
      </c>
      <c r="L7438" s="33" t="s">
        <v>15786</v>
      </c>
      <c r="M7438" s="33" t="s">
        <v>21</v>
      </c>
      <c r="N7438" s="33" t="s">
        <v>15787</v>
      </c>
      <c r="O7438" s="33" t="s">
        <v>507</v>
      </c>
      <c r="P7438" s="33" t="s">
        <v>30089</v>
      </c>
      <c r="Q7438" s="40" t="s">
        <v>15788</v>
      </c>
      <c r="R7438" s="33" t="s">
        <v>94</v>
      </c>
      <c r="S7438" s="33" t="s">
        <v>22</v>
      </c>
      <c r="T7438" s="1" t="s">
        <v>26781</v>
      </c>
      <c r="Z7438" s="33" t="s">
        <v>42966</v>
      </c>
      <c r="AA7438" s="33">
        <v>224</v>
      </c>
    </row>
    <row r="7439" spans="1:64" ht="12" customHeight="1" x14ac:dyDescent="0.15">
      <c r="A7439" s="63" t="s">
        <v>42796</v>
      </c>
      <c r="B7439" s="99">
        <v>42</v>
      </c>
      <c r="C7439" s="10" t="s">
        <v>14</v>
      </c>
      <c r="D7439" s="10" t="s">
        <v>79</v>
      </c>
      <c r="E7439" s="62" t="s">
        <v>42797</v>
      </c>
      <c r="F7439" s="67">
        <v>41352</v>
      </c>
      <c r="G7439" s="10" t="s">
        <v>42798</v>
      </c>
      <c r="H7439" s="10" t="s">
        <v>40286</v>
      </c>
      <c r="I7439" s="10" t="s">
        <v>26</v>
      </c>
      <c r="J7439" s="65">
        <v>29115</v>
      </c>
      <c r="K7439" s="10" t="s">
        <v>40286</v>
      </c>
      <c r="L7439" s="70" t="s">
        <v>40287</v>
      </c>
      <c r="M7439" s="10" t="s">
        <v>21</v>
      </c>
      <c r="N7439" s="10" t="s">
        <v>42799</v>
      </c>
      <c r="O7439" s="10" t="s">
        <v>507</v>
      </c>
      <c r="P7439" s="10" t="s">
        <v>30089</v>
      </c>
      <c r="Q7439" s="62" t="s">
        <v>42800</v>
      </c>
      <c r="R7439" s="10" t="s">
        <v>512</v>
      </c>
      <c r="S7439" s="10" t="s">
        <v>29</v>
      </c>
      <c r="T7439" s="10" t="s">
        <v>26604</v>
      </c>
      <c r="U7439" s="10"/>
      <c r="V7439" s="10"/>
      <c r="W7439" s="69"/>
      <c r="X7439" s="89"/>
      <c r="Y7439" s="68"/>
      <c r="Z7439" s="68" t="s">
        <v>42967</v>
      </c>
      <c r="AA7439" s="33">
        <v>227</v>
      </c>
      <c r="AG7439" s="68"/>
      <c r="AK7439" s="68"/>
      <c r="AL7439" s="68"/>
      <c r="AM7439" s="68"/>
      <c r="AN7439" s="68"/>
      <c r="AO7439" s="68"/>
      <c r="AP7439" s="68"/>
      <c r="AQ7439" s="68"/>
      <c r="AR7439" s="68"/>
      <c r="AS7439" s="68"/>
      <c r="AT7439" s="68"/>
      <c r="AU7439" s="68"/>
      <c r="AV7439" s="68"/>
      <c r="AW7439" s="68"/>
      <c r="AX7439" s="68"/>
      <c r="AY7439" s="68"/>
      <c r="AZ7439" s="68"/>
      <c r="BA7439" s="68"/>
      <c r="BB7439" s="68"/>
      <c r="BC7439" s="68"/>
      <c r="BD7439" s="68"/>
      <c r="BE7439" s="68"/>
      <c r="BF7439" s="68"/>
      <c r="BG7439" s="68"/>
      <c r="BH7439" s="68"/>
      <c r="BI7439" s="68"/>
      <c r="BJ7439" s="68"/>
      <c r="BK7439" s="68"/>
      <c r="BL7439" s="68"/>
    </row>
    <row r="7440" spans="1:64" ht="12" customHeight="1" x14ac:dyDescent="0.15">
      <c r="A7440" s="33" t="s">
        <v>15789</v>
      </c>
      <c r="B7440" s="103">
        <v>21</v>
      </c>
      <c r="C7440" s="33" t="s">
        <v>14</v>
      </c>
      <c r="D7440" s="33" t="s">
        <v>24</v>
      </c>
      <c r="F7440" s="67">
        <v>41352</v>
      </c>
      <c r="G7440" s="33" t="s">
        <v>15790</v>
      </c>
      <c r="H7440" s="33" t="s">
        <v>866</v>
      </c>
      <c r="I7440" s="33" t="s">
        <v>178</v>
      </c>
      <c r="J7440" s="33" t="s">
        <v>15791</v>
      </c>
      <c r="K7440" s="33" t="s">
        <v>433</v>
      </c>
      <c r="L7440" s="33" t="s">
        <v>2847</v>
      </c>
      <c r="M7440" s="33" t="s">
        <v>21</v>
      </c>
      <c r="N7440" s="33" t="s">
        <v>15792</v>
      </c>
      <c r="O7440" s="33" t="s">
        <v>23</v>
      </c>
      <c r="P7440" s="33" t="s">
        <v>30089</v>
      </c>
      <c r="Q7440" s="40" t="s">
        <v>9174</v>
      </c>
      <c r="R7440" s="33" t="s">
        <v>94</v>
      </c>
      <c r="S7440" s="33" t="s">
        <v>22</v>
      </c>
      <c r="T7440" s="1" t="s">
        <v>26781</v>
      </c>
      <c r="Z7440" s="33" t="s">
        <v>42966</v>
      </c>
      <c r="AA7440" s="33">
        <v>226</v>
      </c>
    </row>
    <row r="7441" spans="1:64" ht="12" customHeight="1" x14ac:dyDescent="0.15">
      <c r="A7441" s="63" t="s">
        <v>42819</v>
      </c>
      <c r="B7441" s="99">
        <v>39</v>
      </c>
      <c r="C7441" s="10" t="s">
        <v>14</v>
      </c>
      <c r="D7441" s="10" t="s">
        <v>42</v>
      </c>
      <c r="E7441" s="62" t="s">
        <v>42820</v>
      </c>
      <c r="F7441" s="67">
        <v>41352</v>
      </c>
      <c r="G7441" s="10" t="s">
        <v>42821</v>
      </c>
      <c r="H7441" s="10" t="s">
        <v>92</v>
      </c>
      <c r="I7441" s="10" t="s">
        <v>39</v>
      </c>
      <c r="J7441" s="65">
        <v>90026</v>
      </c>
      <c r="K7441" s="10" t="s">
        <v>92</v>
      </c>
      <c r="L7441" s="10" t="s">
        <v>93</v>
      </c>
      <c r="M7441" s="10" t="s">
        <v>21</v>
      </c>
      <c r="N7441" s="10" t="s">
        <v>42822</v>
      </c>
      <c r="O7441" s="10" t="s">
        <v>950</v>
      </c>
      <c r="P7441" s="10" t="s">
        <v>30089</v>
      </c>
      <c r="Q7441" s="62" t="s">
        <v>42823</v>
      </c>
      <c r="R7441" s="10" t="s">
        <v>94</v>
      </c>
      <c r="S7441" s="10" t="s">
        <v>12</v>
      </c>
      <c r="T7441" s="10" t="s">
        <v>29705</v>
      </c>
      <c r="U7441" s="10"/>
      <c r="V7441" s="10"/>
      <c r="W7441" s="10"/>
      <c r="X7441" s="89"/>
      <c r="Y7441" s="68"/>
      <c r="Z7441" s="68" t="s">
        <v>42966</v>
      </c>
      <c r="AA7441" s="33">
        <v>228</v>
      </c>
      <c r="AG7441" s="68"/>
      <c r="AK7441" s="68"/>
      <c r="AL7441" s="68"/>
      <c r="AM7441" s="68"/>
      <c r="AN7441" s="68"/>
      <c r="AO7441" s="68"/>
      <c r="AP7441" s="68"/>
      <c r="AQ7441" s="68"/>
      <c r="AR7441" s="68"/>
      <c r="AS7441" s="68"/>
      <c r="AT7441" s="68"/>
      <c r="AU7441" s="68"/>
      <c r="AV7441" s="68"/>
      <c r="AW7441" s="68"/>
      <c r="AX7441" s="68"/>
      <c r="AY7441" s="68"/>
      <c r="AZ7441" s="68"/>
      <c r="BA7441" s="68"/>
      <c r="BB7441" s="68"/>
      <c r="BC7441" s="68"/>
      <c r="BD7441" s="68"/>
      <c r="BE7441" s="68"/>
      <c r="BF7441" s="68"/>
      <c r="BG7441" s="68"/>
      <c r="BH7441" s="68"/>
      <c r="BI7441" s="68"/>
      <c r="BJ7441" s="68"/>
      <c r="BK7441" s="68"/>
      <c r="BL7441" s="68"/>
    </row>
    <row r="7442" spans="1:64" ht="12" customHeight="1" x14ac:dyDescent="0.15">
      <c r="A7442" s="63" t="s">
        <v>42690</v>
      </c>
      <c r="B7442" s="99">
        <v>32</v>
      </c>
      <c r="C7442" s="10" t="s">
        <v>14</v>
      </c>
      <c r="D7442" s="10" t="s">
        <v>42</v>
      </c>
      <c r="E7442" s="10"/>
      <c r="F7442" s="67">
        <v>41351</v>
      </c>
      <c r="G7442" s="10" t="s">
        <v>42933</v>
      </c>
      <c r="H7442" s="10" t="s">
        <v>674</v>
      </c>
      <c r="I7442" s="10" t="s">
        <v>67</v>
      </c>
      <c r="J7442" s="65">
        <v>77037</v>
      </c>
      <c r="K7442" s="10" t="s">
        <v>515</v>
      </c>
      <c r="L7442" s="10" t="s">
        <v>675</v>
      </c>
      <c r="M7442" s="10" t="s">
        <v>21</v>
      </c>
      <c r="N7442" s="10" t="s">
        <v>42691</v>
      </c>
      <c r="O7442" s="10" t="s">
        <v>42518</v>
      </c>
      <c r="P7442" s="10" t="s">
        <v>30089</v>
      </c>
      <c r="Q7442" s="62" t="s">
        <v>42692</v>
      </c>
      <c r="R7442" s="10" t="s">
        <v>94</v>
      </c>
      <c r="S7442" s="10" t="s">
        <v>22</v>
      </c>
      <c r="T7442" s="1" t="s">
        <v>26781</v>
      </c>
      <c r="U7442" s="10"/>
      <c r="V7442" s="10"/>
      <c r="W7442" s="10"/>
      <c r="X7442" s="89"/>
      <c r="Y7442" s="68"/>
      <c r="Z7442" s="68" t="s">
        <v>42968</v>
      </c>
      <c r="AA7442" s="33">
        <v>221</v>
      </c>
      <c r="AG7442" s="68"/>
      <c r="AK7442" s="68"/>
      <c r="AL7442" s="68"/>
      <c r="AM7442" s="68"/>
      <c r="AN7442" s="68"/>
      <c r="AO7442" s="68"/>
      <c r="AP7442" s="68"/>
      <c r="AQ7442" s="68"/>
      <c r="AR7442" s="68"/>
      <c r="AS7442" s="68"/>
      <c r="AT7442" s="68"/>
      <c r="AU7442" s="68"/>
      <c r="AV7442" s="68"/>
      <c r="AW7442" s="68"/>
      <c r="AX7442" s="68"/>
      <c r="AY7442" s="68"/>
      <c r="AZ7442" s="68"/>
      <c r="BA7442" s="68"/>
      <c r="BB7442" s="68"/>
      <c r="BC7442" s="68"/>
      <c r="BD7442" s="68"/>
      <c r="BE7442" s="68"/>
      <c r="BF7442" s="68"/>
      <c r="BG7442" s="68"/>
      <c r="BH7442" s="68"/>
      <c r="BI7442" s="68"/>
      <c r="BJ7442" s="68"/>
      <c r="BK7442" s="68"/>
      <c r="BL7442" s="68"/>
    </row>
    <row r="7443" spans="1:64" ht="12" customHeight="1" x14ac:dyDescent="0.15">
      <c r="A7443" s="33" t="s">
        <v>15799</v>
      </c>
      <c r="B7443" s="103">
        <v>27</v>
      </c>
      <c r="C7443" s="33" t="s">
        <v>14</v>
      </c>
      <c r="D7443" s="33" t="s">
        <v>42</v>
      </c>
      <c r="E7443" s="33" t="s">
        <v>15800</v>
      </c>
      <c r="F7443" s="67">
        <v>41351</v>
      </c>
      <c r="G7443" s="33" t="s">
        <v>22336</v>
      </c>
      <c r="H7443" s="33" t="s">
        <v>560</v>
      </c>
      <c r="I7443" s="33" t="s">
        <v>39</v>
      </c>
      <c r="J7443" s="33" t="s">
        <v>15801</v>
      </c>
      <c r="K7443" s="33" t="s">
        <v>561</v>
      </c>
      <c r="L7443" s="33" t="s">
        <v>678</v>
      </c>
      <c r="M7443" s="33" t="s">
        <v>21</v>
      </c>
      <c r="N7443" s="33" t="s">
        <v>15802</v>
      </c>
      <c r="O7443" s="33" t="s">
        <v>507</v>
      </c>
      <c r="P7443" s="33" t="s">
        <v>30089</v>
      </c>
      <c r="Q7443" s="40" t="s">
        <v>15803</v>
      </c>
      <c r="R7443" s="33" t="s">
        <v>94</v>
      </c>
      <c r="S7443" s="33" t="s">
        <v>351</v>
      </c>
      <c r="T7443" s="1" t="s">
        <v>26867</v>
      </c>
      <c r="Z7443" s="33" t="s">
        <v>42968</v>
      </c>
      <c r="AA7443" s="33">
        <v>223</v>
      </c>
    </row>
    <row r="7444" spans="1:64" ht="12" customHeight="1" x14ac:dyDescent="0.15">
      <c r="A7444" s="63" t="s">
        <v>42858</v>
      </c>
      <c r="B7444" s="99">
        <v>30</v>
      </c>
      <c r="C7444" s="10" t="s">
        <v>14</v>
      </c>
      <c r="D7444" s="10" t="s">
        <v>79</v>
      </c>
      <c r="E7444" s="62" t="s">
        <v>42859</v>
      </c>
      <c r="F7444" s="67">
        <v>41351</v>
      </c>
      <c r="G7444" s="10" t="s">
        <v>42945</v>
      </c>
      <c r="H7444" s="10" t="s">
        <v>743</v>
      </c>
      <c r="I7444" s="10" t="s">
        <v>67</v>
      </c>
      <c r="J7444" s="65">
        <v>76707</v>
      </c>
      <c r="K7444" s="10" t="s">
        <v>744</v>
      </c>
      <c r="L7444" s="10" t="s">
        <v>5161</v>
      </c>
      <c r="M7444" s="10" t="s">
        <v>21</v>
      </c>
      <c r="N7444" s="10" t="s">
        <v>42860</v>
      </c>
      <c r="O7444" s="10" t="s">
        <v>507</v>
      </c>
      <c r="P7444" s="10" t="s">
        <v>30089</v>
      </c>
      <c r="Q7444" s="62" t="s">
        <v>42861</v>
      </c>
      <c r="R7444" s="10" t="s">
        <v>94</v>
      </c>
      <c r="S7444" s="10" t="s">
        <v>29</v>
      </c>
      <c r="T7444" s="10" t="s">
        <v>41840</v>
      </c>
      <c r="U7444" s="10"/>
      <c r="V7444" s="10"/>
      <c r="W7444" s="10"/>
      <c r="X7444" s="89"/>
      <c r="Y7444" s="68"/>
      <c r="Z7444" s="68" t="s">
        <v>42966</v>
      </c>
      <c r="AA7444" s="33">
        <v>222</v>
      </c>
      <c r="AG7444" s="68"/>
      <c r="AK7444" s="68"/>
      <c r="AL7444" s="68"/>
      <c r="AM7444" s="68"/>
      <c r="AN7444" s="68"/>
      <c r="AO7444" s="68"/>
      <c r="AP7444" s="68"/>
      <c r="AQ7444" s="68"/>
      <c r="AR7444" s="68"/>
      <c r="AS7444" s="68"/>
      <c r="AT7444" s="68"/>
      <c r="AU7444" s="68"/>
      <c r="AV7444" s="68"/>
      <c r="AW7444" s="68"/>
      <c r="AX7444" s="68"/>
      <c r="AY7444" s="68"/>
      <c r="AZ7444" s="68"/>
      <c r="BA7444" s="68"/>
      <c r="BB7444" s="68"/>
      <c r="BC7444" s="68"/>
      <c r="BD7444" s="68"/>
      <c r="BE7444" s="68"/>
      <c r="BF7444" s="68"/>
      <c r="BG7444" s="68"/>
      <c r="BH7444" s="68"/>
      <c r="BI7444" s="68"/>
      <c r="BJ7444" s="68"/>
      <c r="BK7444" s="68"/>
      <c r="BL7444" s="68"/>
    </row>
    <row r="7445" spans="1:64" ht="12" customHeight="1" x14ac:dyDescent="0.15">
      <c r="A7445" s="63" t="s">
        <v>42634</v>
      </c>
      <c r="B7445" s="99">
        <v>46</v>
      </c>
      <c r="C7445" s="10" t="s">
        <v>14</v>
      </c>
      <c r="D7445" s="10" t="s">
        <v>31</v>
      </c>
      <c r="E7445" s="10"/>
      <c r="F7445" s="67">
        <v>41350</v>
      </c>
      <c r="G7445" s="10" t="s">
        <v>42635</v>
      </c>
      <c r="H7445" s="10" t="s">
        <v>584</v>
      </c>
      <c r="I7445" s="10" t="s">
        <v>112</v>
      </c>
      <c r="J7445" s="65">
        <v>85034</v>
      </c>
      <c r="K7445" s="10" t="s">
        <v>585</v>
      </c>
      <c r="L7445" s="10" t="s">
        <v>586</v>
      </c>
      <c r="M7445" s="10" t="s">
        <v>21</v>
      </c>
      <c r="N7445" s="10" t="s">
        <v>42636</v>
      </c>
      <c r="O7445" s="10" t="s">
        <v>950</v>
      </c>
      <c r="P7445" s="10" t="s">
        <v>30089</v>
      </c>
      <c r="Q7445" s="62" t="s">
        <v>42637</v>
      </c>
      <c r="R7445" s="10" t="s">
        <v>23</v>
      </c>
      <c r="S7445" s="10" t="s">
        <v>22</v>
      </c>
      <c r="T7445" s="10" t="s">
        <v>26781</v>
      </c>
      <c r="U7445" s="10"/>
      <c r="V7445" s="10"/>
      <c r="W7445" s="10"/>
      <c r="X7445" s="89"/>
      <c r="Y7445" s="68"/>
      <c r="Z7445" s="68" t="s">
        <v>42966</v>
      </c>
      <c r="AA7445" s="33">
        <v>220</v>
      </c>
      <c r="AG7445" s="68"/>
      <c r="AK7445" s="68"/>
      <c r="AL7445" s="68"/>
      <c r="AM7445" s="68"/>
      <c r="AN7445" s="68"/>
      <c r="AO7445" s="68"/>
      <c r="AP7445" s="68"/>
      <c r="AQ7445" s="68"/>
      <c r="AR7445" s="68"/>
      <c r="AS7445" s="68"/>
      <c r="AT7445" s="68"/>
      <c r="AU7445" s="68"/>
      <c r="AV7445" s="68"/>
      <c r="AW7445" s="68"/>
      <c r="AX7445" s="68"/>
      <c r="AY7445" s="68"/>
      <c r="AZ7445" s="68"/>
      <c r="BA7445" s="68"/>
      <c r="BB7445" s="68"/>
      <c r="BC7445" s="68"/>
      <c r="BD7445" s="68"/>
      <c r="BE7445" s="68"/>
      <c r="BF7445" s="68"/>
      <c r="BG7445" s="68"/>
      <c r="BH7445" s="68"/>
      <c r="BI7445" s="68"/>
      <c r="BJ7445" s="68"/>
      <c r="BK7445" s="68"/>
      <c r="BL7445" s="68"/>
    </row>
    <row r="7446" spans="1:64" ht="12" customHeight="1" x14ac:dyDescent="0.15">
      <c r="A7446" s="33" t="s">
        <v>15804</v>
      </c>
      <c r="B7446" s="33">
        <v>22</v>
      </c>
      <c r="C7446" s="33" t="s">
        <v>14</v>
      </c>
      <c r="D7446" s="33" t="s">
        <v>79</v>
      </c>
      <c r="E7446" s="33" t="s">
        <v>15805</v>
      </c>
      <c r="F7446" s="67">
        <v>41350</v>
      </c>
      <c r="G7446" s="33" t="s">
        <v>15806</v>
      </c>
      <c r="H7446" s="33" t="s">
        <v>15807</v>
      </c>
      <c r="I7446" s="33" t="s">
        <v>63</v>
      </c>
      <c r="J7446" s="33" t="s">
        <v>15808</v>
      </c>
      <c r="K7446" s="33" t="s">
        <v>95</v>
      </c>
      <c r="L7446" s="33" t="s">
        <v>15809</v>
      </c>
      <c r="M7446" s="33" t="s">
        <v>21</v>
      </c>
      <c r="N7446" s="33" t="s">
        <v>15810</v>
      </c>
      <c r="O7446" s="33" t="s">
        <v>507</v>
      </c>
      <c r="P7446" s="33" t="s">
        <v>30089</v>
      </c>
      <c r="Q7446" s="40" t="s">
        <v>15811</v>
      </c>
      <c r="R7446" s="33" t="s">
        <v>94</v>
      </c>
      <c r="S7446" s="33" t="s">
        <v>22</v>
      </c>
      <c r="T7446" s="1" t="s">
        <v>26781</v>
      </c>
      <c r="Z7446" s="33" t="s">
        <v>42968</v>
      </c>
      <c r="AA7446" s="33">
        <v>219</v>
      </c>
    </row>
    <row r="7447" spans="1:64" ht="12" customHeight="1" x14ac:dyDescent="0.15">
      <c r="A7447" s="63" t="s">
        <v>42698</v>
      </c>
      <c r="B7447" s="99">
        <v>26</v>
      </c>
      <c r="C7447" s="10" t="s">
        <v>14</v>
      </c>
      <c r="D7447" s="10" t="s">
        <v>42</v>
      </c>
      <c r="E7447" s="10"/>
      <c r="F7447" s="67">
        <v>41349</v>
      </c>
      <c r="G7447" s="10" t="s">
        <v>42934</v>
      </c>
      <c r="H7447" s="10" t="s">
        <v>81</v>
      </c>
      <c r="I7447" s="10" t="s">
        <v>38</v>
      </c>
      <c r="J7447" s="65">
        <v>60625</v>
      </c>
      <c r="K7447" s="10" t="s">
        <v>82</v>
      </c>
      <c r="L7447" s="10" t="s">
        <v>83</v>
      </c>
      <c r="M7447" s="10" t="s">
        <v>21</v>
      </c>
      <c r="N7447" s="10" t="s">
        <v>42699</v>
      </c>
      <c r="O7447" s="10" t="s">
        <v>507</v>
      </c>
      <c r="P7447" s="10" t="s">
        <v>30089</v>
      </c>
      <c r="Q7447" s="62" t="s">
        <v>42700</v>
      </c>
      <c r="R7447" s="10" t="s">
        <v>23</v>
      </c>
      <c r="S7447" s="10" t="s">
        <v>22</v>
      </c>
      <c r="T7447" s="10" t="s">
        <v>26781</v>
      </c>
      <c r="U7447" s="10"/>
      <c r="V7447" s="10"/>
      <c r="W7447" s="10"/>
      <c r="X7447" s="89"/>
      <c r="Y7447" s="68"/>
      <c r="Z7447" s="68" t="s">
        <v>42966</v>
      </c>
      <c r="AA7447" s="33">
        <v>217</v>
      </c>
      <c r="AG7447" s="68"/>
      <c r="AK7447" s="68"/>
      <c r="AL7447" s="68"/>
      <c r="AM7447" s="68"/>
      <c r="AN7447" s="68"/>
      <c r="AO7447" s="68"/>
      <c r="AP7447" s="68"/>
      <c r="AQ7447" s="68"/>
      <c r="AR7447" s="68"/>
      <c r="AS7447" s="68"/>
      <c r="AT7447" s="68"/>
      <c r="AU7447" s="68"/>
      <c r="AV7447" s="68"/>
      <c r="AW7447" s="68"/>
      <c r="AX7447" s="68"/>
      <c r="AY7447" s="68"/>
      <c r="AZ7447" s="68"/>
      <c r="BA7447" s="68"/>
      <c r="BB7447" s="68"/>
      <c r="BC7447" s="68"/>
      <c r="BD7447" s="68"/>
      <c r="BE7447" s="68"/>
      <c r="BF7447" s="68"/>
      <c r="BG7447" s="68"/>
      <c r="BH7447" s="68"/>
      <c r="BI7447" s="68"/>
      <c r="BJ7447" s="68"/>
      <c r="BK7447" s="68"/>
      <c r="BL7447" s="68"/>
    </row>
    <row r="7448" spans="1:64" ht="12" customHeight="1" x14ac:dyDescent="0.15">
      <c r="A7448" s="63" t="s">
        <v>42905</v>
      </c>
      <c r="B7448" s="99">
        <v>50</v>
      </c>
      <c r="C7448" s="10" t="s">
        <v>14</v>
      </c>
      <c r="D7448" s="10" t="s">
        <v>24</v>
      </c>
      <c r="E7448" s="10"/>
      <c r="F7448" s="67">
        <v>41349</v>
      </c>
      <c r="G7448" s="10" t="s">
        <v>42947</v>
      </c>
      <c r="H7448" s="10" t="s">
        <v>447</v>
      </c>
      <c r="I7448" s="10" t="s">
        <v>39</v>
      </c>
      <c r="J7448" s="65">
        <v>91761</v>
      </c>
      <c r="K7448" s="10" t="s">
        <v>288</v>
      </c>
      <c r="L7448" s="10" t="s">
        <v>32215</v>
      </c>
      <c r="M7448" s="10" t="s">
        <v>21</v>
      </c>
      <c r="N7448" s="10" t="s">
        <v>42906</v>
      </c>
      <c r="O7448" s="10" t="s">
        <v>950</v>
      </c>
      <c r="P7448" s="10" t="s">
        <v>30089</v>
      </c>
      <c r="Q7448" s="62" t="s">
        <v>42907</v>
      </c>
      <c r="R7448" s="10" t="s">
        <v>23</v>
      </c>
      <c r="S7448" s="10" t="s">
        <v>351</v>
      </c>
      <c r="T7448" s="10" t="s">
        <v>26867</v>
      </c>
      <c r="U7448" s="10"/>
      <c r="V7448" s="10"/>
      <c r="W7448" s="10"/>
      <c r="X7448" s="89"/>
      <c r="Y7448" s="68"/>
      <c r="Z7448" s="68" t="s">
        <v>42966</v>
      </c>
      <c r="AA7448" s="33">
        <v>218</v>
      </c>
      <c r="AG7448" s="68"/>
      <c r="AK7448" s="68"/>
      <c r="AL7448" s="68"/>
      <c r="AM7448" s="68"/>
      <c r="AN7448" s="68"/>
      <c r="AO7448" s="68"/>
      <c r="AP7448" s="68"/>
      <c r="AQ7448" s="68"/>
      <c r="AR7448" s="68"/>
      <c r="AS7448" s="68"/>
      <c r="AT7448" s="68"/>
      <c r="AU7448" s="68"/>
      <c r="AV7448" s="68"/>
      <c r="AW7448" s="68"/>
      <c r="AX7448" s="68"/>
      <c r="AY7448" s="68"/>
      <c r="AZ7448" s="68"/>
      <c r="BA7448" s="68"/>
      <c r="BB7448" s="68"/>
      <c r="BC7448" s="68"/>
      <c r="BD7448" s="68"/>
      <c r="BE7448" s="68"/>
      <c r="BF7448" s="68"/>
      <c r="BG7448" s="68"/>
      <c r="BH7448" s="68"/>
      <c r="BI7448" s="68"/>
      <c r="BJ7448" s="68"/>
      <c r="BK7448" s="68"/>
      <c r="BL7448" s="68"/>
    </row>
    <row r="7449" spans="1:64" ht="12" customHeight="1" x14ac:dyDescent="0.15">
      <c r="A7449" s="33" t="s">
        <v>15812</v>
      </c>
      <c r="B7449" s="33">
        <v>28</v>
      </c>
      <c r="C7449" s="33" t="s">
        <v>103</v>
      </c>
      <c r="D7449" s="33" t="s">
        <v>42</v>
      </c>
      <c r="F7449" s="67">
        <v>41349</v>
      </c>
      <c r="G7449" s="33" t="s">
        <v>15813</v>
      </c>
      <c r="H7449" s="33" t="s">
        <v>2654</v>
      </c>
      <c r="I7449" s="33" t="s">
        <v>39</v>
      </c>
      <c r="J7449" s="33" t="s">
        <v>15814</v>
      </c>
      <c r="K7449" s="33" t="s">
        <v>92</v>
      </c>
      <c r="L7449" s="33" t="s">
        <v>25634</v>
      </c>
      <c r="M7449" s="33" t="s">
        <v>21</v>
      </c>
      <c r="N7449" s="33" t="s">
        <v>15815</v>
      </c>
      <c r="O7449" s="33" t="s">
        <v>950</v>
      </c>
      <c r="P7449" s="33" t="s">
        <v>30089</v>
      </c>
      <c r="Q7449" s="40" t="s">
        <v>15816</v>
      </c>
      <c r="R7449" s="33" t="s">
        <v>23</v>
      </c>
      <c r="S7449" s="33" t="s">
        <v>22</v>
      </c>
      <c r="T7449" s="1" t="s">
        <v>26781</v>
      </c>
      <c r="Z7449" s="33" t="s">
        <v>42968</v>
      </c>
      <c r="AA7449" s="33">
        <v>216</v>
      </c>
    </row>
    <row r="7450" spans="1:64" ht="12" customHeight="1" x14ac:dyDescent="0.15">
      <c r="A7450" s="63" t="s">
        <v>42507</v>
      </c>
      <c r="B7450" s="99">
        <v>45</v>
      </c>
      <c r="C7450" s="10" t="s">
        <v>14</v>
      </c>
      <c r="D7450" s="10" t="s">
        <v>31</v>
      </c>
      <c r="E7450" s="62" t="s">
        <v>42508</v>
      </c>
      <c r="F7450" s="67">
        <v>41348</v>
      </c>
      <c r="G7450" s="10" t="s">
        <v>42509</v>
      </c>
      <c r="H7450" s="10" t="s">
        <v>875</v>
      </c>
      <c r="I7450" s="10" t="s">
        <v>160</v>
      </c>
      <c r="J7450" s="65">
        <v>30075</v>
      </c>
      <c r="K7450" s="10" t="s">
        <v>1454</v>
      </c>
      <c r="L7450" s="10" t="s">
        <v>877</v>
      </c>
      <c r="M7450" s="10" t="s">
        <v>21</v>
      </c>
      <c r="N7450" s="10" t="s">
        <v>42510</v>
      </c>
      <c r="O7450" s="10" t="s">
        <v>42511</v>
      </c>
      <c r="P7450" s="10" t="s">
        <v>30089</v>
      </c>
      <c r="Q7450" s="62" t="s">
        <v>42512</v>
      </c>
      <c r="R7450" s="10" t="s">
        <v>512</v>
      </c>
      <c r="S7450" s="10" t="s">
        <v>22</v>
      </c>
      <c r="T7450" s="10" t="s">
        <v>26781</v>
      </c>
      <c r="U7450" s="10"/>
      <c r="V7450" s="10"/>
      <c r="W7450" s="10"/>
      <c r="X7450" s="89"/>
      <c r="Y7450" s="68"/>
      <c r="Z7450" s="68" t="s">
        <v>42968</v>
      </c>
      <c r="AA7450" s="33">
        <v>213</v>
      </c>
      <c r="AG7450" s="68"/>
      <c r="AK7450" s="68"/>
      <c r="AL7450" s="68"/>
      <c r="AM7450" s="68"/>
      <c r="AN7450" s="68"/>
      <c r="AO7450" s="68"/>
      <c r="AP7450" s="68"/>
      <c r="AQ7450" s="68"/>
      <c r="AR7450" s="68"/>
      <c r="AS7450" s="68"/>
      <c r="AT7450" s="68"/>
      <c r="AU7450" s="68"/>
      <c r="AV7450" s="68"/>
      <c r="AW7450" s="68"/>
      <c r="AX7450" s="68"/>
      <c r="AY7450" s="68"/>
      <c r="AZ7450" s="68"/>
      <c r="BA7450" s="68"/>
      <c r="BB7450" s="68"/>
      <c r="BC7450" s="68"/>
      <c r="BD7450" s="68"/>
      <c r="BE7450" s="68"/>
      <c r="BF7450" s="68"/>
      <c r="BG7450" s="68"/>
      <c r="BH7450" s="68"/>
      <c r="BI7450" s="68"/>
      <c r="BJ7450" s="68"/>
      <c r="BK7450" s="68"/>
      <c r="BL7450" s="68"/>
    </row>
    <row r="7451" spans="1:64" ht="12" customHeight="1" x14ac:dyDescent="0.15">
      <c r="A7451" s="63" t="s">
        <v>42804</v>
      </c>
      <c r="B7451" s="99">
        <v>27</v>
      </c>
      <c r="C7451" s="10" t="s">
        <v>14</v>
      </c>
      <c r="D7451" s="10" t="s">
        <v>24</v>
      </c>
      <c r="E7451" s="10"/>
      <c r="F7451" s="67">
        <v>41348</v>
      </c>
      <c r="G7451" s="10" t="s">
        <v>42805</v>
      </c>
      <c r="H7451" s="10" t="s">
        <v>42806</v>
      </c>
      <c r="I7451" s="10" t="s">
        <v>39</v>
      </c>
      <c r="J7451" s="65">
        <v>94503</v>
      </c>
      <c r="K7451" s="10" t="s">
        <v>3332</v>
      </c>
      <c r="L7451" s="10" t="s">
        <v>42807</v>
      </c>
      <c r="M7451" s="10" t="s">
        <v>21</v>
      </c>
      <c r="N7451" s="10" t="s">
        <v>42808</v>
      </c>
      <c r="O7451" s="10" t="s">
        <v>507</v>
      </c>
      <c r="P7451" s="10" t="s">
        <v>30089</v>
      </c>
      <c r="Q7451" s="62" t="s">
        <v>42809</v>
      </c>
      <c r="R7451" s="10" t="s">
        <v>904</v>
      </c>
      <c r="S7451" s="10" t="s">
        <v>29</v>
      </c>
      <c r="T7451" s="10" t="s">
        <v>42810</v>
      </c>
      <c r="U7451" s="10"/>
      <c r="V7451" s="10"/>
      <c r="W7451" s="10"/>
      <c r="X7451" s="89"/>
      <c r="Y7451" s="68"/>
      <c r="Z7451" s="68" t="s">
        <v>42968</v>
      </c>
      <c r="AA7451" s="33">
        <v>215</v>
      </c>
      <c r="AG7451" s="68"/>
      <c r="AK7451" s="68"/>
      <c r="AL7451" s="68"/>
      <c r="AM7451" s="68"/>
      <c r="AN7451" s="68"/>
      <c r="AO7451" s="68"/>
      <c r="AP7451" s="68"/>
      <c r="AQ7451" s="68"/>
      <c r="AR7451" s="68"/>
      <c r="AS7451" s="68"/>
      <c r="AT7451" s="68"/>
      <c r="AU7451" s="68"/>
      <c r="AV7451" s="68"/>
      <c r="AW7451" s="68"/>
      <c r="AX7451" s="68"/>
      <c r="AY7451" s="68"/>
      <c r="AZ7451" s="68"/>
      <c r="BA7451" s="68"/>
      <c r="BB7451" s="68"/>
      <c r="BC7451" s="68"/>
      <c r="BD7451" s="68"/>
      <c r="BE7451" s="68"/>
      <c r="BF7451" s="68"/>
      <c r="BG7451" s="68"/>
      <c r="BH7451" s="68"/>
      <c r="BI7451" s="68"/>
      <c r="BJ7451" s="68"/>
      <c r="BK7451" s="68"/>
      <c r="BL7451" s="68"/>
    </row>
    <row r="7452" spans="1:64" ht="12" customHeight="1" x14ac:dyDescent="0.15">
      <c r="A7452" s="33" t="s">
        <v>15817</v>
      </c>
      <c r="B7452" s="33">
        <v>41</v>
      </c>
      <c r="C7452" s="33" t="s">
        <v>14</v>
      </c>
      <c r="D7452" s="33" t="s">
        <v>31</v>
      </c>
      <c r="E7452" s="33" t="s">
        <v>15818</v>
      </c>
      <c r="F7452" s="67">
        <v>41348</v>
      </c>
      <c r="G7452" s="33" t="s">
        <v>15819</v>
      </c>
      <c r="H7452" s="33" t="s">
        <v>3383</v>
      </c>
      <c r="I7452" s="33" t="s">
        <v>39</v>
      </c>
      <c r="J7452" s="33" t="s">
        <v>3384</v>
      </c>
      <c r="K7452" s="33" t="s">
        <v>998</v>
      </c>
      <c r="L7452" s="33" t="s">
        <v>3385</v>
      </c>
      <c r="M7452" s="33" t="s">
        <v>21</v>
      </c>
      <c r="N7452" s="33" t="s">
        <v>15820</v>
      </c>
      <c r="O7452" s="33" t="s">
        <v>507</v>
      </c>
      <c r="P7452" s="33" t="s">
        <v>30089</v>
      </c>
      <c r="Q7452" s="40" t="s">
        <v>15821</v>
      </c>
      <c r="R7452" s="33" t="s">
        <v>94</v>
      </c>
      <c r="S7452" s="33" t="s">
        <v>22</v>
      </c>
      <c r="T7452" s="1" t="s">
        <v>26781</v>
      </c>
      <c r="Z7452" s="33" t="s">
        <v>42966</v>
      </c>
      <c r="AA7452" s="33">
        <v>212</v>
      </c>
    </row>
    <row r="7453" spans="1:64" ht="12" customHeight="1" x14ac:dyDescent="0.15">
      <c r="A7453" s="63" t="s">
        <v>42546</v>
      </c>
      <c r="B7453" s="99">
        <v>20</v>
      </c>
      <c r="C7453" s="10" t="s">
        <v>14</v>
      </c>
      <c r="D7453" s="10" t="s">
        <v>79</v>
      </c>
      <c r="E7453" s="62" t="s">
        <v>42547</v>
      </c>
      <c r="F7453" s="67">
        <v>41348</v>
      </c>
      <c r="G7453" s="10" t="s">
        <v>42926</v>
      </c>
      <c r="H7453" s="10" t="s">
        <v>42548</v>
      </c>
      <c r="I7453" s="10" t="s">
        <v>376</v>
      </c>
      <c r="J7453" s="65">
        <v>17112</v>
      </c>
      <c r="K7453" s="10" t="s">
        <v>4183</v>
      </c>
      <c r="L7453" s="10" t="s">
        <v>42549</v>
      </c>
      <c r="M7453" s="10" t="s">
        <v>21</v>
      </c>
      <c r="N7453" s="10" t="s">
        <v>42550</v>
      </c>
      <c r="O7453" s="10" t="s">
        <v>507</v>
      </c>
      <c r="P7453" s="10" t="s">
        <v>30089</v>
      </c>
      <c r="Q7453" s="62" t="s">
        <v>42551</v>
      </c>
      <c r="R7453" s="10" t="s">
        <v>94</v>
      </c>
      <c r="S7453" s="10" t="s">
        <v>22</v>
      </c>
      <c r="T7453" s="10" t="s">
        <v>26781</v>
      </c>
      <c r="U7453" s="10"/>
      <c r="V7453" s="10"/>
      <c r="W7453" s="10"/>
      <c r="X7453" s="89"/>
      <c r="Y7453" s="68"/>
      <c r="Z7453" s="68" t="s">
        <v>42968</v>
      </c>
      <c r="AA7453" s="33">
        <v>214</v>
      </c>
      <c r="AG7453" s="68"/>
      <c r="AK7453" s="68"/>
      <c r="AL7453" s="68"/>
      <c r="AM7453" s="68"/>
      <c r="AN7453" s="68"/>
      <c r="AO7453" s="68"/>
      <c r="AP7453" s="68"/>
      <c r="AQ7453" s="68"/>
      <c r="AR7453" s="68"/>
      <c r="AS7453" s="68"/>
      <c r="AT7453" s="68"/>
      <c r="AU7453" s="68"/>
      <c r="AV7453" s="68"/>
      <c r="AW7453" s="68"/>
      <c r="AX7453" s="68"/>
      <c r="AY7453" s="68"/>
      <c r="AZ7453" s="68"/>
      <c r="BA7453" s="68"/>
      <c r="BB7453" s="68"/>
      <c r="BC7453" s="68"/>
      <c r="BD7453" s="68"/>
      <c r="BE7453" s="68"/>
      <c r="BF7453" s="68"/>
      <c r="BG7453" s="68"/>
      <c r="BH7453" s="68"/>
      <c r="BI7453" s="68"/>
      <c r="BJ7453" s="68"/>
      <c r="BK7453" s="68"/>
      <c r="BL7453" s="68"/>
    </row>
    <row r="7454" spans="1:64" ht="12" customHeight="1" x14ac:dyDescent="0.15">
      <c r="A7454" s="33" t="s">
        <v>15822</v>
      </c>
      <c r="B7454" s="33">
        <v>21</v>
      </c>
      <c r="C7454" s="33" t="s">
        <v>14</v>
      </c>
      <c r="D7454" s="33" t="s">
        <v>79</v>
      </c>
      <c r="F7454" s="67">
        <v>41347</v>
      </c>
      <c r="G7454" s="33" t="s">
        <v>15823</v>
      </c>
      <c r="H7454" s="33" t="s">
        <v>266</v>
      </c>
      <c r="I7454" s="33" t="s">
        <v>67</v>
      </c>
      <c r="J7454" s="33" t="s">
        <v>7261</v>
      </c>
      <c r="K7454" s="33" t="s">
        <v>266</v>
      </c>
      <c r="L7454" s="33" t="s">
        <v>267</v>
      </c>
      <c r="M7454" s="33" t="s">
        <v>21</v>
      </c>
      <c r="N7454" s="33" t="s">
        <v>15824</v>
      </c>
      <c r="O7454" s="33" t="s">
        <v>507</v>
      </c>
      <c r="P7454" s="33" t="s">
        <v>30089</v>
      </c>
      <c r="Q7454" s="40" t="s">
        <v>15825</v>
      </c>
      <c r="R7454" s="33" t="s">
        <v>94</v>
      </c>
      <c r="S7454" s="33" t="s">
        <v>22</v>
      </c>
      <c r="T7454" s="1" t="s">
        <v>26781</v>
      </c>
      <c r="Y7454" s="33" t="s">
        <v>42476</v>
      </c>
      <c r="Z7454" s="33" t="s">
        <v>42968</v>
      </c>
      <c r="AA7454" s="33">
        <v>207</v>
      </c>
    </row>
    <row r="7455" spans="1:64" ht="12" customHeight="1" x14ac:dyDescent="0.15">
      <c r="A7455" s="33" t="s">
        <v>15826</v>
      </c>
      <c r="B7455" s="33">
        <v>58</v>
      </c>
      <c r="C7455" s="33" t="s">
        <v>14</v>
      </c>
      <c r="D7455" s="33" t="s">
        <v>24</v>
      </c>
      <c r="F7455" s="67">
        <v>41347</v>
      </c>
      <c r="G7455" s="33" t="s">
        <v>22337</v>
      </c>
      <c r="H7455" s="33" t="s">
        <v>81</v>
      </c>
      <c r="I7455" s="33" t="s">
        <v>38</v>
      </c>
      <c r="J7455" s="33" t="s">
        <v>6039</v>
      </c>
      <c r="K7455" s="33" t="s">
        <v>82</v>
      </c>
      <c r="L7455" s="33" t="s">
        <v>83</v>
      </c>
      <c r="M7455" s="33" t="s">
        <v>21</v>
      </c>
      <c r="N7455" s="33" t="s">
        <v>15827</v>
      </c>
      <c r="O7455" s="33" t="s">
        <v>950</v>
      </c>
      <c r="P7455" s="33" t="s">
        <v>30089</v>
      </c>
      <c r="Q7455" s="40" t="s">
        <v>15828</v>
      </c>
      <c r="R7455" s="33" t="s">
        <v>23</v>
      </c>
      <c r="S7455" s="33" t="s">
        <v>22</v>
      </c>
      <c r="T7455" s="1" t="s">
        <v>26781</v>
      </c>
      <c r="Z7455" s="33" t="s">
        <v>42966</v>
      </c>
      <c r="AA7455" s="33">
        <v>208</v>
      </c>
    </row>
    <row r="7456" spans="1:64" ht="12" customHeight="1" x14ac:dyDescent="0.15">
      <c r="A7456" s="33" t="s">
        <v>15829</v>
      </c>
      <c r="B7456" s="33">
        <v>30</v>
      </c>
      <c r="C7456" s="33" t="s">
        <v>14</v>
      </c>
      <c r="D7456" s="33" t="s">
        <v>31</v>
      </c>
      <c r="E7456" s="33" t="s">
        <v>15830</v>
      </c>
      <c r="F7456" s="67">
        <v>41347</v>
      </c>
      <c r="G7456" s="33" t="s">
        <v>15831</v>
      </c>
      <c r="H7456" s="33" t="s">
        <v>15832</v>
      </c>
      <c r="I7456" s="33" t="s">
        <v>735</v>
      </c>
      <c r="J7456" s="33" t="s">
        <v>15833</v>
      </c>
      <c r="K7456" s="33" t="s">
        <v>15834</v>
      </c>
      <c r="L7456" s="33" t="s">
        <v>15835</v>
      </c>
      <c r="M7456" s="33" t="s">
        <v>21</v>
      </c>
      <c r="N7456" s="33" t="s">
        <v>36900</v>
      </c>
      <c r="O7456" s="33" t="s">
        <v>507</v>
      </c>
      <c r="P7456" s="33" t="s">
        <v>30089</v>
      </c>
      <c r="Q7456" s="40" t="s">
        <v>15836</v>
      </c>
      <c r="R7456" s="33" t="s">
        <v>904</v>
      </c>
      <c r="S7456" s="33" t="s">
        <v>22</v>
      </c>
      <c r="T7456" s="1" t="s">
        <v>26781</v>
      </c>
      <c r="Z7456" s="33" t="s">
        <v>42967</v>
      </c>
      <c r="AA7456" s="33">
        <v>209</v>
      </c>
    </row>
    <row r="7457" spans="1:66" ht="12" customHeight="1" x14ac:dyDescent="0.15">
      <c r="A7457" s="33" t="s">
        <v>15837</v>
      </c>
      <c r="B7457" s="33">
        <v>64</v>
      </c>
      <c r="C7457" s="33" t="s">
        <v>14</v>
      </c>
      <c r="D7457" s="33" t="s">
        <v>31</v>
      </c>
      <c r="E7457" s="33" t="s">
        <v>15838</v>
      </c>
      <c r="F7457" s="67">
        <v>41347</v>
      </c>
      <c r="G7457" s="33" t="s">
        <v>15839</v>
      </c>
      <c r="H7457" s="33" t="s">
        <v>15840</v>
      </c>
      <c r="I7457" s="33" t="s">
        <v>395</v>
      </c>
      <c r="J7457" s="33" t="s">
        <v>15841</v>
      </c>
      <c r="K7457" s="33" t="s">
        <v>15840</v>
      </c>
      <c r="L7457" s="33" t="s">
        <v>5161</v>
      </c>
      <c r="M7457" s="33" t="s">
        <v>21</v>
      </c>
      <c r="N7457" s="33" t="s">
        <v>15842</v>
      </c>
      <c r="O7457" s="33" t="s">
        <v>507</v>
      </c>
      <c r="P7457" s="33" t="s">
        <v>30089</v>
      </c>
      <c r="Q7457" s="40" t="s">
        <v>15843</v>
      </c>
      <c r="R7457" s="33" t="s">
        <v>94</v>
      </c>
      <c r="S7457" s="33" t="s">
        <v>22</v>
      </c>
      <c r="T7457" s="1" t="s">
        <v>26781</v>
      </c>
      <c r="Z7457" s="33" t="s">
        <v>42968</v>
      </c>
      <c r="AA7457" s="33">
        <v>210</v>
      </c>
    </row>
    <row r="7458" spans="1:66" ht="12" customHeight="1" x14ac:dyDescent="0.15">
      <c r="A7458" s="63" t="s">
        <v>42900</v>
      </c>
      <c r="B7458" s="99">
        <v>29</v>
      </c>
      <c r="C7458" s="10" t="s">
        <v>14</v>
      </c>
      <c r="D7458" s="10" t="s">
        <v>24</v>
      </c>
      <c r="E7458" s="10"/>
      <c r="F7458" s="67">
        <v>41347</v>
      </c>
      <c r="G7458" s="10" t="s">
        <v>42901</v>
      </c>
      <c r="H7458" s="10" t="s">
        <v>2985</v>
      </c>
      <c r="I7458" s="10" t="s">
        <v>39</v>
      </c>
      <c r="J7458" s="65">
        <v>93001</v>
      </c>
      <c r="K7458" s="10" t="s">
        <v>2985</v>
      </c>
      <c r="L7458" s="10" t="s">
        <v>42902</v>
      </c>
      <c r="M7458" s="10" t="s">
        <v>21</v>
      </c>
      <c r="N7458" s="10" t="s">
        <v>42903</v>
      </c>
      <c r="O7458" s="10" t="s">
        <v>950</v>
      </c>
      <c r="P7458" s="10" t="s">
        <v>30089</v>
      </c>
      <c r="Q7458" s="62" t="s">
        <v>42904</v>
      </c>
      <c r="R7458" s="10" t="s">
        <v>904</v>
      </c>
      <c r="S7458" s="10" t="s">
        <v>351</v>
      </c>
      <c r="T7458" s="10" t="s">
        <v>26867</v>
      </c>
      <c r="U7458" s="10"/>
      <c r="V7458" s="10"/>
      <c r="W7458" s="10"/>
      <c r="X7458" s="89"/>
      <c r="Y7458" s="68"/>
      <c r="Z7458" s="68" t="s">
        <v>42968</v>
      </c>
      <c r="AA7458" s="33">
        <v>211</v>
      </c>
      <c r="AG7458" s="68"/>
      <c r="AK7458" s="68"/>
      <c r="AL7458" s="68"/>
      <c r="AM7458" s="68"/>
      <c r="AN7458" s="68"/>
      <c r="AO7458" s="68"/>
      <c r="AP7458" s="68"/>
      <c r="AQ7458" s="68"/>
      <c r="AR7458" s="68"/>
      <c r="AS7458" s="68"/>
      <c r="AT7458" s="68"/>
      <c r="AU7458" s="68"/>
      <c r="AV7458" s="68"/>
      <c r="AW7458" s="68"/>
      <c r="AX7458" s="68"/>
      <c r="AY7458" s="68"/>
      <c r="AZ7458" s="68"/>
      <c r="BA7458" s="68"/>
      <c r="BB7458" s="68"/>
      <c r="BC7458" s="68"/>
      <c r="BD7458" s="68"/>
      <c r="BE7458" s="68"/>
      <c r="BF7458" s="68"/>
      <c r="BG7458" s="68"/>
      <c r="BH7458" s="68"/>
      <c r="BI7458" s="68"/>
      <c r="BJ7458" s="68"/>
      <c r="BK7458" s="68"/>
      <c r="BL7458" s="68"/>
    </row>
    <row r="7459" spans="1:66" ht="12" customHeight="1" x14ac:dyDescent="0.15">
      <c r="A7459" s="33" t="s">
        <v>15850</v>
      </c>
      <c r="B7459" s="103">
        <v>50</v>
      </c>
      <c r="C7459" s="33" t="s">
        <v>14</v>
      </c>
      <c r="D7459" s="33" t="s">
        <v>79</v>
      </c>
      <c r="E7459" s="33" t="s">
        <v>15851</v>
      </c>
      <c r="F7459" s="67">
        <v>41346</v>
      </c>
      <c r="G7459" s="33" t="s">
        <v>22339</v>
      </c>
      <c r="H7459" s="33" t="s">
        <v>15852</v>
      </c>
      <c r="I7459" s="33" t="s">
        <v>139</v>
      </c>
      <c r="J7459" s="33" t="s">
        <v>15853</v>
      </c>
      <c r="K7459" s="33" t="s">
        <v>4889</v>
      </c>
      <c r="L7459" s="33" t="s">
        <v>15854</v>
      </c>
      <c r="M7459" s="33" t="s">
        <v>21</v>
      </c>
      <c r="N7459" s="33" t="s">
        <v>15855</v>
      </c>
      <c r="O7459" s="33" t="s">
        <v>507</v>
      </c>
      <c r="P7459" s="33" t="s">
        <v>30089</v>
      </c>
      <c r="Q7459" s="40" t="s">
        <v>15856</v>
      </c>
      <c r="R7459" s="33" t="s">
        <v>512</v>
      </c>
      <c r="S7459" s="33" t="s">
        <v>22</v>
      </c>
      <c r="T7459" s="1" t="s">
        <v>26774</v>
      </c>
      <c r="Z7459" s="33" t="s">
        <v>42966</v>
      </c>
      <c r="AA7459" s="33">
        <v>204</v>
      </c>
    </row>
    <row r="7460" spans="1:66" ht="12" customHeight="1" x14ac:dyDescent="0.15">
      <c r="A7460" s="33" t="s">
        <v>15844</v>
      </c>
      <c r="B7460" s="33">
        <v>20</v>
      </c>
      <c r="C7460" s="33" t="s">
        <v>14</v>
      </c>
      <c r="D7460" s="33" t="s">
        <v>79</v>
      </c>
      <c r="F7460" s="67">
        <v>41346</v>
      </c>
      <c r="G7460" s="33" t="s">
        <v>15845</v>
      </c>
      <c r="H7460" s="33" t="s">
        <v>924</v>
      </c>
      <c r="I7460" s="33" t="s">
        <v>621</v>
      </c>
      <c r="J7460" s="33" t="s">
        <v>15846</v>
      </c>
      <c r="K7460" s="33" t="s">
        <v>15847</v>
      </c>
      <c r="L7460" s="33" t="s">
        <v>15848</v>
      </c>
      <c r="M7460" s="33" t="s">
        <v>21</v>
      </c>
      <c r="N7460" s="33" t="s">
        <v>36901</v>
      </c>
      <c r="O7460" s="33" t="s">
        <v>23118</v>
      </c>
      <c r="P7460" s="33" t="s">
        <v>1084</v>
      </c>
      <c r="Q7460" s="40" t="s">
        <v>15849</v>
      </c>
      <c r="R7460" s="33" t="s">
        <v>94</v>
      </c>
      <c r="S7460" s="33" t="s">
        <v>12</v>
      </c>
      <c r="T7460" s="54" t="s">
        <v>29705</v>
      </c>
      <c r="Z7460" s="33" t="s">
        <v>42967</v>
      </c>
      <c r="AA7460" s="33">
        <v>205</v>
      </c>
    </row>
    <row r="7461" spans="1:66" ht="12" customHeight="1" x14ac:dyDescent="0.15">
      <c r="A7461" s="33" t="s">
        <v>15862</v>
      </c>
      <c r="B7461" s="103">
        <v>53</v>
      </c>
      <c r="C7461" s="33" t="s">
        <v>14</v>
      </c>
      <c r="D7461" s="33" t="s">
        <v>31</v>
      </c>
      <c r="E7461" s="33" t="s">
        <v>15863</v>
      </c>
      <c r="F7461" s="67">
        <v>41346</v>
      </c>
      <c r="G7461" s="33" t="s">
        <v>15864</v>
      </c>
      <c r="H7461" s="33" t="s">
        <v>4506</v>
      </c>
      <c r="I7461" s="33" t="s">
        <v>38</v>
      </c>
      <c r="J7461" s="33" t="s">
        <v>15865</v>
      </c>
      <c r="K7461" s="33" t="s">
        <v>15866</v>
      </c>
      <c r="L7461" s="33" t="s">
        <v>4508</v>
      </c>
      <c r="M7461" s="33" t="s">
        <v>21</v>
      </c>
      <c r="N7461" s="33" t="s">
        <v>15867</v>
      </c>
      <c r="O7461" s="33" t="s">
        <v>507</v>
      </c>
      <c r="P7461" s="33" t="s">
        <v>30089</v>
      </c>
      <c r="Q7461" s="40" t="s">
        <v>15868</v>
      </c>
      <c r="R7461" s="33" t="s">
        <v>904</v>
      </c>
      <c r="S7461" s="33" t="s">
        <v>22</v>
      </c>
      <c r="T7461" s="1" t="s">
        <v>26781</v>
      </c>
      <c r="Z7461" s="33" t="s">
        <v>42968</v>
      </c>
      <c r="AA7461" s="33">
        <v>203</v>
      </c>
    </row>
    <row r="7462" spans="1:66" ht="12" customHeight="1" x14ac:dyDescent="0.15">
      <c r="A7462" s="33" t="s">
        <v>15857</v>
      </c>
      <c r="B7462" s="33">
        <v>78</v>
      </c>
      <c r="C7462" s="33" t="s">
        <v>14</v>
      </c>
      <c r="D7462" s="33" t="s">
        <v>42</v>
      </c>
      <c r="F7462" s="67">
        <v>41346</v>
      </c>
      <c r="G7462" s="33" t="s">
        <v>22338</v>
      </c>
      <c r="H7462" s="33" t="s">
        <v>15858</v>
      </c>
      <c r="I7462" s="33" t="s">
        <v>67</v>
      </c>
      <c r="J7462" s="33" t="s">
        <v>15859</v>
      </c>
      <c r="K7462" s="33" t="s">
        <v>10482</v>
      </c>
      <c r="L7462" s="33" t="s">
        <v>10484</v>
      </c>
      <c r="M7462" s="33" t="s">
        <v>21</v>
      </c>
      <c r="N7462" s="33" t="s">
        <v>15860</v>
      </c>
      <c r="O7462" s="33" t="s">
        <v>950</v>
      </c>
      <c r="P7462" s="33" t="s">
        <v>30089</v>
      </c>
      <c r="Q7462" s="40" t="s">
        <v>15861</v>
      </c>
      <c r="R7462" s="33" t="s">
        <v>23</v>
      </c>
      <c r="S7462" s="33" t="s">
        <v>22</v>
      </c>
      <c r="T7462" s="1" t="s">
        <v>26781</v>
      </c>
      <c r="Z7462" s="33" t="s">
        <v>42967</v>
      </c>
      <c r="AA7462" s="33">
        <v>202</v>
      </c>
    </row>
    <row r="7463" spans="1:66" ht="12" customHeight="1" x14ac:dyDescent="0.15">
      <c r="A7463" s="33" t="s">
        <v>36377</v>
      </c>
      <c r="B7463" s="33">
        <v>16</v>
      </c>
      <c r="C7463" s="33" t="s">
        <v>14</v>
      </c>
      <c r="D7463" s="33" t="s">
        <v>42</v>
      </c>
      <c r="F7463" s="67">
        <v>41346</v>
      </c>
      <c r="H7463" s="33" t="s">
        <v>19697</v>
      </c>
      <c r="I7463" s="33" t="s">
        <v>67</v>
      </c>
      <c r="K7463" s="33" t="s">
        <v>266</v>
      </c>
      <c r="L7463" s="33" t="s">
        <v>36378</v>
      </c>
      <c r="M7463" s="33" t="s">
        <v>21</v>
      </c>
      <c r="N7463" s="54" t="s">
        <v>36379</v>
      </c>
      <c r="O7463" s="33" t="s">
        <v>36380</v>
      </c>
      <c r="P7463" s="33" t="s">
        <v>1084</v>
      </c>
      <c r="Q7463" s="35" t="s">
        <v>36381</v>
      </c>
      <c r="R7463" s="33" t="s">
        <v>94</v>
      </c>
      <c r="S7463" s="33" t="s">
        <v>12</v>
      </c>
      <c r="T7463" s="54" t="s">
        <v>29705</v>
      </c>
      <c r="Y7463" s="33" t="s">
        <v>42476</v>
      </c>
      <c r="Z7463" s="33" t="e">
        <v>#N/A</v>
      </c>
      <c r="AA7463" s="33">
        <v>206</v>
      </c>
    </row>
    <row r="7464" spans="1:66" ht="12" customHeight="1" x14ac:dyDescent="0.15">
      <c r="A7464" s="33" t="s">
        <v>15880</v>
      </c>
      <c r="B7464" s="33">
        <v>47</v>
      </c>
      <c r="C7464" s="33" t="s">
        <v>14</v>
      </c>
      <c r="D7464" s="33" t="s">
        <v>24</v>
      </c>
      <c r="F7464" s="67">
        <v>41345</v>
      </c>
      <c r="G7464" s="33" t="s">
        <v>15881</v>
      </c>
      <c r="H7464" s="33" t="s">
        <v>15882</v>
      </c>
      <c r="I7464" s="33" t="s">
        <v>432</v>
      </c>
      <c r="J7464" s="33" t="s">
        <v>15883</v>
      </c>
      <c r="K7464" s="33" t="s">
        <v>15884</v>
      </c>
      <c r="L7464" s="33" t="s">
        <v>15885</v>
      </c>
      <c r="M7464" s="33" t="s">
        <v>21</v>
      </c>
      <c r="N7464" s="33" t="s">
        <v>15886</v>
      </c>
      <c r="O7464" s="33" t="s">
        <v>507</v>
      </c>
      <c r="P7464" s="33" t="s">
        <v>30089</v>
      </c>
      <c r="Q7464" s="40" t="s">
        <v>15887</v>
      </c>
      <c r="R7464" s="33" t="s">
        <v>23</v>
      </c>
      <c r="S7464" s="33" t="s">
        <v>29</v>
      </c>
      <c r="T7464" s="1" t="s">
        <v>41840</v>
      </c>
      <c r="Y7464" s="33" t="s">
        <v>42476</v>
      </c>
      <c r="Z7464" s="33" t="s">
        <v>42967</v>
      </c>
      <c r="AA7464" s="33">
        <v>200</v>
      </c>
    </row>
    <row r="7465" spans="1:66" ht="12" customHeight="1" x14ac:dyDescent="0.15">
      <c r="A7465" s="33" t="s">
        <v>15888</v>
      </c>
      <c r="B7465" s="33">
        <v>58</v>
      </c>
      <c r="C7465" s="33" t="s">
        <v>14</v>
      </c>
      <c r="D7465" s="33" t="s">
        <v>31</v>
      </c>
      <c r="F7465" s="67">
        <v>41345</v>
      </c>
      <c r="G7465" s="33" t="s">
        <v>15889</v>
      </c>
      <c r="H7465" s="33" t="s">
        <v>15890</v>
      </c>
      <c r="I7465" s="33" t="s">
        <v>35</v>
      </c>
      <c r="J7465" s="33" t="s">
        <v>15891</v>
      </c>
      <c r="K7465" s="33" t="s">
        <v>9561</v>
      </c>
      <c r="L7465" s="33" t="s">
        <v>15892</v>
      </c>
      <c r="M7465" s="33" t="s">
        <v>21</v>
      </c>
      <c r="N7465" s="33" t="s">
        <v>15893</v>
      </c>
      <c r="O7465" s="33" t="s">
        <v>507</v>
      </c>
      <c r="P7465" s="33" t="s">
        <v>30089</v>
      </c>
      <c r="Q7465" s="40" t="s">
        <v>15894</v>
      </c>
      <c r="R7465" s="33" t="s">
        <v>94</v>
      </c>
      <c r="S7465" s="33" t="s">
        <v>22</v>
      </c>
      <c r="T7465" s="1" t="s">
        <v>26774</v>
      </c>
      <c r="Z7465" s="33" t="s">
        <v>42968</v>
      </c>
      <c r="AA7465" s="33">
        <v>199</v>
      </c>
    </row>
    <row r="7466" spans="1:66" ht="12" customHeight="1" x14ac:dyDescent="0.15">
      <c r="A7466" s="33" t="s">
        <v>15875</v>
      </c>
      <c r="B7466" s="33">
        <v>44</v>
      </c>
      <c r="C7466" s="33" t="s">
        <v>14</v>
      </c>
      <c r="D7466" s="33" t="s">
        <v>42</v>
      </c>
      <c r="F7466" s="67">
        <v>41345</v>
      </c>
      <c r="G7466" s="33" t="s">
        <v>15876</v>
      </c>
      <c r="H7466" s="33" t="s">
        <v>196</v>
      </c>
      <c r="I7466" s="33" t="s">
        <v>56</v>
      </c>
      <c r="J7466" s="33" t="s">
        <v>15877</v>
      </c>
      <c r="K7466" s="33" t="s">
        <v>148</v>
      </c>
      <c r="L7466" s="33" t="s">
        <v>149</v>
      </c>
      <c r="M7466" s="33" t="s">
        <v>21</v>
      </c>
      <c r="N7466" s="33" t="s">
        <v>15878</v>
      </c>
      <c r="O7466" s="33" t="s">
        <v>372</v>
      </c>
      <c r="P7466" s="33" t="s">
        <v>30089</v>
      </c>
      <c r="Q7466" s="40" t="s">
        <v>15879</v>
      </c>
      <c r="R7466" s="33" t="s">
        <v>94</v>
      </c>
      <c r="S7466" s="33" t="s">
        <v>351</v>
      </c>
      <c r="T7466" s="1" t="s">
        <v>26867</v>
      </c>
      <c r="Z7466" s="33" t="s">
        <v>42968</v>
      </c>
      <c r="AA7466" s="33">
        <v>201</v>
      </c>
    </row>
    <row r="7467" spans="1:66" ht="12" customHeight="1" x14ac:dyDescent="0.15">
      <c r="A7467" s="33" t="s">
        <v>15869</v>
      </c>
      <c r="B7467" s="33">
        <v>17</v>
      </c>
      <c r="C7467" s="33" t="s">
        <v>14</v>
      </c>
      <c r="D7467" s="33" t="s">
        <v>79</v>
      </c>
      <c r="E7467" s="33" t="s">
        <v>15870</v>
      </c>
      <c r="F7467" s="67">
        <v>41345</v>
      </c>
      <c r="G7467" s="33" t="s">
        <v>22340</v>
      </c>
      <c r="H7467" s="33" t="s">
        <v>13147</v>
      </c>
      <c r="I7467" s="33" t="s">
        <v>51</v>
      </c>
      <c r="J7467" s="33" t="s">
        <v>15871</v>
      </c>
      <c r="K7467" s="33" t="s">
        <v>557</v>
      </c>
      <c r="L7467" s="33" t="s">
        <v>15872</v>
      </c>
      <c r="M7467" s="33" t="s">
        <v>21</v>
      </c>
      <c r="N7467" s="33" t="s">
        <v>15873</v>
      </c>
      <c r="O7467" s="33" t="s">
        <v>507</v>
      </c>
      <c r="P7467" s="33" t="s">
        <v>30089</v>
      </c>
      <c r="Q7467" s="40" t="s">
        <v>15874</v>
      </c>
      <c r="R7467" s="33" t="s">
        <v>94</v>
      </c>
      <c r="S7467" s="33" t="s">
        <v>22</v>
      </c>
      <c r="T7467" s="1" t="s">
        <v>26781</v>
      </c>
      <c r="Z7467" s="33" t="s">
        <v>42966</v>
      </c>
      <c r="AA7467" s="33">
        <v>198</v>
      </c>
    </row>
    <row r="7468" spans="1:66" ht="12" customHeight="1" x14ac:dyDescent="0.15">
      <c r="A7468" s="33" t="s">
        <v>15895</v>
      </c>
      <c r="B7468" s="103">
        <v>25</v>
      </c>
      <c r="C7468" s="33" t="s">
        <v>14</v>
      </c>
      <c r="D7468" s="33" t="s">
        <v>79</v>
      </c>
      <c r="E7468" s="33" t="s">
        <v>15896</v>
      </c>
      <c r="F7468" s="67">
        <v>41343</v>
      </c>
      <c r="G7468" s="33" t="s">
        <v>22341</v>
      </c>
      <c r="H7468" s="33" t="s">
        <v>266</v>
      </c>
      <c r="I7468" s="33" t="s">
        <v>67</v>
      </c>
      <c r="J7468" s="33" t="s">
        <v>8080</v>
      </c>
      <c r="K7468" s="33" t="s">
        <v>266</v>
      </c>
      <c r="L7468" s="33" t="s">
        <v>267</v>
      </c>
      <c r="M7468" s="33" t="s">
        <v>21</v>
      </c>
      <c r="N7468" s="33" t="s">
        <v>15897</v>
      </c>
      <c r="O7468" s="33" t="s">
        <v>23</v>
      </c>
      <c r="P7468" s="33" t="s">
        <v>30089</v>
      </c>
      <c r="Q7468" s="40" t="str">
        <f>HYPERLINK("http://crimeblog.dallasnews.com/2013/03/dallas-police-officer-fatally-shoots-suspect-after-major-disturbance-at-apartment-complex.html/","http://crimeblog.dallasnews.com/2013/03/dallas-police-officer-fatally-shoots-suspect-after-major-disturbance-at-apartment-complex.html/")</f>
        <v>http://crimeblog.dallasnews.com/2013/03/dallas-police-officer-fatally-shoots-suspect-after-major-disturbance-at-apartment-complex.html/</v>
      </c>
      <c r="R7468" s="33" t="s">
        <v>904</v>
      </c>
      <c r="S7468" s="33" t="s">
        <v>12</v>
      </c>
      <c r="T7468" s="54" t="s">
        <v>29705</v>
      </c>
      <c r="Z7468" s="33" t="s">
        <v>42966</v>
      </c>
      <c r="AA7468" s="33">
        <v>197</v>
      </c>
    </row>
    <row r="7469" spans="1:66" ht="12" customHeight="1" x14ac:dyDescent="0.15">
      <c r="A7469" s="33" t="s">
        <v>15921</v>
      </c>
      <c r="B7469" s="33">
        <v>28</v>
      </c>
      <c r="C7469" s="33" t="s">
        <v>14</v>
      </c>
      <c r="D7469" s="33" t="s">
        <v>31</v>
      </c>
      <c r="E7469" s="33" t="s">
        <v>15922</v>
      </c>
      <c r="F7469" s="67">
        <v>41343</v>
      </c>
      <c r="G7469" s="33" t="s">
        <v>15923</v>
      </c>
      <c r="H7469" s="33" t="s">
        <v>15924</v>
      </c>
      <c r="I7469" s="33" t="s">
        <v>342</v>
      </c>
      <c r="J7469" s="33" t="s">
        <v>15925</v>
      </c>
      <c r="K7469" s="33" t="s">
        <v>3032</v>
      </c>
      <c r="L7469" s="33" t="s">
        <v>15926</v>
      </c>
      <c r="M7469" s="33" t="s">
        <v>21</v>
      </c>
      <c r="N7469" s="33" t="s">
        <v>15927</v>
      </c>
      <c r="O7469" s="33" t="s">
        <v>23</v>
      </c>
      <c r="P7469" s="33" t="s">
        <v>30089</v>
      </c>
      <c r="Q7469" s="40" t="s">
        <v>15928</v>
      </c>
      <c r="R7469" s="33" t="s">
        <v>23</v>
      </c>
      <c r="S7469" s="33" t="s">
        <v>22</v>
      </c>
      <c r="T7469" s="1" t="s">
        <v>26781</v>
      </c>
      <c r="Z7469" s="33" t="s">
        <v>42968</v>
      </c>
      <c r="AA7469" s="33">
        <v>195</v>
      </c>
    </row>
    <row r="7470" spans="1:66" ht="12" customHeight="1" x14ac:dyDescent="0.15">
      <c r="A7470" s="33" t="s">
        <v>15907</v>
      </c>
      <c r="B7470" s="33">
        <v>49</v>
      </c>
      <c r="C7470" s="33" t="s">
        <v>14</v>
      </c>
      <c r="D7470" s="33" t="s">
        <v>79</v>
      </c>
      <c r="E7470" s="33" t="s">
        <v>15908</v>
      </c>
      <c r="F7470" s="67">
        <v>41343</v>
      </c>
      <c r="G7470" s="33" t="s">
        <v>15909</v>
      </c>
      <c r="H7470" s="33" t="s">
        <v>15910</v>
      </c>
      <c r="I7470" s="33" t="s">
        <v>160</v>
      </c>
      <c r="J7470" s="33" t="s">
        <v>15911</v>
      </c>
      <c r="K7470" s="33" t="s">
        <v>674</v>
      </c>
      <c r="L7470" s="33" t="s">
        <v>15912</v>
      </c>
      <c r="M7470" s="33" t="s">
        <v>21</v>
      </c>
      <c r="N7470" s="33" t="s">
        <v>15913</v>
      </c>
      <c r="O7470" s="33" t="s">
        <v>507</v>
      </c>
      <c r="P7470" s="33" t="s">
        <v>30089</v>
      </c>
      <c r="Q7470" s="40" t="s">
        <v>15914</v>
      </c>
      <c r="R7470" s="33" t="s">
        <v>94</v>
      </c>
      <c r="S7470" s="33" t="s">
        <v>22</v>
      </c>
      <c r="T7470" s="1" t="s">
        <v>26781</v>
      </c>
      <c r="Z7470" s="33" t="s">
        <v>42967</v>
      </c>
      <c r="AA7470" s="33">
        <v>190</v>
      </c>
      <c r="BM7470" s="1"/>
      <c r="BN7470" s="1"/>
    </row>
    <row r="7471" spans="1:66" ht="12" customHeight="1" x14ac:dyDescent="0.15">
      <c r="A7471" s="33" t="s">
        <v>15929</v>
      </c>
      <c r="B7471" s="103">
        <v>42</v>
      </c>
      <c r="C7471" s="33" t="s">
        <v>14</v>
      </c>
      <c r="D7471" s="33" t="s">
        <v>31</v>
      </c>
      <c r="E7471" s="33" t="s">
        <v>15930</v>
      </c>
      <c r="F7471" s="67">
        <v>41343</v>
      </c>
      <c r="G7471" s="33" t="s">
        <v>15931</v>
      </c>
      <c r="H7471" s="33" t="s">
        <v>15932</v>
      </c>
      <c r="I7471" s="33" t="s">
        <v>63</v>
      </c>
      <c r="J7471" s="33" t="s">
        <v>15933</v>
      </c>
      <c r="K7471" s="33" t="s">
        <v>15934</v>
      </c>
      <c r="L7471" s="33" t="s">
        <v>15935</v>
      </c>
      <c r="M7471" s="33" t="s">
        <v>21</v>
      </c>
      <c r="N7471" s="33" t="s">
        <v>15936</v>
      </c>
      <c r="O7471" s="33" t="s">
        <v>23</v>
      </c>
      <c r="P7471" s="33" t="s">
        <v>30089</v>
      </c>
      <c r="Q7471" s="40" t="s">
        <v>15937</v>
      </c>
      <c r="R7471" s="33" t="s">
        <v>94</v>
      </c>
      <c r="S7471" s="33" t="s">
        <v>22</v>
      </c>
      <c r="T7471" s="1" t="s">
        <v>26781</v>
      </c>
      <c r="Z7471" s="33" t="s">
        <v>42967</v>
      </c>
      <c r="AA7471" s="33">
        <v>194</v>
      </c>
    </row>
    <row r="7472" spans="1:66" ht="12" customHeight="1" x14ac:dyDescent="0.15">
      <c r="A7472" s="33" t="s">
        <v>15903</v>
      </c>
      <c r="B7472" s="33">
        <v>16</v>
      </c>
      <c r="C7472" s="33" t="s">
        <v>14</v>
      </c>
      <c r="D7472" s="33" t="s">
        <v>79</v>
      </c>
      <c r="F7472" s="67">
        <v>41343</v>
      </c>
      <c r="G7472" s="33" t="s">
        <v>15904</v>
      </c>
      <c r="H7472" s="33" t="s">
        <v>700</v>
      </c>
      <c r="I7472" s="33" t="s">
        <v>395</v>
      </c>
      <c r="J7472" s="33" t="s">
        <v>15905</v>
      </c>
      <c r="K7472" s="33" t="s">
        <v>1601</v>
      </c>
      <c r="L7472" s="33" t="s">
        <v>539</v>
      </c>
      <c r="M7472" s="33" t="s">
        <v>21</v>
      </c>
      <c r="N7472" s="33" t="s">
        <v>15906</v>
      </c>
      <c r="O7472" s="33" t="s">
        <v>950</v>
      </c>
      <c r="P7472" s="33" t="s">
        <v>30089</v>
      </c>
      <c r="Q7472" s="40" t="str">
        <f>HYPERLINK("http://www.dnainfo.com/new-york/20130310/east-flatbush/police-fatally-shoot-allegedly-armed-teenager-brooklyn","http://www.dnainfo.com/new-york/20130310/east-flatbush/police-fatally-shoot-allegedly-armed-teenager-brooklyn")</f>
        <v>http://www.dnainfo.com/new-york/20130310/east-flatbush/police-fatally-shoot-allegedly-armed-teenager-brooklyn</v>
      </c>
      <c r="R7472" s="33" t="s">
        <v>94</v>
      </c>
      <c r="S7472" s="33" t="s">
        <v>22</v>
      </c>
      <c r="T7472" s="1" t="s">
        <v>26781</v>
      </c>
      <c r="Z7472" s="33" t="s">
        <v>42966</v>
      </c>
      <c r="AA7472" s="33">
        <v>192</v>
      </c>
      <c r="BM7472" s="1"/>
      <c r="BN7472" s="1"/>
    </row>
    <row r="7473" spans="1:66" ht="12" customHeight="1" x14ac:dyDescent="0.15">
      <c r="A7473" s="33" t="s">
        <v>15898</v>
      </c>
      <c r="B7473" s="103">
        <v>63</v>
      </c>
      <c r="C7473" s="33" t="s">
        <v>14</v>
      </c>
      <c r="D7473" s="33" t="s">
        <v>79</v>
      </c>
      <c r="E7473" s="33" t="s">
        <v>15899</v>
      </c>
      <c r="F7473" s="67">
        <v>41343</v>
      </c>
      <c r="G7473" s="33" t="s">
        <v>15900</v>
      </c>
      <c r="H7473" s="33" t="s">
        <v>1116</v>
      </c>
      <c r="I7473" s="33" t="s">
        <v>298</v>
      </c>
      <c r="J7473" s="33">
        <v>38126</v>
      </c>
      <c r="K7473" s="33" t="s">
        <v>1117</v>
      </c>
      <c r="L7473" s="33" t="s">
        <v>1118</v>
      </c>
      <c r="M7473" s="33" t="s">
        <v>21</v>
      </c>
      <c r="N7473" s="33" t="s">
        <v>15901</v>
      </c>
      <c r="O7473" s="33" t="s">
        <v>23</v>
      </c>
      <c r="P7473" s="33" t="s">
        <v>30089</v>
      </c>
      <c r="Q7473" s="40" t="s">
        <v>15902</v>
      </c>
      <c r="R7473" s="33" t="s">
        <v>512</v>
      </c>
      <c r="S7473" s="33" t="s">
        <v>22</v>
      </c>
      <c r="T7473" s="1" t="s">
        <v>26781</v>
      </c>
      <c r="Z7473" s="33" t="s">
        <v>42968</v>
      </c>
      <c r="AA7473" s="33">
        <v>191</v>
      </c>
      <c r="BM7473" s="1"/>
      <c r="BN7473" s="1"/>
    </row>
    <row r="7474" spans="1:66" ht="12" customHeight="1" x14ac:dyDescent="0.15">
      <c r="A7474" s="33" t="s">
        <v>15915</v>
      </c>
      <c r="B7474" s="33">
        <v>32</v>
      </c>
      <c r="C7474" s="33" t="s">
        <v>14</v>
      </c>
      <c r="D7474" s="33" t="s">
        <v>42</v>
      </c>
      <c r="E7474" s="33" t="s">
        <v>15916</v>
      </c>
      <c r="F7474" s="67">
        <v>41343</v>
      </c>
      <c r="G7474" s="33" t="s">
        <v>15917</v>
      </c>
      <c r="H7474" s="33" t="s">
        <v>485</v>
      </c>
      <c r="I7474" s="33" t="s">
        <v>75</v>
      </c>
      <c r="J7474" s="33" t="s">
        <v>15918</v>
      </c>
      <c r="K7474" s="33" t="s">
        <v>486</v>
      </c>
      <c r="L7474" s="33" t="s">
        <v>487</v>
      </c>
      <c r="M7474" s="33" t="s">
        <v>21</v>
      </c>
      <c r="N7474" s="33" t="s">
        <v>15919</v>
      </c>
      <c r="O7474" s="33" t="s">
        <v>950</v>
      </c>
      <c r="P7474" s="33" t="s">
        <v>30089</v>
      </c>
      <c r="Q7474" s="40" t="s">
        <v>15920</v>
      </c>
      <c r="R7474" s="33" t="s">
        <v>94</v>
      </c>
      <c r="S7474" s="33" t="s">
        <v>22</v>
      </c>
      <c r="T7474" s="1" t="s">
        <v>26781</v>
      </c>
      <c r="Z7474" s="33" t="s">
        <v>42966</v>
      </c>
      <c r="AA7474" s="33">
        <v>193</v>
      </c>
      <c r="BM7474" s="1"/>
      <c r="BN7474" s="1"/>
    </row>
    <row r="7475" spans="1:66" ht="12" customHeight="1" x14ac:dyDescent="0.15">
      <c r="A7475" s="33" t="s">
        <v>15938</v>
      </c>
      <c r="B7475" s="33">
        <v>43</v>
      </c>
      <c r="C7475" s="33" t="s">
        <v>14</v>
      </c>
      <c r="D7475" s="33" t="s">
        <v>31</v>
      </c>
      <c r="E7475" s="33" t="s">
        <v>15939</v>
      </c>
      <c r="F7475" s="67">
        <v>41343</v>
      </c>
      <c r="G7475" s="33" t="s">
        <v>15940</v>
      </c>
      <c r="H7475" s="33" t="s">
        <v>15941</v>
      </c>
      <c r="I7475" s="33" t="s">
        <v>56</v>
      </c>
      <c r="J7475" s="33" t="s">
        <v>15942</v>
      </c>
      <c r="K7475" s="33" t="s">
        <v>2152</v>
      </c>
      <c r="L7475" s="33" t="s">
        <v>12747</v>
      </c>
      <c r="M7475" s="33" t="s">
        <v>21</v>
      </c>
      <c r="N7475" s="33" t="s">
        <v>15943</v>
      </c>
      <c r="O7475" s="33" t="s">
        <v>507</v>
      </c>
      <c r="P7475" s="33" t="s">
        <v>30089</v>
      </c>
      <c r="Q7475" s="40" t="s">
        <v>15944</v>
      </c>
      <c r="R7475" s="33" t="s">
        <v>512</v>
      </c>
      <c r="S7475" s="33" t="s">
        <v>22</v>
      </c>
      <c r="T7475" s="1" t="s">
        <v>29867</v>
      </c>
      <c r="Z7475" s="33" t="s">
        <v>42966</v>
      </c>
      <c r="AA7475" s="33">
        <v>196</v>
      </c>
    </row>
    <row r="7476" spans="1:66" ht="12" customHeight="1" x14ac:dyDescent="0.15">
      <c r="A7476" s="33" t="s">
        <v>15945</v>
      </c>
      <c r="B7476" s="33">
        <v>19</v>
      </c>
      <c r="C7476" s="33" t="s">
        <v>14</v>
      </c>
      <c r="D7476" s="33" t="s">
        <v>79</v>
      </c>
      <c r="E7476" s="33" t="s">
        <v>15946</v>
      </c>
      <c r="F7476" s="67">
        <v>41342</v>
      </c>
      <c r="G7476" s="33" t="s">
        <v>15947</v>
      </c>
      <c r="H7476" s="33" t="s">
        <v>674</v>
      </c>
      <c r="I7476" s="33" t="s">
        <v>67</v>
      </c>
      <c r="J7476" s="33" t="s">
        <v>15948</v>
      </c>
      <c r="K7476" s="33" t="s">
        <v>515</v>
      </c>
      <c r="L7476" s="33" t="s">
        <v>516</v>
      </c>
      <c r="M7476" s="33" t="s">
        <v>21</v>
      </c>
      <c r="N7476" s="33" t="s">
        <v>15949</v>
      </c>
      <c r="O7476" s="33" t="s">
        <v>507</v>
      </c>
      <c r="P7476" s="33" t="s">
        <v>30089</v>
      </c>
      <c r="Q7476" s="40" t="s">
        <v>15950</v>
      </c>
      <c r="R7476" s="33" t="s">
        <v>94</v>
      </c>
      <c r="S7476" s="33" t="s">
        <v>22</v>
      </c>
      <c r="T7476" s="1" t="s">
        <v>26781</v>
      </c>
      <c r="Z7476" s="33" t="s">
        <v>42968</v>
      </c>
      <c r="AA7476" s="33">
        <v>189</v>
      </c>
      <c r="BM7476" s="1"/>
      <c r="BN7476" s="1"/>
    </row>
    <row r="7477" spans="1:66" ht="12" customHeight="1" x14ac:dyDescent="0.15">
      <c r="A7477" s="33" t="s">
        <v>15956</v>
      </c>
      <c r="B7477" s="33">
        <v>20</v>
      </c>
      <c r="C7477" s="33" t="s">
        <v>14</v>
      </c>
      <c r="D7477" s="33" t="s">
        <v>24</v>
      </c>
      <c r="F7477" s="67">
        <v>41341</v>
      </c>
      <c r="G7477" s="33" t="s">
        <v>15957</v>
      </c>
      <c r="H7477" s="33" t="s">
        <v>9751</v>
      </c>
      <c r="I7477" s="33" t="s">
        <v>56</v>
      </c>
      <c r="J7477" s="33" t="s">
        <v>15958</v>
      </c>
      <c r="K7477" s="33" t="s">
        <v>4878</v>
      </c>
      <c r="L7477" s="33" t="s">
        <v>12350</v>
      </c>
      <c r="M7477" s="33" t="s">
        <v>21</v>
      </c>
      <c r="N7477" s="33" t="s">
        <v>15959</v>
      </c>
      <c r="O7477" s="33" t="s">
        <v>950</v>
      </c>
      <c r="P7477" s="33" t="s">
        <v>30089</v>
      </c>
      <c r="Q7477" s="40" t="str">
        <f>HYPERLINK("http://articles.sun-sentinel.com/2013-03-12/news/fl-boca-officer-involved-named-20130311_1_boca-raton-police-police-officers-facebook-profile","http://articles.sun-sentinel.com/2013-03-12/news/fl-boca-officer-involved-named-20130311_1_boca-raton-police-police-officers-facebook-profile")</f>
        <v>http://articles.sun-sentinel.com/2013-03-12/news/fl-boca-officer-involved-named-20130311_1_boca-raton-police-police-officers-facebook-profile</v>
      </c>
      <c r="R7477" s="33" t="s">
        <v>904</v>
      </c>
      <c r="S7477" s="33" t="s">
        <v>29</v>
      </c>
      <c r="T7477" s="1" t="s">
        <v>41840</v>
      </c>
      <c r="Z7477" s="33" t="s">
        <v>42968</v>
      </c>
      <c r="AA7477" s="33">
        <v>186</v>
      </c>
      <c r="BM7477" s="1"/>
      <c r="BN7477" s="1"/>
    </row>
    <row r="7478" spans="1:66" ht="12" customHeight="1" x14ac:dyDescent="0.15">
      <c r="A7478" s="33" t="s">
        <v>10202</v>
      </c>
      <c r="B7478" s="33">
        <v>45</v>
      </c>
      <c r="C7478" s="33" t="s">
        <v>14</v>
      </c>
      <c r="D7478" s="33" t="s">
        <v>31</v>
      </c>
      <c r="E7478" s="33" t="s">
        <v>10203</v>
      </c>
      <c r="F7478" s="67">
        <v>41341</v>
      </c>
      <c r="G7478" s="33" t="s">
        <v>10204</v>
      </c>
      <c r="H7478" s="33" t="s">
        <v>639</v>
      </c>
      <c r="I7478" s="33" t="s">
        <v>112</v>
      </c>
      <c r="J7478" s="33" t="s">
        <v>4493</v>
      </c>
      <c r="K7478" s="33" t="s">
        <v>585</v>
      </c>
      <c r="L7478" s="33" t="s">
        <v>4494</v>
      </c>
      <c r="M7478" s="33" t="s">
        <v>21</v>
      </c>
      <c r="N7478" s="33" t="s">
        <v>10205</v>
      </c>
      <c r="O7478" s="33" t="s">
        <v>950</v>
      </c>
      <c r="P7478" s="33" t="s">
        <v>30089</v>
      </c>
      <c r="Q7478" s="40" t="s">
        <v>10206</v>
      </c>
      <c r="R7478" s="33" t="s">
        <v>512</v>
      </c>
      <c r="S7478" s="33" t="s">
        <v>22</v>
      </c>
      <c r="T7478" s="1" t="s">
        <v>26781</v>
      </c>
      <c r="Z7478" s="33" t="s">
        <v>42968</v>
      </c>
      <c r="AA7478" s="33">
        <v>184</v>
      </c>
    </row>
    <row r="7479" spans="1:66" ht="12" customHeight="1" x14ac:dyDescent="0.15">
      <c r="A7479" s="33" t="s">
        <v>15970</v>
      </c>
      <c r="B7479" s="33">
        <v>34</v>
      </c>
      <c r="C7479" s="33" t="s">
        <v>14</v>
      </c>
      <c r="D7479" s="33" t="s">
        <v>31</v>
      </c>
      <c r="E7479" s="33" t="s">
        <v>15971</v>
      </c>
      <c r="F7479" s="67">
        <v>41341</v>
      </c>
      <c r="G7479" s="33" t="s">
        <v>15972</v>
      </c>
      <c r="H7479" s="33" t="s">
        <v>1522</v>
      </c>
      <c r="I7479" s="33" t="s">
        <v>432</v>
      </c>
      <c r="J7479" s="33" t="s">
        <v>4265</v>
      </c>
      <c r="K7479" s="33" t="s">
        <v>882</v>
      </c>
      <c r="L7479" s="33" t="s">
        <v>2101</v>
      </c>
      <c r="M7479" s="33" t="s">
        <v>21</v>
      </c>
      <c r="N7479" s="33" t="s">
        <v>15973</v>
      </c>
      <c r="O7479" s="33" t="s">
        <v>507</v>
      </c>
      <c r="P7479" s="33" t="s">
        <v>30089</v>
      </c>
      <c r="Q7479" s="40" t="s">
        <v>15974</v>
      </c>
      <c r="R7479" s="33" t="s">
        <v>904</v>
      </c>
      <c r="S7479" s="33" t="s">
        <v>351</v>
      </c>
      <c r="T7479" s="1" t="s">
        <v>26867</v>
      </c>
      <c r="Z7479" s="33" t="s">
        <v>42966</v>
      </c>
      <c r="AA7479" s="33">
        <v>188</v>
      </c>
      <c r="BM7479" s="1"/>
      <c r="BN7479" s="1"/>
    </row>
    <row r="7480" spans="1:66" ht="12" customHeight="1" x14ac:dyDescent="0.15">
      <c r="A7480" s="33" t="s">
        <v>15964</v>
      </c>
      <c r="B7480" s="103">
        <v>37</v>
      </c>
      <c r="C7480" s="33" t="s">
        <v>14</v>
      </c>
      <c r="D7480" s="33" t="s">
        <v>31</v>
      </c>
      <c r="E7480" s="33" t="s">
        <v>15965</v>
      </c>
      <c r="F7480" s="67">
        <v>41341</v>
      </c>
      <c r="G7480" s="33" t="s">
        <v>15966</v>
      </c>
      <c r="H7480" s="33" t="s">
        <v>801</v>
      </c>
      <c r="I7480" s="33" t="s">
        <v>67</v>
      </c>
      <c r="J7480" s="33" t="s">
        <v>15967</v>
      </c>
      <c r="K7480" s="33" t="s">
        <v>801</v>
      </c>
      <c r="L7480" s="33" t="s">
        <v>802</v>
      </c>
      <c r="M7480" s="33" t="s">
        <v>21</v>
      </c>
      <c r="N7480" s="33" t="s">
        <v>15968</v>
      </c>
      <c r="O7480" s="33" t="s">
        <v>507</v>
      </c>
      <c r="P7480" s="33" t="s">
        <v>30089</v>
      </c>
      <c r="Q7480" s="40" t="s">
        <v>15969</v>
      </c>
      <c r="R7480" s="33" t="s">
        <v>94</v>
      </c>
      <c r="S7480" s="33" t="s">
        <v>29</v>
      </c>
      <c r="T7480" s="1" t="s">
        <v>41840</v>
      </c>
      <c r="Z7480" s="33" t="s">
        <v>42966</v>
      </c>
      <c r="AA7480" s="33">
        <v>187</v>
      </c>
      <c r="BM7480" s="1"/>
      <c r="BN7480" s="1"/>
    </row>
    <row r="7481" spans="1:66" ht="12" customHeight="1" x14ac:dyDescent="0.15">
      <c r="A7481" s="33" t="s">
        <v>15951</v>
      </c>
      <c r="B7481" s="33">
        <v>44</v>
      </c>
      <c r="C7481" s="33" t="s">
        <v>14</v>
      </c>
      <c r="D7481" s="33" t="s">
        <v>79</v>
      </c>
      <c r="F7481" s="67">
        <v>41341</v>
      </c>
      <c r="G7481" s="33" t="s">
        <v>15952</v>
      </c>
      <c r="H7481" s="33" t="s">
        <v>7795</v>
      </c>
      <c r="I7481" s="33" t="s">
        <v>75</v>
      </c>
      <c r="J7481" s="33" t="s">
        <v>15953</v>
      </c>
      <c r="K7481" s="33" t="s">
        <v>2300</v>
      </c>
      <c r="L7481" s="33" t="s">
        <v>7797</v>
      </c>
      <c r="M7481" s="33" t="s">
        <v>21</v>
      </c>
      <c r="N7481" s="33" t="s">
        <v>15954</v>
      </c>
      <c r="O7481" s="33" t="s">
        <v>950</v>
      </c>
      <c r="P7481" s="33" t="s">
        <v>30089</v>
      </c>
      <c r="Q7481" s="40" t="s">
        <v>15955</v>
      </c>
      <c r="R7481" s="33" t="s">
        <v>512</v>
      </c>
      <c r="S7481" s="33" t="s">
        <v>22</v>
      </c>
      <c r="T7481" s="1" t="s">
        <v>26774</v>
      </c>
      <c r="Z7481" s="33" t="s">
        <v>42966</v>
      </c>
      <c r="AA7481" s="33">
        <v>185</v>
      </c>
      <c r="BM7481" s="1"/>
      <c r="BN7481" s="1"/>
    </row>
    <row r="7482" spans="1:66" ht="12" customHeight="1" x14ac:dyDescent="0.15">
      <c r="A7482" s="33" t="s">
        <v>15960</v>
      </c>
      <c r="B7482" s="33">
        <v>55</v>
      </c>
      <c r="C7482" s="33" t="s">
        <v>14</v>
      </c>
      <c r="D7482" s="33" t="s">
        <v>24</v>
      </c>
      <c r="F7482" s="67">
        <v>41341</v>
      </c>
      <c r="G7482" s="33" t="s">
        <v>15961</v>
      </c>
      <c r="H7482" s="33" t="s">
        <v>2740</v>
      </c>
      <c r="I7482" s="33" t="s">
        <v>56</v>
      </c>
      <c r="J7482" s="33" t="s">
        <v>2741</v>
      </c>
      <c r="K7482" s="33" t="s">
        <v>2742</v>
      </c>
      <c r="L7482" s="33" t="s">
        <v>2743</v>
      </c>
      <c r="M7482" s="33" t="s">
        <v>21</v>
      </c>
      <c r="N7482" s="33" t="s">
        <v>15962</v>
      </c>
      <c r="O7482" s="33" t="s">
        <v>507</v>
      </c>
      <c r="P7482" s="33" t="s">
        <v>30089</v>
      </c>
      <c r="Q7482" s="40" t="s">
        <v>15963</v>
      </c>
      <c r="R7482" s="33" t="s">
        <v>94</v>
      </c>
      <c r="S7482" s="33" t="s">
        <v>22</v>
      </c>
      <c r="T7482" s="1" t="s">
        <v>26781</v>
      </c>
      <c r="Z7482" s="33" t="s">
        <v>42968</v>
      </c>
      <c r="AA7482" s="33">
        <v>182</v>
      </c>
      <c r="BM7482" s="1"/>
      <c r="BN7482" s="1"/>
    </row>
    <row r="7483" spans="1:66" ht="12" customHeight="1" x14ac:dyDescent="0.15">
      <c r="A7483" s="33" t="s">
        <v>15975</v>
      </c>
      <c r="B7483" s="33">
        <v>32</v>
      </c>
      <c r="C7483" s="33" t="s">
        <v>14</v>
      </c>
      <c r="D7483" s="33" t="s">
        <v>31</v>
      </c>
      <c r="E7483" s="33" t="s">
        <v>15976</v>
      </c>
      <c r="F7483" s="67">
        <v>41341</v>
      </c>
      <c r="G7483" s="33" t="s">
        <v>15977</v>
      </c>
      <c r="H7483" s="33" t="s">
        <v>15978</v>
      </c>
      <c r="I7483" s="33" t="s">
        <v>19</v>
      </c>
      <c r="J7483" s="33" t="s">
        <v>15979</v>
      </c>
      <c r="K7483" s="33" t="s">
        <v>15980</v>
      </c>
      <c r="L7483" s="33" t="s">
        <v>15981</v>
      </c>
      <c r="M7483" s="33" t="s">
        <v>21</v>
      </c>
      <c r="N7483" s="33" t="s">
        <v>36902</v>
      </c>
      <c r="O7483" s="33" t="s">
        <v>507</v>
      </c>
      <c r="P7483" s="33" t="s">
        <v>30089</v>
      </c>
      <c r="Q7483" s="40" t="s">
        <v>15982</v>
      </c>
      <c r="R7483" s="33" t="s">
        <v>23</v>
      </c>
      <c r="S7483" s="33" t="s">
        <v>22</v>
      </c>
      <c r="T7483" s="1" t="s">
        <v>26781</v>
      </c>
      <c r="Z7483" s="33" t="s">
        <v>42967</v>
      </c>
      <c r="AA7483" s="33">
        <v>183</v>
      </c>
      <c r="BM7483" s="1"/>
      <c r="BN7483" s="1"/>
    </row>
    <row r="7484" spans="1:66" ht="12" customHeight="1" x14ac:dyDescent="0.15">
      <c r="A7484" s="33" t="s">
        <v>15990</v>
      </c>
      <c r="B7484" s="33">
        <v>55</v>
      </c>
      <c r="C7484" s="33" t="s">
        <v>14</v>
      </c>
      <c r="D7484" s="33" t="s">
        <v>24</v>
      </c>
      <c r="F7484" s="67">
        <v>41340</v>
      </c>
      <c r="G7484" s="33" t="s">
        <v>15991</v>
      </c>
      <c r="H7484" s="33" t="s">
        <v>603</v>
      </c>
      <c r="I7484" s="33" t="s">
        <v>56</v>
      </c>
      <c r="J7484" s="33" t="s">
        <v>12129</v>
      </c>
      <c r="K7484" s="33" t="s">
        <v>604</v>
      </c>
      <c r="L7484" s="33" t="s">
        <v>605</v>
      </c>
      <c r="M7484" s="33" t="s">
        <v>21</v>
      </c>
      <c r="N7484" s="33" t="s">
        <v>15992</v>
      </c>
      <c r="O7484" s="33" t="s">
        <v>950</v>
      </c>
      <c r="P7484" s="33" t="s">
        <v>30089</v>
      </c>
      <c r="Q7484" s="40" t="s">
        <v>15993</v>
      </c>
      <c r="R7484" s="33" t="s">
        <v>94</v>
      </c>
      <c r="S7484" s="33" t="s">
        <v>22</v>
      </c>
      <c r="T7484" s="1" t="s">
        <v>26781</v>
      </c>
      <c r="Z7484" s="33" t="s">
        <v>42968</v>
      </c>
      <c r="AA7484" s="33">
        <v>180</v>
      </c>
      <c r="BM7484" s="1"/>
      <c r="BN7484" s="1"/>
    </row>
    <row r="7485" spans="1:66" ht="12" customHeight="1" x14ac:dyDescent="0.15">
      <c r="A7485" s="33" t="s">
        <v>15994</v>
      </c>
      <c r="B7485" s="33">
        <v>32</v>
      </c>
      <c r="C7485" s="33" t="s">
        <v>14</v>
      </c>
      <c r="D7485" s="33" t="s">
        <v>24</v>
      </c>
      <c r="F7485" s="67">
        <v>41340</v>
      </c>
      <c r="G7485" s="33" t="s">
        <v>22342</v>
      </c>
      <c r="H7485" s="33" t="s">
        <v>1033</v>
      </c>
      <c r="I7485" s="33" t="s">
        <v>376</v>
      </c>
      <c r="J7485" s="33" t="s">
        <v>14967</v>
      </c>
      <c r="K7485" s="33" t="s">
        <v>1033</v>
      </c>
      <c r="L7485" s="33" t="s">
        <v>1034</v>
      </c>
      <c r="M7485" s="33" t="s">
        <v>21</v>
      </c>
      <c r="N7485" s="33" t="s">
        <v>15995</v>
      </c>
      <c r="O7485" s="33" t="s">
        <v>950</v>
      </c>
      <c r="P7485" s="33" t="s">
        <v>30089</v>
      </c>
      <c r="Q7485" s="40" t="s">
        <v>15996</v>
      </c>
      <c r="R7485" s="33" t="s">
        <v>94</v>
      </c>
      <c r="S7485" s="33" t="s">
        <v>22</v>
      </c>
      <c r="T7485" s="1" t="s">
        <v>26781</v>
      </c>
      <c r="Z7485" s="33" t="s">
        <v>42966</v>
      </c>
      <c r="AA7485" s="33">
        <v>181</v>
      </c>
      <c r="BM7485" s="1"/>
      <c r="BN7485" s="1"/>
    </row>
    <row r="7486" spans="1:66" ht="12" customHeight="1" x14ac:dyDescent="0.15">
      <c r="A7486" s="33" t="s">
        <v>15983</v>
      </c>
      <c r="B7486" s="33">
        <v>27</v>
      </c>
      <c r="C7486" s="33" t="s">
        <v>14</v>
      </c>
      <c r="D7486" s="33" t="s">
        <v>42</v>
      </c>
      <c r="F7486" s="67">
        <v>41340</v>
      </c>
      <c r="G7486" s="33" t="s">
        <v>15984</v>
      </c>
      <c r="H7486" s="33" t="s">
        <v>15985</v>
      </c>
      <c r="I7486" s="33" t="s">
        <v>282</v>
      </c>
      <c r="J7486" s="33" t="s">
        <v>15986</v>
      </c>
      <c r="K7486" s="33" t="s">
        <v>5737</v>
      </c>
      <c r="L7486" s="33" t="s">
        <v>15987</v>
      </c>
      <c r="M7486" s="33" t="s">
        <v>21</v>
      </c>
      <c r="N7486" s="33" t="s">
        <v>15988</v>
      </c>
      <c r="O7486" s="33" t="s">
        <v>507</v>
      </c>
      <c r="P7486" s="33" t="s">
        <v>30089</v>
      </c>
      <c r="Q7486" s="40" t="s">
        <v>15989</v>
      </c>
      <c r="R7486" s="33" t="s">
        <v>23</v>
      </c>
      <c r="S7486" s="33" t="s">
        <v>22</v>
      </c>
      <c r="T7486" s="1" t="s">
        <v>26781</v>
      </c>
      <c r="Z7486" s="33" t="s">
        <v>42967</v>
      </c>
      <c r="AA7486" s="33">
        <v>179</v>
      </c>
      <c r="BM7486" s="1"/>
      <c r="BN7486" s="1"/>
    </row>
    <row r="7487" spans="1:66" ht="12" customHeight="1" x14ac:dyDescent="0.15">
      <c r="A7487" s="33" t="s">
        <v>15997</v>
      </c>
      <c r="B7487" s="33">
        <v>40</v>
      </c>
      <c r="C7487" s="33" t="s">
        <v>14</v>
      </c>
      <c r="D7487" s="33" t="s">
        <v>24</v>
      </c>
      <c r="F7487" s="67">
        <v>41339</v>
      </c>
      <c r="G7487" s="33" t="s">
        <v>15998</v>
      </c>
      <c r="H7487" s="33" t="s">
        <v>15999</v>
      </c>
      <c r="I7487" s="33" t="s">
        <v>298</v>
      </c>
      <c r="J7487" s="33" t="s">
        <v>16000</v>
      </c>
      <c r="K7487" s="33" t="s">
        <v>1659</v>
      </c>
      <c r="L7487" s="33" t="s">
        <v>16001</v>
      </c>
      <c r="M7487" s="33" t="s">
        <v>21</v>
      </c>
      <c r="N7487" s="33" t="s">
        <v>16002</v>
      </c>
      <c r="O7487" s="33" t="s">
        <v>507</v>
      </c>
      <c r="P7487" s="33" t="s">
        <v>30089</v>
      </c>
      <c r="Q7487" s="40" t="s">
        <v>16003</v>
      </c>
      <c r="R7487" s="33" t="s">
        <v>94</v>
      </c>
      <c r="S7487" s="33" t="s">
        <v>29</v>
      </c>
      <c r="T7487" s="1" t="s">
        <v>41840</v>
      </c>
      <c r="Z7487" s="33" t="s">
        <v>42967</v>
      </c>
      <c r="AA7487" s="33">
        <v>178</v>
      </c>
      <c r="BM7487" s="1"/>
      <c r="BN7487" s="1"/>
    </row>
    <row r="7488" spans="1:66" ht="12" customHeight="1" x14ac:dyDescent="0.15">
      <c r="A7488" s="33" t="s">
        <v>16004</v>
      </c>
      <c r="B7488" s="33">
        <v>47</v>
      </c>
      <c r="C7488" s="33" t="s">
        <v>14</v>
      </c>
      <c r="D7488" s="33" t="s">
        <v>31</v>
      </c>
      <c r="E7488" s="33" t="s">
        <v>16005</v>
      </c>
      <c r="F7488" s="67">
        <v>41339</v>
      </c>
      <c r="G7488" s="33" t="s">
        <v>16006</v>
      </c>
      <c r="H7488" s="33" t="s">
        <v>1202</v>
      </c>
      <c r="I7488" s="33" t="s">
        <v>160</v>
      </c>
      <c r="J7488" s="33" t="s">
        <v>16007</v>
      </c>
      <c r="K7488" s="33" t="s">
        <v>9779</v>
      </c>
      <c r="L7488" s="33" t="s">
        <v>17580</v>
      </c>
      <c r="M7488" s="33" t="s">
        <v>21</v>
      </c>
      <c r="N7488" s="33" t="s">
        <v>16008</v>
      </c>
      <c r="O7488" s="33" t="s">
        <v>950</v>
      </c>
      <c r="P7488" s="33" t="s">
        <v>30089</v>
      </c>
      <c r="Q7488" s="40" t="s">
        <v>16009</v>
      </c>
      <c r="R7488" s="33" t="s">
        <v>94</v>
      </c>
      <c r="S7488" s="33" t="s">
        <v>22</v>
      </c>
      <c r="T7488" s="1" t="s">
        <v>26781</v>
      </c>
      <c r="Z7488" s="33" t="s">
        <v>42968</v>
      </c>
      <c r="AA7488" s="33">
        <v>177</v>
      </c>
      <c r="BM7488" s="1"/>
      <c r="BN7488" s="1"/>
    </row>
    <row r="7489" spans="1:66" ht="12" customHeight="1" x14ac:dyDescent="0.15">
      <c r="A7489" s="33" t="s">
        <v>16013</v>
      </c>
      <c r="B7489" s="103">
        <v>41</v>
      </c>
      <c r="C7489" s="33" t="s">
        <v>14</v>
      </c>
      <c r="D7489" s="33" t="s">
        <v>31</v>
      </c>
      <c r="E7489" s="33" t="s">
        <v>16014</v>
      </c>
      <c r="F7489" s="67">
        <v>41338</v>
      </c>
      <c r="G7489" s="33" t="s">
        <v>16015</v>
      </c>
      <c r="H7489" s="33" t="s">
        <v>866</v>
      </c>
      <c r="I7489" s="33" t="s">
        <v>178</v>
      </c>
      <c r="J7489" s="33" t="s">
        <v>4561</v>
      </c>
      <c r="K7489" s="33" t="s">
        <v>433</v>
      </c>
      <c r="L7489" s="33" t="s">
        <v>4562</v>
      </c>
      <c r="M7489" s="33" t="s">
        <v>21</v>
      </c>
      <c r="N7489" s="33" t="s">
        <v>16016</v>
      </c>
      <c r="O7489" s="33" t="s">
        <v>23</v>
      </c>
      <c r="P7489" s="33" t="s">
        <v>30089</v>
      </c>
      <c r="Q7489" s="40" t="s">
        <v>9174</v>
      </c>
      <c r="R7489" s="33" t="s">
        <v>94</v>
      </c>
      <c r="S7489" s="33" t="s">
        <v>22</v>
      </c>
      <c r="T7489" s="1" t="s">
        <v>26781</v>
      </c>
      <c r="Z7489" s="33" t="s">
        <v>42966</v>
      </c>
      <c r="AA7489" s="33">
        <v>174</v>
      </c>
      <c r="BM7489" s="1"/>
      <c r="BN7489" s="1"/>
    </row>
    <row r="7490" spans="1:66" ht="12" customHeight="1" x14ac:dyDescent="0.15">
      <c r="A7490" s="33" t="s">
        <v>16017</v>
      </c>
      <c r="B7490" s="33">
        <v>28</v>
      </c>
      <c r="C7490" s="33" t="s">
        <v>14</v>
      </c>
      <c r="D7490" s="33" t="s">
        <v>31</v>
      </c>
      <c r="E7490" s="33" t="s">
        <v>16018</v>
      </c>
      <c r="F7490" s="67">
        <v>41338</v>
      </c>
      <c r="G7490" s="33" t="s">
        <v>16019</v>
      </c>
      <c r="H7490" s="33" t="s">
        <v>16020</v>
      </c>
      <c r="I7490" s="33" t="s">
        <v>395</v>
      </c>
      <c r="J7490" s="33" t="s">
        <v>16021</v>
      </c>
      <c r="K7490" s="33" t="s">
        <v>486</v>
      </c>
      <c r="L7490" s="33" t="s">
        <v>20831</v>
      </c>
      <c r="M7490" s="33" t="s">
        <v>21</v>
      </c>
      <c r="N7490" s="33" t="s">
        <v>16022</v>
      </c>
      <c r="O7490" s="33" t="s">
        <v>507</v>
      </c>
      <c r="P7490" s="33" t="s">
        <v>30089</v>
      </c>
      <c r="Q7490" s="40" t="s">
        <v>16023</v>
      </c>
      <c r="R7490" s="33" t="s">
        <v>94</v>
      </c>
      <c r="S7490" s="33" t="s">
        <v>29</v>
      </c>
      <c r="T7490" s="33" t="s">
        <v>41840</v>
      </c>
      <c r="Z7490" s="33" t="s">
        <v>42967</v>
      </c>
      <c r="AA7490" s="33">
        <v>176</v>
      </c>
      <c r="AE7490" s="33"/>
      <c r="BM7490" s="1"/>
      <c r="BN7490" s="1"/>
    </row>
    <row r="7491" spans="1:66" ht="12" customHeight="1" x14ac:dyDescent="0.15">
      <c r="A7491" s="33" t="s">
        <v>16010</v>
      </c>
      <c r="B7491" s="33">
        <v>37</v>
      </c>
      <c r="C7491" s="33" t="s">
        <v>14</v>
      </c>
      <c r="D7491" s="33" t="s">
        <v>79</v>
      </c>
      <c r="F7491" s="67">
        <v>41338</v>
      </c>
      <c r="G7491" s="33" t="s">
        <v>22343</v>
      </c>
      <c r="H7491" s="33" t="s">
        <v>661</v>
      </c>
      <c r="I7491" s="33" t="s">
        <v>402</v>
      </c>
      <c r="J7491" s="33" t="s">
        <v>10556</v>
      </c>
      <c r="K7491" s="33" t="s">
        <v>661</v>
      </c>
      <c r="L7491" s="33" t="s">
        <v>4162</v>
      </c>
      <c r="M7491" s="33" t="s">
        <v>21</v>
      </c>
      <c r="N7491" s="33" t="s">
        <v>16011</v>
      </c>
      <c r="O7491" s="33" t="s">
        <v>950</v>
      </c>
      <c r="P7491" s="33" t="s">
        <v>30089</v>
      </c>
      <c r="Q7491" s="40" t="s">
        <v>16012</v>
      </c>
      <c r="R7491" s="33" t="s">
        <v>23</v>
      </c>
      <c r="S7491" s="33" t="s">
        <v>22</v>
      </c>
      <c r="T7491" s="1" t="s">
        <v>42975</v>
      </c>
      <c r="Z7491" s="33" t="s">
        <v>42966</v>
      </c>
      <c r="AA7491" s="33">
        <v>175</v>
      </c>
      <c r="BM7491" s="1"/>
      <c r="BN7491" s="1"/>
    </row>
    <row r="7492" spans="1:66" ht="12" customHeight="1" x14ac:dyDescent="0.15">
      <c r="A7492" s="33" t="s">
        <v>16024</v>
      </c>
      <c r="B7492" s="33">
        <v>22</v>
      </c>
      <c r="C7492" s="33" t="s">
        <v>14</v>
      </c>
      <c r="D7492" s="33" t="s">
        <v>79</v>
      </c>
      <c r="E7492" s="33" t="s">
        <v>16025</v>
      </c>
      <c r="F7492" s="67">
        <v>41337</v>
      </c>
      <c r="G7492" s="33" t="s">
        <v>22345</v>
      </c>
      <c r="H7492" s="33" t="s">
        <v>5603</v>
      </c>
      <c r="I7492" s="33" t="s">
        <v>338</v>
      </c>
      <c r="J7492" s="33" t="s">
        <v>16026</v>
      </c>
      <c r="K7492" s="33" t="s">
        <v>16027</v>
      </c>
      <c r="L7492" s="33" t="s">
        <v>5161</v>
      </c>
      <c r="M7492" s="33" t="s">
        <v>21</v>
      </c>
      <c r="N7492" s="33" t="s">
        <v>16028</v>
      </c>
      <c r="O7492" s="33" t="s">
        <v>950</v>
      </c>
      <c r="P7492" s="33" t="s">
        <v>30089</v>
      </c>
      <c r="Q7492" s="40" t="s">
        <v>16029</v>
      </c>
      <c r="R7492" s="33" t="s">
        <v>94</v>
      </c>
      <c r="S7492" s="33" t="s">
        <v>22</v>
      </c>
      <c r="T7492" s="1" t="s">
        <v>26781</v>
      </c>
      <c r="Z7492" s="33" t="s">
        <v>42966</v>
      </c>
      <c r="AA7492" s="33">
        <v>171</v>
      </c>
      <c r="BM7492" s="1"/>
      <c r="BN7492" s="1"/>
    </row>
    <row r="7493" spans="1:66" ht="12" customHeight="1" x14ac:dyDescent="0.15">
      <c r="A7493" s="33" t="s">
        <v>16030</v>
      </c>
      <c r="B7493" s="103">
        <v>31</v>
      </c>
      <c r="C7493" s="33" t="s">
        <v>14</v>
      </c>
      <c r="D7493" s="33" t="s">
        <v>42</v>
      </c>
      <c r="E7493" s="33" t="s">
        <v>16031</v>
      </c>
      <c r="F7493" s="67">
        <v>41337</v>
      </c>
      <c r="G7493" s="33" t="s">
        <v>22344</v>
      </c>
      <c r="H7493" s="33" t="s">
        <v>532</v>
      </c>
      <c r="I7493" s="33" t="s">
        <v>67</v>
      </c>
      <c r="J7493" s="33" t="s">
        <v>16032</v>
      </c>
      <c r="K7493" s="33" t="s">
        <v>533</v>
      </c>
      <c r="L7493" s="33" t="s">
        <v>534</v>
      </c>
      <c r="M7493" s="33" t="s">
        <v>21</v>
      </c>
      <c r="N7493" s="33" t="s">
        <v>16033</v>
      </c>
      <c r="O7493" s="33" t="s">
        <v>23</v>
      </c>
      <c r="P7493" s="33" t="s">
        <v>30089</v>
      </c>
      <c r="Q7493" s="40" t="s">
        <v>16034</v>
      </c>
      <c r="R7493" s="33" t="s">
        <v>512</v>
      </c>
      <c r="S7493" s="33" t="s">
        <v>22</v>
      </c>
      <c r="T7493" s="1" t="s">
        <v>26781</v>
      </c>
      <c r="Z7493" s="33" t="s">
        <v>42968</v>
      </c>
      <c r="AA7493" s="33">
        <v>172</v>
      </c>
      <c r="BM7493" s="1"/>
      <c r="BN7493" s="1"/>
    </row>
    <row r="7494" spans="1:66" ht="12" customHeight="1" x14ac:dyDescent="0.15">
      <c r="A7494" s="33" t="s">
        <v>16035</v>
      </c>
      <c r="B7494" s="33">
        <v>32</v>
      </c>
      <c r="C7494" s="33" t="s">
        <v>14</v>
      </c>
      <c r="D7494" s="33" t="s">
        <v>42</v>
      </c>
      <c r="E7494" s="33" t="s">
        <v>16036</v>
      </c>
      <c r="F7494" s="67">
        <v>41337</v>
      </c>
      <c r="G7494" s="33" t="s">
        <v>16037</v>
      </c>
      <c r="H7494" s="33" t="s">
        <v>1459</v>
      </c>
      <c r="I7494" s="33" t="s">
        <v>106</v>
      </c>
      <c r="J7494" s="33" t="s">
        <v>16038</v>
      </c>
      <c r="K7494" s="33" t="s">
        <v>1461</v>
      </c>
      <c r="L7494" s="33" t="s">
        <v>16039</v>
      </c>
      <c r="M7494" s="33" t="s">
        <v>21</v>
      </c>
      <c r="N7494" s="33" t="s">
        <v>16040</v>
      </c>
      <c r="O7494" s="33" t="s">
        <v>507</v>
      </c>
      <c r="P7494" s="33" t="s">
        <v>30089</v>
      </c>
      <c r="Q7494" s="40" t="s">
        <v>16041</v>
      </c>
      <c r="R7494" s="33" t="s">
        <v>23</v>
      </c>
      <c r="S7494" s="33" t="s">
        <v>22</v>
      </c>
      <c r="T7494" s="1" t="s">
        <v>26781</v>
      </c>
      <c r="Z7494" s="33" t="s">
        <v>42966</v>
      </c>
      <c r="AA7494" s="33">
        <v>173</v>
      </c>
      <c r="BM7494" s="1"/>
      <c r="BN7494" s="1"/>
    </row>
    <row r="7495" spans="1:66" ht="12" customHeight="1" x14ac:dyDescent="0.15">
      <c r="A7495" s="33" t="s">
        <v>16042</v>
      </c>
      <c r="B7495" s="33">
        <v>43</v>
      </c>
      <c r="C7495" s="33" t="s">
        <v>14</v>
      </c>
      <c r="D7495" s="33" t="s">
        <v>24</v>
      </c>
      <c r="F7495" s="67">
        <v>41336</v>
      </c>
      <c r="G7495" s="33" t="s">
        <v>16043</v>
      </c>
      <c r="H7495" s="33" t="s">
        <v>16044</v>
      </c>
      <c r="I7495" s="33" t="s">
        <v>56</v>
      </c>
      <c r="J7495" s="33" t="s">
        <v>7991</v>
      </c>
      <c r="K7495" s="33" t="s">
        <v>1052</v>
      </c>
      <c r="L7495" s="33" t="s">
        <v>2052</v>
      </c>
      <c r="M7495" s="33" t="s">
        <v>21</v>
      </c>
      <c r="N7495" s="33" t="s">
        <v>16045</v>
      </c>
      <c r="O7495" s="33" t="s">
        <v>950</v>
      </c>
      <c r="P7495" s="33" t="s">
        <v>30089</v>
      </c>
      <c r="Q7495" s="40" t="s">
        <v>16046</v>
      </c>
      <c r="R7495" s="33" t="s">
        <v>94</v>
      </c>
      <c r="S7495" s="33" t="s">
        <v>29</v>
      </c>
      <c r="T7495" s="1" t="s">
        <v>41840</v>
      </c>
      <c r="Z7495" s="33" t="s">
        <v>42966</v>
      </c>
      <c r="AA7495" s="33">
        <v>170</v>
      </c>
      <c r="BM7495" s="1"/>
      <c r="BN7495" s="1"/>
    </row>
    <row r="7496" spans="1:66" ht="12" customHeight="1" x14ac:dyDescent="0.15">
      <c r="A7496" s="33" t="s">
        <v>16047</v>
      </c>
      <c r="B7496" s="103">
        <v>19</v>
      </c>
      <c r="C7496" s="33" t="s">
        <v>14</v>
      </c>
      <c r="D7496" s="33" t="s">
        <v>31</v>
      </c>
      <c r="E7496" s="33" t="s">
        <v>16048</v>
      </c>
      <c r="F7496" s="67">
        <v>41336</v>
      </c>
      <c r="G7496" s="33" t="s">
        <v>16049</v>
      </c>
      <c r="H7496" s="33" t="s">
        <v>7928</v>
      </c>
      <c r="I7496" s="33" t="s">
        <v>39</v>
      </c>
      <c r="J7496" s="33" t="s">
        <v>14155</v>
      </c>
      <c r="K7496" s="33" t="s">
        <v>558</v>
      </c>
      <c r="L7496" s="33" t="s">
        <v>7930</v>
      </c>
      <c r="M7496" s="33" t="s">
        <v>21</v>
      </c>
      <c r="N7496" s="33" t="s">
        <v>16050</v>
      </c>
      <c r="O7496" s="33" t="s">
        <v>23</v>
      </c>
      <c r="P7496" s="33" t="s">
        <v>30089</v>
      </c>
      <c r="Q7496" s="40" t="s">
        <v>16051</v>
      </c>
      <c r="R7496" s="33" t="s">
        <v>94</v>
      </c>
      <c r="S7496" s="33" t="s">
        <v>12</v>
      </c>
      <c r="T7496" s="54" t="s">
        <v>29705</v>
      </c>
      <c r="Z7496" s="33" t="s">
        <v>42968</v>
      </c>
      <c r="AA7496" s="33">
        <v>169</v>
      </c>
    </row>
    <row r="7497" spans="1:66" ht="12" customHeight="1" x14ac:dyDescent="0.15">
      <c r="A7497" s="33" t="s">
        <v>16052</v>
      </c>
      <c r="B7497" s="103">
        <v>26</v>
      </c>
      <c r="C7497" s="33" t="s">
        <v>14</v>
      </c>
      <c r="D7497" s="33" t="s">
        <v>79</v>
      </c>
      <c r="E7497" s="33" t="s">
        <v>16053</v>
      </c>
      <c r="F7497" s="67">
        <v>41335</v>
      </c>
      <c r="G7497" s="33" t="s">
        <v>16054</v>
      </c>
      <c r="H7497" s="33" t="s">
        <v>12325</v>
      </c>
      <c r="I7497" s="33" t="s">
        <v>39</v>
      </c>
      <c r="J7497" s="33">
        <v>94587</v>
      </c>
      <c r="K7497" s="33" t="s">
        <v>558</v>
      </c>
      <c r="L7497" s="33" t="s">
        <v>12327</v>
      </c>
      <c r="M7497" s="33" t="s">
        <v>21</v>
      </c>
      <c r="N7497" s="33" t="s">
        <v>16055</v>
      </c>
      <c r="O7497" s="33" t="s">
        <v>23</v>
      </c>
      <c r="P7497" s="33" t="s">
        <v>30089</v>
      </c>
      <c r="Q7497" s="40" t="s">
        <v>16056</v>
      </c>
      <c r="R7497" s="33" t="s">
        <v>94</v>
      </c>
      <c r="S7497" s="33" t="s">
        <v>22</v>
      </c>
      <c r="T7497" s="1" t="s">
        <v>26781</v>
      </c>
      <c r="Z7497" s="33" t="s">
        <v>42968</v>
      </c>
      <c r="AA7497" s="33">
        <v>165</v>
      </c>
      <c r="BM7497" s="1"/>
      <c r="BN7497" s="1"/>
    </row>
    <row r="7498" spans="1:66" ht="12" customHeight="1" x14ac:dyDescent="0.15">
      <c r="A7498" s="33" t="s">
        <v>16067</v>
      </c>
      <c r="B7498" s="33">
        <v>26</v>
      </c>
      <c r="C7498" s="33" t="s">
        <v>14</v>
      </c>
      <c r="D7498" s="33" t="s">
        <v>31</v>
      </c>
      <c r="F7498" s="67">
        <v>41335</v>
      </c>
      <c r="G7498" s="33" t="s">
        <v>16068</v>
      </c>
      <c r="H7498" s="33" t="s">
        <v>15140</v>
      </c>
      <c r="I7498" s="33" t="s">
        <v>282</v>
      </c>
      <c r="J7498" s="33" t="s">
        <v>15141</v>
      </c>
      <c r="K7498" s="33" t="s">
        <v>1780</v>
      </c>
      <c r="L7498" s="33" t="s">
        <v>16069</v>
      </c>
      <c r="M7498" s="33" t="s">
        <v>21</v>
      </c>
      <c r="N7498" s="33" t="s">
        <v>16070</v>
      </c>
      <c r="O7498" s="33" t="s">
        <v>507</v>
      </c>
      <c r="P7498" s="33" t="s">
        <v>30089</v>
      </c>
      <c r="Q7498" s="40" t="s">
        <v>16071</v>
      </c>
      <c r="R7498" s="33" t="s">
        <v>94</v>
      </c>
      <c r="S7498" s="33" t="s">
        <v>22</v>
      </c>
      <c r="T7498" s="1" t="s">
        <v>26781</v>
      </c>
      <c r="Z7498" s="33" t="s">
        <v>42967</v>
      </c>
      <c r="AA7498" s="33">
        <v>167</v>
      </c>
      <c r="BM7498" s="1"/>
      <c r="BN7498" s="1"/>
    </row>
    <row r="7499" spans="1:66" ht="12" customHeight="1" x14ac:dyDescent="0.15">
      <c r="A7499" s="33" t="s">
        <v>16057</v>
      </c>
      <c r="B7499" s="33">
        <v>23</v>
      </c>
      <c r="C7499" s="33" t="s">
        <v>14</v>
      </c>
      <c r="D7499" s="33" t="s">
        <v>24</v>
      </c>
      <c r="F7499" s="67">
        <v>41335</v>
      </c>
      <c r="G7499" s="33" t="s">
        <v>16058</v>
      </c>
      <c r="H7499" s="33" t="s">
        <v>886</v>
      </c>
      <c r="I7499" s="33" t="s">
        <v>39</v>
      </c>
      <c r="J7499" s="33" t="s">
        <v>16059</v>
      </c>
      <c r="K7499" s="33" t="s">
        <v>886</v>
      </c>
      <c r="L7499" s="33" t="s">
        <v>16060</v>
      </c>
      <c r="M7499" s="33" t="s">
        <v>21</v>
      </c>
      <c r="N7499" s="33" t="s">
        <v>16061</v>
      </c>
      <c r="O7499" s="33" t="s">
        <v>950</v>
      </c>
      <c r="P7499" s="33" t="s">
        <v>30089</v>
      </c>
      <c r="Q7499" s="40" t="s">
        <v>16062</v>
      </c>
      <c r="R7499" s="33" t="s">
        <v>94</v>
      </c>
      <c r="S7499" s="33" t="s">
        <v>22</v>
      </c>
      <c r="T7499" s="1" t="s">
        <v>26781</v>
      </c>
      <c r="Z7499" s="33" t="s">
        <v>42966</v>
      </c>
      <c r="AA7499" s="33">
        <v>166</v>
      </c>
      <c r="BM7499" s="1"/>
      <c r="BN7499" s="1"/>
    </row>
    <row r="7500" spans="1:66" ht="12" customHeight="1" x14ac:dyDescent="0.15">
      <c r="A7500" s="33" t="s">
        <v>16063</v>
      </c>
      <c r="B7500" s="33">
        <v>28</v>
      </c>
      <c r="C7500" s="33" t="s">
        <v>14</v>
      </c>
      <c r="D7500" s="33" t="s">
        <v>24</v>
      </c>
      <c r="F7500" s="67">
        <v>41335</v>
      </c>
      <c r="G7500" s="33" t="s">
        <v>16064</v>
      </c>
      <c r="H7500" s="33" t="s">
        <v>560</v>
      </c>
      <c r="I7500" s="33" t="s">
        <v>39</v>
      </c>
      <c r="J7500" s="33" t="s">
        <v>7162</v>
      </c>
      <c r="K7500" s="33" t="s">
        <v>561</v>
      </c>
      <c r="L7500" s="33" t="s">
        <v>678</v>
      </c>
      <c r="M7500" s="33" t="s">
        <v>21</v>
      </c>
      <c r="N7500" s="33" t="s">
        <v>16065</v>
      </c>
      <c r="O7500" s="33" t="s">
        <v>507</v>
      </c>
      <c r="P7500" s="33" t="s">
        <v>30089</v>
      </c>
      <c r="Q7500" s="40" t="s">
        <v>16066</v>
      </c>
      <c r="R7500" s="33" t="s">
        <v>94</v>
      </c>
      <c r="S7500" s="33" t="s">
        <v>12</v>
      </c>
      <c r="T7500" s="1" t="s">
        <v>29705</v>
      </c>
      <c r="Z7500" s="33" t="s">
        <v>42966</v>
      </c>
      <c r="AA7500" s="33">
        <v>168</v>
      </c>
      <c r="BM7500" s="1"/>
      <c r="BN7500" s="1"/>
    </row>
    <row r="7501" spans="1:66" ht="12" customHeight="1" x14ac:dyDescent="0.15">
      <c r="A7501" s="33" t="s">
        <v>16082</v>
      </c>
      <c r="B7501" s="33">
        <v>47</v>
      </c>
      <c r="C7501" s="33" t="s">
        <v>14</v>
      </c>
      <c r="D7501" s="33" t="s">
        <v>31</v>
      </c>
      <c r="E7501" s="33" t="s">
        <v>16083</v>
      </c>
      <c r="F7501" s="67">
        <v>41334</v>
      </c>
      <c r="G7501" s="33" t="s">
        <v>16084</v>
      </c>
      <c r="H7501" s="33" t="s">
        <v>801</v>
      </c>
      <c r="I7501" s="33" t="s">
        <v>67</v>
      </c>
      <c r="J7501" s="33" t="s">
        <v>16085</v>
      </c>
      <c r="K7501" s="33" t="s">
        <v>801</v>
      </c>
      <c r="L7501" s="33" t="s">
        <v>802</v>
      </c>
      <c r="M7501" s="33" t="s">
        <v>21</v>
      </c>
      <c r="N7501" s="33" t="s">
        <v>16086</v>
      </c>
      <c r="O7501" s="33" t="s">
        <v>950</v>
      </c>
      <c r="P7501" s="33" t="s">
        <v>30089</v>
      </c>
      <c r="Q7501" s="40" t="s">
        <v>16087</v>
      </c>
      <c r="R7501" s="33" t="s">
        <v>94</v>
      </c>
      <c r="S7501" s="33" t="s">
        <v>22</v>
      </c>
      <c r="T7501" s="1" t="s">
        <v>26781</v>
      </c>
      <c r="Z7501" s="33" t="s">
        <v>42968</v>
      </c>
      <c r="AA7501" s="33">
        <v>162</v>
      </c>
      <c r="BM7501" s="1"/>
      <c r="BN7501" s="1"/>
    </row>
    <row r="7502" spans="1:66" ht="12" customHeight="1" x14ac:dyDescent="0.15">
      <c r="A7502" s="33" t="s">
        <v>16072</v>
      </c>
      <c r="B7502" s="33">
        <v>35</v>
      </c>
      <c r="C7502" s="33" t="s">
        <v>14</v>
      </c>
      <c r="D7502" s="33" t="s">
        <v>79</v>
      </c>
      <c r="F7502" s="67">
        <v>41334</v>
      </c>
      <c r="G7502" s="33" t="s">
        <v>16073</v>
      </c>
      <c r="H7502" s="33" t="s">
        <v>1027</v>
      </c>
      <c r="I7502" s="33" t="s">
        <v>367</v>
      </c>
      <c r="J7502" s="33" t="s">
        <v>16074</v>
      </c>
      <c r="K7502" s="33" t="s">
        <v>1028</v>
      </c>
      <c r="L7502" s="33" t="s">
        <v>1029</v>
      </c>
      <c r="M7502" s="33" t="s">
        <v>21</v>
      </c>
      <c r="N7502" s="33" t="s">
        <v>16075</v>
      </c>
      <c r="O7502" s="33" t="s">
        <v>4311</v>
      </c>
      <c r="P7502" s="33" t="s">
        <v>30089</v>
      </c>
      <c r="Q7502" s="40" t="s">
        <v>16076</v>
      </c>
      <c r="R7502" s="33" t="s">
        <v>94</v>
      </c>
      <c r="S7502" s="33" t="s">
        <v>351</v>
      </c>
      <c r="T7502" s="1" t="s">
        <v>42983</v>
      </c>
      <c r="Z7502" s="33" t="s">
        <v>42968</v>
      </c>
      <c r="AA7502" s="33">
        <v>164</v>
      </c>
    </row>
    <row r="7503" spans="1:66" ht="12" customHeight="1" x14ac:dyDescent="0.15">
      <c r="A7503" s="33" t="s">
        <v>16077</v>
      </c>
      <c r="B7503" s="33">
        <v>70</v>
      </c>
      <c r="C7503" s="33" t="s">
        <v>14</v>
      </c>
      <c r="D7503" s="33" t="s">
        <v>31</v>
      </c>
      <c r="E7503" s="33" t="s">
        <v>16078</v>
      </c>
      <c r="F7503" s="67">
        <v>41334</v>
      </c>
      <c r="G7503" s="33" t="s">
        <v>22346</v>
      </c>
      <c r="H7503" s="33" t="s">
        <v>1227</v>
      </c>
      <c r="I7503" s="33" t="s">
        <v>67</v>
      </c>
      <c r="J7503" s="33" t="s">
        <v>16079</v>
      </c>
      <c r="K7503" s="33" t="s">
        <v>1228</v>
      </c>
      <c r="L7503" s="33" t="s">
        <v>1229</v>
      </c>
      <c r="M7503" s="33" t="s">
        <v>21</v>
      </c>
      <c r="N7503" s="33" t="s">
        <v>16080</v>
      </c>
      <c r="O7503" s="33" t="s">
        <v>507</v>
      </c>
      <c r="P7503" s="33" t="s">
        <v>30089</v>
      </c>
      <c r="Q7503" s="40" t="s">
        <v>16081</v>
      </c>
      <c r="R7503" s="33" t="s">
        <v>94</v>
      </c>
      <c r="S7503" s="33" t="s">
        <v>22</v>
      </c>
      <c r="T7503" s="1" t="s">
        <v>26781</v>
      </c>
      <c r="Z7503" s="33" t="s">
        <v>42966</v>
      </c>
      <c r="AA7503" s="33">
        <v>163</v>
      </c>
      <c r="BM7503" s="1"/>
      <c r="BN7503" s="1"/>
    </row>
    <row r="7504" spans="1:66" ht="12" customHeight="1" x14ac:dyDescent="0.15">
      <c r="A7504" s="63" t="s">
        <v>42792</v>
      </c>
      <c r="B7504" s="99">
        <v>46</v>
      </c>
      <c r="C7504" s="10" t="s">
        <v>14</v>
      </c>
      <c r="D7504" s="10" t="s">
        <v>79</v>
      </c>
      <c r="E7504" s="10"/>
      <c r="F7504" s="67">
        <v>41333</v>
      </c>
      <c r="G7504" s="10" t="s">
        <v>42793</v>
      </c>
      <c r="H7504" s="10" t="s">
        <v>674</v>
      </c>
      <c r="I7504" s="10" t="s">
        <v>67</v>
      </c>
      <c r="J7504" s="65">
        <v>77096</v>
      </c>
      <c r="K7504" s="10" t="s">
        <v>515</v>
      </c>
      <c r="L7504" s="10" t="s">
        <v>675</v>
      </c>
      <c r="M7504" s="10" t="s">
        <v>21</v>
      </c>
      <c r="N7504" s="10" t="s">
        <v>42794</v>
      </c>
      <c r="O7504" s="10" t="s">
        <v>950</v>
      </c>
      <c r="P7504" s="10" t="s">
        <v>30089</v>
      </c>
      <c r="Q7504" s="62" t="s">
        <v>42795</v>
      </c>
      <c r="R7504" s="10" t="s">
        <v>94</v>
      </c>
      <c r="S7504" s="10" t="s">
        <v>29</v>
      </c>
      <c r="T7504" s="10" t="s">
        <v>29867</v>
      </c>
      <c r="U7504" s="10"/>
      <c r="V7504" s="10"/>
      <c r="W7504" s="10"/>
      <c r="X7504" s="89"/>
      <c r="Y7504" s="68"/>
      <c r="Z7504" s="68" t="s">
        <v>42966</v>
      </c>
      <c r="AA7504" s="33">
        <v>160</v>
      </c>
      <c r="AG7504" s="68"/>
      <c r="AK7504" s="68"/>
      <c r="AL7504" s="68"/>
      <c r="AM7504" s="68"/>
      <c r="AN7504" s="68"/>
      <c r="AO7504" s="68"/>
      <c r="AP7504" s="68"/>
      <c r="AQ7504" s="68"/>
      <c r="AR7504" s="68"/>
      <c r="AS7504" s="68"/>
      <c r="AT7504" s="68"/>
      <c r="AU7504" s="68"/>
      <c r="AV7504" s="68"/>
      <c r="AW7504" s="68"/>
      <c r="AX7504" s="68"/>
      <c r="AY7504" s="68"/>
      <c r="AZ7504" s="68"/>
      <c r="BA7504" s="68"/>
      <c r="BB7504" s="68"/>
      <c r="BC7504" s="68"/>
      <c r="BD7504" s="68"/>
      <c r="BE7504" s="68"/>
      <c r="BF7504" s="68"/>
      <c r="BG7504" s="68"/>
      <c r="BH7504" s="68"/>
      <c r="BI7504" s="68"/>
      <c r="BJ7504" s="68"/>
      <c r="BK7504" s="68"/>
      <c r="BL7504" s="68"/>
    </row>
    <row r="7505" spans="1:66" ht="12" customHeight="1" x14ac:dyDescent="0.15">
      <c r="A7505" s="33" t="s">
        <v>3002</v>
      </c>
      <c r="B7505" s="33">
        <v>46</v>
      </c>
      <c r="C7505" s="33" t="s">
        <v>14</v>
      </c>
      <c r="D7505" s="33" t="s">
        <v>79</v>
      </c>
      <c r="F7505" s="67">
        <v>41333</v>
      </c>
      <c r="G7505" s="33" t="s">
        <v>16088</v>
      </c>
      <c r="H7505" s="33" t="s">
        <v>674</v>
      </c>
      <c r="I7505" s="33" t="s">
        <v>67</v>
      </c>
      <c r="J7505" s="33" t="s">
        <v>16089</v>
      </c>
      <c r="K7505" s="33" t="s">
        <v>515</v>
      </c>
      <c r="L7505" s="33" t="s">
        <v>675</v>
      </c>
      <c r="M7505" s="33" t="s">
        <v>21</v>
      </c>
      <c r="N7505" s="33" t="s">
        <v>16090</v>
      </c>
      <c r="O7505" s="33" t="s">
        <v>23</v>
      </c>
      <c r="P7505" s="33" t="s">
        <v>30089</v>
      </c>
      <c r="Q7505" s="40" t="str">
        <f>HYPERLINK("http://www.myfoxhouston.com/story/21431932/suspected-purse-snatcher-shot-by-houston-police-officer","http://www.myfoxhouston.com/story/21431932/suspected-purse-snatcher-shot-by-houston-police-officer")</f>
        <v>http://www.myfoxhouston.com/story/21431932/suspected-purse-snatcher-shot-by-houston-police-officer</v>
      </c>
      <c r="R7505" s="33" t="s">
        <v>94</v>
      </c>
      <c r="S7505" s="33" t="s">
        <v>22</v>
      </c>
      <c r="T7505" s="1" t="s">
        <v>29867</v>
      </c>
      <c r="Z7505" s="33" t="s">
        <v>42966</v>
      </c>
      <c r="AA7505" s="33">
        <v>159</v>
      </c>
      <c r="BM7505" s="1"/>
      <c r="BN7505" s="1"/>
    </row>
    <row r="7506" spans="1:66" ht="12" customHeight="1" x14ac:dyDescent="0.15">
      <c r="A7506" s="33" t="s">
        <v>16091</v>
      </c>
      <c r="B7506" s="33">
        <v>37</v>
      </c>
      <c r="C7506" s="33" t="s">
        <v>14</v>
      </c>
      <c r="D7506" s="33" t="s">
        <v>24</v>
      </c>
      <c r="F7506" s="67">
        <v>41333</v>
      </c>
      <c r="G7506" s="33" t="s">
        <v>16092</v>
      </c>
      <c r="H7506" s="33" t="s">
        <v>11780</v>
      </c>
      <c r="I7506" s="33" t="s">
        <v>39</v>
      </c>
      <c r="J7506" s="33" t="s">
        <v>11781</v>
      </c>
      <c r="K7506" s="33" t="s">
        <v>2469</v>
      </c>
      <c r="L7506" s="33" t="s">
        <v>12301</v>
      </c>
      <c r="M7506" s="33" t="s">
        <v>21</v>
      </c>
      <c r="N7506" s="33" t="s">
        <v>16093</v>
      </c>
      <c r="O7506" s="33" t="s">
        <v>507</v>
      </c>
      <c r="P7506" s="33" t="s">
        <v>30089</v>
      </c>
      <c r="Q7506" s="40" t="s">
        <v>16094</v>
      </c>
      <c r="R7506" s="33" t="s">
        <v>94</v>
      </c>
      <c r="S7506" s="33" t="s">
        <v>12</v>
      </c>
      <c r="T7506" s="1" t="s">
        <v>29705</v>
      </c>
      <c r="Z7506" s="33" t="s">
        <v>42967</v>
      </c>
      <c r="AA7506" s="33">
        <v>161</v>
      </c>
      <c r="BM7506" s="1"/>
      <c r="BN7506" s="1"/>
    </row>
    <row r="7507" spans="1:66" ht="12" customHeight="1" x14ac:dyDescent="0.15">
      <c r="A7507" s="33" t="s">
        <v>16095</v>
      </c>
      <c r="B7507" s="33">
        <v>21</v>
      </c>
      <c r="C7507" s="33" t="s">
        <v>14</v>
      </c>
      <c r="D7507" s="33" t="s">
        <v>128</v>
      </c>
      <c r="E7507" s="33" t="s">
        <v>16096</v>
      </c>
      <c r="F7507" s="67">
        <v>41331</v>
      </c>
      <c r="G7507" s="33" t="s">
        <v>22348</v>
      </c>
      <c r="H7507" s="33" t="s">
        <v>1132</v>
      </c>
      <c r="I7507" s="33" t="s">
        <v>282</v>
      </c>
      <c r="J7507" s="33" t="s">
        <v>16097</v>
      </c>
      <c r="K7507" s="33" t="s">
        <v>1133</v>
      </c>
      <c r="L7507" s="33" t="s">
        <v>1134</v>
      </c>
      <c r="M7507" s="33" t="s">
        <v>21</v>
      </c>
      <c r="N7507" s="33" t="s">
        <v>16098</v>
      </c>
      <c r="O7507" s="33" t="s">
        <v>23</v>
      </c>
      <c r="P7507" s="33" t="s">
        <v>30089</v>
      </c>
      <c r="Q7507" s="40" t="s">
        <v>16099</v>
      </c>
      <c r="R7507" s="33" t="s">
        <v>512</v>
      </c>
      <c r="S7507" s="33" t="s">
        <v>29</v>
      </c>
      <c r="T7507" s="1" t="s">
        <v>41840</v>
      </c>
      <c r="Z7507" s="33" t="s">
        <v>42966</v>
      </c>
      <c r="AA7507" s="33">
        <v>157</v>
      </c>
      <c r="BM7507" s="1"/>
      <c r="BN7507" s="1"/>
    </row>
    <row r="7508" spans="1:66" ht="12" customHeight="1" x14ac:dyDescent="0.15">
      <c r="A7508" s="33" t="s">
        <v>16100</v>
      </c>
      <c r="B7508" s="33">
        <v>24</v>
      </c>
      <c r="C7508" s="33" t="s">
        <v>14</v>
      </c>
      <c r="D7508" s="33" t="s">
        <v>24</v>
      </c>
      <c r="F7508" s="67">
        <v>41331</v>
      </c>
      <c r="G7508" s="33" t="s">
        <v>16101</v>
      </c>
      <c r="H7508" s="33" t="s">
        <v>45</v>
      </c>
      <c r="I7508" s="33" t="s">
        <v>26</v>
      </c>
      <c r="J7508" s="33" t="s">
        <v>16102</v>
      </c>
      <c r="K7508" s="33" t="s">
        <v>2402</v>
      </c>
      <c r="L7508" s="33" t="s">
        <v>16103</v>
      </c>
      <c r="M7508" s="33" t="s">
        <v>21</v>
      </c>
      <c r="N7508" s="33" t="s">
        <v>16104</v>
      </c>
      <c r="O7508" s="33" t="s">
        <v>950</v>
      </c>
      <c r="P7508" s="33" t="s">
        <v>30089</v>
      </c>
      <c r="Q7508" s="40" t="s">
        <v>16105</v>
      </c>
      <c r="R7508" s="33" t="s">
        <v>94</v>
      </c>
      <c r="S7508" s="33" t="s">
        <v>22</v>
      </c>
      <c r="T7508" s="1" t="s">
        <v>26781</v>
      </c>
      <c r="Z7508" s="33" t="s">
        <v>42968</v>
      </c>
      <c r="AA7508" s="33">
        <v>156</v>
      </c>
      <c r="BM7508" s="1"/>
      <c r="BN7508" s="1"/>
    </row>
    <row r="7509" spans="1:66" ht="12" customHeight="1" x14ac:dyDescent="0.15">
      <c r="A7509" s="33" t="s">
        <v>16106</v>
      </c>
      <c r="B7509" s="103">
        <v>35</v>
      </c>
      <c r="C7509" s="33" t="s">
        <v>14</v>
      </c>
      <c r="D7509" s="33" t="s">
        <v>31</v>
      </c>
      <c r="E7509" s="33" t="s">
        <v>16107</v>
      </c>
      <c r="F7509" s="67">
        <v>41331</v>
      </c>
      <c r="G7509" s="33" t="s">
        <v>22347</v>
      </c>
      <c r="H7509" s="33" t="s">
        <v>1270</v>
      </c>
      <c r="I7509" s="33" t="s">
        <v>39</v>
      </c>
      <c r="J7509" s="33" t="s">
        <v>16108</v>
      </c>
      <c r="K7509" s="33" t="s">
        <v>1270</v>
      </c>
      <c r="L7509" s="33" t="s">
        <v>16109</v>
      </c>
      <c r="M7509" s="33" t="s">
        <v>21</v>
      </c>
      <c r="N7509" s="33" t="s">
        <v>16110</v>
      </c>
      <c r="O7509" s="33" t="s">
        <v>507</v>
      </c>
      <c r="P7509" s="33" t="s">
        <v>30089</v>
      </c>
      <c r="Q7509" s="40" t="s">
        <v>16111</v>
      </c>
      <c r="R7509" s="33" t="s">
        <v>94</v>
      </c>
      <c r="S7509" s="33" t="s">
        <v>29</v>
      </c>
      <c r="T7509" s="1" t="s">
        <v>41840</v>
      </c>
      <c r="Z7509" s="33" t="s">
        <v>42968</v>
      </c>
      <c r="AA7509" s="33">
        <v>158</v>
      </c>
      <c r="BM7509" s="1"/>
      <c r="BN7509" s="1"/>
    </row>
    <row r="7510" spans="1:66" ht="12" customHeight="1" x14ac:dyDescent="0.15">
      <c r="A7510" s="33" t="s">
        <v>16116</v>
      </c>
      <c r="B7510" s="33">
        <v>78</v>
      </c>
      <c r="C7510" s="33" t="s">
        <v>14</v>
      </c>
      <c r="D7510" s="33" t="s">
        <v>31</v>
      </c>
      <c r="E7510" s="33" t="s">
        <v>16117</v>
      </c>
      <c r="F7510" s="67">
        <v>41330</v>
      </c>
      <c r="G7510" s="33" t="s">
        <v>16118</v>
      </c>
      <c r="H7510" s="33" t="s">
        <v>16119</v>
      </c>
      <c r="I7510" s="33" t="s">
        <v>106</v>
      </c>
      <c r="J7510" s="33" t="s">
        <v>4295</v>
      </c>
      <c r="K7510" s="33" t="s">
        <v>392</v>
      </c>
      <c r="L7510" s="33" t="s">
        <v>16120</v>
      </c>
      <c r="M7510" s="33" t="s">
        <v>21</v>
      </c>
      <c r="N7510" s="33" t="s">
        <v>16121</v>
      </c>
      <c r="O7510" s="33" t="s">
        <v>507</v>
      </c>
      <c r="P7510" s="33" t="s">
        <v>30089</v>
      </c>
      <c r="Q7510" s="40" t="s">
        <v>16122</v>
      </c>
      <c r="R7510" s="33" t="s">
        <v>94</v>
      </c>
      <c r="S7510" s="33" t="s">
        <v>22</v>
      </c>
      <c r="T7510" s="1" t="s">
        <v>26781</v>
      </c>
      <c r="Z7510" s="33" t="s">
        <v>42967</v>
      </c>
      <c r="AA7510" s="33">
        <v>154</v>
      </c>
      <c r="BM7510" s="1"/>
      <c r="BN7510" s="1"/>
    </row>
    <row r="7511" spans="1:66" ht="12" customHeight="1" x14ac:dyDescent="0.15">
      <c r="A7511" s="33" t="s">
        <v>16112</v>
      </c>
      <c r="B7511" s="103">
        <v>39</v>
      </c>
      <c r="C7511" s="33" t="s">
        <v>14</v>
      </c>
      <c r="D7511" s="33" t="s">
        <v>42</v>
      </c>
      <c r="F7511" s="67">
        <v>41330</v>
      </c>
      <c r="G7511" s="33" t="s">
        <v>16113</v>
      </c>
      <c r="H7511" s="33" t="s">
        <v>728</v>
      </c>
      <c r="I7511" s="33" t="s">
        <v>39</v>
      </c>
      <c r="J7511" s="33" t="s">
        <v>11202</v>
      </c>
      <c r="K7511" s="33" t="s">
        <v>728</v>
      </c>
      <c r="L7511" s="33" t="s">
        <v>5461</v>
      </c>
      <c r="M7511" s="33" t="s">
        <v>21</v>
      </c>
      <c r="N7511" s="33" t="s">
        <v>16114</v>
      </c>
      <c r="O7511" s="33" t="s">
        <v>23</v>
      </c>
      <c r="P7511" s="33" t="s">
        <v>30089</v>
      </c>
      <c r="Q7511" s="40" t="s">
        <v>16115</v>
      </c>
      <c r="R7511" s="33" t="s">
        <v>94</v>
      </c>
      <c r="S7511" s="33" t="s">
        <v>351</v>
      </c>
      <c r="T7511" s="33" t="s">
        <v>26867</v>
      </c>
      <c r="Z7511" s="33" t="s">
        <v>42968</v>
      </c>
      <c r="AA7511" s="33">
        <v>155</v>
      </c>
      <c r="AE7511" s="33"/>
      <c r="BM7511" s="1"/>
      <c r="BN7511" s="1"/>
    </row>
    <row r="7512" spans="1:66" ht="12" customHeight="1" x14ac:dyDescent="0.15">
      <c r="A7512" s="33" t="s">
        <v>16123</v>
      </c>
      <c r="B7512" s="33">
        <v>33</v>
      </c>
      <c r="C7512" s="33" t="s">
        <v>14</v>
      </c>
      <c r="D7512" s="33" t="s">
        <v>31</v>
      </c>
      <c r="E7512" s="33" t="s">
        <v>16124</v>
      </c>
      <c r="F7512" s="67">
        <v>41330</v>
      </c>
      <c r="G7512" s="33" t="s">
        <v>6867</v>
      </c>
      <c r="H7512" s="33" t="s">
        <v>16125</v>
      </c>
      <c r="I7512" s="33" t="s">
        <v>221</v>
      </c>
      <c r="J7512" s="33" t="s">
        <v>16126</v>
      </c>
      <c r="K7512" s="33" t="s">
        <v>4602</v>
      </c>
      <c r="L7512" s="33" t="s">
        <v>16127</v>
      </c>
      <c r="M7512" s="33" t="s">
        <v>21</v>
      </c>
      <c r="N7512" s="33" t="s">
        <v>16128</v>
      </c>
      <c r="O7512" s="33" t="s">
        <v>507</v>
      </c>
      <c r="P7512" s="33" t="s">
        <v>30089</v>
      </c>
      <c r="Q7512" s="40" t="s">
        <v>4830</v>
      </c>
      <c r="R7512" s="33" t="s">
        <v>94</v>
      </c>
      <c r="S7512" s="33" t="s">
        <v>22</v>
      </c>
      <c r="T7512" s="1" t="s">
        <v>26781</v>
      </c>
      <c r="Z7512" s="33" t="s">
        <v>42968</v>
      </c>
      <c r="AA7512" s="33">
        <v>153</v>
      </c>
      <c r="BM7512" s="1"/>
      <c r="BN7512" s="1"/>
    </row>
    <row r="7513" spans="1:66" ht="12" customHeight="1" x14ac:dyDescent="0.15">
      <c r="A7513" s="33" t="s">
        <v>16134</v>
      </c>
      <c r="B7513" s="103">
        <v>52</v>
      </c>
      <c r="C7513" s="33" t="s">
        <v>14</v>
      </c>
      <c r="D7513" s="33" t="s">
        <v>31</v>
      </c>
      <c r="E7513" s="33" t="s">
        <v>16135</v>
      </c>
      <c r="F7513" s="67">
        <v>41329</v>
      </c>
      <c r="G7513" s="33" t="s">
        <v>16136</v>
      </c>
      <c r="H7513" s="33" t="s">
        <v>16137</v>
      </c>
      <c r="I7513" s="33" t="s">
        <v>35</v>
      </c>
      <c r="J7513" s="33" t="s">
        <v>16138</v>
      </c>
      <c r="K7513" s="33" t="s">
        <v>6257</v>
      </c>
      <c r="L7513" s="33" t="s">
        <v>16139</v>
      </c>
      <c r="M7513" s="33" t="s">
        <v>21</v>
      </c>
      <c r="N7513" s="33" t="s">
        <v>16140</v>
      </c>
      <c r="O7513" s="33" t="s">
        <v>507</v>
      </c>
      <c r="P7513" s="33" t="s">
        <v>30089</v>
      </c>
      <c r="Q7513" s="40" t="s">
        <v>16141</v>
      </c>
      <c r="R7513" s="33" t="s">
        <v>512</v>
      </c>
      <c r="S7513" s="33" t="s">
        <v>22</v>
      </c>
      <c r="T7513" s="1" t="s">
        <v>26781</v>
      </c>
      <c r="Z7513" s="33" t="s">
        <v>42968</v>
      </c>
      <c r="AA7513" s="33">
        <v>151</v>
      </c>
      <c r="BM7513" s="1"/>
      <c r="BN7513" s="1"/>
    </row>
    <row r="7514" spans="1:66" ht="12" customHeight="1" x14ac:dyDescent="0.15">
      <c r="A7514" s="33" t="s">
        <v>16129</v>
      </c>
      <c r="B7514" s="33">
        <v>25</v>
      </c>
      <c r="C7514" s="33" t="s">
        <v>14</v>
      </c>
      <c r="D7514" s="33" t="s">
        <v>42</v>
      </c>
      <c r="F7514" s="67">
        <v>41329</v>
      </c>
      <c r="G7514" s="33" t="s">
        <v>16130</v>
      </c>
      <c r="H7514" s="33" t="s">
        <v>92</v>
      </c>
      <c r="I7514" s="33" t="s">
        <v>39</v>
      </c>
      <c r="J7514" s="33" t="s">
        <v>16131</v>
      </c>
      <c r="K7514" s="33" t="s">
        <v>92</v>
      </c>
      <c r="L7514" s="33" t="s">
        <v>93</v>
      </c>
      <c r="M7514" s="33" t="s">
        <v>21</v>
      </c>
      <c r="N7514" s="33" t="s">
        <v>16132</v>
      </c>
      <c r="O7514" s="33" t="s">
        <v>950</v>
      </c>
      <c r="P7514" s="33" t="s">
        <v>30089</v>
      </c>
      <c r="Q7514" s="40" t="s">
        <v>16133</v>
      </c>
      <c r="R7514" s="33" t="s">
        <v>512</v>
      </c>
      <c r="S7514" s="33" t="s">
        <v>12</v>
      </c>
      <c r="T7514" s="1" t="s">
        <v>29705</v>
      </c>
      <c r="Z7514" s="33" t="s">
        <v>42966</v>
      </c>
      <c r="AA7514" s="33">
        <v>152</v>
      </c>
      <c r="BM7514" s="1"/>
      <c r="BN7514" s="1"/>
    </row>
    <row r="7515" spans="1:66" ht="12" customHeight="1" x14ac:dyDescent="0.15">
      <c r="A7515" s="33" t="s">
        <v>16142</v>
      </c>
      <c r="B7515" s="33">
        <v>51</v>
      </c>
      <c r="C7515" s="33" t="s">
        <v>14</v>
      </c>
      <c r="D7515" s="33" t="s">
        <v>24</v>
      </c>
      <c r="F7515" s="67">
        <v>41328</v>
      </c>
      <c r="G7515" s="33" t="s">
        <v>16143</v>
      </c>
      <c r="H7515" s="33" t="s">
        <v>16144</v>
      </c>
      <c r="I7515" s="33" t="s">
        <v>75</v>
      </c>
      <c r="J7515" s="33" t="s">
        <v>16145</v>
      </c>
      <c r="K7515" s="33" t="s">
        <v>36</v>
      </c>
      <c r="L7515" s="33" t="s">
        <v>16146</v>
      </c>
      <c r="M7515" s="33" t="s">
        <v>21</v>
      </c>
      <c r="N7515" s="33" t="s">
        <v>16147</v>
      </c>
      <c r="O7515" s="33" t="s">
        <v>950</v>
      </c>
      <c r="P7515" s="33" t="s">
        <v>30089</v>
      </c>
      <c r="Q7515" s="40" t="s">
        <v>16148</v>
      </c>
      <c r="R7515" s="33" t="s">
        <v>23</v>
      </c>
      <c r="S7515" s="33" t="s">
        <v>22</v>
      </c>
      <c r="T7515" s="1" t="s">
        <v>26774</v>
      </c>
      <c r="Z7515" s="33" t="s">
        <v>42968</v>
      </c>
      <c r="AA7515" s="33">
        <v>150</v>
      </c>
      <c r="BM7515" s="1"/>
      <c r="BN7515" s="1"/>
    </row>
    <row r="7516" spans="1:66" ht="12" customHeight="1" x14ac:dyDescent="0.15">
      <c r="A7516" s="33" t="s">
        <v>16154</v>
      </c>
      <c r="B7516" s="33">
        <v>33</v>
      </c>
      <c r="C7516" s="33" t="s">
        <v>14</v>
      </c>
      <c r="D7516" s="33" t="s">
        <v>31</v>
      </c>
      <c r="E7516" s="33" t="s">
        <v>16155</v>
      </c>
      <c r="F7516" s="67">
        <v>41328</v>
      </c>
      <c r="G7516" s="33" t="s">
        <v>22349</v>
      </c>
      <c r="H7516" s="33" t="s">
        <v>1645</v>
      </c>
      <c r="I7516" s="33" t="s">
        <v>39</v>
      </c>
      <c r="J7516" s="33" t="s">
        <v>16156</v>
      </c>
      <c r="K7516" s="33" t="s">
        <v>1647</v>
      </c>
      <c r="L7516" s="33" t="s">
        <v>43048</v>
      </c>
      <c r="M7516" s="33" t="s">
        <v>21</v>
      </c>
      <c r="N7516" s="33" t="s">
        <v>16157</v>
      </c>
      <c r="O7516" s="33" t="s">
        <v>372</v>
      </c>
      <c r="P7516" s="33" t="s">
        <v>30089</v>
      </c>
      <c r="Q7516" s="40" t="s">
        <v>16158</v>
      </c>
      <c r="R7516" s="33" t="s">
        <v>94</v>
      </c>
      <c r="S7516" s="33" t="s">
        <v>22</v>
      </c>
      <c r="T7516" s="1" t="s">
        <v>26781</v>
      </c>
      <c r="Z7516" s="33" t="s">
        <v>42967</v>
      </c>
      <c r="AA7516" s="33">
        <v>149</v>
      </c>
      <c r="BM7516" s="1"/>
      <c r="BN7516" s="1"/>
    </row>
    <row r="7517" spans="1:66" ht="12" customHeight="1" x14ac:dyDescent="0.15">
      <c r="A7517" s="33" t="s">
        <v>16149</v>
      </c>
      <c r="B7517" s="103">
        <v>34</v>
      </c>
      <c r="C7517" s="33" t="s">
        <v>14</v>
      </c>
      <c r="D7517" s="33" t="s">
        <v>31</v>
      </c>
      <c r="F7517" s="67">
        <v>41328</v>
      </c>
      <c r="G7517" s="33" t="s">
        <v>16150</v>
      </c>
      <c r="H7517" s="33" t="s">
        <v>12493</v>
      </c>
      <c r="I7517" s="33" t="s">
        <v>250</v>
      </c>
      <c r="J7517" s="33" t="s">
        <v>16151</v>
      </c>
      <c r="K7517" s="33" t="s">
        <v>5732</v>
      </c>
      <c r="L7517" s="33" t="s">
        <v>6817</v>
      </c>
      <c r="M7517" s="33" t="s">
        <v>21</v>
      </c>
      <c r="N7517" s="33" t="s">
        <v>16152</v>
      </c>
      <c r="O7517" s="33" t="s">
        <v>507</v>
      </c>
      <c r="P7517" s="33" t="s">
        <v>30089</v>
      </c>
      <c r="Q7517" s="40" t="s">
        <v>16153</v>
      </c>
      <c r="R7517" s="33" t="s">
        <v>512</v>
      </c>
      <c r="S7517" s="33" t="s">
        <v>22</v>
      </c>
      <c r="T7517" s="1" t="s">
        <v>26781</v>
      </c>
      <c r="Z7517" s="33" t="s">
        <v>42968</v>
      </c>
      <c r="AA7517" s="33">
        <v>148</v>
      </c>
      <c r="BM7517" s="1"/>
      <c r="BN7517" s="1"/>
    </row>
    <row r="7518" spans="1:66" ht="12" customHeight="1" x14ac:dyDescent="0.15">
      <c r="A7518" s="33" t="s">
        <v>16163</v>
      </c>
      <c r="B7518" s="33">
        <v>29</v>
      </c>
      <c r="C7518" s="33" t="s">
        <v>14</v>
      </c>
      <c r="D7518" s="33" t="s">
        <v>31</v>
      </c>
      <c r="E7518" s="33" t="s">
        <v>16164</v>
      </c>
      <c r="F7518" s="67">
        <v>41327</v>
      </c>
      <c r="G7518" s="33" t="s">
        <v>16165</v>
      </c>
      <c r="H7518" s="33" t="s">
        <v>3846</v>
      </c>
      <c r="I7518" s="33" t="s">
        <v>402</v>
      </c>
      <c r="J7518" s="33" t="s">
        <v>16166</v>
      </c>
      <c r="K7518" s="33" t="s">
        <v>4549</v>
      </c>
      <c r="L7518" s="33" t="s">
        <v>3849</v>
      </c>
      <c r="M7518" s="33" t="s">
        <v>21</v>
      </c>
      <c r="N7518" s="33" t="s">
        <v>16167</v>
      </c>
      <c r="O7518" s="33" t="s">
        <v>507</v>
      </c>
      <c r="P7518" s="33" t="s">
        <v>30089</v>
      </c>
      <c r="Q7518" s="40" t="s">
        <v>16168</v>
      </c>
      <c r="R7518" s="33" t="s">
        <v>23</v>
      </c>
      <c r="S7518" s="33" t="s">
        <v>22</v>
      </c>
      <c r="T7518" s="1" t="s">
        <v>26781</v>
      </c>
      <c r="Z7518" s="33" t="s">
        <v>42966</v>
      </c>
      <c r="AA7518" s="33">
        <v>147</v>
      </c>
      <c r="BM7518" s="1"/>
      <c r="BN7518" s="1"/>
    </row>
    <row r="7519" spans="1:66" ht="12" customHeight="1" x14ac:dyDescent="0.15">
      <c r="A7519" s="33" t="s">
        <v>16159</v>
      </c>
      <c r="B7519" s="103">
        <v>25</v>
      </c>
      <c r="C7519" s="33" t="s">
        <v>14</v>
      </c>
      <c r="D7519" s="33" t="s">
        <v>42</v>
      </c>
      <c r="E7519" s="33" t="s">
        <v>16160</v>
      </c>
      <c r="F7519" s="67">
        <v>41327</v>
      </c>
      <c r="G7519" s="33" t="s">
        <v>22350</v>
      </c>
      <c r="H7519" s="33" t="s">
        <v>532</v>
      </c>
      <c r="I7519" s="33" t="s">
        <v>67</v>
      </c>
      <c r="J7519" s="33" t="s">
        <v>1699</v>
      </c>
      <c r="K7519" s="33" t="s">
        <v>533</v>
      </c>
      <c r="L7519" s="33" t="s">
        <v>534</v>
      </c>
      <c r="M7519" s="33" t="s">
        <v>21</v>
      </c>
      <c r="N7519" s="33" t="s">
        <v>16161</v>
      </c>
      <c r="O7519" s="33" t="s">
        <v>507</v>
      </c>
      <c r="P7519" s="33" t="s">
        <v>30089</v>
      </c>
      <c r="Q7519" s="40" t="s">
        <v>16162</v>
      </c>
      <c r="R7519" s="33" t="s">
        <v>94</v>
      </c>
      <c r="S7519" s="33" t="s">
        <v>22</v>
      </c>
      <c r="T7519" s="1" t="s">
        <v>26781</v>
      </c>
      <c r="Z7519" s="33" t="s">
        <v>42968</v>
      </c>
      <c r="AA7519" s="33">
        <v>146</v>
      </c>
      <c r="BM7519" s="1"/>
      <c r="BN7519" s="1"/>
    </row>
    <row r="7520" spans="1:66" ht="12" customHeight="1" x14ac:dyDescent="0.15">
      <c r="A7520" s="33" t="s">
        <v>16169</v>
      </c>
      <c r="B7520" s="33">
        <v>19</v>
      </c>
      <c r="C7520" s="33" t="s">
        <v>14</v>
      </c>
      <c r="D7520" s="33" t="s">
        <v>79</v>
      </c>
      <c r="F7520" s="67">
        <v>41326</v>
      </c>
      <c r="G7520" s="33" t="s">
        <v>22351</v>
      </c>
      <c r="H7520" s="33" t="s">
        <v>451</v>
      </c>
      <c r="I7520" s="33" t="s">
        <v>39</v>
      </c>
      <c r="J7520" s="33" t="s">
        <v>16170</v>
      </c>
      <c r="K7520" s="33" t="s">
        <v>92</v>
      </c>
      <c r="L7520" s="33" t="s">
        <v>452</v>
      </c>
      <c r="M7520" s="33" t="s">
        <v>21</v>
      </c>
      <c r="N7520" s="33" t="s">
        <v>16171</v>
      </c>
      <c r="O7520" s="33" t="s">
        <v>950</v>
      </c>
      <c r="P7520" s="33" t="s">
        <v>30089</v>
      </c>
      <c r="Q7520" s="40" t="s">
        <v>16172</v>
      </c>
      <c r="R7520" s="33" t="s">
        <v>94</v>
      </c>
      <c r="S7520" s="33" t="s">
        <v>22</v>
      </c>
      <c r="T7520" s="1" t="s">
        <v>26781</v>
      </c>
      <c r="Z7520" s="33" t="s">
        <v>42966</v>
      </c>
      <c r="AA7520" s="33">
        <v>142</v>
      </c>
      <c r="BM7520" s="1"/>
      <c r="BN7520" s="1"/>
    </row>
    <row r="7521" spans="1:66" ht="12" customHeight="1" x14ac:dyDescent="0.15">
      <c r="A7521" s="33" t="s">
        <v>16173</v>
      </c>
      <c r="B7521" s="33">
        <v>44</v>
      </c>
      <c r="C7521" s="33" t="s">
        <v>14</v>
      </c>
      <c r="D7521" s="33" t="s">
        <v>42</v>
      </c>
      <c r="F7521" s="67">
        <v>41326</v>
      </c>
      <c r="G7521" s="33" t="s">
        <v>16174</v>
      </c>
      <c r="H7521" s="33" t="s">
        <v>3751</v>
      </c>
      <c r="I7521" s="33" t="s">
        <v>376</v>
      </c>
      <c r="J7521" s="33" t="s">
        <v>16175</v>
      </c>
      <c r="K7521" s="33" t="s">
        <v>3753</v>
      </c>
      <c r="L7521" s="33" t="s">
        <v>16176</v>
      </c>
      <c r="M7521" s="33" t="s">
        <v>4966</v>
      </c>
      <c r="N7521" s="33" t="s">
        <v>16177</v>
      </c>
      <c r="O7521" s="33" t="s">
        <v>507</v>
      </c>
      <c r="P7521" s="33" t="s">
        <v>30089</v>
      </c>
      <c r="Q7521" s="40" t="s">
        <v>16178</v>
      </c>
      <c r="R7521" s="33" t="s">
        <v>512</v>
      </c>
      <c r="S7521" s="33" t="s">
        <v>22</v>
      </c>
      <c r="T7521" s="1" t="s">
        <v>26593</v>
      </c>
      <c r="Z7521" s="33" t="s">
        <v>42966</v>
      </c>
      <c r="AA7521" s="33">
        <v>145</v>
      </c>
      <c r="BM7521" s="1"/>
      <c r="BN7521" s="1"/>
    </row>
    <row r="7522" spans="1:66" ht="12" customHeight="1" x14ac:dyDescent="0.15">
      <c r="A7522" s="33" t="s">
        <v>16179</v>
      </c>
      <c r="B7522" s="33">
        <v>72</v>
      </c>
      <c r="C7522" s="33" t="s">
        <v>14</v>
      </c>
      <c r="D7522" s="33" t="s">
        <v>24</v>
      </c>
      <c r="F7522" s="67">
        <v>41326</v>
      </c>
      <c r="G7522" s="33" t="s">
        <v>16180</v>
      </c>
      <c r="H7522" s="33" t="s">
        <v>16181</v>
      </c>
      <c r="I7522" s="33" t="s">
        <v>376</v>
      </c>
      <c r="J7522" s="33">
        <v>17345</v>
      </c>
      <c r="K7522" s="33" t="s">
        <v>1499</v>
      </c>
      <c r="L7522" s="33" t="s">
        <v>16182</v>
      </c>
      <c r="M7522" s="33" t="s">
        <v>21</v>
      </c>
      <c r="N7522" s="33" t="s">
        <v>16183</v>
      </c>
      <c r="O7522" s="33" t="s">
        <v>507</v>
      </c>
      <c r="P7522" s="33" t="s">
        <v>30089</v>
      </c>
      <c r="Q7522" s="40" t="s">
        <v>16184</v>
      </c>
      <c r="R7522" s="33" t="s">
        <v>512</v>
      </c>
      <c r="S7522" s="33" t="s">
        <v>22</v>
      </c>
      <c r="T7522" s="1" t="s">
        <v>26781</v>
      </c>
      <c r="Z7522" s="33" t="s">
        <v>42968</v>
      </c>
      <c r="AA7522" s="33">
        <v>143</v>
      </c>
      <c r="BM7522" s="1"/>
      <c r="BN7522" s="1"/>
    </row>
    <row r="7523" spans="1:66" ht="12" customHeight="1" x14ac:dyDescent="0.15">
      <c r="A7523" s="33" t="s">
        <v>16185</v>
      </c>
      <c r="B7523" s="33">
        <v>72</v>
      </c>
      <c r="C7523" s="33" t="s">
        <v>14</v>
      </c>
      <c r="D7523" s="33" t="s">
        <v>31</v>
      </c>
      <c r="E7523" s="33" t="s">
        <v>16186</v>
      </c>
      <c r="F7523" s="67">
        <v>41326</v>
      </c>
      <c r="G7523" s="33" t="s">
        <v>22352</v>
      </c>
      <c r="H7523" s="33" t="s">
        <v>5677</v>
      </c>
      <c r="I7523" s="33" t="s">
        <v>376</v>
      </c>
      <c r="J7523" s="33" t="s">
        <v>16187</v>
      </c>
      <c r="K7523" s="33" t="s">
        <v>1499</v>
      </c>
      <c r="L7523" s="33" t="s">
        <v>16188</v>
      </c>
      <c r="M7523" s="33" t="s">
        <v>21</v>
      </c>
      <c r="N7523" s="33" t="s">
        <v>16189</v>
      </c>
      <c r="O7523" s="33" t="s">
        <v>507</v>
      </c>
      <c r="P7523" s="33" t="s">
        <v>30089</v>
      </c>
      <c r="Q7523" s="40" t="s">
        <v>16190</v>
      </c>
      <c r="R7523" s="33" t="s">
        <v>512</v>
      </c>
      <c r="S7523" s="33" t="s">
        <v>22</v>
      </c>
      <c r="T7523" s="1" t="s">
        <v>26781</v>
      </c>
      <c r="Z7523" s="33" t="s">
        <v>42968</v>
      </c>
      <c r="AA7523" s="33">
        <v>144</v>
      </c>
      <c r="BM7523" s="1"/>
      <c r="BN7523" s="1"/>
    </row>
    <row r="7524" spans="1:66" ht="12" customHeight="1" x14ac:dyDescent="0.15">
      <c r="A7524" s="33" t="s">
        <v>16191</v>
      </c>
      <c r="B7524" s="103">
        <v>21</v>
      </c>
      <c r="C7524" s="33" t="s">
        <v>14</v>
      </c>
      <c r="D7524" s="33" t="s">
        <v>79</v>
      </c>
      <c r="E7524" s="33" t="s">
        <v>16192</v>
      </c>
      <c r="F7524" s="67">
        <v>41325</v>
      </c>
      <c r="G7524" s="33" t="s">
        <v>22353</v>
      </c>
      <c r="H7524" s="33" t="s">
        <v>1678</v>
      </c>
      <c r="I7524" s="33" t="s">
        <v>198</v>
      </c>
      <c r="J7524" s="33" t="s">
        <v>16193</v>
      </c>
      <c r="K7524" s="33" t="s">
        <v>1680</v>
      </c>
      <c r="L7524" s="33" t="s">
        <v>1681</v>
      </c>
      <c r="M7524" s="33" t="s">
        <v>21</v>
      </c>
      <c r="N7524" s="33" t="s">
        <v>16194</v>
      </c>
      <c r="O7524" s="33" t="s">
        <v>507</v>
      </c>
      <c r="P7524" s="33" t="s">
        <v>30089</v>
      </c>
      <c r="Q7524" s="40" t="s">
        <v>16195</v>
      </c>
      <c r="R7524" s="33" t="s">
        <v>94</v>
      </c>
      <c r="S7524" s="33" t="s">
        <v>22</v>
      </c>
      <c r="T7524" s="1" t="s">
        <v>26781</v>
      </c>
      <c r="Z7524" s="33" t="s">
        <v>42966</v>
      </c>
      <c r="AA7524" s="33">
        <v>141</v>
      </c>
      <c r="BM7524" s="1"/>
      <c r="BN7524" s="1"/>
    </row>
    <row r="7525" spans="1:66" ht="12" customHeight="1" x14ac:dyDescent="0.15">
      <c r="A7525" s="33" t="s">
        <v>16206</v>
      </c>
      <c r="B7525" s="33">
        <v>25</v>
      </c>
      <c r="C7525" s="33" t="s">
        <v>14</v>
      </c>
      <c r="D7525" s="33" t="s">
        <v>31</v>
      </c>
      <c r="E7525" s="33" t="s">
        <v>16207</v>
      </c>
      <c r="F7525" s="67">
        <v>41324</v>
      </c>
      <c r="G7525" s="33" t="s">
        <v>16208</v>
      </c>
      <c r="H7525" s="33" t="s">
        <v>4070</v>
      </c>
      <c r="I7525" s="33" t="s">
        <v>309</v>
      </c>
      <c r="J7525" s="33" t="s">
        <v>16209</v>
      </c>
      <c r="K7525" s="33" t="s">
        <v>4070</v>
      </c>
      <c r="L7525" s="33" t="s">
        <v>4072</v>
      </c>
      <c r="M7525" s="33" t="s">
        <v>21</v>
      </c>
      <c r="N7525" s="33" t="s">
        <v>16210</v>
      </c>
      <c r="O7525" s="33" t="s">
        <v>507</v>
      </c>
      <c r="P7525" s="33" t="s">
        <v>30089</v>
      </c>
      <c r="Q7525" s="40" t="s">
        <v>16211</v>
      </c>
      <c r="R7525" s="33" t="s">
        <v>23</v>
      </c>
      <c r="S7525" s="33" t="s">
        <v>351</v>
      </c>
      <c r="T7525" s="33" t="s">
        <v>26867</v>
      </c>
      <c r="Z7525" s="33" t="s">
        <v>42968</v>
      </c>
      <c r="AA7525" s="33">
        <v>140</v>
      </c>
      <c r="AE7525" s="33"/>
      <c r="BM7525" s="1"/>
      <c r="BN7525" s="1"/>
    </row>
    <row r="7526" spans="1:66" ht="12" customHeight="1" x14ac:dyDescent="0.15">
      <c r="A7526" s="33" t="s">
        <v>16212</v>
      </c>
      <c r="B7526" s="33">
        <v>89</v>
      </c>
      <c r="C7526" s="33" t="s">
        <v>103</v>
      </c>
      <c r="D7526" s="33" t="s">
        <v>31</v>
      </c>
      <c r="F7526" s="67">
        <v>41324</v>
      </c>
      <c r="G7526" s="33" t="s">
        <v>16213</v>
      </c>
      <c r="H7526" s="33" t="s">
        <v>16214</v>
      </c>
      <c r="I7526" s="33" t="s">
        <v>376</v>
      </c>
      <c r="J7526" s="33" t="s">
        <v>16215</v>
      </c>
      <c r="K7526" s="33" t="s">
        <v>15580</v>
      </c>
      <c r="L7526" s="33" t="s">
        <v>16216</v>
      </c>
      <c r="M7526" s="33" t="s">
        <v>21</v>
      </c>
      <c r="N7526" s="33" t="s">
        <v>16217</v>
      </c>
      <c r="O7526" s="33" t="s">
        <v>507</v>
      </c>
      <c r="P7526" s="33" t="s">
        <v>30089</v>
      </c>
      <c r="Q7526" s="40" t="str">
        <f>HYPERLINK("http://www.phillyburbs.com/news/crime/da-warminster-officer-accidentally-shot-year-old-during-standoff/article_2e02c0de-13d0-54ef-88d7-e00c66713ba5.html","http://www.phillyburbs.com/news/crime/da-warminster-officer-accidentally-shot-year-old-during-standoff/article_2e02c0de-13d0-54ef-88d7-e00c66713ba5.html")</f>
        <v>http://www.phillyburbs.com/news/crime/da-warminster-officer-accidentally-shot-year-old-during-standoff/article_2e02c0de-13d0-54ef-88d7-e00c66713ba5.html</v>
      </c>
      <c r="R7526" s="33" t="s">
        <v>94</v>
      </c>
      <c r="S7526" s="33" t="s">
        <v>12</v>
      </c>
      <c r="T7526" s="1" t="s">
        <v>29705</v>
      </c>
      <c r="Z7526" s="33" t="s">
        <v>42968</v>
      </c>
      <c r="AA7526" s="33">
        <v>139</v>
      </c>
      <c r="BM7526" s="1"/>
      <c r="BN7526" s="1"/>
    </row>
    <row r="7527" spans="1:66" ht="12" customHeight="1" x14ac:dyDescent="0.15">
      <c r="A7527" s="33" t="s">
        <v>16202</v>
      </c>
      <c r="B7527" s="33">
        <v>32</v>
      </c>
      <c r="C7527" s="33" t="s">
        <v>14</v>
      </c>
      <c r="D7527" s="33" t="s">
        <v>42</v>
      </c>
      <c r="F7527" s="67">
        <v>41324</v>
      </c>
      <c r="G7527" s="33" t="s">
        <v>22354</v>
      </c>
      <c r="H7527" s="33" t="s">
        <v>607</v>
      </c>
      <c r="I7527" s="33" t="s">
        <v>250</v>
      </c>
      <c r="J7527" s="33" t="s">
        <v>16203</v>
      </c>
      <c r="K7527" s="33" t="s">
        <v>527</v>
      </c>
      <c r="L7527" s="33" t="s">
        <v>377</v>
      </c>
      <c r="M7527" s="33" t="s">
        <v>21</v>
      </c>
      <c r="N7527" s="33" t="s">
        <v>16204</v>
      </c>
      <c r="O7527" s="33" t="s">
        <v>507</v>
      </c>
      <c r="P7527" s="33" t="s">
        <v>30089</v>
      </c>
      <c r="Q7527" s="40" t="s">
        <v>16205</v>
      </c>
      <c r="R7527" s="33" t="s">
        <v>94</v>
      </c>
      <c r="S7527" s="33" t="s">
        <v>22</v>
      </c>
      <c r="T7527" s="1" t="s">
        <v>26781</v>
      </c>
      <c r="Z7527" s="33" t="s">
        <v>42968</v>
      </c>
      <c r="AA7527" s="33">
        <v>138</v>
      </c>
      <c r="BM7527" s="1"/>
      <c r="BN7527" s="1"/>
    </row>
    <row r="7528" spans="1:66" ht="12" customHeight="1" x14ac:dyDescent="0.15">
      <c r="A7528" s="33" t="s">
        <v>16196</v>
      </c>
      <c r="B7528" s="33">
        <v>23</v>
      </c>
      <c r="C7528" s="33" t="s">
        <v>14</v>
      </c>
      <c r="D7528" s="33" t="s">
        <v>79</v>
      </c>
      <c r="E7528" s="33" t="s">
        <v>16197</v>
      </c>
      <c r="F7528" s="67">
        <v>41324</v>
      </c>
      <c r="G7528" s="33" t="s">
        <v>16198</v>
      </c>
      <c r="H7528" s="33" t="s">
        <v>603</v>
      </c>
      <c r="I7528" s="33" t="s">
        <v>56</v>
      </c>
      <c r="J7528" s="33" t="s">
        <v>16199</v>
      </c>
      <c r="K7528" s="33" t="s">
        <v>604</v>
      </c>
      <c r="L7528" s="33" t="s">
        <v>605</v>
      </c>
      <c r="M7528" s="33" t="s">
        <v>21</v>
      </c>
      <c r="N7528" s="33" t="s">
        <v>16200</v>
      </c>
      <c r="O7528" s="33" t="s">
        <v>950</v>
      </c>
      <c r="P7528" s="33" t="s">
        <v>30089</v>
      </c>
      <c r="Q7528" s="40" t="s">
        <v>16201</v>
      </c>
      <c r="R7528" s="33" t="s">
        <v>94</v>
      </c>
      <c r="S7528" s="33" t="s">
        <v>22</v>
      </c>
      <c r="T7528" s="1" t="s">
        <v>26781</v>
      </c>
      <c r="Z7528" s="33" t="s">
        <v>42966</v>
      </c>
      <c r="AA7528" s="33">
        <v>137</v>
      </c>
      <c r="BM7528" s="1"/>
      <c r="BN7528" s="1"/>
    </row>
    <row r="7529" spans="1:66" ht="12" customHeight="1" x14ac:dyDescent="0.15">
      <c r="A7529" s="33" t="s">
        <v>16229</v>
      </c>
      <c r="B7529" s="33">
        <v>35</v>
      </c>
      <c r="C7529" s="33" t="s">
        <v>14</v>
      </c>
      <c r="D7529" s="33" t="s">
        <v>31</v>
      </c>
      <c r="E7529" s="33" t="s">
        <v>16230</v>
      </c>
      <c r="F7529" s="67">
        <v>41323</v>
      </c>
      <c r="G7529" s="33" t="s">
        <v>22357</v>
      </c>
      <c r="H7529" s="33" t="s">
        <v>1537</v>
      </c>
      <c r="I7529" s="33" t="s">
        <v>39</v>
      </c>
      <c r="J7529" s="33" t="s">
        <v>16231</v>
      </c>
      <c r="K7529" s="33" t="s">
        <v>1537</v>
      </c>
      <c r="L7529" s="33" t="s">
        <v>16232</v>
      </c>
      <c r="M7529" s="33" t="s">
        <v>21</v>
      </c>
      <c r="N7529" s="33" t="s">
        <v>16233</v>
      </c>
      <c r="O7529" s="33" t="s">
        <v>950</v>
      </c>
      <c r="P7529" s="33" t="s">
        <v>30089</v>
      </c>
      <c r="Q7529" s="40" t="s">
        <v>16234</v>
      </c>
      <c r="R7529" s="33" t="s">
        <v>512</v>
      </c>
      <c r="S7529" s="33" t="s">
        <v>12</v>
      </c>
      <c r="T7529" s="1" t="s">
        <v>29705</v>
      </c>
      <c r="Z7529" s="33" t="s">
        <v>42966</v>
      </c>
      <c r="AA7529" s="33">
        <v>136</v>
      </c>
      <c r="BM7529" s="1"/>
      <c r="BN7529" s="1"/>
    </row>
    <row r="7530" spans="1:66" ht="12" customHeight="1" x14ac:dyDescent="0.15">
      <c r="A7530" s="33" t="s">
        <v>16218</v>
      </c>
      <c r="B7530" s="33">
        <v>30</v>
      </c>
      <c r="C7530" s="33" t="s">
        <v>14</v>
      </c>
      <c r="D7530" s="33" t="s">
        <v>79</v>
      </c>
      <c r="E7530" s="33" t="s">
        <v>16219</v>
      </c>
      <c r="F7530" s="67">
        <v>41323</v>
      </c>
      <c r="G7530" s="33" t="s">
        <v>22355</v>
      </c>
      <c r="H7530" s="33" t="s">
        <v>315</v>
      </c>
      <c r="I7530" s="33" t="s">
        <v>225</v>
      </c>
      <c r="J7530" s="33" t="s">
        <v>16220</v>
      </c>
      <c r="K7530" s="33" t="s">
        <v>14958</v>
      </c>
      <c r="L7530" s="33" t="s">
        <v>16221</v>
      </c>
      <c r="M7530" s="33" t="s">
        <v>21</v>
      </c>
      <c r="N7530" s="33" t="s">
        <v>16222</v>
      </c>
      <c r="O7530" s="33" t="s">
        <v>507</v>
      </c>
      <c r="P7530" s="33" t="s">
        <v>30089</v>
      </c>
      <c r="Q7530" s="40" t="s">
        <v>16223</v>
      </c>
      <c r="R7530" s="33" t="s">
        <v>94</v>
      </c>
      <c r="S7530" s="33" t="s">
        <v>22</v>
      </c>
      <c r="T7530" s="1" t="s">
        <v>26781</v>
      </c>
      <c r="Z7530" s="33" t="s">
        <v>42966</v>
      </c>
      <c r="AA7530" s="33">
        <v>134</v>
      </c>
      <c r="BM7530" s="1"/>
      <c r="BN7530" s="1"/>
    </row>
    <row r="7531" spans="1:66" ht="12" customHeight="1" x14ac:dyDescent="0.15">
      <c r="A7531" s="33" t="s">
        <v>16224</v>
      </c>
      <c r="B7531" s="33">
        <v>31</v>
      </c>
      <c r="C7531" s="33" t="s">
        <v>14</v>
      </c>
      <c r="D7531" s="33" t="s">
        <v>31</v>
      </c>
      <c r="E7531" s="33" t="s">
        <v>16225</v>
      </c>
      <c r="F7531" s="67">
        <v>41323</v>
      </c>
      <c r="G7531" s="33" t="s">
        <v>22356</v>
      </c>
      <c r="H7531" s="33" t="s">
        <v>14842</v>
      </c>
      <c r="I7531" s="33" t="s">
        <v>51</v>
      </c>
      <c r="J7531" s="33" t="s">
        <v>16226</v>
      </c>
      <c r="K7531" s="33" t="s">
        <v>3744</v>
      </c>
      <c r="L7531" s="33" t="s">
        <v>43049</v>
      </c>
      <c r="M7531" s="33" t="s">
        <v>21</v>
      </c>
      <c r="N7531" s="33" t="s">
        <v>16227</v>
      </c>
      <c r="O7531" s="33" t="s">
        <v>507</v>
      </c>
      <c r="P7531" s="33" t="s">
        <v>30089</v>
      </c>
      <c r="Q7531" s="40" t="s">
        <v>16228</v>
      </c>
      <c r="R7531" s="33" t="s">
        <v>23</v>
      </c>
      <c r="S7531" s="33" t="s">
        <v>22</v>
      </c>
      <c r="T7531" s="1" t="s">
        <v>26781</v>
      </c>
      <c r="Z7531" s="33" t="s">
        <v>42968</v>
      </c>
      <c r="AA7531" s="33">
        <v>135</v>
      </c>
      <c r="BM7531" s="1"/>
      <c r="BN7531" s="1"/>
    </row>
    <row r="7532" spans="1:66" ht="12" customHeight="1" x14ac:dyDescent="0.15">
      <c r="A7532" s="33" t="s">
        <v>16235</v>
      </c>
      <c r="B7532" s="33">
        <v>50</v>
      </c>
      <c r="C7532" s="33" t="s">
        <v>14</v>
      </c>
      <c r="D7532" s="33" t="s">
        <v>31</v>
      </c>
      <c r="E7532" s="33" t="s">
        <v>16236</v>
      </c>
      <c r="F7532" s="67">
        <v>41322</v>
      </c>
      <c r="G7532" s="33" t="s">
        <v>16237</v>
      </c>
      <c r="H7532" s="33" t="s">
        <v>1459</v>
      </c>
      <c r="I7532" s="33" t="s">
        <v>106</v>
      </c>
      <c r="J7532" s="33" t="s">
        <v>16238</v>
      </c>
      <c r="K7532" s="33" t="s">
        <v>1461</v>
      </c>
      <c r="L7532" s="33" t="s">
        <v>16039</v>
      </c>
      <c r="M7532" s="33" t="s">
        <v>21</v>
      </c>
      <c r="N7532" s="33" t="s">
        <v>16239</v>
      </c>
      <c r="O7532" s="33" t="s">
        <v>12392</v>
      </c>
      <c r="P7532" s="33" t="s">
        <v>30089</v>
      </c>
      <c r="Q7532" s="40" t="s">
        <v>16240</v>
      </c>
      <c r="R7532" s="33" t="s">
        <v>23</v>
      </c>
      <c r="S7532" s="33" t="s">
        <v>22</v>
      </c>
      <c r="T7532" s="1" t="s">
        <v>26781</v>
      </c>
      <c r="Z7532" s="33" t="s">
        <v>42966</v>
      </c>
      <c r="AA7532" s="33">
        <v>133</v>
      </c>
      <c r="BM7532" s="1"/>
      <c r="BN7532" s="1"/>
    </row>
    <row r="7533" spans="1:66" ht="12" customHeight="1" x14ac:dyDescent="0.15">
      <c r="A7533" s="33" t="s">
        <v>16241</v>
      </c>
      <c r="B7533" s="33">
        <v>30</v>
      </c>
      <c r="C7533" s="33" t="s">
        <v>14</v>
      </c>
      <c r="D7533" s="33" t="s">
        <v>79</v>
      </c>
      <c r="E7533" s="33" t="s">
        <v>16242</v>
      </c>
      <c r="F7533" s="67">
        <v>41321</v>
      </c>
      <c r="G7533" s="33" t="s">
        <v>16243</v>
      </c>
      <c r="H7533" s="33" t="s">
        <v>16244</v>
      </c>
      <c r="I7533" s="33" t="s">
        <v>395</v>
      </c>
      <c r="J7533" s="33" t="s">
        <v>16245</v>
      </c>
      <c r="K7533" s="33" t="s">
        <v>16246</v>
      </c>
      <c r="L7533" s="33" t="s">
        <v>16247</v>
      </c>
      <c r="M7533" s="33" t="s">
        <v>363</v>
      </c>
      <c r="N7533" s="33" t="s">
        <v>16248</v>
      </c>
      <c r="O7533" s="33" t="s">
        <v>950</v>
      </c>
      <c r="P7533" s="33" t="s">
        <v>30089</v>
      </c>
      <c r="Q7533" s="40" t="s">
        <v>16249</v>
      </c>
      <c r="R7533" s="33" t="s">
        <v>94</v>
      </c>
      <c r="S7533" s="33" t="s">
        <v>12</v>
      </c>
      <c r="T7533" s="54" t="s">
        <v>29705</v>
      </c>
      <c r="Z7533" s="33" t="s">
        <v>42966</v>
      </c>
      <c r="AA7533" s="33">
        <v>132</v>
      </c>
    </row>
    <row r="7534" spans="1:66" ht="12" customHeight="1" x14ac:dyDescent="0.15">
      <c r="A7534" s="33" t="s">
        <v>16250</v>
      </c>
      <c r="B7534" s="33">
        <v>42</v>
      </c>
      <c r="C7534" s="33" t="s">
        <v>14</v>
      </c>
      <c r="D7534" s="33" t="s">
        <v>42</v>
      </c>
      <c r="E7534" s="33" t="s">
        <v>16251</v>
      </c>
      <c r="F7534" s="67">
        <v>41321</v>
      </c>
      <c r="G7534" s="33" t="s">
        <v>22358</v>
      </c>
      <c r="H7534" s="33" t="s">
        <v>9430</v>
      </c>
      <c r="I7534" s="33" t="s">
        <v>67</v>
      </c>
      <c r="J7534" s="33" t="s">
        <v>9431</v>
      </c>
      <c r="K7534" s="33" t="s">
        <v>68</v>
      </c>
      <c r="L7534" s="33" t="s">
        <v>3829</v>
      </c>
      <c r="M7534" s="33" t="s">
        <v>21</v>
      </c>
      <c r="N7534" s="33" t="s">
        <v>16252</v>
      </c>
      <c r="O7534" s="33" t="s">
        <v>507</v>
      </c>
      <c r="P7534" s="33" t="s">
        <v>30089</v>
      </c>
      <c r="Q7534" s="40" t="s">
        <v>16253</v>
      </c>
      <c r="R7534" s="33" t="s">
        <v>94</v>
      </c>
      <c r="S7534" s="33" t="s">
        <v>22</v>
      </c>
      <c r="T7534" s="1" t="s">
        <v>42974</v>
      </c>
      <c r="Z7534" s="33" t="s">
        <v>42968</v>
      </c>
      <c r="AA7534" s="33">
        <v>130</v>
      </c>
      <c r="BM7534" s="1"/>
      <c r="BN7534" s="1"/>
    </row>
    <row r="7535" spans="1:66" ht="12" customHeight="1" x14ac:dyDescent="0.15">
      <c r="A7535" s="33" t="s">
        <v>16254</v>
      </c>
      <c r="B7535" s="33">
        <v>29</v>
      </c>
      <c r="C7535" s="33" t="s">
        <v>14</v>
      </c>
      <c r="D7535" s="33" t="s">
        <v>42</v>
      </c>
      <c r="E7535" s="33" t="s">
        <v>16255</v>
      </c>
      <c r="F7535" s="67">
        <v>41321</v>
      </c>
      <c r="G7535" s="33" t="s">
        <v>16256</v>
      </c>
      <c r="H7535" s="33" t="s">
        <v>2307</v>
      </c>
      <c r="I7535" s="33" t="s">
        <v>367</v>
      </c>
      <c r="J7535" s="33" t="s">
        <v>16257</v>
      </c>
      <c r="K7535" s="33" t="s">
        <v>2307</v>
      </c>
      <c r="L7535" s="33" t="s">
        <v>3108</v>
      </c>
      <c r="M7535" s="33" t="s">
        <v>21</v>
      </c>
      <c r="N7535" s="33" t="s">
        <v>16258</v>
      </c>
      <c r="O7535" s="33" t="s">
        <v>507</v>
      </c>
      <c r="P7535" s="33" t="s">
        <v>30089</v>
      </c>
      <c r="Q7535" s="40" t="s">
        <v>16259</v>
      </c>
      <c r="R7535" s="33" t="s">
        <v>512</v>
      </c>
      <c r="S7535" s="33" t="s">
        <v>12</v>
      </c>
      <c r="T7535" s="33" t="s">
        <v>29425</v>
      </c>
      <c r="Z7535" s="33" t="s">
        <v>42966</v>
      </c>
      <c r="AA7535" s="33">
        <v>131</v>
      </c>
    </row>
    <row r="7536" spans="1:66" ht="12" customHeight="1" x14ac:dyDescent="0.15">
      <c r="A7536" s="33" t="s">
        <v>16260</v>
      </c>
      <c r="B7536" s="33">
        <v>25</v>
      </c>
      <c r="C7536" s="33" t="s">
        <v>14</v>
      </c>
      <c r="D7536" s="33" t="s">
        <v>24</v>
      </c>
      <c r="F7536" s="67">
        <v>41320</v>
      </c>
      <c r="G7536" s="33" t="s">
        <v>22359</v>
      </c>
      <c r="H7536" s="33" t="s">
        <v>16261</v>
      </c>
      <c r="I7536" s="33" t="s">
        <v>39</v>
      </c>
      <c r="J7536" s="33" t="s">
        <v>16262</v>
      </c>
      <c r="K7536" s="33" t="s">
        <v>92</v>
      </c>
      <c r="L7536" s="33" t="s">
        <v>16263</v>
      </c>
      <c r="M7536" s="33" t="s">
        <v>21</v>
      </c>
      <c r="N7536" s="33" t="s">
        <v>16264</v>
      </c>
      <c r="O7536" s="33" t="s">
        <v>950</v>
      </c>
      <c r="P7536" s="33" t="s">
        <v>30089</v>
      </c>
      <c r="Q7536" s="40" t="s">
        <v>16265</v>
      </c>
      <c r="R7536" s="33" t="s">
        <v>94</v>
      </c>
      <c r="S7536" s="33" t="s">
        <v>22</v>
      </c>
      <c r="T7536" s="1" t="s">
        <v>26781</v>
      </c>
      <c r="Z7536" s="33" t="s">
        <v>42966</v>
      </c>
      <c r="AA7536" s="33">
        <v>129</v>
      </c>
      <c r="BM7536" s="1"/>
      <c r="BN7536" s="1"/>
    </row>
    <row r="7537" spans="1:66" ht="12" customHeight="1" x14ac:dyDescent="0.15">
      <c r="A7537" s="33" t="s">
        <v>16266</v>
      </c>
      <c r="B7537" s="33">
        <v>23</v>
      </c>
      <c r="C7537" s="33" t="s">
        <v>14</v>
      </c>
      <c r="D7537" s="33" t="s">
        <v>42</v>
      </c>
      <c r="E7537" s="33" t="s">
        <v>16267</v>
      </c>
      <c r="F7537" s="67">
        <v>41319</v>
      </c>
      <c r="G7537" s="33" t="s">
        <v>16268</v>
      </c>
      <c r="H7537" s="33" t="s">
        <v>5782</v>
      </c>
      <c r="I7537" s="33" t="s">
        <v>39</v>
      </c>
      <c r="J7537" s="33" t="s">
        <v>5783</v>
      </c>
      <c r="K7537" s="33" t="s">
        <v>728</v>
      </c>
      <c r="L7537" s="33" t="s">
        <v>5784</v>
      </c>
      <c r="M7537" s="33" t="s">
        <v>21</v>
      </c>
      <c r="N7537" s="33" t="s">
        <v>16269</v>
      </c>
      <c r="O7537" s="33" t="s">
        <v>507</v>
      </c>
      <c r="P7537" s="33" t="s">
        <v>30089</v>
      </c>
      <c r="Q7537" s="40" t="s">
        <v>16270</v>
      </c>
      <c r="R7537" s="33" t="s">
        <v>94</v>
      </c>
      <c r="S7537" s="33" t="s">
        <v>12</v>
      </c>
      <c r="T7537" s="1" t="s">
        <v>29705</v>
      </c>
      <c r="Z7537" s="33" t="s">
        <v>42968</v>
      </c>
      <c r="AA7537" s="33">
        <v>128</v>
      </c>
      <c r="BM7537" s="1"/>
      <c r="BN7537" s="1"/>
    </row>
    <row r="7538" spans="1:66" ht="12" customHeight="1" x14ac:dyDescent="0.15">
      <c r="A7538" s="63" t="s">
        <v>42756</v>
      </c>
      <c r="B7538" s="99">
        <v>34</v>
      </c>
      <c r="C7538" s="10" t="s">
        <v>14</v>
      </c>
      <c r="D7538" s="10" t="s">
        <v>79</v>
      </c>
      <c r="E7538" s="62" t="s">
        <v>42757</v>
      </c>
      <c r="F7538" s="67">
        <v>41318</v>
      </c>
      <c r="G7538" s="10" t="s">
        <v>42936</v>
      </c>
      <c r="H7538" s="10" t="s">
        <v>674</v>
      </c>
      <c r="I7538" s="10" t="s">
        <v>67</v>
      </c>
      <c r="J7538" s="65">
        <v>77042</v>
      </c>
      <c r="K7538" s="10" t="s">
        <v>515</v>
      </c>
      <c r="L7538" s="10" t="s">
        <v>675</v>
      </c>
      <c r="M7538" s="10" t="s">
        <v>21</v>
      </c>
      <c r="N7538" s="10" t="s">
        <v>42758</v>
      </c>
      <c r="O7538" s="10" t="s">
        <v>42518</v>
      </c>
      <c r="P7538" s="10" t="s">
        <v>30089</v>
      </c>
      <c r="Q7538" s="62" t="s">
        <v>42759</v>
      </c>
      <c r="R7538" s="10" t="s">
        <v>904</v>
      </c>
      <c r="S7538" s="10" t="s">
        <v>22</v>
      </c>
      <c r="T7538" s="10" t="s">
        <v>26774</v>
      </c>
      <c r="U7538" s="10"/>
      <c r="V7538" s="10"/>
      <c r="W7538" s="10"/>
      <c r="X7538" s="89"/>
      <c r="Y7538" s="68"/>
      <c r="Z7538" s="68" t="s">
        <v>42966</v>
      </c>
      <c r="AA7538" s="33">
        <v>127</v>
      </c>
      <c r="AG7538" s="68"/>
      <c r="AK7538" s="68"/>
      <c r="AL7538" s="68"/>
      <c r="AM7538" s="68"/>
      <c r="AN7538" s="68"/>
      <c r="AO7538" s="68"/>
      <c r="AP7538" s="68"/>
      <c r="AQ7538" s="68"/>
      <c r="AR7538" s="68"/>
      <c r="AS7538" s="68"/>
      <c r="AT7538" s="68"/>
      <c r="AU7538" s="68"/>
      <c r="AV7538" s="68"/>
      <c r="AW7538" s="68"/>
      <c r="AX7538" s="68"/>
      <c r="AY7538" s="68"/>
      <c r="AZ7538" s="68"/>
      <c r="BA7538" s="68"/>
      <c r="BB7538" s="68"/>
      <c r="BC7538" s="68"/>
      <c r="BD7538" s="68"/>
      <c r="BE7538" s="68"/>
      <c r="BF7538" s="68"/>
      <c r="BG7538" s="68"/>
      <c r="BH7538" s="68"/>
      <c r="BI7538" s="68"/>
      <c r="BJ7538" s="68"/>
      <c r="BK7538" s="68"/>
      <c r="BL7538" s="68"/>
    </row>
    <row r="7539" spans="1:66" ht="12" customHeight="1" x14ac:dyDescent="0.15">
      <c r="A7539" s="33" t="s">
        <v>3002</v>
      </c>
      <c r="B7539" s="33">
        <v>34</v>
      </c>
      <c r="C7539" s="33" t="s">
        <v>14</v>
      </c>
      <c r="D7539" s="33" t="s">
        <v>79</v>
      </c>
      <c r="F7539" s="67">
        <v>41318</v>
      </c>
      <c r="G7539" s="33" t="s">
        <v>16271</v>
      </c>
      <c r="H7539" s="33" t="s">
        <v>674</v>
      </c>
      <c r="I7539" s="33" t="s">
        <v>67</v>
      </c>
      <c r="J7539" s="33" t="s">
        <v>16272</v>
      </c>
      <c r="K7539" s="33" t="s">
        <v>515</v>
      </c>
      <c r="L7539" s="33" t="s">
        <v>675</v>
      </c>
      <c r="M7539" s="33" t="s">
        <v>21</v>
      </c>
      <c r="N7539" s="33" t="s">
        <v>16273</v>
      </c>
      <c r="O7539" s="33" t="s">
        <v>23</v>
      </c>
      <c r="P7539" s="33" t="s">
        <v>30089</v>
      </c>
      <c r="Q7539" s="40" t="str">
        <f>HYPERLINK("http://www.chron.com/news/houston-texas/houston/article/HPD-kills-person-at-westside-complex-4276703.php","http://www.chron.com/news/houston-texas/houston/article/HPD-kills-person-at-westside-complex-4276703.php")</f>
        <v>http://www.chron.com/news/houston-texas/houston/article/HPD-kills-person-at-westside-complex-4276703.php</v>
      </c>
      <c r="R7539" s="33" t="s">
        <v>94</v>
      </c>
      <c r="S7539" s="33" t="s">
        <v>22</v>
      </c>
      <c r="T7539" s="1" t="s">
        <v>26774</v>
      </c>
      <c r="Z7539" s="33" t="s">
        <v>42966</v>
      </c>
      <c r="AA7539" s="33">
        <v>126</v>
      </c>
      <c r="BM7539" s="1"/>
      <c r="BN7539" s="1"/>
    </row>
    <row r="7540" spans="1:66" ht="12" customHeight="1" x14ac:dyDescent="0.15">
      <c r="A7540" s="33" t="s">
        <v>16274</v>
      </c>
      <c r="B7540" s="33">
        <v>18</v>
      </c>
      <c r="C7540" s="33" t="s">
        <v>14</v>
      </c>
      <c r="D7540" s="33" t="s">
        <v>79</v>
      </c>
      <c r="E7540" s="33" t="s">
        <v>16275</v>
      </c>
      <c r="F7540" s="67">
        <v>41317</v>
      </c>
      <c r="G7540" s="33" t="s">
        <v>16276</v>
      </c>
      <c r="H7540" s="33" t="s">
        <v>16277</v>
      </c>
      <c r="I7540" s="33" t="s">
        <v>51</v>
      </c>
      <c r="J7540" s="33" t="s">
        <v>16278</v>
      </c>
      <c r="K7540" s="33" t="s">
        <v>1057</v>
      </c>
      <c r="L7540" s="33" t="s">
        <v>25061</v>
      </c>
      <c r="M7540" s="33" t="s">
        <v>21</v>
      </c>
      <c r="N7540" s="33" t="s">
        <v>16279</v>
      </c>
      <c r="O7540" s="33" t="s">
        <v>950</v>
      </c>
      <c r="P7540" s="33" t="s">
        <v>30089</v>
      </c>
      <c r="Q7540" s="40" t="s">
        <v>16280</v>
      </c>
      <c r="R7540" s="33" t="s">
        <v>94</v>
      </c>
      <c r="S7540" s="33" t="s">
        <v>22</v>
      </c>
      <c r="T7540" s="1" t="s">
        <v>26774</v>
      </c>
      <c r="Z7540" s="33" t="s">
        <v>42968</v>
      </c>
      <c r="AA7540" s="33">
        <v>125</v>
      </c>
      <c r="BM7540" s="1"/>
      <c r="BN7540" s="1"/>
    </row>
    <row r="7541" spans="1:66" ht="12" customHeight="1" x14ac:dyDescent="0.15">
      <c r="A7541" s="33" t="s">
        <v>16281</v>
      </c>
      <c r="B7541" s="33">
        <v>32</v>
      </c>
      <c r="C7541" s="33" t="s">
        <v>14</v>
      </c>
      <c r="D7541" s="33" t="s">
        <v>79</v>
      </c>
      <c r="F7541" s="67">
        <v>41317</v>
      </c>
      <c r="G7541" s="33" t="s">
        <v>16282</v>
      </c>
      <c r="H7541" s="33" t="s">
        <v>3289</v>
      </c>
      <c r="I7541" s="33" t="s">
        <v>122</v>
      </c>
      <c r="J7541" s="33" t="s">
        <v>16283</v>
      </c>
      <c r="K7541" s="33" t="s">
        <v>3291</v>
      </c>
      <c r="L7541" s="33" t="s">
        <v>4522</v>
      </c>
      <c r="M7541" s="33" t="s">
        <v>21</v>
      </c>
      <c r="N7541" s="33" t="s">
        <v>16284</v>
      </c>
      <c r="O7541" s="33" t="s">
        <v>507</v>
      </c>
      <c r="P7541" s="33" t="s">
        <v>30089</v>
      </c>
      <c r="Q7541" s="40" t="s">
        <v>16285</v>
      </c>
      <c r="R7541" s="33" t="s">
        <v>94</v>
      </c>
      <c r="S7541" s="33" t="s">
        <v>22</v>
      </c>
      <c r="T7541" s="1" t="s">
        <v>26774</v>
      </c>
      <c r="Z7541" s="33" t="s">
        <v>42966</v>
      </c>
      <c r="AA7541" s="33">
        <v>124</v>
      </c>
      <c r="BM7541" s="1"/>
      <c r="BN7541" s="1"/>
    </row>
    <row r="7542" spans="1:66" ht="12" customHeight="1" x14ac:dyDescent="0.15">
      <c r="A7542" s="33" t="s">
        <v>16286</v>
      </c>
      <c r="B7542" s="33">
        <v>32</v>
      </c>
      <c r="C7542" s="33" t="s">
        <v>14</v>
      </c>
      <c r="D7542" s="33" t="s">
        <v>31</v>
      </c>
      <c r="E7542" s="33" t="s">
        <v>16287</v>
      </c>
      <c r="F7542" s="67">
        <v>41316</v>
      </c>
      <c r="G7542" s="33" t="s">
        <v>16288</v>
      </c>
      <c r="H7542" s="33" t="s">
        <v>4219</v>
      </c>
      <c r="I7542" s="33" t="s">
        <v>798</v>
      </c>
      <c r="J7542" s="33" t="s">
        <v>4220</v>
      </c>
      <c r="K7542" s="33" t="s">
        <v>4221</v>
      </c>
      <c r="L7542" s="33" t="s">
        <v>9485</v>
      </c>
      <c r="M7542" s="33" t="s">
        <v>21</v>
      </c>
      <c r="N7542" s="33" t="s">
        <v>16289</v>
      </c>
      <c r="O7542" s="33" t="s">
        <v>507</v>
      </c>
      <c r="P7542" s="33" t="s">
        <v>30089</v>
      </c>
      <c r="Q7542" s="40" t="s">
        <v>16290</v>
      </c>
      <c r="R7542" s="33" t="s">
        <v>94</v>
      </c>
      <c r="S7542" s="33" t="s">
        <v>12</v>
      </c>
      <c r="T7542" s="33" t="s">
        <v>29425</v>
      </c>
      <c r="Z7542" s="33" t="s">
        <v>42968</v>
      </c>
      <c r="AA7542" s="33">
        <v>122</v>
      </c>
    </row>
    <row r="7543" spans="1:66" ht="12" customHeight="1" x14ac:dyDescent="0.15">
      <c r="A7543" s="33" t="s">
        <v>16291</v>
      </c>
      <c r="B7543" s="33">
        <v>29</v>
      </c>
      <c r="C7543" s="33" t="s">
        <v>14</v>
      </c>
      <c r="D7543" s="33" t="s">
        <v>31</v>
      </c>
      <c r="E7543" s="33" t="s">
        <v>16292</v>
      </c>
      <c r="F7543" s="67">
        <v>41316</v>
      </c>
      <c r="G7543" s="33" t="s">
        <v>22360</v>
      </c>
      <c r="H7543" s="33" t="s">
        <v>16293</v>
      </c>
      <c r="I7543" s="33" t="s">
        <v>39</v>
      </c>
      <c r="J7543" s="33" t="s">
        <v>16294</v>
      </c>
      <c r="K7543" s="33" t="s">
        <v>728</v>
      </c>
      <c r="L7543" s="33" t="s">
        <v>16295</v>
      </c>
      <c r="M7543" s="33" t="s">
        <v>21</v>
      </c>
      <c r="N7543" s="33" t="s">
        <v>16296</v>
      </c>
      <c r="O7543" s="33" t="s">
        <v>507</v>
      </c>
      <c r="P7543" s="33" t="s">
        <v>30089</v>
      </c>
      <c r="Q7543" s="40" t="s">
        <v>16297</v>
      </c>
      <c r="R7543" s="33" t="s">
        <v>94</v>
      </c>
      <c r="S7543" s="33" t="s">
        <v>29</v>
      </c>
      <c r="T7543" s="33" t="s">
        <v>41840</v>
      </c>
      <c r="Z7543" s="33" t="s">
        <v>42968</v>
      </c>
      <c r="AA7543" s="33">
        <v>123</v>
      </c>
    </row>
    <row r="7544" spans="1:66" ht="12" customHeight="1" x14ac:dyDescent="0.15">
      <c r="A7544" s="33" t="s">
        <v>27539</v>
      </c>
      <c r="B7544" s="33">
        <v>35</v>
      </c>
      <c r="C7544" s="33" t="s">
        <v>14</v>
      </c>
      <c r="D7544" s="33" t="s">
        <v>31</v>
      </c>
      <c r="E7544" s="33" t="s">
        <v>27540</v>
      </c>
      <c r="F7544" s="67">
        <v>41316</v>
      </c>
      <c r="G7544" s="33" t="s">
        <v>27541</v>
      </c>
      <c r="H7544" s="33" t="s">
        <v>27542</v>
      </c>
      <c r="I7544" s="33" t="s">
        <v>26</v>
      </c>
      <c r="J7544" s="33" t="s">
        <v>27543</v>
      </c>
      <c r="K7544" s="33" t="s">
        <v>233</v>
      </c>
      <c r="L7544" s="33" t="s">
        <v>5227</v>
      </c>
      <c r="M7544" s="33" t="s">
        <v>21</v>
      </c>
      <c r="N7544" s="33" t="s">
        <v>36903</v>
      </c>
      <c r="O7544" s="33" t="s">
        <v>507</v>
      </c>
      <c r="P7544" s="33" t="s">
        <v>30089</v>
      </c>
      <c r="Q7544" s="40" t="s">
        <v>27544</v>
      </c>
      <c r="R7544" s="33" t="s">
        <v>512</v>
      </c>
      <c r="S7544" s="33" t="s">
        <v>22</v>
      </c>
      <c r="T7544" s="1" t="s">
        <v>26781</v>
      </c>
      <c r="Z7544" s="33" t="s">
        <v>42968</v>
      </c>
      <c r="AA7544" s="33">
        <v>121</v>
      </c>
      <c r="BM7544" s="1"/>
      <c r="BN7544" s="1"/>
    </row>
    <row r="7545" spans="1:66" ht="12" customHeight="1" x14ac:dyDescent="0.15">
      <c r="A7545" s="33" t="s">
        <v>16298</v>
      </c>
      <c r="B7545" s="33">
        <v>34</v>
      </c>
      <c r="C7545" s="33" t="s">
        <v>14</v>
      </c>
      <c r="D7545" s="33" t="s">
        <v>31</v>
      </c>
      <c r="E7545" s="33" t="s">
        <v>16299</v>
      </c>
      <c r="F7545" s="67">
        <v>41315</v>
      </c>
      <c r="G7545" s="33" t="s">
        <v>16300</v>
      </c>
      <c r="H7545" s="33" t="s">
        <v>994</v>
      </c>
      <c r="I7545" s="33" t="s">
        <v>63</v>
      </c>
      <c r="J7545" s="33" t="s">
        <v>16301</v>
      </c>
      <c r="K7545" s="33" t="s">
        <v>995</v>
      </c>
      <c r="L7545" s="33" t="s">
        <v>5527</v>
      </c>
      <c r="M7545" s="33" t="s">
        <v>21</v>
      </c>
      <c r="N7545" s="33" t="s">
        <v>16302</v>
      </c>
      <c r="O7545" s="33" t="s">
        <v>507</v>
      </c>
      <c r="P7545" s="33" t="s">
        <v>30089</v>
      </c>
      <c r="Q7545" s="40" t="s">
        <v>16303</v>
      </c>
      <c r="R7545" s="33" t="s">
        <v>512</v>
      </c>
      <c r="S7545" s="33" t="s">
        <v>22</v>
      </c>
      <c r="T7545" s="1" t="s">
        <v>26781</v>
      </c>
      <c r="Z7545" s="33" t="s">
        <v>42966</v>
      </c>
      <c r="AA7545" s="33">
        <v>120</v>
      </c>
      <c r="BM7545" s="1"/>
      <c r="BN7545" s="1"/>
    </row>
    <row r="7546" spans="1:66" ht="12" customHeight="1" x14ac:dyDescent="0.15">
      <c r="A7546" s="33" t="s">
        <v>16310</v>
      </c>
      <c r="B7546" s="33">
        <v>41</v>
      </c>
      <c r="C7546" s="33" t="s">
        <v>14</v>
      </c>
      <c r="D7546" s="33" t="s">
        <v>31</v>
      </c>
      <c r="E7546" s="33" t="s">
        <v>16311</v>
      </c>
      <c r="F7546" s="67">
        <v>41314</v>
      </c>
      <c r="G7546" s="33" t="s">
        <v>16312</v>
      </c>
      <c r="H7546" s="33" t="s">
        <v>16313</v>
      </c>
      <c r="I7546" s="33" t="s">
        <v>51</v>
      </c>
      <c r="J7546" s="33" t="s">
        <v>16314</v>
      </c>
      <c r="K7546" s="33" t="s">
        <v>8400</v>
      </c>
      <c r="L7546" s="33" t="s">
        <v>16315</v>
      </c>
      <c r="M7546" s="33" t="s">
        <v>21</v>
      </c>
      <c r="N7546" s="33" t="s">
        <v>16316</v>
      </c>
      <c r="O7546" s="33" t="s">
        <v>507</v>
      </c>
      <c r="P7546" s="33" t="s">
        <v>30089</v>
      </c>
      <c r="Q7546" s="40" t="s">
        <v>16317</v>
      </c>
      <c r="R7546" s="33" t="s">
        <v>23</v>
      </c>
      <c r="S7546" s="33" t="s">
        <v>22</v>
      </c>
      <c r="T7546" s="1" t="s">
        <v>26781</v>
      </c>
      <c r="Z7546" s="33" t="s">
        <v>42967</v>
      </c>
      <c r="AA7546" s="33">
        <v>117</v>
      </c>
      <c r="BM7546" s="1"/>
      <c r="BN7546" s="1"/>
    </row>
    <row r="7547" spans="1:66" ht="12" customHeight="1" x14ac:dyDescent="0.15">
      <c r="A7547" s="33" t="s">
        <v>16318</v>
      </c>
      <c r="B7547" s="33">
        <v>40</v>
      </c>
      <c r="C7547" s="33" t="s">
        <v>14</v>
      </c>
      <c r="D7547" s="33" t="s">
        <v>31</v>
      </c>
      <c r="E7547" s="33" t="s">
        <v>16319</v>
      </c>
      <c r="F7547" s="67">
        <v>41314</v>
      </c>
      <c r="G7547" s="33" t="s">
        <v>16320</v>
      </c>
      <c r="H7547" s="33" t="s">
        <v>266</v>
      </c>
      <c r="I7547" s="33" t="s">
        <v>67</v>
      </c>
      <c r="J7547" s="33" t="s">
        <v>16321</v>
      </c>
      <c r="K7547" s="33" t="s">
        <v>266</v>
      </c>
      <c r="L7547" s="33" t="s">
        <v>267</v>
      </c>
      <c r="M7547" s="33" t="s">
        <v>21</v>
      </c>
      <c r="N7547" s="33" t="s">
        <v>16322</v>
      </c>
      <c r="O7547" s="33" t="s">
        <v>507</v>
      </c>
      <c r="P7547" s="33" t="s">
        <v>30089</v>
      </c>
      <c r="Q7547" s="40" t="s">
        <v>16323</v>
      </c>
      <c r="R7547" s="33" t="s">
        <v>23</v>
      </c>
      <c r="S7547" s="33" t="s">
        <v>22</v>
      </c>
      <c r="T7547" s="1" t="s">
        <v>26781</v>
      </c>
      <c r="Z7547" s="33" t="s">
        <v>42966</v>
      </c>
      <c r="AA7547" s="33">
        <v>118</v>
      </c>
      <c r="BM7547" s="1"/>
      <c r="BN7547" s="1"/>
    </row>
    <row r="7548" spans="1:66" ht="12" customHeight="1" x14ac:dyDescent="0.15">
      <c r="A7548" s="63" t="s">
        <v>42876</v>
      </c>
      <c r="B7548" s="99">
        <v>22</v>
      </c>
      <c r="C7548" s="10" t="s">
        <v>14</v>
      </c>
      <c r="D7548" s="10" t="s">
        <v>42</v>
      </c>
      <c r="E7548" s="10"/>
      <c r="F7548" s="67">
        <v>41314</v>
      </c>
      <c r="G7548" s="10" t="s">
        <v>42946</v>
      </c>
      <c r="H7548" s="10" t="s">
        <v>870</v>
      </c>
      <c r="I7548" s="10" t="s">
        <v>67</v>
      </c>
      <c r="J7548" s="65">
        <v>76106</v>
      </c>
      <c r="K7548" s="10" t="s">
        <v>68</v>
      </c>
      <c r="L7548" s="10" t="s">
        <v>871</v>
      </c>
      <c r="M7548" s="10" t="s">
        <v>21</v>
      </c>
      <c r="N7548" s="10" t="s">
        <v>42877</v>
      </c>
      <c r="O7548" s="10" t="s">
        <v>42518</v>
      </c>
      <c r="P7548" s="10" t="s">
        <v>30089</v>
      </c>
      <c r="Q7548" s="62" t="s">
        <v>42878</v>
      </c>
      <c r="R7548" s="10" t="s">
        <v>94</v>
      </c>
      <c r="S7548" s="10" t="s">
        <v>351</v>
      </c>
      <c r="T7548" s="10" t="s">
        <v>26867</v>
      </c>
      <c r="U7548" s="10"/>
      <c r="V7548" s="10"/>
      <c r="W7548" s="69"/>
      <c r="X7548" s="89"/>
      <c r="Y7548" s="68"/>
      <c r="Z7548" s="68" t="s">
        <v>42966</v>
      </c>
      <c r="AA7548" s="33">
        <v>119</v>
      </c>
      <c r="AG7548" s="68"/>
      <c r="AK7548" s="68"/>
      <c r="AL7548" s="68"/>
      <c r="AM7548" s="68"/>
      <c r="AN7548" s="68"/>
      <c r="AO7548" s="68"/>
      <c r="AP7548" s="68"/>
      <c r="AQ7548" s="68"/>
      <c r="AR7548" s="68"/>
      <c r="AS7548" s="68"/>
      <c r="AT7548" s="68"/>
      <c r="AU7548" s="68"/>
      <c r="AV7548" s="68"/>
      <c r="AW7548" s="68"/>
      <c r="AX7548" s="68"/>
      <c r="AY7548" s="68"/>
      <c r="AZ7548" s="68"/>
      <c r="BA7548" s="68"/>
      <c r="BB7548" s="68"/>
      <c r="BC7548" s="68"/>
      <c r="BD7548" s="68"/>
      <c r="BE7548" s="68"/>
      <c r="BF7548" s="68"/>
      <c r="BG7548" s="68"/>
      <c r="BH7548" s="68"/>
      <c r="BI7548" s="68"/>
      <c r="BJ7548" s="68"/>
      <c r="BK7548" s="68"/>
      <c r="BL7548" s="68"/>
    </row>
    <row r="7549" spans="1:66" ht="12" customHeight="1" x14ac:dyDescent="0.15">
      <c r="A7549" s="33" t="s">
        <v>16304</v>
      </c>
      <c r="B7549" s="33">
        <v>32</v>
      </c>
      <c r="C7549" s="33" t="s">
        <v>14</v>
      </c>
      <c r="D7549" s="33" t="s">
        <v>79</v>
      </c>
      <c r="E7549" s="33" t="s">
        <v>16305</v>
      </c>
      <c r="F7549" s="67">
        <v>41314</v>
      </c>
      <c r="G7549" s="33" t="s">
        <v>16306</v>
      </c>
      <c r="H7549" s="33" t="s">
        <v>661</v>
      </c>
      <c r="I7549" s="33" t="s">
        <v>402</v>
      </c>
      <c r="J7549" s="33" t="s">
        <v>16307</v>
      </c>
      <c r="K7549" s="33" t="s">
        <v>661</v>
      </c>
      <c r="L7549" s="33" t="s">
        <v>4162</v>
      </c>
      <c r="M7549" s="33" t="s">
        <v>21</v>
      </c>
      <c r="N7549" s="33" t="s">
        <v>16308</v>
      </c>
      <c r="O7549" s="33" t="s">
        <v>950</v>
      </c>
      <c r="P7549" s="33" t="s">
        <v>30089</v>
      </c>
      <c r="Q7549" s="40" t="s">
        <v>16309</v>
      </c>
      <c r="R7549" s="33" t="s">
        <v>94</v>
      </c>
      <c r="S7549" s="33" t="s">
        <v>22</v>
      </c>
      <c r="T7549" s="1" t="s">
        <v>26781</v>
      </c>
      <c r="Z7549" s="33" t="s">
        <v>42966</v>
      </c>
      <c r="AA7549" s="33">
        <v>116</v>
      </c>
      <c r="BM7549" s="1"/>
      <c r="BN7549" s="1"/>
    </row>
    <row r="7550" spans="1:66" ht="12" customHeight="1" x14ac:dyDescent="0.15">
      <c r="A7550" s="33" t="s">
        <v>16328</v>
      </c>
      <c r="B7550" s="33">
        <v>22</v>
      </c>
      <c r="C7550" s="33" t="s">
        <v>14</v>
      </c>
      <c r="D7550" s="33" t="s">
        <v>42</v>
      </c>
      <c r="E7550" s="33" t="s">
        <v>16329</v>
      </c>
      <c r="F7550" s="67">
        <v>41313</v>
      </c>
      <c r="G7550" s="33" t="s">
        <v>16330</v>
      </c>
      <c r="H7550" s="33" t="s">
        <v>1632</v>
      </c>
      <c r="I7550" s="33" t="s">
        <v>39</v>
      </c>
      <c r="J7550" s="33" t="s">
        <v>16331</v>
      </c>
      <c r="K7550" s="33" t="s">
        <v>1088</v>
      </c>
      <c r="L7550" s="33" t="s">
        <v>1634</v>
      </c>
      <c r="M7550" s="33" t="s">
        <v>21</v>
      </c>
      <c r="N7550" s="33" t="s">
        <v>16332</v>
      </c>
      <c r="O7550" s="33" t="s">
        <v>507</v>
      </c>
      <c r="P7550" s="33" t="s">
        <v>30089</v>
      </c>
      <c r="Q7550" s="40" t="s">
        <v>16333</v>
      </c>
      <c r="R7550" s="33" t="s">
        <v>94</v>
      </c>
      <c r="S7550" s="33" t="s">
        <v>22</v>
      </c>
      <c r="T7550" s="1" t="s">
        <v>26781</v>
      </c>
      <c r="Z7550" s="33" t="s">
        <v>42968</v>
      </c>
      <c r="AA7550" s="33">
        <v>113</v>
      </c>
      <c r="BM7550" s="1"/>
      <c r="BN7550" s="1"/>
    </row>
    <row r="7551" spans="1:66" ht="12" customHeight="1" x14ac:dyDescent="0.15">
      <c r="A7551" s="63" t="s">
        <v>42780</v>
      </c>
      <c r="B7551" s="99">
        <v>43</v>
      </c>
      <c r="C7551" s="10" t="s">
        <v>103</v>
      </c>
      <c r="D7551" s="10" t="s">
        <v>24</v>
      </c>
      <c r="E7551" s="10"/>
      <c r="F7551" s="67">
        <v>41313</v>
      </c>
      <c r="G7551" s="10" t="s">
        <v>42938</v>
      </c>
      <c r="H7551" s="10" t="s">
        <v>42781</v>
      </c>
      <c r="I7551" s="10" t="s">
        <v>46</v>
      </c>
      <c r="J7551" s="65">
        <v>20710</v>
      </c>
      <c r="K7551" s="10" t="s">
        <v>2210</v>
      </c>
      <c r="L7551" s="10" t="s">
        <v>42782</v>
      </c>
      <c r="M7551" s="10" t="s">
        <v>21</v>
      </c>
      <c r="N7551" s="10" t="s">
        <v>42783</v>
      </c>
      <c r="O7551" s="10" t="s">
        <v>950</v>
      </c>
      <c r="P7551" s="10" t="s">
        <v>30089</v>
      </c>
      <c r="Q7551" s="62" t="s">
        <v>42784</v>
      </c>
      <c r="R7551" s="10" t="s">
        <v>94</v>
      </c>
      <c r="S7551" s="10" t="s">
        <v>22</v>
      </c>
      <c r="T7551" s="10" t="s">
        <v>26774</v>
      </c>
      <c r="U7551" s="10"/>
      <c r="V7551" s="10"/>
      <c r="W7551" s="10"/>
      <c r="X7551" s="89"/>
      <c r="Y7551" s="68"/>
      <c r="Z7551" s="68" t="s">
        <v>42968</v>
      </c>
      <c r="AA7551" s="33">
        <v>115</v>
      </c>
      <c r="AG7551" s="68"/>
      <c r="AK7551" s="68"/>
      <c r="AL7551" s="68"/>
      <c r="AM7551" s="68"/>
      <c r="AN7551" s="68"/>
      <c r="AO7551" s="68"/>
      <c r="AP7551" s="68"/>
      <c r="AQ7551" s="68"/>
      <c r="AR7551" s="68"/>
      <c r="AS7551" s="68"/>
      <c r="AT7551" s="68"/>
      <c r="AU7551" s="68"/>
      <c r="AV7551" s="68"/>
      <c r="AW7551" s="68"/>
      <c r="AX7551" s="68"/>
      <c r="AY7551" s="68"/>
      <c r="AZ7551" s="68"/>
      <c r="BA7551" s="68"/>
      <c r="BB7551" s="68"/>
      <c r="BC7551" s="68"/>
      <c r="BD7551" s="68"/>
      <c r="BE7551" s="68"/>
      <c r="BF7551" s="68"/>
      <c r="BG7551" s="68"/>
      <c r="BH7551" s="68"/>
      <c r="BI7551" s="68"/>
      <c r="BJ7551" s="68"/>
      <c r="BK7551" s="68"/>
      <c r="BL7551" s="68"/>
    </row>
    <row r="7552" spans="1:66" ht="12" customHeight="1" x14ac:dyDescent="0.15">
      <c r="A7552" s="33" t="s">
        <v>16324</v>
      </c>
      <c r="B7552" s="33">
        <v>33</v>
      </c>
      <c r="C7552" s="33" t="s">
        <v>14</v>
      </c>
      <c r="D7552" s="33" t="s">
        <v>42</v>
      </c>
      <c r="F7552" s="67">
        <v>41313</v>
      </c>
      <c r="G7552" s="33" t="s">
        <v>16325</v>
      </c>
      <c r="H7552" s="33" t="s">
        <v>607</v>
      </c>
      <c r="I7552" s="33" t="s">
        <v>250</v>
      </c>
      <c r="J7552" s="33" t="s">
        <v>5795</v>
      </c>
      <c r="K7552" s="33" t="s">
        <v>527</v>
      </c>
      <c r="L7552" s="33" t="s">
        <v>528</v>
      </c>
      <c r="M7552" s="33" t="s">
        <v>21</v>
      </c>
      <c r="N7552" s="33" t="s">
        <v>16326</v>
      </c>
      <c r="O7552" s="33" t="s">
        <v>507</v>
      </c>
      <c r="P7552" s="33" t="s">
        <v>30089</v>
      </c>
      <c r="Q7552" s="40" t="s">
        <v>16327</v>
      </c>
      <c r="R7552" s="33" t="s">
        <v>94</v>
      </c>
      <c r="S7552" s="33" t="s">
        <v>22</v>
      </c>
      <c r="T7552" s="1" t="s">
        <v>26781</v>
      </c>
      <c r="Z7552" s="33" t="s">
        <v>42966</v>
      </c>
      <c r="AA7552" s="33">
        <v>114</v>
      </c>
      <c r="BM7552" s="1"/>
      <c r="BN7552" s="1"/>
    </row>
    <row r="7553" spans="1:66" ht="12" customHeight="1" x14ac:dyDescent="0.15">
      <c r="A7553" s="33" t="s">
        <v>16334</v>
      </c>
      <c r="B7553" s="33">
        <v>27</v>
      </c>
      <c r="C7553" s="33" t="s">
        <v>14</v>
      </c>
      <c r="D7553" s="33" t="s">
        <v>31</v>
      </c>
      <c r="E7553" s="33" t="s">
        <v>16335</v>
      </c>
      <c r="F7553" s="67">
        <v>41312</v>
      </c>
      <c r="H7553" s="33" t="s">
        <v>16336</v>
      </c>
      <c r="I7553" s="33" t="s">
        <v>918</v>
      </c>
      <c r="J7553" s="33" t="s">
        <v>16337</v>
      </c>
      <c r="K7553" s="33" t="s">
        <v>14479</v>
      </c>
      <c r="L7553" s="33" t="s">
        <v>16338</v>
      </c>
      <c r="M7553" s="33" t="s">
        <v>21</v>
      </c>
      <c r="N7553" s="33" t="s">
        <v>16339</v>
      </c>
      <c r="O7553" s="33" t="s">
        <v>507</v>
      </c>
      <c r="P7553" s="33" t="s">
        <v>30089</v>
      </c>
      <c r="Q7553" s="40" t="s">
        <v>16340</v>
      </c>
      <c r="R7553" s="33" t="s">
        <v>23</v>
      </c>
      <c r="S7553" s="33" t="s">
        <v>22</v>
      </c>
      <c r="T7553" s="1" t="s">
        <v>26781</v>
      </c>
      <c r="Z7553" s="33" t="s">
        <v>42967</v>
      </c>
      <c r="AA7553" s="33">
        <v>112</v>
      </c>
      <c r="BM7553" s="1"/>
      <c r="BN7553" s="1"/>
    </row>
    <row r="7554" spans="1:66" ht="12" customHeight="1" x14ac:dyDescent="0.15">
      <c r="A7554" s="33" t="s">
        <v>16341</v>
      </c>
      <c r="B7554" s="33">
        <v>32</v>
      </c>
      <c r="C7554" s="33" t="s">
        <v>14</v>
      </c>
      <c r="D7554" s="33" t="s">
        <v>31</v>
      </c>
      <c r="E7554" s="33" t="s">
        <v>16342</v>
      </c>
      <c r="F7554" s="67">
        <v>41312</v>
      </c>
      <c r="G7554" s="33" t="s">
        <v>16343</v>
      </c>
      <c r="H7554" s="33" t="s">
        <v>661</v>
      </c>
      <c r="I7554" s="33" t="s">
        <v>402</v>
      </c>
      <c r="J7554" s="33" t="s">
        <v>16344</v>
      </c>
      <c r="K7554" s="33" t="s">
        <v>661</v>
      </c>
      <c r="L7554" s="33" t="s">
        <v>4162</v>
      </c>
      <c r="M7554" s="33" t="s">
        <v>21</v>
      </c>
      <c r="N7554" s="33" t="s">
        <v>16345</v>
      </c>
      <c r="O7554" s="33" t="s">
        <v>507</v>
      </c>
      <c r="P7554" s="33" t="s">
        <v>30089</v>
      </c>
      <c r="Q7554" s="40" t="s">
        <v>16346</v>
      </c>
      <c r="R7554" s="33" t="s">
        <v>94</v>
      </c>
      <c r="S7554" s="33" t="s">
        <v>22</v>
      </c>
      <c r="T7554" s="33" t="s">
        <v>26781</v>
      </c>
      <c r="Z7554" s="33" t="s">
        <v>42966</v>
      </c>
      <c r="AA7554" s="33">
        <v>111</v>
      </c>
      <c r="AE7554" s="33"/>
      <c r="BM7554" s="1"/>
      <c r="BN7554" s="1"/>
    </row>
    <row r="7555" spans="1:66" ht="12" customHeight="1" x14ac:dyDescent="0.15">
      <c r="A7555" s="33" t="s">
        <v>16347</v>
      </c>
      <c r="B7555" s="103">
        <v>52</v>
      </c>
      <c r="C7555" s="33" t="s">
        <v>14</v>
      </c>
      <c r="D7555" s="33" t="s">
        <v>31</v>
      </c>
      <c r="E7555" s="33" t="s">
        <v>16348</v>
      </c>
      <c r="F7555" s="67">
        <v>41310</v>
      </c>
      <c r="G7555" s="33" t="s">
        <v>16349</v>
      </c>
      <c r="H7555" s="33" t="s">
        <v>782</v>
      </c>
      <c r="I7555" s="33" t="s">
        <v>282</v>
      </c>
      <c r="J7555" s="33" t="s">
        <v>16350</v>
      </c>
      <c r="K7555" s="33" t="s">
        <v>782</v>
      </c>
      <c r="L7555" s="33" t="s">
        <v>783</v>
      </c>
      <c r="M7555" s="33" t="s">
        <v>21</v>
      </c>
      <c r="N7555" s="33" t="s">
        <v>16351</v>
      </c>
      <c r="O7555" s="33" t="s">
        <v>507</v>
      </c>
      <c r="P7555" s="33" t="s">
        <v>30089</v>
      </c>
      <c r="Q7555" s="40" t="s">
        <v>16352</v>
      </c>
      <c r="R7555" s="33" t="s">
        <v>94</v>
      </c>
      <c r="S7555" s="33" t="s">
        <v>22</v>
      </c>
      <c r="T7555" s="1" t="s">
        <v>26781</v>
      </c>
      <c r="Z7555" s="33" t="s">
        <v>42966</v>
      </c>
      <c r="AA7555" s="33">
        <v>110</v>
      </c>
      <c r="BM7555" s="1"/>
      <c r="BN7555" s="1"/>
    </row>
    <row r="7556" spans="1:66" ht="12" customHeight="1" x14ac:dyDescent="0.15">
      <c r="A7556" s="33" t="s">
        <v>16353</v>
      </c>
      <c r="B7556" s="33">
        <v>65</v>
      </c>
      <c r="C7556" s="33" t="s">
        <v>14</v>
      </c>
      <c r="D7556" s="33" t="s">
        <v>31</v>
      </c>
      <c r="E7556" s="33" t="s">
        <v>16354</v>
      </c>
      <c r="F7556" s="67">
        <v>41309</v>
      </c>
      <c r="H7556" s="33" t="s">
        <v>16355</v>
      </c>
      <c r="I7556" s="33" t="s">
        <v>88</v>
      </c>
      <c r="J7556" s="33" t="s">
        <v>16356</v>
      </c>
      <c r="K7556" s="33" t="s">
        <v>12445</v>
      </c>
      <c r="L7556" s="33" t="s">
        <v>377</v>
      </c>
      <c r="M7556" s="33" t="s">
        <v>21</v>
      </c>
      <c r="N7556" s="33" t="s">
        <v>16357</v>
      </c>
      <c r="O7556" s="33" t="s">
        <v>23</v>
      </c>
      <c r="P7556" s="33" t="s">
        <v>30089</v>
      </c>
      <c r="Q7556" s="40" t="s">
        <v>16358</v>
      </c>
      <c r="R7556" s="33" t="s">
        <v>512</v>
      </c>
      <c r="S7556" s="33" t="s">
        <v>22</v>
      </c>
      <c r="T7556" s="1" t="s">
        <v>26576</v>
      </c>
      <c r="Z7556" s="33" t="s">
        <v>42967</v>
      </c>
      <c r="AA7556" s="33">
        <v>109</v>
      </c>
      <c r="BM7556" s="1"/>
      <c r="BN7556" s="1"/>
    </row>
    <row r="7557" spans="1:66" ht="12" customHeight="1" x14ac:dyDescent="0.15">
      <c r="A7557" s="33" t="s">
        <v>16359</v>
      </c>
      <c r="B7557" s="33">
        <v>87</v>
      </c>
      <c r="C7557" s="33" t="s">
        <v>14</v>
      </c>
      <c r="D7557" s="33" t="s">
        <v>24</v>
      </c>
      <c r="F7557" s="67">
        <v>41308</v>
      </c>
      <c r="G7557" s="33" t="s">
        <v>22361</v>
      </c>
      <c r="H7557" s="33" t="s">
        <v>16360</v>
      </c>
      <c r="I7557" s="33" t="s">
        <v>67</v>
      </c>
      <c r="J7557" s="33" t="s">
        <v>16361</v>
      </c>
      <c r="K7557" s="33" t="s">
        <v>1123</v>
      </c>
      <c r="L7557" s="33" t="s">
        <v>16362</v>
      </c>
      <c r="M7557" s="33" t="s">
        <v>21</v>
      </c>
      <c r="N7557" s="33" t="s">
        <v>16363</v>
      </c>
      <c r="O7557" s="33" t="s">
        <v>950</v>
      </c>
      <c r="P7557" s="33" t="s">
        <v>30089</v>
      </c>
      <c r="Q7557" s="40" t="s">
        <v>16364</v>
      </c>
      <c r="R7557" s="33" t="s">
        <v>94</v>
      </c>
      <c r="S7557" s="33" t="s">
        <v>22</v>
      </c>
      <c r="T7557" s="1" t="s">
        <v>26781</v>
      </c>
      <c r="Z7557" s="33" t="s">
        <v>42966</v>
      </c>
      <c r="AA7557" s="33">
        <v>108</v>
      </c>
      <c r="BM7557" s="1"/>
      <c r="BN7557" s="1"/>
    </row>
    <row r="7558" spans="1:66" ht="12" customHeight="1" x14ac:dyDescent="0.15">
      <c r="A7558" s="33" t="s">
        <v>16365</v>
      </c>
      <c r="B7558" s="33">
        <v>24</v>
      </c>
      <c r="C7558" s="33" t="s">
        <v>14</v>
      </c>
      <c r="D7558" s="33" t="s">
        <v>31</v>
      </c>
      <c r="E7558" s="33" t="s">
        <v>16366</v>
      </c>
      <c r="F7558" s="67">
        <v>41307</v>
      </c>
      <c r="G7558" s="33" t="s">
        <v>22362</v>
      </c>
      <c r="H7558" s="33" t="s">
        <v>16367</v>
      </c>
      <c r="I7558" s="33" t="s">
        <v>67</v>
      </c>
      <c r="J7558" s="33" t="s">
        <v>16368</v>
      </c>
      <c r="K7558" s="33" t="s">
        <v>16369</v>
      </c>
      <c r="L7558" s="33" t="s">
        <v>16370</v>
      </c>
      <c r="M7558" s="33" t="s">
        <v>21</v>
      </c>
      <c r="N7558" s="33" t="s">
        <v>16371</v>
      </c>
      <c r="O7558" s="33" t="s">
        <v>3109</v>
      </c>
      <c r="P7558" s="33" t="s">
        <v>30089</v>
      </c>
      <c r="Q7558" s="40" t="s">
        <v>16372</v>
      </c>
      <c r="R7558" s="33" t="s">
        <v>512</v>
      </c>
      <c r="S7558" s="33" t="s">
        <v>22</v>
      </c>
      <c r="T7558" s="1" t="s">
        <v>26774</v>
      </c>
      <c r="Z7558" s="33" t="s">
        <v>42968</v>
      </c>
      <c r="AA7558" s="33">
        <v>107</v>
      </c>
      <c r="BM7558" s="1"/>
      <c r="BN7558" s="1"/>
    </row>
    <row r="7559" spans="1:66" ht="12" customHeight="1" x14ac:dyDescent="0.15">
      <c r="A7559" s="33" t="s">
        <v>16373</v>
      </c>
      <c r="B7559" s="33">
        <v>21</v>
      </c>
      <c r="C7559" s="33" t="s">
        <v>14</v>
      </c>
      <c r="D7559" s="33" t="s">
        <v>79</v>
      </c>
      <c r="E7559" s="33" t="s">
        <v>16374</v>
      </c>
      <c r="F7559" s="67">
        <v>41306</v>
      </c>
      <c r="G7559" s="33" t="s">
        <v>16375</v>
      </c>
      <c r="H7559" s="33" t="s">
        <v>1542</v>
      </c>
      <c r="I7559" s="33" t="s">
        <v>160</v>
      </c>
      <c r="J7559" s="33" t="s">
        <v>16376</v>
      </c>
      <c r="K7559" s="33" t="s">
        <v>818</v>
      </c>
      <c r="L7559" s="33" t="s">
        <v>1544</v>
      </c>
      <c r="M7559" s="33" t="s">
        <v>21</v>
      </c>
      <c r="N7559" s="33" t="s">
        <v>16377</v>
      </c>
      <c r="O7559" s="33" t="s">
        <v>507</v>
      </c>
      <c r="P7559" s="33" t="s">
        <v>30089</v>
      </c>
      <c r="Q7559" s="40" t="str">
        <f>HYPERLINK("http://www.wrdw.com/home/headlines/Deputies-respond-to-reports-of-a-shooting-at-Fox-Trace-189340421.html","http://www.wrdw.com/home/headlines/Deputies-respond-to-reports-of-a-shooting-at-Fox-Trace-189340421.html")</f>
        <v>http://www.wrdw.com/home/headlines/Deputies-respond-to-reports-of-a-shooting-at-Fox-Trace-189340421.html</v>
      </c>
      <c r="R7559" s="33" t="s">
        <v>23</v>
      </c>
      <c r="S7559" s="33" t="s">
        <v>22</v>
      </c>
      <c r="T7559" s="1" t="s">
        <v>26774</v>
      </c>
      <c r="Z7559" s="33" t="s">
        <v>42966</v>
      </c>
      <c r="AA7559" s="33">
        <v>106</v>
      </c>
      <c r="BM7559" s="1"/>
      <c r="BN7559" s="1"/>
    </row>
    <row r="7560" spans="1:66" ht="12" customHeight="1" x14ac:dyDescent="0.15">
      <c r="A7560" s="63" t="s">
        <v>42914</v>
      </c>
      <c r="B7560" s="99">
        <v>20</v>
      </c>
      <c r="C7560" s="10" t="s">
        <v>14</v>
      </c>
      <c r="D7560" s="10" t="s">
        <v>79</v>
      </c>
      <c r="E7560" s="10"/>
      <c r="F7560" s="67">
        <v>41305</v>
      </c>
      <c r="G7560" s="10" t="s">
        <v>42915</v>
      </c>
      <c r="H7560" s="10" t="s">
        <v>42916</v>
      </c>
      <c r="I7560" s="10" t="s">
        <v>88</v>
      </c>
      <c r="J7560" s="65">
        <v>35773</v>
      </c>
      <c r="K7560" s="10" t="s">
        <v>2014</v>
      </c>
      <c r="L7560" s="10" t="s">
        <v>42917</v>
      </c>
      <c r="M7560" s="10" t="s">
        <v>21</v>
      </c>
      <c r="N7560" s="10" t="s">
        <v>42918</v>
      </c>
      <c r="O7560" s="10" t="s">
        <v>507</v>
      </c>
      <c r="P7560" s="10" t="s">
        <v>30089</v>
      </c>
      <c r="Q7560" s="62" t="s">
        <v>42919</v>
      </c>
      <c r="R7560" s="10" t="s">
        <v>23</v>
      </c>
      <c r="S7560" s="10" t="s">
        <v>351</v>
      </c>
      <c r="T7560" s="10" t="s">
        <v>26867</v>
      </c>
      <c r="U7560" s="10"/>
      <c r="V7560" s="10"/>
      <c r="W7560" s="10"/>
      <c r="X7560" s="89"/>
      <c r="Y7560" s="68"/>
      <c r="Z7560" s="68" t="s">
        <v>42967</v>
      </c>
      <c r="AA7560" s="33">
        <v>105</v>
      </c>
      <c r="AG7560" s="68"/>
      <c r="AK7560" s="68"/>
      <c r="AL7560" s="68"/>
      <c r="AM7560" s="68"/>
      <c r="AN7560" s="68"/>
      <c r="AO7560" s="68"/>
      <c r="AP7560" s="68"/>
      <c r="AQ7560" s="68"/>
      <c r="AR7560" s="68"/>
      <c r="AS7560" s="68"/>
      <c r="AT7560" s="68"/>
      <c r="AU7560" s="68"/>
      <c r="AV7560" s="68"/>
      <c r="AW7560" s="68"/>
      <c r="AX7560" s="68"/>
      <c r="AY7560" s="68"/>
      <c r="AZ7560" s="68"/>
      <c r="BA7560" s="68"/>
      <c r="BB7560" s="68"/>
      <c r="BC7560" s="68"/>
      <c r="BD7560" s="68"/>
      <c r="BE7560" s="68"/>
      <c r="BF7560" s="68"/>
      <c r="BG7560" s="68"/>
      <c r="BH7560" s="68"/>
      <c r="BI7560" s="68"/>
      <c r="BJ7560" s="68"/>
      <c r="BK7560" s="68"/>
      <c r="BL7560" s="68"/>
    </row>
    <row r="7561" spans="1:66" ht="12" customHeight="1" x14ac:dyDescent="0.15">
      <c r="A7561" s="33" t="s">
        <v>16378</v>
      </c>
      <c r="B7561" s="33">
        <v>30</v>
      </c>
      <c r="C7561" s="33" t="s">
        <v>103</v>
      </c>
      <c r="D7561" s="33" t="s">
        <v>42</v>
      </c>
      <c r="E7561" s="33" t="s">
        <v>16379</v>
      </c>
      <c r="F7561" s="67">
        <v>41304</v>
      </c>
      <c r="G7561" s="33" t="s">
        <v>16380</v>
      </c>
      <c r="H7561" s="33" t="s">
        <v>1212</v>
      </c>
      <c r="I7561" s="33" t="s">
        <v>192</v>
      </c>
      <c r="J7561" s="33" t="s">
        <v>13424</v>
      </c>
      <c r="K7561" s="33" t="s">
        <v>1212</v>
      </c>
      <c r="L7561" s="33" t="s">
        <v>17309</v>
      </c>
      <c r="M7561" s="33" t="s">
        <v>21</v>
      </c>
      <c r="N7561" s="33" t="s">
        <v>16381</v>
      </c>
      <c r="O7561" s="33" t="s">
        <v>507</v>
      </c>
      <c r="P7561" s="33" t="s">
        <v>30089</v>
      </c>
      <c r="Q7561" s="40" t="s">
        <v>16382</v>
      </c>
      <c r="R7561" s="33" t="s">
        <v>94</v>
      </c>
      <c r="S7561" s="33" t="s">
        <v>22</v>
      </c>
      <c r="T7561" s="1" t="s">
        <v>26781</v>
      </c>
      <c r="Z7561" s="33" t="s">
        <v>42966</v>
      </c>
      <c r="AA7561" s="33">
        <v>103</v>
      </c>
      <c r="BM7561" s="68"/>
      <c r="BN7561" s="68"/>
    </row>
    <row r="7562" spans="1:66" ht="12" customHeight="1" x14ac:dyDescent="0.15">
      <c r="A7562" s="33" t="s">
        <v>16383</v>
      </c>
      <c r="B7562" s="33">
        <v>33</v>
      </c>
      <c r="C7562" s="33" t="s">
        <v>14</v>
      </c>
      <c r="D7562" s="33" t="s">
        <v>42</v>
      </c>
      <c r="E7562" s="33" t="s">
        <v>16384</v>
      </c>
      <c r="F7562" s="67">
        <v>41304</v>
      </c>
      <c r="G7562" s="33" t="s">
        <v>22363</v>
      </c>
      <c r="H7562" s="33" t="s">
        <v>16385</v>
      </c>
      <c r="I7562" s="33" t="s">
        <v>39</v>
      </c>
      <c r="J7562" s="33" t="s">
        <v>16386</v>
      </c>
      <c r="K7562" s="33" t="s">
        <v>2985</v>
      </c>
      <c r="L7562" s="33" t="s">
        <v>12936</v>
      </c>
      <c r="M7562" s="33" t="s">
        <v>21</v>
      </c>
      <c r="N7562" s="33" t="s">
        <v>16387</v>
      </c>
      <c r="O7562" s="33" t="s">
        <v>507</v>
      </c>
      <c r="P7562" s="33" t="s">
        <v>30089</v>
      </c>
      <c r="Q7562" s="40" t="s">
        <v>16388</v>
      </c>
      <c r="R7562" s="33" t="s">
        <v>94</v>
      </c>
      <c r="S7562" s="33" t="s">
        <v>22</v>
      </c>
      <c r="T7562" s="1" t="s">
        <v>26781</v>
      </c>
      <c r="Z7562" s="33" t="s">
        <v>42967</v>
      </c>
      <c r="AA7562" s="33">
        <v>104</v>
      </c>
      <c r="BM7562" s="68"/>
      <c r="BN7562" s="68"/>
    </row>
    <row r="7563" spans="1:66" ht="12" customHeight="1" x14ac:dyDescent="0.15">
      <c r="A7563" s="33" t="s">
        <v>16410</v>
      </c>
      <c r="B7563" s="103">
        <v>29</v>
      </c>
      <c r="C7563" s="33" t="s">
        <v>14</v>
      </c>
      <c r="D7563" s="33" t="s">
        <v>31</v>
      </c>
      <c r="E7563" s="33" t="s">
        <v>16411</v>
      </c>
      <c r="F7563" s="67">
        <v>41303</v>
      </c>
      <c r="G7563" s="33" t="s">
        <v>16412</v>
      </c>
      <c r="H7563" s="33" t="s">
        <v>16413</v>
      </c>
      <c r="I7563" s="33" t="s">
        <v>367</v>
      </c>
      <c r="J7563" s="33" t="s">
        <v>16414</v>
      </c>
      <c r="K7563" s="33" t="s">
        <v>11192</v>
      </c>
      <c r="L7563" s="33" t="s">
        <v>16415</v>
      </c>
      <c r="M7563" s="33" t="s">
        <v>21</v>
      </c>
      <c r="N7563" s="33" t="s">
        <v>16416</v>
      </c>
      <c r="O7563" s="33" t="s">
        <v>507</v>
      </c>
      <c r="P7563" s="33" t="s">
        <v>30089</v>
      </c>
      <c r="Q7563" s="40" t="s">
        <v>16417</v>
      </c>
      <c r="R7563" s="33" t="s">
        <v>23</v>
      </c>
      <c r="S7563" s="33" t="s">
        <v>22</v>
      </c>
      <c r="T7563" s="1" t="s">
        <v>26781</v>
      </c>
      <c r="Z7563" s="33" t="s">
        <v>42967</v>
      </c>
      <c r="AA7563" s="33">
        <v>102</v>
      </c>
      <c r="BM7563" s="68"/>
      <c r="BN7563" s="68"/>
    </row>
    <row r="7564" spans="1:66" ht="12" customHeight="1" x14ac:dyDescent="0.15">
      <c r="A7564" s="33" t="s">
        <v>16396</v>
      </c>
      <c r="B7564" s="33">
        <v>32</v>
      </c>
      <c r="C7564" s="33" t="s">
        <v>103</v>
      </c>
      <c r="D7564" s="33" t="s">
        <v>31</v>
      </c>
      <c r="E7564" s="33" t="s">
        <v>16397</v>
      </c>
      <c r="F7564" s="67">
        <v>41303</v>
      </c>
      <c r="G7564" s="33" t="s">
        <v>16398</v>
      </c>
      <c r="H7564" s="33" t="s">
        <v>8568</v>
      </c>
      <c r="I7564" s="33" t="s">
        <v>338</v>
      </c>
      <c r="J7564" s="33" t="s">
        <v>16399</v>
      </c>
      <c r="K7564" s="33" t="s">
        <v>8570</v>
      </c>
      <c r="L7564" s="33" t="s">
        <v>16400</v>
      </c>
      <c r="M7564" s="33" t="s">
        <v>21</v>
      </c>
      <c r="N7564" s="33" t="s">
        <v>16401</v>
      </c>
      <c r="O7564" s="33" t="s">
        <v>507</v>
      </c>
      <c r="P7564" s="33" t="s">
        <v>30089</v>
      </c>
      <c r="Q7564" s="40" t="s">
        <v>16402</v>
      </c>
      <c r="R7564" s="33" t="s">
        <v>512</v>
      </c>
      <c r="S7564" s="33" t="s">
        <v>22</v>
      </c>
      <c r="T7564" s="1" t="s">
        <v>26781</v>
      </c>
      <c r="Z7564" s="33" t="s">
        <v>42968</v>
      </c>
      <c r="AA7564" s="33">
        <v>99</v>
      </c>
      <c r="BM7564" s="68"/>
      <c r="BN7564" s="68"/>
    </row>
    <row r="7565" spans="1:66" ht="12" customHeight="1" x14ac:dyDescent="0.15">
      <c r="A7565" s="33" t="s">
        <v>16389</v>
      </c>
      <c r="B7565" s="33">
        <v>31</v>
      </c>
      <c r="C7565" s="33" t="s">
        <v>14</v>
      </c>
      <c r="D7565" s="33" t="s">
        <v>24</v>
      </c>
      <c r="F7565" s="67">
        <v>41303</v>
      </c>
      <c r="G7565" s="33" t="s">
        <v>16390</v>
      </c>
      <c r="H7565" s="33" t="s">
        <v>16391</v>
      </c>
      <c r="I7565" s="33" t="s">
        <v>88</v>
      </c>
      <c r="J7565" s="33" t="s">
        <v>16392</v>
      </c>
      <c r="K7565" s="33" t="s">
        <v>404</v>
      </c>
      <c r="L7565" s="33" t="s">
        <v>16393</v>
      </c>
      <c r="M7565" s="33" t="s">
        <v>21</v>
      </c>
      <c r="N7565" s="33" t="s">
        <v>16394</v>
      </c>
      <c r="O7565" s="33" t="s">
        <v>507</v>
      </c>
      <c r="P7565" s="33" t="s">
        <v>30089</v>
      </c>
      <c r="Q7565" s="40" t="s">
        <v>16395</v>
      </c>
      <c r="R7565" s="33" t="s">
        <v>23</v>
      </c>
      <c r="S7565" s="33" t="s">
        <v>22</v>
      </c>
      <c r="T7565" s="1" t="s">
        <v>26781</v>
      </c>
      <c r="Z7565" s="33" t="s">
        <v>42967</v>
      </c>
      <c r="AA7565" s="33">
        <v>100</v>
      </c>
      <c r="BM7565" s="68"/>
      <c r="BN7565" s="68"/>
    </row>
    <row r="7566" spans="1:66" ht="12" customHeight="1" x14ac:dyDescent="0.15">
      <c r="A7566" s="33" t="s">
        <v>16403</v>
      </c>
      <c r="B7566" s="33">
        <v>31</v>
      </c>
      <c r="C7566" s="33" t="s">
        <v>14</v>
      </c>
      <c r="D7566" s="33" t="s">
        <v>31</v>
      </c>
      <c r="E7566" s="33" t="s">
        <v>16404</v>
      </c>
      <c r="F7566" s="67">
        <v>41303</v>
      </c>
      <c r="G7566" s="33" t="s">
        <v>16405</v>
      </c>
      <c r="H7566" s="33" t="s">
        <v>16406</v>
      </c>
      <c r="I7566" s="33" t="s">
        <v>67</v>
      </c>
      <c r="J7566" s="33">
        <v>76117</v>
      </c>
      <c r="K7566" s="33" t="s">
        <v>68</v>
      </c>
      <c r="L7566" s="33" t="s">
        <v>16407</v>
      </c>
      <c r="M7566" s="33" t="s">
        <v>21</v>
      </c>
      <c r="N7566" s="33" t="s">
        <v>16408</v>
      </c>
      <c r="O7566" s="33" t="s">
        <v>23</v>
      </c>
      <c r="P7566" s="33" t="s">
        <v>30089</v>
      </c>
      <c r="Q7566" s="40" t="s">
        <v>16409</v>
      </c>
      <c r="R7566" s="33" t="s">
        <v>94</v>
      </c>
      <c r="S7566" s="33" t="s">
        <v>22</v>
      </c>
      <c r="T7566" s="1" t="s">
        <v>26781</v>
      </c>
      <c r="Z7566" s="33" t="s">
        <v>42968</v>
      </c>
      <c r="AA7566" s="33">
        <v>101</v>
      </c>
      <c r="BM7566" s="68"/>
      <c r="BN7566" s="68"/>
    </row>
    <row r="7567" spans="1:66" ht="12" customHeight="1" x14ac:dyDescent="0.15">
      <c r="A7567" s="33" t="s">
        <v>16429</v>
      </c>
      <c r="B7567" s="33">
        <v>51</v>
      </c>
      <c r="C7567" s="33" t="s">
        <v>14</v>
      </c>
      <c r="D7567" s="33" t="s">
        <v>31</v>
      </c>
      <c r="E7567" s="33" t="s">
        <v>16430</v>
      </c>
      <c r="F7567" s="67">
        <v>41302</v>
      </c>
      <c r="G7567" s="33" t="s">
        <v>22364</v>
      </c>
      <c r="H7567" s="33" t="s">
        <v>183</v>
      </c>
      <c r="I7567" s="33" t="s">
        <v>39</v>
      </c>
      <c r="J7567" s="33" t="s">
        <v>11970</v>
      </c>
      <c r="K7567" s="33" t="s">
        <v>183</v>
      </c>
      <c r="L7567" s="33" t="s">
        <v>1493</v>
      </c>
      <c r="M7567" s="33" t="s">
        <v>21</v>
      </c>
      <c r="N7567" s="33" t="s">
        <v>16431</v>
      </c>
      <c r="O7567" s="33" t="s">
        <v>950</v>
      </c>
      <c r="P7567" s="33" t="s">
        <v>30089</v>
      </c>
      <c r="Q7567" s="40" t="s">
        <v>16432</v>
      </c>
      <c r="R7567" s="33" t="s">
        <v>512</v>
      </c>
      <c r="S7567" s="33" t="s">
        <v>22</v>
      </c>
      <c r="T7567" s="1" t="s">
        <v>26612</v>
      </c>
      <c r="Z7567" s="33" t="s">
        <v>42968</v>
      </c>
      <c r="AA7567" s="33">
        <v>95</v>
      </c>
      <c r="BM7567" s="68"/>
      <c r="BN7567" s="68"/>
    </row>
    <row r="7568" spans="1:66" ht="12" customHeight="1" x14ac:dyDescent="0.15">
      <c r="A7568" s="33" t="s">
        <v>16424</v>
      </c>
      <c r="B7568" s="33">
        <v>38</v>
      </c>
      <c r="C7568" s="33" t="s">
        <v>14</v>
      </c>
      <c r="D7568" s="33" t="s">
        <v>79</v>
      </c>
      <c r="E7568" s="33" t="s">
        <v>16425</v>
      </c>
      <c r="F7568" s="67">
        <v>41302</v>
      </c>
      <c r="G7568" s="33" t="s">
        <v>16426</v>
      </c>
      <c r="H7568" s="33" t="s">
        <v>603</v>
      </c>
      <c r="I7568" s="33" t="s">
        <v>56</v>
      </c>
      <c r="J7568" s="33" t="s">
        <v>16427</v>
      </c>
      <c r="K7568" s="33" t="s">
        <v>604</v>
      </c>
      <c r="L7568" s="33" t="s">
        <v>605</v>
      </c>
      <c r="M7568" s="33" t="s">
        <v>21</v>
      </c>
      <c r="N7568" s="33" t="s">
        <v>16428</v>
      </c>
      <c r="O7568" s="33" t="s">
        <v>950</v>
      </c>
      <c r="P7568" s="33" t="s">
        <v>30089</v>
      </c>
      <c r="Q7568" s="40" t="str">
        <f>HYPERLINK("http://jacksonville.com/news/crime/2014-09-06/story/lawsuit-pits-family-against-jacksonville-police-over-fatal-police","http://jacksonville.com/news/crime/2014-09-06/story/lawsuit-pits-family-against-jacksonville-police-over-fatal-police")</f>
        <v>http://jacksonville.com/news/crime/2014-09-06/story/lawsuit-pits-family-against-jacksonville-police-over-fatal-police</v>
      </c>
      <c r="R7568" s="33" t="s">
        <v>94</v>
      </c>
      <c r="S7568" s="33" t="s">
        <v>12</v>
      </c>
      <c r="T7568" s="54" t="s">
        <v>29705</v>
      </c>
      <c r="Z7568" s="33" t="s">
        <v>42966</v>
      </c>
      <c r="AA7568" s="33">
        <v>98</v>
      </c>
    </row>
    <row r="7569" spans="1:66" ht="12" customHeight="1" x14ac:dyDescent="0.15">
      <c r="A7569" s="33" t="s">
        <v>16433</v>
      </c>
      <c r="B7569" s="33">
        <v>50</v>
      </c>
      <c r="C7569" s="33" t="s">
        <v>14</v>
      </c>
      <c r="D7569" s="33" t="s">
        <v>31</v>
      </c>
      <c r="E7569" s="33" t="s">
        <v>16434</v>
      </c>
      <c r="F7569" s="67">
        <v>41302</v>
      </c>
      <c r="G7569" s="33" t="s">
        <v>16435</v>
      </c>
      <c r="H7569" s="33" t="s">
        <v>3465</v>
      </c>
      <c r="I7569" s="33" t="s">
        <v>402</v>
      </c>
      <c r="J7569" s="33" t="s">
        <v>16436</v>
      </c>
      <c r="K7569" s="33" t="s">
        <v>16437</v>
      </c>
      <c r="L7569" s="33" t="s">
        <v>8998</v>
      </c>
      <c r="M7569" s="33" t="s">
        <v>21</v>
      </c>
      <c r="N7569" s="33" t="s">
        <v>36904</v>
      </c>
      <c r="O7569" s="33" t="s">
        <v>507</v>
      </c>
      <c r="P7569" s="33" t="s">
        <v>30089</v>
      </c>
      <c r="Q7569" s="40" t="s">
        <v>16438</v>
      </c>
      <c r="R7569" s="33" t="s">
        <v>904</v>
      </c>
      <c r="S7569" s="33" t="s">
        <v>12</v>
      </c>
      <c r="T7569" s="1" t="s">
        <v>29705</v>
      </c>
      <c r="Z7569" s="33" t="s">
        <v>42967</v>
      </c>
      <c r="AA7569" s="33">
        <v>97</v>
      </c>
      <c r="BM7569" s="68"/>
      <c r="BN7569" s="68"/>
    </row>
    <row r="7570" spans="1:66" ht="12" customHeight="1" x14ac:dyDescent="0.15">
      <c r="A7570" s="33" t="s">
        <v>16418</v>
      </c>
      <c r="B7570" s="33">
        <v>29</v>
      </c>
      <c r="C7570" s="33" t="s">
        <v>14</v>
      </c>
      <c r="D7570" s="33" t="s">
        <v>79</v>
      </c>
      <c r="E7570" s="33" t="s">
        <v>16419</v>
      </c>
      <c r="F7570" s="67">
        <v>41302</v>
      </c>
      <c r="G7570" s="33" t="s">
        <v>22365</v>
      </c>
      <c r="H7570" s="33" t="s">
        <v>11218</v>
      </c>
      <c r="I7570" s="33" t="s">
        <v>376</v>
      </c>
      <c r="J7570" s="33" t="s">
        <v>16420</v>
      </c>
      <c r="K7570" s="33" t="s">
        <v>4183</v>
      </c>
      <c r="L7570" s="33" t="s">
        <v>16421</v>
      </c>
      <c r="M7570" s="33" t="s">
        <v>21</v>
      </c>
      <c r="N7570" s="33" t="s">
        <v>16422</v>
      </c>
      <c r="O7570" s="33" t="s">
        <v>507</v>
      </c>
      <c r="P7570" s="33" t="s">
        <v>30089</v>
      </c>
      <c r="Q7570" s="40" t="s">
        <v>16423</v>
      </c>
      <c r="R7570" s="33" t="s">
        <v>904</v>
      </c>
      <c r="S7570" s="33" t="s">
        <v>22</v>
      </c>
      <c r="T7570" s="1" t="s">
        <v>26593</v>
      </c>
      <c r="Z7570" s="33" t="s">
        <v>42966</v>
      </c>
      <c r="AA7570" s="33">
        <v>96</v>
      </c>
      <c r="BM7570" s="68"/>
      <c r="BN7570" s="68"/>
    </row>
    <row r="7571" spans="1:66" ht="12" customHeight="1" x14ac:dyDescent="0.15">
      <c r="A7571" s="33" t="s">
        <v>16445</v>
      </c>
      <c r="B7571" s="33">
        <v>32</v>
      </c>
      <c r="C7571" s="33" t="s">
        <v>14</v>
      </c>
      <c r="D7571" s="33" t="s">
        <v>24</v>
      </c>
      <c r="F7571" s="67">
        <v>41301</v>
      </c>
      <c r="G7571" s="33" t="s">
        <v>16446</v>
      </c>
      <c r="H7571" s="33" t="s">
        <v>1132</v>
      </c>
      <c r="I7571" s="33" t="s">
        <v>282</v>
      </c>
      <c r="J7571" s="33" t="s">
        <v>16447</v>
      </c>
      <c r="K7571" s="33" t="s">
        <v>1133</v>
      </c>
      <c r="L7571" s="33" t="s">
        <v>1134</v>
      </c>
      <c r="M7571" s="33" t="s">
        <v>21</v>
      </c>
      <c r="N7571" s="33" t="s">
        <v>16448</v>
      </c>
      <c r="O7571" s="33" t="s">
        <v>950</v>
      </c>
      <c r="P7571" s="33" t="s">
        <v>30089</v>
      </c>
      <c r="Q7571" s="40" t="s">
        <v>16449</v>
      </c>
      <c r="R7571" s="33" t="s">
        <v>94</v>
      </c>
      <c r="S7571" s="33" t="s">
        <v>22</v>
      </c>
      <c r="T7571" s="1" t="s">
        <v>26781</v>
      </c>
      <c r="Z7571" s="33" t="s">
        <v>42966</v>
      </c>
      <c r="AA7571" s="33">
        <v>92</v>
      </c>
      <c r="BM7571" s="68"/>
      <c r="BN7571" s="68"/>
    </row>
    <row r="7572" spans="1:66" ht="12" customHeight="1" x14ac:dyDescent="0.15">
      <c r="A7572" s="33" t="s">
        <v>16440</v>
      </c>
      <c r="B7572" s="33">
        <v>30</v>
      </c>
      <c r="C7572" s="33" t="s">
        <v>14</v>
      </c>
      <c r="D7572" s="33" t="s">
        <v>24</v>
      </c>
      <c r="F7572" s="67">
        <v>41301</v>
      </c>
      <c r="G7572" s="33" t="s">
        <v>22366</v>
      </c>
      <c r="H7572" s="33" t="s">
        <v>16441</v>
      </c>
      <c r="I7572" s="33" t="s">
        <v>38</v>
      </c>
      <c r="J7572" s="33" t="s">
        <v>16442</v>
      </c>
      <c r="K7572" s="33" t="s">
        <v>82</v>
      </c>
      <c r="L7572" s="33" t="s">
        <v>3811</v>
      </c>
      <c r="M7572" s="33" t="s">
        <v>21</v>
      </c>
      <c r="N7572" s="33" t="s">
        <v>16443</v>
      </c>
      <c r="O7572" s="33" t="s">
        <v>950</v>
      </c>
      <c r="P7572" s="33" t="s">
        <v>30089</v>
      </c>
      <c r="Q7572" s="40" t="s">
        <v>16444</v>
      </c>
      <c r="R7572" s="33" t="s">
        <v>94</v>
      </c>
      <c r="S7572" s="33" t="s">
        <v>22</v>
      </c>
      <c r="T7572" s="1" t="s">
        <v>26576</v>
      </c>
      <c r="Z7572" s="33" t="s">
        <v>42968</v>
      </c>
      <c r="AA7572" s="33">
        <v>94</v>
      </c>
      <c r="BM7572" s="68"/>
      <c r="BN7572" s="68"/>
    </row>
    <row r="7573" spans="1:66" ht="12" customHeight="1" x14ac:dyDescent="0.15">
      <c r="A7573" s="63" t="s">
        <v>42542</v>
      </c>
      <c r="B7573" s="99">
        <v>49</v>
      </c>
      <c r="C7573" s="10" t="s">
        <v>14</v>
      </c>
      <c r="D7573" s="10" t="s">
        <v>31</v>
      </c>
      <c r="E7573" s="10"/>
      <c r="F7573" s="67">
        <v>41301</v>
      </c>
      <c r="G7573" s="10" t="s">
        <v>42543</v>
      </c>
      <c r="H7573" s="10" t="s">
        <v>4990</v>
      </c>
      <c r="I7573" s="10" t="s">
        <v>56</v>
      </c>
      <c r="J7573" s="65">
        <v>32505</v>
      </c>
      <c r="K7573" s="10" t="s">
        <v>4991</v>
      </c>
      <c r="L7573" s="10" t="s">
        <v>4992</v>
      </c>
      <c r="M7573" s="10" t="s">
        <v>21</v>
      </c>
      <c r="N7573" s="10" t="s">
        <v>42544</v>
      </c>
      <c r="O7573" s="10" t="s">
        <v>507</v>
      </c>
      <c r="P7573" s="10" t="s">
        <v>30089</v>
      </c>
      <c r="Q7573" s="62" t="s">
        <v>42545</v>
      </c>
      <c r="R7573" s="10" t="s">
        <v>94</v>
      </c>
      <c r="S7573" s="10" t="s">
        <v>22</v>
      </c>
      <c r="T7573" s="10" t="s">
        <v>26781</v>
      </c>
      <c r="U7573" s="10"/>
      <c r="V7573" s="10"/>
      <c r="W7573" s="10"/>
      <c r="X7573" s="89"/>
      <c r="Y7573" s="68"/>
      <c r="Z7573" s="68" t="s">
        <v>42968</v>
      </c>
      <c r="AA7573" s="33">
        <v>93</v>
      </c>
      <c r="AG7573" s="68"/>
      <c r="AK7573" s="68"/>
      <c r="AL7573" s="68"/>
      <c r="AM7573" s="68"/>
      <c r="AN7573" s="68"/>
      <c r="AO7573" s="68"/>
      <c r="AP7573" s="68"/>
      <c r="AQ7573" s="68"/>
      <c r="AR7573" s="68"/>
      <c r="AS7573" s="68"/>
      <c r="AT7573" s="68"/>
      <c r="AU7573" s="68"/>
      <c r="AV7573" s="68"/>
      <c r="AW7573" s="68"/>
      <c r="AX7573" s="68"/>
      <c r="AY7573" s="68"/>
      <c r="AZ7573" s="68"/>
      <c r="BA7573" s="68"/>
      <c r="BB7573" s="68"/>
      <c r="BC7573" s="68"/>
      <c r="BD7573" s="68"/>
      <c r="BE7573" s="68"/>
      <c r="BF7573" s="68"/>
      <c r="BG7573" s="68"/>
      <c r="BH7573" s="68"/>
      <c r="BI7573" s="68"/>
      <c r="BJ7573" s="68"/>
      <c r="BK7573" s="68"/>
      <c r="BL7573" s="68"/>
    </row>
    <row r="7574" spans="1:66" ht="12" customHeight="1" x14ac:dyDescent="0.15">
      <c r="A7574" s="33" t="s">
        <v>16454</v>
      </c>
      <c r="B7574" s="103">
        <v>23</v>
      </c>
      <c r="C7574" s="33" t="s">
        <v>14</v>
      </c>
      <c r="D7574" s="33" t="s">
        <v>79</v>
      </c>
      <c r="E7574" s="33" t="s">
        <v>16455</v>
      </c>
      <c r="F7574" s="67">
        <v>41299</v>
      </c>
      <c r="G7574" s="33" t="s">
        <v>16456</v>
      </c>
      <c r="H7574" s="33" t="s">
        <v>518</v>
      </c>
      <c r="I7574" s="33" t="s">
        <v>112</v>
      </c>
      <c r="J7574" s="33">
        <v>85716</v>
      </c>
      <c r="K7574" s="33" t="s">
        <v>519</v>
      </c>
      <c r="L7574" s="33" t="s">
        <v>520</v>
      </c>
      <c r="M7574" s="33" t="s">
        <v>21</v>
      </c>
      <c r="N7574" s="33" t="s">
        <v>16457</v>
      </c>
      <c r="O7574" s="33" t="s">
        <v>23</v>
      </c>
      <c r="P7574" s="33" t="s">
        <v>30089</v>
      </c>
      <c r="Q7574" s="40" t="s">
        <v>16458</v>
      </c>
      <c r="R7574" s="33" t="s">
        <v>94</v>
      </c>
      <c r="S7574" s="33" t="s">
        <v>22</v>
      </c>
      <c r="T7574" s="1" t="s">
        <v>26781</v>
      </c>
      <c r="Z7574" s="33" t="s">
        <v>42966</v>
      </c>
      <c r="AA7574" s="33">
        <v>89</v>
      </c>
      <c r="BM7574" s="68"/>
      <c r="BN7574" s="68"/>
    </row>
    <row r="7575" spans="1:66" ht="12" customHeight="1" x14ac:dyDescent="0.15">
      <c r="A7575" s="33" t="s">
        <v>16450</v>
      </c>
      <c r="B7575" s="33">
        <v>41</v>
      </c>
      <c r="C7575" s="33" t="s">
        <v>14</v>
      </c>
      <c r="D7575" s="33" t="s">
        <v>79</v>
      </c>
      <c r="F7575" s="67">
        <v>41299</v>
      </c>
      <c r="G7575" s="33" t="s">
        <v>22367</v>
      </c>
      <c r="H7575" s="33" t="s">
        <v>1487</v>
      </c>
      <c r="I7575" s="33" t="s">
        <v>46</v>
      </c>
      <c r="J7575" s="33" t="s">
        <v>16451</v>
      </c>
      <c r="K7575" s="33" t="s">
        <v>4324</v>
      </c>
      <c r="L7575" s="33" t="s">
        <v>2556</v>
      </c>
      <c r="M7575" s="33" t="s">
        <v>21</v>
      </c>
      <c r="N7575" s="33" t="s">
        <v>16452</v>
      </c>
      <c r="O7575" s="33" t="s">
        <v>950</v>
      </c>
      <c r="P7575" s="33" t="s">
        <v>30089</v>
      </c>
      <c r="Q7575" s="40" t="s">
        <v>16453</v>
      </c>
      <c r="R7575" s="33" t="s">
        <v>94</v>
      </c>
      <c r="S7575" s="33" t="s">
        <v>22</v>
      </c>
      <c r="T7575" s="1" t="s">
        <v>26781</v>
      </c>
      <c r="Z7575" s="33" t="s">
        <v>42966</v>
      </c>
      <c r="AA7575" s="33">
        <v>88</v>
      </c>
      <c r="BM7575" s="68"/>
      <c r="BN7575" s="68"/>
    </row>
    <row r="7576" spans="1:66" ht="12" customHeight="1" x14ac:dyDescent="0.15">
      <c r="A7576" s="33" t="s">
        <v>16459</v>
      </c>
      <c r="B7576" s="33">
        <v>16</v>
      </c>
      <c r="C7576" s="33" t="s">
        <v>14</v>
      </c>
      <c r="D7576" s="33" t="s">
        <v>31</v>
      </c>
      <c r="E7576" s="33" t="s">
        <v>16460</v>
      </c>
      <c r="F7576" s="67">
        <v>41299</v>
      </c>
      <c r="G7576" s="33" t="s">
        <v>16461</v>
      </c>
      <c r="H7576" s="33" t="s">
        <v>3086</v>
      </c>
      <c r="I7576" s="33" t="s">
        <v>282</v>
      </c>
      <c r="J7576" s="33" t="s">
        <v>16462</v>
      </c>
      <c r="K7576" s="33" t="s">
        <v>527</v>
      </c>
      <c r="L7576" s="33" t="s">
        <v>5161</v>
      </c>
      <c r="M7576" s="33" t="s">
        <v>21</v>
      </c>
      <c r="N7576" s="33" t="s">
        <v>16463</v>
      </c>
      <c r="O7576" s="33" t="s">
        <v>507</v>
      </c>
      <c r="P7576" s="33" t="s">
        <v>30089</v>
      </c>
      <c r="Q7576" s="40" t="s">
        <v>16464</v>
      </c>
      <c r="R7576" s="33" t="s">
        <v>94</v>
      </c>
      <c r="S7576" s="33" t="s">
        <v>22</v>
      </c>
      <c r="T7576" s="1" t="s">
        <v>26781</v>
      </c>
      <c r="Z7576" s="33" t="s">
        <v>42968</v>
      </c>
      <c r="AA7576" s="33">
        <v>90</v>
      </c>
      <c r="BM7576" s="68"/>
      <c r="BN7576" s="68"/>
    </row>
    <row r="7577" spans="1:66" ht="12" customHeight="1" x14ac:dyDescent="0.15">
      <c r="A7577" s="63" t="s">
        <v>42742</v>
      </c>
      <c r="B7577" s="99">
        <v>32</v>
      </c>
      <c r="C7577" s="10" t="s">
        <v>14</v>
      </c>
      <c r="D7577" s="10" t="s">
        <v>42</v>
      </c>
      <c r="E7577" s="10"/>
      <c r="F7577" s="67">
        <v>41299</v>
      </c>
      <c r="G7577" s="10" t="s">
        <v>42743</v>
      </c>
      <c r="H7577" s="10" t="s">
        <v>674</v>
      </c>
      <c r="I7577" s="10" t="s">
        <v>67</v>
      </c>
      <c r="J7577" s="65">
        <v>77090</v>
      </c>
      <c r="K7577" s="10" t="s">
        <v>515</v>
      </c>
      <c r="L7577" s="10" t="s">
        <v>516</v>
      </c>
      <c r="M7577" s="10" t="s">
        <v>21</v>
      </c>
      <c r="N7577" s="10" t="s">
        <v>42744</v>
      </c>
      <c r="O7577" s="10" t="s">
        <v>42518</v>
      </c>
      <c r="P7577" s="10" t="s">
        <v>30089</v>
      </c>
      <c r="Q7577" s="62" t="s">
        <v>42745</v>
      </c>
      <c r="R7577" s="10" t="s">
        <v>94</v>
      </c>
      <c r="S7577" s="10" t="s">
        <v>22</v>
      </c>
      <c r="T7577" s="10" t="s">
        <v>26774</v>
      </c>
      <c r="U7577" s="10"/>
      <c r="V7577" s="10"/>
      <c r="W7577" s="69"/>
      <c r="X7577" s="89"/>
      <c r="Y7577" s="68" t="s">
        <v>42476</v>
      </c>
      <c r="Z7577" s="68" t="s">
        <v>42968</v>
      </c>
      <c r="AA7577" s="33">
        <v>91</v>
      </c>
      <c r="AG7577" s="68"/>
      <c r="AK7577" s="68"/>
      <c r="AL7577" s="68"/>
      <c r="AM7577" s="68"/>
      <c r="AN7577" s="68"/>
      <c r="AO7577" s="68"/>
      <c r="AP7577" s="68"/>
      <c r="AQ7577" s="68"/>
      <c r="AR7577" s="68"/>
      <c r="AS7577" s="68"/>
      <c r="AT7577" s="68"/>
      <c r="AU7577" s="68"/>
      <c r="AV7577" s="68"/>
      <c r="AW7577" s="68"/>
      <c r="AX7577" s="68"/>
      <c r="AY7577" s="68"/>
      <c r="AZ7577" s="68"/>
      <c r="BA7577" s="68"/>
      <c r="BB7577" s="68"/>
      <c r="BC7577" s="68"/>
      <c r="BD7577" s="68"/>
      <c r="BE7577" s="68"/>
      <c r="BF7577" s="68"/>
      <c r="BG7577" s="68"/>
      <c r="BH7577" s="68"/>
      <c r="BI7577" s="68"/>
      <c r="BJ7577" s="68"/>
      <c r="BK7577" s="68"/>
      <c r="BL7577" s="68"/>
    </row>
    <row r="7578" spans="1:66" ht="12" customHeight="1" x14ac:dyDescent="0.15">
      <c r="A7578" s="33" t="s">
        <v>16477</v>
      </c>
      <c r="B7578" s="33">
        <v>22</v>
      </c>
      <c r="C7578" s="33" t="s">
        <v>14</v>
      </c>
      <c r="D7578" s="33" t="s">
        <v>24</v>
      </c>
      <c r="F7578" s="67">
        <v>41298</v>
      </c>
      <c r="G7578" s="33" t="s">
        <v>16478</v>
      </c>
      <c r="H7578" s="33" t="s">
        <v>11306</v>
      </c>
      <c r="I7578" s="33" t="s">
        <v>67</v>
      </c>
      <c r="J7578" s="33" t="s">
        <v>16479</v>
      </c>
      <c r="K7578" s="33" t="s">
        <v>68</v>
      </c>
      <c r="L7578" s="33" t="s">
        <v>11308</v>
      </c>
      <c r="M7578" s="33" t="s">
        <v>21</v>
      </c>
      <c r="N7578" s="33" t="s">
        <v>16480</v>
      </c>
      <c r="O7578" s="33" t="s">
        <v>950</v>
      </c>
      <c r="P7578" s="33" t="s">
        <v>30089</v>
      </c>
      <c r="Q7578" s="40" t="s">
        <v>16481</v>
      </c>
      <c r="R7578" s="33" t="s">
        <v>94</v>
      </c>
      <c r="S7578" s="33" t="s">
        <v>29</v>
      </c>
      <c r="T7578" s="33" t="s">
        <v>41840</v>
      </c>
      <c r="Z7578" s="33" t="s">
        <v>42968</v>
      </c>
      <c r="AA7578" s="33">
        <v>87</v>
      </c>
      <c r="AE7578" s="33"/>
      <c r="BM7578" s="68"/>
      <c r="BN7578" s="68"/>
    </row>
    <row r="7579" spans="1:66" ht="12" customHeight="1" x14ac:dyDescent="0.15">
      <c r="A7579" s="33" t="s">
        <v>16482</v>
      </c>
      <c r="B7579" s="33">
        <v>34</v>
      </c>
      <c r="C7579" s="33" t="s">
        <v>14</v>
      </c>
      <c r="D7579" s="33" t="s">
        <v>31</v>
      </c>
      <c r="E7579" s="33" t="s">
        <v>16483</v>
      </c>
      <c r="F7579" s="67">
        <v>41298</v>
      </c>
      <c r="G7579" s="33" t="s">
        <v>16484</v>
      </c>
      <c r="H7579" s="33" t="s">
        <v>2180</v>
      </c>
      <c r="I7579" s="33" t="s">
        <v>51</v>
      </c>
      <c r="J7579" s="33" t="s">
        <v>16485</v>
      </c>
      <c r="K7579" s="33" t="s">
        <v>2180</v>
      </c>
      <c r="L7579" s="33" t="s">
        <v>10640</v>
      </c>
      <c r="M7579" s="33" t="s">
        <v>21</v>
      </c>
      <c r="N7579" s="33" t="s">
        <v>16486</v>
      </c>
      <c r="O7579" s="33" t="s">
        <v>507</v>
      </c>
      <c r="P7579" s="33" t="s">
        <v>30089</v>
      </c>
      <c r="Q7579" s="40" t="s">
        <v>16487</v>
      </c>
      <c r="R7579" s="33" t="s">
        <v>94</v>
      </c>
      <c r="S7579" s="33" t="s">
        <v>12</v>
      </c>
      <c r="T7579" s="1" t="s">
        <v>29705</v>
      </c>
      <c r="Z7579" s="33" t="s">
        <v>42966</v>
      </c>
      <c r="AA7579" s="33">
        <v>86</v>
      </c>
      <c r="BM7579" s="68"/>
      <c r="BN7579" s="68"/>
    </row>
    <row r="7580" spans="1:66" ht="12" customHeight="1" x14ac:dyDescent="0.15">
      <c r="A7580" s="33" t="s">
        <v>16465</v>
      </c>
      <c r="B7580" s="33">
        <v>22</v>
      </c>
      <c r="C7580" s="33" t="s">
        <v>14</v>
      </c>
      <c r="D7580" s="33" t="s">
        <v>79</v>
      </c>
      <c r="E7580" s="33" t="s">
        <v>16466</v>
      </c>
      <c r="F7580" s="67">
        <v>41298</v>
      </c>
      <c r="G7580" s="33" t="s">
        <v>16467</v>
      </c>
      <c r="H7580" s="33" t="s">
        <v>5472</v>
      </c>
      <c r="I7580" s="33" t="s">
        <v>338</v>
      </c>
      <c r="J7580" s="33" t="s">
        <v>16468</v>
      </c>
      <c r="K7580" s="33" t="s">
        <v>2907</v>
      </c>
      <c r="L7580" s="33" t="s">
        <v>5474</v>
      </c>
      <c r="M7580" s="33" t="s">
        <v>21</v>
      </c>
      <c r="N7580" s="33" t="s">
        <v>16469</v>
      </c>
      <c r="O7580" s="33" t="s">
        <v>507</v>
      </c>
      <c r="P7580" s="33" t="s">
        <v>30089</v>
      </c>
      <c r="Q7580" s="40" t="s">
        <v>16470</v>
      </c>
      <c r="R7580" s="33" t="s">
        <v>94</v>
      </c>
      <c r="S7580" s="33" t="s">
        <v>22</v>
      </c>
      <c r="T7580" s="1" t="s">
        <v>26781</v>
      </c>
      <c r="Z7580" s="33" t="s">
        <v>42966</v>
      </c>
      <c r="AA7580" s="33">
        <v>85</v>
      </c>
      <c r="BM7580" s="68"/>
      <c r="BN7580" s="68"/>
    </row>
    <row r="7581" spans="1:66" ht="12" customHeight="1" x14ac:dyDescent="0.15">
      <c r="A7581" s="33" t="s">
        <v>16471</v>
      </c>
      <c r="B7581" s="33">
        <v>60</v>
      </c>
      <c r="C7581" s="33" t="s">
        <v>103</v>
      </c>
      <c r="D7581" s="33" t="s">
        <v>79</v>
      </c>
      <c r="E7581" s="33" t="s">
        <v>16472</v>
      </c>
      <c r="F7581" s="67">
        <v>41298</v>
      </c>
      <c r="G7581" s="33" t="s">
        <v>22368</v>
      </c>
      <c r="H7581" s="33" t="s">
        <v>6415</v>
      </c>
      <c r="I7581" s="33" t="s">
        <v>19</v>
      </c>
      <c r="J7581" s="33" t="s">
        <v>6416</v>
      </c>
      <c r="K7581" s="33" t="s">
        <v>6417</v>
      </c>
      <c r="L7581" s="33" t="s">
        <v>16473</v>
      </c>
      <c r="M7581" s="33" t="s">
        <v>21</v>
      </c>
      <c r="N7581" s="33" t="s">
        <v>16474</v>
      </c>
      <c r="O7581" s="33" t="s">
        <v>16475</v>
      </c>
      <c r="P7581" s="33" t="s">
        <v>30089</v>
      </c>
      <c r="Q7581" s="40" t="s">
        <v>16476</v>
      </c>
      <c r="R7581" s="33" t="s">
        <v>94</v>
      </c>
      <c r="S7581" s="33" t="s">
        <v>22</v>
      </c>
      <c r="T7581" s="1" t="s">
        <v>26781</v>
      </c>
      <c r="Z7581" s="33" t="s">
        <v>42968</v>
      </c>
      <c r="AA7581" s="33">
        <v>84</v>
      </c>
      <c r="BM7581" s="68"/>
      <c r="BN7581" s="68"/>
    </row>
    <row r="7582" spans="1:66" ht="12" customHeight="1" x14ac:dyDescent="0.15">
      <c r="A7582" s="33" t="s">
        <v>16488</v>
      </c>
      <c r="B7582" s="103">
        <v>48</v>
      </c>
      <c r="C7582" s="33" t="s">
        <v>14</v>
      </c>
      <c r="D7582" s="33" t="s">
        <v>79</v>
      </c>
      <c r="E7582" s="33" t="s">
        <v>16489</v>
      </c>
      <c r="F7582" s="67">
        <v>41297</v>
      </c>
      <c r="G7582" s="33" t="s">
        <v>16490</v>
      </c>
      <c r="H7582" s="33" t="s">
        <v>16491</v>
      </c>
      <c r="I7582" s="33" t="s">
        <v>67</v>
      </c>
      <c r="J7582" s="33" t="s">
        <v>16492</v>
      </c>
      <c r="K7582" s="33" t="s">
        <v>1470</v>
      </c>
      <c r="L7582" s="33" t="s">
        <v>16493</v>
      </c>
      <c r="M7582" s="33" t="s">
        <v>21</v>
      </c>
      <c r="N7582" s="33" t="s">
        <v>16494</v>
      </c>
      <c r="O7582" s="33" t="s">
        <v>507</v>
      </c>
      <c r="P7582" s="33" t="s">
        <v>30089</v>
      </c>
      <c r="Q7582" s="40" t="s">
        <v>16495</v>
      </c>
      <c r="R7582" s="33" t="s">
        <v>512</v>
      </c>
      <c r="S7582" s="33" t="s">
        <v>22</v>
      </c>
      <c r="T7582" s="1" t="s">
        <v>26593</v>
      </c>
      <c r="Z7582" s="33" t="s">
        <v>42967</v>
      </c>
      <c r="AA7582" s="33">
        <v>83</v>
      </c>
      <c r="BM7582" s="68"/>
      <c r="BN7582" s="68"/>
    </row>
    <row r="7583" spans="1:66" ht="12" customHeight="1" x14ac:dyDescent="0.15">
      <c r="A7583" s="33" t="s">
        <v>16496</v>
      </c>
      <c r="B7583" s="33">
        <v>33</v>
      </c>
      <c r="C7583" s="33" t="s">
        <v>14</v>
      </c>
      <c r="D7583" s="33" t="s">
        <v>24</v>
      </c>
      <c r="F7583" s="67">
        <v>41296</v>
      </c>
      <c r="G7583" s="33" t="s">
        <v>16497</v>
      </c>
      <c r="H7583" s="33" t="s">
        <v>11426</v>
      </c>
      <c r="I7583" s="33" t="s">
        <v>178</v>
      </c>
      <c r="J7583" s="33" t="s">
        <v>16498</v>
      </c>
      <c r="K7583" s="33" t="s">
        <v>5263</v>
      </c>
      <c r="L7583" s="33" t="s">
        <v>11428</v>
      </c>
      <c r="M7583" s="33" t="s">
        <v>21</v>
      </c>
      <c r="N7583" s="33" t="s">
        <v>16499</v>
      </c>
      <c r="O7583" s="33" t="s">
        <v>950</v>
      </c>
      <c r="P7583" s="33" t="s">
        <v>30089</v>
      </c>
      <c r="Q7583" s="40" t="s">
        <v>16500</v>
      </c>
      <c r="R7583" s="33" t="s">
        <v>94</v>
      </c>
      <c r="S7583" s="33" t="s">
        <v>22</v>
      </c>
      <c r="T7583" s="1" t="s">
        <v>26576</v>
      </c>
      <c r="Z7583" s="33" t="s">
        <v>42966</v>
      </c>
      <c r="AA7583" s="33">
        <v>81</v>
      </c>
      <c r="BM7583" s="68"/>
      <c r="BN7583" s="68"/>
    </row>
    <row r="7584" spans="1:66" ht="12" customHeight="1" x14ac:dyDescent="0.15">
      <c r="A7584" s="33" t="s">
        <v>16512</v>
      </c>
      <c r="B7584" s="33">
        <v>46</v>
      </c>
      <c r="C7584" s="33" t="s">
        <v>103</v>
      </c>
      <c r="D7584" s="33" t="s">
        <v>31</v>
      </c>
      <c r="E7584" s="33" t="s">
        <v>16513</v>
      </c>
      <c r="F7584" s="67">
        <v>41296</v>
      </c>
      <c r="G7584" s="33" t="s">
        <v>22369</v>
      </c>
      <c r="H7584" s="33" t="s">
        <v>2960</v>
      </c>
      <c r="I7584" s="33" t="s">
        <v>250</v>
      </c>
      <c r="J7584" s="33" t="s">
        <v>2961</v>
      </c>
      <c r="K7584" s="33" t="s">
        <v>527</v>
      </c>
      <c r="L7584" s="33" t="s">
        <v>528</v>
      </c>
      <c r="M7584" s="33" t="s">
        <v>21</v>
      </c>
      <c r="N7584" s="33" t="s">
        <v>16514</v>
      </c>
      <c r="O7584" s="33" t="s">
        <v>23116</v>
      </c>
      <c r="P7584" s="33" t="s">
        <v>30089</v>
      </c>
      <c r="Q7584" s="40" t="s">
        <v>16511</v>
      </c>
      <c r="R7584" s="33" t="s">
        <v>94</v>
      </c>
      <c r="S7584" s="33" t="s">
        <v>12</v>
      </c>
      <c r="T7584" s="54" t="s">
        <v>29705</v>
      </c>
      <c r="Y7584" s="33" t="s">
        <v>42476</v>
      </c>
      <c r="Z7584" s="33" t="s">
        <v>42967</v>
      </c>
      <c r="AA7584" s="33">
        <v>79</v>
      </c>
    </row>
    <row r="7585" spans="1:66" ht="12" customHeight="1" x14ac:dyDescent="0.15">
      <c r="A7585" s="33" t="s">
        <v>16509</v>
      </c>
      <c r="B7585" s="33">
        <v>5</v>
      </c>
      <c r="C7585" s="33" t="s">
        <v>14</v>
      </c>
      <c r="D7585" s="33" t="s">
        <v>31</v>
      </c>
      <c r="F7585" s="67">
        <v>41296</v>
      </c>
      <c r="G7585" s="33" t="s">
        <v>22369</v>
      </c>
      <c r="H7585" s="33" t="s">
        <v>2960</v>
      </c>
      <c r="I7585" s="33" t="s">
        <v>250</v>
      </c>
      <c r="J7585" s="33" t="s">
        <v>2961</v>
      </c>
      <c r="K7585" s="33" t="s">
        <v>527</v>
      </c>
      <c r="L7585" s="33" t="s">
        <v>528</v>
      </c>
      <c r="M7585" s="33" t="s">
        <v>21</v>
      </c>
      <c r="N7585" s="33" t="s">
        <v>16510</v>
      </c>
      <c r="O7585" s="33" t="s">
        <v>23116</v>
      </c>
      <c r="P7585" s="33" t="s">
        <v>30089</v>
      </c>
      <c r="Q7585" s="40" t="s">
        <v>16511</v>
      </c>
      <c r="R7585" s="33" t="s">
        <v>94</v>
      </c>
      <c r="S7585" s="33" t="s">
        <v>12</v>
      </c>
      <c r="T7585" s="54" t="s">
        <v>29705</v>
      </c>
      <c r="Y7585" s="33" t="s">
        <v>42476</v>
      </c>
      <c r="Z7585" s="33" t="s">
        <v>42967</v>
      </c>
      <c r="AA7585" s="33">
        <v>80</v>
      </c>
    </row>
    <row r="7586" spans="1:66" ht="12" customHeight="1" x14ac:dyDescent="0.15">
      <c r="A7586" s="33" t="s">
        <v>16501</v>
      </c>
      <c r="B7586" s="33">
        <v>20</v>
      </c>
      <c r="C7586" s="33" t="s">
        <v>14</v>
      </c>
      <c r="D7586" s="33" t="s">
        <v>24</v>
      </c>
      <c r="F7586" s="67">
        <v>41296</v>
      </c>
      <c r="G7586" s="33" t="s">
        <v>16502</v>
      </c>
      <c r="H7586" s="33" t="s">
        <v>16503</v>
      </c>
      <c r="I7586" s="33" t="s">
        <v>192</v>
      </c>
      <c r="J7586" s="33" t="s">
        <v>16504</v>
      </c>
      <c r="K7586" s="33" t="s">
        <v>16505</v>
      </c>
      <c r="L7586" s="33" t="s">
        <v>16506</v>
      </c>
      <c r="M7586" s="33" t="s">
        <v>21</v>
      </c>
      <c r="N7586" s="33" t="s">
        <v>16507</v>
      </c>
      <c r="O7586" s="33" t="s">
        <v>507</v>
      </c>
      <c r="P7586" s="33" t="s">
        <v>30089</v>
      </c>
      <c r="Q7586" s="40" t="s">
        <v>16508</v>
      </c>
      <c r="R7586" s="33" t="s">
        <v>94</v>
      </c>
      <c r="S7586" s="33" t="s">
        <v>351</v>
      </c>
      <c r="T7586" s="33" t="s">
        <v>26867</v>
      </c>
      <c r="Z7586" s="33" t="s">
        <v>42967</v>
      </c>
      <c r="AA7586" s="33">
        <v>82</v>
      </c>
      <c r="AE7586" s="33"/>
      <c r="BM7586" s="68"/>
      <c r="BN7586" s="68"/>
    </row>
    <row r="7587" spans="1:66" ht="12" customHeight="1" x14ac:dyDescent="0.15">
      <c r="A7587" s="33" t="s">
        <v>16524</v>
      </c>
      <c r="B7587" s="33">
        <v>18</v>
      </c>
      <c r="C7587" s="33" t="s">
        <v>14</v>
      </c>
      <c r="D7587" s="33" t="s">
        <v>42</v>
      </c>
      <c r="E7587" s="33" t="s">
        <v>16525</v>
      </c>
      <c r="F7587" s="67">
        <v>41295</v>
      </c>
      <c r="G7587" s="33" t="s">
        <v>16526</v>
      </c>
      <c r="H7587" s="33" t="s">
        <v>14496</v>
      </c>
      <c r="I7587" s="33" t="s">
        <v>409</v>
      </c>
      <c r="J7587" s="33" t="s">
        <v>14497</v>
      </c>
      <c r="K7587" s="33" t="s">
        <v>14498</v>
      </c>
      <c r="L7587" s="33" t="s">
        <v>14499</v>
      </c>
      <c r="M7587" s="33" t="s">
        <v>21</v>
      </c>
      <c r="N7587" s="33" t="s">
        <v>16527</v>
      </c>
      <c r="O7587" s="33" t="s">
        <v>507</v>
      </c>
      <c r="P7587" s="33" t="s">
        <v>30089</v>
      </c>
      <c r="Q7587" s="40" t="s">
        <v>16528</v>
      </c>
      <c r="R7587" s="33" t="s">
        <v>94</v>
      </c>
      <c r="S7587" s="33" t="s">
        <v>29</v>
      </c>
      <c r="T7587" s="33" t="s">
        <v>29185</v>
      </c>
      <c r="Z7587" s="33" t="s">
        <v>42967</v>
      </c>
      <c r="AA7587" s="33">
        <v>77</v>
      </c>
      <c r="AE7587" s="33"/>
      <c r="BM7587" s="68"/>
      <c r="BN7587" s="68"/>
    </row>
    <row r="7588" spans="1:66" ht="12" customHeight="1" x14ac:dyDescent="0.15">
      <c r="A7588" s="33" t="s">
        <v>16515</v>
      </c>
      <c r="B7588" s="33">
        <v>50</v>
      </c>
      <c r="C7588" s="33" t="s">
        <v>14</v>
      </c>
      <c r="D7588" s="33" t="s">
        <v>79</v>
      </c>
      <c r="E7588" s="33" t="s">
        <v>16516</v>
      </c>
      <c r="F7588" s="67">
        <v>41295</v>
      </c>
      <c r="G7588" s="33" t="s">
        <v>16517</v>
      </c>
      <c r="H7588" s="33" t="s">
        <v>16518</v>
      </c>
      <c r="I7588" s="33" t="s">
        <v>19</v>
      </c>
      <c r="J7588" s="33" t="s">
        <v>16519</v>
      </c>
      <c r="K7588" s="33" t="s">
        <v>16520</v>
      </c>
      <c r="L7588" s="33" t="s">
        <v>16521</v>
      </c>
      <c r="M7588" s="33" t="s">
        <v>21</v>
      </c>
      <c r="N7588" s="33" t="s">
        <v>16522</v>
      </c>
      <c r="O7588" s="33" t="s">
        <v>23</v>
      </c>
      <c r="P7588" s="33" t="s">
        <v>30089</v>
      </c>
      <c r="Q7588" s="40" t="s">
        <v>16523</v>
      </c>
      <c r="R7588" s="33" t="s">
        <v>94</v>
      </c>
      <c r="S7588" s="33" t="s">
        <v>22</v>
      </c>
      <c r="T7588" s="1" t="s">
        <v>26781</v>
      </c>
      <c r="Z7588" s="33" t="s">
        <v>42967</v>
      </c>
      <c r="AA7588" s="33">
        <v>78</v>
      </c>
      <c r="BM7588" s="68"/>
      <c r="BN7588" s="68"/>
    </row>
    <row r="7589" spans="1:66" ht="12" customHeight="1" x14ac:dyDescent="0.15">
      <c r="A7589" s="33" t="s">
        <v>16529</v>
      </c>
      <c r="B7589" s="33">
        <v>22</v>
      </c>
      <c r="C7589" s="33" t="s">
        <v>14</v>
      </c>
      <c r="D7589" s="33" t="s">
        <v>79</v>
      </c>
      <c r="F7589" s="67">
        <v>41293</v>
      </c>
      <c r="G7589" s="33" t="s">
        <v>16530</v>
      </c>
      <c r="H7589" s="33" t="s">
        <v>661</v>
      </c>
      <c r="I7589" s="33" t="s">
        <v>402</v>
      </c>
      <c r="J7589" s="33" t="s">
        <v>10556</v>
      </c>
      <c r="K7589" s="33" t="s">
        <v>661</v>
      </c>
      <c r="L7589" s="33" t="s">
        <v>4162</v>
      </c>
      <c r="M7589" s="33" t="s">
        <v>21</v>
      </c>
      <c r="N7589" s="33" t="s">
        <v>16531</v>
      </c>
      <c r="O7589" s="33" t="s">
        <v>507</v>
      </c>
      <c r="P7589" s="33" t="s">
        <v>30089</v>
      </c>
      <c r="Q7589" s="40" t="s">
        <v>16532</v>
      </c>
      <c r="R7589" s="33" t="s">
        <v>94</v>
      </c>
      <c r="S7589" s="33" t="s">
        <v>12</v>
      </c>
      <c r="T7589" s="33" t="s">
        <v>29425</v>
      </c>
      <c r="Y7589" s="33" t="s">
        <v>42476</v>
      </c>
      <c r="Z7589" s="33" t="s">
        <v>42966</v>
      </c>
      <c r="AA7589" s="33">
        <v>76</v>
      </c>
    </row>
    <row r="7590" spans="1:66" ht="12" customHeight="1" x14ac:dyDescent="0.15">
      <c r="A7590" s="33" t="s">
        <v>16548</v>
      </c>
      <c r="B7590" s="33">
        <v>50</v>
      </c>
      <c r="C7590" s="33" t="s">
        <v>14</v>
      </c>
      <c r="D7590" s="33" t="s">
        <v>31</v>
      </c>
      <c r="E7590" s="33" t="s">
        <v>16549</v>
      </c>
      <c r="F7590" s="67">
        <v>41292</v>
      </c>
      <c r="G7590" s="33" t="s">
        <v>16550</v>
      </c>
      <c r="H7590" s="33" t="s">
        <v>7135</v>
      </c>
      <c r="I7590" s="33" t="s">
        <v>88</v>
      </c>
      <c r="J7590" s="33" t="s">
        <v>16551</v>
      </c>
      <c r="K7590" s="33" t="s">
        <v>5619</v>
      </c>
      <c r="L7590" s="33" t="s">
        <v>16552</v>
      </c>
      <c r="M7590" s="33" t="s">
        <v>21</v>
      </c>
      <c r="N7590" s="33" t="s">
        <v>16553</v>
      </c>
      <c r="O7590" s="33" t="s">
        <v>23</v>
      </c>
      <c r="P7590" s="33" t="s">
        <v>30089</v>
      </c>
      <c r="Q7590" s="40" t="s">
        <v>16554</v>
      </c>
      <c r="R7590" s="33" t="s">
        <v>94</v>
      </c>
      <c r="S7590" s="33" t="s">
        <v>22</v>
      </c>
      <c r="T7590" s="1" t="s">
        <v>26774</v>
      </c>
      <c r="Z7590" s="33" t="s">
        <v>42966</v>
      </c>
      <c r="AA7590" s="33">
        <v>74</v>
      </c>
      <c r="BM7590" s="68"/>
      <c r="BN7590" s="68"/>
    </row>
    <row r="7591" spans="1:66" ht="12" customHeight="1" x14ac:dyDescent="0.15">
      <c r="A7591" s="33" t="s">
        <v>16572</v>
      </c>
      <c r="B7591" s="33">
        <v>29</v>
      </c>
      <c r="C7591" s="33" t="s">
        <v>14</v>
      </c>
      <c r="D7591" s="33" t="s">
        <v>31</v>
      </c>
      <c r="E7591" s="33" t="s">
        <v>16573</v>
      </c>
      <c r="F7591" s="67">
        <v>41292</v>
      </c>
      <c r="G7591" s="33" t="s">
        <v>16574</v>
      </c>
      <c r="H7591" s="33" t="s">
        <v>3086</v>
      </c>
      <c r="I7591" s="33" t="s">
        <v>282</v>
      </c>
      <c r="J7591" s="33" t="s">
        <v>16575</v>
      </c>
      <c r="K7591" s="33" t="s">
        <v>527</v>
      </c>
      <c r="L7591" s="33" t="s">
        <v>5161</v>
      </c>
      <c r="M7591" s="33" t="s">
        <v>21</v>
      </c>
      <c r="N7591" s="33" t="s">
        <v>16576</v>
      </c>
      <c r="O7591" s="33" t="s">
        <v>950</v>
      </c>
      <c r="P7591" s="33" t="s">
        <v>30089</v>
      </c>
      <c r="Q7591" s="40" t="s">
        <v>16577</v>
      </c>
      <c r="R7591" s="33" t="s">
        <v>94</v>
      </c>
      <c r="S7591" s="33" t="s">
        <v>22</v>
      </c>
      <c r="T7591" s="1" t="s">
        <v>26781</v>
      </c>
      <c r="Z7591" s="33" t="s">
        <v>42968</v>
      </c>
      <c r="AA7591" s="33">
        <v>73</v>
      </c>
      <c r="BM7591" s="68"/>
      <c r="BN7591" s="68"/>
    </row>
    <row r="7592" spans="1:66" ht="12" customHeight="1" x14ac:dyDescent="0.15">
      <c r="A7592" s="33" t="s">
        <v>16564</v>
      </c>
      <c r="B7592" s="33">
        <v>21</v>
      </c>
      <c r="C7592" s="33" t="s">
        <v>14</v>
      </c>
      <c r="D7592" s="33" t="s">
        <v>31</v>
      </c>
      <c r="E7592" s="33" t="s">
        <v>16565</v>
      </c>
      <c r="F7592" s="67">
        <v>41292</v>
      </c>
      <c r="G7592" s="33" t="s">
        <v>16566</v>
      </c>
      <c r="H7592" s="33" t="s">
        <v>16567</v>
      </c>
      <c r="I7592" s="33" t="s">
        <v>337</v>
      </c>
      <c r="J7592" s="33" t="s">
        <v>16568</v>
      </c>
      <c r="K7592" s="33" t="s">
        <v>3032</v>
      </c>
      <c r="L7592" s="33" t="s">
        <v>16569</v>
      </c>
      <c r="M7592" s="33" t="s">
        <v>21</v>
      </c>
      <c r="N7592" s="33" t="s">
        <v>16570</v>
      </c>
      <c r="O7592" s="33" t="s">
        <v>507</v>
      </c>
      <c r="P7592" s="33" t="s">
        <v>30089</v>
      </c>
      <c r="Q7592" s="40" t="s">
        <v>16571</v>
      </c>
      <c r="R7592" s="33" t="s">
        <v>23</v>
      </c>
      <c r="S7592" s="33" t="s">
        <v>22</v>
      </c>
      <c r="T7592" s="1" t="s">
        <v>26781</v>
      </c>
      <c r="Z7592" s="33" t="s">
        <v>42968</v>
      </c>
      <c r="AA7592" s="33">
        <v>71</v>
      </c>
      <c r="BM7592" s="68"/>
      <c r="BN7592" s="68"/>
    </row>
    <row r="7593" spans="1:66" ht="12" customHeight="1" x14ac:dyDescent="0.15">
      <c r="A7593" s="33" t="s">
        <v>16540</v>
      </c>
      <c r="B7593" s="33">
        <v>38</v>
      </c>
      <c r="C7593" s="33" t="s">
        <v>14</v>
      </c>
      <c r="D7593" s="33" t="s">
        <v>79</v>
      </c>
      <c r="E7593" s="33" t="s">
        <v>16541</v>
      </c>
      <c r="F7593" s="67">
        <v>41292</v>
      </c>
      <c r="G7593" s="33" t="s">
        <v>16542</v>
      </c>
      <c r="H7593" s="33" t="s">
        <v>16543</v>
      </c>
      <c r="I7593" s="33" t="s">
        <v>338</v>
      </c>
      <c r="J7593" s="33" t="s">
        <v>16544</v>
      </c>
      <c r="K7593" s="33" t="s">
        <v>2237</v>
      </c>
      <c r="L7593" s="33" t="s">
        <v>16545</v>
      </c>
      <c r="M7593" s="33" t="s">
        <v>21</v>
      </c>
      <c r="N7593" s="33" t="s">
        <v>16546</v>
      </c>
      <c r="O7593" s="33" t="s">
        <v>950</v>
      </c>
      <c r="P7593" s="33" t="s">
        <v>30089</v>
      </c>
      <c r="Q7593" s="40" t="s">
        <v>16547</v>
      </c>
      <c r="R7593" s="33" t="s">
        <v>94</v>
      </c>
      <c r="S7593" s="33" t="s">
        <v>22</v>
      </c>
      <c r="T7593" s="33" t="s">
        <v>26781</v>
      </c>
      <c r="Z7593" s="33" t="s">
        <v>42968</v>
      </c>
      <c r="AA7593" s="33">
        <v>70</v>
      </c>
      <c r="AE7593" s="33"/>
      <c r="BM7593" s="68"/>
      <c r="BN7593" s="68"/>
    </row>
    <row r="7594" spans="1:66" ht="12" customHeight="1" x14ac:dyDescent="0.15">
      <c r="A7594" s="33" t="s">
        <v>16555</v>
      </c>
      <c r="B7594" s="33">
        <v>41</v>
      </c>
      <c r="C7594" s="33" t="s">
        <v>14</v>
      </c>
      <c r="D7594" s="33" t="s">
        <v>31</v>
      </c>
      <c r="E7594" s="33" t="s">
        <v>16556</v>
      </c>
      <c r="F7594" s="67">
        <v>41292</v>
      </c>
      <c r="G7594" s="33" t="s">
        <v>16557</v>
      </c>
      <c r="H7594" s="33" t="s">
        <v>16558</v>
      </c>
      <c r="I7594" s="33" t="s">
        <v>39</v>
      </c>
      <c r="J7594" s="33" t="s">
        <v>16559</v>
      </c>
      <c r="K7594" s="33" t="s">
        <v>16560</v>
      </c>
      <c r="L7594" s="33" t="s">
        <v>16561</v>
      </c>
      <c r="M7594" s="33" t="s">
        <v>21</v>
      </c>
      <c r="N7594" s="33" t="s">
        <v>16562</v>
      </c>
      <c r="O7594" s="33" t="s">
        <v>507</v>
      </c>
      <c r="P7594" s="33" t="s">
        <v>30089</v>
      </c>
      <c r="Q7594" s="40" t="s">
        <v>16563</v>
      </c>
      <c r="R7594" s="33" t="s">
        <v>94</v>
      </c>
      <c r="S7594" s="33" t="s">
        <v>22</v>
      </c>
      <c r="T7594" s="1" t="s">
        <v>26781</v>
      </c>
      <c r="Z7594" s="33" t="s">
        <v>42967</v>
      </c>
      <c r="AA7594" s="33">
        <v>72</v>
      </c>
      <c r="BM7594" s="68"/>
      <c r="BN7594" s="68"/>
    </row>
    <row r="7595" spans="1:66" ht="12" customHeight="1" x14ac:dyDescent="0.15">
      <c r="A7595" s="33" t="s">
        <v>16533</v>
      </c>
      <c r="B7595" s="33">
        <v>20</v>
      </c>
      <c r="C7595" s="33" t="s">
        <v>14</v>
      </c>
      <c r="D7595" s="33" t="s">
        <v>79</v>
      </c>
      <c r="F7595" s="67">
        <v>41292</v>
      </c>
      <c r="G7595" s="33" t="s">
        <v>16534</v>
      </c>
      <c r="H7595" s="33" t="s">
        <v>16535</v>
      </c>
      <c r="I7595" s="33" t="s">
        <v>160</v>
      </c>
      <c r="J7595" s="33" t="s">
        <v>16536</v>
      </c>
      <c r="K7595" s="33" t="s">
        <v>1218</v>
      </c>
      <c r="L7595" s="33" t="s">
        <v>16537</v>
      </c>
      <c r="M7595" s="33" t="s">
        <v>21</v>
      </c>
      <c r="N7595" s="33" t="s">
        <v>16538</v>
      </c>
      <c r="O7595" s="33" t="s">
        <v>372</v>
      </c>
      <c r="P7595" s="33" t="s">
        <v>30089</v>
      </c>
      <c r="Q7595" s="40" t="s">
        <v>16539</v>
      </c>
      <c r="R7595" s="33" t="s">
        <v>94</v>
      </c>
      <c r="S7595" s="33" t="s">
        <v>12</v>
      </c>
      <c r="T7595" s="1" t="s">
        <v>29705</v>
      </c>
      <c r="Z7595" s="33" t="s">
        <v>42968</v>
      </c>
      <c r="AA7595" s="33">
        <v>75</v>
      </c>
      <c r="BM7595" s="68"/>
      <c r="BN7595" s="68"/>
    </row>
    <row r="7596" spans="1:66" ht="12" customHeight="1" x14ac:dyDescent="0.15">
      <c r="A7596" s="33" t="s">
        <v>16592</v>
      </c>
      <c r="B7596" s="33">
        <v>30</v>
      </c>
      <c r="C7596" s="33" t="s">
        <v>14</v>
      </c>
      <c r="D7596" s="33" t="s">
        <v>24</v>
      </c>
      <c r="F7596" s="67">
        <v>41291</v>
      </c>
      <c r="G7596" s="33" t="s">
        <v>16593</v>
      </c>
      <c r="H7596" s="33" t="s">
        <v>16594</v>
      </c>
      <c r="I7596" s="33" t="s">
        <v>51</v>
      </c>
      <c r="J7596" s="33" t="s">
        <v>16595</v>
      </c>
      <c r="K7596" s="33" t="s">
        <v>10271</v>
      </c>
      <c r="L7596" s="33" t="s">
        <v>16596</v>
      </c>
      <c r="M7596" s="33" t="s">
        <v>21</v>
      </c>
      <c r="N7596" s="33" t="s">
        <v>16597</v>
      </c>
      <c r="O7596" s="33" t="s">
        <v>507</v>
      </c>
      <c r="P7596" s="33" t="s">
        <v>30089</v>
      </c>
      <c r="Q7596" s="40" t="s">
        <v>16598</v>
      </c>
      <c r="R7596" s="33" t="s">
        <v>94</v>
      </c>
      <c r="S7596" s="33" t="s">
        <v>12</v>
      </c>
      <c r="T7596" s="1" t="s">
        <v>29425</v>
      </c>
      <c r="Z7596" s="33" t="s">
        <v>42967</v>
      </c>
      <c r="AA7596" s="33">
        <v>66</v>
      </c>
      <c r="BM7596" s="68"/>
      <c r="BN7596" s="68"/>
    </row>
    <row r="7597" spans="1:66" ht="12" customHeight="1" x14ac:dyDescent="0.15">
      <c r="A7597" s="33" t="s">
        <v>16578</v>
      </c>
      <c r="B7597" s="103">
        <v>24</v>
      </c>
      <c r="C7597" s="33" t="s">
        <v>14</v>
      </c>
      <c r="D7597" s="33" t="s">
        <v>79</v>
      </c>
      <c r="E7597" s="33" t="s">
        <v>16579</v>
      </c>
      <c r="F7597" s="67">
        <v>41291</v>
      </c>
      <c r="G7597" s="33" t="s">
        <v>16580</v>
      </c>
      <c r="H7597" s="33" t="s">
        <v>1116</v>
      </c>
      <c r="I7597" s="33" t="s">
        <v>298</v>
      </c>
      <c r="J7597" s="33">
        <v>38118</v>
      </c>
      <c r="K7597" s="33" t="s">
        <v>1117</v>
      </c>
      <c r="L7597" s="33" t="s">
        <v>1118</v>
      </c>
      <c r="M7597" s="33" t="s">
        <v>21</v>
      </c>
      <c r="N7597" s="33" t="s">
        <v>36905</v>
      </c>
      <c r="O7597" s="33" t="s">
        <v>507</v>
      </c>
      <c r="P7597" s="33" t="s">
        <v>30089</v>
      </c>
      <c r="Q7597" s="40" t="str">
        <f>HYPERLINK("http://wreg.com/2013/01/18/man-shot-killed-by-memphis-police/","http://wreg.com/2013/01/18/man-shot-killed-by-memphis-police/")</f>
        <v>http://wreg.com/2013/01/18/man-shot-killed-by-memphis-police/</v>
      </c>
      <c r="R7597" s="33" t="s">
        <v>94</v>
      </c>
      <c r="S7597" s="33" t="s">
        <v>29</v>
      </c>
      <c r="T7597" s="33" t="s">
        <v>41840</v>
      </c>
      <c r="Z7597" s="33" t="s">
        <v>42968</v>
      </c>
      <c r="AA7597" s="33">
        <v>69</v>
      </c>
    </row>
    <row r="7598" spans="1:66" ht="12" customHeight="1" x14ac:dyDescent="0.15">
      <c r="A7598" s="33" t="s">
        <v>16581</v>
      </c>
      <c r="B7598" s="33">
        <v>27</v>
      </c>
      <c r="C7598" s="33" t="s">
        <v>14</v>
      </c>
      <c r="D7598" s="33" t="s">
        <v>42</v>
      </c>
      <c r="E7598" s="33" t="s">
        <v>16582</v>
      </c>
      <c r="F7598" s="67">
        <v>41291</v>
      </c>
      <c r="G7598" s="33" t="s">
        <v>22370</v>
      </c>
      <c r="H7598" s="33" t="s">
        <v>143</v>
      </c>
      <c r="I7598" s="33" t="s">
        <v>39</v>
      </c>
      <c r="J7598" s="33" t="s">
        <v>16583</v>
      </c>
      <c r="K7598" s="33" t="s">
        <v>143</v>
      </c>
      <c r="L7598" s="33" t="s">
        <v>144</v>
      </c>
      <c r="M7598" s="33" t="s">
        <v>21</v>
      </c>
      <c r="N7598" s="33" t="s">
        <v>16584</v>
      </c>
      <c r="O7598" s="33" t="s">
        <v>372</v>
      </c>
      <c r="P7598" s="33" t="s">
        <v>30089</v>
      </c>
      <c r="Q7598" s="40" t="s">
        <v>16585</v>
      </c>
      <c r="R7598" s="33" t="s">
        <v>94</v>
      </c>
      <c r="S7598" s="33" t="s">
        <v>12</v>
      </c>
      <c r="T7598" s="1" t="s">
        <v>29705</v>
      </c>
      <c r="Z7598" s="33" t="s">
        <v>42968</v>
      </c>
      <c r="AA7598" s="33">
        <v>67</v>
      </c>
      <c r="BM7598" s="68"/>
      <c r="BN7598" s="68"/>
    </row>
    <row r="7599" spans="1:66" ht="12" customHeight="1" x14ac:dyDescent="0.15">
      <c r="A7599" s="33" t="s">
        <v>16599</v>
      </c>
      <c r="B7599" s="33">
        <v>83</v>
      </c>
      <c r="C7599" s="33" t="s">
        <v>14</v>
      </c>
      <c r="D7599" s="33" t="s">
        <v>31</v>
      </c>
      <c r="E7599" s="33" t="s">
        <v>16600</v>
      </c>
      <c r="F7599" s="67">
        <v>41291</v>
      </c>
      <c r="G7599" s="33" t="s">
        <v>16601</v>
      </c>
      <c r="H7599" s="33" t="s">
        <v>16602</v>
      </c>
      <c r="I7599" s="33" t="s">
        <v>122</v>
      </c>
      <c r="J7599" s="33" t="s">
        <v>16603</v>
      </c>
      <c r="K7599" s="33" t="s">
        <v>16604</v>
      </c>
      <c r="L7599" s="33" t="s">
        <v>16605</v>
      </c>
      <c r="M7599" s="33" t="s">
        <v>21</v>
      </c>
      <c r="N7599" s="33" t="s">
        <v>16606</v>
      </c>
      <c r="O7599" s="33" t="s">
        <v>507</v>
      </c>
      <c r="P7599" s="33" t="s">
        <v>30089</v>
      </c>
      <c r="Q7599" s="40" t="s">
        <v>16607</v>
      </c>
      <c r="R7599" s="33" t="s">
        <v>512</v>
      </c>
      <c r="S7599" s="33" t="s">
        <v>22</v>
      </c>
      <c r="T7599" s="1" t="s">
        <v>26781</v>
      </c>
      <c r="Z7599" s="33" t="s">
        <v>42968</v>
      </c>
      <c r="AA7599" s="33">
        <v>65</v>
      </c>
      <c r="BM7599" s="68"/>
      <c r="BN7599" s="68"/>
    </row>
    <row r="7600" spans="1:66" ht="12" customHeight="1" x14ac:dyDescent="0.15">
      <c r="A7600" s="33" t="s">
        <v>16586</v>
      </c>
      <c r="B7600" s="33">
        <v>44</v>
      </c>
      <c r="C7600" s="33" t="s">
        <v>14</v>
      </c>
      <c r="D7600" s="33" t="s">
        <v>42</v>
      </c>
      <c r="E7600" s="33" t="s">
        <v>16587</v>
      </c>
      <c r="F7600" s="67">
        <v>41291</v>
      </c>
      <c r="G7600" s="33" t="s">
        <v>22371</v>
      </c>
      <c r="H7600" s="33" t="s">
        <v>1088</v>
      </c>
      <c r="I7600" s="33" t="s">
        <v>39</v>
      </c>
      <c r="J7600" s="33" t="s">
        <v>16588</v>
      </c>
      <c r="K7600" s="33" t="s">
        <v>1088</v>
      </c>
      <c r="L7600" s="33" t="s">
        <v>16589</v>
      </c>
      <c r="M7600" s="33" t="s">
        <v>21</v>
      </c>
      <c r="N7600" s="33" t="s">
        <v>16590</v>
      </c>
      <c r="O7600" s="33" t="s">
        <v>507</v>
      </c>
      <c r="P7600" s="33" t="s">
        <v>30089</v>
      </c>
      <c r="Q7600" s="40" t="s">
        <v>16591</v>
      </c>
      <c r="R7600" s="33" t="s">
        <v>23</v>
      </c>
      <c r="S7600" s="33" t="s">
        <v>29</v>
      </c>
      <c r="T7600" s="33" t="s">
        <v>41840</v>
      </c>
      <c r="Z7600" s="33" t="s">
        <v>42968</v>
      </c>
      <c r="AA7600" s="33">
        <v>68</v>
      </c>
      <c r="AE7600" s="33"/>
      <c r="BM7600" s="68"/>
      <c r="BN7600" s="68"/>
    </row>
    <row r="7601" spans="1:66" ht="12" customHeight="1" x14ac:dyDescent="0.15">
      <c r="A7601" s="33" t="s">
        <v>16608</v>
      </c>
      <c r="B7601" s="33">
        <v>19</v>
      </c>
      <c r="C7601" s="33" t="s">
        <v>14</v>
      </c>
      <c r="D7601" s="33" t="s">
        <v>79</v>
      </c>
      <c r="E7601" s="33" t="s">
        <v>16609</v>
      </c>
      <c r="F7601" s="67">
        <v>41290</v>
      </c>
      <c r="G7601" s="33" t="s">
        <v>16610</v>
      </c>
      <c r="H7601" s="33" t="s">
        <v>997</v>
      </c>
      <c r="I7601" s="33" t="s">
        <v>56</v>
      </c>
      <c r="J7601" s="33" t="s">
        <v>6846</v>
      </c>
      <c r="K7601" s="33" t="s">
        <v>998</v>
      </c>
      <c r="L7601" s="33" t="s">
        <v>999</v>
      </c>
      <c r="M7601" s="33" t="s">
        <v>21</v>
      </c>
      <c r="N7601" s="33" t="s">
        <v>16611</v>
      </c>
      <c r="O7601" s="33" t="s">
        <v>950</v>
      </c>
      <c r="P7601" s="33" t="s">
        <v>30089</v>
      </c>
      <c r="Q7601" s="40" t="s">
        <v>16612</v>
      </c>
      <c r="R7601" s="33" t="s">
        <v>94</v>
      </c>
      <c r="S7601" s="33" t="s">
        <v>22</v>
      </c>
      <c r="T7601" s="1" t="s">
        <v>26781</v>
      </c>
      <c r="Z7601" s="33" t="s">
        <v>42966</v>
      </c>
      <c r="AA7601" s="33">
        <v>60</v>
      </c>
      <c r="BM7601" s="68"/>
      <c r="BN7601" s="68"/>
    </row>
    <row r="7602" spans="1:66" ht="12" customHeight="1" x14ac:dyDescent="0.15">
      <c r="A7602" s="33" t="s">
        <v>16631</v>
      </c>
      <c r="B7602" s="33">
        <v>27</v>
      </c>
      <c r="C7602" s="33" t="s">
        <v>14</v>
      </c>
      <c r="D7602" s="33" t="s">
        <v>31</v>
      </c>
      <c r="E7602" s="33" t="s">
        <v>16632</v>
      </c>
      <c r="F7602" s="67">
        <v>41290</v>
      </c>
      <c r="G7602" s="33" t="s">
        <v>16633</v>
      </c>
      <c r="H7602" s="33" t="s">
        <v>584</v>
      </c>
      <c r="I7602" s="33" t="s">
        <v>112</v>
      </c>
      <c r="J7602" s="33" t="s">
        <v>16634</v>
      </c>
      <c r="K7602" s="33" t="s">
        <v>585</v>
      </c>
      <c r="L7602" s="33" t="s">
        <v>586</v>
      </c>
      <c r="M7602" s="33" t="s">
        <v>21</v>
      </c>
      <c r="N7602" s="33" t="s">
        <v>36906</v>
      </c>
      <c r="O7602" s="33" t="s">
        <v>507</v>
      </c>
      <c r="P7602" s="33" t="s">
        <v>30089</v>
      </c>
      <c r="Q7602" s="40" t="s">
        <v>16635</v>
      </c>
      <c r="R7602" s="33" t="s">
        <v>94</v>
      </c>
      <c r="S7602" s="33" t="s">
        <v>12</v>
      </c>
      <c r="T7602" s="1" t="s">
        <v>29425</v>
      </c>
      <c r="Z7602" s="33" t="s">
        <v>42968</v>
      </c>
      <c r="AA7602" s="33">
        <v>64</v>
      </c>
      <c r="BM7602" s="68"/>
      <c r="BN7602" s="68"/>
    </row>
    <row r="7603" spans="1:66" ht="12" customHeight="1" x14ac:dyDescent="0.15">
      <c r="A7603" s="33" t="s">
        <v>16624</v>
      </c>
      <c r="B7603" s="33">
        <v>21</v>
      </c>
      <c r="C7603" s="33" t="s">
        <v>14</v>
      </c>
      <c r="D7603" s="33" t="s">
        <v>31</v>
      </c>
      <c r="E7603" s="33" t="s">
        <v>16625</v>
      </c>
      <c r="F7603" s="67">
        <v>41290</v>
      </c>
      <c r="G7603" s="33" t="s">
        <v>16626</v>
      </c>
      <c r="H7603" s="33" t="s">
        <v>16627</v>
      </c>
      <c r="I7603" s="33" t="s">
        <v>112</v>
      </c>
      <c r="J7603" s="33">
        <v>85326</v>
      </c>
      <c r="K7603" s="33" t="s">
        <v>585</v>
      </c>
      <c r="L7603" s="33" t="s">
        <v>16628</v>
      </c>
      <c r="M7603" s="33" t="s">
        <v>21</v>
      </c>
      <c r="N7603" s="33" t="s">
        <v>16629</v>
      </c>
      <c r="O7603" s="33" t="s">
        <v>23</v>
      </c>
      <c r="P7603" s="33" t="s">
        <v>30089</v>
      </c>
      <c r="Q7603" s="40" t="s">
        <v>16630</v>
      </c>
      <c r="R7603" s="33" t="s">
        <v>94</v>
      </c>
      <c r="S7603" s="33" t="s">
        <v>22</v>
      </c>
      <c r="T7603" s="1" t="s">
        <v>26781</v>
      </c>
      <c r="Z7603" s="33" t="s">
        <v>42968</v>
      </c>
      <c r="AA7603" s="33">
        <v>63</v>
      </c>
      <c r="BM7603" s="68"/>
      <c r="BN7603" s="68"/>
    </row>
    <row r="7604" spans="1:66" ht="12" customHeight="1" x14ac:dyDescent="0.15">
      <c r="A7604" s="33" t="s">
        <v>16613</v>
      </c>
      <c r="B7604" s="103">
        <v>38</v>
      </c>
      <c r="C7604" s="33" t="s">
        <v>14</v>
      </c>
      <c r="D7604" s="33" t="s">
        <v>24</v>
      </c>
      <c r="F7604" s="67">
        <v>41290</v>
      </c>
      <c r="G7604" s="33" t="s">
        <v>16614</v>
      </c>
      <c r="H7604" s="33" t="s">
        <v>1212</v>
      </c>
      <c r="I7604" s="33" t="s">
        <v>192</v>
      </c>
      <c r="J7604" s="33" t="s">
        <v>7986</v>
      </c>
      <c r="K7604" s="33" t="s">
        <v>1212</v>
      </c>
      <c r="L7604" s="33" t="s">
        <v>1213</v>
      </c>
      <c r="M7604" s="33" t="s">
        <v>21</v>
      </c>
      <c r="N7604" s="33" t="s">
        <v>16615</v>
      </c>
      <c r="O7604" s="33" t="s">
        <v>507</v>
      </c>
      <c r="P7604" s="33" t="s">
        <v>30089</v>
      </c>
      <c r="Q7604" s="40" t="s">
        <v>16616</v>
      </c>
      <c r="R7604" s="33" t="s">
        <v>94</v>
      </c>
      <c r="S7604" s="33" t="s">
        <v>22</v>
      </c>
      <c r="T7604" s="1" t="s">
        <v>26781</v>
      </c>
      <c r="Z7604" s="33" t="s">
        <v>42966</v>
      </c>
      <c r="AA7604" s="33">
        <v>62</v>
      </c>
      <c r="BM7604" s="68"/>
      <c r="BN7604" s="68"/>
    </row>
    <row r="7605" spans="1:66" ht="12" customHeight="1" x14ac:dyDescent="0.15">
      <c r="A7605" s="33" t="s">
        <v>16617</v>
      </c>
      <c r="B7605" s="33">
        <v>48</v>
      </c>
      <c r="C7605" s="33" t="s">
        <v>14</v>
      </c>
      <c r="D7605" s="33" t="s">
        <v>24</v>
      </c>
      <c r="F7605" s="67">
        <v>41290</v>
      </c>
      <c r="G7605" s="33" t="s">
        <v>16618</v>
      </c>
      <c r="H7605" s="33" t="s">
        <v>5619</v>
      </c>
      <c r="I7605" s="33" t="s">
        <v>160</v>
      </c>
      <c r="J7605" s="33" t="s">
        <v>16619</v>
      </c>
      <c r="K7605" s="33" t="s">
        <v>16620</v>
      </c>
      <c r="L7605" s="33" t="s">
        <v>16621</v>
      </c>
      <c r="M7605" s="33" t="s">
        <v>21</v>
      </c>
      <c r="N7605" s="33" t="s">
        <v>16622</v>
      </c>
      <c r="O7605" s="33" t="s">
        <v>507</v>
      </c>
      <c r="P7605" s="33" t="s">
        <v>30089</v>
      </c>
      <c r="Q7605" s="40" t="s">
        <v>16623</v>
      </c>
      <c r="R7605" s="33" t="s">
        <v>512</v>
      </c>
      <c r="S7605" s="33" t="s">
        <v>22</v>
      </c>
      <c r="T7605" s="1" t="s">
        <v>26781</v>
      </c>
      <c r="Z7605" s="33" t="s">
        <v>42967</v>
      </c>
      <c r="AA7605" s="33">
        <v>61</v>
      </c>
      <c r="BM7605" s="68"/>
      <c r="BN7605" s="68"/>
    </row>
    <row r="7606" spans="1:66" ht="12" customHeight="1" x14ac:dyDescent="0.15">
      <c r="A7606" s="33" t="s">
        <v>16636</v>
      </c>
      <c r="B7606" s="103">
        <v>35</v>
      </c>
      <c r="C7606" s="33" t="s">
        <v>14</v>
      </c>
      <c r="D7606" s="33" t="s">
        <v>24</v>
      </c>
      <c r="F7606" s="67">
        <v>41289</v>
      </c>
      <c r="G7606" s="33" t="s">
        <v>16637</v>
      </c>
      <c r="H7606" s="33" t="s">
        <v>183</v>
      </c>
      <c r="I7606" s="33" t="s">
        <v>39</v>
      </c>
      <c r="J7606" s="33">
        <v>93728</v>
      </c>
      <c r="K7606" s="33" t="s">
        <v>183</v>
      </c>
      <c r="L7606" s="33" t="s">
        <v>184</v>
      </c>
      <c r="M7606" s="33" t="s">
        <v>21</v>
      </c>
      <c r="N7606" s="33" t="s">
        <v>16638</v>
      </c>
      <c r="O7606" s="33" t="s">
        <v>23</v>
      </c>
      <c r="P7606" s="33" t="s">
        <v>30089</v>
      </c>
      <c r="Q7606" s="40" t="s">
        <v>16639</v>
      </c>
      <c r="R7606" s="33" t="s">
        <v>904</v>
      </c>
      <c r="S7606" s="33" t="s">
        <v>12</v>
      </c>
      <c r="T7606" s="1" t="s">
        <v>29705</v>
      </c>
      <c r="Z7606" s="33" t="s">
        <v>42966</v>
      </c>
      <c r="AA7606" s="33">
        <v>58</v>
      </c>
      <c r="BM7606" s="68"/>
      <c r="BN7606" s="68"/>
    </row>
    <row r="7607" spans="1:66" ht="12" customHeight="1" x14ac:dyDescent="0.15">
      <c r="A7607" s="33" t="s">
        <v>16645</v>
      </c>
      <c r="B7607" s="33">
        <v>38</v>
      </c>
      <c r="C7607" s="33" t="s">
        <v>14</v>
      </c>
      <c r="D7607" s="33" t="s">
        <v>31</v>
      </c>
      <c r="E7607" s="33" t="s">
        <v>16646</v>
      </c>
      <c r="F7607" s="67">
        <v>41289</v>
      </c>
      <c r="G7607" s="33" t="s">
        <v>16647</v>
      </c>
      <c r="H7607" s="33" t="s">
        <v>401</v>
      </c>
      <c r="I7607" s="33" t="s">
        <v>402</v>
      </c>
      <c r="J7607" s="33" t="s">
        <v>16648</v>
      </c>
      <c r="K7607" s="33" t="s">
        <v>404</v>
      </c>
      <c r="L7607" s="33" t="s">
        <v>405</v>
      </c>
      <c r="M7607" s="33" t="s">
        <v>21</v>
      </c>
      <c r="N7607" s="33" t="s">
        <v>16649</v>
      </c>
      <c r="O7607" s="33" t="s">
        <v>950</v>
      </c>
      <c r="P7607" s="33" t="s">
        <v>30089</v>
      </c>
      <c r="Q7607" s="40" t="s">
        <v>16650</v>
      </c>
      <c r="R7607" s="33" t="s">
        <v>94</v>
      </c>
      <c r="S7607" s="33" t="s">
        <v>22</v>
      </c>
      <c r="T7607" s="1" t="s">
        <v>26781</v>
      </c>
      <c r="Z7607" s="33" t="s">
        <v>42968</v>
      </c>
      <c r="AA7607" s="33">
        <v>57</v>
      </c>
      <c r="BM7607" s="68"/>
      <c r="BN7607" s="68"/>
    </row>
    <row r="7608" spans="1:66" ht="12" customHeight="1" x14ac:dyDescent="0.15">
      <c r="A7608" s="33" t="s">
        <v>16640</v>
      </c>
      <c r="B7608" s="33">
        <v>22</v>
      </c>
      <c r="C7608" s="33" t="s">
        <v>14</v>
      </c>
      <c r="D7608" s="33" t="s">
        <v>31</v>
      </c>
      <c r="E7608" s="33" t="s">
        <v>16641</v>
      </c>
      <c r="F7608" s="67">
        <v>41289</v>
      </c>
      <c r="G7608" s="33" t="s">
        <v>16642</v>
      </c>
      <c r="H7608" s="33" t="s">
        <v>2196</v>
      </c>
      <c r="I7608" s="33" t="s">
        <v>814</v>
      </c>
      <c r="J7608" s="33" t="s">
        <v>7511</v>
      </c>
      <c r="K7608" s="33" t="s">
        <v>2196</v>
      </c>
      <c r="L7608" s="33" t="s">
        <v>3281</v>
      </c>
      <c r="M7608" s="33" t="s">
        <v>21</v>
      </c>
      <c r="N7608" s="33" t="s">
        <v>16643</v>
      </c>
      <c r="O7608" s="33" t="s">
        <v>950</v>
      </c>
      <c r="P7608" s="33" t="s">
        <v>30089</v>
      </c>
      <c r="Q7608" s="40" t="s">
        <v>16644</v>
      </c>
      <c r="R7608" s="33" t="s">
        <v>94</v>
      </c>
      <c r="S7608" s="33" t="s">
        <v>351</v>
      </c>
      <c r="T7608" s="1" t="s">
        <v>26867</v>
      </c>
      <c r="Z7608" s="33" t="s">
        <v>42966</v>
      </c>
      <c r="AA7608" s="33">
        <v>59</v>
      </c>
      <c r="BM7608" s="68"/>
      <c r="BN7608" s="68"/>
    </row>
    <row r="7609" spans="1:66" ht="12" customHeight="1" x14ac:dyDescent="0.15">
      <c r="A7609" s="33" t="s">
        <v>16651</v>
      </c>
      <c r="B7609" s="33">
        <v>30</v>
      </c>
      <c r="C7609" s="33" t="s">
        <v>14</v>
      </c>
      <c r="D7609" s="33" t="s">
        <v>31</v>
      </c>
      <c r="E7609" s="33" t="s">
        <v>16652</v>
      </c>
      <c r="F7609" s="67">
        <v>41289</v>
      </c>
      <c r="G7609" s="33" t="s">
        <v>16653</v>
      </c>
      <c r="H7609" s="33" t="s">
        <v>518</v>
      </c>
      <c r="I7609" s="33" t="s">
        <v>112</v>
      </c>
      <c r="J7609" s="33" t="s">
        <v>16654</v>
      </c>
      <c r="K7609" s="33" t="s">
        <v>519</v>
      </c>
      <c r="L7609" s="33" t="s">
        <v>520</v>
      </c>
      <c r="M7609" s="33" t="s">
        <v>21</v>
      </c>
      <c r="N7609" s="33" t="s">
        <v>16655</v>
      </c>
      <c r="O7609" s="33" t="s">
        <v>950</v>
      </c>
      <c r="P7609" s="33" t="s">
        <v>30089</v>
      </c>
      <c r="Q7609" s="40" t="s">
        <v>16656</v>
      </c>
      <c r="R7609" s="33" t="s">
        <v>512</v>
      </c>
      <c r="S7609" s="33" t="s">
        <v>22</v>
      </c>
      <c r="T7609" s="1" t="s">
        <v>26781</v>
      </c>
      <c r="Z7609" s="33" t="s">
        <v>42968</v>
      </c>
      <c r="AA7609" s="33">
        <v>56</v>
      </c>
      <c r="BM7609" s="68"/>
      <c r="BN7609" s="68"/>
    </row>
    <row r="7610" spans="1:66" ht="12" customHeight="1" x14ac:dyDescent="0.15">
      <c r="A7610" s="33" t="s">
        <v>16661</v>
      </c>
      <c r="B7610" s="33">
        <v>32</v>
      </c>
      <c r="C7610" s="33" t="s">
        <v>14</v>
      </c>
      <c r="D7610" s="33" t="s">
        <v>24</v>
      </c>
      <c r="F7610" s="67">
        <v>41288</v>
      </c>
      <c r="G7610" s="33" t="s">
        <v>22372</v>
      </c>
      <c r="H7610" s="33" t="s">
        <v>16662</v>
      </c>
      <c r="I7610" s="33" t="s">
        <v>75</v>
      </c>
      <c r="J7610" s="33" t="s">
        <v>11910</v>
      </c>
      <c r="K7610" s="33" t="s">
        <v>486</v>
      </c>
      <c r="L7610" s="33" t="s">
        <v>16663</v>
      </c>
      <c r="M7610" s="33" t="s">
        <v>21</v>
      </c>
      <c r="N7610" s="33" t="s">
        <v>16664</v>
      </c>
      <c r="O7610" s="33" t="s">
        <v>950</v>
      </c>
      <c r="P7610" s="33" t="s">
        <v>30089</v>
      </c>
      <c r="Q7610" s="40" t="s">
        <v>16665</v>
      </c>
      <c r="R7610" s="33" t="s">
        <v>94</v>
      </c>
      <c r="S7610" s="33" t="s">
        <v>22</v>
      </c>
      <c r="T7610" s="1" t="s">
        <v>26774</v>
      </c>
      <c r="Z7610" s="33" t="s">
        <v>42968</v>
      </c>
      <c r="AA7610" s="33">
        <v>55</v>
      </c>
      <c r="BM7610" s="68"/>
      <c r="BN7610" s="68"/>
    </row>
    <row r="7611" spans="1:66" ht="12" customHeight="1" x14ac:dyDescent="0.15">
      <c r="A7611" s="33" t="s">
        <v>16666</v>
      </c>
      <c r="B7611" s="33">
        <v>31</v>
      </c>
      <c r="C7611" s="33" t="s">
        <v>14</v>
      </c>
      <c r="D7611" s="33" t="s">
        <v>24</v>
      </c>
      <c r="F7611" s="67">
        <v>41288</v>
      </c>
      <c r="G7611" s="33" t="s">
        <v>16667</v>
      </c>
      <c r="H7611" s="33" t="s">
        <v>27</v>
      </c>
      <c r="I7611" s="33" t="s">
        <v>26</v>
      </c>
      <c r="J7611" s="33" t="s">
        <v>16668</v>
      </c>
      <c r="K7611" s="33" t="s">
        <v>27</v>
      </c>
      <c r="L7611" s="33" t="s">
        <v>28</v>
      </c>
      <c r="M7611" s="33" t="s">
        <v>21</v>
      </c>
      <c r="N7611" s="33" t="s">
        <v>16669</v>
      </c>
      <c r="O7611" s="33" t="s">
        <v>507</v>
      </c>
      <c r="P7611" s="33" t="s">
        <v>30089</v>
      </c>
      <c r="Q7611" s="40" t="s">
        <v>16670</v>
      </c>
      <c r="R7611" s="33" t="s">
        <v>94</v>
      </c>
      <c r="S7611" s="33" t="s">
        <v>29</v>
      </c>
      <c r="T7611" s="1" t="s">
        <v>42973</v>
      </c>
      <c r="Z7611" s="33" t="s">
        <v>42968</v>
      </c>
      <c r="AA7611" s="33">
        <v>54</v>
      </c>
      <c r="BM7611" s="68"/>
      <c r="BN7611" s="68"/>
    </row>
    <row r="7612" spans="1:66" ht="12" customHeight="1" x14ac:dyDescent="0.15">
      <c r="A7612" s="33" t="s">
        <v>16657</v>
      </c>
      <c r="B7612" s="33">
        <v>45</v>
      </c>
      <c r="C7612" s="33" t="s">
        <v>14</v>
      </c>
      <c r="D7612" s="33" t="s">
        <v>24</v>
      </c>
      <c r="F7612" s="67">
        <v>41288</v>
      </c>
      <c r="G7612" s="33" t="s">
        <v>16658</v>
      </c>
      <c r="H7612" s="33" t="s">
        <v>11136</v>
      </c>
      <c r="I7612" s="33" t="s">
        <v>192</v>
      </c>
      <c r="J7612" s="33" t="s">
        <v>16659</v>
      </c>
      <c r="K7612" s="33" t="s">
        <v>1790</v>
      </c>
      <c r="L7612" s="33" t="s">
        <v>36907</v>
      </c>
      <c r="M7612" s="33" t="s">
        <v>21</v>
      </c>
      <c r="N7612" s="33" t="s">
        <v>36908</v>
      </c>
      <c r="O7612" s="33" t="s">
        <v>507</v>
      </c>
      <c r="P7612" s="33" t="s">
        <v>30089</v>
      </c>
      <c r="Q7612" s="40" t="s">
        <v>16660</v>
      </c>
      <c r="R7612" s="33" t="s">
        <v>904</v>
      </c>
      <c r="S7612" s="33" t="s">
        <v>22</v>
      </c>
      <c r="T7612" s="1" t="s">
        <v>26781</v>
      </c>
      <c r="Z7612" s="33" t="s">
        <v>42968</v>
      </c>
      <c r="AA7612" s="33">
        <v>53</v>
      </c>
      <c r="BM7612" s="68"/>
      <c r="BN7612" s="68"/>
    </row>
    <row r="7613" spans="1:66" ht="12" customHeight="1" x14ac:dyDescent="0.15">
      <c r="A7613" s="33" t="s">
        <v>16685</v>
      </c>
      <c r="B7613" s="33">
        <v>50</v>
      </c>
      <c r="C7613" s="33" t="s">
        <v>14</v>
      </c>
      <c r="D7613" s="33" t="s">
        <v>42</v>
      </c>
      <c r="E7613" s="33" t="s">
        <v>16686</v>
      </c>
      <c r="F7613" s="67">
        <v>41287</v>
      </c>
      <c r="G7613" s="33" t="s">
        <v>22373</v>
      </c>
      <c r="H7613" s="33" t="s">
        <v>1817</v>
      </c>
      <c r="I7613" s="33" t="s">
        <v>39</v>
      </c>
      <c r="J7613" s="33" t="s">
        <v>16687</v>
      </c>
      <c r="K7613" s="33" t="s">
        <v>1819</v>
      </c>
      <c r="L7613" s="33" t="s">
        <v>1820</v>
      </c>
      <c r="M7613" s="33" t="s">
        <v>21</v>
      </c>
      <c r="N7613" s="33" t="s">
        <v>36909</v>
      </c>
      <c r="O7613" s="33" t="s">
        <v>507</v>
      </c>
      <c r="P7613" s="33" t="s">
        <v>30089</v>
      </c>
      <c r="Q7613" s="40" t="s">
        <v>16688</v>
      </c>
      <c r="R7613" s="33" t="s">
        <v>23</v>
      </c>
      <c r="S7613" s="33" t="s">
        <v>22</v>
      </c>
      <c r="T7613" s="1" t="s">
        <v>26774</v>
      </c>
      <c r="Z7613" s="33" t="s">
        <v>42968</v>
      </c>
      <c r="AA7613" s="33">
        <v>48</v>
      </c>
      <c r="BM7613" s="68"/>
      <c r="BN7613" s="68"/>
    </row>
    <row r="7614" spans="1:66" ht="12" customHeight="1" x14ac:dyDescent="0.15">
      <c r="A7614" s="33" t="s">
        <v>16677</v>
      </c>
      <c r="B7614" s="103">
        <v>45</v>
      </c>
      <c r="C7614" s="33" t="s">
        <v>14</v>
      </c>
      <c r="D7614" s="33" t="s">
        <v>79</v>
      </c>
      <c r="E7614" s="33" t="s">
        <v>16678</v>
      </c>
      <c r="F7614" s="67">
        <v>41287</v>
      </c>
      <c r="G7614" s="33" t="s">
        <v>16679</v>
      </c>
      <c r="H7614" s="33" t="s">
        <v>16680</v>
      </c>
      <c r="I7614" s="33" t="s">
        <v>225</v>
      </c>
      <c r="J7614" s="33" t="s">
        <v>16681</v>
      </c>
      <c r="K7614" s="33" t="s">
        <v>10815</v>
      </c>
      <c r="L7614" s="33" t="s">
        <v>16682</v>
      </c>
      <c r="M7614" s="33" t="s">
        <v>21</v>
      </c>
      <c r="N7614" s="33" t="s">
        <v>16683</v>
      </c>
      <c r="O7614" s="33" t="s">
        <v>507</v>
      </c>
      <c r="P7614" s="33" t="s">
        <v>30089</v>
      </c>
      <c r="Q7614" s="40" t="s">
        <v>16684</v>
      </c>
      <c r="R7614" s="33" t="s">
        <v>94</v>
      </c>
      <c r="S7614" s="33" t="s">
        <v>29</v>
      </c>
      <c r="T7614" s="33" t="s">
        <v>41840</v>
      </c>
      <c r="Z7614" s="33" t="s">
        <v>42968</v>
      </c>
      <c r="AA7614" s="33">
        <v>52</v>
      </c>
      <c r="AE7614" s="33"/>
      <c r="BM7614" s="68"/>
      <c r="BN7614" s="68"/>
    </row>
    <row r="7615" spans="1:66" ht="12" customHeight="1" x14ac:dyDescent="0.15">
      <c r="A7615" s="33" t="s">
        <v>16671</v>
      </c>
      <c r="B7615" s="33">
        <v>43</v>
      </c>
      <c r="C7615" s="33" t="s">
        <v>14</v>
      </c>
      <c r="D7615" s="33" t="s">
        <v>79</v>
      </c>
      <c r="F7615" s="67">
        <v>41287</v>
      </c>
      <c r="G7615" s="33" t="s">
        <v>16672</v>
      </c>
      <c r="H7615" s="33" t="s">
        <v>584</v>
      </c>
      <c r="I7615" s="33" t="s">
        <v>112</v>
      </c>
      <c r="J7615" s="33" t="s">
        <v>16673</v>
      </c>
      <c r="K7615" s="33" t="s">
        <v>585</v>
      </c>
      <c r="L7615" s="33" t="s">
        <v>16674</v>
      </c>
      <c r="M7615" s="33" t="s">
        <v>21</v>
      </c>
      <c r="N7615" s="33" t="s">
        <v>16675</v>
      </c>
      <c r="O7615" s="33" t="s">
        <v>507</v>
      </c>
      <c r="P7615" s="33" t="s">
        <v>30089</v>
      </c>
      <c r="Q7615" s="40" t="s">
        <v>16676</v>
      </c>
      <c r="R7615" s="33" t="s">
        <v>94</v>
      </c>
      <c r="S7615" s="33" t="s">
        <v>12</v>
      </c>
      <c r="T7615" s="54" t="s">
        <v>29705</v>
      </c>
      <c r="Y7615" s="33" t="s">
        <v>42476</v>
      </c>
      <c r="Z7615" s="33" t="s">
        <v>42966</v>
      </c>
      <c r="AA7615" s="33">
        <v>51</v>
      </c>
    </row>
    <row r="7616" spans="1:66" ht="12" customHeight="1" x14ac:dyDescent="0.15">
      <c r="A7616" s="33" t="s">
        <v>16695</v>
      </c>
      <c r="C7616" s="33" t="s">
        <v>14</v>
      </c>
      <c r="D7616" s="33" t="s">
        <v>24</v>
      </c>
      <c r="F7616" s="67">
        <v>41287</v>
      </c>
      <c r="G7616" s="33" t="s">
        <v>16696</v>
      </c>
      <c r="H7616" s="33" t="s">
        <v>16697</v>
      </c>
      <c r="I7616" s="33" t="s">
        <v>402</v>
      </c>
      <c r="J7616" s="33" t="s">
        <v>16698</v>
      </c>
      <c r="K7616" s="33" t="s">
        <v>5453</v>
      </c>
      <c r="L7616" s="33" t="s">
        <v>16699</v>
      </c>
      <c r="M7616" s="33" t="s">
        <v>21</v>
      </c>
      <c r="N7616" s="33" t="s">
        <v>16700</v>
      </c>
      <c r="O7616" s="33" t="s">
        <v>950</v>
      </c>
      <c r="P7616" s="33" t="s">
        <v>30089</v>
      </c>
      <c r="Q7616" s="40" t="s">
        <v>16701</v>
      </c>
      <c r="R7616" s="33" t="s">
        <v>23</v>
      </c>
      <c r="S7616" s="33" t="s">
        <v>22</v>
      </c>
      <c r="T7616" s="1" t="s">
        <v>26774</v>
      </c>
      <c r="Z7616" s="33" t="s">
        <v>42967</v>
      </c>
      <c r="AA7616" s="33">
        <v>50</v>
      </c>
      <c r="BM7616" s="68"/>
      <c r="BN7616" s="68"/>
    </row>
    <row r="7617" spans="1:66" ht="12" customHeight="1" x14ac:dyDescent="0.15">
      <c r="A7617" s="63" t="s">
        <v>42616</v>
      </c>
      <c r="B7617" s="99">
        <v>41</v>
      </c>
      <c r="C7617" s="10" t="s">
        <v>14</v>
      </c>
      <c r="D7617" s="10" t="s">
        <v>79</v>
      </c>
      <c r="E7617" s="62" t="s">
        <v>42617</v>
      </c>
      <c r="F7617" s="67">
        <v>41287</v>
      </c>
      <c r="G7617" s="10" t="s">
        <v>42931</v>
      </c>
      <c r="H7617" s="10" t="s">
        <v>35136</v>
      </c>
      <c r="I7617" s="70" t="s">
        <v>39</v>
      </c>
      <c r="J7617" s="65">
        <v>92881</v>
      </c>
      <c r="K7617" s="10" t="s">
        <v>728</v>
      </c>
      <c r="L7617" s="10"/>
      <c r="M7617" s="70" t="s">
        <v>21</v>
      </c>
      <c r="N7617" s="10" t="s">
        <v>42618</v>
      </c>
      <c r="O7617" s="10" t="s">
        <v>950</v>
      </c>
      <c r="P7617" s="10" t="s">
        <v>30089</v>
      </c>
      <c r="Q7617" s="62" t="s">
        <v>42619</v>
      </c>
      <c r="R7617" s="10" t="s">
        <v>23</v>
      </c>
      <c r="S7617" s="10" t="s">
        <v>22</v>
      </c>
      <c r="T7617" s="10" t="s">
        <v>26781</v>
      </c>
      <c r="U7617" s="10"/>
      <c r="V7617" s="10"/>
      <c r="W7617" s="69"/>
      <c r="X7617" s="89"/>
      <c r="Y7617" s="68" t="s">
        <v>42476</v>
      </c>
      <c r="Z7617" s="68" t="s">
        <v>42968</v>
      </c>
      <c r="AA7617" s="33">
        <v>47</v>
      </c>
      <c r="AG7617" s="68"/>
      <c r="AK7617" s="68"/>
      <c r="AL7617" s="68"/>
      <c r="AM7617" s="68"/>
      <c r="AN7617" s="68"/>
      <c r="AO7617" s="68"/>
      <c r="AP7617" s="68"/>
      <c r="AQ7617" s="68"/>
      <c r="AR7617" s="68"/>
      <c r="AS7617" s="68"/>
      <c r="AT7617" s="68"/>
      <c r="AU7617" s="68"/>
      <c r="AV7617" s="68"/>
      <c r="AW7617" s="68"/>
      <c r="AX7617" s="68"/>
      <c r="AY7617" s="68"/>
      <c r="AZ7617" s="68"/>
      <c r="BA7617" s="68"/>
      <c r="BB7617" s="68"/>
      <c r="BC7617" s="68"/>
      <c r="BD7617" s="68"/>
      <c r="BE7617" s="68"/>
      <c r="BF7617" s="68"/>
      <c r="BG7617" s="68"/>
      <c r="BH7617" s="68"/>
      <c r="BI7617" s="68"/>
      <c r="BJ7617" s="68"/>
      <c r="BK7617" s="68"/>
      <c r="BL7617" s="68"/>
    </row>
    <row r="7618" spans="1:66" ht="12" customHeight="1" x14ac:dyDescent="0.15">
      <c r="A7618" s="33" t="s">
        <v>16689</v>
      </c>
      <c r="B7618" s="33">
        <v>40</v>
      </c>
      <c r="C7618" s="33" t="s">
        <v>14</v>
      </c>
      <c r="D7618" s="33" t="s">
        <v>24</v>
      </c>
      <c r="F7618" s="67">
        <v>41287</v>
      </c>
      <c r="G7618" s="33" t="s">
        <v>16690</v>
      </c>
      <c r="H7618" s="33" t="s">
        <v>16691</v>
      </c>
      <c r="I7618" s="33" t="s">
        <v>56</v>
      </c>
      <c r="J7618" s="33" t="s">
        <v>16692</v>
      </c>
      <c r="K7618" s="33" t="s">
        <v>1654</v>
      </c>
      <c r="L7618" s="33" t="s">
        <v>3452</v>
      </c>
      <c r="M7618" s="33" t="s">
        <v>21</v>
      </c>
      <c r="N7618" s="33" t="s">
        <v>16693</v>
      </c>
      <c r="O7618" s="33" t="s">
        <v>507</v>
      </c>
      <c r="P7618" s="33" t="s">
        <v>30089</v>
      </c>
      <c r="Q7618" s="40" t="s">
        <v>16694</v>
      </c>
      <c r="R7618" s="33" t="s">
        <v>23</v>
      </c>
      <c r="S7618" s="33" t="s">
        <v>22</v>
      </c>
      <c r="T7618" s="1" t="s">
        <v>26774</v>
      </c>
      <c r="Z7618" s="33" t="s">
        <v>42968</v>
      </c>
      <c r="AA7618" s="33">
        <v>49</v>
      </c>
      <c r="BM7618" s="68"/>
      <c r="BN7618" s="68"/>
    </row>
    <row r="7619" spans="1:66" ht="12" customHeight="1" x14ac:dyDescent="0.15">
      <c r="A7619" s="33" t="s">
        <v>16702</v>
      </c>
      <c r="B7619" s="33">
        <v>21</v>
      </c>
      <c r="C7619" s="33" t="s">
        <v>14</v>
      </c>
      <c r="D7619" s="33" t="s">
        <v>42</v>
      </c>
      <c r="F7619" s="67">
        <v>41286</v>
      </c>
      <c r="G7619" s="33" t="s">
        <v>22375</v>
      </c>
      <c r="H7619" s="33" t="s">
        <v>143</v>
      </c>
      <c r="I7619" s="33" t="s">
        <v>39</v>
      </c>
      <c r="J7619" s="33" t="s">
        <v>14918</v>
      </c>
      <c r="K7619" s="33" t="s">
        <v>143</v>
      </c>
      <c r="L7619" s="33" t="s">
        <v>144</v>
      </c>
      <c r="M7619" s="33" t="s">
        <v>21</v>
      </c>
      <c r="N7619" s="33" t="s">
        <v>16703</v>
      </c>
      <c r="O7619" s="33" t="s">
        <v>507</v>
      </c>
      <c r="P7619" s="33" t="s">
        <v>30089</v>
      </c>
      <c r="Q7619" s="40" t="s">
        <v>16704</v>
      </c>
      <c r="R7619" s="33" t="s">
        <v>94</v>
      </c>
      <c r="S7619" s="33" t="s">
        <v>351</v>
      </c>
      <c r="T7619" s="1" t="s">
        <v>42983</v>
      </c>
      <c r="Z7619" s="33" t="s">
        <v>42968</v>
      </c>
      <c r="AA7619" s="33">
        <v>45</v>
      </c>
    </row>
    <row r="7620" spans="1:66" ht="12" customHeight="1" x14ac:dyDescent="0.15">
      <c r="A7620" s="33" t="s">
        <v>16722</v>
      </c>
      <c r="B7620" s="33">
        <v>31</v>
      </c>
      <c r="C7620" s="33" t="s">
        <v>14</v>
      </c>
      <c r="D7620" s="33" t="s">
        <v>31</v>
      </c>
      <c r="E7620" s="33" t="s">
        <v>16723</v>
      </c>
      <c r="F7620" s="67">
        <v>41286</v>
      </c>
      <c r="G7620" s="33" t="s">
        <v>16724</v>
      </c>
      <c r="H7620" s="33" t="s">
        <v>500</v>
      </c>
      <c r="I7620" s="33" t="s">
        <v>139</v>
      </c>
      <c r="J7620" s="33" t="s">
        <v>501</v>
      </c>
      <c r="K7620" s="33" t="s">
        <v>2675</v>
      </c>
      <c r="L7620" s="33" t="s">
        <v>16725</v>
      </c>
      <c r="M7620" s="33" t="s">
        <v>21</v>
      </c>
      <c r="N7620" s="33" t="s">
        <v>16726</v>
      </c>
      <c r="O7620" s="33" t="s">
        <v>950</v>
      </c>
      <c r="P7620" s="33" t="s">
        <v>30089</v>
      </c>
      <c r="Q7620" s="40" t="s">
        <v>16727</v>
      </c>
      <c r="R7620" s="33" t="s">
        <v>23</v>
      </c>
      <c r="S7620" s="33" t="s">
        <v>22</v>
      </c>
      <c r="T7620" s="1" t="s">
        <v>42972</v>
      </c>
      <c r="Z7620" s="33" t="s">
        <v>42966</v>
      </c>
      <c r="AA7620" s="33">
        <v>42</v>
      </c>
      <c r="BM7620" s="68"/>
      <c r="BN7620" s="68"/>
    </row>
    <row r="7621" spans="1:66" ht="12" customHeight="1" x14ac:dyDescent="0.15">
      <c r="A7621" s="33" t="s">
        <v>16705</v>
      </c>
      <c r="B7621" s="33">
        <v>49</v>
      </c>
      <c r="C7621" s="33" t="s">
        <v>14</v>
      </c>
      <c r="D7621" s="33" t="s">
        <v>24</v>
      </c>
      <c r="F7621" s="67">
        <v>41286</v>
      </c>
      <c r="G7621" s="33" t="s">
        <v>16706</v>
      </c>
      <c r="H7621" s="33" t="s">
        <v>16707</v>
      </c>
      <c r="I7621" s="33" t="s">
        <v>139</v>
      </c>
      <c r="J7621" s="33" t="s">
        <v>16708</v>
      </c>
      <c r="K7621" s="33" t="s">
        <v>859</v>
      </c>
      <c r="L7621" s="33" t="s">
        <v>16709</v>
      </c>
      <c r="M7621" s="33" t="s">
        <v>21</v>
      </c>
      <c r="N7621" s="33" t="s">
        <v>16710</v>
      </c>
      <c r="O7621" s="33" t="s">
        <v>507</v>
      </c>
      <c r="P7621" s="33" t="s">
        <v>30089</v>
      </c>
      <c r="Q7621" s="40" t="s">
        <v>16711</v>
      </c>
      <c r="R7621" s="33" t="s">
        <v>23</v>
      </c>
      <c r="S7621" s="33" t="s">
        <v>22</v>
      </c>
      <c r="T7621" s="1" t="s">
        <v>26781</v>
      </c>
      <c r="Z7621" s="33" t="s">
        <v>42967</v>
      </c>
      <c r="AA7621" s="33">
        <v>43</v>
      </c>
      <c r="BM7621" s="68"/>
      <c r="BN7621" s="68"/>
    </row>
    <row r="7622" spans="1:66" ht="12" customHeight="1" x14ac:dyDescent="0.15">
      <c r="A7622" s="33" t="s">
        <v>16717</v>
      </c>
      <c r="B7622" s="103">
        <v>26</v>
      </c>
      <c r="C7622" s="33" t="s">
        <v>14</v>
      </c>
      <c r="D7622" s="33" t="s">
        <v>31</v>
      </c>
      <c r="E7622" s="33" t="s">
        <v>16718</v>
      </c>
      <c r="F7622" s="67">
        <v>41286</v>
      </c>
      <c r="G7622" s="33" t="s">
        <v>16719</v>
      </c>
      <c r="H7622" s="33" t="s">
        <v>2865</v>
      </c>
      <c r="I7622" s="33" t="s">
        <v>46</v>
      </c>
      <c r="J7622" s="33" t="s">
        <v>16720</v>
      </c>
      <c r="K7622" s="33" t="s">
        <v>2865</v>
      </c>
      <c r="L7622" s="33" t="s">
        <v>2866</v>
      </c>
      <c r="M7622" s="33" t="s">
        <v>11646</v>
      </c>
      <c r="N7622" s="33" t="s">
        <v>37067</v>
      </c>
      <c r="O7622" s="33" t="s">
        <v>507</v>
      </c>
      <c r="P7622" s="33" t="s">
        <v>30089</v>
      </c>
      <c r="Q7622" s="40" t="s">
        <v>16721</v>
      </c>
      <c r="R7622" s="33" t="s">
        <v>94</v>
      </c>
      <c r="S7622" s="33" t="s">
        <v>12</v>
      </c>
      <c r="T7622" s="1" t="s">
        <v>29705</v>
      </c>
      <c r="Z7622" s="33" t="s">
        <v>42968</v>
      </c>
      <c r="AA7622" s="33">
        <v>44</v>
      </c>
      <c r="BM7622" s="68"/>
      <c r="BN7622" s="68"/>
    </row>
    <row r="7623" spans="1:66" ht="12" customHeight="1" x14ac:dyDescent="0.15">
      <c r="A7623" s="33" t="s">
        <v>16712</v>
      </c>
      <c r="B7623" s="33">
        <v>33</v>
      </c>
      <c r="C7623" s="33" t="s">
        <v>14</v>
      </c>
      <c r="D7623" s="33" t="s">
        <v>24</v>
      </c>
      <c r="F7623" s="67">
        <v>41286</v>
      </c>
      <c r="G7623" s="33" t="s">
        <v>22374</v>
      </c>
      <c r="H7623" s="33" t="s">
        <v>16713</v>
      </c>
      <c r="I7623" s="33" t="s">
        <v>88</v>
      </c>
      <c r="J7623" s="33" t="s">
        <v>16714</v>
      </c>
      <c r="K7623" s="33" t="s">
        <v>5086</v>
      </c>
      <c r="L7623" s="33" t="s">
        <v>7052</v>
      </c>
      <c r="M7623" s="33" t="s">
        <v>21</v>
      </c>
      <c r="N7623" s="33" t="s">
        <v>16715</v>
      </c>
      <c r="O7623" s="33" t="s">
        <v>950</v>
      </c>
      <c r="P7623" s="33" t="s">
        <v>30089</v>
      </c>
      <c r="Q7623" s="40" t="s">
        <v>16716</v>
      </c>
      <c r="R7623" s="33" t="s">
        <v>23</v>
      </c>
      <c r="S7623" s="33" t="s">
        <v>351</v>
      </c>
      <c r="T7623" s="1" t="s">
        <v>42983</v>
      </c>
      <c r="Z7623" s="33" t="s">
        <v>42968</v>
      </c>
      <c r="AA7623" s="33">
        <v>46</v>
      </c>
    </row>
    <row r="7624" spans="1:66" ht="12" customHeight="1" x14ac:dyDescent="0.15">
      <c r="A7624" s="33" t="s">
        <v>16743</v>
      </c>
      <c r="B7624" s="103">
        <v>67</v>
      </c>
      <c r="C7624" s="33" t="s">
        <v>14</v>
      </c>
      <c r="D7624" s="33" t="s">
        <v>31</v>
      </c>
      <c r="E7624" s="33" t="s">
        <v>16744</v>
      </c>
      <c r="F7624" s="67">
        <v>41285</v>
      </c>
      <c r="G7624" s="33" t="s">
        <v>16745</v>
      </c>
      <c r="H7624" s="33" t="s">
        <v>1116</v>
      </c>
      <c r="I7624" s="33" t="s">
        <v>298</v>
      </c>
      <c r="J7624" s="33">
        <v>38126</v>
      </c>
      <c r="K7624" s="33" t="s">
        <v>1117</v>
      </c>
      <c r="L7624" s="33" t="s">
        <v>1118</v>
      </c>
      <c r="M7624" s="33" t="s">
        <v>21</v>
      </c>
      <c r="N7624" s="33" t="s">
        <v>16746</v>
      </c>
      <c r="O7624" s="33" t="s">
        <v>23</v>
      </c>
      <c r="P7624" s="33" t="s">
        <v>30089</v>
      </c>
      <c r="Q7624" s="40" t="s">
        <v>16747</v>
      </c>
      <c r="R7624" s="33" t="s">
        <v>512</v>
      </c>
      <c r="S7624" s="33" t="s">
        <v>22</v>
      </c>
      <c r="T7624" s="1" t="s">
        <v>26781</v>
      </c>
      <c r="Z7624" s="33" t="s">
        <v>42968</v>
      </c>
      <c r="AA7624" s="33">
        <v>39</v>
      </c>
      <c r="BM7624" s="68"/>
      <c r="BN7624" s="68"/>
    </row>
    <row r="7625" spans="1:66" ht="12" customHeight="1" x14ac:dyDescent="0.15">
      <c r="A7625" s="33" t="s">
        <v>16732</v>
      </c>
      <c r="B7625" s="33">
        <v>25</v>
      </c>
      <c r="C7625" s="33" t="s">
        <v>14</v>
      </c>
      <c r="D7625" s="33" t="s">
        <v>79</v>
      </c>
      <c r="E7625" s="33" t="s">
        <v>16733</v>
      </c>
      <c r="F7625" s="67">
        <v>41285</v>
      </c>
      <c r="G7625" s="33" t="s">
        <v>16734</v>
      </c>
      <c r="H7625" s="33" t="s">
        <v>8861</v>
      </c>
      <c r="I7625" s="33" t="s">
        <v>918</v>
      </c>
      <c r="J7625" s="33" t="s">
        <v>13881</v>
      </c>
      <c r="K7625" s="33" t="s">
        <v>2312</v>
      </c>
      <c r="L7625" s="33" t="s">
        <v>8863</v>
      </c>
      <c r="M7625" s="33" t="s">
        <v>21</v>
      </c>
      <c r="N7625" s="33" t="s">
        <v>36910</v>
      </c>
      <c r="O7625" s="33" t="s">
        <v>950</v>
      </c>
      <c r="P7625" s="33" t="s">
        <v>30089</v>
      </c>
      <c r="Q7625" s="40" t="s">
        <v>16735</v>
      </c>
      <c r="R7625" s="33" t="s">
        <v>94</v>
      </c>
      <c r="S7625" s="33" t="s">
        <v>29</v>
      </c>
      <c r="T7625" s="33" t="s">
        <v>41840</v>
      </c>
      <c r="Z7625" s="33" t="s">
        <v>42968</v>
      </c>
      <c r="AA7625" s="33">
        <v>40</v>
      </c>
      <c r="AE7625" s="33"/>
      <c r="BM7625" s="68"/>
      <c r="BN7625" s="68"/>
    </row>
    <row r="7626" spans="1:66" ht="12" customHeight="1" x14ac:dyDescent="0.15">
      <c r="A7626" s="33" t="s">
        <v>16736</v>
      </c>
      <c r="B7626" s="33">
        <v>34</v>
      </c>
      <c r="C7626" s="33" t="s">
        <v>14</v>
      </c>
      <c r="D7626" s="33" t="s">
        <v>31</v>
      </c>
      <c r="E7626" s="33" t="s">
        <v>16737</v>
      </c>
      <c r="F7626" s="67">
        <v>41285</v>
      </c>
      <c r="G7626" s="33" t="s">
        <v>16738</v>
      </c>
      <c r="H7626" s="33" t="s">
        <v>4747</v>
      </c>
      <c r="I7626" s="33" t="s">
        <v>160</v>
      </c>
      <c r="J7626" s="33">
        <v>31326</v>
      </c>
      <c r="K7626" s="33" t="s">
        <v>16739</v>
      </c>
      <c r="L7626" s="33" t="s">
        <v>16740</v>
      </c>
      <c r="M7626" s="33" t="s">
        <v>21</v>
      </c>
      <c r="N7626" s="33" t="s">
        <v>16741</v>
      </c>
      <c r="O7626" s="33" t="s">
        <v>507</v>
      </c>
      <c r="P7626" s="33" t="s">
        <v>30089</v>
      </c>
      <c r="Q7626" s="40" t="s">
        <v>16742</v>
      </c>
      <c r="R7626" s="33" t="s">
        <v>94</v>
      </c>
      <c r="S7626" s="33" t="s">
        <v>22</v>
      </c>
      <c r="T7626" s="1" t="s">
        <v>26781</v>
      </c>
      <c r="Z7626" s="33" t="s">
        <v>42967</v>
      </c>
      <c r="AA7626" s="33">
        <v>38</v>
      </c>
      <c r="BM7626" s="68"/>
      <c r="BN7626" s="68"/>
    </row>
    <row r="7627" spans="1:66" ht="12" customHeight="1" x14ac:dyDescent="0.15">
      <c r="A7627" s="33" t="s">
        <v>16728</v>
      </c>
      <c r="B7627" s="33">
        <v>39</v>
      </c>
      <c r="C7627" s="33" t="s">
        <v>14</v>
      </c>
      <c r="D7627" s="33" t="s">
        <v>15</v>
      </c>
      <c r="E7627" s="33" t="s">
        <v>16729</v>
      </c>
      <c r="F7627" s="67">
        <v>41285</v>
      </c>
      <c r="G7627" s="33" t="s">
        <v>22376</v>
      </c>
      <c r="H7627" s="33" t="s">
        <v>3383</v>
      </c>
      <c r="I7627" s="33" t="s">
        <v>39</v>
      </c>
      <c r="J7627" s="33" t="s">
        <v>3676</v>
      </c>
      <c r="K7627" s="33" t="s">
        <v>998</v>
      </c>
      <c r="L7627" s="33" t="s">
        <v>3385</v>
      </c>
      <c r="M7627" s="33" t="s">
        <v>21</v>
      </c>
      <c r="N7627" s="33" t="s">
        <v>16730</v>
      </c>
      <c r="O7627" s="33" t="s">
        <v>507</v>
      </c>
      <c r="P7627" s="33" t="s">
        <v>30089</v>
      </c>
      <c r="Q7627" s="40" t="s">
        <v>16731</v>
      </c>
      <c r="R7627" s="33" t="s">
        <v>94</v>
      </c>
      <c r="S7627" s="33" t="s">
        <v>351</v>
      </c>
      <c r="T7627" s="1" t="s">
        <v>26867</v>
      </c>
      <c r="Z7627" s="33" t="s">
        <v>42966</v>
      </c>
      <c r="AA7627" s="33">
        <v>41</v>
      </c>
      <c r="BM7627" s="68"/>
      <c r="BN7627" s="68"/>
    </row>
    <row r="7628" spans="1:66" ht="12" customHeight="1" x14ac:dyDescent="0.15">
      <c r="A7628" s="33" t="s">
        <v>16754</v>
      </c>
      <c r="B7628" s="33">
        <v>19</v>
      </c>
      <c r="C7628" s="33" t="s">
        <v>14</v>
      </c>
      <c r="D7628" s="33" t="s">
        <v>31</v>
      </c>
      <c r="E7628" s="33" t="s">
        <v>16755</v>
      </c>
      <c r="F7628" s="67">
        <v>41284</v>
      </c>
      <c r="G7628" s="33" t="s">
        <v>22377</v>
      </c>
      <c r="H7628" s="33" t="s">
        <v>16756</v>
      </c>
      <c r="I7628" s="33" t="s">
        <v>46</v>
      </c>
      <c r="J7628" s="33" t="s">
        <v>16757</v>
      </c>
      <c r="K7628" s="33" t="s">
        <v>2865</v>
      </c>
      <c r="L7628" s="33" t="s">
        <v>2866</v>
      </c>
      <c r="M7628" s="33" t="s">
        <v>21</v>
      </c>
      <c r="N7628" s="33" t="s">
        <v>16758</v>
      </c>
      <c r="O7628" s="33" t="s">
        <v>507</v>
      </c>
      <c r="P7628" s="33" t="s">
        <v>30089</v>
      </c>
      <c r="Q7628" s="40" t="s">
        <v>16759</v>
      </c>
      <c r="R7628" s="33" t="s">
        <v>94</v>
      </c>
      <c r="S7628" s="33" t="s">
        <v>22</v>
      </c>
      <c r="T7628" s="1" t="s">
        <v>26781</v>
      </c>
      <c r="Z7628" s="33" t="s">
        <v>42968</v>
      </c>
      <c r="AA7628" s="33">
        <v>35</v>
      </c>
      <c r="BM7628" s="68"/>
      <c r="BN7628" s="68"/>
    </row>
    <row r="7629" spans="1:66" ht="12" customHeight="1" x14ac:dyDescent="0.15">
      <c r="A7629" s="33" t="s">
        <v>16748</v>
      </c>
      <c r="B7629" s="33">
        <v>18</v>
      </c>
      <c r="C7629" s="33" t="s">
        <v>14</v>
      </c>
      <c r="D7629" s="33" t="s">
        <v>31</v>
      </c>
      <c r="E7629" s="33" t="s">
        <v>16749</v>
      </c>
      <c r="F7629" s="67">
        <v>41284</v>
      </c>
      <c r="G7629" s="33" t="s">
        <v>16750</v>
      </c>
      <c r="H7629" s="33" t="s">
        <v>522</v>
      </c>
      <c r="I7629" s="33" t="s">
        <v>367</v>
      </c>
      <c r="J7629" s="33" t="s">
        <v>16751</v>
      </c>
      <c r="K7629" s="33" t="s">
        <v>523</v>
      </c>
      <c r="L7629" s="33" t="s">
        <v>524</v>
      </c>
      <c r="M7629" s="33" t="s">
        <v>21</v>
      </c>
      <c r="N7629" s="33" t="s">
        <v>16752</v>
      </c>
      <c r="O7629" s="33" t="s">
        <v>507</v>
      </c>
      <c r="P7629" s="33" t="s">
        <v>30089</v>
      </c>
      <c r="Q7629" s="40" t="s">
        <v>16753</v>
      </c>
      <c r="R7629" s="33" t="s">
        <v>23</v>
      </c>
      <c r="S7629" s="33" t="s">
        <v>22</v>
      </c>
      <c r="T7629" s="1" t="s">
        <v>26781</v>
      </c>
      <c r="Z7629" s="33" t="s">
        <v>42967</v>
      </c>
      <c r="AA7629" s="33">
        <v>37</v>
      </c>
      <c r="BM7629" s="68"/>
      <c r="BN7629" s="68"/>
    </row>
    <row r="7630" spans="1:66" ht="12" customHeight="1" x14ac:dyDescent="0.15">
      <c r="A7630" s="33" t="s">
        <v>16760</v>
      </c>
      <c r="B7630" s="33">
        <v>37</v>
      </c>
      <c r="C7630" s="33" t="s">
        <v>14</v>
      </c>
      <c r="D7630" s="33" t="s">
        <v>31</v>
      </c>
      <c r="E7630" s="33" t="s">
        <v>16761</v>
      </c>
      <c r="F7630" s="67">
        <v>41284</v>
      </c>
      <c r="G7630" s="33" t="s">
        <v>16762</v>
      </c>
      <c r="H7630" s="33" t="s">
        <v>16763</v>
      </c>
      <c r="I7630" s="33" t="s">
        <v>139</v>
      </c>
      <c r="J7630" s="33" t="s">
        <v>16764</v>
      </c>
      <c r="K7630" s="33" t="s">
        <v>930</v>
      </c>
      <c r="L7630" s="33" t="s">
        <v>15594</v>
      </c>
      <c r="M7630" s="33" t="s">
        <v>21</v>
      </c>
      <c r="N7630" s="33" t="s">
        <v>16765</v>
      </c>
      <c r="O7630" s="33" t="s">
        <v>23</v>
      </c>
      <c r="P7630" s="33" t="s">
        <v>30089</v>
      </c>
      <c r="Q7630" s="40" t="s">
        <v>16766</v>
      </c>
      <c r="R7630" s="33" t="s">
        <v>512</v>
      </c>
      <c r="S7630" s="33" t="s">
        <v>22</v>
      </c>
      <c r="T7630" s="1" t="s">
        <v>26781</v>
      </c>
      <c r="Z7630" s="33" t="s">
        <v>42967</v>
      </c>
      <c r="AA7630" s="33">
        <v>36</v>
      </c>
      <c r="BM7630" s="68"/>
      <c r="BN7630" s="68"/>
    </row>
    <row r="7631" spans="1:66" ht="12" customHeight="1" x14ac:dyDescent="0.15">
      <c r="A7631" s="33" t="s">
        <v>16771</v>
      </c>
      <c r="B7631" s="33">
        <v>60</v>
      </c>
      <c r="C7631" s="33" t="s">
        <v>103</v>
      </c>
      <c r="D7631" s="33" t="s">
        <v>24</v>
      </c>
      <c r="F7631" s="67">
        <v>41283</v>
      </c>
      <c r="G7631" s="33" t="s">
        <v>22378</v>
      </c>
      <c r="H7631" s="33" t="s">
        <v>16772</v>
      </c>
      <c r="I7631" s="33" t="s">
        <v>56</v>
      </c>
      <c r="J7631" s="33" t="s">
        <v>16773</v>
      </c>
      <c r="K7631" s="33" t="s">
        <v>1052</v>
      </c>
      <c r="L7631" s="33" t="s">
        <v>4045</v>
      </c>
      <c r="M7631" s="33" t="s">
        <v>21</v>
      </c>
      <c r="N7631" s="33" t="s">
        <v>16774</v>
      </c>
      <c r="O7631" s="33" t="s">
        <v>950</v>
      </c>
      <c r="P7631" s="33" t="s">
        <v>30089</v>
      </c>
      <c r="Q7631" s="40" t="s">
        <v>16775</v>
      </c>
      <c r="R7631" s="33" t="s">
        <v>512</v>
      </c>
      <c r="S7631" s="33" t="s">
        <v>22</v>
      </c>
      <c r="T7631" s="1" t="s">
        <v>26781</v>
      </c>
      <c r="Z7631" s="33" t="s">
        <v>42966</v>
      </c>
      <c r="AA7631" s="33">
        <v>32</v>
      </c>
      <c r="BM7631" s="68"/>
      <c r="BN7631" s="68"/>
    </row>
    <row r="7632" spans="1:66" ht="12" customHeight="1" x14ac:dyDescent="0.15">
      <c r="A7632" s="33" t="s">
        <v>16767</v>
      </c>
      <c r="B7632" s="33">
        <v>31</v>
      </c>
      <c r="C7632" s="33" t="s">
        <v>14</v>
      </c>
      <c r="D7632" s="33" t="s">
        <v>79</v>
      </c>
      <c r="E7632" s="33" t="str">
        <f>HYPERLINK("http://www.baynews9.com/content/dam/news/images/2012/12/Suspect-killed-110.jpg","http://www.baynews9.com/content/dam/news/images/2012/12/Suspect-killed-110.jpg")</f>
        <v>http://www.baynews9.com/content/dam/news/images/2012/12/Suspect-killed-110.jpg</v>
      </c>
      <c r="F7632" s="67">
        <v>41283</v>
      </c>
      <c r="G7632" s="33" t="s">
        <v>16768</v>
      </c>
      <c r="H7632" s="33" t="s">
        <v>1463</v>
      </c>
      <c r="I7632" s="33" t="s">
        <v>56</v>
      </c>
      <c r="J7632" s="33" t="s">
        <v>16769</v>
      </c>
      <c r="K7632" s="33" t="s">
        <v>590</v>
      </c>
      <c r="L7632" s="33" t="s">
        <v>591</v>
      </c>
      <c r="M7632" s="33" t="s">
        <v>21</v>
      </c>
      <c r="N7632" s="33" t="s">
        <v>16770</v>
      </c>
      <c r="O7632" s="33" t="s">
        <v>950</v>
      </c>
      <c r="P7632" s="33" t="s">
        <v>30089</v>
      </c>
      <c r="Q7632" s="40" t="str">
        <f>HYPERLINK("http://www.baynews9.com/content/news/baynews9/news/article.html/content/news/articles/bn9/2013/1/10/with_deputy_in_fight.html","http://www.baynews9.com/content/news/baynews9/news/article.html/content/news/articles/bn9/2013/1/10/with_deputy_in_fight.html")</f>
        <v>http://www.baynews9.com/content/news/baynews9/news/article.html/content/news/articles/bn9/2013/1/10/with_deputy_in_fight.html</v>
      </c>
      <c r="R7632" s="33" t="s">
        <v>94</v>
      </c>
      <c r="S7632" s="33" t="s">
        <v>22</v>
      </c>
      <c r="T7632" s="33" t="s">
        <v>26781</v>
      </c>
      <c r="Z7632" s="33" t="s">
        <v>42968</v>
      </c>
      <c r="AA7632" s="33">
        <v>33</v>
      </c>
      <c r="AE7632" s="33"/>
      <c r="BM7632" s="68"/>
      <c r="BN7632" s="68"/>
    </row>
    <row r="7633" spans="1:66" ht="12" customHeight="1" x14ac:dyDescent="0.15">
      <c r="A7633" s="33" t="s">
        <v>16776</v>
      </c>
      <c r="B7633" s="33">
        <v>38</v>
      </c>
      <c r="C7633" s="33" t="s">
        <v>103</v>
      </c>
      <c r="D7633" s="33" t="s">
        <v>31</v>
      </c>
      <c r="E7633" s="33" t="s">
        <v>16777</v>
      </c>
      <c r="F7633" s="67">
        <v>41283</v>
      </c>
      <c r="G7633" s="33" t="s">
        <v>16778</v>
      </c>
      <c r="H7633" s="33" t="s">
        <v>220</v>
      </c>
      <c r="I7633" s="33" t="s">
        <v>221</v>
      </c>
      <c r="J7633" s="33" t="s">
        <v>16779</v>
      </c>
      <c r="K7633" s="33" t="s">
        <v>564</v>
      </c>
      <c r="L7633" s="33" t="s">
        <v>15786</v>
      </c>
      <c r="M7633" s="33" t="s">
        <v>21</v>
      </c>
      <c r="N7633" s="33" t="s">
        <v>16780</v>
      </c>
      <c r="O7633" s="33" t="s">
        <v>507</v>
      </c>
      <c r="P7633" s="33" t="s">
        <v>30089</v>
      </c>
      <c r="Q7633" s="40" t="s">
        <v>16781</v>
      </c>
      <c r="R7633" s="33" t="s">
        <v>94</v>
      </c>
      <c r="S7633" s="33" t="s">
        <v>351</v>
      </c>
      <c r="T7633" s="1" t="s">
        <v>26867</v>
      </c>
      <c r="Z7633" s="33" t="s">
        <v>42966</v>
      </c>
      <c r="AA7633" s="33">
        <v>34</v>
      </c>
      <c r="BM7633" s="68"/>
      <c r="BN7633" s="68"/>
    </row>
    <row r="7634" spans="1:66" ht="12" customHeight="1" x14ac:dyDescent="0.15">
      <c r="A7634" s="33" t="s">
        <v>16782</v>
      </c>
      <c r="B7634" s="33">
        <v>54</v>
      </c>
      <c r="C7634" s="33" t="s">
        <v>14</v>
      </c>
      <c r="D7634" s="33" t="s">
        <v>31</v>
      </c>
      <c r="E7634" s="33" t="s">
        <v>16783</v>
      </c>
      <c r="F7634" s="67">
        <v>41282</v>
      </c>
      <c r="G7634" s="33" t="s">
        <v>16784</v>
      </c>
      <c r="H7634" s="33" t="s">
        <v>3230</v>
      </c>
      <c r="I7634" s="33" t="s">
        <v>112</v>
      </c>
      <c r="J7634" s="33" t="s">
        <v>16785</v>
      </c>
      <c r="K7634" s="33" t="s">
        <v>585</v>
      </c>
      <c r="L7634" s="33" t="s">
        <v>1765</v>
      </c>
      <c r="M7634" s="33" t="s">
        <v>21</v>
      </c>
      <c r="N7634" s="33" t="s">
        <v>16786</v>
      </c>
      <c r="O7634" s="33" t="s">
        <v>507</v>
      </c>
      <c r="P7634" s="33" t="s">
        <v>30089</v>
      </c>
      <c r="Q7634" s="40" t="s">
        <v>16787</v>
      </c>
      <c r="R7634" s="33" t="s">
        <v>512</v>
      </c>
      <c r="S7634" s="33" t="s">
        <v>22</v>
      </c>
      <c r="T7634" s="1" t="s">
        <v>26781</v>
      </c>
      <c r="Z7634" s="33" t="s">
        <v>42968</v>
      </c>
      <c r="AA7634" s="33">
        <v>30</v>
      </c>
      <c r="BM7634" s="68"/>
      <c r="BN7634" s="68"/>
    </row>
    <row r="7635" spans="1:66" ht="12" customHeight="1" x14ac:dyDescent="0.15">
      <c r="A7635" s="33" t="s">
        <v>16788</v>
      </c>
      <c r="B7635" s="33">
        <v>24</v>
      </c>
      <c r="C7635" s="33" t="s">
        <v>103</v>
      </c>
      <c r="D7635" s="33" t="s">
        <v>31</v>
      </c>
      <c r="E7635" s="33" t="s">
        <v>16789</v>
      </c>
      <c r="F7635" s="67">
        <v>41282</v>
      </c>
      <c r="G7635" s="33" t="s">
        <v>22379</v>
      </c>
      <c r="H7635" s="33" t="s">
        <v>16790</v>
      </c>
      <c r="I7635" s="33" t="s">
        <v>56</v>
      </c>
      <c r="J7635" s="33" t="s">
        <v>16791</v>
      </c>
      <c r="K7635" s="33" t="s">
        <v>4878</v>
      </c>
      <c r="L7635" s="33" t="s">
        <v>57</v>
      </c>
      <c r="M7635" s="33" t="s">
        <v>21</v>
      </c>
      <c r="N7635" s="33" t="s">
        <v>16792</v>
      </c>
      <c r="O7635" s="33" t="s">
        <v>23</v>
      </c>
      <c r="P7635" s="33" t="s">
        <v>30089</v>
      </c>
      <c r="Q7635" s="40" t="s">
        <v>16793</v>
      </c>
      <c r="R7635" s="33" t="s">
        <v>23</v>
      </c>
      <c r="S7635" s="33" t="s">
        <v>22</v>
      </c>
      <c r="T7635" s="1" t="s">
        <v>26774</v>
      </c>
      <c r="Z7635" s="33" t="s">
        <v>42966</v>
      </c>
      <c r="AA7635" s="33">
        <v>31</v>
      </c>
      <c r="BM7635" s="68"/>
      <c r="BN7635" s="68"/>
    </row>
    <row r="7636" spans="1:66" ht="12" customHeight="1" x14ac:dyDescent="0.15">
      <c r="A7636" s="33" t="s">
        <v>16799</v>
      </c>
      <c r="B7636" s="33">
        <v>17</v>
      </c>
      <c r="C7636" s="33" t="s">
        <v>14</v>
      </c>
      <c r="D7636" s="33" t="s">
        <v>79</v>
      </c>
      <c r="E7636" s="33" t="s">
        <v>19219</v>
      </c>
      <c r="F7636" s="67">
        <v>41281</v>
      </c>
      <c r="G7636" s="33" t="s">
        <v>16800</v>
      </c>
      <c r="H7636" s="33" t="s">
        <v>81</v>
      </c>
      <c r="I7636" s="33" t="s">
        <v>38</v>
      </c>
      <c r="J7636" s="33" t="s">
        <v>1568</v>
      </c>
      <c r="K7636" s="33" t="s">
        <v>82</v>
      </c>
      <c r="L7636" s="33" t="s">
        <v>83</v>
      </c>
      <c r="M7636" s="33" t="s">
        <v>21</v>
      </c>
      <c r="N7636" s="33" t="s">
        <v>16801</v>
      </c>
      <c r="O7636" s="33" t="s">
        <v>950</v>
      </c>
      <c r="P7636" s="33" t="s">
        <v>30089</v>
      </c>
      <c r="Q7636" s="40" t="s">
        <v>16802</v>
      </c>
      <c r="R7636" s="33" t="s">
        <v>94</v>
      </c>
      <c r="S7636" s="1" t="s">
        <v>12</v>
      </c>
      <c r="T7636" s="33" t="s">
        <v>29705</v>
      </c>
      <c r="Z7636" s="33" t="s">
        <v>42966</v>
      </c>
      <c r="AA7636" s="33">
        <v>28</v>
      </c>
    </row>
    <row r="7637" spans="1:66" ht="12" customHeight="1" x14ac:dyDescent="0.15">
      <c r="A7637" s="33" t="s">
        <v>16794</v>
      </c>
      <c r="B7637" s="103">
        <v>35</v>
      </c>
      <c r="C7637" s="33" t="s">
        <v>14</v>
      </c>
      <c r="D7637" s="33" t="s">
        <v>42</v>
      </c>
      <c r="E7637" s="33" t="s">
        <v>16795</v>
      </c>
      <c r="F7637" s="67">
        <v>41281</v>
      </c>
      <c r="G7637" s="33" t="s">
        <v>16796</v>
      </c>
      <c r="H7637" s="33" t="s">
        <v>584</v>
      </c>
      <c r="I7637" s="33" t="s">
        <v>112</v>
      </c>
      <c r="J7637" s="33">
        <v>85009</v>
      </c>
      <c r="K7637" s="33" t="s">
        <v>585</v>
      </c>
      <c r="L7637" s="33" t="s">
        <v>586</v>
      </c>
      <c r="M7637" s="33" t="s">
        <v>21</v>
      </c>
      <c r="N7637" s="33" t="s">
        <v>16797</v>
      </c>
      <c r="O7637" s="33" t="s">
        <v>23</v>
      </c>
      <c r="P7637" s="33" t="s">
        <v>30089</v>
      </c>
      <c r="Q7637" s="40" t="s">
        <v>16798</v>
      </c>
      <c r="R7637" s="33" t="s">
        <v>94</v>
      </c>
      <c r="S7637" s="33" t="s">
        <v>351</v>
      </c>
      <c r="T7637" s="1" t="s">
        <v>42983</v>
      </c>
      <c r="Z7637" s="33" t="s">
        <v>42966</v>
      </c>
      <c r="AA7637" s="33">
        <v>29</v>
      </c>
    </row>
    <row r="7638" spans="1:66" ht="12" customHeight="1" x14ac:dyDescent="0.15">
      <c r="A7638" s="33" t="s">
        <v>16803</v>
      </c>
      <c r="B7638" s="33">
        <v>44</v>
      </c>
      <c r="C7638" s="33" t="s">
        <v>14</v>
      </c>
      <c r="D7638" s="33" t="s">
        <v>31</v>
      </c>
      <c r="E7638" s="33" t="s">
        <v>16804</v>
      </c>
      <c r="F7638" s="67">
        <v>41281</v>
      </c>
      <c r="G7638" s="33" t="s">
        <v>16805</v>
      </c>
      <c r="H7638" s="33" t="s">
        <v>16806</v>
      </c>
      <c r="I7638" s="33" t="s">
        <v>139</v>
      </c>
      <c r="J7638" s="33" t="s">
        <v>16807</v>
      </c>
      <c r="K7638" s="33" t="s">
        <v>16808</v>
      </c>
      <c r="L7638" s="33" t="s">
        <v>15594</v>
      </c>
      <c r="M7638" s="33" t="s">
        <v>21</v>
      </c>
      <c r="N7638" s="33" t="s">
        <v>36911</v>
      </c>
      <c r="O7638" s="33" t="s">
        <v>507</v>
      </c>
      <c r="P7638" s="33" t="s">
        <v>30089</v>
      </c>
      <c r="Q7638" s="40" t="s">
        <v>16809</v>
      </c>
      <c r="R7638" s="33" t="s">
        <v>512</v>
      </c>
      <c r="S7638" s="33" t="s">
        <v>22</v>
      </c>
      <c r="T7638" s="1" t="s">
        <v>26781</v>
      </c>
      <c r="Z7638" s="33" t="s">
        <v>42967</v>
      </c>
      <c r="AA7638" s="33">
        <v>27</v>
      </c>
      <c r="BM7638" s="68"/>
      <c r="BN7638" s="68"/>
    </row>
    <row r="7639" spans="1:66" ht="12" customHeight="1" x14ac:dyDescent="0.15">
      <c r="A7639" s="33" t="s">
        <v>16810</v>
      </c>
      <c r="B7639" s="33">
        <v>29</v>
      </c>
      <c r="C7639" s="33" t="s">
        <v>14</v>
      </c>
      <c r="D7639" s="33" t="s">
        <v>31</v>
      </c>
      <c r="E7639" s="33" t="s">
        <v>16811</v>
      </c>
      <c r="F7639" s="67">
        <v>41280</v>
      </c>
      <c r="G7639" s="33" t="s">
        <v>16812</v>
      </c>
      <c r="H7639" s="33" t="s">
        <v>4219</v>
      </c>
      <c r="I7639" s="33" t="s">
        <v>798</v>
      </c>
      <c r="J7639" s="33" t="s">
        <v>4220</v>
      </c>
      <c r="K7639" s="33" t="s">
        <v>4221</v>
      </c>
      <c r="L7639" s="33" t="s">
        <v>9485</v>
      </c>
      <c r="M7639" s="33" t="s">
        <v>21</v>
      </c>
      <c r="N7639" s="33" t="s">
        <v>16813</v>
      </c>
      <c r="O7639" s="33" t="s">
        <v>507</v>
      </c>
      <c r="P7639" s="33" t="s">
        <v>30089</v>
      </c>
      <c r="Q7639" s="40" t="s">
        <v>16814</v>
      </c>
      <c r="R7639" s="33" t="s">
        <v>94</v>
      </c>
      <c r="S7639" s="33" t="s">
        <v>351</v>
      </c>
      <c r="T7639" s="1" t="s">
        <v>26867</v>
      </c>
      <c r="Z7639" s="33" t="s">
        <v>42968</v>
      </c>
      <c r="AA7639" s="33">
        <v>26</v>
      </c>
      <c r="BM7639" s="68"/>
      <c r="BN7639" s="68"/>
    </row>
    <row r="7640" spans="1:66" ht="12" customHeight="1" x14ac:dyDescent="0.15">
      <c r="A7640" s="33" t="s">
        <v>16826</v>
      </c>
      <c r="B7640" s="33">
        <v>31</v>
      </c>
      <c r="C7640" s="33" t="s">
        <v>14</v>
      </c>
      <c r="D7640" s="33" t="s">
        <v>31</v>
      </c>
      <c r="E7640" s="33" t="s">
        <v>16827</v>
      </c>
      <c r="F7640" s="67">
        <v>41280</v>
      </c>
      <c r="G7640" s="33" t="s">
        <v>16828</v>
      </c>
      <c r="H7640" s="33" t="s">
        <v>16829</v>
      </c>
      <c r="I7640" s="33" t="s">
        <v>376</v>
      </c>
      <c r="J7640" s="33" t="s">
        <v>16830</v>
      </c>
      <c r="K7640" s="33" t="s">
        <v>1037</v>
      </c>
      <c r="L7640" s="33" t="s">
        <v>16831</v>
      </c>
      <c r="M7640" s="33" t="s">
        <v>21</v>
      </c>
      <c r="N7640" s="33" t="s">
        <v>16832</v>
      </c>
      <c r="O7640" s="33" t="s">
        <v>950</v>
      </c>
      <c r="P7640" s="33" t="s">
        <v>30089</v>
      </c>
      <c r="Q7640" s="40" t="s">
        <v>16833</v>
      </c>
      <c r="R7640" s="33" t="s">
        <v>94</v>
      </c>
      <c r="S7640" s="33" t="s">
        <v>22</v>
      </c>
      <c r="T7640" s="1" t="s">
        <v>26781</v>
      </c>
      <c r="Z7640" s="33" t="s">
        <v>42968</v>
      </c>
      <c r="AA7640" s="33">
        <v>24</v>
      </c>
      <c r="BM7640" s="68"/>
      <c r="BN7640" s="68"/>
    </row>
    <row r="7641" spans="1:66" ht="12" customHeight="1" x14ac:dyDescent="0.15">
      <c r="A7641" s="33" t="s">
        <v>16815</v>
      </c>
      <c r="B7641" s="33">
        <v>55</v>
      </c>
      <c r="C7641" s="33" t="s">
        <v>14</v>
      </c>
      <c r="D7641" s="33" t="s">
        <v>31</v>
      </c>
      <c r="E7641" s="33" t="s">
        <v>16816</v>
      </c>
      <c r="F7641" s="67">
        <v>41280</v>
      </c>
      <c r="G7641" s="33" t="s">
        <v>22380</v>
      </c>
      <c r="H7641" s="33" t="s">
        <v>3855</v>
      </c>
      <c r="I7641" s="33" t="s">
        <v>338</v>
      </c>
      <c r="J7641" s="33" t="s">
        <v>16817</v>
      </c>
      <c r="K7641" s="33" t="s">
        <v>3857</v>
      </c>
      <c r="L7641" s="33" t="s">
        <v>3858</v>
      </c>
      <c r="M7641" s="33" t="s">
        <v>21</v>
      </c>
      <c r="N7641" s="33" t="s">
        <v>16818</v>
      </c>
      <c r="O7641" s="33" t="s">
        <v>950</v>
      </c>
      <c r="P7641" s="33" t="s">
        <v>30089</v>
      </c>
      <c r="Q7641" s="40" t="s">
        <v>16819</v>
      </c>
      <c r="R7641" s="33" t="s">
        <v>94</v>
      </c>
      <c r="S7641" s="33" t="s">
        <v>22</v>
      </c>
      <c r="T7641" s="1" t="s">
        <v>26612</v>
      </c>
      <c r="Z7641" s="33" t="s">
        <v>42968</v>
      </c>
      <c r="AA7641" s="33">
        <v>23</v>
      </c>
      <c r="BM7641" s="68"/>
      <c r="BN7641" s="68"/>
    </row>
    <row r="7642" spans="1:66" ht="12" customHeight="1" x14ac:dyDescent="0.15">
      <c r="A7642" s="33" t="s">
        <v>16820</v>
      </c>
      <c r="B7642" s="33">
        <v>38</v>
      </c>
      <c r="C7642" s="33" t="s">
        <v>14</v>
      </c>
      <c r="D7642" s="33" t="s">
        <v>31</v>
      </c>
      <c r="F7642" s="67">
        <v>41280</v>
      </c>
      <c r="G7642" s="33" t="s">
        <v>22381</v>
      </c>
      <c r="H7642" s="33" t="s">
        <v>16821</v>
      </c>
      <c r="I7642" s="33" t="s">
        <v>51</v>
      </c>
      <c r="J7642" s="33" t="s">
        <v>16822</v>
      </c>
      <c r="K7642" s="33" t="s">
        <v>557</v>
      </c>
      <c r="L7642" s="33" t="s">
        <v>16823</v>
      </c>
      <c r="M7642" s="33" t="s">
        <v>21</v>
      </c>
      <c r="N7642" s="33" t="s">
        <v>16824</v>
      </c>
      <c r="O7642" s="33" t="s">
        <v>507</v>
      </c>
      <c r="P7642" s="33" t="s">
        <v>30089</v>
      </c>
      <c r="Q7642" s="40" t="s">
        <v>16825</v>
      </c>
      <c r="R7642" s="33" t="s">
        <v>512</v>
      </c>
      <c r="S7642" s="33" t="s">
        <v>22</v>
      </c>
      <c r="T7642" s="1" t="s">
        <v>26774</v>
      </c>
      <c r="Z7642" s="33" t="s">
        <v>42968</v>
      </c>
      <c r="AA7642" s="33">
        <v>25</v>
      </c>
      <c r="BM7642" s="68"/>
      <c r="BN7642" s="68"/>
    </row>
    <row r="7643" spans="1:66" ht="12" customHeight="1" x14ac:dyDescent="0.15">
      <c r="A7643" s="33" t="s">
        <v>16843</v>
      </c>
      <c r="B7643" s="33">
        <v>39</v>
      </c>
      <c r="C7643" s="33" t="s">
        <v>14</v>
      </c>
      <c r="D7643" s="33" t="s">
        <v>24</v>
      </c>
      <c r="F7643" s="67">
        <v>41279</v>
      </c>
      <c r="G7643" s="33" t="s">
        <v>16844</v>
      </c>
      <c r="H7643" s="33" t="s">
        <v>584</v>
      </c>
      <c r="I7643" s="33" t="s">
        <v>112</v>
      </c>
      <c r="J7643" s="33" t="s">
        <v>7156</v>
      </c>
      <c r="K7643" s="33" t="s">
        <v>585</v>
      </c>
      <c r="L7643" s="33" t="s">
        <v>586</v>
      </c>
      <c r="M7643" s="33" t="s">
        <v>21</v>
      </c>
      <c r="N7643" s="33" t="s">
        <v>16845</v>
      </c>
      <c r="O7643" s="33" t="s">
        <v>950</v>
      </c>
      <c r="P7643" s="33" t="s">
        <v>30089</v>
      </c>
      <c r="Q7643" s="40" t="s">
        <v>16846</v>
      </c>
      <c r="R7643" s="33" t="s">
        <v>94</v>
      </c>
      <c r="S7643" s="33" t="s">
        <v>12</v>
      </c>
      <c r="T7643" s="1" t="s">
        <v>29425</v>
      </c>
      <c r="Z7643" s="33" t="s">
        <v>42966</v>
      </c>
      <c r="AA7643" s="33">
        <v>20</v>
      </c>
      <c r="BM7643" s="68"/>
      <c r="BN7643" s="68"/>
    </row>
    <row r="7644" spans="1:66" ht="12" customHeight="1" x14ac:dyDescent="0.15">
      <c r="A7644" s="33" t="s">
        <v>16847</v>
      </c>
      <c r="B7644" s="33">
        <v>33</v>
      </c>
      <c r="C7644" s="33" t="s">
        <v>14</v>
      </c>
      <c r="D7644" s="33" t="s">
        <v>31</v>
      </c>
      <c r="E7644" s="33" t="s">
        <v>16848</v>
      </c>
      <c r="F7644" s="67">
        <v>41279</v>
      </c>
      <c r="G7644" s="33" t="s">
        <v>16849</v>
      </c>
      <c r="H7644" s="33" t="s">
        <v>3508</v>
      </c>
      <c r="I7644" s="33" t="s">
        <v>192</v>
      </c>
      <c r="J7644" s="33" t="s">
        <v>8489</v>
      </c>
      <c r="K7644" s="33" t="s">
        <v>3510</v>
      </c>
      <c r="L7644" s="33" t="s">
        <v>3511</v>
      </c>
      <c r="M7644" s="33" t="s">
        <v>21</v>
      </c>
      <c r="N7644" s="33" t="s">
        <v>16850</v>
      </c>
      <c r="O7644" s="33" t="s">
        <v>950</v>
      </c>
      <c r="P7644" s="33" t="s">
        <v>30089</v>
      </c>
      <c r="Q7644" s="40" t="s">
        <v>16851</v>
      </c>
      <c r="R7644" s="33" t="s">
        <v>94</v>
      </c>
      <c r="S7644" s="33" t="s">
        <v>22</v>
      </c>
      <c r="T7644" s="1" t="s">
        <v>26781</v>
      </c>
      <c r="Z7644" s="33" t="s">
        <v>42968</v>
      </c>
      <c r="AA7644" s="33">
        <v>19</v>
      </c>
      <c r="BM7644" s="68"/>
      <c r="BN7644" s="68"/>
    </row>
    <row r="7645" spans="1:66" ht="12" customHeight="1" x14ac:dyDescent="0.15">
      <c r="A7645" s="33" t="s">
        <v>16834</v>
      </c>
      <c r="B7645" s="33">
        <v>27</v>
      </c>
      <c r="C7645" s="33" t="s">
        <v>14</v>
      </c>
      <c r="D7645" s="33" t="s">
        <v>15</v>
      </c>
      <c r="E7645" s="33" t="s">
        <v>16835</v>
      </c>
      <c r="F7645" s="67">
        <v>41279</v>
      </c>
      <c r="G7645" s="33" t="s">
        <v>16836</v>
      </c>
      <c r="H7645" s="33" t="s">
        <v>16837</v>
      </c>
      <c r="I7645" s="33" t="s">
        <v>75</v>
      </c>
      <c r="J7645" s="33" t="s">
        <v>16838</v>
      </c>
      <c r="K7645" s="33" t="s">
        <v>16839</v>
      </c>
      <c r="L7645" s="33" t="s">
        <v>16840</v>
      </c>
      <c r="M7645" s="33" t="s">
        <v>21</v>
      </c>
      <c r="N7645" s="33" t="s">
        <v>16841</v>
      </c>
      <c r="O7645" s="33" t="s">
        <v>1083</v>
      </c>
      <c r="P7645" s="33" t="s">
        <v>1084</v>
      </c>
      <c r="Q7645" s="40" t="s">
        <v>16842</v>
      </c>
      <c r="R7645" s="33" t="s">
        <v>94</v>
      </c>
      <c r="S7645" s="33" t="s">
        <v>12</v>
      </c>
      <c r="T7645" s="1" t="s">
        <v>29705</v>
      </c>
      <c r="Z7645" s="33" t="s">
        <v>42968</v>
      </c>
      <c r="AA7645" s="33">
        <v>22</v>
      </c>
      <c r="BM7645" s="68"/>
      <c r="BN7645" s="68"/>
    </row>
    <row r="7646" spans="1:66" ht="12" customHeight="1" x14ac:dyDescent="0.15">
      <c r="A7646" s="33" t="s">
        <v>16865</v>
      </c>
      <c r="B7646" s="33">
        <v>52</v>
      </c>
      <c r="C7646" s="33" t="s">
        <v>14</v>
      </c>
      <c r="D7646" s="33" t="s">
        <v>31</v>
      </c>
      <c r="E7646" s="33" t="s">
        <v>16866</v>
      </c>
      <c r="F7646" s="67">
        <v>41279</v>
      </c>
      <c r="G7646" s="33" t="s">
        <v>16867</v>
      </c>
      <c r="H7646" s="33" t="s">
        <v>16868</v>
      </c>
      <c r="I7646" s="33" t="s">
        <v>112</v>
      </c>
      <c r="J7646" s="33" t="s">
        <v>16869</v>
      </c>
      <c r="K7646" s="33" t="s">
        <v>585</v>
      </c>
      <c r="L7646" s="33" t="s">
        <v>16870</v>
      </c>
      <c r="M7646" s="33" t="s">
        <v>21</v>
      </c>
      <c r="N7646" s="33" t="s">
        <v>16871</v>
      </c>
      <c r="O7646" s="33" t="s">
        <v>950</v>
      </c>
      <c r="P7646" s="33" t="s">
        <v>30089</v>
      </c>
      <c r="Q7646" s="40" t="s">
        <v>16872</v>
      </c>
      <c r="R7646" s="33" t="s">
        <v>512</v>
      </c>
      <c r="S7646" s="33" t="s">
        <v>22</v>
      </c>
      <c r="T7646" s="1" t="s">
        <v>26781</v>
      </c>
      <c r="Z7646" s="33" t="s">
        <v>42968</v>
      </c>
      <c r="AA7646" s="33">
        <v>18</v>
      </c>
      <c r="BM7646" s="68"/>
      <c r="BN7646" s="68"/>
    </row>
    <row r="7647" spans="1:66" ht="12" customHeight="1" x14ac:dyDescent="0.15">
      <c r="A7647" s="33" t="s">
        <v>16852</v>
      </c>
      <c r="B7647" s="33">
        <v>55</v>
      </c>
      <c r="C7647" s="33" t="s">
        <v>14</v>
      </c>
      <c r="D7647" s="33" t="s">
        <v>31</v>
      </c>
      <c r="E7647" s="33" t="s">
        <v>16853</v>
      </c>
      <c r="F7647" s="67">
        <v>41279</v>
      </c>
      <c r="G7647" s="33" t="s">
        <v>16854</v>
      </c>
      <c r="H7647" s="33" t="s">
        <v>16855</v>
      </c>
      <c r="I7647" s="33" t="s">
        <v>51</v>
      </c>
      <c r="J7647" s="33" t="s">
        <v>16856</v>
      </c>
      <c r="K7647" s="33" t="s">
        <v>9096</v>
      </c>
      <c r="L7647" s="33" t="s">
        <v>16857</v>
      </c>
      <c r="M7647" s="33" t="s">
        <v>21</v>
      </c>
      <c r="N7647" s="33" t="s">
        <v>16858</v>
      </c>
      <c r="O7647" s="33" t="s">
        <v>507</v>
      </c>
      <c r="P7647" s="33" t="s">
        <v>30089</v>
      </c>
      <c r="Q7647" s="40" t="s">
        <v>16859</v>
      </c>
      <c r="R7647" s="33" t="s">
        <v>23</v>
      </c>
      <c r="S7647" s="33" t="s">
        <v>22</v>
      </c>
      <c r="T7647" s="1" t="s">
        <v>26781</v>
      </c>
      <c r="Z7647" s="33" t="s">
        <v>42967</v>
      </c>
      <c r="AA7647" s="33">
        <v>17</v>
      </c>
      <c r="BM7647" s="68"/>
      <c r="BN7647" s="68"/>
    </row>
    <row r="7648" spans="1:66" ht="12" customHeight="1" x14ac:dyDescent="0.15">
      <c r="A7648" s="33" t="s">
        <v>16860</v>
      </c>
      <c r="B7648" s="33">
        <v>58</v>
      </c>
      <c r="C7648" s="33" t="s">
        <v>14</v>
      </c>
      <c r="D7648" s="33" t="s">
        <v>31</v>
      </c>
      <c r="E7648" s="33" t="s">
        <v>16861</v>
      </c>
      <c r="F7648" s="67">
        <v>41279</v>
      </c>
      <c r="G7648" s="33" t="s">
        <v>16862</v>
      </c>
      <c r="H7648" s="33" t="s">
        <v>2985</v>
      </c>
      <c r="I7648" s="33" t="s">
        <v>39</v>
      </c>
      <c r="J7648" s="33" t="s">
        <v>12935</v>
      </c>
      <c r="K7648" s="33" t="s">
        <v>2985</v>
      </c>
      <c r="L7648" s="33" t="s">
        <v>897</v>
      </c>
      <c r="M7648" s="33" t="s">
        <v>21</v>
      </c>
      <c r="N7648" s="33" t="s">
        <v>16863</v>
      </c>
      <c r="O7648" s="33" t="s">
        <v>507</v>
      </c>
      <c r="P7648" s="33" t="s">
        <v>30089</v>
      </c>
      <c r="Q7648" s="40" t="s">
        <v>16864</v>
      </c>
      <c r="R7648" s="33" t="s">
        <v>23</v>
      </c>
      <c r="S7648" s="33" t="s">
        <v>12</v>
      </c>
      <c r="T7648" s="1" t="s">
        <v>29425</v>
      </c>
      <c r="Z7648" s="33" t="s">
        <v>42968</v>
      </c>
      <c r="AA7648" s="33">
        <v>21</v>
      </c>
      <c r="BM7648" s="68"/>
      <c r="BN7648" s="68"/>
    </row>
    <row r="7649" spans="1:66" ht="12" customHeight="1" x14ac:dyDescent="0.15">
      <c r="A7649" s="33" t="s">
        <v>16873</v>
      </c>
      <c r="B7649" s="33">
        <v>31</v>
      </c>
      <c r="C7649" s="33" t="s">
        <v>14</v>
      </c>
      <c r="D7649" s="33" t="s">
        <v>79</v>
      </c>
      <c r="F7649" s="67">
        <v>41278</v>
      </c>
      <c r="G7649" s="33" t="s">
        <v>16874</v>
      </c>
      <c r="H7649" s="33" t="s">
        <v>16875</v>
      </c>
      <c r="I7649" s="33" t="s">
        <v>56</v>
      </c>
      <c r="J7649" s="33" t="s">
        <v>11503</v>
      </c>
      <c r="K7649" s="33" t="s">
        <v>148</v>
      </c>
      <c r="L7649" s="33" t="s">
        <v>149</v>
      </c>
      <c r="M7649" s="33" t="s">
        <v>21</v>
      </c>
      <c r="N7649" s="33" t="s">
        <v>16876</v>
      </c>
      <c r="O7649" s="33" t="s">
        <v>950</v>
      </c>
      <c r="P7649" s="33" t="s">
        <v>30089</v>
      </c>
      <c r="Q7649" s="40" t="str">
        <f>HYPERLINK("http://miami.cbslocal.com/2013/01/07/family-of-man-killed-in-police-involved-shooting-demands-answers/","http://miami.cbslocal.com/2013/01/07/family-of-man-killed-in-police-involved-shooting-demands-answers/")</f>
        <v>http://miami.cbslocal.com/2013/01/07/family-of-man-killed-in-police-involved-shooting-demands-answers/</v>
      </c>
      <c r="R7649" s="33" t="s">
        <v>94</v>
      </c>
      <c r="S7649" s="33" t="s">
        <v>12</v>
      </c>
      <c r="T7649" s="33" t="s">
        <v>29705</v>
      </c>
      <c r="Z7649" s="33" t="s">
        <v>42968</v>
      </c>
      <c r="AA7649" s="33">
        <v>15</v>
      </c>
    </row>
    <row r="7650" spans="1:66" ht="12" customHeight="1" x14ac:dyDescent="0.15">
      <c r="A7650" s="33" t="s">
        <v>16877</v>
      </c>
      <c r="B7650" s="33">
        <v>34</v>
      </c>
      <c r="C7650" s="33" t="s">
        <v>103</v>
      </c>
      <c r="D7650" s="33" t="s">
        <v>79</v>
      </c>
      <c r="F7650" s="67">
        <v>41278</v>
      </c>
      <c r="G7650" s="33" t="s">
        <v>16874</v>
      </c>
      <c r="H7650" s="33" t="s">
        <v>16875</v>
      </c>
      <c r="I7650" s="33" t="s">
        <v>56</v>
      </c>
      <c r="J7650" s="33" t="s">
        <v>11503</v>
      </c>
      <c r="K7650" s="33" t="s">
        <v>148</v>
      </c>
      <c r="L7650" s="33" t="s">
        <v>149</v>
      </c>
      <c r="M7650" s="33" t="s">
        <v>21</v>
      </c>
      <c r="N7650" s="33" t="s">
        <v>16876</v>
      </c>
      <c r="O7650" s="33" t="s">
        <v>950</v>
      </c>
      <c r="P7650" s="33" t="s">
        <v>30089</v>
      </c>
      <c r="Q7650" s="40" t="s">
        <v>16878</v>
      </c>
      <c r="R7650" s="33" t="s">
        <v>94</v>
      </c>
      <c r="S7650" s="33" t="s">
        <v>351</v>
      </c>
      <c r="T7650" s="1" t="s">
        <v>42983</v>
      </c>
      <c r="Z7650" s="33" t="s">
        <v>42968</v>
      </c>
      <c r="AA7650" s="33">
        <v>16</v>
      </c>
    </row>
    <row r="7651" spans="1:66" ht="12" customHeight="1" x14ac:dyDescent="0.15">
      <c r="A7651" s="33" t="s">
        <v>16882</v>
      </c>
      <c r="B7651" s="33">
        <v>21</v>
      </c>
      <c r="C7651" s="33" t="s">
        <v>14</v>
      </c>
      <c r="D7651" s="33" t="s">
        <v>31</v>
      </c>
      <c r="E7651" s="33" t="s">
        <v>16883</v>
      </c>
      <c r="F7651" s="67">
        <v>41278</v>
      </c>
      <c r="G7651" s="33" t="s">
        <v>16884</v>
      </c>
      <c r="H7651" s="33" t="s">
        <v>16885</v>
      </c>
      <c r="I7651" s="33" t="s">
        <v>56</v>
      </c>
      <c r="J7651" s="33" t="s">
        <v>16886</v>
      </c>
      <c r="K7651" s="33" t="s">
        <v>5086</v>
      </c>
      <c r="L7651" s="33" t="s">
        <v>7052</v>
      </c>
      <c r="M7651" s="33" t="s">
        <v>21</v>
      </c>
      <c r="N7651" s="33" t="s">
        <v>36913</v>
      </c>
      <c r="O7651" s="33" t="s">
        <v>507</v>
      </c>
      <c r="P7651" s="33" t="s">
        <v>30089</v>
      </c>
      <c r="Q7651" s="40" t="s">
        <v>16887</v>
      </c>
      <c r="R7651" s="33" t="s">
        <v>23</v>
      </c>
      <c r="S7651" s="33" t="s">
        <v>22</v>
      </c>
      <c r="T7651" s="1" t="s">
        <v>26781</v>
      </c>
      <c r="Z7651" s="33" t="s">
        <v>42968</v>
      </c>
      <c r="AA7651" s="33">
        <v>12</v>
      </c>
      <c r="BM7651" s="68"/>
      <c r="BN7651" s="68"/>
    </row>
    <row r="7652" spans="1:66" ht="12" customHeight="1" x14ac:dyDescent="0.15">
      <c r="A7652" s="33" t="s">
        <v>16879</v>
      </c>
      <c r="B7652" s="103">
        <v>47</v>
      </c>
      <c r="C7652" s="33" t="s">
        <v>14</v>
      </c>
      <c r="D7652" s="33" t="s">
        <v>79</v>
      </c>
      <c r="F7652" s="67">
        <v>41278</v>
      </c>
      <c r="G7652" s="33" t="s">
        <v>22383</v>
      </c>
      <c r="H7652" s="33" t="s">
        <v>1033</v>
      </c>
      <c r="I7652" s="33" t="s">
        <v>376</v>
      </c>
      <c r="J7652" s="33">
        <v>19132</v>
      </c>
      <c r="K7652" s="33" t="s">
        <v>1033</v>
      </c>
      <c r="L7652" s="33" t="s">
        <v>1034</v>
      </c>
      <c r="M7652" s="33" t="s">
        <v>21</v>
      </c>
      <c r="N7652" s="33" t="s">
        <v>16880</v>
      </c>
      <c r="O7652" s="33" t="s">
        <v>23</v>
      </c>
      <c r="P7652" s="33" t="s">
        <v>30089</v>
      </c>
      <c r="Q7652" s="40" t="s">
        <v>16881</v>
      </c>
      <c r="R7652" s="33" t="s">
        <v>94</v>
      </c>
      <c r="S7652" s="33" t="s">
        <v>12</v>
      </c>
      <c r="T7652" s="1" t="s">
        <v>29705</v>
      </c>
      <c r="Z7652" s="33" t="s">
        <v>42966</v>
      </c>
      <c r="AA7652" s="33">
        <v>14</v>
      </c>
      <c r="BM7652" s="68"/>
      <c r="BN7652" s="68"/>
    </row>
    <row r="7653" spans="1:66" ht="12" customHeight="1" x14ac:dyDescent="0.15">
      <c r="A7653" s="33" t="s">
        <v>16893</v>
      </c>
      <c r="B7653" s="33">
        <v>26</v>
      </c>
      <c r="C7653" s="33" t="s">
        <v>14</v>
      </c>
      <c r="D7653" s="33" t="s">
        <v>31</v>
      </c>
      <c r="E7653" s="33" t="s">
        <v>16894</v>
      </c>
      <c r="F7653" s="67">
        <v>41278</v>
      </c>
      <c r="G7653" s="33" t="s">
        <v>16895</v>
      </c>
      <c r="H7653" s="33" t="s">
        <v>16896</v>
      </c>
      <c r="I7653" s="33" t="s">
        <v>376</v>
      </c>
      <c r="J7653" s="33" t="s">
        <v>16897</v>
      </c>
      <c r="K7653" s="33" t="s">
        <v>10921</v>
      </c>
      <c r="L7653" s="33" t="s">
        <v>8484</v>
      </c>
      <c r="M7653" s="33" t="s">
        <v>21</v>
      </c>
      <c r="N7653" s="33" t="s">
        <v>16898</v>
      </c>
      <c r="O7653" s="33" t="s">
        <v>507</v>
      </c>
      <c r="P7653" s="33" t="s">
        <v>30089</v>
      </c>
      <c r="Q7653" s="40" t="s">
        <v>16899</v>
      </c>
      <c r="R7653" s="33" t="s">
        <v>512</v>
      </c>
      <c r="S7653" s="33" t="s">
        <v>22</v>
      </c>
      <c r="T7653" s="1" t="s">
        <v>29867</v>
      </c>
      <c r="Z7653" s="33" t="s">
        <v>42968</v>
      </c>
      <c r="AA7653" s="33">
        <v>13</v>
      </c>
      <c r="BM7653" s="68"/>
      <c r="BN7653" s="68"/>
    </row>
    <row r="7654" spans="1:66" ht="12" customHeight="1" x14ac:dyDescent="0.15">
      <c r="A7654" s="33" t="s">
        <v>16888</v>
      </c>
      <c r="B7654" s="33">
        <v>51</v>
      </c>
      <c r="C7654" s="33" t="s">
        <v>14</v>
      </c>
      <c r="D7654" s="33" t="s">
        <v>31</v>
      </c>
      <c r="E7654" s="33" t="s">
        <v>16889</v>
      </c>
      <c r="F7654" s="67">
        <v>41278</v>
      </c>
      <c r="G7654" s="33" t="s">
        <v>22382</v>
      </c>
      <c r="H7654" s="33" t="s">
        <v>16890</v>
      </c>
      <c r="I7654" s="33" t="s">
        <v>38</v>
      </c>
      <c r="J7654" s="33" t="s">
        <v>16891</v>
      </c>
      <c r="K7654" s="33" t="s">
        <v>2014</v>
      </c>
      <c r="L7654" s="33" t="s">
        <v>6382</v>
      </c>
      <c r="M7654" s="33" t="s">
        <v>21</v>
      </c>
      <c r="N7654" s="33" t="s">
        <v>36912</v>
      </c>
      <c r="O7654" s="33" t="s">
        <v>507</v>
      </c>
      <c r="P7654" s="33" t="s">
        <v>30089</v>
      </c>
      <c r="Q7654" s="40" t="s">
        <v>16892</v>
      </c>
      <c r="R7654" s="33" t="s">
        <v>904</v>
      </c>
      <c r="S7654" s="33" t="s">
        <v>22</v>
      </c>
      <c r="T7654" s="1" t="s">
        <v>26781</v>
      </c>
      <c r="Z7654" s="33" t="s">
        <v>42968</v>
      </c>
      <c r="AA7654" s="33">
        <v>11</v>
      </c>
      <c r="BM7654" s="68"/>
      <c r="BN7654" s="68"/>
    </row>
    <row r="7655" spans="1:66" ht="12" customHeight="1" x14ac:dyDescent="0.15">
      <c r="A7655" s="33" t="s">
        <v>16900</v>
      </c>
      <c r="B7655" s="33">
        <v>37</v>
      </c>
      <c r="C7655" s="33" t="s">
        <v>14</v>
      </c>
      <c r="D7655" s="33" t="s">
        <v>79</v>
      </c>
      <c r="E7655" s="33" t="str">
        <f>HYPERLINK("http://www.trbimg.com/img-50e7a90e/turbine/peter-jourdan-of-allentown.jpg-20130104/600","http://www.trbimg.com/img-50e7a90e/turbine/peter-jourdan-of-allentown.jpg-20130104/600")</f>
        <v>http://www.trbimg.com/img-50e7a90e/turbine/peter-jourdan-of-allentown.jpg-20130104/600</v>
      </c>
      <c r="F7655" s="67">
        <v>41277</v>
      </c>
      <c r="G7655" s="33" t="s">
        <v>16901</v>
      </c>
      <c r="H7655" s="33" t="s">
        <v>1599</v>
      </c>
      <c r="I7655" s="33" t="s">
        <v>395</v>
      </c>
      <c r="J7655" s="33" t="s">
        <v>16902</v>
      </c>
      <c r="K7655" s="33" t="s">
        <v>1601</v>
      </c>
      <c r="L7655" s="33" t="s">
        <v>539</v>
      </c>
      <c r="M7655" s="33" t="s">
        <v>21</v>
      </c>
      <c r="N7655" s="33" t="s">
        <v>16903</v>
      </c>
      <c r="O7655" s="33" t="s">
        <v>507</v>
      </c>
      <c r="P7655" s="33" t="s">
        <v>30089</v>
      </c>
      <c r="Q7655" s="40" t="s">
        <v>16904</v>
      </c>
      <c r="R7655" s="33" t="s">
        <v>94</v>
      </c>
      <c r="S7655" s="33" t="s">
        <v>22</v>
      </c>
      <c r="T7655" s="1" t="s">
        <v>26781</v>
      </c>
      <c r="Z7655" s="33" t="s">
        <v>42966</v>
      </c>
      <c r="AA7655" s="33">
        <v>8</v>
      </c>
      <c r="BM7655" s="68"/>
      <c r="BN7655" s="68"/>
    </row>
    <row r="7656" spans="1:66" ht="12" customHeight="1" x14ac:dyDescent="0.15">
      <c r="A7656" s="63" t="s">
        <v>42629</v>
      </c>
      <c r="B7656" s="99">
        <v>23</v>
      </c>
      <c r="C7656" s="10" t="s">
        <v>14</v>
      </c>
      <c r="D7656" s="10" t="s">
        <v>24</v>
      </c>
      <c r="E7656" s="10"/>
      <c r="F7656" s="67">
        <v>41277</v>
      </c>
      <c r="G7656" s="10" t="s">
        <v>42630</v>
      </c>
      <c r="H7656" s="10" t="s">
        <v>401</v>
      </c>
      <c r="I7656" s="10" t="s">
        <v>402</v>
      </c>
      <c r="J7656" s="65">
        <v>64110</v>
      </c>
      <c r="K7656" s="10" t="s">
        <v>404</v>
      </c>
      <c r="L7656" s="10" t="s">
        <v>42631</v>
      </c>
      <c r="M7656" s="10" t="s">
        <v>21</v>
      </c>
      <c r="N7656" s="10" t="s">
        <v>42632</v>
      </c>
      <c r="O7656" s="10" t="s">
        <v>950</v>
      </c>
      <c r="P7656" s="10" t="s">
        <v>30089</v>
      </c>
      <c r="Q7656" s="62" t="s">
        <v>42633</v>
      </c>
      <c r="R7656" s="10" t="s">
        <v>94</v>
      </c>
      <c r="S7656" s="10" t="s">
        <v>22</v>
      </c>
      <c r="T7656" s="10" t="s">
        <v>26781</v>
      </c>
      <c r="U7656" s="10"/>
      <c r="V7656" s="10"/>
      <c r="W7656" s="69"/>
      <c r="X7656" s="89"/>
      <c r="Y7656" s="68"/>
      <c r="Z7656" s="68" t="s">
        <v>42968</v>
      </c>
      <c r="AA7656" s="33">
        <v>9</v>
      </c>
      <c r="AG7656" s="68"/>
      <c r="AK7656" s="68"/>
      <c r="AL7656" s="68"/>
      <c r="AM7656" s="68"/>
      <c r="AN7656" s="68"/>
      <c r="AO7656" s="68"/>
      <c r="AP7656" s="68"/>
      <c r="AQ7656" s="68"/>
      <c r="AR7656" s="68"/>
      <c r="AS7656" s="68"/>
      <c r="AT7656" s="68"/>
      <c r="AU7656" s="68"/>
      <c r="AV7656" s="68"/>
      <c r="AW7656" s="68"/>
      <c r="AX7656" s="68"/>
      <c r="AY7656" s="68"/>
      <c r="AZ7656" s="68"/>
      <c r="BA7656" s="68"/>
      <c r="BB7656" s="68"/>
      <c r="BC7656" s="68"/>
      <c r="BD7656" s="68"/>
      <c r="BE7656" s="68"/>
      <c r="BF7656" s="68"/>
      <c r="BG7656" s="68"/>
      <c r="BH7656" s="68"/>
      <c r="BI7656" s="68"/>
      <c r="BJ7656" s="68"/>
      <c r="BK7656" s="68"/>
      <c r="BL7656" s="68"/>
    </row>
    <row r="7657" spans="1:66" ht="12" customHeight="1" x14ac:dyDescent="0.15">
      <c r="A7657" s="33" t="s">
        <v>16905</v>
      </c>
      <c r="B7657" s="33">
        <v>20</v>
      </c>
      <c r="C7657" s="33" t="s">
        <v>14</v>
      </c>
      <c r="D7657" s="33" t="s">
        <v>31</v>
      </c>
      <c r="E7657" s="33" t="s">
        <v>16906</v>
      </c>
      <c r="F7657" s="67">
        <v>41277</v>
      </c>
      <c r="G7657" s="33" t="s">
        <v>22384</v>
      </c>
      <c r="H7657" s="33" t="s">
        <v>1535</v>
      </c>
      <c r="I7657" s="33" t="s">
        <v>39</v>
      </c>
      <c r="J7657" s="33" t="s">
        <v>1536</v>
      </c>
      <c r="K7657" s="33" t="s">
        <v>1537</v>
      </c>
      <c r="L7657" s="33" t="s">
        <v>1538</v>
      </c>
      <c r="M7657" s="33" t="s">
        <v>21</v>
      </c>
      <c r="N7657" s="33" t="s">
        <v>16907</v>
      </c>
      <c r="O7657" s="33" t="s">
        <v>950</v>
      </c>
      <c r="P7657" s="33" t="s">
        <v>30089</v>
      </c>
      <c r="Q7657" s="40" t="s">
        <v>16908</v>
      </c>
      <c r="R7657" s="33" t="s">
        <v>94</v>
      </c>
      <c r="S7657" s="33" t="s">
        <v>12</v>
      </c>
      <c r="T7657" s="1" t="s">
        <v>29705</v>
      </c>
      <c r="Z7657" s="33" t="s">
        <v>42968</v>
      </c>
      <c r="AA7657" s="33">
        <v>10</v>
      </c>
      <c r="BM7657" s="68"/>
      <c r="BN7657" s="68"/>
    </row>
    <row r="7658" spans="1:66" ht="12" customHeight="1" x14ac:dyDescent="0.15">
      <c r="A7658" s="33" t="s">
        <v>16909</v>
      </c>
      <c r="B7658" s="33">
        <v>52</v>
      </c>
      <c r="C7658" s="33" t="s">
        <v>14</v>
      </c>
      <c r="D7658" s="33" t="s">
        <v>24</v>
      </c>
      <c r="F7658" s="67">
        <v>41276</v>
      </c>
      <c r="G7658" s="33" t="s">
        <v>16910</v>
      </c>
      <c r="H7658" s="33" t="s">
        <v>16911</v>
      </c>
      <c r="I7658" s="33" t="s">
        <v>56</v>
      </c>
      <c r="J7658" s="33" t="s">
        <v>16912</v>
      </c>
      <c r="K7658" s="33" t="s">
        <v>3571</v>
      </c>
      <c r="L7658" s="33" t="s">
        <v>242</v>
      </c>
      <c r="M7658" s="33" t="s">
        <v>21</v>
      </c>
      <c r="N7658" s="33" t="s">
        <v>16913</v>
      </c>
      <c r="O7658" s="33" t="s">
        <v>950</v>
      </c>
      <c r="P7658" s="33" t="s">
        <v>30089</v>
      </c>
      <c r="Q7658" s="40" t="s">
        <v>16914</v>
      </c>
      <c r="R7658" s="33" t="s">
        <v>512</v>
      </c>
      <c r="S7658" s="33" t="s">
        <v>22</v>
      </c>
      <c r="T7658" s="1" t="s">
        <v>26781</v>
      </c>
      <c r="Z7658" s="33" t="s">
        <v>42966</v>
      </c>
      <c r="AA7658" s="33">
        <v>7</v>
      </c>
      <c r="BM7658" s="68"/>
      <c r="BN7658" s="68"/>
    </row>
    <row r="7659" spans="1:66" ht="12" customHeight="1" x14ac:dyDescent="0.15">
      <c r="A7659" s="33" t="s">
        <v>16921</v>
      </c>
      <c r="B7659" s="33">
        <v>26</v>
      </c>
      <c r="C7659" s="33" t="s">
        <v>14</v>
      </c>
      <c r="D7659" s="33" t="s">
        <v>42</v>
      </c>
      <c r="E7659" s="33" t="s">
        <v>16922</v>
      </c>
      <c r="F7659" s="67">
        <v>41275</v>
      </c>
      <c r="G7659" s="33" t="s">
        <v>16923</v>
      </c>
      <c r="H7659" s="33" t="s">
        <v>631</v>
      </c>
      <c r="I7659" s="33" t="s">
        <v>39</v>
      </c>
      <c r="J7659" s="33" t="s">
        <v>14379</v>
      </c>
      <c r="K7659" s="33" t="s">
        <v>632</v>
      </c>
      <c r="L7659" s="33" t="s">
        <v>633</v>
      </c>
      <c r="M7659" s="33" t="s">
        <v>21</v>
      </c>
      <c r="N7659" s="33" t="s">
        <v>16924</v>
      </c>
      <c r="O7659" s="33" t="s">
        <v>507</v>
      </c>
      <c r="P7659" s="33" t="s">
        <v>30089</v>
      </c>
      <c r="Q7659" s="40" t="s">
        <v>16925</v>
      </c>
      <c r="R7659" s="33" t="s">
        <v>94</v>
      </c>
      <c r="S7659" s="33" t="s">
        <v>22</v>
      </c>
      <c r="T7659" s="1" t="s">
        <v>26781</v>
      </c>
      <c r="Z7659" s="33" t="s">
        <v>42966</v>
      </c>
      <c r="AA7659" s="33">
        <v>3</v>
      </c>
      <c r="BM7659" s="68"/>
      <c r="BN7659" s="68"/>
    </row>
    <row r="7660" spans="1:66" ht="12" customHeight="1" x14ac:dyDescent="0.15">
      <c r="A7660" s="33" t="s">
        <v>16926</v>
      </c>
      <c r="B7660" s="33">
        <v>49</v>
      </c>
      <c r="C7660" s="33" t="s">
        <v>14</v>
      </c>
      <c r="D7660" s="33" t="s">
        <v>42</v>
      </c>
      <c r="E7660" s="33" t="str">
        <f>HYPERLINK("http://www.tricitytribuneusa.com/wp-content/uploads/Chavez_Mug0642-300x300.jpg","http://www.tricitytribuneusa.com/wp-content/uploads/Chavez_Mug0642-300x300.jpg")</f>
        <v>http://www.tricitytribuneusa.com/wp-content/uploads/Chavez_Mug0642-300x300.jpg</v>
      </c>
      <c r="F7660" s="67">
        <v>41275</v>
      </c>
      <c r="G7660" s="33" t="s">
        <v>16927</v>
      </c>
      <c r="H7660" s="33" t="s">
        <v>11426</v>
      </c>
      <c r="I7660" s="33" t="s">
        <v>178</v>
      </c>
      <c r="J7660" s="33" t="s">
        <v>16498</v>
      </c>
      <c r="K7660" s="33" t="s">
        <v>5263</v>
      </c>
      <c r="L7660" s="33" t="s">
        <v>11428</v>
      </c>
      <c r="M7660" s="33" t="s">
        <v>21</v>
      </c>
      <c r="N7660" s="33" t="s">
        <v>16928</v>
      </c>
      <c r="O7660" s="33" t="s">
        <v>950</v>
      </c>
      <c r="P7660" s="33" t="s">
        <v>30089</v>
      </c>
      <c r="Q7660" s="40" t="s">
        <v>16929</v>
      </c>
      <c r="R7660" s="33" t="s">
        <v>94</v>
      </c>
      <c r="S7660" s="33" t="s">
        <v>22</v>
      </c>
      <c r="T7660" s="1" t="s">
        <v>42971</v>
      </c>
      <c r="Z7660" s="33" t="s">
        <v>42966</v>
      </c>
      <c r="AA7660" s="33">
        <v>1</v>
      </c>
      <c r="BM7660" s="68"/>
      <c r="BN7660" s="68"/>
    </row>
    <row r="7661" spans="1:66" ht="12" customHeight="1" x14ac:dyDescent="0.15">
      <c r="A7661" s="33" t="s">
        <v>16915</v>
      </c>
      <c r="B7661" s="33">
        <v>31</v>
      </c>
      <c r="C7661" s="33" t="s">
        <v>14</v>
      </c>
      <c r="D7661" s="33" t="s">
        <v>79</v>
      </c>
      <c r="E7661" s="33" t="s">
        <v>16916</v>
      </c>
      <c r="F7661" s="67">
        <v>41275</v>
      </c>
      <c r="G7661" s="33" t="s">
        <v>16917</v>
      </c>
      <c r="H7661" s="33" t="s">
        <v>1522</v>
      </c>
      <c r="I7661" s="33" t="s">
        <v>432</v>
      </c>
      <c r="J7661" s="33" t="s">
        <v>16918</v>
      </c>
      <c r="K7661" s="33" t="s">
        <v>882</v>
      </c>
      <c r="L7661" s="33" t="s">
        <v>2101</v>
      </c>
      <c r="M7661" s="33" t="s">
        <v>21</v>
      </c>
      <c r="N7661" s="33" t="s">
        <v>16919</v>
      </c>
      <c r="O7661" s="33" t="s">
        <v>507</v>
      </c>
      <c r="P7661" s="33" t="s">
        <v>30089</v>
      </c>
      <c r="Q7661" s="40" t="s">
        <v>16920</v>
      </c>
      <c r="R7661" s="33" t="s">
        <v>512</v>
      </c>
      <c r="S7661" s="33" t="s">
        <v>22</v>
      </c>
      <c r="T7661" s="1" t="s">
        <v>26781</v>
      </c>
      <c r="Z7661" s="33" t="s">
        <v>42966</v>
      </c>
      <c r="AA7661" s="33">
        <v>2</v>
      </c>
      <c r="BM7661" s="1"/>
      <c r="BN7661" s="1"/>
    </row>
    <row r="7662" spans="1:66" ht="12" customHeight="1" x14ac:dyDescent="0.15">
      <c r="A7662" s="33" t="s">
        <v>16930</v>
      </c>
      <c r="B7662" s="33">
        <v>21</v>
      </c>
      <c r="C7662" s="33" t="s">
        <v>14</v>
      </c>
      <c r="D7662" s="33" t="s">
        <v>42</v>
      </c>
      <c r="E7662" s="33" t="s">
        <v>16931</v>
      </c>
      <c r="F7662" s="67">
        <v>41275</v>
      </c>
      <c r="G7662" s="33" t="s">
        <v>16932</v>
      </c>
      <c r="H7662" s="33" t="s">
        <v>4307</v>
      </c>
      <c r="I7662" s="33" t="s">
        <v>192</v>
      </c>
      <c r="J7662" s="33" t="s">
        <v>16933</v>
      </c>
      <c r="K7662" s="33" t="s">
        <v>4307</v>
      </c>
      <c r="L7662" s="33" t="s">
        <v>4309</v>
      </c>
      <c r="M7662" s="33" t="s">
        <v>21</v>
      </c>
      <c r="N7662" s="33" t="s">
        <v>16934</v>
      </c>
      <c r="O7662" s="33" t="s">
        <v>507</v>
      </c>
      <c r="P7662" s="33" t="s">
        <v>30089</v>
      </c>
      <c r="Q7662" s="40" t="s">
        <v>16935</v>
      </c>
      <c r="R7662" s="33" t="s">
        <v>94</v>
      </c>
      <c r="S7662" s="33" t="s">
        <v>22</v>
      </c>
      <c r="T7662" s="1" t="s">
        <v>26781</v>
      </c>
      <c r="Z7662" s="33" t="s">
        <v>42968</v>
      </c>
      <c r="AA7662" s="33">
        <v>4</v>
      </c>
      <c r="BM7662" s="68"/>
      <c r="BN7662" s="68"/>
    </row>
    <row r="7663" spans="1:66" ht="12" customHeight="1" x14ac:dyDescent="0.15">
      <c r="A7663" s="33" t="s">
        <v>16936</v>
      </c>
      <c r="B7663" s="33">
        <v>21</v>
      </c>
      <c r="C7663" s="33" t="s">
        <v>14</v>
      </c>
      <c r="D7663" s="33" t="s">
        <v>31</v>
      </c>
      <c r="E7663" s="33" t="s">
        <v>16937</v>
      </c>
      <c r="F7663" s="67">
        <v>41275</v>
      </c>
      <c r="G7663" s="33" t="s">
        <v>16938</v>
      </c>
      <c r="H7663" s="33" t="s">
        <v>16620</v>
      </c>
      <c r="I7663" s="33" t="s">
        <v>409</v>
      </c>
      <c r="J7663" s="33" t="s">
        <v>16939</v>
      </c>
      <c r="K7663" s="33" t="s">
        <v>882</v>
      </c>
      <c r="L7663" s="33" t="s">
        <v>1524</v>
      </c>
      <c r="M7663" s="33" t="s">
        <v>21</v>
      </c>
      <c r="N7663" s="33" t="s">
        <v>16940</v>
      </c>
      <c r="O7663" s="33" t="s">
        <v>507</v>
      </c>
      <c r="P7663" s="33" t="s">
        <v>30089</v>
      </c>
      <c r="Q7663" s="40" t="s">
        <v>16941</v>
      </c>
      <c r="R7663" s="33" t="s">
        <v>904</v>
      </c>
      <c r="S7663" s="33" t="s">
        <v>22</v>
      </c>
      <c r="T7663" s="1" t="s">
        <v>26781</v>
      </c>
      <c r="Z7663" s="33" t="s">
        <v>42967</v>
      </c>
      <c r="AA7663" s="33">
        <v>5</v>
      </c>
      <c r="BM7663" s="68"/>
      <c r="BN7663" s="68"/>
    </row>
    <row r="7664" spans="1:66" ht="12" customHeight="1" x14ac:dyDescent="0.15">
      <c r="A7664" s="33" t="s">
        <v>16942</v>
      </c>
      <c r="B7664" s="33">
        <v>26</v>
      </c>
      <c r="C7664" s="33" t="s">
        <v>14</v>
      </c>
      <c r="D7664" s="33" t="s">
        <v>31</v>
      </c>
      <c r="E7664" s="33" t="s">
        <v>16943</v>
      </c>
      <c r="F7664" s="67">
        <v>41275</v>
      </c>
      <c r="G7664" s="33" t="s">
        <v>16944</v>
      </c>
      <c r="H7664" s="33" t="s">
        <v>16602</v>
      </c>
      <c r="I7664" s="33" t="s">
        <v>122</v>
      </c>
      <c r="J7664" s="33" t="s">
        <v>16945</v>
      </c>
      <c r="K7664" s="33" t="s">
        <v>16946</v>
      </c>
      <c r="L7664" s="33" t="s">
        <v>16947</v>
      </c>
      <c r="M7664" s="33" t="s">
        <v>363</v>
      </c>
      <c r="N7664" s="33" t="s">
        <v>16948</v>
      </c>
      <c r="O7664" s="33" t="s">
        <v>950</v>
      </c>
      <c r="P7664" s="33" t="s">
        <v>30089</v>
      </c>
      <c r="Q7664" s="40" t="s">
        <v>16949</v>
      </c>
      <c r="R7664" s="33" t="s">
        <v>94</v>
      </c>
      <c r="S7664" s="33" t="s">
        <v>12</v>
      </c>
      <c r="T7664" s="1" t="s">
        <v>29705</v>
      </c>
      <c r="Z7664" s="33" t="s">
        <v>42968</v>
      </c>
      <c r="AA7664" s="33">
        <v>6</v>
      </c>
      <c r="BM7664" s="68"/>
      <c r="BN7664" s="68"/>
    </row>
    <row r="7665" spans="1:21" ht="12" customHeight="1" x14ac:dyDescent="0.15">
      <c r="A7665" s="10"/>
      <c r="C7665" s="10"/>
      <c r="D7665" s="10"/>
      <c r="G7665" s="10"/>
      <c r="H7665" s="10"/>
      <c r="I7665" s="10"/>
      <c r="L7665" s="10"/>
      <c r="M7665" s="10"/>
      <c r="O7665" s="10"/>
      <c r="P7665" s="10"/>
      <c r="Q7665" s="35"/>
      <c r="R7665" s="10"/>
      <c r="S7665" s="63"/>
      <c r="T7665" s="34"/>
      <c r="U7665" s="34"/>
    </row>
    <row r="7666" spans="1:21" ht="12" customHeight="1" x14ac:dyDescent="0.15"/>
    <row r="7667" spans="1:21" ht="12" customHeight="1" x14ac:dyDescent="0.15"/>
    <row r="7668" spans="1:21" ht="12" customHeight="1" x14ac:dyDescent="0.15"/>
    <row r="7669" spans="1:21" ht="12" customHeight="1" x14ac:dyDescent="0.15"/>
    <row r="7670" spans="1:21" ht="12" customHeight="1" x14ac:dyDescent="0.15"/>
    <row r="7671" spans="1:21" ht="12" customHeight="1" x14ac:dyDescent="0.15"/>
    <row r="7672" spans="1:21" ht="12" customHeight="1" x14ac:dyDescent="0.15"/>
    <row r="7673" spans="1:21" ht="12" customHeight="1" x14ac:dyDescent="0.15"/>
    <row r="7674" spans="1:21" ht="12" customHeight="1" x14ac:dyDescent="0.15"/>
    <row r="7675" spans="1:21" ht="12" customHeight="1" x14ac:dyDescent="0.15"/>
    <row r="7676" spans="1:21" ht="12" customHeight="1" x14ac:dyDescent="0.15"/>
    <row r="7677" spans="1:21" ht="12" customHeight="1" x14ac:dyDescent="0.15"/>
    <row r="7678" spans="1:21" ht="12" customHeight="1" x14ac:dyDescent="0.15"/>
    <row r="7679" spans="1:21" ht="12" customHeight="1" x14ac:dyDescent="0.15"/>
    <row r="7680" spans="1:21" ht="12" customHeight="1" x14ac:dyDescent="0.15"/>
    <row r="7681" ht="12" customHeight="1" x14ac:dyDescent="0.15"/>
    <row r="7682" ht="12" customHeight="1" x14ac:dyDescent="0.15"/>
    <row r="7683" ht="12" customHeight="1" x14ac:dyDescent="0.15"/>
    <row r="7684" ht="12" customHeight="1" x14ac:dyDescent="0.15"/>
    <row r="7685" ht="12" customHeight="1" x14ac:dyDescent="0.15"/>
    <row r="7686" ht="12" customHeight="1" x14ac:dyDescent="0.15"/>
    <row r="7687" ht="12" customHeight="1" x14ac:dyDescent="0.15"/>
    <row r="7688" ht="12" customHeight="1" x14ac:dyDescent="0.15"/>
    <row r="7689" ht="12" customHeight="1" x14ac:dyDescent="0.15"/>
    <row r="7690" ht="12" customHeight="1" x14ac:dyDescent="0.15"/>
    <row r="7691" ht="12" customHeight="1" x14ac:dyDescent="0.15"/>
    <row r="7692" ht="12" customHeight="1" x14ac:dyDescent="0.15"/>
    <row r="7693" ht="12" customHeight="1" x14ac:dyDescent="0.15"/>
    <row r="7694" ht="12" customHeight="1" x14ac:dyDescent="0.15"/>
    <row r="7695" ht="12" customHeight="1" x14ac:dyDescent="0.15"/>
    <row r="7696" ht="12" customHeight="1" x14ac:dyDescent="0.15"/>
    <row r="7697" ht="12" customHeight="1" x14ac:dyDescent="0.15"/>
    <row r="7698" ht="12" customHeight="1" x14ac:dyDescent="0.15"/>
    <row r="7699" ht="12" customHeight="1" x14ac:dyDescent="0.15"/>
    <row r="7700" ht="12" customHeight="1" x14ac:dyDescent="0.15"/>
    <row r="7701" ht="12" customHeight="1" x14ac:dyDescent="0.15"/>
    <row r="7702" ht="12" customHeight="1" x14ac:dyDescent="0.15"/>
    <row r="7703" ht="12" customHeight="1" x14ac:dyDescent="0.15"/>
    <row r="7704" ht="12" customHeight="1" x14ac:dyDescent="0.15"/>
    <row r="7705" ht="12" customHeight="1" x14ac:dyDescent="0.15"/>
    <row r="7706" ht="12" customHeight="1" x14ac:dyDescent="0.15"/>
    <row r="7707" ht="12" customHeight="1" x14ac:dyDescent="0.15"/>
    <row r="7708" ht="12" customHeight="1" x14ac:dyDescent="0.15"/>
    <row r="7709" ht="12" customHeight="1" x14ac:dyDescent="0.15"/>
    <row r="7710" ht="12" customHeight="1" x14ac:dyDescent="0.15"/>
    <row r="7711" ht="12" customHeight="1" x14ac:dyDescent="0.15"/>
    <row r="7712" ht="12" customHeight="1" x14ac:dyDescent="0.15"/>
    <row r="7713" ht="12" customHeight="1" x14ac:dyDescent="0.15"/>
    <row r="7714" ht="12" customHeight="1" x14ac:dyDescent="0.15"/>
    <row r="7715" ht="12" customHeight="1" x14ac:dyDescent="0.15"/>
    <row r="7716" ht="12" customHeight="1" x14ac:dyDescent="0.15"/>
    <row r="7717" ht="12" customHeight="1" x14ac:dyDescent="0.15"/>
    <row r="7718" ht="12" customHeight="1" x14ac:dyDescent="0.15"/>
    <row r="7719" ht="12" customHeight="1" x14ac:dyDescent="0.15"/>
    <row r="7720" ht="12" customHeight="1" x14ac:dyDescent="0.15"/>
    <row r="7721" ht="12" customHeight="1" x14ac:dyDescent="0.15"/>
    <row r="7722" ht="12" customHeight="1" x14ac:dyDescent="0.15"/>
    <row r="7723" ht="12" customHeight="1" x14ac:dyDescent="0.15"/>
    <row r="7724" ht="12" customHeight="1" x14ac:dyDescent="0.15"/>
    <row r="7725" ht="12" customHeight="1" x14ac:dyDescent="0.15"/>
    <row r="7726" ht="12" customHeight="1" x14ac:dyDescent="0.15"/>
    <row r="7727" ht="12" customHeight="1" x14ac:dyDescent="0.15"/>
    <row r="7728" ht="12" customHeight="1" x14ac:dyDescent="0.15"/>
    <row r="7729" ht="12" customHeight="1" x14ac:dyDescent="0.15"/>
    <row r="7730" ht="12" customHeight="1" x14ac:dyDescent="0.15"/>
    <row r="7731" ht="12" customHeight="1" x14ac:dyDescent="0.15"/>
    <row r="7732" ht="12" customHeight="1" x14ac:dyDescent="0.15"/>
    <row r="7733" ht="12" customHeight="1" x14ac:dyDescent="0.15"/>
    <row r="7734" ht="12" customHeight="1" x14ac:dyDescent="0.15"/>
    <row r="7735" ht="12" customHeight="1" x14ac:dyDescent="0.15"/>
    <row r="7736" ht="12" customHeight="1" x14ac:dyDescent="0.15"/>
    <row r="7737" ht="12" customHeight="1" x14ac:dyDescent="0.15"/>
    <row r="7738" ht="12" customHeight="1" x14ac:dyDescent="0.15"/>
    <row r="7739" ht="12" customHeight="1" x14ac:dyDescent="0.15"/>
    <row r="7740" ht="12" customHeight="1" x14ac:dyDescent="0.15"/>
    <row r="7741" ht="12" customHeight="1" x14ac:dyDescent="0.15"/>
    <row r="7742" ht="12" customHeight="1" x14ac:dyDescent="0.15"/>
    <row r="7743" ht="12" customHeight="1" x14ac:dyDescent="0.15"/>
    <row r="7744" ht="12" customHeight="1" x14ac:dyDescent="0.15"/>
    <row r="7745" ht="12" customHeight="1" x14ac:dyDescent="0.15"/>
    <row r="7746" ht="12" customHeight="1" x14ac:dyDescent="0.15"/>
    <row r="7747" ht="12" customHeight="1" x14ac:dyDescent="0.15"/>
    <row r="7748" ht="12" customHeight="1" x14ac:dyDescent="0.15"/>
    <row r="7749" ht="12" customHeight="1" x14ac:dyDescent="0.15"/>
    <row r="7750" ht="12" customHeight="1" x14ac:dyDescent="0.15"/>
    <row r="7751" ht="12" customHeight="1" x14ac:dyDescent="0.15"/>
    <row r="7752" ht="12" customHeight="1" x14ac:dyDescent="0.15"/>
    <row r="7753" ht="12" customHeight="1" x14ac:dyDescent="0.15"/>
    <row r="7754" ht="12" customHeight="1" x14ac:dyDescent="0.15"/>
    <row r="7755" ht="12" customHeight="1" x14ac:dyDescent="0.15"/>
    <row r="7756" ht="12" customHeight="1" x14ac:dyDescent="0.15"/>
    <row r="7757" ht="12" customHeight="1" x14ac:dyDescent="0.15"/>
    <row r="7758" ht="12" customHeight="1" x14ac:dyDescent="0.15"/>
    <row r="7759" ht="12" customHeight="1" x14ac:dyDescent="0.15"/>
    <row r="7760" ht="12" customHeight="1" x14ac:dyDescent="0.15"/>
    <row r="7761" ht="12" customHeight="1" x14ac:dyDescent="0.15"/>
    <row r="7762" ht="12" customHeight="1" x14ac:dyDescent="0.15"/>
    <row r="7763" ht="12" customHeight="1" x14ac:dyDescent="0.15"/>
    <row r="7764" ht="12" customHeight="1" x14ac:dyDescent="0.15"/>
    <row r="7765" ht="12" customHeight="1" x14ac:dyDescent="0.15"/>
    <row r="7766" ht="12" customHeight="1" x14ac:dyDescent="0.15"/>
    <row r="7767" ht="12" customHeight="1" x14ac:dyDescent="0.15"/>
    <row r="7768" ht="12" customHeight="1" x14ac:dyDescent="0.15"/>
    <row r="7769" ht="12" customHeight="1" x14ac:dyDescent="0.15"/>
    <row r="7770" ht="12" customHeight="1" x14ac:dyDescent="0.15"/>
    <row r="7771" ht="12" customHeight="1" x14ac:dyDescent="0.15"/>
    <row r="7772" ht="12" customHeight="1" x14ac:dyDescent="0.15"/>
    <row r="7773" ht="12" customHeight="1" x14ac:dyDescent="0.15"/>
    <row r="7774" ht="12" customHeight="1" x14ac:dyDescent="0.15"/>
    <row r="7775" ht="12" customHeight="1" x14ac:dyDescent="0.15"/>
    <row r="7776" ht="12" customHeight="1" x14ac:dyDescent="0.15"/>
    <row r="7777" ht="12" customHeight="1" x14ac:dyDescent="0.15"/>
    <row r="7778" ht="12" customHeight="1" x14ac:dyDescent="0.15"/>
    <row r="7779" ht="12" customHeight="1" x14ac:dyDescent="0.15"/>
    <row r="7780" ht="12" customHeight="1" x14ac:dyDescent="0.15"/>
    <row r="7781" ht="12" customHeight="1" x14ac:dyDescent="0.15"/>
    <row r="7782" ht="12" customHeight="1" x14ac:dyDescent="0.15"/>
    <row r="7783" ht="12" customHeight="1" x14ac:dyDescent="0.15"/>
    <row r="7784" ht="12" customHeight="1" x14ac:dyDescent="0.15"/>
    <row r="7785" ht="12" customHeight="1" x14ac:dyDescent="0.15"/>
    <row r="7786" ht="12" customHeight="1" x14ac:dyDescent="0.15"/>
    <row r="7787" ht="12" customHeight="1" x14ac:dyDescent="0.15"/>
    <row r="7788" ht="12" customHeight="1" x14ac:dyDescent="0.15"/>
    <row r="7789" ht="12" customHeight="1" x14ac:dyDescent="0.15"/>
    <row r="7790" ht="12" customHeight="1" x14ac:dyDescent="0.15"/>
    <row r="7791" ht="12" customHeight="1" x14ac:dyDescent="0.15"/>
    <row r="7792" ht="12" customHeight="1" x14ac:dyDescent="0.15"/>
    <row r="7793" ht="12" customHeight="1" x14ac:dyDescent="0.15"/>
    <row r="7794" ht="12" customHeight="1" x14ac:dyDescent="0.15"/>
    <row r="7795" ht="12" customHeight="1" x14ac:dyDescent="0.15"/>
    <row r="7796" ht="12" customHeight="1" x14ac:dyDescent="0.15"/>
    <row r="7797" ht="12" customHeight="1" x14ac:dyDescent="0.15"/>
    <row r="7798" ht="12" customHeight="1" x14ac:dyDescent="0.15"/>
    <row r="7799" ht="12" customHeight="1" x14ac:dyDescent="0.15"/>
    <row r="7800" ht="12" customHeight="1" x14ac:dyDescent="0.15"/>
    <row r="7801" ht="12" customHeight="1" x14ac:dyDescent="0.15"/>
    <row r="7802" ht="12" customHeight="1" x14ac:dyDescent="0.15"/>
    <row r="7803" ht="12" customHeight="1" x14ac:dyDescent="0.15"/>
    <row r="7804" ht="12" customHeight="1" x14ac:dyDescent="0.15"/>
    <row r="7805" ht="12" customHeight="1" x14ac:dyDescent="0.15"/>
    <row r="7806" ht="12" customHeight="1" x14ac:dyDescent="0.15"/>
    <row r="7807" ht="12" customHeight="1" x14ac:dyDescent="0.15"/>
    <row r="7808" ht="12" customHeight="1" x14ac:dyDescent="0.15"/>
    <row r="7809" ht="12" customHeight="1" x14ac:dyDescent="0.15"/>
    <row r="7810" ht="12" customHeight="1" x14ac:dyDescent="0.15"/>
    <row r="7811" ht="12" customHeight="1" x14ac:dyDescent="0.15"/>
    <row r="7812" ht="12" customHeight="1" x14ac:dyDescent="0.15"/>
    <row r="7813" ht="12" customHeight="1" x14ac:dyDescent="0.15"/>
    <row r="7814" ht="12" customHeight="1" x14ac:dyDescent="0.15"/>
    <row r="7815" ht="12" customHeight="1" x14ac:dyDescent="0.15"/>
    <row r="7816" ht="12" customHeight="1" x14ac:dyDescent="0.15"/>
    <row r="7817" ht="12" customHeight="1" x14ac:dyDescent="0.15"/>
    <row r="7818" ht="12" customHeight="1" x14ac:dyDescent="0.15"/>
    <row r="7819" ht="12" customHeight="1" x14ac:dyDescent="0.15"/>
    <row r="7820" ht="12" customHeight="1" x14ac:dyDescent="0.15"/>
    <row r="7821" ht="12" customHeight="1" x14ac:dyDescent="0.15"/>
    <row r="7822" ht="12" customHeight="1" x14ac:dyDescent="0.15"/>
    <row r="7823" ht="12" customHeight="1" x14ac:dyDescent="0.15"/>
    <row r="7824" ht="12" customHeight="1" x14ac:dyDescent="0.15"/>
    <row r="7825" ht="12" customHeight="1" x14ac:dyDescent="0.15"/>
    <row r="7826" ht="12" customHeight="1" x14ac:dyDescent="0.15"/>
    <row r="7827" ht="12" customHeight="1" x14ac:dyDescent="0.15"/>
    <row r="7828" ht="12" customHeight="1" x14ac:dyDescent="0.15"/>
    <row r="7829" ht="12" customHeight="1" x14ac:dyDescent="0.15"/>
    <row r="7830" ht="12" customHeight="1" x14ac:dyDescent="0.15"/>
    <row r="7831" ht="12" customHeight="1" x14ac:dyDescent="0.15"/>
    <row r="7832" ht="12" customHeight="1" x14ac:dyDescent="0.15"/>
    <row r="7833" ht="12" customHeight="1" x14ac:dyDescent="0.15"/>
    <row r="7834" ht="12" customHeight="1" x14ac:dyDescent="0.15"/>
    <row r="7835" ht="12" customHeight="1" x14ac:dyDescent="0.15"/>
    <row r="7836" ht="12" customHeight="1" x14ac:dyDescent="0.15"/>
    <row r="7837" ht="12" customHeight="1" x14ac:dyDescent="0.15"/>
    <row r="7838" ht="12" customHeight="1" x14ac:dyDescent="0.15"/>
    <row r="7839" ht="12" customHeight="1" x14ac:dyDescent="0.15"/>
    <row r="7840" ht="12" customHeight="1" x14ac:dyDescent="0.15"/>
    <row r="7841" ht="12" customHeight="1" x14ac:dyDescent="0.15"/>
    <row r="7842" ht="12" customHeight="1" x14ac:dyDescent="0.15"/>
    <row r="7843" ht="12" customHeight="1" x14ac:dyDescent="0.15"/>
    <row r="7844" ht="12" customHeight="1" x14ac:dyDescent="0.15"/>
    <row r="7845" ht="12" customHeight="1" x14ac:dyDescent="0.15"/>
    <row r="7846" ht="12" customHeight="1" x14ac:dyDescent="0.15"/>
    <row r="7847" ht="12" customHeight="1" x14ac:dyDescent="0.15"/>
    <row r="7848" ht="12" customHeight="1" x14ac:dyDescent="0.15"/>
    <row r="7849" ht="12" customHeight="1" x14ac:dyDescent="0.15"/>
    <row r="7850" ht="12" customHeight="1" x14ac:dyDescent="0.15"/>
    <row r="7851" ht="12" customHeight="1" x14ac:dyDescent="0.15"/>
    <row r="7852" ht="12" customHeight="1" x14ac:dyDescent="0.15"/>
    <row r="7853" ht="12" customHeight="1" x14ac:dyDescent="0.15"/>
    <row r="7854" ht="12" customHeight="1" x14ac:dyDescent="0.15"/>
    <row r="7855" ht="12" customHeight="1" x14ac:dyDescent="0.15"/>
    <row r="7856" ht="12" customHeight="1" x14ac:dyDescent="0.15"/>
    <row r="7857" ht="12" customHeight="1" x14ac:dyDescent="0.15"/>
    <row r="7858" ht="12" customHeight="1" x14ac:dyDescent="0.15"/>
    <row r="7859" ht="12" customHeight="1" x14ac:dyDescent="0.15"/>
    <row r="7860" ht="12" customHeight="1" x14ac:dyDescent="0.15"/>
    <row r="7861" ht="12" customHeight="1" x14ac:dyDescent="0.15"/>
    <row r="7862" ht="12" customHeight="1" x14ac:dyDescent="0.15"/>
    <row r="7863" ht="12" customHeight="1" x14ac:dyDescent="0.15"/>
    <row r="7864" ht="12" customHeight="1" x14ac:dyDescent="0.15"/>
    <row r="7865" ht="12" customHeight="1" x14ac:dyDescent="0.15"/>
    <row r="7866" ht="12" customHeight="1" x14ac:dyDescent="0.15"/>
    <row r="7867" ht="12" customHeight="1" x14ac:dyDescent="0.15"/>
    <row r="7868" ht="12" customHeight="1" x14ac:dyDescent="0.15"/>
    <row r="7869" ht="12" customHeight="1" x14ac:dyDescent="0.15"/>
    <row r="7870" ht="12" customHeight="1" x14ac:dyDescent="0.15"/>
    <row r="7871" ht="12" customHeight="1" x14ac:dyDescent="0.15"/>
    <row r="7872" ht="12" customHeight="1" x14ac:dyDescent="0.15"/>
    <row r="7873" ht="12" customHeight="1" x14ac:dyDescent="0.15"/>
    <row r="7874" ht="12" customHeight="1" x14ac:dyDescent="0.15"/>
    <row r="7875" ht="12" customHeight="1" x14ac:dyDescent="0.15"/>
    <row r="7876" ht="12" customHeight="1" x14ac:dyDescent="0.15"/>
    <row r="7877" ht="12" customHeight="1" x14ac:dyDescent="0.15"/>
    <row r="7878" ht="12" customHeight="1" x14ac:dyDescent="0.15"/>
    <row r="7879" ht="12" customHeight="1" x14ac:dyDescent="0.15"/>
    <row r="7880" ht="12" customHeight="1" x14ac:dyDescent="0.15"/>
    <row r="7881" ht="12" customHeight="1" x14ac:dyDescent="0.15"/>
    <row r="7882" ht="12" customHeight="1" x14ac:dyDescent="0.15"/>
    <row r="7883" ht="12" customHeight="1" x14ac:dyDescent="0.15"/>
    <row r="7884" ht="12" customHeight="1" x14ac:dyDescent="0.15"/>
    <row r="7885" ht="12" customHeight="1" x14ac:dyDescent="0.15"/>
    <row r="7886" ht="12" customHeight="1" x14ac:dyDescent="0.15"/>
    <row r="7887" ht="12" customHeight="1" x14ac:dyDescent="0.15"/>
    <row r="7888" ht="12" customHeight="1" x14ac:dyDescent="0.15"/>
    <row r="7889" ht="12" customHeight="1" x14ac:dyDescent="0.15"/>
    <row r="7890" ht="12" customHeight="1" x14ac:dyDescent="0.15"/>
    <row r="7891" ht="12" customHeight="1" x14ac:dyDescent="0.15"/>
    <row r="7892" ht="12" customHeight="1" x14ac:dyDescent="0.15"/>
    <row r="7893" ht="12" customHeight="1" x14ac:dyDescent="0.15"/>
    <row r="7894" ht="12" customHeight="1" x14ac:dyDescent="0.15"/>
    <row r="7895" ht="12" customHeight="1" x14ac:dyDescent="0.15"/>
    <row r="7896" ht="12" customHeight="1" x14ac:dyDescent="0.15"/>
    <row r="7897" ht="12" customHeight="1" x14ac:dyDescent="0.15"/>
    <row r="7898" ht="12" customHeight="1" x14ac:dyDescent="0.15"/>
    <row r="7899" ht="12" customHeight="1" x14ac:dyDescent="0.15"/>
    <row r="7900" ht="12" customHeight="1" x14ac:dyDescent="0.15"/>
    <row r="7901" ht="12" customHeight="1" x14ac:dyDescent="0.15"/>
    <row r="7902" ht="12" customHeight="1" x14ac:dyDescent="0.15"/>
    <row r="7903" ht="12" customHeight="1" x14ac:dyDescent="0.15"/>
    <row r="7904" ht="12" customHeight="1" x14ac:dyDescent="0.15"/>
    <row r="7905" ht="12" customHeight="1" x14ac:dyDescent="0.15"/>
    <row r="7906" ht="12" customHeight="1" x14ac:dyDescent="0.15"/>
    <row r="7908" ht="12" customHeight="1" x14ac:dyDescent="0.15"/>
  </sheetData>
  <sortState xmlns:xlrd2="http://schemas.microsoft.com/office/spreadsheetml/2017/richdata2" ref="A2:BN7910">
    <sortCondition descending="1" ref="F2:F7910"/>
    <sortCondition ref="Q2:Q7910"/>
    <sortCondition ref="A2:A7910"/>
    <sortCondition ref="B2:B7910"/>
    <sortCondition ref="X2:X7910"/>
  </sortState>
  <conditionalFormatting sqref="AD336:AD1048576 AD1:AD334">
    <cfRule type="duplicateValues" dxfId="1" priority="2"/>
  </conditionalFormatting>
  <conditionalFormatting sqref="AB1:AB1048576">
    <cfRule type="duplicateValues" dxfId="0" priority="1"/>
  </conditionalFormatting>
  <hyperlinks>
    <hyperlink ref="E4661" r:id="rId1" xr:uid="{01C044F3-1648-2642-A53D-9D7731B03B13}"/>
    <hyperlink ref="E4667" r:id="rId2" xr:uid="{D5ABB170-6477-1F48-B848-BEDC6EB876A9}"/>
    <hyperlink ref="E4670" r:id="rId3" xr:uid="{3AAE1BEA-0BDB-3E40-9972-61166C1F0355}"/>
    <hyperlink ref="E4666" r:id="rId4" xr:uid="{741EF933-663B-6C48-AAE1-E4B4D1C7F3FA}"/>
    <hyperlink ref="E4675" r:id="rId5" xr:uid="{6B9E108E-914B-CE47-BE94-BA91CDCA3AB8}"/>
    <hyperlink ref="E4679" r:id="rId6" xr:uid="{801228A4-5E0A-894E-8FFE-972DAC2AD5A3}"/>
    <hyperlink ref="Q4683" r:id="rId7" xr:uid="{1794E350-9D7B-4541-8CC9-6B756E5B7964}"/>
    <hyperlink ref="E4682" r:id="rId8" xr:uid="{87C03207-58AF-834C-AEE1-CCCE9FE71C94}"/>
    <hyperlink ref="E4687" r:id="rId9" xr:uid="{F00332C5-35EC-8746-BFBE-208D41D77F1A}"/>
    <hyperlink ref="E4686" r:id="rId10" xr:uid="{27867BD9-9C37-5C43-AE62-56B4CDE1DA2A}"/>
    <hyperlink ref="Q4730" r:id="rId11" display="http://www.local10.com/news/man-killed-in-policeinvolved-shooting-in-sw-miamidade/35298042" xr:uid="{FF732399-C2C7-6B47-902E-10C5CC28DD71}"/>
    <hyperlink ref="Q4733" r:id="rId12" display="http://www.vvng.com/barstow-man-killed-in-officer-involved-shooting/" xr:uid="{78BA1240-C2DC-8B4E-9EC8-AED5138F7D4F}"/>
    <hyperlink ref="Q4727" r:id="rId13" display="http://abc7.com/news/suspect-killed-in-panorama-city-officer-involved-shooting/986303/" xr:uid="{4E118910-6B1D-6B4F-B5EC-0B9F39779391}"/>
    <hyperlink ref="Q4734" r:id="rId14" display="http://www.kwwl.com/story/30019391/2015/09/13/officer-involved-shooting-near-wellman-leaves-one-person-dead" xr:uid="{6396224F-F56B-FD40-8546-51A56747FAE2}"/>
    <hyperlink ref="Q4736" r:id="rId15" display="http://www.tylerpaper.com/TP-Breaking+Silent/224089/jeffrey-brooks-fugitive-shot-and-killed-by-law-enforcement-officers-near-clute" xr:uid="{AB4565A0-E904-274C-8A3E-B924D793911E}"/>
    <hyperlink ref="Q4752" r:id="rId16" display="http://wreg.com/2015/09/24/paris-police-officer-charged-for-murdering-his-own-son/" xr:uid="{25E01448-7247-CE49-89DD-FBF9E5164461}"/>
    <hyperlink ref="Q4782" r:id="rId17" display="http://www.kltv.com/story/29931923/man-shot-by-longview-officer-dies" xr:uid="{D2BC51C5-8140-7B44-A54E-B73CB4E33CE6}"/>
    <hyperlink ref="E4877" r:id="rId18" display="http://www.killedbypolice.net/victims/150680.jpg" xr:uid="{858E961F-8B7D-DC46-8C03-67667ECD78B7}"/>
    <hyperlink ref="E4881" r:id="rId19" display="http://www.star-telegram.com/news/local/community/fort-worth/rat54p/picture29706625/ALTERNATES/FREE_640/Flip Vallejo" xr:uid="{A793D1C0-8BD4-4E4A-8DE1-A17547BDBF42}"/>
    <hyperlink ref="E4879" r:id="rId20" display="http://media.graytvinc.com/images/Mark+Perkins.jpg" xr:uid="{D094FC7D-417D-E440-B3BA-48130567E04F}"/>
    <hyperlink ref="E4882" r:id="rId21" display="http://media.masslive.com/mass_river_worcester_news/photo/screen-shot-2015-07-30-at-14303-pmpng-3c8d20217be5ac12.png" xr:uid="{7E9229FB-8343-6143-9D5C-F78E345A6B0F}"/>
    <hyperlink ref="E4880" r:id="rId22" display="http://www.killedbypolice.net/victims/150676.jpg" xr:uid="{9B1ABDFD-E6E6-5647-A871-253D64807962}"/>
    <hyperlink ref="E4885" r:id="rId23" display="http://bloximages.chicago2.vip.townnews.com/news.hjnews.com/content/tncms/assets/v3/editorial/c/a4/ca4f81e2-cf7d-5033-933f-f993eb1d4c29/55ba527445ee0.image.jpg" xr:uid="{A133D91C-73AA-3D45-B5F1-85834BBF2B7D}"/>
    <hyperlink ref="E4889" r:id="rId24" display="http://images1.westword.com/imager/u/745xauto/6970529/sam.forgy.portrait.800.cropped.jpg" xr:uid="{27F0CE05-BD9F-0545-875B-F202034C5D87}"/>
    <hyperlink ref="Q4889" r:id="rId25" display="http://www.thedenverchannel.com/news/local-news/naked-man-shot-and-killed-by-boulder-police-was-reportedly-high-on-lsd" xr:uid="{20C3BBD7-DEBB-D640-8465-EE514F8917E8}"/>
    <hyperlink ref="E4888" r:id="rId26" display="http://bayoutimelive.com/wp-content/uploads/2013/04/Jean-P.-Falgout.jpg" xr:uid="{ABB9A95E-6DAC-DB42-964F-030EEB65438D}"/>
    <hyperlink ref="Q4888" r:id="rId27" display="http://www.houmatoday.com/article/20150728/ARTICLES/150729727/1319?p=1&amp;tc=pg" xr:uid="{1D733D78-8508-E64E-A86C-2403DEFB5CCD}"/>
    <hyperlink ref="Q4890" r:id="rId28" display="http://www.wistv.com/story/29644189/sled-investigating-deputy-involved-shooting-in-lexington-county" xr:uid="{0D30D02B-CCC1-6548-94CF-FD3AA22FAC71}"/>
    <hyperlink ref="E4891" r:id="rId29" display="http://www.independent.co.uk/incoming/article10446695.ece/alternates/w620/Zach-hammond.jpg" xr:uid="{47788339-364B-9746-B161-D3E7AFE848D7}"/>
    <hyperlink ref="Q4891" r:id="rId30" display="http://www.independentmail.com/news/man-killed-by-seneca-police-officer" xr:uid="{D804975B-5C9D-574B-8DC6-151CA6895836}"/>
    <hyperlink ref="Q4896" r:id="rId31" display="http://www.walb.com/story/29631891/1-dead-after-officer-involved-shooting-in-decatur-co" xr:uid="{D0394B6E-8D2E-8A4C-B694-22DDE131F3D5}"/>
    <hyperlink ref="Q4894" r:id="rId32" location="incart_river" display="http://www.nola.com/crime/index.ssf/2015/07/breaking_new_orleans_police_sh.html - incart_river" xr:uid="{31D6E6DC-4218-654F-B49E-CEDA4E55884D}"/>
    <hyperlink ref="E4897" r:id="rId33" display="http://cdn.abclocal.go.com/content/kabc/images/cms/889902_1280x720.jpg" xr:uid="{5BD19347-1CB6-A648-8475-07F071184FDA}"/>
    <hyperlink ref="Q4897" r:id="rId34" display="http://www.latimes.com/local/lanow/la-me-ln-report-of-gunman-opening-fire-bring-lapd-swarm-in-studio-city-20150724-story.html" xr:uid="{F6201095-96A3-F748-AE4A-E4AD5BAF5FF1}"/>
    <hyperlink ref="E4912" r:id="rId35" display="http://www.killedbypolice.net/victims/150642.jpg" xr:uid="{7D7228F3-6936-B647-9054-7C873734AAF2}"/>
    <hyperlink ref="Q4920" r:id="rId36" display="http://www.visaliatimesdelta.com/story/news/local/2015/07/22/single-bullet-killed-farmersville-man/30501679/" xr:uid="{9AEF1476-1494-7E48-9C85-27482AB13E7C}"/>
    <hyperlink ref="Q4916" r:id="rId37" display="http://www.azcentral.com/story/news/local/phoenix/2015/07/18/west-phoenix-fatal-officer-involved-shooting-abrk/30349421/" xr:uid="{ABF9939C-D919-F04B-8B4C-0E228063EAC2}"/>
    <hyperlink ref="Q4919" r:id="rId38" display="http://www.thedenverchannel.com/news/local-news/man-dead-shot-by-fort-collins-officers-after-suspect-tried-to-attack-them-with-knife" xr:uid="{8D0F8D37-EE3B-8C4A-95B2-1FE60E23EB2C}"/>
    <hyperlink ref="Q4917" r:id="rId39" display="http://www.kake.com/home/headlines/KBI-investigating-officer-involved-shooting-in-northwest-Kansas-316960821.html" xr:uid="{F7C4C6ED-BBAC-FB48-9EBE-63D49385E93D}"/>
    <hyperlink ref="Q4921" r:id="rId40" display="http://www.click2houston.com/news/hpd-investigating-after-possible-incustody-death-in-southeast-houston/34238632" xr:uid="{84F88CCB-B955-9243-AD46-F35A096D96CE}"/>
    <hyperlink ref="Q4924" r:id="rId41" display="http://www.sbsun.com/general-news/20150718/sheriffs-deputies-shoot-kill-highland-man-in-needles" xr:uid="{C73BBE48-ED68-3949-BE69-C7344A7F155B}"/>
    <hyperlink ref="Q4927" r:id="rId42" display="http://www.cnn.com/2015/07/17/us/tennessee-shooter-mohammad-youssuf-abdulazeez/" xr:uid="{CE574722-A6DB-C946-B398-612E2930734C}"/>
    <hyperlink ref="E4931" r:id="rId43" display="https://localtvwiti.files.wordpress.com/2015/07/antonio-gonzales2.jpeg" xr:uid="{9DACF17F-52FB-AB40-BB79-87E9CF41C95E}"/>
    <hyperlink ref="Q4931" r:id="rId44" display="http://www.nbc15.com/home/headlines/Reports-of-shooting-in-Monroe-318229761.html" xr:uid="{B0FD0A56-0195-D844-97EB-9B8F54FE73B5}"/>
    <hyperlink ref="E4926" r:id="rId45" display="http://media.graytvinc.com/images/saige+hack+2.jpg" xr:uid="{F2F199A8-ACF8-2645-846A-6E2238051C7C}"/>
    <hyperlink ref="Q4926" r:id="rId46" display="http://trib.com/news/local/crime-and-courts/authorities-identify-man-killed-in-law-enforcement-shooting/article_6d603afc-e1e5-5d5c-a156-708cc4078263.html" xr:uid="{2581DF2B-7A12-DF4F-8C77-8C12CA46352C}"/>
    <hyperlink ref="Q4930" r:id="rId47" display="http://www.myfoxal.com/story/29566625/man-in-opp-officer-involved-shooting-dies" xr:uid="{C90F1DC1-2355-1C4F-A7A6-E4E7D9E369F1}"/>
    <hyperlink ref="Q4936" r:id="rId48" display="http://homicide.latimes.com/post/jason-charles-davis/" xr:uid="{C3D76966-9FE9-5648-9671-9FAF81011BBA}"/>
    <hyperlink ref="E4933" r:id="rId49" display="http://media.mlive.com/grpress/news_impact/photo/eugene-kailingjpg-1325419215b33c26.jpg" xr:uid="{F2B9CE9C-A87B-0A48-9E1E-A8ADD547CCB8}"/>
    <hyperlink ref="Q4934" r:id="rId50" display="http://wkbn.com/2015/07/14/man-dies-in-shootout-with-police-in-southington/" xr:uid="{5D34CA9C-F853-F840-A74F-7B6673973640}"/>
    <hyperlink ref="Q4941" r:id="rId51" display="http://www.rawstory.com/2015/07/denver-police-shoot-and-kill-a-mentally-ill-native-american-man-holding-a-knife-to-his-own-throat/" xr:uid="{76A613AC-267F-484B-90EA-39CC2BD582E6}"/>
    <hyperlink ref="Q4940" r:id="rId52" display="http://www.oakpark.com/News/Articles/7-13-2015/Three-injured,-two-killed-in-River-Forest/" xr:uid="{19B898D2-47F4-CB48-8B85-A6E9DAA8824E}"/>
    <hyperlink ref="E4942" r:id="rId53" display="http://media.cmgdigital.com/shared/lt/lt_cache/thumbnail/600/img/photos/2015/07/13/35/c5/DavidLepine_1.jpg" xr:uid="{356BE1E3-E18E-1942-B945-5C9E2B63F379}"/>
    <hyperlink ref="Q4942" r:id="rId54" display="http://www.statesman.com/news/news/crime-law/man-killed-by-austin-police-officer-sunday-had-a-v/nmyKL/" xr:uid="{A75AFC47-6F5F-D34D-AF5F-D8D98C7B62F2}"/>
    <hyperlink ref="E4944" r:id="rId55" display="http://wac.450f.edgecastcdn.net/80450F/k2radio.com/files/2015/07/chris-benton.jpg" xr:uid="{9D5CFFD8-94E8-BB4C-8665-4B0E67B7834D}"/>
    <hyperlink ref="Q4944" r:id="rId56" location=".Vdo9r_ZVikq" display="http://www.wyomingnews.com/articles/2015/07/16/breaking_news/01breaking_7-16-15.txt - .Vdo9r_ZVikq" xr:uid="{659158F8-8A5E-8E4B-92ED-0BEF0EA6F7F3}"/>
    <hyperlink ref="E4946" r:id="rId57" display="http://bloximages.newyork1.vip.townnews.com/appeal-democrat.com/content/tncms/assets/v3/editorial/a/50/a5039184-2b6b-11e5-b28b-c7b5c40fdd3d/55a726cc3856f.image.jpg?resize=631%2C760" xr:uid="{E27FB810-EB15-BE44-9DC2-17384B6F3736}"/>
    <hyperlink ref="Q4948" r:id="rId58" display="http://lasvegassun.com/news/2015/jul/15/police-body-cam-video-shows-traffic-stop-turn-dead/" xr:uid="{78D6DB56-2699-FD4E-867F-CA070A8F3864}"/>
    <hyperlink ref="Q4955" r:id="rId59" display="http://www.scpr.org/news/2015/07/10/53025/mid-wilshire-police-shooting-suspect-in-skateboard/" xr:uid="{A979A502-7128-F149-B511-BAD7C0AED7FD}"/>
    <hyperlink ref="Q4951" r:id="rId60" display="http://www.azcentral.com/story/news/local/phoenix/2015/07/10/phoenix-police-shooting-suspect-cactus-abrk/29978125/" xr:uid="{FB40D764-29CB-1540-9657-EB297547BC98}"/>
    <hyperlink ref="Q4954" r:id="rId61" display="http://www.santacruzsentinel.com/20150714/memorial-fund-started-for-boulder-creek-teen-killed-by-deputies" xr:uid="{F76C0B2D-2A4A-3047-8FEA-E6B38031AB11}"/>
    <hyperlink ref="E4952" r:id="rId62" display="http://matchbin-assets.s3.amazonaws.com/public/sites/990/assets/26J5_1625924_profile_pic.jpg" xr:uid="{7C9869CC-8146-134D-BF4E-0083A9E79E6F}"/>
    <hyperlink ref="Q4952" r:id="rId63" location=".VbobCM2hNfs.twitter" display="http://www.cachevalleydaily.com/news/local/article_95847b98-36af-11e5-a21d-5381b6067a1e.html - .VbobCM2hNfs.twitter" xr:uid="{C49C0B40-6831-704B-AAE3-2DA6D54420F7}"/>
    <hyperlink ref="E4956" r:id="rId64" display="http://media.oregonlive.com/beaverton_news/photo/westrichjpg-51507199625e81e6.jpg" xr:uid="{7BD252FA-FEB0-B342-9868-7D259161D3B4}"/>
    <hyperlink ref="Q4956" r:id="rId65" display="http://www.kgw.com/story/news/local/washington-county/2015/07/08/beaverton-officer-shot-trailer-hidden-estate/29857719/" xr:uid="{709937D7-7185-FA4E-B245-AC4BDE66C3C2}"/>
    <hyperlink ref="Q4960" r:id="rId66" display="http://www.bakersfield.com/news/2015/07/09/bakersfield-police-man-fatally-shot-tuesday-pointed-gun-at-officers.html" xr:uid="{A8A9B8CF-DDC5-5643-8684-24F9C57B020A}"/>
    <hyperlink ref="Q4965" r:id="rId67" display="http://www.themonitor.com/news/local/authorities-armed-man-in-edinburg-standoff-killed-in-officer-involved/article_62b2b456-24f2-11e5-b79b-6b2f14f63dc2.html" xr:uid="{C91C6B67-EB89-604D-9AA9-C300B9E6050D}"/>
    <hyperlink ref="Q4966" r:id="rId68" display="http://www.wlky.com/news/man-dies-after-being-shot-by-elizabethtown-police/34052212" xr:uid="{9BAE4B6F-C557-9F46-869A-A60B43BB317C}"/>
    <hyperlink ref="E4963" r:id="rId69" display="http://www.kansascity.com/news/local/crime/iwklhy/picture26752486/ALTERNATES/FREE_640/Booth" xr:uid="{9031CE77-E402-2E4B-B4AC-5175709A97DA}"/>
    <hyperlink ref="E4959" r:id="rId70" display="http://www.homefacts.com/images/offenders/texas/thumb/01958213.jpg" xr:uid="{7E0BE3DD-316F-0B4B-8E41-C28E5584C2C0}"/>
    <hyperlink ref="Q4959" r:id="rId71" display="http://crimeblog.dallasnews.com/2015/07/authorities-man-shot-by-dallas-police-was-racist-killer-rapist-family-he-was-kind-loving.html/" xr:uid="{BE0FD231-939D-8847-B940-A78FB70A01CC}"/>
    <hyperlink ref="Q4971" r:id="rId72" display="http://www.mercedsunstar.com/news/local/crime/article26705443.html" xr:uid="{1A5A6ADF-F08E-C742-AEA2-84E8ACE6BE22}"/>
    <hyperlink ref="Q4962" r:id="rId73" display="http://www.fox10phoenix.com/story/29484924/2015/07/06/suspect-hospitalized-after-officer-involved-shooting-in-mesa" xr:uid="{F07F32A8-5828-3F44-8A41-0CB042C01B06}"/>
    <hyperlink ref="Q4968" r:id="rId74" display="http://homicide.latimes.com/post/john-leonard-berry/" xr:uid="{E04FADF8-27C7-B143-945A-47E9788DC44A}"/>
    <hyperlink ref="E4969" r:id="rId75" display="https://localtvkfor.files.wordpress.com/2015/07/rogers-tyler.jpg" xr:uid="{CA9B0DDF-C311-A04A-BCCE-291CAA15573F}"/>
    <hyperlink ref="E4970" r:id="rId76" display="https://localtvkstu.files.wordpress.com/2015/07/gormley.jpg" xr:uid="{D744D91F-3C60-8541-9F71-5C55433420B0}"/>
    <hyperlink ref="Q4975" r:id="rId77" display="http://www.loscerritosnews.net/2015/07/12/hundreds-protest-johnny-ray-andersons-shooting-death-in-hawaiian-gardens/" xr:uid="{8CE41DA1-8239-7D4D-B01F-29C20A91C90C}"/>
    <hyperlink ref="E4976" r:id="rId78" display="http://cdn.patch.com/users/1372433/2015/07/T800x600/201507559ff12e799d0.png" xr:uid="{B64CBF95-7951-A841-9FB4-393C5C2ADEA7}"/>
    <hyperlink ref="Q4976" r:id="rId79" display="http://www.mercurynews.com/crime-courts/ci_28445274/pleasanton-investigation-continues-into-fatal-police-shooting-19" xr:uid="{83611CE6-CDEC-5E4B-9906-29E7B7985191}"/>
    <hyperlink ref="E4974" r:id="rId80" display="https://media.licdn.com/media/p/3/000/0d2/16d/29b38bd.jpg" xr:uid="{5839818D-66B4-2548-9411-3F44E4948999}"/>
    <hyperlink ref="Q4974" r:id="rId81" display="http://www.dallasnews.com/news/crime/headlines/20150706-austin-police-id-gunman-victim-at-sundays-hotel-shooting.ece" xr:uid="{9CFBBB51-BC20-9444-AE21-DC007C24A113}"/>
    <hyperlink ref="Q4973" r:id="rId82" display="http://kxan.com/2015/07/06/police-say-man-killed-in-north-austin-aimed-a-bb-pistol-at-officers/" xr:uid="{53DEAE03-E351-B140-B98A-4B77E664C536}"/>
    <hyperlink ref="Q4980" r:id="rId83" display="http://www.reviewjournal.com/news/las-vegas/gunman-killed-police-henderson-hotel-identified" xr:uid="{4765845E-F081-BA4A-AAF5-1F1C814631F8}"/>
    <hyperlink ref="Q4981" r:id="rId84" display="http://www.standardbanner.com/news/morristown-man-shot-by-police-was-also-wanted-here/article_e6215eb4-242a-11e5-b876-3f8c02fbda9f.html" xr:uid="{0057EE67-1968-8A42-8831-4A335D43D1B8}"/>
    <hyperlink ref="E4984" r:id="rId85" display="http://victimsofpolice.com/2015/images/Julian-Joseph.jpg" xr:uid="{B1502C7F-0062-1E49-B30D-D1CFF612D72C}"/>
    <hyperlink ref="E4988" r:id="rId86" display="http://www.enterprisenews.com/galleryimage/WL/20150702/PHOTOGALLERY/702009988/PH/0/6/PH-702009988.jpg" xr:uid="{6EB6CAAA-6B2F-044C-8810-EB7B2328D29E}"/>
    <hyperlink ref="Q4991" r:id="rId87" display="http://www.oregonlive.com/pacific-northwest-news/index.ssf/2015/07/oregon_state_police_shoot_and.html" xr:uid="{C4505001-420C-BF4D-959C-C8ECFCFF9D8B}"/>
    <hyperlink ref="E4992" r:id="rId88" display="http://www.killedbypolice.net/victims/150628.jpg" xr:uid="{A4636EEE-534C-DE40-B98E-7EBAE70158BE}"/>
    <hyperlink ref="E4993" r:id="rId89" display="http://www.wyff4.com/image/view/-/33914720/highRes/1/-/maxh/630/maxw/1200/-/157k9k3/-/Clay-Alan-Lickteig-jpg.jpg" xr:uid="{A92D72BC-3F6A-FE4B-BA81-59B8A73AB964}"/>
    <hyperlink ref="Q4993" r:id="rId90" display="http://www.wyff4.com/news/police-man-killed-after-shootout-with-officers/33901040" xr:uid="{DB2A925C-CF9C-9740-A321-4745CE30455C}"/>
    <hyperlink ref="Q4994" r:id="rId91" location="photo-8239735" display="http://www.timesunion.com/news/article/Sheriff-Edinburgh-resident-dead-in-officer-6357460.php - photo-8239735" xr:uid="{C6FA6AAB-86D9-2443-B484-BD3A459EA198}"/>
    <hyperlink ref="E4995" r:id="rId92" display="http://www.portlandmercury.com/images/blogimages/2015/06/29/1435620050-screen_shot_2015-06-29_at_4.20.07_pm.png" xr:uid="{555041BC-1B7E-5E4B-AEAF-794B29DBB87A}"/>
    <hyperlink ref="Q4995" r:id="rId93" display="http://www.kgw.com/story/news/local/2015/06/29/police-shooting-winco-parking-lot-portland/29455487/" xr:uid="{BB05A1F9-D864-1145-8E47-9E07B31A6CF3}"/>
    <hyperlink ref="Q4996" r:id="rId94" display="http://www.news9.com/story/29443076/tahlequah-police-release-body-cam-video-in-fatal-officer-involved-shooting" xr:uid="{E15B6816-D643-5F48-9C91-D92630CA1C96}"/>
    <hyperlink ref="Q4997" r:id="rId95" display="http://www.mysanantonio.com/news/local/article/Suspect-killed-by-polcie-during-chase-identified-6355557.php" xr:uid="{877D4B10-6700-3647-B02A-A58DB8F13939}"/>
    <hyperlink ref="E4998" r:id="rId96" display="http://a.abcnews.com/images/US/HT_richard_matt_jt_150606_4x3_992.jpg" xr:uid="{42D3457B-5E1F-BC46-B4D4-C56BF720BC18}"/>
    <hyperlink ref="Q4998" r:id="rId97" display="http://www.nbcnews.com/storyline/new-york-prison-escape/autopsy-shows-prison-escapee-richard-matt-was-drunk-when-he-n404676" xr:uid="{63F6207B-D522-544F-B876-6AC69E8355B4}"/>
    <hyperlink ref="Q4999" r:id="rId98" display="http://abc30.com/news/man-wanted-after-deadly-fresno-county-deputy-involved-shooting-identified/808781/" xr:uid="{95617510-76D8-EF49-943C-EF8AAA21F27F}"/>
    <hyperlink ref="Q5003" r:id="rId99" display="http://www.kansas.com/news/local/article25221067.html" xr:uid="{EAFC3A19-F613-B44A-90B0-18AD75B46E8B}"/>
    <hyperlink ref="Q5005" r:id="rId100" display="http://www.wthr.com/story/29391400/impd-officer-involved-in-shooting-after-short-pursuit" xr:uid="{54DF1048-F706-5447-A076-7DF7A39F447E}"/>
    <hyperlink ref="E5004" r:id="rId101" display="http://bloximages.chicago2.vip.townnews.com/weatherforddemocrat.com/content/tncms/assets/v3/editorial/c/9c/c9c251be-1a8f-11e5-9a9f-0358863fe83b/558addd0ba8d6.image.jpg?resize=300%2C300" xr:uid="{C628FF1D-3F6A-364A-BD67-F988ECE140DE}"/>
    <hyperlink ref="Q5004" r:id="rId102" display="http://www.star-telegram.com/news/local/community/fort-worth/article25340344.html" xr:uid="{C68A7355-A795-2940-B380-CA7F7A7AABB6}"/>
    <hyperlink ref="E5002" r:id="rId103" display="http://bloximages.newyork1.vip.townnews.com/omaha.com/content/tncms/assets/v3/editorial/d/d0/dd0b9724-19c9-11e5-93b4-936ae8b833ff/558991a743529.image.jpg" xr:uid="{A71D847B-ECB1-BE49-969C-FE78731C4945}"/>
    <hyperlink ref="Q5002" r:id="rId104" display="http://journalstar.com/news/local/911/man-shot-by-deputy-has-died-sheriff-s-office-says/article_6edae1e6-0eba-5846-8dc1-79a7a3a032da.html" xr:uid="{1E93FF89-BEE1-314F-AA83-A319B95728F1}"/>
    <hyperlink ref="Q5008" r:id="rId105" display="http://www.sacbee.com/news/local/crime/article25297567.html" xr:uid="{EE06C5BD-F64C-9840-B453-A2C3C204F9CA}"/>
    <hyperlink ref="E5006" r:id="rId106" display="http://chronicle.augusta.com/sites/default/files/imagecache/superphoto/14501857.jpg" xr:uid="{FF638AB0-7A70-D84F-AD48-196730C2DD58}"/>
    <hyperlink ref="Q5006" r:id="rId107" display="http://chronicle.augusta.com/news/crime-courts/2015-06-23/deputy-shoots-man-who-had-rifle-standoff-victim-died-monday-georgia" xr:uid="{6A561211-D738-EE4F-84F6-7B672550A25D}"/>
    <hyperlink ref="E5009" r:id="rId108" display="http://bloximages.newyork1.vip.townnews.com/journalnow.com/content/tncms/assets/v3/editorial/4/1f/41fb4001-cb7b-5850-8587-b8e9677b73a9/558828f92bfd8.image.jpg" xr:uid="{9C5DDB7B-48DB-A448-A9E3-9B662E6633E0}"/>
    <hyperlink ref="Q5009" r:id="rId109" display="http://www.wxii12.com/news/sheriffs-deputy-shot-in-wilkes-county/33705684" xr:uid="{96AEBD4E-234C-4745-966D-6C4BBDA83CD5}"/>
    <hyperlink ref="E5010" r:id="rId110" display="http://homicide.latimes.com.s3.amazonaws.com/media/homicide/72c81404-df51-4024-b054-47809e5bc39a.jpeg" xr:uid="{44A433CE-6E7B-3849-B224-07199A4D2E15}"/>
    <hyperlink ref="Q5010" r:id="rId111" display="http://homicide.latimes.com/post/adrian-simental/" xr:uid="{F4C8394A-E38E-D04F-A3E0-13F10869E688}"/>
    <hyperlink ref="E5011" r:id="rId112" display="http://d3trabu2dfbdfb.cloudfront.net/4/6/4658528_300x300.jpeg" xr:uid="{C192772B-BD93-CF40-8C68-8BB8944D81CA}"/>
    <hyperlink ref="Q5011" r:id="rId113" display="http://www.chron.com/news/houston-texas/article/Deputy-fatally-shoots-man-after-he-charges-6340675.php" xr:uid="{65EE2FDC-24A1-E041-B075-0456509EE40B}"/>
    <hyperlink ref="Q5017" r:id="rId114" display="http://www.necn.com/news/new-england/Sister-Speaks-Out-About-Police-Involved-Shooting-308721631.html" xr:uid="{0AD49E98-D28E-974F-8418-6C988A26B468}"/>
    <hyperlink ref="Q5016" r:id="rId115" display="http://www.greeleytribune.com/news/16932384-113/weld-district-attorney-releases-names-of-man-woman" xr:uid="{66014C26-ED8B-C94F-A5EA-6A493DDFB261}"/>
    <hyperlink ref="Q5018" r:id="rId116" display="http://www.nydailynews.com/new-york/suspect-shot-killed-cops-stabbing-officer-police-article-1.2262745" xr:uid="{26F81D49-89FB-4C4B-82F7-5B0ECD8B0844}"/>
    <hyperlink ref="Q5023" r:id="rId117" display="http://www.grandforksherald.com/news/region/3770087-family-alleged-police-shooting-victim-speaks-out" xr:uid="{214C96F9-BB53-CB47-B2A0-7E39CFBFAA95}"/>
    <hyperlink ref="Q5020" r:id="rId118" display="http://www.montgomeryadvertiser.com/story/news/local/progress/2015/06/18/sbi-investigate-officer-involved-shooting/28954689/" xr:uid="{53614A14-6DDD-F741-9994-967269712E68}"/>
    <hyperlink ref="Q5019" r:id="rId119" location=".Vem0QNNVhBc" display="http://www.kob.com/article/stories/s3831288.shtml - .Vem0QNNVhBc" xr:uid="{A9D0FA8E-DBB2-464C-8071-A56634D30D2E}"/>
    <hyperlink ref="Q5022" r:id="rId120" display="http://newyork.cbslocal.com/2015/06/17/neptune-police-officer-shooting/" xr:uid="{CB6489BD-94C2-F747-A226-B87AF68898A7}"/>
    <hyperlink ref="Q5021" r:id="rId121" display="http://abc30.com/news/visalia-police-shoot-and-kill-man-shortly-after-arriving-at-vacant-business-complex/789315/" xr:uid="{20317CB8-5D74-8945-9595-570BD0272E67}"/>
    <hyperlink ref="E5026" r:id="rId122" display="https://tribfox40.files.wordpress.com/2015/06/kenneth-garcia.jpg" xr:uid="{B1922D6D-4867-A34E-B7E6-1EE76ED3A79B}"/>
    <hyperlink ref="Q5026" r:id="rId123" display="http://www.kcra.com/news/local-news/news-stockton/stockton-police-investigate-officerinvolved-shooting-1-suspect-dead/33578792" xr:uid="{CFB08A37-7AAF-9F4A-BA0D-A64BCC8FC280}"/>
    <hyperlink ref="E5027" r:id="rId124" display="http://media.cmgdigital.com/shared/img/photos/2015/06/15/08/8a/Zane_Terryn.jpg" xr:uid="{C6967EC9-D526-2D41-968C-0551D73AD7C3}"/>
    <hyperlink ref="Q5027" r:id="rId125" display="http://www.wftv.com/news/news/local/trooper-teens-idd-brevard-county-shooting/nmdGr/" xr:uid="{7C1D8552-667F-9D48-A666-197B5430693A}"/>
    <hyperlink ref="E5031" r:id="rId126" display="https://5f0ad1906cfcc43aa1e6-196c176a9165c4fb91294bcccfeafde1.ssl.cf1.rackcdn.com/b383b173-9988-4244-8538-f5128397eb44_profile.jpg" xr:uid="{62403395-46AC-4D42-8C6F-EED7DDEF74CB}"/>
    <hyperlink ref="Q5031" r:id="rId127" display="http://www.wrdw.com/home/headlines/Shooting-on-Coulter-Drive-in-North-Augusta-307293011.html" xr:uid="{8E3FEAFE-5112-7340-B8BD-C8FF0D06F0C4}"/>
    <hyperlink ref="E5029" r:id="rId128" display="http://www.dallasnews.com/incoming/20150613-james-lance-boulware-1-.jpg.ece/BINARY/James-Lance-Boulware+%281%29.jpg" xr:uid="{ABD73775-A0A6-A54A-B175-DA64F9E55398}"/>
    <hyperlink ref="Q5029" r:id="rId129" display="http://www.dallasnews.com/news/local-news/20150613-report-of-shots-fired-near-dallas-police-headquarters-prompts-chase.ece" xr:uid="{1875C9E0-00B5-DD45-9F44-5224B1337550}"/>
    <hyperlink ref="E5028" r:id="rId130" display="http://assets.mediaspanonline.com/prod/11889528/7206529_h400.jpg" xr:uid="{198C98A4-06E5-4F42-9C7B-3636990A77B0}"/>
    <hyperlink ref="Q5028" r:id="rId131" display="http://wane.com/2015/06/15/coroner-releases-identity-of-man-shot-by-officer/" xr:uid="{88597B0F-459D-A744-AA8E-5071DCD16379}"/>
    <hyperlink ref="E5032" r:id="rId132" display="http://bloximages.chicago2.vip.townnews.com/kokomotribune.com/content/tncms/assets/v3/editorial/7/fc/7fcd4704-6af4-59a9-8f7e-42671ea7d7cd/557df996651c8.image.jpg?resize=300%2C400" xr:uid="{D93C764D-0965-F044-9628-59E468FAD26D}"/>
    <hyperlink ref="Q5032" r:id="rId133" display="http://www.kokomotribune.com/news/update-name-of-officer-involved-in-shooting-released/article_fac3c076-121b-11e5-91a2-63f77d795bb0.html" xr:uid="{7209B3E5-7FD9-E646-95D5-A20663B7D7F1}"/>
    <hyperlink ref="E5034" r:id="rId134" display="http://victimsofpolice.com/2015/images/Mark-Flores-Jr.jpg" xr:uid="{895AC580-D839-8448-9F59-B479B5EBD5DC}"/>
    <hyperlink ref="Q5034" r:id="rId135" display="http://www.ksat.com/news/father-says-mental-issues-triggered-gun-fight-with-son" xr:uid="{5B84A110-380C-8548-BB11-FA1F7E2FC9ED}"/>
    <hyperlink ref="E5036" r:id="rId136" display="http://www.northjersey.com/polopoly_fs/1.1355145.1434164980!/fileImage/httpImage/image.jpg_gen/derivatives/landscape_300/hackensackshooting.jpg" xr:uid="{B5917A3C-0770-B143-A98B-4C28478077B9}"/>
    <hyperlink ref="Q5036" r:id="rId137" display="http://www.northjersey.com/news/hackensack-man-killed-in-police-involved-shooting-had-knife-officials-say-1.1354435" xr:uid="{D671A1A0-BFE6-A24E-B617-466D9B20D039}"/>
    <hyperlink ref="Q5037" r:id="rId138" display="http://www.wsmv.com/story/29298752/officer-involved-fatal-shooting-reported-in-columbia" xr:uid="{31C8A80F-F996-A943-A633-620CEDA83660}"/>
    <hyperlink ref="Q5042" r:id="rId139" display="http://www.yourhoustonnews.com/courier/news/one-dead-after-officer-involved-shooting/article_1cfb859f-d481-5895-abe3-9f10b2b50423.html" xr:uid="{68CB9A68-F53A-874B-BEDE-3D6A91C1C7D8}"/>
    <hyperlink ref="A5041" r:id="rId140" display="http://www.killedbypolice.net/victims/150505.jpg" xr:uid="{F7E00E2F-0327-6A46-B559-8BB03A3CD9AB}"/>
    <hyperlink ref="Q5041" r:id="rId141" display="http://www.desmoinesregister.com/story/news/crime-and-courts/2015/06/10/fatal-shooting-officer-involved-merle-hay-urbandale/28779873/" xr:uid="{D0F55705-1F3D-A946-B59B-C83FEF70205C}"/>
    <hyperlink ref="A5043" r:id="rId142" display="http://www.killedbypolice.net/victims/150501.jpg" xr:uid="{EF55A89E-FFD2-9D40-BE3A-BFF33B56653F}"/>
    <hyperlink ref="Q5043" r:id="rId143" display="https://www.toledoblade.com/Police-Fire/2015/06/09/Findlay-officer-involved-in-shooting.html" xr:uid="{6CAB4427-1587-B646-BD9D-46DD251A7098}"/>
    <hyperlink ref="A5049" r:id="rId144" display="http://www.killedbypolice.net/victims/150496.jpg" xr:uid="{266D1A9E-A018-9746-8F47-17F2160371A9}"/>
    <hyperlink ref="Q5049" r:id="rId145" display="http://www.wftv.com/news/news/local/police-person-interest-killed-melbourne-officer-in/nmX7b/" xr:uid="{2A112695-19EE-AA43-97C8-C67F61778F42}"/>
    <hyperlink ref="A5047" r:id="rId146" display="http://www.killedbypolice.net/victims/150498.jpg" xr:uid="{4B0E3F9E-E979-B241-9468-51A427C8B2C0}"/>
    <hyperlink ref="Q5047" r:id="rId147" display="http://www.ocregister.com/articles/shooting-665164-personnel-dispatchers.html" xr:uid="{94757F03-69BC-844D-A5DA-C5083ECD8476}"/>
    <hyperlink ref="Q5045" r:id="rId148" display="http://www.indystar.com/story/news/crime/2015/06/08/police-shooting-suspect-dead-beech-grove/28700455/" xr:uid="{63B05D38-FE94-9844-B41B-746C9A35B243}"/>
    <hyperlink ref="Q5044" r:id="rId149" display="http://www.azfamily.com/story/29270558/deputy-involved-shooting-in-sun-city" xr:uid="{73011174-9F94-EB4B-9C33-DC1F4C900C1B}"/>
    <hyperlink ref="A5046" r:id="rId150" display="http://www.killedbypolice.net/victims/150499.jpg" xr:uid="{837E0E50-BC31-7F41-9C0B-757EB0C0BB7F}"/>
    <hyperlink ref="Q5046" r:id="rId151" display="http://www.nydailynews.com/new-york/bronx/bronx-man-shocked-taser-cops-dies-sources-article-1.2250703" xr:uid="{F13255F1-4507-3649-93D5-E5CF6D52480D}"/>
    <hyperlink ref="Q5054" r:id="rId152" display="http://www.wfla.com/story/29258795/suspect-dead-after-deputy-involved-shooting-in-sarasota" xr:uid="{1856290F-C572-C445-8DBC-9F128DA16DCA}"/>
    <hyperlink ref="Q5048" r:id="rId153" display="http://www.komonews.com/news/local/Police-officer-in-Woodland-shoots-kills-58-year-old-man-306422811.html" xr:uid="{C9675673-E366-3742-9CE1-25E16D9D3F25}"/>
    <hyperlink ref="A5050" r:id="rId154" display="http://www.killedbypolice.net/victims/150489.jpg" xr:uid="{46FE3044-1504-6346-BEF8-D131DBE9A4D3}"/>
    <hyperlink ref="Q5050" r:id="rId155" display="http://www.denverpost.com/news/ci_28264788/man-was-fatally-shot-following-high-speed-chase" xr:uid="{1DD036B1-AC97-C548-8A2B-BBD18D84793B}"/>
    <hyperlink ref="A5051" r:id="rId156" display="http://www.killedbypolice.net/victims/150491.jpg" xr:uid="{A2517094-3968-0248-B391-0F3E49CAA846}"/>
    <hyperlink ref="Q5051" r:id="rId157" display="http://www.kionrightnow.com/news/local-news/officer-involvedshooting-in-watsonville-saturday-night-police-said/33444158" xr:uid="{E759CDC4-92FF-254B-8B0E-DB1C4F0A1600}"/>
    <hyperlink ref="Q5056" r:id="rId158" display="http://www.mrt.com/news/crime/article_eccc8aa0-0ccd-11e5-92a5-e30a35ff1af1.html" xr:uid="{530B1B88-AA75-A94E-98C1-C94A260CD462}"/>
    <hyperlink ref="Q5053" r:id="rId159" display="http://www.wboy.com/story/29256189/monongalia-county-deputies-shoot-suspect-after-vehicle-pursuit" xr:uid="{C9C9DCBC-3A06-EA42-84E4-E0C21BD423EA}"/>
    <hyperlink ref="Q5055" r:id="rId160" display="http://www.keyt.com/news/officer-involved-shooting-in-santa-maria-following-domestic-abuse-call/33434948" xr:uid="{E03FCDFB-214B-A846-9C3E-1C8D6758B348}"/>
    <hyperlink ref="Q5062" r:id="rId161" display="http://www.turnto23.com/news/local-news/delano-pd-shoot-kill-man-after-he-fires-at-police" xr:uid="{80BA47CF-529B-074A-9FD1-AF1EAE5BE111}"/>
    <hyperlink ref="A5060" r:id="rId162" display="http://www.killedbypolice.net/victims/150485.jpg" xr:uid="{D72717C0-C822-9943-A8A4-16475ED69BC1}"/>
    <hyperlink ref="Q5060" r:id="rId163" display="http://www.koat.com/news/valencia-county-deputy-involved-in-shooting/33383626" xr:uid="{07CAC990-1ACE-1048-977C-B69249AF88B3}"/>
    <hyperlink ref="Q5058" r:id="rId164" display="http://crimeblog.dallasnews.com/2015/06/two-men-dead-i-35e-shut-down-in-ellis-county-after-three-hour-chase.html/" xr:uid="{3BE05DAE-6C85-4A48-BC40-E651E77CF802}"/>
    <hyperlink ref="Q5059" r:id="rId165" display="http://www.khou.com/story/news/crime/2015/06/03/chase-ends--shooting-southeast-houston/28402107/" xr:uid="{15B3033A-FCA9-B249-AF8F-DB694E030FC5}"/>
    <hyperlink ref="Q5061" r:id="rId166" display="http://www.nj.com/sussex-county/index.ssf/2015/06/man_killed_in_sussex_county_police_shooting_authorities_say.html" xr:uid="{C3E04B13-ABAB-6D4C-A06A-1806224CFE5B}"/>
    <hyperlink ref="A5063" r:id="rId167" display="http://www.killedbypolice.net/victims/150479.jpg" xr:uid="{CD6FF036-4199-8445-9996-A987693197D4}"/>
    <hyperlink ref="Q5063" r:id="rId168" display="http://crimeblog.dallasnews.com/2015/06/tarrant-county-sheriffs-deputy-fatally-shoots-azle-man-who-stabbed-three-relatives.html/" xr:uid="{CA6D214D-9317-3646-8CB9-2CAA8D648B77}"/>
    <hyperlink ref="A5065" r:id="rId169" display="http://www.killedbypolice.net/victims/150476.jpg" xr:uid="{620133F3-DB81-1B40-BF64-9E964E0C4BC3}"/>
    <hyperlink ref="Q5065" r:id="rId170" display="http://www.democratandchronicle.com/story/news/2015/06/01/police-investigate-near-sears-mall-greece-ridge/28314217/" xr:uid="{243764F8-1F95-2E43-AC82-63F2CD62C5D3}"/>
    <hyperlink ref="A5068" r:id="rId171" display="http://www.killedbypolice.net/victims/150475.jpg" xr:uid="{0F3D49D7-9685-434A-B584-3B9503173781}"/>
    <hyperlink ref="Q5068" r:id="rId172" display="http://www.kplctv.com/story/29203366/palestine-police-id-victim-in-officer-involved-shooting" xr:uid="{95896295-AC75-BA44-80C0-B583F064D810}"/>
    <hyperlink ref="Q5070" r:id="rId173" display="http://www.scrippsmedia.com/newschannel5/news/Investigation-Ongoing-At-Scene-Of-Alleged-Shooting-305572891.html" xr:uid="{EF1DFB21-F791-2941-8B67-380773A01AAE}"/>
    <hyperlink ref="Q5071" r:id="rId174" display="http://koin.com/2015/05/30/osp-troopers-shoot-kill-man-in-wilderville/" xr:uid="{46FDB034-2BF1-8542-96AE-43FC0FD137E8}"/>
    <hyperlink ref="A5074" r:id="rId175" display="http://www.killedbypolice.net/victims/150477.jpg" xr:uid="{1F95F80C-7BB2-8741-A7E4-7CAF5876B76B}"/>
    <hyperlink ref="Q5074" r:id="rId176" display="http://www.thelevisalazer.com/news/local-news/11484-louisa-man-dies-after-being-tasered-by-police-during-arrest.html" xr:uid="{8C0710DB-B804-1145-84B8-840B989D9FA5}"/>
    <hyperlink ref="Q5084" r:id="rId177" display="http://www.presstelegram.com/general-news/20150528/man-dies-after-long-beach-officer-involved-shooting" xr:uid="{20441984-E6C6-A146-A1CA-F733245EA4CB}"/>
    <hyperlink ref="Q5082" r:id="rId178" display="http://www.macon.com/2015/05/28/3768612/putnam-deputy-shoots-and-kills.html" xr:uid="{551FE133-5B7E-614F-B517-40B06C07A59B}"/>
    <hyperlink ref="Q5076" r:id="rId179" display="http://www.clickondetroit.com/news/man-attacks-officer-shot-by-police-trenton/33276844" xr:uid="{83E5E4A2-0B06-4B49-BA42-EB0EB3747321}"/>
    <hyperlink ref="Q5078" r:id="rId180" display="http://www.wsoctv.com/news/news/local/sled-responding-possible-officer-involved-shooting/nmQSJ/" xr:uid="{35505222-4359-E040-8288-4A2F42371C5E}"/>
    <hyperlink ref="Q5083" r:id="rId181" display="http://www.nbcsandiego.com/news/local/Reported-Shots-Fired-Alpine-305259931.html" xr:uid="{DBE04E83-2D8E-3346-AE8E-DA57B18CB0A2}"/>
    <hyperlink ref="Q5081" r:id="rId182" display="http://www.kmbc.com/news/person-taken-to-hospital-after-kck-officer-uses-force-at-family-dollar/33249942" xr:uid="{7E50598C-0D11-9040-BCB8-D6E6AF4B7AC3}"/>
    <hyperlink ref="Q5079" r:id="rId183" display="http://7online.com/news/man-holding-17-month-old-son-hostage-killed-in-middletown-police-shooting/744277/" xr:uid="{53D1D6AF-EE5E-A647-9A2B-E97136FF4E1F}"/>
    <hyperlink ref="Q5080" r:id="rId184" display="http://kfor.com/2015/05/27/breaking-news-officer-involved-shooting-in-edmond/" xr:uid="{149AB7E8-1964-444C-AFB2-D3D178529D8A}"/>
    <hyperlink ref="Q5087" r:id="rId185" display="http://www.nbcdfw.com/news/local/9-Year-Old-Child-Reported-Missing-in-Benbrook-304947651.html" xr:uid="{BFC055D5-0ADC-2441-8B2D-658C0F13004D}"/>
    <hyperlink ref="Q5086" r:id="rId186" display="http://www.kirotv.com/news/news/breaking-news-deputy-shoots-kills-man-near-monroe/nmNnq/" xr:uid="{5EEA8721-BED8-CA4F-B3CB-B1C873C2E614}"/>
    <hyperlink ref="Q5088" r:id="rId187" display="http://kxan.com/2015/05/25/woman-shot-dead-after-five-hour-standoff-with-apd-swat-officers/" xr:uid="{2AB9DABE-D6F7-9A46-B9A6-51AA7A032AC6}"/>
    <hyperlink ref="Q5091" r:id="rId188" display="http://www.kpho.com/story/29143797/suspect-dead-following-police-shooting-in-eagar-ariz" xr:uid="{BE20E46A-D99E-1D4C-8113-24FADBC6A2A3}"/>
    <hyperlink ref="Q5092" r:id="rId189" display="http://www.kshb.com/news/crime/james-horn-man-who-locked-woman-in-box-wanted-in-connection-to-double-murder" xr:uid="{05FE844D-87BC-1949-ABDE-E7AA4E791AA0}"/>
    <hyperlink ref="Q5093" r:id="rId190" display="http://www.wpxi.com/news/news/local/troopers-shoot-person-inside-grocery-store/nmMF2/" xr:uid="{6066A300-CE63-E84A-A15F-316DBF9784FF}"/>
    <hyperlink ref="Q5096" r:id="rId191" display="http://www.nj.com/bergen/index.ssf/2015/05/police-involved_shooting_under_investigation_in_ha.html" xr:uid="{F6086AB2-71D9-3943-97C9-7912D5FAE8DA}"/>
    <hyperlink ref="Q5095" r:id="rId192" display="http://www.elpasotimes.com/latestnews/ci_28159979/officer-involved-shooting-northeast-el-paso" xr:uid="{E2BC401E-3C73-2849-8DDD-9C4931AC575F}"/>
    <hyperlink ref="Q5113" r:id="rId193" display="http://jacksonville.com/news/crime/2015-05-21/story/suspect-shot-deputies-st-augustine-beach-has-died" xr:uid="{3A02BC98-42D1-4042-BA5A-43C27F328E1C}"/>
    <hyperlink ref="Q5097" r:id="rId194" display="http://www.postandcourier.com/article/20150521/PC16/150529889/man-shot-last-night-after-cutting-deputy-dies" xr:uid="{640C3BD1-760B-3C41-B09F-3600A83F9C52}"/>
    <hyperlink ref="Q5099" r:id="rId195" display="http://www.gillettenewsrecord.com/news/local/article_8ce9749e-ffea-11e4-b7e5-5f207815da4f.html" xr:uid="{06456A0B-FF1A-5949-B485-054CF78418A5}"/>
    <hyperlink ref="Q5106" r:id="rId196" display="http://www.thv11.com/story/news/crime/2015/05/19/police-respond-to-cabot-shooting/27627629/" xr:uid="{B7A1D08F-E90C-3C49-A8C8-8EBFA303D148}"/>
    <hyperlink ref="Q5100" r:id="rId197" display="http://www.newsnet5.com/news/local-news/oh-summit/summit-county-sheriffs-deputy-fatally-shoots-man-with-knife-in-green" xr:uid="{F29A904A-CC55-3148-B6A5-B642B70D0632}"/>
    <hyperlink ref="Q5104" r:id="rId198" display="http://www.arlnow.com/2015/05/19/breaking-officer-involved-shooting-in-buckingham/" xr:uid="{8DF25D92-B1E2-F948-B520-7910485BB632}"/>
    <hyperlink ref="Q5105" r:id="rId199" display="http://www.kjct8.com/news/headlines/Officer-involved-shooting-near-downtown-Grand-Junction-304404101.html" xr:uid="{E1D32AFE-2431-7249-B5E7-A069FD6D661E}"/>
    <hyperlink ref="Q5109" r:id="rId200" display="http://www.utsandiego.com/news/2015/may/17/sdpd-ois-officer-shot-kearny-mesa-hospital/" xr:uid="{07B22034-B925-C24E-9B1E-6CC36398B5D4}"/>
    <hyperlink ref="Q5107" r:id="rId201" display="http://www.baynews9.com/content/news/baynews9/news/article.html/content/news/articles/bn9/2015/5/17/st_pete_officer_shot.html" xr:uid="{95E113D7-CF37-4F4E-A904-CFF629FB66E2}"/>
    <hyperlink ref="Q5108" r:id="rId202" location=".VVkL0zY4nTY" display="http://www.kob.com/article/stories/s3798987.shtml - .VVkL0zY4nTY" xr:uid="{9100F0BB-AC8A-8C43-B6B4-A3A6EC59FD55}"/>
    <hyperlink ref="Q5111" r:id="rId203" display="http://www.kcra.com/news/local-news/news-sacramento/sacramento-police-investigating-officerinvolved-shooting/33053756" xr:uid="{F2A9D085-C7F7-C849-AFD6-1F2A9CD8D083}"/>
    <hyperlink ref="Q5112" r:id="rId204" display="http://www.wrex.com/story/29079166/2015/05/15/officer-involved-shooting-in-rockford" xr:uid="{478BCD57-4DB8-1A4E-840C-BDA1904C3CC5}"/>
    <hyperlink ref="Q5114" r:id="rId205" display="http://www.mlive.com/news/kalamazoo/index.ssf/2015/05/police_kill_1_man_injure_anoth.html" xr:uid="{43E65C1A-C1D4-544B-8B06-250F391D3C0A}"/>
    <hyperlink ref="Q5118" r:id="rId206" display="http://www.staradvertiser.com/news/breaking/20150512_Man_fatally_shot_at_Chinatown_Gateway_Plaza.html?id=303517261" xr:uid="{F8159D89-2FB7-124B-96E5-8E90ADA14658}"/>
    <hyperlink ref="Q5117" r:id="rId207" display="http://www.ocregister.com/articles/santa-661469-involved-margarita.html" xr:uid="{77475032-8284-4941-BC11-4CBC0A242F31}"/>
    <hyperlink ref="Q5125" r:id="rId208" display="http://www.kpho.com/story/29033947/man-dead-after-officer-involved-shooting-in-kearny" xr:uid="{39A3109F-72CD-A343-A803-D5B3D90E729D}"/>
    <hyperlink ref="Q5119" r:id="rId209" display="http://www.news4jax.com/news/st-johns-county-investiges-deputy-involved-shooting/32947972" xr:uid="{2B658B0F-7B71-D44F-881E-4850E8922A0A}"/>
    <hyperlink ref="Q5121" r:id="rId210" display="http://www.wral.com/man-dies-while-in-police-custody-in-enfield/14637653/" xr:uid="{70595541-F2EF-E948-A6F7-68BD2C53BFEC}"/>
    <hyperlink ref="Q5122" r:id="rId211" display="http://www.kirotv.com/news/news/tacoma-police-shoot-and-kill-armed-man-outside-his/nmDNM/" xr:uid="{A58B20AC-889E-A040-963C-2DF5B79F1C92}"/>
    <hyperlink ref="Q5126" r:id="rId212" display="http://www.localsyr.com/story/d/story/authorities-investigating-fatal-officer-involved-s/67882/io8DUgiTsEG_yMWZyCVbHw" xr:uid="{24EC67BD-EEB3-F449-8134-EEFE27EEC3B8}"/>
    <hyperlink ref="Q5130" r:id="rId213" display="http://www.wsbtv.com/news/news/local/gwinnett-county-police-investigate-officer-involve/nmBY5/" xr:uid="{1F104A65-FB2C-F74B-BD50-CA14123581C8}"/>
    <hyperlink ref="Q5131" r:id="rId214" display="http://www.wsoctv.com/news/news/local/police-investigate-officer-involved-shooting-wake-/nmBQL/" xr:uid="{72564B52-912E-A046-BE83-357352DDB56F}"/>
    <hyperlink ref="Q5129" r:id="rId215" display="http://www.recordonline.com/article/20150507/NEWS/150509481" xr:uid="{F7646A72-FCB8-334A-9EB4-DA782AA2FC98}"/>
    <hyperlink ref="Q5133" r:id="rId216" display="http://www.sgvtribune.com/general-news/20150505/2-dead-1-injured-in-south-el-monte-stabbing-deputy-involved-shooting" xr:uid="{A48C299F-D458-A748-ACBE-201DD84773C9}"/>
    <hyperlink ref="Q5134" r:id="rId217" display="http://www.wsls.com/story/28977735/vsp-investigating-officer-involved-shooting-in-pulaski" xr:uid="{BA1A3267-91B5-3A4D-8826-3942BE4239C3}"/>
    <hyperlink ref="Q5141" r:id="rId218" display="http://www.wkyt.com/wymt/home/headlines/Police-investigating-officer-involved-shooting-in-Perry-County-302391481.html" xr:uid="{4BCF936E-41F0-4E43-B89C-215E53950542}"/>
    <hyperlink ref="Q5135" r:id="rId219" display="http://www.keprtv.com/SWAT-on-scene-of-standoff-in-Kennewick-302418671.html" xr:uid="{6F579E9C-96E2-194D-91EF-BBEF6782C524}"/>
    <hyperlink ref="Q5136" r:id="rId220" display="http://facebook.com/KilledByPolice/posts/1034785363216267" xr:uid="{089A23EC-BC2F-3F49-BFB1-1521BC50F9EC}"/>
    <hyperlink ref="Q5137" r:id="rId221" display="http://krqe.com/2015/05/03/suspect-from-deputy-involved-shooting-dies/" xr:uid="{6A7A2497-C847-CB4F-89D0-1528D68C78A7}"/>
    <hyperlink ref="Q5138" r:id="rId222" display="http://www.deseretnews.com/article/865627866/Roosevelt-police-shoot-kill-man-wielding-handgun-near-hospital.html?pg=all" xr:uid="{A909AB15-7B9B-D74D-8557-22C979C11E31}"/>
    <hyperlink ref="Q5142" r:id="rId223" display="http://www.wboc.com/story/28959278/police-investigating-officer-involved-shooting" xr:uid="{EFE7C610-7B57-BA42-A2BB-AC767B1761A7}"/>
    <hyperlink ref="E5150" r:id="rId224" display="http://www.wsmv.com/story/28940658/police-investigating-shooting-in-south-nashville" xr:uid="{24107E81-506C-3140-8093-AA0594F49C61}"/>
    <hyperlink ref="Q5150" r:id="rId225" display="http://www.wsmv.com/story/28940658/police-investigating-shooting-in-south-nashville" xr:uid="{AED8C55F-5C30-3345-B5F3-DAE3D8BA03F4}"/>
    <hyperlink ref="Q5143" r:id="rId226" display="http://www.cbs8.com/story/28940667/homicide-detectives-on-scene-after-officer-involved-shooting-in-midway" xr:uid="{B1FA4A75-C66A-0D46-BE79-2CF3A1814031}"/>
    <hyperlink ref="Q5148" r:id="rId227" display="http://www.azcentral.com/story/news/local/mesa/2015/04/29/mesa-police-officer-involved-fatal-shooting-abrk/26610825/" xr:uid="{27E695E8-5DC2-9042-94E3-A8ABF007EE2B}"/>
    <hyperlink ref="Q5144" r:id="rId228" display="http://www.elpasotimes.com/news/ci_28023272/el-paso-police-officer-shot-and-killed-burglary" xr:uid="{3B7484BA-E167-DF4A-ABDA-7355B92ECB5E}"/>
    <hyperlink ref="Q5145" r:id="rId229" display="http://kfor.com/2015/04/29/oklahoma-police-officer-involved-in-fatal-shooting/" xr:uid="{C837E641-2173-984E-9474-14B527FD802F}"/>
    <hyperlink ref="Q5149" r:id="rId230" display="http://www.sacbee.com/news/local/crime/article19860156.html" xr:uid="{E8A82BFE-8FDB-BA45-BBBD-8593D630999B}"/>
    <hyperlink ref="E5151" r:id="rId231" display="http://www.kfvs12.com/story/28915534/1-dead-after-standoff-in-marion" xr:uid="{BABCE8EC-5EE9-C946-8954-74E701391F8D}"/>
    <hyperlink ref="Q5151" r:id="rId232" display="http://www.kfvs12.com/story/28915534/1-dead-after-standoff-in-marion" xr:uid="{47EEC17E-31F8-B441-90C0-FECF8765707F}"/>
    <hyperlink ref="E5152" r:id="rId233" display="http://www.mansfieldnewsjournal.com/story/news/local/2015/04/27/mansfield-police-scene-standoff/26457727/" xr:uid="{8F6C01B2-0B9C-CA42-8294-059898244DB6}"/>
    <hyperlink ref="Q5152" r:id="rId234" display="http://www.mansfieldnewsjournal.com/story/news/local/2015/04/27/mansfield-police-scene-standoff/26457727/" xr:uid="{87AD59C8-4C9E-0441-A8BF-81A5913F9E1F}"/>
    <hyperlink ref="Q5155" r:id="rId235" display="http://abc7.com/news/burglary-suspect-killed-in-officer-involved-shooting-in-fountain-valley/682399/" xr:uid="{213DBEA9-8F8D-514B-AD56-AD6F30DBA144}"/>
    <hyperlink ref="E5156" r:id="rId236" display="http://www.guns.com/2015/04/30/game-warden-shoots-kills-man-who-tried-to-drown-him-after-checking-fishing-license/" xr:uid="{EA99C859-E8CD-8047-BF8E-5F5E5E6A56A2}"/>
    <hyperlink ref="E5160" r:id="rId237" display="https://www.victoriaadvocate.com/news/2015/apr/27/parents-of-veteran-fatally-shot-by-police-seek-ans/" xr:uid="{8FB5D682-8789-F048-8BF6-4C55CB27ECAD}"/>
    <hyperlink ref="Q5160" r:id="rId238" display="https://www.victoriaadvocate.com/news/2015/apr/27/parents-of-veteran-fatally-shot-by-police-seek-ans/" xr:uid="{FE14B531-681F-C94F-A5AC-689FD92EFD28}"/>
    <hyperlink ref="Q5159" r:id="rId239" display="http://www.wftv.com/news/news/local/1-fatally-shot-lake-county-deputy-involved-shootin/nk3ng/" xr:uid="{BBFA8E82-F172-4341-9B9B-E2795DC70527}"/>
    <hyperlink ref="Q5163" r:id="rId240" display="http://www.miamiok.com/news/article_7116fd15-d23e-59c9-aa7e-043ec0f3871f.html" xr:uid="{5BA646DC-3F41-994B-8C8F-CA1CCE601FB9}"/>
    <hyperlink ref="E5164" r:id="rId241" display="http://www.statesmanjournal.com/story/news/2015/04/25/man-shot-killed-salem-police-identified/26377897/" xr:uid="{B5538B8E-9DC3-C044-8299-0FADE4D5D31F}"/>
    <hyperlink ref="Q5164" r:id="rId242" display="http://www.oregonlive.com/pacific-northwest-news/index.ssf/2015/04/salem_police_wound_armed_man_e.html" xr:uid="{B091277B-1637-774B-90FB-0579B80098BD}"/>
    <hyperlink ref="Q5167" r:id="rId243" display="http://www.presstelegram.com/general-news/20150424/police-no-weapon-found-at-scene-of-officer-involved-shooting-in-long-beach-thursday" xr:uid="{103A1D9B-605E-2244-B551-59CB3731A6F9}"/>
    <hyperlink ref="Q5165" r:id="rId244" display="http://www.latimes.com/local/lanow/la-me-ln-lapd-shoots-sylmar-gunman-20150423-story.html" xr:uid="{14346B2C-7A18-BF42-816F-533C6BB276BD}"/>
    <hyperlink ref="Q5161" r:id="rId245" display="http://sanfrancisco.cbslocal.com/2015/04/24/woman-shot-deputies-sonoma-county-chase-dies/" xr:uid="{2F60469A-E7FF-9342-A3A6-F2D810312978}"/>
    <hyperlink ref="E5171" r:id="rId246" display="http://www.nytimes.com/2015/04/24/nyregion/man-killed-by-police-in-queens-had-a-history-of-instability.html?_r=0" xr:uid="{8692E9EE-0CAC-DB40-BD0F-F0FD86D58203}"/>
    <hyperlink ref="Q5171" r:id="rId247" display="http://www.nytimes.com/2015/04/24/nyregion/man-killed-by-police-in-queens-had-a-history-of-instability.html?_r=0" xr:uid="{B069E72E-52B2-AC4B-9241-44DE34BE5BBA}"/>
    <hyperlink ref="E5166" r:id="rId248" display="http://www.newson6.com/story/28881786/choctaw-county-law-enforcement-officers-shot-serving-warrant" xr:uid="{A919D671-753F-5942-8FEA-ABB8C9B73104}"/>
    <hyperlink ref="Q5166" r:id="rId249" display="http://www.newson6.com/story/28881786/choctaw-county-law-enforcement-officers-shot-serving-warrant" xr:uid="{C59A1CE8-6B32-D44D-A33B-E58A332D1217}"/>
    <hyperlink ref="Q5174" r:id="rId250" display="http://www.latimes.com/local/lanow/la-me-ln-lapd-lincoln-heights-shooting-20150422-story.html" xr:uid="{84A3F510-20A3-0840-86E0-80BB56BDE51E}"/>
    <hyperlink ref="Q5177" r:id="rId251" display="http://www.wtok.com/news/headlines/Lauderdale-County-Man-Dies-after-Arrest-300851931.html" xr:uid="{24DE7C16-D00F-E146-946B-195B052EBAE1}"/>
    <hyperlink ref="Q5181" r:id="rId252" display="http://www.suntelegraph.com/story/2015/04/21/community/leasa-hlavinka-husband-was-a-doting-father/6849.html" xr:uid="{910E91EE-7AA5-0046-A08E-9B036BBB564E}"/>
    <hyperlink ref="Q5179" r:id="rId253" display="http://www.kentucky.com/2015/04/19/3809168/wilmore-man-killed-by-police-had.html" xr:uid="{14889F19-9EA0-CC4F-AB57-19DEE290D5B2}"/>
    <hyperlink ref="Q5183" r:id="rId254" display="http://www.azfamily.com/story/28852387/phoenix-pds-mental-health-squad-looks-to-reduce-violent-encounters" xr:uid="{0649BAA2-FEAE-184E-A2B5-ED2FD410EE49}"/>
    <hyperlink ref="Q5188" r:id="rId255" display="http://www.pe.com/articles/car-765208-officers-sheriff.html" xr:uid="{227FB3BF-B3B4-5742-84F6-1B33C451EC56}"/>
    <hyperlink ref="Q5189" r:id="rId256" display="http://www.bakersfieldnow.com/news/local/Questions-raised-after-officer-involved-shooting-in-Shafter-300410121.html" xr:uid="{D6A96A32-21DC-4A41-B59A-EEC9802091C0}"/>
    <hyperlink ref="Q5190" r:id="rId257" display="http://www.detroitnews.com/story/news/local/wayne-county/2015/04/17/assault-suspect-died-hit-taser-identified/25947299/" xr:uid="{A77D8BF5-26CA-9449-A60E-7651A80A080B}"/>
    <hyperlink ref="Q5192" r:id="rId258" display="http://www.abc17news.com/news/suspect-shot-and-killed-by-police/32394506" xr:uid="{D39E050D-B932-D447-B7D9-E99D825F8088}"/>
    <hyperlink ref="Q5194" r:id="rId259" display="http://www.dailybulletin.com/government-and-politics/20150416/man-fatally-shot-by-deputies-near-montclair-had-bb-gun" xr:uid="{86B43D92-2148-AB44-9BBE-5E17F284C964}"/>
    <hyperlink ref="Q5197" r:id="rId260" display="http://wreg.com/2015/04/15/man-wielding-machete-is-shot-and-killed-by-jonesboro-patrolman/" xr:uid="{7CF49DDE-52C3-6F4E-A378-A3BF8366EF9B}"/>
    <hyperlink ref="Q5191" r:id="rId261" display="http://denver.cbslocal.com/2015/04/16/marriage-down-the-tubes-i-hope-they-kill-me-says-killed-standoff-suspect-on-facebook/" xr:uid="{546CF862-8809-BC4D-A02F-79DB6A5AEB93}"/>
    <hyperlink ref="Q5237" r:id="rId262" display="http://www.nj.com/mercer/index.ssf/2015/04/man_shot_by_hamilton_police_in_stabbing_incident_d.html" xr:uid="{82E36D91-F5D5-F942-858A-17B43581A0AA}"/>
    <hyperlink ref="E5200" r:id="rId263" display="http://fox2now.com/2015/04/14/man-identified-in-alton-officer-involved-shooting/" xr:uid="{2BB3C12E-1B11-C846-AB2D-7F1E6C555E53}"/>
    <hyperlink ref="Q5200" r:id="rId264" display="http://fox2now.com/2015/04/14/man-identified-in-alton-officer-involved-shooting/" xr:uid="{ED93A82A-620B-8E4C-A806-EE70677E5567}"/>
    <hyperlink ref="Q5201" r:id="rId265" display="http://abc11.com/news/sampson-county-sheriffs-deputy-shoots-and-kills-robbery-suspect/654777/" xr:uid="{E2A7793A-B5C1-E848-82F9-4B02B91E5B83}"/>
    <hyperlink ref="Q5203" r:id="rId266" display="http://www.koco.com/news/police-investigating-reported-shooting-in-newalla/32332484" xr:uid="{9705B3C5-0709-E44E-93A4-EBD22214FF3C}"/>
    <hyperlink ref="Q5204" r:id="rId267" display="http://www.dailymail.co.uk/news/article-3051433/Bodycam-footage-shows-Sand-Springs-Officer-Brian-Barnett-killing-Donald-Allen.html" xr:uid="{34272651-294D-3B40-863F-71959C0B8E72}"/>
    <hyperlink ref="Q5206" r:id="rId268" display="http://www.appeal-democrat.com/corning_observer/deputy-shoots-kills-corning-man-stabbing-father/article_800aa990-e23b-11e4-9469-435eb6fa3396.html" xr:uid="{1A4D64D8-B467-A341-BEE0-B9B4F9A6C5A7}"/>
    <hyperlink ref="Q5210" r:id="rId269" display="http://www.pennlive.com/midstate/index.ssf/2015/04/adams_county_prison_gunman_die.html" xr:uid="{F848CA8A-F5E5-E54F-BC25-0B579636EEFC}"/>
    <hyperlink ref="Q5209" r:id="rId270" display="http://www.northescambia.com/2015/04/santa-rosa-deputy-attacked-by-man-with-sword-suspect-shot-and-killed" xr:uid="{26AFFF91-7DEE-154D-930B-0CC3817C00DA}"/>
    <hyperlink ref="Q5207" r:id="rId271" display="http://newsok.com/oklahoma-agents-investigate-fatal-deputy-involved-shooting-in-creek-county/article/5408706" xr:uid="{93FDF184-15C8-9442-95DA-DF23939EB823}"/>
    <hyperlink ref="Q5211" r:id="rId272" display="http://www.wyff4.com/news/family-of-man-killed-by-deputies-hires-attorney/32601896" xr:uid="{FF3C2636-E857-6643-9A33-FD3E01D6846C}"/>
    <hyperlink ref="Q5215" r:id="rId273" display="http://www.latimes.com/local/lanow/la-me-ln-boyle-heights-ois-man-identified-20150410-story.html" xr:uid="{5683D5DD-CD13-D44A-90D0-8A6D74686684}"/>
    <hyperlink ref="Q5213" r:id="rId274" display="http://www.kerngoldenempire.com/news/top-stories/new-information-on-kcso-in-custody-death" xr:uid="{64C7F47A-BD97-0641-A0FC-F8EBA9DAE570}"/>
    <hyperlink ref="Q5212" r:id="rId275" display="http://sanfrancisco.cbslocal.com/2015/04/14/armed-robbery-suspect-killed-by-sunnyvale-police-was-army-veteran/" xr:uid="{555DD803-7C75-E64E-8F62-F94D5F584401}"/>
    <hyperlink ref="E5214" r:id="rId276" display="http://www.ksat.com/content/pns/ksat/news/2015/04/10/man-shot--killed-by-police-id-d.html" xr:uid="{D8011C52-B1DA-DE46-BFB7-45458A36877A}"/>
    <hyperlink ref="Q5214" r:id="rId277" display="http://www.ksat.com/content/pns/ksat/news/2015/04/10/man-shot--killed-by-police-id-d.html" xr:uid="{E7DE1192-8D60-0349-864A-F4761428422D}"/>
    <hyperlink ref="Q5219" r:id="rId278" display="http://www.ktvb.com/story/news/crime/2015/04/07/deputy-shoots-kills-man-rifle/25414923/" xr:uid="{F5E82583-D836-EF49-8D86-05FDA64F4E94}"/>
    <hyperlink ref="Q5217" r:id="rId279" display="http://kfor.com/2015/04/08/officer-involved-shooting-in-shawnee-leaves-one-dead/" xr:uid="{F7603FE2-4A02-5849-86D3-789315685B2B}"/>
    <hyperlink ref="Q5224" r:id="rId280" display="http://www.turnto23.com/news/local-news/suspect-dies-after-officer-involved-shooting-in-tehachapi-040615" xr:uid="{3C0074FE-DE99-4641-B30E-F31D78780642}"/>
    <hyperlink ref="Q5221" r:id="rId281" display="http://www.seattletimes.com/seattle-news/coulee-dam-man-dies-following-taser-incident/" xr:uid="{2D5FB0FB-5E5C-9648-9A82-B71A2BF8C4C4}"/>
    <hyperlink ref="Q5220" r:id="rId282" display="http://www.ocala.com/article/20150429/ARTICLES/150429614" xr:uid="{DC7FFD28-4949-3145-9103-08342A21FB68}"/>
    <hyperlink ref="Q5218" r:id="rId283" display="http://www.indystar.com/story/news/crime/2015/04/06/armed-man-shot-and-killed-by-police-on-southwestside/25348529/" xr:uid="{BD7FBC70-3E44-104C-8C06-995C9BC9A1CE}"/>
    <hyperlink ref="E5223" r:id="rId284" display="http://mugshot-record-search.com/mugshot/AZ/Maricopa-County-Sheriff-Office/2015-Mar-16/8155067/Kenneth-Cockerel" xr:uid="{42DEF7C7-4813-AB43-9710-263597394680}"/>
    <hyperlink ref="Q5223" r:id="rId285" display="http://www.abc15.com/news/region-phoenix-metro/north-phoenix/police-identify-ken-cockerel-as-man-who-stabbed-himself-then-threatened-officers-with-knives" xr:uid="{F0D3E69E-A50A-BE4A-8912-E425FB63059F}"/>
    <hyperlink ref="Q5227" r:id="rId286" display="http://www.koat.com/news/state-police-officers-fatally-shoot-east-mountains-man/32197688" xr:uid="{E94156C2-DCEA-814F-A4F9-120BD8F53E73}"/>
    <hyperlink ref="Q5228" r:id="rId287" display="http://www.newson6.com/story/28722322/sheriff-man-who-died-after-being-tasered-broke-warner-officers-eye-bone-first" xr:uid="{D7D0CCF0-729C-C847-8698-0DDCA1B5D969}"/>
    <hyperlink ref="Q5230" r:id="rId288" display="http://www.winchesterstar.com/article/040615br" xr:uid="{9370A5E4-B81D-394E-BF32-D6D6E6C7BA9F}"/>
    <hyperlink ref="Q5233" r:id="rId289" display="http://www.kfvs12.com/story/28708976/man-identified-following-officer-involved-shooting-in-metropolis" xr:uid="{8130CA83-447B-C446-B97C-716EA011540E}"/>
    <hyperlink ref="Q5234" r:id="rId290" display="http://www.thetowntalk.com/story/news/local/2015/04/04/pineville-man-killed-deputy-idd-la-guardsman/25296693/" xr:uid="{4FAEA95D-A7C0-7F4B-81A1-DB34CF5D914F}"/>
    <hyperlink ref="Q5241" r:id="rId291" display="http://www.click2houston.com/news/pd-man-with-pellet-gun-shot-dead-by-baytown-police-officer/32108156" xr:uid="{C332442B-174C-DF41-A375-28904A2CB80C}"/>
    <hyperlink ref="Q5246" r:id="rId292" display="http://www.10tv.com/content/stories/2015/03/29/pike-county-ohio--officer-involved-shooting-leaves-one-dead.html" xr:uid="{90B8BB04-94CB-E542-B8F3-BE95C377963F}"/>
    <hyperlink ref="Q5330" r:id="rId293" display="http://www.ksstradio.com/2015/03/09/texas-rangers-investigate-death-of-inmate/" xr:uid="{2C1166A8-2F77-EE4D-B060-EAA10D7A0143}"/>
    <hyperlink ref="Q5356" r:id="rId294" display="http://www.tristatehomepage.com/story/d/story/isp-investigating-officer-involved-shooting-in-ter/40703/pV4yrq5qR0S3uTbJYNfJsQ" xr:uid="{CB1E3785-751E-D648-893B-F5D31B3630F7}"/>
    <hyperlink ref="Q5369" r:id="rId295" display="http://www.theindychannel.com/news/local-news/suspect-fatally-shot-by-impd-officer-on-east-side" xr:uid="{38334686-974B-C748-9A25-BCE72915DAAE}"/>
    <hyperlink ref="Q5389" r:id="rId296" location="section/-1/article/p2p-82809119/" display="http://touch.mcall.com/ - section/-1/article/p2p-82809119/" xr:uid="{182EAAFA-175A-714F-8125-FC2BF5FB0026}"/>
    <hyperlink ref="Q5395" r:id="rId297" display="http://www.starfl.com/news/local-news/officer-involved-shooting-under-investigation-1.440104" xr:uid="{E5784D7D-BF2A-A240-A15F-95E6BE5E3576}"/>
    <hyperlink ref="Q5403" r:id="rId298" display="http://www.cbsnews.com/news/texas-officer-responding-to-home-fatally-shoots-off-duty-deputy/" xr:uid="{74B143F3-33D5-2B4C-B570-6A4D81E29FA1}"/>
    <hyperlink ref="Q5430" r:id="rId299" display="http://woodtv.com/2015/02/07/suspect-in-officer-shooting-to-be-taken-off-life-support/" xr:uid="{B50BD052-3A0A-7C49-8A80-59F40E79DEFA}"/>
    <hyperlink ref="A5412" r:id="rId300" display="http://www.killedbypolice.net/victims/150102.jpg" xr:uid="{63019ABB-E21C-EA4F-A3EF-7C7997807D3A}"/>
    <hyperlink ref="Q5411" r:id="rId301" display="http://losangeles.cbslocal.com/2015/02/04/police-fatally-shoot-bank-robbery-suspect-in-chino-following-high-speed-chase/" xr:uid="{A989A29E-8293-0242-811B-BAD46A5FC2E4}"/>
    <hyperlink ref="Q5429" r:id="rId302" display="http://newsok.com/new-details-released-in-stillwater-homicide-officer-shooting/article/5389230" xr:uid="{CBB0E88A-A542-1648-9A77-E50783D0BF81}"/>
    <hyperlink ref="Q5449" r:id="rId303" display="http://www.statesman.com/news/news/local/officer-involved-shooting-being-investigated/njtpW/" xr:uid="{21DF8DDC-F656-4843-87EC-44273CCFA7FF}"/>
    <hyperlink ref="Q5471" r:id="rId304" display="http://theadvocate.com/news/11346884-123/evangeline-parish-man-shot-killed" xr:uid="{0EDB74FD-E61F-0044-9080-0D6876F094F4}"/>
    <hyperlink ref="Q5500" r:id="rId305" display="http://www.washingtonpost.com/news/the-watch/wp/2015/01/09/iowa-cop-reportedly-tries-to-shoot-dog-kills-woman-instead/" xr:uid="{49F5DB13-0073-5E46-8B0A-AC19DF1F647A}"/>
    <hyperlink ref="E5508" r:id="rId306" display="http://www.miamiherald.com/news/local/community/florida-keys/tfsh2c/picture5621952/ALTERNATES/FREE_960/Roberto.jpg" xr:uid="{6DD1A365-299B-7547-AD3A-0B1B58046D93}"/>
    <hyperlink ref="Q5508" r:id="rId307" display="http://www.miamiherald.com/news/local/community/florida-keys/article5621958.html" xr:uid="{D0AF01DE-AD7A-0846-8223-08049808BD89}"/>
    <hyperlink ref="E5510" r:id="rId308" display="http://i.guim.co.uk/static/w-620/h--/q-95/sys-images/Guardian/Pix/pictures/2015/2/12/1423748301468/7245d83a-eba5-4117-8f2b-584fc9f566e8-bestSizeAvailable.jpeg" xr:uid="{30BBA6EC-794D-234D-B317-F901B556A626}"/>
    <hyperlink ref="Q5510" r:id="rId309" display="http://www.alternet.org/news-amp-politics/kevin-davis-called-cops-help-out-friend-trouble-and-was-shot-death-police-his" xr:uid="{AB9931B6-35FC-2747-900D-BA507D34C36E}"/>
    <hyperlink ref="E5511" r:id="rId310" display="http://www.miamiherald.com/news/local/crime/2xyin4/picture5303859/ALTERNATES/FREE_960/Eric Tyrone Forbes.jpg" xr:uid="{A626C99E-6318-5D42-9E42-B6E3764CBB1C}"/>
    <hyperlink ref="Q5511" r:id="rId311" display="http://www.local10.com/news/1-dead-in-new-years-eve-policeinvolved-shooting-in-miami/30477214" xr:uid="{5FC02B2A-EEB7-FA4F-8DCD-84ED0B882486}"/>
    <hyperlink ref="Q5513" r:id="rId312" display="http://www.presstelegram.com/general-news/20150101/armed-woman-killed-in-compton-deputy-involved-shooting" xr:uid="{1094B445-63C2-C641-83A9-CB7722B66D39}"/>
    <hyperlink ref="Q5515" r:id="rId313" display="http://6abc.com/news/sources-suspect-shot-killed-by-police-in-drexel-hill/455767/" xr:uid="{C1E46F3E-E37B-1948-A5FF-A420BA924594}"/>
    <hyperlink ref="Q5518" r:id="rId314" display="http://www.firstcoastnews.com/story/news/local/2014/12/29/st-johns-county-armed-suspect-killed/21031459/" xr:uid="{3E6588B3-8FEB-EE43-AB84-F398F19BF00D}"/>
    <hyperlink ref="Q5519" r:id="rId315" display="http://www.chicoer.com/general-news/20141229/man-shot-killed-by-sheriffs-deputy-in-paradise" xr:uid="{2EB362E5-6367-7246-A059-009201D7D135}"/>
    <hyperlink ref="E5522" r:id="rId316" display="http://edge.liveleak.com/80281E/ll_a_s/2014/Dec/29/LiveLeak-dot-com-ebe_1419888575-davidandrescott_1419888592.jpg.resized.jpg?d5e8cc8eccfb6039332f41f6249e92b06c91b4db65f5e99818bdd5924c40ded7397e&amp;ec_rate=230" xr:uid="{A7994141-5BD6-124A-ABD5-FB6734E7B357}"/>
    <hyperlink ref="Q5522" r:id="rId317" display="http://www.actionnewsjax.com/news/news/local/swat-called-out-fort-caroline-area/njbtC/" xr:uid="{8E92E485-89E0-5F49-9575-EEE17E3708F5}"/>
    <hyperlink ref="Q5524" r:id="rId318" display="http://www.al.com/news/birmingham/index.ssf/2014/12/51-year-old_man_shot_to_death.html" xr:uid="{196D7F75-A2A0-8946-960C-101C0EB09563}"/>
    <hyperlink ref="E5527" r:id="rId319" display="http://www.wesh.com/image/view/-/30418970/medRes/2/-/maxh/220/maxw/220/-/o2mpgg/-/Quinten-Jamal-Smith-jpg.jpg" xr:uid="{708A26B5-C5D6-234F-9351-8F781007F280}"/>
    <hyperlink ref="Q5527" r:id="rId320" display="http://www.wesh.com/news/sheriff-brevard-deputy-fatally-shoots-armed-wanted-man/30415088" xr:uid="{2A947D69-B3E8-8145-BB1C-6485EC2D40AC}"/>
    <hyperlink ref="E5526" r:id="rId321" display="http://ww3.hdnux.com/photos/33/73/31/7321166/3/622x350.jpg" xr:uid="{611B89E0-112D-8C4F-BE21-3413ECD14E5F}"/>
    <hyperlink ref="Q5526" r:id="rId322" display="http://www.kvue.com/story/news/state/2014/12/26/police-shoot-kill-man-firing-gun-in-texas-city-parking-lot/20907475/" xr:uid="{AFC34D3C-926A-A24D-B999-88999AC0DBD0}"/>
    <hyperlink ref="Q5525" r:id="rId323" display="http://www.19actionnews.com/story/27709268/bedford-resident-shot-and-killed-during-confrontation-with-police" xr:uid="{5748E14C-B4C9-3B44-A979-60B5BD73A322}"/>
    <hyperlink ref="Q5532" r:id="rId324" display="http://www.oregonlive.com/portland/index.ssf/2014/12/man_dies_after_officer-involve.html" xr:uid="{418D141D-100E-E944-9E85-605656CC23BF}"/>
    <hyperlink ref="Q5531" r:id="rId325" display="http://pickens.fetchyournews.com/archives/5043-UPDATED-Authorities-Confirm-Suspect-Has-Died,-Domestic-Call-Ends-in-Gun-Fire.html" xr:uid="{5508E0AC-BDDF-9B46-9929-3B83F9D2AD11}"/>
    <hyperlink ref="Q5535" r:id="rId326" display="http://www.huffingtonpost.com/2014/12/24/antonio-martin-police-shooting_n_6376210.html" xr:uid="{D4C65BB0-43C9-A741-88B9-FB85BA48C682}"/>
    <hyperlink ref="Q5542" r:id="rId327" display="http://www.doverpost.com/article/20141221/NEWS/141229971/13421/NEWS" xr:uid="{03BB3770-636C-544E-917A-5B682F8FDB8A}"/>
    <hyperlink ref="Q5543" r:id="rId328" display="http://www.sacbee.com/news/local/crime/article4774815.html" xr:uid="{EC89A634-F650-ED4D-96FD-F8C8C47FE99C}"/>
    <hyperlink ref="Q5546" r:id="rId329" display="http://www.kpho.com/story/27660383/pd-phoenix-officer-involved-in-shooting" xr:uid="{C9FF1A4E-9793-EE43-A30D-2539C86FB6A9}"/>
    <hyperlink ref="Q5549" r:id="rId330" display="http://www.wthr.com/story/27658447/police-pursuit-standoff-shuts-down-state-road-67-at-owen-morgan-county-line" xr:uid="{CF54FF2D-F0D0-3D42-8D8E-DC381FF066ED}"/>
    <hyperlink ref="Q5553" r:id="rId331" display="http://www.kirotv.com/news/news/deputy-involved-shooting-tacoma/njTnD/" xr:uid="{77AF9272-0C30-C34D-8D3A-7A2038D93598}"/>
    <hyperlink ref="Q5557" r:id="rId332" display="http://www.pnj.com/story/news/crime/2014/12/17/man-dies-two-weeks-tased/20545199/" xr:uid="{7CF8872C-1411-F942-B8E4-5A444C933AAF}"/>
    <hyperlink ref="Q5552" r:id="rId333" display="http://www.azcentral.com/story/news/local/phoenix/2014/12/17/phoenix-officer-shooting-teen-dies-abrk/20530475/" xr:uid="{3FD5A3A6-88E1-AD4D-ADBD-76D4AEA387D1}"/>
    <hyperlink ref="E5555" r:id="rId334" display="http://www.muellersfuneralhomes.com/obituaries/Johnathon-Jd-Mar/Print/Wall" xr:uid="{EF83FC36-C77B-9840-BDBA-FBC746A1483B}"/>
    <hyperlink ref="Q5556" r:id="rId335" display="http://www.ocregister.com/articles/mesa-645510-costa-warrants.html" xr:uid="{6B805BF7-311E-DB44-977C-7D6F940CE845}"/>
    <hyperlink ref="Q5551" r:id="rId336" display="http://whotv.com/2014/12/17/marshalltown-police-critically-wound-armed-suspect-overnight/" xr:uid="{0C9169B4-6446-C84B-9280-EB376C509B34}"/>
    <hyperlink ref="Q5559" r:id="rId337" display="http://www.nbcphiladelphia.com/news/local/Mayfair-Police-Shooting-285796911.html" xr:uid="{76754523-01B1-BF47-9609-8ECB30B9D3D9}"/>
    <hyperlink ref="Q5561" r:id="rId338" display="http://www.tennessean.com/story/news/crime/2014/12/14/suspect-killed-officer-injured-south-nashville/20418519/" xr:uid="{C2BC8AFB-FB1A-6B4F-8C5D-80D99FEBF488}"/>
    <hyperlink ref="E5558" r:id="rId339" display="http://www.arklatexhomepage.com/media/lib/186/8/4/d/84d8a85a-cc51-4371-b6d1-6a6fb81977f1/Story.jpg" xr:uid="{48FD7C91-4F37-F94A-BCF7-F8F5F056F31C}"/>
    <hyperlink ref="E5560" r:id="rId340" display="http://www.everythinglubbock.com/media/lib/197/b/e/9/be97488a-220f-42d4-a656-82afae53b037/Story.jpg" xr:uid="{9A7733DE-2C7D-3E4D-8A66-4FC7A1896F63}"/>
    <hyperlink ref="Q5560" r:id="rId341" display="http://www.newswest9.com/story/27643563/midland-police-identify-officer-killed-in-murder-suicide" xr:uid="{7DE790F5-F2FE-2644-AA1A-CAC29A7C324B}"/>
    <hyperlink ref="Q5564" r:id="rId342" display="http://www.msnewsnow.com/story/27625936/madison-coroner-called-to-hwy-51-for-officer-involved-shooting" xr:uid="{3F805603-6FB6-B241-86E0-0E168E32D176}"/>
    <hyperlink ref="Q5567" r:id="rId343" display="http://www.wbir.com/story/news/local/sevierville-sevier/2014/12/13/spd-officer-shoots-kills-man-standoff/20349589/" xr:uid="{6E162106-FCD1-164C-9304-0EE1699F9642}"/>
    <hyperlink ref="Q5569" r:id="rId344" display="http://www.kktv.com/home/headlines/One-Man-Hospialized-After-Officer-Involved-Shooting-285508201.html" xr:uid="{664C6561-9900-E047-917A-3B7BCFC0C6EC}"/>
    <hyperlink ref="Q5571" r:id="rId345" display="http://wvtm.membercenter.worldnow.com/story/27598792/1-dead-in-sanford-officer-involved-shooting" xr:uid="{693218F4-E07C-B340-BB17-41E68C065DE6}"/>
    <hyperlink ref="Q5576" r:id="rId346" display="http://www.lansingstatejournal.com/story/news/local/2014/12/08/shooting-lansing-township/20101031/" xr:uid="{04CF8FC2-BA63-B64C-8E68-48660F931DD9}"/>
    <hyperlink ref="Q5580" r:id="rId347" display="http://www.mynews3.com/content/specials/crimetracker/story/One-dead-in-shooting-inside-Rio-casino-early-today/cN46O5Q68ky6b5gwzcAquQ.cspx" xr:uid="{DA5FEDF9-0D7E-D747-B167-E4757D129DE7}"/>
    <hyperlink ref="Q5583" r:id="rId348" display="http://ktla.com/2014/12/05/armed-man-shot-by-officers-near-hollywood-and-highland-lapd/" xr:uid="{A5206B5D-9F02-4B4C-B033-F0EFA95AE3E0}"/>
    <hyperlink ref="E5584" r:id="rId349" display="http://wistv.images.worldnow.com/images/6145354_G.jpg" xr:uid="{BEEC54CE-C6A2-1249-AC16-7C9D62BE2C40}"/>
    <hyperlink ref="Q5584" r:id="rId350" display="http://www.wltx.com/story/news/local/2014/12/05/sled-investigating-officer-involved-shooting/19980013/" xr:uid="{91AAD18D-22DF-CE4F-ABB4-9E1B7A0BFC07}"/>
    <hyperlink ref="Q5587" r:id="rId351" display="http://www.thenewsstar.com/story/news/local/2014/12/23/officer-involved-shooting-named-separate-case/20814039/" xr:uid="{1355BA62-17BD-8640-87DF-F3207E7A585E}"/>
    <hyperlink ref="Q5590" r:id="rId352" display="http://www.star-telegram.com/2014/12/03/6335890/fort-worth-police-fatally-shoot.html?rh=1" xr:uid="{CE6DAC4E-484E-6B46-B932-2DFE7E76138B}"/>
    <hyperlink ref="E5591" r:id="rId353" display="https://encrypted-tbn1.gstatic.com/images?q=tbn:ANd9GcReseSA89ykdECqZfgRZGCtXTy03nbwQN7mgVVimHD6HxveTuXMkCVC4Q" xr:uid="{68476204-7D71-814C-B126-F7FD5B65CDC3}"/>
    <hyperlink ref="Q5591" r:id="rId354" display="http://newsok.com/officer-involved-shooting-reported-in-northwest-oklahoma-city/article/5372084" xr:uid="{30EEC107-8A7C-5341-A866-30D26D877D57}"/>
    <hyperlink ref="Q5594" r:id="rId355" display="http://www.chron.com/news/houston-texas/article/1-dead-in-officer-involved-shooting-in-NW-Harris-5928188.php" xr:uid="{A5BD6F0F-CD5A-C644-8491-8CF97F527BBE}"/>
    <hyperlink ref="Q5608" r:id="rId356" display="http://crimeblog.dallasnews.com/2014/11/balch-springs-police-say-man-died-in-custody-tuesday-after-he-fought-arresting-officers.html/" xr:uid="{264CE6F8-B5DC-E843-BC07-702901261464}"/>
    <hyperlink ref="Q5612" r:id="rId357" display="http://www.firstcoastnews.com/story/news/local/2014/11/24/jso-involved-incident-gate-gas-station/70068030/" xr:uid="{A2F71233-F157-2543-BF82-23E37DF88096}"/>
    <hyperlink ref="Q5618" r:id="rId358" location=".VHT3q4vF9R4" display="http://www.kutv.com/news/features/top-stories/stories/South-Jordan-police-give-more-details-in-shooting-death-of-1-man-59617.shtml - .VHT3q4vF9R4" xr:uid="{4A7CB340-44D3-D14E-AACD-BA1B8988D1A6}"/>
    <hyperlink ref="Q5617" r:id="rId359" display="http://sacramento.cbslocal.com/2014/11/23/suspect-dead-after-shootout-in-downtown-sonora-officer-bystander-hurt/" xr:uid="{70ABCAE6-2C0C-A14F-8EC4-ED561923723F}"/>
    <hyperlink ref="Q5632" r:id="rId360" display="http://www.wral.com/family-man-who-shot-fayetteville-officer-suffered-from-mental-illness/14200793/" xr:uid="{9EDE688E-2414-E94E-8197-7D74A0011DFB}"/>
    <hyperlink ref="Q5633" r:id="rId361" display="http://www.mcall.com/news/breaking/mc-d-phillipsburg-officer-involved-shooting-suspect-dies-20141118-story.html" xr:uid="{AF0F91D7-51C9-6340-8FA3-F4F8F3F6A25E}"/>
    <hyperlink ref="Q5645" r:id="rId362" display="http://www.weau.com/home/headlines/Female-suspect-killed-in-Boyceville-officer-involved-shooting-282832071.html" xr:uid="{88BC00F6-143F-AA48-8A88-594B7C8E7520}"/>
    <hyperlink ref="Q5649" r:id="rId363" display="http://www.local8now.com/home/headlines/Shooting-investigation-in-South-Knox-County-282637501.html" xr:uid="{F7531B0C-3B68-704A-9939-12680F3D9FDC}"/>
    <hyperlink ref="Q5671" r:id="rId364" display="http://www.jacksonsun.com/story/news/local/2014/11/11/parents-man-shot-officer-speak-tbi-investigate/18836355/" xr:uid="{CEB76BB9-FA2A-E94C-BBA9-4379A97789AB}"/>
    <hyperlink ref="Q5670" r:id="rId365" display="http://magicvalley.com/news/local/crime-and-courts/update-man-fatally-shot-by-jerome-county-deputies-identified/article_4355b3bd-44b7-5e74-8937-16ad1d7d96cc.html" xr:uid="{01203D30-842A-DA45-8C2C-5D331499B993}"/>
    <hyperlink ref="Q5672" r:id="rId366" display="http://www.rgj.com/story/news/crime/2014/11/05/police-officer-involved-shooting-near-unr/18563353/" xr:uid="{297B9C65-9876-DB4A-883D-965B63C00278}"/>
    <hyperlink ref="E5673" r:id="rId367" display="https://www.facebook.com/groups/387178151407408/" xr:uid="{C8485661-C5C7-6743-8566-8826970D1547}"/>
    <hyperlink ref="Q5673" r:id="rId368" display="http://www.yakimaherald.com/news/latestlocalnews/2632541-8/man-fatally-shot-by-yakima-county-deputy" xr:uid="{3A82C19D-DE5B-0C41-85D9-E5CA87155BD4}"/>
    <hyperlink ref="Q5674" r:id="rId369" display="http://www.wsaz.com/home/headlines/Officers-Shoot-and-Kill-Suspect-During-Drug-Raid-in-Lawrence-County-Ohiog---281476761.html" xr:uid="{9B3CF31E-2CB8-CC4B-AC37-3D53035D0A6C}"/>
    <hyperlink ref="Q5680" r:id="rId370" display="http://www.kshb.com/news/crime/deputy-fatally-shot-in-cedar-county" xr:uid="{27F9905B-C5DA-EF43-BBDF-64696DF976B6}"/>
    <hyperlink ref="Q5685" r:id="rId371" display="http://www.tucsonnewsnow.com/story/27187359/bicyclist-fatally-struck-by-police-officer-in-unmarked-vehicle" xr:uid="{907EDB9F-F555-F646-8A7F-B010AE61B948}"/>
    <hyperlink ref="Q5693" r:id="rId372" display="http://www.wdbj7.com/news/local/lynchburg-bedford/deputy-involved-in-bedford-county-shooting/29390802" xr:uid="{89B59FF7-EB4A-5A4D-83E2-E9F448C74762}"/>
    <hyperlink ref="Q5698" r:id="rId373" display="http://www.wsvn.com/story/27025232/1-dead-in-hialeah-police-involved-shooting" xr:uid="{17374C06-B91E-6C4C-8468-1FFA620D8341}"/>
    <hyperlink ref="Q5706" r:id="rId374" display="http://www.fayobserver.com/news/local/man-shot-killed-when-cumberland-county-deputies-try-to-serve/article_f253b5ae-7298-5362-8caf-84520ea48f26.html" xr:uid="{5C5A8B61-F1C6-4748-9317-4CC25C4CA69C}"/>
    <hyperlink ref="Q5709" r:id="rId375" display="http://www.tucsonsentinel.com/local/report/102914_bp_shooting/update-man-fatally-shot-by-border-patrol-identified/" xr:uid="{F0BA4842-2564-8540-BE82-B7CA8B364ACF}"/>
    <hyperlink ref="Q5713" r:id="rId376" display="http://www.nydailynews.com/new-york/nyc-crime/police-shoots-kills-man-ax-queens-article-1.1984914" xr:uid="{3EE9C78F-651D-5045-8199-57A2B1954C7A}"/>
    <hyperlink ref="Q5746" r:id="rId377" location="incart_2box" display="http://www.al.com/news/huntsville/index.ssf/2014/10/officer-involved_shooting_at_m.html - incart_2box" xr:uid="{DB614360-1E43-224F-BFEB-E6FC0C9BB628}"/>
    <hyperlink ref="E5750" r:id="rId378" display="http://bloximages.chicago2.vip.townnews.com/wacotrib.com/content/tncms/assets/v3/editorial/d/8f/d8f5c52a-c474-5323-bbcf-9da3b5d574a5/543498624ad06.image.jpg" xr:uid="{35CD95BA-AE81-4448-9F67-78AB86515289}"/>
    <hyperlink ref="Q5750" r:id="rId379" display="http://www.wacotrib.com/news/courts_and_trials/woman-dies-in-mclennan-county-jail/article_295a2448-47f5-565b-b08b-7d0104877301.html" xr:uid="{8EBBD471-849C-B54A-9DFF-B120EBD9F444}"/>
    <hyperlink ref="Q5748" r:id="rId380" display="http://www.jrn.com/ktnv/news/Family-speaks-out-after-man-killed-by-police-in-shootout-278597311.html" xr:uid="{C882DA63-AE56-5C4E-AE9A-B1F9EB02E039}"/>
    <hyperlink ref="Q5755" r:id="rId381" display="http://www.washingtonpost.com/local/man-shot-and-killed-by-officers-trying-to-serve-a-warrant-in-southeast-dc/2014/10/05/b755dfea-4c9b-11e4-aa5e-7153e466a02d_story.html" xr:uid="{033EE634-CF55-3E43-AD41-E275E639AF6D}"/>
    <hyperlink ref="E5758" r:id="rId382" display="http://www.gannett-cdn.com/-mm-/90407faa708f948b3bc41ed885ae0b6dbee7db9f/c=0-743-2448-2587&amp;r=x383&amp;c=540x380/local/-/media/WXIA/None/2014/10/03/1412363614000-photo-2-.JPG" xr:uid="{1DDF657B-E9D5-4A44-8C89-30502AA6CF4F}"/>
    <hyperlink ref="Q5762" r:id="rId383" display="http://www.wlky.com/news/woman-shot-by-lmpd-officers-in-swat-situation-dies/28371462" xr:uid="{8A9BA631-35D3-B344-978A-7722A1F24049}"/>
    <hyperlink ref="Q5766" r:id="rId384" display="http://www.houstontx.gov/police/nr/2014/oct/nr141001-3.htm" xr:uid="{7A65686C-38C8-7D44-AD0E-42A0296BD20C}"/>
    <hyperlink ref="Q5787" r:id="rId385" display="http://www.wfaa.com/story/news/crime/2014/09/23/man-death-police-custody-pepper-spray-dallas-university-park-police/16100715/" xr:uid="{F74D027D-0EAB-B947-872A-B90EDD723F48}"/>
    <hyperlink ref="Q5784" r:id="rId386" display="http://www.elkharttruth.com/news/crime-fire-courts/2014/09/29/Joseph-Adam-Lee-died-from-multiple-gunshot-wounds-shooting-investigation-continues.html" xr:uid="{D0F30FFE-FAF5-644F-AF05-DF04AA116264}"/>
    <hyperlink ref="Q5795" r:id="rId387" display="http://www.demingheadlight.com/deming-news/ci_26572049/pursuit-through-luna-county-ends-stand-off-las" xr:uid="{2FE49955-9E4E-4B4F-A038-69B3BF97A008}"/>
    <hyperlink ref="Q5796" r:id="rId388" display="http://www.northwestgeorgianews.com/polkfishwrap/news/local/authorities--year-old-levi-weaver-shot-killed-by-polk/article_b26d6dba-408c-11e4-ba96-0017a43b2370.html" xr:uid="{3D615237-A5B7-074F-9C06-2AEDB2FADACA}"/>
    <hyperlink ref="Q5798" r:id="rId389" display="http://www.twincities.com/localnews/ci_26675527/hermantown-man-dies-after-police-use-taser" xr:uid="{AE8A7A35-DD4F-C44C-8436-99B610D0E325}"/>
    <hyperlink ref="Q5799" r:id="rId390" display="http://www.ajc.com/news/news/man-fatally-shot-by-police-on-savannah-street/nhP97/" xr:uid="{85E547C1-BAEA-D04F-837D-E79A2B67BF51}"/>
    <hyperlink ref="Q5811" r:id="rId391" display="http://www.wwltv.com/story/news/local/orleans/2014/09/15/officer-shot-on-duty-in-good-spirits/15700815/" xr:uid="{114D6497-F662-524C-BDF5-B48B4C23B9FB}"/>
    <hyperlink ref="E5812" r:id="rId392" display="http://www.copblock.org/wp-content/uploads/2014/09/ricky-deangelo-hinkle-jefferson-county-alabama-copblock.png" xr:uid="{36E30F1D-0894-274E-A24B-98D47423D722}"/>
    <hyperlink ref="Q5812" r:id="rId393" display="http://www.al.com/news/birmingham/index.ssf/2014/09/jefferson_county_inmate_dies_a.html" xr:uid="{2CE94FFC-0289-A94E-A6F2-C9685A768E92}"/>
    <hyperlink ref="Q5814" r:id="rId394" display="http://www.wkyt.com/home/headlines/Police-dealing-with-developing-situation-in-Madison-County-275029661.html" xr:uid="{2DE88B39-E3EF-B54C-848F-A6842EAD84DD}"/>
    <hyperlink ref="Q5833" r:id="rId395" display="http://www.kolotv.com/home/headlines/Officer-Involved-Shooting-Shuts-Down-Sutro-and-So-273796761.html" xr:uid="{C9918BC6-AE24-4F46-A2C9-B074310BE3DD}"/>
    <hyperlink ref="Q5836" r:id="rId396" display="http://www.cleveland.com/metro/index.ssf/2014/09/man_shot_killed_by_cleveland_p.html" xr:uid="{249B4386-CE96-0444-A161-E42BFD9B1E8F}"/>
    <hyperlink ref="Q5842" r:id="rId397" display="http://nypost.com/2014/09/06/man-who-shot-nypd-cop-dies-after-surgery/" xr:uid="{87DEB930-6122-3443-8CAA-4A1DEACBCF9D}"/>
    <hyperlink ref="Q5845" r:id="rId398" display="http://www.king5.com/story/news/local/seattle/2014/09/01/police-find-gun-arsenal-queen-anne-home-shooting/14946055/" xr:uid="{97156BDB-E6F6-1F4F-B356-6BC5FA953CEB}"/>
    <hyperlink ref="Q5853" r:id="rId399" display="http://www.mprnews.org/story/2014/11/17/police-justified-in-ramsey-shooting" xr:uid="{6524136F-2B0E-8C4F-B1B0-10A46640E6A0}"/>
    <hyperlink ref="Q5854" r:id="rId400" display="http://www.redding.com/news/local-news/deputies-person-shot-on-fig-tree-lane" xr:uid="{6F06A1EB-A002-6448-88F3-5089A7A20554}"/>
    <hyperlink ref="Q5880" r:id="rId401" display="http://www.baltimoresun.com/news/maryland/baltimore-county/bs-md-co-in-custody-death-20140821-story.html" xr:uid="{23CE23AB-0A18-4248-89B3-F9DE975CB15C}"/>
    <hyperlink ref="Q5887" r:id="rId402" display="http://www.philly.com/philly/news/20140820_Cop_grazed_by_bullet__suspect_killed.html" xr:uid="{EC2D3F27-EE3C-9F46-9D7C-218F8ABF5922}"/>
    <hyperlink ref="Q5889" r:id="rId403" display="http://homicide.latimes.com/post/andre-maurice-jones/" xr:uid="{14177351-3633-934B-A06A-711A09EA2D20}"/>
    <hyperlink ref="Q5900" r:id="rId404" display="http://www.9news.com/story/news/crime/2014/08/13/greeley-officer-involved-shoot-veteran-shoot-out-call/14006469/" xr:uid="{050F984F-4C22-A045-A38E-3D8D5FFED13E}"/>
    <hyperlink ref="Q5905" r:id="rId405" display="http://neshobademocrat.com/main.asp?SectionID=2&amp;SubSectionID=297&amp;ArticleID=33427" xr:uid="{014FE91C-EEB5-1748-BC7E-C9914EFD30FA}"/>
    <hyperlink ref="E5911" r:id="rId406" display="http://kbmt.images.worldnow.com/images/4452029_G.jpg" xr:uid="{C80EF9B9-532D-6F4D-B528-61B04E782889}"/>
    <hyperlink ref="Q5911" r:id="rId407" display="http://www.12newsnow.com/story/26251863/family-seeks-answers-after-police-release-unconscious-man-who-died-moments-later" xr:uid="{84A28E2C-3898-084E-B75B-9C076D9C3ABE}"/>
    <hyperlink ref="Q5912" r:id="rId408" display="http://www.arklatexhomepage.com/story/d/story/man-killed-in-overnight-shooting-has-been-identifi/42931/M-T9-BnlDEKC3eIlvgv1Xg" xr:uid="{09575A7A-F04B-724C-BF67-70204B1DEC26}"/>
    <hyperlink ref="Q5910" r:id="rId409" display="http://kpel965.com/la-state-police-handling-shooting-involving-crowley-police-officers/" xr:uid="{1C9B1B68-B807-9447-922E-68575230C324}"/>
    <hyperlink ref="Q5934" r:id="rId410" display="http://www.local10.com/news/1-killed-in-policeinvolved-shooting-in-miami-springs/26847256" xr:uid="{864E5257-5E14-3E46-A185-0EA130889923}"/>
    <hyperlink ref="Q5932" r:id="rId411" display="http://www.cincinnati.com/story/news/2014/08/05/cincinnati-police-officer-shoots-man-killed-traffic-stop/13611479/" xr:uid="{CE343229-5337-D942-963D-F91C191DD403}"/>
    <hyperlink ref="Q5935" r:id="rId412" display="http://www.newsherald.com/news/crime-public-safety/man-shot-during-standoff-dies-1.357594" xr:uid="{8F98FCE0-B6F4-8042-9E5F-972DDAEA254D}"/>
    <hyperlink ref="Q5939" r:id="rId413" display="http://bangordailynews.com/2014/08/04/news/penobscot/lagrange-man-49-killed-by-state-trooper-after-3-hour-standoff/" xr:uid="{B48591C5-9EB7-F546-8A34-8A910CB4EA7A}"/>
    <hyperlink ref="Q5951" r:id="rId414" display="http://www.ajc.com/news/news/police-investigating-shooting-in-east-point/ngsX4/" xr:uid="{B93FB3C5-284A-8343-9897-A00519E0AE6F}"/>
    <hyperlink ref="Q5961" r:id="rId415" display="http://www.8newsnow.com/story/26137424/breaking-news-police-investigate-officer-involved-shooting" xr:uid="{E8E6773F-98C4-A248-A51F-54E6728A566F}"/>
    <hyperlink ref="Q5964" r:id="rId416" display="http://www.tri-cityherald.com/2014/07/29/3083195_pasco-man-with-knife-killed-by.html?rh=1" xr:uid="{09013D54-2459-0E4A-A23F-249072BB821F}"/>
    <hyperlink ref="Q5969" r:id="rId417" display="http://www.knoxnews.com/news/local-news/parolee-killed-in-fight-with-officer-had-a-syringe-narcotic-on-him_07147175" xr:uid="{905039F6-6E51-DD43-8EFE-DBBD7E764D43}"/>
    <hyperlink ref="Q5973" r:id="rId418" display="http://www.sltrib.com/news/justice/1618808-155/officers-shot-lister-police-gill-gun" xr:uid="{E6A1E38B-B67B-D54A-9D27-CE1C4F04FE39}"/>
    <hyperlink ref="Q5980" r:id="rId419" display="http://www.northwestgeorgianews.com/rome/adairsville-officer-on-administrative-leave-after-fatal-shooting/article_7082a720-119e-11e4-8eb9-001a4bcf6878.html" xr:uid="{631FD813-663F-A44A-B2F9-7DE7925B01F9}"/>
    <hyperlink ref="Q5979" r:id="rId420" display="http://www.koat.com/news/apd-involved-in-shooting-near-eubank-central/27095580" xr:uid="{3CEB3009-A922-7745-9AA1-F839D4E5F8F9}"/>
    <hyperlink ref="Q5985" r:id="rId421" display="http://www.kentreporter.com/news/272307371.html" xr:uid="{DD124818-DF25-934D-820F-E9097156E31E}"/>
    <hyperlink ref="Q5988" r:id="rId422" display="http://www.azcentral.com/story/news/local/tempe/2014/07/20/tempe-officer-involved-shooting-jonathan-williams-dead/12922577/" xr:uid="{5CAB0399-CD23-3641-BDFE-C41127A5B6C4}"/>
    <hyperlink ref="Q5989" r:id="rId423" display="http://www.fox5vegas.com/story/26071249/coroner-identifies-man-shot-by-nlv-police" xr:uid="{50FA232E-C921-D241-9627-D59D0A4830BF}"/>
    <hyperlink ref="Q6003" r:id="rId424" display="http://www.citizen-times.com/story/news/crime/2014/07/14/hendersonville-police-shoot-kill-suspect/12640863/" xr:uid="{29C6CF46-18FD-EC42-9D20-CFB7DF6A8C6B}"/>
    <hyperlink ref="Q6010" r:id="rId425" display="http://www.12newsnow.com/story/26796642/vidor-officers-cleared-by-grand-jury-will-return-to-work-friday" xr:uid="{51AE455C-866F-3A42-AB2A-30B159D1854B}"/>
    <hyperlink ref="Q6013" r:id="rId426" display="http://www.10tv.com/content/stories/2014/07/10/columbus-ohio-probation-officer-among-2-people-shot-in-southeast-columbus.html" xr:uid="{BE3E0EB9-20A0-814A-A541-DC5A58D2E634}"/>
    <hyperlink ref="Q6022" r:id="rId427" display="http://journaltimes.com/news/local/crime-and-courts/man-fatally-shot-by-police-identified/article_9983c98a-0620-11e4-8f7e-0019bb2963f4.html" xr:uid="{6641E8B8-C53C-6146-AFFB-D0DDAF589C7C}"/>
    <hyperlink ref="Q6030" r:id="rId428" location="__federated=1" display="http://www.ajc.com/news/news/officer-involved-shooting-in-se-atlanta/ngYcr/ - __federated=1" xr:uid="{134A3320-C13B-EA48-A3AD-1B20020368C0}"/>
    <hyperlink ref="Q6042" r:id="rId429" display="http://www.nbcnewyork.com/news/local/Long-Island-Suffolk-County-Bay-Shore-Police-Involved-Shooting-Fatal-264868841.html" xr:uid="{60C1937D-A73A-B940-BD73-7E4BB3D5A96B}"/>
    <hyperlink ref="Q6045" r:id="rId430" display="http://www.wcyb.com/news/shooting-investigated-in-damascus/26694690" xr:uid="{5AEA4B4F-C191-5A46-89AE-9B3ACB28C9D4}"/>
    <hyperlink ref="Q6056" r:id="rId431" display="http://www.nj.com/hudson/index.ssf/2014/06/authorities_release_identity_of_20-year-old_man_shot_by_police.html" xr:uid="{62500B77-D866-B344-AEAF-CF31551DB3E4}"/>
    <hyperlink ref="Q6067" r:id="rId432" display="http://www.myfoxdfw.com/story/25833600/suspect-killed-in-garland-officer-involved-shooting" xr:uid="{444A6F80-DCD4-8047-A267-1F47024A70FA}"/>
    <hyperlink ref="Q6070" r:id="rId433" display="http://blogs.seattletimes.com/today/2014/06/man-killed-by-port-orchard-police-identified/" xr:uid="{8BF36E51-F2DA-5E40-B47E-B20C5151DC20}"/>
    <hyperlink ref="Q6082" r:id="rId434" display="http://www.wsp.wa.gov/information/releases/2014_archive/mr061714.htm" xr:uid="{6406C6C1-FC64-3640-9CF1-6009E99C6142}"/>
    <hyperlink ref="Q6097" r:id="rId435" display="http://www.ky3.com/news/local/deadly-offiverinvolved-shooting-kills-cassville-man-officer-injured/21048998_26424836" xr:uid="{1CE24528-4675-D54E-92BD-0C78519F052D}"/>
    <hyperlink ref="Q6105" r:id="rId436" display="http://www.nbcnews.com/storyline/vegas-cop-killers/police-fatally-shot-las-vegas-gunman-jerad-miller-during-gunfight-n128546" xr:uid="{93C4B222-CC95-8046-8938-CBAF4CA321DE}"/>
    <hyperlink ref="Q6108" r:id="rId437" display="http://www.local8now.com/home/headlines/KPD-officer-shot-in-East-KNoxville-262228291.html" xr:uid="{65183DE6-869A-2342-B0F5-EE0C4EE71EE9}"/>
    <hyperlink ref="Q6109" r:id="rId438" location="!V4xVM" display="http://www.wbaltv.com/news/police-investigate-mta-officerinvolved-shooting-at-cromwell-light-rail-station/26384134 - !V4xVM" xr:uid="{0E8DB559-7431-CB4B-A265-0C5C0B738846}"/>
    <hyperlink ref="Q6119" r:id="rId439" display="http://www.firstcoastnews.com/story/news/local/2014/06/04/westside-jso-officer-involved-shooting/9985499/" xr:uid="{B2B1E9C9-FF24-604C-B199-D265C294271F}"/>
    <hyperlink ref="Q6118" r:id="rId440" display="http://rapidcityjournal.com/news/local/police-rapid-city-man-shot-and-killed-by-officer-had/article_262374b9-bd2f-569a-9635-2170734ac0d0.html" xr:uid="{345C7D3F-2D86-4747-A769-643646FAD40A}"/>
    <hyperlink ref="Q6123" r:id="rId441" display="http://6abc.com/news/officer-released-from-hospital-suspect-dead-in-chester/89060/" xr:uid="{ABC66DC6-11D3-964C-818F-DD6BB7BE8655}"/>
    <hyperlink ref="Q6124" r:id="rId442" display="http://www.hickoryrecord.com/news/hickory-police-man-killed-in-officer-involved-shooting/article_701d15ba-ea50-11e3-ad29-001a4bcf6878.html" xr:uid="{119AC46A-7A8A-264F-BF36-1BDD8420D8C1}"/>
    <hyperlink ref="Q6126" r:id="rId443" location="!TFnpq" display="http://www.wyff4.com/news/dispatchers-deputyinvolved-shooting-under-investigation-at-gas-station/26282954 - !TFnpq" xr:uid="{922F4A2F-2F9A-AE4A-89DE-2A97A9720FA1}"/>
    <hyperlink ref="Q6130" r:id="rId444" display="http://www.kake.com/home/headlines/Officer-involved-shooting-reported-south-of-Dexter-in-Cowley-County-261401221.html" xr:uid="{DA64D88D-AE2D-CB49-AF6E-33E4674C2BAD}"/>
    <hyperlink ref="Q6129" r:id="rId445" display="http://patersontimes.com/2014/05/31/armed-city-man-killed-by-city-detective-on-montgomery-street/" xr:uid="{A14AF55B-2DC3-7F47-920C-1A742C60D7E9}"/>
    <hyperlink ref="Q6143" r:id="rId446" display="http://www.tricities.com/news/article_0ec2ddf4-e749-11e3-a6a8-0017a43b2370.html" xr:uid="{9257D80C-EFF1-8F4E-A54E-A208BB9DE601}"/>
    <hyperlink ref="Q6148" r:id="rId447" display="http://www.daytondailynews.com/news/news/crime-law/police-involved-shooting-reported-udf-dayton/nf7f7/?__federated=1" xr:uid="{13CEFC93-FC18-294A-956A-BA638294BBE7}"/>
    <hyperlink ref="Q6153" r:id="rId448" display="http://www.bakersfieldnow.com/news/local/1-shot-killed-by-KC-deputy-in-Lebec-260562651.html" xr:uid="{C7CD798D-4AAA-144E-AB5D-1DFA6A5798D6}"/>
    <hyperlink ref="E6167" r:id="rId449" display="https://www.facebook.com/curtise.welford" xr:uid="{3F25D3E4-4822-9649-AE3B-54F2F8A7DE08}"/>
    <hyperlink ref="Q6173" r:id="rId450" display="http://www.expressnews.com/news/local/article/Officer-shoots-kills-woman-who-police-said-5490353.php" xr:uid="{3CF2DFF5-B76A-3945-B227-278D8D21D167}"/>
    <hyperlink ref="E6176" r:id="rId451" display="http://nrvnews.com/wp-content/uploads/2014/05/saunders_thomas_neil.jpg" xr:uid="{966747E4-365A-C349-A4DE-EC9269585FAA}"/>
    <hyperlink ref="Q6176" r:id="rId452" display="http://www.wdbj7.com/news/local/developing-story-officerinvolved-shooting-in-giles-county/26045058" xr:uid="{E9415DDC-EE39-CB40-898A-3B9C32A41EFC}"/>
    <hyperlink ref="Q6179" r:id="rId453" display="http://www.kansascity.com/2014/05/20/5035276/kck-standoff-suspect-killed-by.html" xr:uid="{BFC73F24-F9E9-154B-B7D4-BE544680A901}"/>
    <hyperlink ref="Q6181" r:id="rId454" display="http://www.nbcnewyork.com/news/local/NYPD-Shooting-FDR-Drive-96-Street-259556971.html" xr:uid="{5B8DEC37-1482-1145-A60B-B6D3E09AC040}"/>
    <hyperlink ref="Q6184" r:id="rId455" display="http://www.mercurynews.com/my-town/ci_25773669/concord-police-shoot-kill-suspect-thursday-evening" xr:uid="{93003F80-E1A2-CC43-BA6E-E994960BDFE0}"/>
    <hyperlink ref="Q6194" r:id="rId456" display="http://www.dcclothesline.com/2014/05/19/veteran-stopped-front-license-plate-beat-death-5-cops/" xr:uid="{296EC94E-D945-084A-AE38-7BBDE418B574}"/>
    <hyperlink ref="Q6196" r:id="rId457" location=".U3DGe-hX-uY" display="http://www.suntimes.com/27377311-761/armed-man-shot-by-police-on-west-side-dies.html - .U3DGe-hX-uY" xr:uid="{5A43BAE2-605A-0243-A312-896760A0640A}"/>
    <hyperlink ref="Q6198" r:id="rId458" display="http://www.10tv.com/content/stories/2014/05/10/columbus-jonathan-drive-officer-involved-shooting.html" xr:uid="{60CDD674-A2C6-1D49-BB90-103FC3520F60}"/>
    <hyperlink ref="Q6200" r:id="rId459" display="http://www.nbclosangeles.com/news/local/Man-Killed-in-Fatal-Officer-Involved-Shooting-in-Ontario-258815701.html" xr:uid="{1A96D055-E00C-2940-A1A1-0D42AC26B612}"/>
    <hyperlink ref="Q6203" r:id="rId460" display="http://www.statesmanjournal.com/story/news/crime/2014/05/19/grand-jury-officer-justified-shooting-killing-armed-suspect/9307783/" xr:uid="{0B57DDF5-BC78-C740-8D1B-D4F682067E9F}"/>
    <hyperlink ref="Q6208" r:id="rId461" display="http://www.mlive.com/news/grand-rapids/index.ssf/2014/05/two_troopers_one_deputy_on_lea.html" xr:uid="{3FF7544D-326D-AE41-BA79-F313BAB0832B}"/>
    <hyperlink ref="Q6215" r:id="rId462" display="http://www.nydailynews.com/news/national/fired-fatally-shot-93-year-old-woman-rips-knee-jerk-reaction-article-1.1789207" xr:uid="{03A5DDCB-A6C7-274F-934D-BC59C02A7DAC}"/>
    <hyperlink ref="Q6235" r:id="rId463" display="http://m.union-bulletin.com/news/2014/apr/29/update-investigation-continues-athena-mans-fatal-s/?templates=mobile" xr:uid="{27E3EE8C-F6B7-5842-8474-3B5CC9DC9A5C}"/>
    <hyperlink ref="E7328" r:id="rId464" display="http://www.news-graphic.com/image_5c8d94e0-b110-11e2-af2b-001a4bcf887a.html" xr:uid="{7959A1A1-1740-B544-A026-337474F3C258}"/>
    <hyperlink ref="Q6240" r:id="rId465" display="http://www.natchezdemocrat.com/2014/04/25/man-dies-after-stun-gun-shock-state-agency-inspecting-acso-traffic-stop-death/" xr:uid="{C35FFD36-9726-AD41-9D41-3F04F2F94191}"/>
    <hyperlink ref="Q6243" r:id="rId466" display="http://www.wtok.com/news/headlines/Update-on-Emmanuel-Wooten-Search-256704901.html" xr:uid="{10022B65-36CF-0448-B704-A4D51176DB4C}"/>
    <hyperlink ref="Q6252" r:id="rId467" location="axzz3Gj9fLtSM" display="http://triblive.com/news/allegheny/6036085-74/zappala-officer-police - axzz3Gj9fLtSM" xr:uid="{D49D433E-6275-F146-BC43-FDEBE265D4C3}"/>
    <hyperlink ref="Q6282" r:id="rId468" display="http://www.wwaytv3.com/2014/04/14/updated-sbi-investigating-officer-involved-shooting-pender-county" xr:uid="{A45F3560-D7E3-CB4B-B391-D7D6343DA8F8}"/>
    <hyperlink ref="Q6293" r:id="rId469" display="http://www.kansas.com/2014/04/10/3396426/man-dead-after-officer-involved.html" xr:uid="{57376FF3-C32D-9D4B-AE11-1EAAB3C0274A}"/>
    <hyperlink ref="E6297" r:id="rId470" display="http://www.wrhi.com/2014/04/officer-involved-shooting-in-york-county-leaves-one-man-dead-91986" xr:uid="{74B60C4D-000E-6F40-9F5C-4FA2E90A999F}"/>
    <hyperlink ref="Q6297" r:id="rId471" location=".VD2-WVewUSc" display="http://www.charlotteobserver.com/2014/04/09/4830144_experts-weigh-in-on-york-county.html - .VD2-WVewUSc" xr:uid="{5B820AA6-9C12-A548-86F2-7E784C221E28}"/>
    <hyperlink ref="Q6302" r:id="rId472" display="http://www.palmbeachpost.com/news/news/pbso-investigating-officer-involved-shooting-in-su/nfTT5/" xr:uid="{76E5E0B0-CA24-964D-83CA-A8EB7CEE5559}"/>
    <hyperlink ref="Q6304" r:id="rId473" display="http://www.click2houston.com/news/man-killed-after-pulling-gun-on-deputies-serving-warrant/25349872" xr:uid="{467CE767-248C-6C46-B73C-49E2E0C47139}"/>
    <hyperlink ref="Q6307" r:id="rId474" display="http://www.washingtonpost.com/local/crime/man-killed-in-police-shooting-in-prince-georges-county/2014/04/05/114eb076-bcc3-11e3-b195-dd0c1174052c_allComments.html?ctab=all" xr:uid="{B8126B57-D8B8-4D48-920D-910386C4407A}"/>
    <hyperlink ref="Q6309" r:id="rId475" display="http://whnt.com/2014/04/04/breaking-huntsville-police-confirm-officer-shot-residents-being-evacuated/" xr:uid="{F1F6AED9-B51A-9841-9871-83536A19FE76}"/>
    <hyperlink ref="Q6315" r:id="rId476" display="http://www.wsbtv.com/news/news/local/officer-injured-suspect-killed-lawrenceville-apart/nfQTQ/" xr:uid="{B73F580C-B8CA-7445-B6A5-4E72CEAAFFEE}"/>
    <hyperlink ref="Q6318" r:id="rId477" display="http://www.washingtonpost.com/national/police-officer-fatally-shot-in-upstate-new-york/2014/03/31/ad349cc6-b8f4-11e3-80de-2ff8801f27af_story.html" xr:uid="{7D2A1C22-7C54-0A40-9F74-EFD9B51AA3EA}"/>
    <hyperlink ref="Q6320" r:id="rId478" display="http://www.myfoxchicago.com/story/25108986/raason-shaw-man-shot-to-death-by-police-in-woodlawn" xr:uid="{5B4EA062-9A3B-D844-8E07-57B016422FDB}"/>
    <hyperlink ref="Q6325" r:id="rId479" display="http://www.wcti12.com/news/city-official-two-officers-injured-one-suspect-dead-in-shooting/25226556" xr:uid="{30C61F09-4015-404D-9B38-AE84B6D540A4}"/>
    <hyperlink ref="E6322" r:id="rId480" display="http://fox13now.com/2014/03/28/2-police-officers-hurt-1-man-dead-after-salt-lake-city-shooting/" xr:uid="{1F897BA0-5CBB-7B4D-BFD1-0B53A6D9BB4D}"/>
    <hyperlink ref="Q6349" r:id="rId481" display="http://www.tennessean.com/story/news/crime/2014/03/21/dozens-officers-scene-elliston-place-shooting/6716709/" xr:uid="{33A8D909-785A-864A-9273-7406C9099224}"/>
    <hyperlink ref="Q6350" r:id="rId482" display="http://blogs.ocweekly.com/navelgazing/2014/03/police_shooting_in_anaheim_lea.php?page=2" xr:uid="{54E8B260-BCA6-8348-9D0C-94B0BA9D16A5}"/>
    <hyperlink ref="Q6351" r:id="rId483" location="!bIoKti" display="http://www.ketv.com/news/police-id-man-killed-in-officer-involved-shooting/25060968 - !bIoKti" xr:uid="{F10055EB-01D5-FC40-95E9-6A2DD7C5B8D1}"/>
    <hyperlink ref="Q6358" r:id="rId484" display="http://www.washingtonpost.com/local/crime/police-involved-in-shooting-person-in-nw/2014/03/18/7f80b924-ae8e-11e3-96dc-d6ea14c099f9_story.html" xr:uid="{C11FC70B-7D5F-1D4C-86D2-52F65A2FC59D}"/>
    <hyperlink ref="E6356" r:id="rId485" display="http://www.peacefulalternatives.com/fh/obituaries/obituary.cfm?o_id=2458194&amp;fh_id=14153" xr:uid="{D3D5A546-D219-4B44-ACA7-C3C3C70306A2}"/>
    <hyperlink ref="Q6361" r:id="rId486" display="http://www.ajc.com/news/news/local/man-shot-and-killed-by-forsyth-county-deputies/nfFC8/" xr:uid="{7D51DA0A-C412-A747-832E-67D1DC1F1DCF}"/>
    <hyperlink ref="Q6369" r:id="rId487" display="http://www.firstcoastnews.com/story/news/crime/2014/03/15/lake-city-killed-police/6457449/" xr:uid="{CA26B851-0FD4-0F4D-AF22-9B8FE9130D88}"/>
    <hyperlink ref="Q6380" r:id="rId488" display="http://www.reviewjournal.com/news/las-vegas/north-las-vegas-police-face-lawsuit-deadly-shooting-homeless-man" xr:uid="{59F713C5-962C-E143-A7D5-8818B6204665}"/>
    <hyperlink ref="Q6386" r:id="rId489" display="http://www.newssun.com/news/article_513fe971-a208-543b-8a5c-71ff2376804d.html" xr:uid="{8FE778F3-8B21-A84E-A240-ACA85D6F77B8}"/>
    <hyperlink ref="Q6391" r:id="rId490" display="http://collegian.csufresno.edu/2014/03/07/woman-shot-twice-killed-by-fresno-police-officer-in-apartment-complex-west-of-campus/" xr:uid="{6B68FB11-D4BA-D54F-8EF6-837C5F2A787A}"/>
    <hyperlink ref="Q6399" r:id="rId491" display="http://www.indystar.com/story/news/crime/2014/03/05/4-indianapolis-swat-officers-shot-suspect-is-killed/6097619/" xr:uid="{EC2A3268-76F5-A54E-819C-656A6FE009BA}"/>
    <hyperlink ref="Q6421" r:id="rId492" display="http://www.utsandiego.com/news/2014/feb/26/suicidal-man-rifle-downtown-san-diego/" xr:uid="{69F2594C-5672-9840-A56A-8FD8CBC3AC09}"/>
    <hyperlink ref="Q6420" r:id="rId493" display="http://www.news-gazette.com/news/local/2014-02-26/state-police-investigate-fatal-shooting-after-chase-danville.html" xr:uid="{869365B2-293C-A04B-8991-961B6E1D9FBC}"/>
    <hyperlink ref="Q6423" r:id="rId494" display="http://thenewsherald.com/articles/2014/02/28/news/doc5310a54ba9b5b176742526.txt" xr:uid="{B4882157-BA76-D648-A5C1-E43857D28F57}"/>
    <hyperlink ref="Q6446" r:id="rId495" display="http://www.abc15.com/dpp/news/region_phoenix_metro/central_phoenix/phoenix-police-investigating-officer-involved-shooting-near-19th-avenue-and-culver-street" xr:uid="{0F1F4F2C-EE75-684E-8D69-2F469B8098DA}"/>
    <hyperlink ref="Q6447" r:id="rId496" display="http://www.chronline.com/article_b54aecd0-94b9-11e3-8b34-001a4bcf887a.html" xr:uid="{AFEFD2BD-7D0C-9E48-8190-FEC325998B5A}"/>
    <hyperlink ref="Q6450" r:id="rId497" display="http://chippewa.com/dunnconnect/news/local/suspect-shot-during-search-warrant-in-town-of-red-cedar/article_c7a4ae88-2f57-59fd-a566-2ee0bef8573b.html" xr:uid="{4876AC8F-0224-194D-970D-3148536FE612}"/>
    <hyperlink ref="Q6451" r:id="rId498" display="http://www.spokesman.com/stories/2014/feb/11/possible-officer-involved-shooting-spokane-valley/" xr:uid="{24BAF883-F804-5140-A74E-E17E2FA613E5}"/>
    <hyperlink ref="Q6458" r:id="rId499" display="http://www.washingtonpost.com/news/morning-mix/wp/2015/04/08/south-carolina-cop-now-faces-felony-charge-for-fatally-shooting-a-black-man-in-his-driveway/" xr:uid="{8DB914E7-64A3-E34F-A3EC-2078FAD5CB6F}"/>
    <hyperlink ref="E6455" r:id="rId500" display="http://kollegekidd.com/news/friends-family-remember-slain-robbery-suspect-deonta-mackey/" xr:uid="{03E234A5-85B0-A843-A93B-516F54D763FB}"/>
    <hyperlink ref="Q6462" r:id="rId501" display="http://www.ktbs.com/story/24667057/officer-involved-shooting-in-ruston-leaves-one-dead" xr:uid="{E40ADB9A-599B-3043-9AF6-08051C594E53}"/>
    <hyperlink ref="Q6466" r:id="rId502" display="http://www.delmarvanow.com/article/20140205/NEWS/302050037" xr:uid="{AD3D420F-329C-BB47-9DBE-D4297D6D5839}"/>
    <hyperlink ref="Q6468" r:id="rId503" display="http://www.wtxl.com/news/update-officer-involved-shooting-at-taylor-county-car-dealership/article_a27a9ab0-8e83-11e3-8e81-0017a43b2370.html" xr:uid="{D017D2C7-F9F2-C74E-9CC7-3B84039C9556}"/>
    <hyperlink ref="Q6472" r:id="rId504" display="http://www.sfgate.com/crime/article/Hayward-police-shoot-and-kill-armed-woman-5205798.php" xr:uid="{1DB20093-DCAB-5C4D-8040-57A5DDDCC926}"/>
    <hyperlink ref="E6477" r:id="rId505" display="http://thumbs.mugshots.com/gallery/images/8d/63/Kevin-Dejon-Grissett-mugshot-24130338.400x800.jpg" xr:uid="{122B0750-5445-EE45-AC7B-3B5C9CADC585}"/>
    <hyperlink ref="E6479" r:id="rId506" display="http://bloximages.newyork1.vip.townnews.com/scnow.com/content/tncms/assets/v3/editorial/9/af/9af467d9-6895-55d0-a65f-5d532b203c84/52f5bad3778ea.preview-300.jpg" xr:uid="{8BFD7A4F-BE9F-3E40-8BF9-8E15260B0F19}"/>
    <hyperlink ref="Q6482" r:id="rId507" display="http://www.ivpressonline.com/news/local/one-suspect-dead-in-el-centro-shooting/article_8fb45b2a-8a44-11e3-8222-001a4bcf6878.html" xr:uid="{8159C229-D870-964C-BDDE-F6D2E4E02273}"/>
    <hyperlink ref="Q6499" r:id="rId508" display="http://www.goupstate.com/article/20140124/ARTICLES/140129757?p=1&amp;tc=pg" xr:uid="{8C7C29A4-AEA6-A946-984D-91FCBA5F0F43}"/>
    <hyperlink ref="Q6506" r:id="rId509" display="http://www.wdef.com/news/story/Sequatchie-Community-Mourns-Loss-Of-Josh-Layne/r6DlJk-F4kOv8aqGvHyA1g.cspx" xr:uid="{4013C6D7-B781-DB44-8D13-35ACF299D2F9}"/>
    <hyperlink ref="Q6528" r:id="rId510" display="http://www.wptv.com/news/state/gregory-vaughn-hill-jr-fort-pierce-man-ided-in-fatal-deputy-involved-shooting" xr:uid="{FB32CB6A-18AA-FA45-869C-697D50AE8BAD}"/>
    <hyperlink ref="E6529" r:id="rId511" display="http://www.wyliefh.com/printguestbook.php?id=2166&amp;rid=15392" xr:uid="{7B9ADAC2-5B24-EB4C-A5E7-23D9A57348D5}"/>
    <hyperlink ref="Q6529" r:id="rId512" display="http://www.baltimoresun.com/news/maryland/crime/blog/bal-police-investigating-officerinvolved-shooting-in-east-baltimore-20140113,0,4169034.story" xr:uid="{5893AC88-47CC-6A4B-9F39-5C009E44B26C}"/>
    <hyperlink ref="Q6549" r:id="rId513" display="http://newsok.com/police-release-name-of-man-killed-in-officer-involved-shooting/article/3920773" xr:uid="{DF7C7FB4-4855-4E4D-BC1B-10BD2621C4F5}"/>
    <hyperlink ref="Q6556" r:id="rId514" display="http://www.nwfdailynews.com/local/suspect-killed-officers-shot-in-crestview-incident-1.257150" xr:uid="{C120D153-AD7D-EB47-BDE3-ED6382DCB284}"/>
    <hyperlink ref="Q6560" r:id="rId515" display="http://www.wilsontimes.com/News/Feature/Story/28048226---Deputies--Man-fatally-shot-after-killing-2" xr:uid="{7C77A756-EE20-8146-9A48-6526EB778076}"/>
    <hyperlink ref="Q6573" r:id="rId516" display="http://newsok.com/man-shot-by-oklahoma-highway-patrol-trooper-was-correction-center-escapee/article/3919183" xr:uid="{7E55BA4B-83C2-2449-B97D-E0FFC81A73FC}"/>
    <hyperlink ref="Q6585" r:id="rId517" display="http://newsok.com/oklahoma-parents-say-son-needed-help-instead-custer-county-sheriffs-deputies-shot-him/article/3929841" xr:uid="{52174184-A3D4-CC42-9D40-CBE04DBA8FF6}"/>
    <hyperlink ref="Q6661" r:id="rId518" display="http://www.kens5.com/story/local/2014/09/26/10621720/" xr:uid="{407603A1-23AB-0B42-B3B3-F7A0A53A57AD}"/>
    <hyperlink ref="Q6587" r:id="rId519" display="http://blog.al.com/montgomery/2013/12/phenix_city_police_fatally_sho.html" xr:uid="{50DB84DC-CD92-944D-ABA4-380FFF805C97}"/>
    <hyperlink ref="Q6588" r:id="rId520" display="http://www.indystar.com/story/news/crime/2013/12/18/impd-officer-fatally-shoots-man-on-southeastside/4110911/" xr:uid="{9409A4EB-A709-5A4B-B273-53EEFBBEB162}"/>
    <hyperlink ref="Q6608" r:id="rId521" display="http://www.local10.com/news/man-dead-after-shootout-with-swat/23386254" xr:uid="{F7BFAD28-FEAD-4647-AB34-5273CF27DE89}"/>
    <hyperlink ref="Q6617" r:id="rId522" display="http://www.today.com/news/unjustified-family-student-killed-campus-police-speaks-out-2D11723684" xr:uid="{60192254-96AC-F943-B0BE-8E47F28DF334}"/>
    <hyperlink ref="Q6666" r:id="rId523" display="http://www.presstelegram.com/general-news/20131120/man-shot-killed-by-long-beach-police-identified-as-from-rialto" xr:uid="{1E54FB28-6E5C-1143-B06F-287A5D7775C2}"/>
    <hyperlink ref="Q6679" r:id="rId524" display="http://www.startribune.com/local/west/232358621.html" xr:uid="{79AF72A7-F138-314C-AF48-5203164EBA21}"/>
    <hyperlink ref="Q6686" r:id="rId525" display="http://www.jsonline.com/news/crime/shots-fired-in-downtown-milwaukee-b99139596z1-231430101.html" xr:uid="{1FC6843F-96A7-B645-9D70-24748889B46D}"/>
    <hyperlink ref="Q6720" r:id="rId526" display="http://crimeblog.dallasnews.com/2013/10/duncanville-police-fatally-shoot-suspect-monday-morning.html/" xr:uid="{EAA4F126-C23A-E447-A90B-C0226960AEE4}"/>
    <hyperlink ref="Q6752" r:id="rId527" display="http://sfappeal.com/2013/10/sf-man-shot-to-death-by-san-mateo-police/" xr:uid="{8B15C039-1DAF-A546-80EC-7C275D8B0FD5}"/>
    <hyperlink ref="Q6758" r:id="rId528" display="http://www.koat.com/news/fatal-roswell-shootout-caught-on-camera/22577824" xr:uid="{5745018A-9361-6646-9B64-B0BC880279A3}"/>
    <hyperlink ref="Q6776" r:id="rId529" display="http://www.myfoxmemphis.com/story/24329596/medical-examiner-rules-cause-of-death-aaron-dumas" xr:uid="{C4448B93-3DEE-104F-9CAF-3C1C7F955B02}"/>
    <hyperlink ref="Q6793" r:id="rId530" display="http://bangordailynews.com/2013/10/10/news/bangor/police-identify-2-dead-in-old-town-stabbing-standoff/" xr:uid="{EF26606E-3782-6F47-A860-607875B95704}"/>
    <hyperlink ref="Q6803" r:id="rId531" display="http://www.chicagotribune.com/news/local/breaking/chi-at-least-1-wounded-in-policeinvolved-shooting-in-posen-20131004,0,7140004.story" xr:uid="{5B33E8CC-8AC8-BB49-968B-E838C8A89104}"/>
    <hyperlink ref="Q6812" r:id="rId532" display="http://pgpolice.blogspot.com/2013/10/pgpd-investigates-police-involved.html" xr:uid="{A314A451-F0FF-D24F-B588-02CD9B913F10}"/>
    <hyperlink ref="Q6813" r:id="rId533" display="http://abc13.com/archive/9270067/" xr:uid="{B49A3864-578C-B44C-B7A0-232E3E270593}"/>
    <hyperlink ref="Q6823" r:id="rId534" display="http://www.presstelegram.com/general-news/20130926/long-beach-police-kill-man-in-departments-third-ois-in-past-week" xr:uid="{03990ACD-1CC4-2B4B-8226-513BC97E9941}"/>
    <hyperlink ref="Q6838" r:id="rId535" display="http://www.denverpost.com/breakingnews/ci_24147149/police-fatally-shoot-denver-bank-robbery-suspect" xr:uid="{2B050EFC-E3D9-4948-AF20-8CDF3680F608}"/>
    <hyperlink ref="Q6837" r:id="rId536" display="http://www.culvercityobserver.com/story/2013/10/10/news/man-shot-at-ccpd-hq-identified/3089.html" xr:uid="{64E2963C-0DB4-4A4C-BF1D-38BCCF1CD71C}"/>
    <hyperlink ref="Q6843" r:id="rId537" display="http://homicide.latimes.com/post/ruben-ramos-escobedo/" xr:uid="{96213942-7B7F-4548-B848-8797A7EAB9F0}"/>
    <hyperlink ref="Q6842" r:id="rId538" display="http://articles.orlandosentinel.com/2013-09-18/news/os-winter-garden-officer-involved-shooting-20130918_1_winter-garden-man-unarmed-man-roommate" xr:uid="{71C179CA-83A2-C049-9B99-41FB7BCE875F}"/>
    <hyperlink ref="Q6864" r:id="rId539" location="axzz2eJeAaiTJ" display="http://triblive.com/news/allegheny/4669466-74/officer-police-victim - axzz2eJeAaiTJ" xr:uid="{4798EAA9-4C24-044A-ABB7-D4B2E2496275}"/>
    <hyperlink ref="Q6882" r:id="rId540" display="http://www.wtva.com/news/national/story/Grand-jury-no-indictments-in-officer-involved/EE5Am7KlmUmIECC8X0k4Wg.cspx" xr:uid="{A5328012-4852-A440-B002-29EAA1705D25}"/>
    <hyperlink ref="Q6905" r:id="rId541" display="http://www.washingtonpost.com/blogs/local/wp/2014/07/08/ten-months-of-silence-in-the-fairfax-police-shooting-death-of-john-geer/" xr:uid="{4E1A4B34-02AA-FF49-A5C8-CE258D5E2E3E}"/>
    <hyperlink ref="Q6907" r:id="rId542" display="http://homicide.latimes.com/post/dennis-hakeen-vasquez/" xr:uid="{75DDA3E1-4BC0-5E46-A111-F267626BCD02}"/>
    <hyperlink ref="Q6925" r:id="rId543" display="http://www.pe.com/articles/palmer-674426-deputies-phillips.html" xr:uid="{7FADD9B2-E96C-204E-894B-24886BB3A003}"/>
    <hyperlink ref="Q6924" r:id="rId544" display="http://www.khq.com/story/23228789/officer-involved-shooting-in-n-spokane" xr:uid="{E37B4B0D-9299-E04E-ACFA-954CDBAE8834}"/>
    <hyperlink ref="Q6957" r:id="rId545" display="http://blog.gulflive.com/mississippi-press-news/2013/10/gloster_police_offer_reinstate.html" xr:uid="{EE908F82-AF72-9A4F-BB2D-ABD73A287ACE}"/>
    <hyperlink ref="Q6968" r:id="rId546" display="http://www.huffingtonpost.com/2013/08/08/james-lee-dimaggio_n_3724734.html" xr:uid="{8F681398-EC71-E14E-9C74-C7C6CB5494AA}"/>
    <hyperlink ref="Q6971" r:id="rId547" display="http://hamptonroads.com/2013/08/man-killed-deputyinvolved-isle-wight-shooting" xr:uid="{67C9F5D3-F604-2F44-B6CE-5D1B4D95B649}"/>
    <hyperlink ref="Q6976" r:id="rId548" display="http://www.theindychannel.com/news/local-news/impd-suspect-dies-while-being-arrested" xr:uid="{0E2108C3-6F98-1645-A611-58FC37CF17F4}"/>
    <hyperlink ref="Q6986" r:id="rId549" display="http://www.huffingtonpost.com/2013/08/05/shaaliver-douse-shooting_n_3705623.html" xr:uid="{340C5DE2-8569-F94C-A03B-FAB9B8DD250A}"/>
    <hyperlink ref="Q6989" r:id="rId550" display="http://kfor.com/2013/08/02/warr-acres-police-involved-in-chase-shooting-reported/" xr:uid="{0D8FAB95-A31B-4347-9F60-1C7FAAC2AC8A}"/>
    <hyperlink ref="Q6997" r:id="rId551" display="http://www.nola.com/crime/index.ssf/2014/04/report_doj_drops_probe_of_fbi-.html" xr:uid="{57687CB3-407B-E349-8769-7E5BBFEFFAC7}"/>
    <hyperlink ref="Q7014" r:id="rId552" display="http://pjmedia.com/tatler/2013/07/30/the-strange-killing-of-larry-eugene-jackson-jr-by-an-austin-police-detective/" xr:uid="{5A0EAAAE-20D2-2341-B144-0199F50C0DD3}"/>
    <hyperlink ref="Q7027" r:id="rId553" display="http://www.wral.com/suspect-killed-in-officer-involved-shooting-identified/12688890/" xr:uid="{37F287C2-0C9C-FC47-AFFE-3679EB18B8E6}"/>
    <hyperlink ref="Q7038" r:id="rId554" display="http://crimeblog.dallasnews.com/2013/07/police-shoot-burglary-suspect-in-confrontation-in-southeast-dallas.html/" xr:uid="{6724E2DE-C8C9-C042-AD9F-C6BFE75B08D0}"/>
    <hyperlink ref="Q7040" r:id="rId555" display="http://explorevenango.com/vigil-rally-held-for-oil-city-woman-fatally-shot-by-police/" xr:uid="{A0BD36B3-51EC-DC45-BF27-14E8856205E0}"/>
    <hyperlink ref="Q7045" r:id="rId556" display="http://hiphopwired.com/2013/07/17/arkansas-cop-kills-wrongfully-suspected-in-car-thief-claims-self-defense/" xr:uid="{63ABC1B3-06BC-CB45-A73C-78E983D91FB6}"/>
    <hyperlink ref="Q7052" r:id="rId557" display="http://newsok.com/family-member-identifies-man-shot-by-oklahoma-city-police/article/3861642" xr:uid="{BB53C45E-9EB5-2040-98AE-CB3FBEDB9720}"/>
    <hyperlink ref="Q7061" r:id="rId558" display="http://www.nj.com/essex/index.ssf/2013/09/woman_files_multi-million_dollar_suit_against_belleville_after_police_shot_husband_24_times.html" xr:uid="{5215C2A5-D82F-EF43-9A02-FD36B5983905}"/>
    <hyperlink ref="Q7067" r:id="rId559" display="http://www.post-gazette.com/stories/local/neighborhoods-north/man-shot-to-death-in-sewickley-694786/" xr:uid="{5231D687-3D49-DC48-9595-4CCC83B500BF}"/>
    <hyperlink ref="Q7168" r:id="rId560" display="http://articles.baltimoresun.com/2013-06-11/news/bs-md-ar-road-rage-bail-20130610_1_police-officer-documents-hudson-county" xr:uid="{D811381C-0B16-BE41-B459-7D7C1C2C34F1}"/>
    <hyperlink ref="Q7203" r:id="rId561" display="http://www.wsfa.com/story/22481859/selma-police-stunned-that-off-duty-officer-killed-two-then-self-over-the-weekend" xr:uid="{712C13CF-E255-004C-B88A-44A57E2EB3C2}"/>
    <hyperlink ref="Q7236" r:id="rId562" display="http://www.nydailynews.com/new-york/brooklyn/crazed-brooklyn-man-shot-cops-bad-mouthed-article-1.1297528" xr:uid="{F2A76719-9585-B140-B766-47CAF68EF030}"/>
    <hyperlink ref="Q7357" r:id="rId563" display="http://www.palmbeachpost.com/news/news/man-shot-and-killed-by-deputies-near-marriott-in-w/nXR2K/" xr:uid="{68367EC3-9ECD-F54C-8B21-A6469432E155}"/>
    <hyperlink ref="Q7399" r:id="rId564" display="http://www.daytondailynews.com/news/news/crime-law/fbi-working-at-shooting-site/nXDWH/" xr:uid="{80B51151-A25C-6247-B293-3D6E1C6EB695}"/>
    <hyperlink ref="Q7468" r:id="rId565" display="http://crimeblog.dallasnews.com/2013/03/dallas-police-officer-fatally-shoots-suspect-after-major-disturbance-at-apartment-complex.html/" xr:uid="{54F2A0E4-08A0-A34B-B17A-BF9CE98D1AC2}"/>
    <hyperlink ref="Q7472" r:id="rId566" display="http://www.dnainfo.com/new-york/20130310/east-flatbush/police-fatally-shoot-allegedly-armed-teenager-brooklyn" xr:uid="{B7FEB347-6D80-CC44-8237-941C086A64D6}"/>
    <hyperlink ref="Q7477" r:id="rId567" display="http://articles.sun-sentinel.com/2013-03-12/news/fl-boca-officer-involved-named-20130311_1_boca-raton-police-police-officers-facebook-profile" xr:uid="{A8FB3D3A-8C20-6942-89DC-5AC757F6FE92}"/>
    <hyperlink ref="Q7505" r:id="rId568" display="http://www.myfoxhouston.com/story/21431932/suspected-purse-snatcher-shot-by-houston-police-officer" xr:uid="{9D4C4128-9955-A04F-8AD3-EFE316854BC1}"/>
    <hyperlink ref="Q7526" r:id="rId569" display="http://www.phillyburbs.com/news/crime/da-warminster-officer-accidentally-shot-year-old-during-standoff/article_2e02c0de-13d0-54ef-88d7-e00c66713ba5.html" xr:uid="{EAD1522B-DFFC-0642-BAD9-13B30825471A}"/>
    <hyperlink ref="Q7539" r:id="rId570" display="http://www.chron.com/news/houston-texas/houston/article/HPD-kills-person-at-westside-complex-4276703.php" xr:uid="{4CB7A0A4-3C95-C64F-9719-B0BC579BFCA5}"/>
    <hyperlink ref="Q7559" r:id="rId571" display="http://www.wrdw.com/home/headlines/Deputies-respond-to-reports-of-a-shooting-at-Fox-Trace-189340421.html" xr:uid="{F53304F0-75C8-9F4C-97CD-D448593FE4A1}"/>
    <hyperlink ref="Q7568" r:id="rId572" display="http://jacksonville.com/news/crime/2014-09-06/story/lawsuit-pits-family-against-jacksonville-police-over-fatal-police" xr:uid="{2A3086A1-EC31-B44D-9FB9-40FBAAB578AB}"/>
    <hyperlink ref="Q7597" r:id="rId573" display="http://wreg.com/2013/01/18/man-shot-killed-by-memphis-police/" xr:uid="{E472BD11-FAD5-F744-8911-488CA5B69F48}"/>
    <hyperlink ref="E7632" r:id="rId574" display="http://www.baynews9.com/content/dam/news/images/2012/12/Suspect-killed-110.jpg" xr:uid="{A4CC686D-823F-5E41-A032-649E27334FE0}"/>
    <hyperlink ref="Q7632" r:id="rId575" display="http://www.baynews9.com/content/news/baynews9/news/article.html/content/news/articles/bn9/2013/1/10/with_deputy_in_fight.html" xr:uid="{84BA6C08-4B53-564E-A021-64C7E63AA60F}"/>
    <hyperlink ref="Q7649" r:id="rId576" display="http://miami.cbslocal.com/2013/01/07/family-of-man-killed-in-police-involved-shooting-demands-answers/" xr:uid="{CEC31766-172A-BF4E-AA56-A25E95E53FAF}"/>
    <hyperlink ref="E7655" r:id="rId577" display="http://www.trbimg.com/img-50e7a90e/turbine/peter-jourdan-of-allentown.jpg-20130104/600" xr:uid="{66C12066-CC22-3D42-A8FB-E712CDD28F75}"/>
    <hyperlink ref="E7660" r:id="rId578" display="http://www.tricitytribuneusa.com/wp-content/uploads/Chavez_Mug0642-300x300.jpg" xr:uid="{654EDA42-D87F-124B-8E40-08B2722A75F7}"/>
    <hyperlink ref="Q4596" r:id="rId579" xr:uid="{9DD412DC-2FFB-C444-9807-5813CA82A0AA}"/>
    <hyperlink ref="A4597" r:id="rId580" xr:uid="{42F51A40-AB3F-D448-B921-4A6597460A75}"/>
    <hyperlink ref="A4600" r:id="rId581" xr:uid="{A3BD2BA3-9045-0643-B255-A05B1D57C9E2}"/>
    <hyperlink ref="Q4600" r:id="rId582" xr:uid="{120104D4-2652-0A4C-9963-4671CAA3341E}"/>
    <hyperlink ref="A4605" r:id="rId583" xr:uid="{FFD53B92-FCE9-214A-810A-AFD543BBF8FD}"/>
    <hyperlink ref="Q4605" r:id="rId584" xr:uid="{433A7571-1347-DD4C-9EF8-03420397F4E6}"/>
    <hyperlink ref="A4602" r:id="rId585" xr:uid="{F3BA877C-8C10-7D4B-B0AB-FF19EA2EE46F}"/>
    <hyperlink ref="A4610" r:id="rId586" xr:uid="{A5F5DF0F-FD3A-4F42-ADEF-0277F8C98C1B}"/>
    <hyperlink ref="A4608" r:id="rId587" xr:uid="{40AEE212-1D32-8542-AB31-018AA10B741F}"/>
    <hyperlink ref="A4618" r:id="rId588" xr:uid="{CEAED386-E553-5E4A-9C1A-478FD04DCE40}"/>
    <hyperlink ref="Q4618" r:id="rId589" xr:uid="{6640E13D-BE34-074B-BF02-BA4D070E3A33}"/>
    <hyperlink ref="A4611" r:id="rId590" xr:uid="{10E58B33-10FD-354D-8AA0-42E228C798B5}"/>
    <hyperlink ref="Q4611" r:id="rId591" xr:uid="{6846812A-2DA1-2542-8F6E-A81A4F242E81}"/>
    <hyperlink ref="Q4615" r:id="rId592" xr:uid="{CCBD5754-AE91-CE4A-A211-07A7BDF9A6C2}"/>
    <hyperlink ref="A4625" r:id="rId593" xr:uid="{425A0AA3-0A81-0748-BA04-CE1581121B2B}"/>
    <hyperlink ref="Q4624" r:id="rId594" xr:uid="{EFE20038-03C9-2E43-85E1-63364AD5CDFF}"/>
    <hyperlink ref="A4623" r:id="rId595" xr:uid="{F5A7F1CB-2705-C245-A8D3-C4D9745CF1B7}"/>
    <hyperlink ref="A4626" r:id="rId596" xr:uid="{CA7C6389-B9F7-D34C-9417-E71A0619FD79}"/>
    <hyperlink ref="A4631" r:id="rId597" xr:uid="{68548038-39DE-4445-A61B-82562B67157A}"/>
    <hyperlink ref="Q4631" r:id="rId598" xr:uid="{CE3FE7B9-F364-A443-9DE1-8FBDEBD2BDAC}"/>
    <hyperlink ref="A4629" r:id="rId599" xr:uid="{54A55D8B-4C08-CC4E-AC2D-11491E01522F}"/>
    <hyperlink ref="A4630" r:id="rId600" xr:uid="{92ECD54C-11A9-1C44-8A6F-2FD06AD0FEAB}"/>
    <hyperlink ref="A4627" r:id="rId601" xr:uid="{B5BF2102-66FC-BB48-89D6-AF8A7F148D43}"/>
    <hyperlink ref="Q4627" r:id="rId602" xr:uid="{13F23193-EF93-7E40-A7ED-19A9D50A288F}"/>
    <hyperlink ref="A4628" r:id="rId603" xr:uid="{9523C24A-9CD2-D046-8E95-3858758B4009}"/>
    <hyperlink ref="A4635" r:id="rId604" xr:uid="{07200146-0EA2-5F40-A1CA-CA755DF09901}"/>
    <hyperlink ref="A4634" r:id="rId605" xr:uid="{A6EE467E-BB05-A64B-A406-0986A8AF8AD8}"/>
    <hyperlink ref="A4636" r:id="rId606" xr:uid="{CFC11DC8-901D-0449-90DE-09696E6795B4}"/>
    <hyperlink ref="Q4636" r:id="rId607" xr:uid="{92E942FD-B6E5-434F-B88C-BE5F40877C02}"/>
    <hyperlink ref="A4641" r:id="rId608" xr:uid="{721C20D8-417C-2545-8A2D-3C713804F7C8}"/>
    <hyperlink ref="Q4642" r:id="rId609" xr:uid="{011C3AF3-7320-8A4C-A249-FFD50280CA2D}"/>
    <hyperlink ref="Q4646" r:id="rId610" xr:uid="{760CA658-9C39-364A-996A-A66580FA9E5D}"/>
    <hyperlink ref="Q4644" r:id="rId611" xr:uid="{35604581-9278-AE4A-B8A6-9D1A60118804}"/>
    <hyperlink ref="A4650" r:id="rId612" xr:uid="{A3D273D9-D209-B346-98FD-2C2014968BF6}"/>
    <hyperlink ref="A4648" r:id="rId613" xr:uid="{B6F93372-FF25-2A4D-B89A-FDEAB40EEDDE}"/>
    <hyperlink ref="A4651" r:id="rId614" xr:uid="{CB39762E-E453-7F4E-ACFE-7AA2030B1DA9}"/>
    <hyperlink ref="A4657" r:id="rId615" xr:uid="{07434F99-329E-2F43-86B3-802E1D4E7CB5}"/>
    <hyperlink ref="A4659" r:id="rId616" xr:uid="{F1CEA547-04E6-D543-83C0-878F512E02D5}"/>
    <hyperlink ref="A4669" r:id="rId617" xr:uid="{BB708262-63C4-2244-BF22-89AEC12439EE}"/>
    <hyperlink ref="A4665" r:id="rId618" xr:uid="{9F3D8DA9-7527-FD4C-9FAE-44307F30F47D}"/>
    <hyperlink ref="A4668" r:id="rId619" xr:uid="{F1A875D4-B05A-ED44-A77D-23F11CEEDCB5}"/>
    <hyperlink ref="A4674" r:id="rId620" xr:uid="{4B905292-8B96-784C-BB5F-555DD80E8952}"/>
    <hyperlink ref="A4591" r:id="rId621" xr:uid="{972F9741-6F72-F64F-9662-EE420CDC034E}"/>
    <hyperlink ref="A4663" r:id="rId622" xr:uid="{A996D319-7F84-5F4A-A387-E9E90E8792B6}"/>
    <hyperlink ref="A4652" r:id="rId623" display="Linda Lee Lush, 50" xr:uid="{55AAB049-7F9B-D445-A7F4-F7FA822CC608}"/>
    <hyperlink ref="A4509" r:id="rId624" display="Zachary Grigsby, 29" xr:uid="{65102777-4A0A-684C-86E1-E7096FD76FFE}"/>
    <hyperlink ref="A4511" r:id="rId625" display="Lionel Kerns, 53" xr:uid="{4B87A9AD-D39C-2341-ADFB-A22D5C629715}"/>
    <hyperlink ref="A4513" r:id="rId626" display="Justin D. McHenry, 22" xr:uid="{9966CBD5-0A9B-8C4E-8C75-1A7891AB2D4A}"/>
    <hyperlink ref="A4512" r:id="rId627" display="Hugo Fernando Celio, 23" xr:uid="{5A9EC97A-351F-9642-BA96-70C345E1D516}"/>
    <hyperlink ref="A4519" r:id="rId628" display="Magnum Edgar Phillips, 23" xr:uid="{E5563881-C631-A046-8DAE-ABAFE1F2AC30}"/>
    <hyperlink ref="A4518" r:id="rId629" display="Somer Brook Speer, 37" xr:uid="{21046A5C-AF0D-E242-AACF-F601AF3DF5AC}"/>
    <hyperlink ref="A4522" r:id="rId630" display="Michael Gerald Ray Kirvelay, 45" xr:uid="{40759A4B-3F1D-E942-A97A-5A4CA285EC8A}"/>
    <hyperlink ref="A4521" r:id="rId631" display="Thomas Joseph McEniry, 32" xr:uid="{96D68A52-E11F-9041-BF58-87E1A205205C}"/>
    <hyperlink ref="A4524" r:id="rId632" display="Barry Kirk, 50" xr:uid="{BD264822-0517-4742-91AB-188852924B17}"/>
    <hyperlink ref="A4525" r:id="rId633" display="Henry Reyna, 49" xr:uid="{B0EAB16E-658B-8042-9A16-26CCBAB3F8AF}"/>
    <hyperlink ref="A4527" r:id="rId634" display="Mathew Grows, 45" xr:uid="{62FD48F0-0A32-AE4D-A662-1F0CA59BE80D}"/>
    <hyperlink ref="A4529" r:id="rId635" display="Christopher Lynn Nichols, 24" xr:uid="{ED27694A-A66A-DD48-A729-8A5D28A30300}"/>
    <hyperlink ref="A4528" r:id="rId636" display="James Daniel Hall, 46" xr:uid="{5447A454-A3D2-8440-A50C-4FDD07D1BA81}"/>
    <hyperlink ref="A4531" r:id="rId637" display="Chase Alan Sherman, 32" xr:uid="{A2B161DD-D9A5-AA4B-B674-9B1EFE289208}"/>
    <hyperlink ref="A4533" r:id="rId638" display="William Tarrant, 39" xr:uid="{F2FF3A61-9CBF-004D-B89E-E89C83AAF3B7}"/>
    <hyperlink ref="A4542" r:id="rId639" display="Francis Hartnett, 47" xr:uid="{46CBB90F-D7EE-5147-86B0-1B8BE9529E71}"/>
    <hyperlink ref="A4565" r:id="rId640" display="Andrew Blake, 22" xr:uid="{E62839F4-26A8-1B4A-BABA-EA2EA6062864}"/>
    <hyperlink ref="A4546" r:id="rId641" display="Brett Kelby Noblitt, 25" xr:uid="{031BBA9C-0B31-F442-82CC-2E1636133D6E}"/>
    <hyperlink ref="A4551" r:id="rId642" display="John Livingston, 33" xr:uid="{DA292060-2DB8-2540-B461-7A0870E8E642}"/>
    <hyperlink ref="A4555" r:id="rId643" display="Ernesto Gamino, 25" xr:uid="{DE55C4FD-5602-8F4E-9E72-04AD580DBF25}"/>
    <hyperlink ref="A4556" r:id="rId644" display="Matthew Eric Coleman, 25" xr:uid="{A86E0E64-C62C-8E4D-AA42-FA9C78F79AAD}"/>
    <hyperlink ref="A4557" r:id="rId645" display="Moises Nerio, 42" xr:uid="{CDC79D51-0D6F-DF42-B65B-D44E01DB98A6}"/>
    <hyperlink ref="A4561" r:id="rId646" display="Brian H. Gavin Sr., 57" xr:uid="{279397E9-5C14-5B49-9D0E-4E1BC97EE37A}"/>
    <hyperlink ref="A4558" r:id="rId647" display="Javier Lopez Garcia, 25" xr:uid="{C7502A92-0A3A-014F-800F-9DAE7E18E8ED}"/>
    <hyperlink ref="A4559" r:id="rId648" display="Joseph Jaramillo, 31" xr:uid="{DA8705F4-3001-5542-A7BD-4A5D47B70A46}"/>
    <hyperlink ref="A4563" r:id="rId649" display="Jason Leanard Mesaros, 36" xr:uid="{73929521-255D-044B-BCCC-4A3F4BF0EF92}"/>
    <hyperlink ref="A4564" r:id="rId650" display="Eddie Gabriel Sanchez Jr., 34" xr:uid="{FB1D7224-0F93-7A4E-ADFF-2A2AA7495BB2}"/>
    <hyperlink ref="A4570" r:id="rId651" display="Leonel Acevedo, 45" xr:uid="{8889EBA2-DE29-9E4D-ABE1-B8AD090E88FC}"/>
    <hyperlink ref="A4567" r:id="rId652" display="Dale Maverick Hudson, 26" xr:uid="{35797BAF-C901-5F47-A60D-D9C5FD9E7190}"/>
    <hyperlink ref="A4576" r:id="rId653" display="Kim Lee Long, 48" xr:uid="{28A7EA95-84AE-6F4C-B5B2-5640BF177A60}"/>
    <hyperlink ref="A4566" r:id="rId654" display="Miguel Cano, 34" xr:uid="{A8C193CC-4BBF-3C47-8F92-239B47ADA1EF}"/>
    <hyperlink ref="A4569" r:id="rId655" display="Cesar Cuellar Jr., 25" xr:uid="{CD479BE1-4A97-A246-ABBA-14E699F000AD}"/>
    <hyperlink ref="A4574" r:id="rId656" display="James Francis Smyth, 55" xr:uid="{9EACA726-3C48-5145-8956-A4231B7A8559}"/>
    <hyperlink ref="A4573" r:id="rId657" display="Michael Gregory Johnson, 51" xr:uid="{7AF186DD-B90F-FD48-91FC-3DE3970BEB50}"/>
    <hyperlink ref="A4580" r:id="rId658" display="David Michael Romanoski, 48" xr:uid="{A04A1DE1-D6D5-864C-9E68-290B95800E2B}"/>
    <hyperlink ref="A4578" r:id="rId659" display="James Wayne Bigley, 20" xr:uid="{D5FC52C0-5F95-2A45-96B3-CF97CAFBDF20}"/>
    <hyperlink ref="A4584" r:id="rId660" display="Timothy Gene Smith, 47" xr:uid="{EC4FA775-1331-DD4B-95C7-67E518740370}"/>
    <hyperlink ref="A4582" r:id="rId661" display="Faisal Mohammad, 18" xr:uid="{576596E9-A5D9-514B-B95A-C914A9C75716}"/>
    <hyperlink ref="A4583" r:id="rId662" display="Joseph M. Tyndall, 30" xr:uid="{933C3705-A9F8-CE4A-97CD-21F92DEA0042}"/>
    <hyperlink ref="A4585" r:id="rId663" display="Jeremy David Mardis, 6" xr:uid="{41D10779-F5F1-6F42-A8F0-5A8E5A9B2425}"/>
    <hyperlink ref="A4588" r:id="rId664" display="Jack Yantis, 62" xr:uid="{B4CD112F-D98F-9A43-80BA-827117EA8E18}"/>
    <hyperlink ref="A4587" r:id="rId665" display="Luverne Roy Christensen, 49" xr:uid="{B88674B9-FFF3-BD41-B15F-8FFBCD0ABF9D}"/>
    <hyperlink ref="A4589" r:id="rId666" display="Killian O’Quinn, 20" xr:uid="{C5435790-A2E4-2440-8CA4-CB5028EBCBA4}"/>
    <hyperlink ref="Q4507" r:id="rId667" xr:uid="{CFCDF6B4-5D51-434C-8E5A-03698002B440}"/>
    <hyperlink ref="Q4509" r:id="rId668" xr:uid="{CDDE5B08-8127-9944-8E0F-B9D80E896FA6}"/>
    <hyperlink ref="Q4510" r:id="rId669" xr:uid="{62FB6B1E-E108-B24B-95F0-416B51B8A9F6}"/>
    <hyperlink ref="Q4511" r:id="rId670" xr:uid="{10094A2B-63C6-9543-8531-D6585C775324}"/>
    <hyperlink ref="Q4513" r:id="rId671" xr:uid="{82F457C3-AE29-0542-8C80-62CD2BE5E93D}"/>
    <hyperlink ref="Q4512" r:id="rId672" xr:uid="{2E03CC60-A2F6-6443-A963-C6605C71E22C}"/>
    <hyperlink ref="Q4514" r:id="rId673" xr:uid="{23C47F17-585F-4B43-B351-4EFDA4456F0A}"/>
    <hyperlink ref="Q4515" r:id="rId674" xr:uid="{771ABE7E-8CA6-2644-971F-69D2492E7AF5}"/>
    <hyperlink ref="Q4519" r:id="rId675" xr:uid="{DA789214-8979-A246-8059-8DA20CBE4DF2}"/>
    <hyperlink ref="Q4518" r:id="rId676" xr:uid="{371B23CB-A662-CB43-B2C6-94B8EB5EC359}"/>
    <hyperlink ref="Q4520" r:id="rId677" xr:uid="{6639BD1C-CBEF-104E-BD70-690C7E1A6FC9}"/>
    <hyperlink ref="Q4522" r:id="rId678" xr:uid="{39974A52-D6C6-CF46-BA19-BFE339748397}"/>
    <hyperlink ref="Q4521" r:id="rId679" xr:uid="{2529E0A8-615B-C44B-809C-2A1CB455C548}"/>
    <hyperlink ref="Q4524" r:id="rId680" xr:uid="{754F0E12-3D91-8E4C-ACF5-522F5C773728}"/>
    <hyperlink ref="Q4525" r:id="rId681" xr:uid="{35037F94-AA41-6F4F-BD0C-E00358461F0F}"/>
    <hyperlink ref="Q4526" r:id="rId682" xr:uid="{E7DAEA51-7007-4A40-B3AB-52429BAA47C3}"/>
    <hyperlink ref="Q4527" r:id="rId683" xr:uid="{C470A43E-A176-2645-B0F0-D14001DEBDDD}"/>
    <hyperlink ref="Q4529" r:id="rId684" xr:uid="{4086F127-81D7-FC4E-9CC1-A78C7AF5D52C}"/>
    <hyperlink ref="Q4528" r:id="rId685" xr:uid="{E14247E3-0169-C94B-BB95-67A6B56E0319}"/>
    <hyperlink ref="Q4530" r:id="rId686" xr:uid="{CE87806F-3D64-CC40-A319-F500E7A5C63A}"/>
    <hyperlink ref="Q4533" r:id="rId687" xr:uid="{77CB847F-D10D-814D-A515-FDF8CCA39653}"/>
    <hyperlink ref="Q4542" r:id="rId688" xr:uid="{CC8ACCE1-5831-8F4A-892B-DFC142451F32}"/>
    <hyperlink ref="Q4543" r:id="rId689" xr:uid="{10D42056-9A4B-A14A-9F92-16178FF4DBEE}"/>
    <hyperlink ref="Q4544" r:id="rId690" xr:uid="{AD581A60-5302-BC4B-B2DF-957A4DAEFCB1}"/>
    <hyperlink ref="Q4565" r:id="rId691" xr:uid="{81F4EBBB-8BF4-934D-ACC7-039D647545FB}"/>
    <hyperlink ref="Q4546" r:id="rId692" xr:uid="{75949A13-B9E4-A344-8E16-21924F98BB04}"/>
    <hyperlink ref="Q4551" r:id="rId693" xr:uid="{6E0F9E6B-AF27-A448-BAC4-7EF350E8D420}"/>
    <hyperlink ref="Q4553" r:id="rId694" xr:uid="{C5852479-D43F-CC4E-BA03-2476F13EF61A}"/>
    <hyperlink ref="Q4554" r:id="rId695" xr:uid="{58E4D754-32B7-CD45-9D80-4C19374B0B62}"/>
    <hyperlink ref="Q4555" r:id="rId696" xr:uid="{FA2AB182-A4BA-124C-8638-D28776BCD222}"/>
    <hyperlink ref="Q4556" r:id="rId697" xr:uid="{2CD44E83-4CDF-5547-B64D-6B31BE23A8F2}"/>
    <hyperlink ref="Q4557" r:id="rId698" xr:uid="{7396C615-FF1A-B14E-A759-551E38824E91}"/>
    <hyperlink ref="Q4561" r:id="rId699" xr:uid="{F009250C-42C5-3C4C-8EC1-EBC876F768C8}"/>
    <hyperlink ref="Q4558" r:id="rId700" xr:uid="{EEFF780D-7FCB-CB4F-9DF5-8FE5B4850471}"/>
    <hyperlink ref="Q4559" r:id="rId701" xr:uid="{9591E154-EFF6-D045-8DBC-8E4BEC513C67}"/>
    <hyperlink ref="Q4563" r:id="rId702" xr:uid="{49DBA377-6080-524A-8B93-0AEC8596E016}"/>
    <hyperlink ref="Q4564" r:id="rId703" xr:uid="{FAE05A7C-D8B1-144F-9AA5-60DFE8E1A09C}"/>
    <hyperlink ref="Q4570" r:id="rId704" xr:uid="{80FEFB66-7648-384C-B4E0-D85C37CC8A78}"/>
    <hyperlink ref="Q4567" r:id="rId705" xr:uid="{D800640F-3A8B-764F-81C2-3052E8EB66B2}"/>
    <hyperlink ref="Q4576" r:id="rId706" xr:uid="{3C8C5080-B951-F246-95D9-045EF8C492DD}"/>
    <hyperlink ref="Q4566" r:id="rId707" xr:uid="{086E71A9-D8CD-9949-9B1F-C65B35FADA46}"/>
    <hyperlink ref="Q4569" r:id="rId708" xr:uid="{FAC46DBA-3361-8846-B45F-894652E650DC}"/>
    <hyperlink ref="Q4575" r:id="rId709" xr:uid="{15857690-4127-834D-9B14-5975B6240845}"/>
    <hyperlink ref="Q4574" r:id="rId710" xr:uid="{D94C6345-606A-774B-BC74-01F0993BDC77}"/>
    <hyperlink ref="Q4573" r:id="rId711" xr:uid="{DA54CEEB-4B01-6548-A8D2-274898F6740B}"/>
    <hyperlink ref="Q4577" r:id="rId712" xr:uid="{41AD82E7-9181-4143-9278-9B4647217095}"/>
    <hyperlink ref="Q4579" r:id="rId713" xr:uid="{35D05DDE-9583-6A4A-8EC4-0E79A62D1140}"/>
    <hyperlink ref="Q4580" r:id="rId714" xr:uid="{17E237B1-D048-9C4E-88B4-0A18FC1B4388}"/>
    <hyperlink ref="Q4578" r:id="rId715" xr:uid="{C411A323-3C82-1848-94BE-E16D104D1E5E}"/>
    <hyperlink ref="Q4584" r:id="rId716" xr:uid="{15F0625F-75A1-A340-9DA9-9F6BB81120BE}"/>
    <hyperlink ref="Q4582" r:id="rId717" xr:uid="{B66FB63E-1951-084A-9145-ACE7B0255623}"/>
    <hyperlink ref="Q4583" r:id="rId718" xr:uid="{18B10698-B95F-7A44-801C-52E2F3354954}"/>
    <hyperlink ref="Q4585" r:id="rId719" xr:uid="{84295459-C0F2-5044-A9B1-CD13BD4850FE}"/>
    <hyperlink ref="Q4588" r:id="rId720" xr:uid="{7317E5E7-6651-9644-8BE6-1AE417B6D42F}"/>
    <hyperlink ref="Q4587" r:id="rId721" xr:uid="{8F4230EC-D374-7E43-90B9-DE39F5064AFA}"/>
    <hyperlink ref="Q4589" r:id="rId722" xr:uid="{B1296CD7-B0A9-8746-A156-E64298B1052F}"/>
    <hyperlink ref="Q4972" r:id="rId723" display="http://www.vnews.com/news/newsletter/17857473-95/haverhill-officers-unnamed-nh-ag-wont-give-any-shooting-details" xr:uid="{105D3165-F689-364B-9A9B-F80DF0CFB61D}"/>
    <hyperlink ref="Q4898" r:id="rId724" display="http://www.wxii12.com/news/stabbing-standoff-reported-in-stokes-co/34345684" xr:uid="{80CBD2E0-3EDB-3D4D-A331-0172D4EF8B83}"/>
    <hyperlink ref="Q4963" r:id="rId725" display="http://www.kctv5.com/story/29494552/armed-carjacking-suspect-dead-in-police-shooting" xr:uid="{52C20667-32B5-C54B-B742-2BD59D301504}"/>
    <hyperlink ref="Q4902" r:id="rId726" display="http://www.startribune.com/officer-involved-shooting-at-plymouth-arby-s-leaves-one-man-dead/318383701/" xr:uid="{29F5A608-8289-FA41-A052-38CDAFEC8282}"/>
    <hyperlink ref="Q4937" r:id="rId727" display="http://www.redding.com/homepage-showcase/matthew-graham-killed-in-dunsmuir-shootout-with-officers_38935482" xr:uid="{C104CD4A-F586-8043-B0B6-AAF359243CCD}"/>
    <hyperlink ref="Q4982" r:id="rId728" display="http://abc7.com/news/suspect-holding-knife-killed-in-west-covina-officer-involved-shooting/828284/" xr:uid="{E2C8CBEA-E913-C84A-B2C5-53E99CB9B1A6}"/>
    <hyperlink ref="Q4986" r:id="rId729" display="http://www.nbcsandiego.com/news/local/Man-with-Knife-Shot-Killed-by-San-Diego-Police-Officer-Identified-311679131.html" xr:uid="{EACB5523-0608-A747-ABCD-9923CD44CF33}"/>
    <hyperlink ref="Q4918" r:id="rId730" display="http://www.ksdk.com/story/news/nation/2015/07/20/man-hogtied-police-death/30433375/" xr:uid="{5441850C-1434-8F49-A3BA-D72928D8D1CB}"/>
    <hyperlink ref="Q4933" r:id="rId731" display="http://www.mlive.com/news/grand-rapids/index.ssf/2015/07/no_reason_to_shoot_him_step-da.html" xr:uid="{62BB4840-AD3F-CE49-A71B-6C34055909EC}"/>
    <hyperlink ref="Q4939" r:id="rId732" display="https://www.bostonglobe.com/metro/2015/07/14/roxbury-man-identified-person-fatally-shot-lynn-police-officer-during-drug-investigation/HluhRMJJeFBqMqtUt3gNWP/story.html" xr:uid="{0A8E88C4-9AB6-4942-80D1-8014EDAF491C}"/>
    <hyperlink ref="E4805" r:id="rId733" xr:uid="{6B860373-0146-A649-81A6-FABB214EDEAA}"/>
    <hyperlink ref="E4862" r:id="rId734" xr:uid="{E9EDACB0-5E83-B548-B8F7-8D9B95F93612}"/>
    <hyperlink ref="E4872" r:id="rId735" xr:uid="{A14317CF-2A34-C343-9886-2D1BFA27463D}"/>
    <hyperlink ref="E4868" r:id="rId736" xr:uid="{C74D9C70-C39B-0246-87EA-9B80F084E01E}"/>
    <hyperlink ref="E4869" r:id="rId737" xr:uid="{AABB410E-DBBF-5E42-9A72-CA3D4AF35F50}"/>
    <hyperlink ref="E4871" r:id="rId738" xr:uid="{C73D72AD-D4C7-F940-AAE2-295AC0EE8F20}"/>
    <hyperlink ref="E4845" r:id="rId739" xr:uid="{849B52BB-03A4-B44B-BBE4-B8CB195DD895}"/>
    <hyperlink ref="E4847" r:id="rId740" xr:uid="{A7624140-BF20-C744-B2A7-3311473D7132}"/>
    <hyperlink ref="E4843" r:id="rId741" xr:uid="{1E4EE903-7149-1149-9C75-7CA2E9C033D4}"/>
    <hyperlink ref="E4840" r:id="rId742" xr:uid="{BC038CFC-7143-974D-B8F7-B3AE62E9FA38}"/>
    <hyperlink ref="E4838" r:id="rId743" xr:uid="{3CC7702E-6C28-4B42-B779-9ECF354E6B0C}"/>
    <hyperlink ref="E4835" r:id="rId744" xr:uid="{7AE3909F-9866-B844-A86E-2EEDEF23F7A0}"/>
    <hyperlink ref="E4828" r:id="rId745" xr:uid="{C9A206B5-C9B3-6042-9F72-4A1292B66DB7}"/>
    <hyperlink ref="E4823" r:id="rId746" xr:uid="{5C7F5C9A-0D2B-4E46-9A5F-BD054DE06A74}"/>
    <hyperlink ref="E4827" r:id="rId747" xr:uid="{20B424EF-70ED-CE47-85A6-F29D0E1F62CB}"/>
    <hyperlink ref="E4822" r:id="rId748" xr:uid="{786773E1-2B5F-CB47-913A-E54A78C495F7}"/>
    <hyperlink ref="E4821" r:id="rId749" xr:uid="{CA783DE0-81BD-C24E-8EF3-5960310BD9DC}"/>
    <hyperlink ref="E4816" r:id="rId750" xr:uid="{A9F527E3-E46D-F142-8953-5AE2E93B90A1}"/>
    <hyperlink ref="E4804" r:id="rId751" xr:uid="{0F51F182-571D-0542-959F-2775461F001E}"/>
    <hyperlink ref="E4801" r:id="rId752" xr:uid="{D5F66AE8-1BEB-374B-BAB2-2F788DAAB7D5}"/>
    <hyperlink ref="E4797" r:id="rId753" xr:uid="{548F4E24-48B6-734E-AB67-52AA5EB3438B}"/>
    <hyperlink ref="E4865" r:id="rId754" xr:uid="{4B1ADC81-EB2F-F44D-9234-EC6F231ECB42}"/>
    <hyperlink ref="E4864" r:id="rId755" xr:uid="{3E70E061-4D25-CE40-AB9B-98BBF88AF45A}"/>
    <hyperlink ref="E4857" r:id="rId756" xr:uid="{47E2895A-4889-8040-9EA3-546A6BE99CE0}"/>
    <hyperlink ref="E4849" r:id="rId757" xr:uid="{39C2C24B-D0D4-E64C-9DCF-9E1D40FB164A}"/>
    <hyperlink ref="E4854" r:id="rId758" xr:uid="{1D94B423-F782-2544-BDF0-B830F419C757}"/>
    <hyperlink ref="E4775" r:id="rId759" xr:uid="{A5023484-666D-F04C-8EE8-127BADF1CB44}"/>
    <hyperlink ref="E4773" r:id="rId760" xr:uid="{87347458-A579-E246-99EC-A14C3F48C1A0}"/>
    <hyperlink ref="E4783" r:id="rId761" xr:uid="{E4EE3A21-04D5-F040-A86B-9924D165685C}"/>
    <hyperlink ref="E4779" r:id="rId762" xr:uid="{20FEB93B-D2B6-2840-B938-E98CBC47FBBF}"/>
    <hyperlink ref="E4781" r:id="rId763" xr:uid="{F82A0126-97C0-9F42-9F55-C742F9B76FB1}"/>
    <hyperlink ref="E4791" r:id="rId764" xr:uid="{EA00E9CF-E8EB-5E4B-9362-68284BB2E836}"/>
    <hyperlink ref="E4789" r:id="rId765" xr:uid="{F5E4BA13-C6F8-E64A-84C5-CB84DB974461}"/>
    <hyperlink ref="E4790" r:id="rId766" xr:uid="{6F49B6CC-A809-814F-AE12-4EA9E3BF117D}"/>
    <hyperlink ref="E4795" r:id="rId767" xr:uid="{BD35D677-3AEB-924A-A38F-E9CF61AD1D8E}"/>
    <hyperlink ref="E4799" r:id="rId768" xr:uid="{A3736AA3-F2AB-C546-9EC8-9DF0673247B5}"/>
    <hyperlink ref="E4806" r:id="rId769" xr:uid="{D364D2D8-91E2-3C49-B75E-2C73D765565F}"/>
    <hyperlink ref="E4811" r:id="rId770" xr:uid="{54065D04-F115-804B-A7E0-0E75B8B17C31}"/>
    <hyperlink ref="E4813" r:id="rId771" xr:uid="{0E5D5073-F7B0-AC4A-85D1-E1184D52A9BC}"/>
    <hyperlink ref="E4820" r:id="rId772" xr:uid="{4E534D34-A72A-2A4A-991C-7A17F5296F87}"/>
    <hyperlink ref="Q4873" r:id="rId773" xr:uid="{E90042CD-F108-8A4C-9D01-A41E086B6A93}"/>
    <hyperlink ref="Q4841" r:id="rId774" xr:uid="{F1F4E032-71AC-4946-BB9A-DD7107E4A5F5}"/>
    <hyperlink ref="Q4805" r:id="rId775" xr:uid="{D8801E64-7B2A-C24D-BEE6-95F70636E2A7}"/>
    <hyperlink ref="Q4872" r:id="rId776" xr:uid="{DE614BB1-9555-EC4A-9D34-175F02A30BEE}"/>
    <hyperlink ref="Q4868" r:id="rId777" xr:uid="{D6E75E63-96B5-484E-B8A3-3B078D60BB52}"/>
    <hyperlink ref="Q4852" r:id="rId778" xr:uid="{71EC2B31-3808-964D-8C48-883D892D8CDD}"/>
    <hyperlink ref="Q4850" r:id="rId779" xr:uid="{6A20EA6E-0A16-9148-88BC-239EA817009A}"/>
    <hyperlink ref="Q4845" r:id="rId780" xr:uid="{6121D8B4-A90A-674A-9554-6B41541DFE35}"/>
    <hyperlink ref="Q4847" r:id="rId781" xr:uid="{29A4C65C-3879-0E4B-8C4D-09D07AD50411}"/>
    <hyperlink ref="Q4846" r:id="rId782" xr:uid="{9A7292B8-1AB1-E84A-824F-F7874269E1A8}"/>
    <hyperlink ref="Q4836" r:id="rId783" xr:uid="{688A9423-AC3E-E945-B11F-54D5895ADA0C}"/>
    <hyperlink ref="Q4844" r:id="rId784" xr:uid="{6564B94C-C2EC-B244-A3CB-47FC13F848ED}"/>
    <hyperlink ref="Q4843" r:id="rId785" xr:uid="{721A01EB-1672-6641-9990-8E59FA75415D}"/>
    <hyperlink ref="Q4840" r:id="rId786" xr:uid="{7B4BFFF5-A866-F743-BE4F-AE63F2BD7EA9}"/>
    <hyperlink ref="Q4839" r:id="rId787" xr:uid="{729A5CBC-2DA8-F54D-9267-F34B81BE16D9}"/>
    <hyperlink ref="Q4838" r:id="rId788" xr:uid="{FF9A2C6A-EFCA-D64C-823E-E641772FDD85}"/>
    <hyperlink ref="Q4835" r:id="rId789" xr:uid="{F5D58C14-CC8F-7A43-8819-72042D740FBA}"/>
    <hyperlink ref="Q4834" r:id="rId790" location=".VgXutctVikp" xr:uid="{D522023D-44AC-6547-9D8F-98E4399CCEE5}"/>
    <hyperlink ref="Q4828" r:id="rId791" xr:uid="{988761CC-5A55-4246-A45B-091B375A8C67}"/>
    <hyperlink ref="Q4829" r:id="rId792" xr:uid="{656B308A-CAE0-874C-8CE9-905F2087047D}"/>
    <hyperlink ref="Q4823" r:id="rId793" xr:uid="{B0BCBF0D-EB3B-BB45-9EE1-03294F7F532F}"/>
    <hyperlink ref="Q4824" r:id="rId794" xr:uid="{4A48E3E5-162D-A84C-B496-F4C3CB0740A9}"/>
    <hyperlink ref="Q4825" r:id="rId795" xr:uid="{75FDBC70-7ECA-4342-B423-D7C1D7EFD0E9}"/>
    <hyperlink ref="Q4827" r:id="rId796" xr:uid="{39B189AE-6534-6D46-9F56-90422C4ACDAD}"/>
    <hyperlink ref="Q4822" r:id="rId797" xr:uid="{2C17A0EA-A001-B449-8003-A2CD523C0645}"/>
    <hyperlink ref="Q4821" r:id="rId798" xr:uid="{F31728B7-5D54-F840-B882-8D14EDD3CF12}"/>
    <hyperlink ref="Q4818" r:id="rId799" xr:uid="{0633C4D4-5204-9148-A8C4-3EA5A671165F}"/>
    <hyperlink ref="Q4816" r:id="rId800" xr:uid="{8E4F4CCA-B454-6E47-B9C3-543AB93851DD}"/>
    <hyperlink ref="Q4804" r:id="rId801" xr:uid="{09BCF13B-0B8C-1148-9785-C5CF075E7FAF}"/>
    <hyperlink ref="Q4800" r:id="rId802" xr:uid="{9C92C388-34DC-A845-9664-E133CEEEF599}"/>
    <hyperlink ref="Q4801" r:id="rId803" xr:uid="{CF24B59A-384E-024B-8EDE-A716DFFA755F}"/>
    <hyperlink ref="Q4798" r:id="rId804" xr:uid="{C01DEBC2-E4FD-3C49-A66D-BA673A721785}"/>
    <hyperlink ref="Q4797" r:id="rId805" xr:uid="{4025F9CE-BF0B-5D42-9521-C44259402645}"/>
    <hyperlink ref="Q4865" r:id="rId806" xr:uid="{17CB6BFF-A917-2B45-93D3-D9E769A90AA6}"/>
    <hyperlink ref="Q4864" r:id="rId807" xr:uid="{8EBABA38-30B3-4144-A040-D72FE9D69D83}"/>
    <hyperlink ref="Q4857" r:id="rId808" xr:uid="{AB4E66E0-C474-294F-B69A-B9528026DDDC}"/>
    <hyperlink ref="Q4849" r:id="rId809" xr:uid="{DF4201EC-98EE-FE4F-BF2B-4A222CFFA941}"/>
    <hyperlink ref="Q4854" r:id="rId810" xr:uid="{18ECF129-C556-FD4E-B9C3-355D7F28F6C3}"/>
    <hyperlink ref="Q4775" r:id="rId811" xr:uid="{95F19220-6131-3441-B6A2-1E5011F0770E}"/>
    <hyperlink ref="Q4773" r:id="rId812" xr:uid="{DE999C2C-5225-0247-9E33-D6FCB64CE87F}"/>
    <hyperlink ref="Q4776" r:id="rId813" xr:uid="{14D73B4A-153C-3847-AA0B-9A28C856E6D5}"/>
    <hyperlink ref="Q4777" r:id="rId814" xr:uid="{424CF5B5-A671-6347-A6DB-F54692541DB8}"/>
    <hyperlink ref="Q4783" r:id="rId815" xr:uid="{D8189A3D-4E65-504E-9DE7-1F130876CA7B}"/>
    <hyperlink ref="Q4788" r:id="rId816" xr:uid="{AA829F0C-5E70-484E-BEC1-45CD649C8247}"/>
    <hyperlink ref="Q4779" r:id="rId817" xr:uid="{EEB52C5D-9223-F74D-97A5-BF1A15950BDE}"/>
    <hyperlink ref="Q4781" r:id="rId818" xr:uid="{57D34511-2B8F-214D-BF23-013FD1C7ED81}"/>
    <hyperlink ref="Q4785" r:id="rId819" xr:uid="{E7E576B8-6205-E44C-AFED-13CA74DD43FC}"/>
    <hyperlink ref="Q4791" r:id="rId820" xr:uid="{49AF1ED4-757A-0744-92BF-F52B61392171}"/>
    <hyperlink ref="Q4789" r:id="rId821" xr:uid="{27AE4578-E623-AD4B-8EFF-563FF443528D}"/>
    <hyperlink ref="Q4790" r:id="rId822" xr:uid="{7836BCBD-86BD-6244-995F-3F0EF9827E94}"/>
    <hyperlink ref="Q4794" r:id="rId823" xr:uid="{E96B8AC7-E03F-214F-920E-DBEAA63A25F1}"/>
    <hyperlink ref="Q4795" r:id="rId824" xr:uid="{7635757B-FC24-EB4B-AA3F-A6D06012EF98}"/>
    <hyperlink ref="Q4793" r:id="rId825" xr:uid="{6E4ACAF9-4605-AC40-AB0E-BE902729F125}"/>
    <hyperlink ref="Q4796" r:id="rId826" xr:uid="{0E72A178-F501-5F43-9232-C11582AA92DF}"/>
    <hyperlink ref="Q4799" r:id="rId827" xr:uid="{1B8F01AF-2846-5149-BCC3-F35D54D27B29}"/>
    <hyperlink ref="Q4803" r:id="rId828" xr:uid="{53A3A19F-8F84-BA42-B241-EB3B772AE5EB}"/>
    <hyperlink ref="Q4806" r:id="rId829" xr:uid="{14832508-E512-E144-B4E4-F0DB4D9FBCA7}"/>
    <hyperlink ref="Q4811" r:id="rId830" xr:uid="{E1C3B6A8-1325-8547-8E59-A469A97426BB}"/>
    <hyperlink ref="Q4809" r:id="rId831" xr:uid="{0E9B4A7F-3756-D74B-A31E-8D884A654248}"/>
    <hyperlink ref="Q4810" r:id="rId832" xr:uid="{A1E11222-6441-404F-B89E-EC3054AA7694}"/>
    <hyperlink ref="Q4812" r:id="rId833" xr:uid="{36EA5337-D28F-954F-B8FA-CBCB4F70AD56}"/>
    <hyperlink ref="Q4813" r:id="rId834" xr:uid="{BB4DC5E3-DC1C-894B-9193-3C345328661B}"/>
    <hyperlink ref="Q4814" r:id="rId835" xr:uid="{806759E0-75AF-3B46-B1CB-040F6D07136A}"/>
    <hyperlink ref="Q4820" r:id="rId836" xr:uid="{D6DED833-33C1-D34C-810A-57C0F3C89548}"/>
    <hyperlink ref="Q4778" r:id="rId837" xr:uid="{AA4E4A19-4FFA-1C4B-8794-3F07DA29E7FF}"/>
    <hyperlink ref="Q4688" r:id="rId838" xr:uid="{909578CD-F1D7-DC43-A566-9C9DD81A5101}"/>
    <hyperlink ref="Q4692" r:id="rId839" xr:uid="{BD948C9A-BD28-C146-A2F4-9C4061F11354}"/>
    <hyperlink ref="Q4690" r:id="rId840" xr:uid="{2F9CF828-033C-5A45-942A-1A70AB7D4BE8}"/>
    <hyperlink ref="Q4691" r:id="rId841" xr:uid="{0640735D-1229-1246-BC19-722E109E0DBD}"/>
    <hyperlink ref="Q4694" r:id="rId842" location=".ViQiFitENIr" xr:uid="{1E25CF9F-7123-5F4F-BE19-0057277138B7}"/>
    <hyperlink ref="Q4698" r:id="rId843" xr:uid="{F92820A4-916A-C345-A9A0-BFAE65372478}"/>
    <hyperlink ref="Q4738" r:id="rId844" xr:uid="{CFE86FDA-1762-E344-95C7-D6670F0B75EE}"/>
    <hyperlink ref="Q4739" r:id="rId845" xr:uid="{482A190E-3152-414E-BDCB-95233870F353}"/>
    <hyperlink ref="Q4743" r:id="rId846" xr:uid="{57C3D427-7928-C94B-AE1C-7D4894F340E1}"/>
    <hyperlink ref="Q4742" r:id="rId847" xr:uid="{DC14A822-2008-1240-ADFD-07467F1964B9}"/>
    <hyperlink ref="Q4745" r:id="rId848" xr:uid="{E1796E37-433E-9447-BC97-B5A7E54F73CE}"/>
    <hyperlink ref="Q4746" r:id="rId849" xr:uid="{231142B3-27D7-3745-8158-E69274383FF6}"/>
    <hyperlink ref="Q4747" r:id="rId850" xr:uid="{6C400AEB-CCF7-7B48-9ECF-70C5BA550CF6}"/>
    <hyperlink ref="Q4749" r:id="rId851" xr:uid="{B3BF97DE-35DA-E744-A20C-99BC6160BD37}"/>
    <hyperlink ref="Q4751" r:id="rId852" xr:uid="{D79958B9-35D9-734F-A882-22CE65E5B8EB}"/>
    <hyperlink ref="Q4750" r:id="rId853" xr:uid="{E36A66FF-29EA-4148-9A27-7E2870BC20C1}"/>
    <hyperlink ref="Q4753" r:id="rId854" xr:uid="{64014AA0-BED8-EC46-AD1A-E500F7020E09}"/>
    <hyperlink ref="Q4755" r:id="rId855" xr:uid="{C828AF7E-C454-574A-96C5-6E91D533A34C}"/>
    <hyperlink ref="Q4757" r:id="rId856" xr:uid="{C2816FEA-0EAD-DC42-8D6C-5BA165E0319E}"/>
    <hyperlink ref="Q4756" r:id="rId857" xr:uid="{605073ED-9BB6-6245-B71A-9D78AC6ED73B}"/>
    <hyperlink ref="Q4759" r:id="rId858" xr:uid="{16C9EEFC-1455-BD49-9056-34BEBA470A6A}"/>
    <hyperlink ref="Q4765" r:id="rId859" xr:uid="{8EA7C222-DE96-6741-877D-1F6C07E4CAEA}"/>
    <hyperlink ref="Q4764" r:id="rId860" xr:uid="{7A492D37-2957-A041-821F-E5A5DE90129F}"/>
    <hyperlink ref="Q4768" r:id="rId861" xr:uid="{D20ADB55-2EA2-A64F-8CC1-764A19EED51E}"/>
    <hyperlink ref="Q4763" r:id="rId862" xr:uid="{AD821085-CD85-4845-829F-C7845CCBD35D}"/>
    <hyperlink ref="Q4767" r:id="rId863" xr:uid="{5CDFDB0F-49A8-FE4D-82A8-DE472368B773}"/>
    <hyperlink ref="Q4769" r:id="rId864" xr:uid="{9DF14CA8-9D4F-7C4F-B0BD-7D6A57719820}"/>
    <hyperlink ref="Q4766" r:id="rId865" xr:uid="{8432150B-19F1-CB45-88C6-098FABEC0222}"/>
    <hyperlink ref="Q4771" r:id="rId866" xr:uid="{3E4EDFD9-A24B-4842-91AC-A2FDBD2BA92F}"/>
    <hyperlink ref="Q4770" r:id="rId867" xr:uid="{19B83AFB-4F85-E64A-BD79-B387DFE1AE12}"/>
    <hyperlink ref="Q4696" r:id="rId868" xr:uid="{4372277B-8937-DE4A-A79C-35703B614C57}"/>
    <hyperlink ref="Q4686" r:id="rId869" xr:uid="{5EC0C42C-8F70-2C40-B584-AD26688F1CD5}"/>
    <hyperlink ref="Q4687" r:id="rId870" xr:uid="{ACFC08E5-8F95-514E-87AD-50C1E5B00AAA}"/>
    <hyperlink ref="Q4674" r:id="rId871" xr:uid="{534B480D-8C56-4B4D-A395-23E333FBAFEC}"/>
    <hyperlink ref="Q4721" r:id="rId872" xr:uid="{F55B6E25-65FE-374E-BE49-C93A1C81F34D}"/>
    <hyperlink ref="Q4737" r:id="rId873" xr:uid="{55A91309-3AFB-3640-927C-8BE3E80269B4}"/>
    <hyperlink ref="Q4719" r:id="rId874" xr:uid="{E9B01742-093F-5F48-9D05-AD710613F1F9}"/>
    <hyperlink ref="Q4729" r:id="rId875" xr:uid="{8D95BF0E-A265-664E-85AB-DC0086679697}"/>
    <hyperlink ref="Q4720" r:id="rId876" xr:uid="{055E9B79-BF7F-E949-8826-B55209A0215A}"/>
    <hyperlink ref="Q4716" r:id="rId877" xr:uid="{CC7E1DDD-DFA7-D641-A683-58CEDBB899C4}"/>
    <hyperlink ref="Q4709" r:id="rId878" xr:uid="{D5646249-3686-D549-A590-C27D04D2A906}"/>
    <hyperlink ref="Q4711" r:id="rId879" xr:uid="{FC64C6BB-A92C-2A46-BC7E-707896AC5E4C}"/>
    <hyperlink ref="Q4723" r:id="rId880" xr:uid="{7A4E15F1-064F-4E41-AF9B-91E53087FEC0}"/>
    <hyperlink ref="Q4717" r:id="rId881" xr:uid="{BD5FB4EC-FC29-C04A-B1E0-84FFDDAEDF38}"/>
    <hyperlink ref="Q4707" r:id="rId882" xr:uid="{69EDBA16-56BD-7D47-81D4-55E3527EF3F2}"/>
    <hyperlink ref="Q4706" r:id="rId883" xr:uid="{82CCD0CD-18C4-3E45-BBE2-69FFC9B62641}"/>
    <hyperlink ref="Q4703" r:id="rId884" xr:uid="{6EBA2206-A6D6-2F47-9CE9-68469729D6F9}"/>
    <hyperlink ref="Q4725" r:id="rId885" xr:uid="{28456856-00D6-AB45-BA3F-40F3F577F7D6}"/>
    <hyperlink ref="Q4724" r:id="rId886" xr:uid="{65144ADE-2D7E-E34D-948F-9963BDD8B79A}"/>
    <hyperlink ref="Q4718" r:id="rId887" xr:uid="{F4D9C96B-C859-CF47-A9E8-48982A392EA3}"/>
    <hyperlink ref="Q4722" r:id="rId888" xr:uid="{09A8828D-F3B0-7A48-897E-85EAA8038098}"/>
    <hyperlink ref="Q4699" r:id="rId889" xr:uid="{C419C16B-FF65-FF4C-9D54-D831D627B861}"/>
    <hyperlink ref="Q4701" r:id="rId890" xr:uid="{CFA0F1AB-4E96-5541-B09D-7C77E9336688}"/>
    <hyperlink ref="Q4726" r:id="rId891" xr:uid="{0BDDEA8A-BD1E-F84B-8F78-9E917CC2254E}"/>
    <hyperlink ref="Q4713" r:id="rId892" xr:uid="{827EEAFC-A743-BE46-A818-9293818E97CB}"/>
    <hyperlink ref="Q4712" r:id="rId893" xr:uid="{4741D611-1A90-BA4E-93AF-D421E5FDEFEE}"/>
    <hyperlink ref="Q4714" r:id="rId894" xr:uid="{B7B50E5F-7C52-914F-8ACB-7E1970BBE8A6}"/>
    <hyperlink ref="Q4760" r:id="rId895" xr:uid="{C10F647E-25BA-EF46-8E5F-0E6A27E44FCF}"/>
    <hyperlink ref="Q4715" r:id="rId896" xr:uid="{272F27C2-9B45-9B4E-A24A-1529FCDABC69}"/>
    <hyperlink ref="Q4740" r:id="rId897" xr:uid="{E4E6620B-D557-1E47-A911-55B5127A9AFD}"/>
    <hyperlink ref="Q4744" r:id="rId898" xr:uid="{FB8708AB-9E56-1A47-A156-8A412A58FC71}"/>
    <hyperlink ref="Q4673" r:id="rId899" xr:uid="{1F9AF574-95C0-DD48-8A42-2DB20081A489}"/>
    <hyperlink ref="Q4681" r:id="rId900" xr:uid="{5787E6C4-C0F9-BF45-A592-C0FD92D7AFA6}"/>
    <hyperlink ref="Q4682" r:id="rId901" xr:uid="{148F0F6E-9E5C-9E46-A65A-9EDE0A31452B}"/>
    <hyperlink ref="Q4679" r:id="rId902" xr:uid="{F39BADBF-41A9-DA4A-93DE-66ED5C6C3F41}"/>
    <hyperlink ref="Q4680" r:id="rId903" xr:uid="{BA39ECDA-A540-4846-8B7C-3C21240457D6}"/>
    <hyperlink ref="Q4675" r:id="rId904" xr:uid="{DC93E1B2-3780-5A46-87BE-4EABCFCF45C9}"/>
    <hyperlink ref="Q4672" r:id="rId905" xr:uid="{435D3E6A-252C-E149-A9BE-B75925203136}"/>
    <hyperlink ref="Q4670" r:id="rId906" xr:uid="{49C281DA-7A0C-764C-B02B-9738344C0F1A}"/>
    <hyperlink ref="Q4667" r:id="rId907" xr:uid="{73153722-E371-B74F-BDEF-4CAF94625923}"/>
    <hyperlink ref="Q4666" r:id="rId908" xr:uid="{DAF543FE-AE03-8A4C-B62B-B1720DBDC504}"/>
    <hyperlink ref="Q4661" r:id="rId909" xr:uid="{9D38D565-0C40-0B45-B2D3-2AD31C614AA1}"/>
    <hyperlink ref="Q4678" r:id="rId910" xr:uid="{D89FF0CD-9C41-E248-95C8-4FBFE35FF864}"/>
    <hyperlink ref="Q4650" r:id="rId911" xr:uid="{106751A7-5A9A-AF45-BBA4-15B614B12300}"/>
    <hyperlink ref="Q4676" r:id="rId912" xr:uid="{0454CDB6-F79C-7445-AA34-BF78B5BFE9EE}"/>
    <hyperlink ref="Q4668" r:id="rId913" xr:uid="{208AA263-FC32-6F4F-B52E-B3B88DE3ABAB}"/>
    <hyperlink ref="Q4664" r:id="rId914" xr:uid="{60559820-5D42-AF43-A539-55FFA9F8CA6A}"/>
    <hyperlink ref="Q4665" r:id="rId915" xr:uid="{9DD8B910-17AB-4C42-B062-1751A9688301}"/>
    <hyperlink ref="Q4669" r:id="rId916" xr:uid="{0BBAD293-DAA6-2E44-A43C-41D22FBD4D87}"/>
    <hyperlink ref="Q4663" r:id="rId917" xr:uid="{83ECD41B-CDCE-7644-8658-1CF70EB62E7B}"/>
    <hyperlink ref="Q4659" r:id="rId918" xr:uid="{99B77D12-F68E-E846-8A0F-DCB720EF1101}"/>
    <hyperlink ref="Q4657" r:id="rId919" xr:uid="{6C43A87A-A05C-2A4F-99AB-138E68761129}"/>
    <hyperlink ref="Q4651" r:id="rId920" xr:uid="{69B33F61-B6FE-5A44-A9BA-3285A1E60037}"/>
    <hyperlink ref="Q4652" r:id="rId921" xr:uid="{9BEB6AC0-189C-FD44-AB92-CCE3B090F365}"/>
    <hyperlink ref="Q4656" r:id="rId922" xr:uid="{D0ED036C-8B29-7147-AB51-C84747E20D9A}"/>
    <hyperlink ref="Q4658" r:id="rId923" xr:uid="{F92198F8-DE1D-744E-95ED-F7A46D2CF46E}"/>
    <hyperlink ref="Q4653" r:id="rId924" xr:uid="{276537A5-8098-8E40-A300-008223286F12}"/>
    <hyperlink ref="Q4648" r:id="rId925" location="incart_m-rpt-1" xr:uid="{45F56AC1-9DA5-E94A-82E1-B2AA27ED5CAF}"/>
    <hyperlink ref="Q4671" r:id="rId926" xr:uid="{9475186C-2868-9449-BE3B-DA577A6ED220}"/>
    <hyperlink ref="Q4645" r:id="rId927" xr:uid="{6DB52016-C64D-EF4B-B63C-93EB39865448}"/>
    <hyperlink ref="Q4641" r:id="rId928" xr:uid="{8CE2F062-14EE-964E-89E9-3B6E8D9D7325}"/>
    <hyperlink ref="Q4634" r:id="rId929" xr:uid="{3FD52676-10DB-8B46-A561-58E27D9BAC3E}"/>
    <hyperlink ref="Q4630" r:id="rId930" xr:uid="{7A4A8E91-A634-9C46-857A-4EF1CE31D4B6}"/>
    <hyperlink ref="Q4629" r:id="rId931" xr:uid="{6FAF062A-D669-5F43-95A7-AC61C485163C}"/>
    <hyperlink ref="Q4628" r:id="rId932" xr:uid="{B9C9CB4F-900B-0C46-99FA-B3A790C51421}"/>
    <hyperlink ref="Q4626" r:id="rId933" xr:uid="{BB7A2FDC-ABD6-FA4C-AF5E-FDF6935A1230}"/>
    <hyperlink ref="Q4623" r:id="rId934" xr:uid="{7B159E21-27FF-D14B-A514-E0442F441737}"/>
    <hyperlink ref="Q4625" r:id="rId935" xr:uid="{EC94CA2A-22EC-614E-9C12-18B913DC1257}"/>
    <hyperlink ref="Q4622" r:id="rId936" xr:uid="{70E4CA83-035F-AC47-94E6-4B68E46216BD}"/>
    <hyperlink ref="Q4614" r:id="rId937" xr:uid="{356D2F1A-673C-7C46-A40E-B1FDA50A8FC2}"/>
    <hyperlink ref="Q4612" r:id="rId938" xr:uid="{A93F3EC4-8BBD-7C4F-863F-C0A3D070A350}"/>
    <hyperlink ref="Q4610" r:id="rId939" xr:uid="{F1757AF4-485B-3246-8DBC-606834C7BF50}"/>
    <hyperlink ref="Q4602" r:id="rId940" xr:uid="{D6BF8687-415B-C64A-B16F-670952D46A81}"/>
    <hyperlink ref="Q4599" r:id="rId941" xr:uid="{1983D42F-8BF5-104F-A5D5-BB4762808DE5}"/>
    <hyperlink ref="Q4597" r:id="rId942" xr:uid="{743DF060-6242-C04A-A91F-4B5550403ACF}"/>
    <hyperlink ref="Q4593" r:id="rId943" xr:uid="{4A57F9F8-4AFF-FE41-894E-635B462AFBD5}"/>
    <hyperlink ref="Q4591" r:id="rId944" xr:uid="{E341F79E-7A05-754D-BB69-07F7B2625635}"/>
    <hyperlink ref="Q4601" r:id="rId945" xr:uid="{0C778E52-5957-6446-9DC8-7B2A2B2609D4}"/>
    <hyperlink ref="E4807" r:id="rId946" display="http://www.killedbypolice.net/victims/150755.jpg" xr:uid="{9D9BA269-E834-3D47-BFA2-74D82AA5E859}"/>
    <hyperlink ref="Q4807" r:id="rId947" display="https://djournal.com/news/man-dies-after-police-chase-2/" xr:uid="{1BDEADC0-402E-934E-B216-6A2C6CCFB40A}"/>
    <hyperlink ref="E4684" r:id="rId948" xr:uid="{4655489D-FA97-C04B-B960-F8474E9AA799}"/>
    <hyperlink ref="Q4684" r:id="rId949" display="http://www.kristv.com/story/30147782/texas-rangers-investigating-aransas-co-death" xr:uid="{3F1F63AA-8ED7-A948-AE38-6F4DF95E3DB6}"/>
    <hyperlink ref="Q4697" r:id="rId950" display="http://www.fresnobee.com/news/local/crime/article37140321.html" xr:uid="{630C38B0-440D-E347-A2B6-0A7BA11C58E4}"/>
    <hyperlink ref="Q4708" r:id="rId951" display="http://www.redding.com/news/local-news/happy-valley-road-closing-in-search-for-armed-suspect" xr:uid="{A357E392-A552-D940-84FF-F64B5EB94AB1}"/>
    <hyperlink ref="A4654" r:id="rId952" xr:uid="{E93EC165-119C-DA43-A86F-7C9B751BAA75}"/>
    <hyperlink ref="Q4654" r:id="rId953" xr:uid="{8DEECC5D-0C95-E54B-8CF9-DDA34F99C1C2}"/>
    <hyperlink ref="E4470" r:id="rId954" xr:uid="{B1DFE9F3-DEA7-6B4C-8C72-A1DD87C34115}"/>
    <hyperlink ref="Q4470" r:id="rId955" xr:uid="{3E85AF70-4C40-0E4A-8622-D041B663BD3D}"/>
    <hyperlink ref="E4419" r:id="rId956" xr:uid="{C83C1F1F-4983-C248-98D7-456466722735}"/>
    <hyperlink ref="E4503" r:id="rId957" xr:uid="{172AFE4F-BE6F-DD45-B525-06CFB776538A}"/>
    <hyperlink ref="Q4503" r:id="rId958" xr:uid="{E433E5C3-8683-A948-8A38-9FDE71FC29D3}"/>
    <hyperlink ref="Q4508" r:id="rId959" xr:uid="{B93315FA-1F33-8A4F-B638-1CE4D33BD1BE}"/>
    <hyperlink ref="E4677" r:id="rId960" xr:uid="{A56B2F00-4C5D-1B48-AD45-A2BB42D4C571}"/>
    <hyperlink ref="Q4732" r:id="rId961" display="http://www.courier-journal.com/story/news/local/2015/09/14/ky-trooper-shot-western-kentucky-after-chase/72241764/" xr:uid="{C4F24318-023B-4842-A836-6E29DFEA761D}"/>
    <hyperlink ref="Q4892" r:id="rId962" display="http://www.ksla.com/story/29634844/spd-officers-involved-in-shooting-while-responding-to-hostage-situation" xr:uid="{07DF12A5-FF5F-4D45-86BA-50D0C70B8535}"/>
    <hyperlink ref="Q4893" r:id="rId963" display="http://www.miamiherald.com/news/local/crime/article28915918.html" xr:uid="{E2634E93-1487-DC43-A441-54947A35D09E}"/>
    <hyperlink ref="Q4895" r:id="rId964" display="http://www.reviewjournal.com/news/las-vegas/metro-officer-wounded-suspect-shot-death" xr:uid="{E42DB41A-3304-194B-B97A-FE075335B53F}"/>
    <hyperlink ref="Q4906" r:id="rId965" display="http://www.koco.com/news/okc-police-investigating-officerinvolved-shooting-on-northeast-side/34302646" xr:uid="{0D2C0491-605A-9A4D-B761-DF45A1587654}"/>
    <hyperlink ref="Q4905" r:id="rId966" display="http://philadelphia.cbslocal.com/2014/09/16/police-id-suspect-in-shooting-death-of-pregnant-woman-unborn-child/" xr:uid="{73F879F7-AC58-5B44-86F8-C47E9287C1D5}"/>
    <hyperlink ref="Q4915" r:id="rId967" display="http://www.cincinnati.com/story/news/2015/07/29/publish/30830777/" xr:uid="{32CA059F-9236-4D4F-B8E7-B0172ED041E2}"/>
    <hyperlink ref="Q4923" r:id="rId968" display="http://www.orlandosentinel.com/news/breaking-news/os-orlando-police-suspect-shooting-20150717-story.html" xr:uid="{5D4614F0-8814-E247-84F1-07150D1FDCED}"/>
    <hyperlink ref="Q4925" r:id="rId969" display="http://www.wmcactionnews5.com/story/29578116/man-dead-after-struggle-with-mpd-officer" xr:uid="{44F06052-20E1-B143-8488-A5752B93342D}"/>
    <hyperlink ref="Q4929" r:id="rId970" display="http://www.miamiherald.com/news/local/crime/article27524482.html" xr:uid="{D9FD367D-F173-9846-A7B4-1EDF3714AECE}"/>
    <hyperlink ref="Q4935" r:id="rId971" display="http://www.clickorlando.com/news/1-dead-in-deputyinvolved-shooting-in-lake-county/34153664" xr:uid="{73D973C1-CC01-C544-AE70-0DCCEC9987C5}"/>
    <hyperlink ref="E4943" r:id="rId972" display="http://www.trbimg.com/img-55a686d0/turbine/fl-plantation-cop-homeless-shooting-id-2015071-001/304/304x171" xr:uid="{35A9D1FE-BDF2-4846-8D36-7066697125A1}"/>
    <hyperlink ref="Q4943" r:id="rId973" display="http://www.sun-sentinel.com/local/broward/fl-plantation-cop-homeless-shooting-id-20150715-story.html" xr:uid="{B67C61C7-3054-2F4C-892A-AC88FC112104}"/>
    <hyperlink ref="Q4945" r:id="rId974" display="http://www.11alive.com/story/news/local/lawrenceville/2015/07/14/family-questions-procedures-in-gwinnett-police-taser-death/30160171/" xr:uid="{9B6CF07A-D8CE-2B49-9B2D-678E69549EA8}"/>
    <hyperlink ref="Q4949" r:id="rId975" display="http://www.ajc.com/news/news/crime-law/man-dies-after-being-shot-by-newton-deputies/nmxjG/" xr:uid="{F0A2B08F-B2FE-A740-AC81-58101B8D708B}"/>
    <hyperlink ref="Q4950" r:id="rId976" display="http://chicago.suntimes.com/crime/7/71/759984/chicago-police-involved-grand-crossing-shooting" xr:uid="{CE94AE40-65FF-244A-95C7-0E157A3FB132}"/>
    <hyperlink ref="E4957" r:id="rId977" display="http://www.gannett-cdn.com/-mm-/444b6b00164f56950327b2368f293f2ce83db955/c=0-295-1304-1032&amp;r=x633&amp;c=1200x630/local/-/media/2015/07/10/JacksonMS/JacksonMS/635721442175293352-IMG-0825.JPG.jpg" xr:uid="{43A7F862-5D8A-0443-9465-FA9D9DD17003}"/>
    <hyperlink ref="Q4961" r:id="rId978" display="http://www.chron.com/news/houston-texas/houston/article/New-details-emerge-in-HPD-shooting-and-chase-6373997.php" xr:uid="{F75AE6A8-DCD3-ED41-B36B-064A667F8A9B}"/>
    <hyperlink ref="Q4964" r:id="rId979" display="http://www.pressofatlanticcity.com/eedition/news/grand-jury-may-decide-fate-of-cop/article_d75e1ab1-8f1e-5086-b543-3243f95fc088.html" xr:uid="{CB1E9B25-220E-1F4A-ACAB-79F8D79DF8F4}"/>
    <hyperlink ref="Q4967" r:id="rId980" display="http://homicide.latimes.com/post/jason-m-hendley/" xr:uid="{EF067C36-4186-3949-9864-AB49CC39C447}"/>
    <hyperlink ref="Q4979" r:id="rId981" display="http://www.miamiherald.com/news/local/community/miami-dade/little-havana/article26604022.html" xr:uid="{DEBEA439-7351-0B42-A08B-111988EB592B}"/>
    <hyperlink ref="E4977" r:id="rId982" display="http://kwtv.images.worldnow.com/images/8241047_G.jpg" xr:uid="{B866F74C-73A1-8947-AE11-5F2830672323}"/>
    <hyperlink ref="E4978" r:id="rId983" display="http://i.guim.co.uk/img/media/6b8d2e8197fcd13bf1efa55dde76f7af6401fdfb/0_188_600_360/master/600.jpg?w=620&amp;q=85&amp;auto=format&amp;sharp=10&amp;s=cd2d313d4e808218cd2fff1e044bc896" xr:uid="{965C12C7-9679-E941-87E8-D1F7FA23A825}"/>
    <hyperlink ref="E4987" r:id="rId984" display="http://jacksonville.com/sites/default/files/imagecache/premium_415_wide_scale/Suspect_1.jpg" xr:uid="{6B0E1B6F-1FCA-3649-A269-F7E9A96EC370}"/>
    <hyperlink ref="E4990" r:id="rId985" display="http://images.bimedia.net/images/150701_Kevin_Lamont_Judson_story_insert.jpg" xr:uid="{22213627-2ADB-A247-BED4-80EF72117F75}"/>
    <hyperlink ref="Q4990" r:id="rId986" display="http://www.katu.com/news/local/DA-clears-deputy-in-deadly-McMinnville-shooting-316055961.html" xr:uid="{FFB05340-E0C6-6544-B91E-09174D8016FA}"/>
    <hyperlink ref="Q5000" r:id="rId987" display="http://www.baltimoresun.com/news/maryland/crime/blog/bs-md-baltimore-county-0628-20150627-story.html" xr:uid="{83D7BD3C-0D72-E04F-A267-DC5CB8A314DC}"/>
    <hyperlink ref="E5001" r:id="rId988" display="http://www.gannett-cdn.com/-mm-/8334042135d7f679c06190b7cdf533ced74a407e/c=15-0-465-600&amp;r=537&amp;c=0-0-534-712/local/-/media/2015/06/24/WVEC/WVEC/635707581920059394-DamienAlexanderHarrell.jpg" xr:uid="{E0B597D7-B23D-3E4B-9993-ABB9B234BDBC}"/>
    <hyperlink ref="Q5001" r:id="rId989" display="http://www.13newsnow.com/story/news/local/peninsulanow/2015/06/24/incident-closes-part-of-ft-eustis-blvd-in-york-co/29204021/" xr:uid="{393B8583-1E76-C74A-B613-DB9BFE6DCF4A}"/>
    <hyperlink ref="E5007" r:id="rId990" display="http://www.post-gazette.com/image/2015/06/23/420x_q90_cMC_z_ca0,37,614,753/HarrisTyrone.jpg" xr:uid="{AC01B9E1-9DF2-3A48-974A-A0F50C9C3DD0}"/>
    <hyperlink ref="Q5007" r:id="rId991" display="http://www.post-gazette.com/local/city/2015/06/22/Shooting-incident-blocks-traffic-on-Route-51-near-Bausman-pittsburgh/stories/201506220143" xr:uid="{B946205E-47D5-8140-9E8F-BE04C99A8FA4}"/>
    <hyperlink ref="Q5013" r:id="rId992" display="http://www.chicagotribune.com/news/local/breaking/ct-alfontish-cockerham-shot-by-police-20150626-story.html" xr:uid="{AE6FE82B-5F14-1D40-9041-40F0DD659B41}"/>
    <hyperlink ref="Q5012" r:id="rId993" display="http://theadvocate.com/news/12712188-123/father-at-a-loss-for" xr:uid="{B78BCCC9-5759-284C-B8D7-93EC416AE799}"/>
    <hyperlink ref="E5014" r:id="rId994" display="http://ak-cache.legacy.net/legacy/images/cobrands/birmingham/Photos/photo_20150625_AL0069125_0_danteljelks2015_20150625.jpg?v=0x00000000308a6237" xr:uid="{3775487A-3E15-0148-A5C7-6FDDBD404C61}"/>
    <hyperlink ref="Q5014" r:id="rId995" display="http://www.tuscaloosanews.com/article/20150622/news/150629934?p=1&amp;tc=pg" xr:uid="{C1514739-D5C6-0141-9A9E-2B52F7414119}"/>
    <hyperlink ref="E5015" r:id="rId996" display="http://www.gannett-cdn.com/-mm-/15e60ce64e0a486e11e80fc1732b57a8401a0831/c=1-0-179-238&amp;r=537&amp;c=0-0-534-712/local/-/media/2015/06/19/Cincinnati/B9317795377Z.1_20150619211539_000_GCBB4NLT3.1-0.jpg" xr:uid="{F3A30CD3-568B-4F45-8510-7C28AFB0D643}"/>
    <hyperlink ref="Q5015" r:id="rId997" display="http://www.cincinnati.com/story/news/2015/06/19/trepierre-hummons-past/29018599/" xr:uid="{4AB29F64-8D5A-1045-B9FD-7D77D3BA7FA6}"/>
    <hyperlink ref="E5024" r:id="rId998" display="http://www.kcra.com/image/view/-/33606430/medRes/1/-/maxh/460/maxw/620/-/xldfqjz/-/Kris-Jackson-061615-jpg.jpg" xr:uid="{83C0D51D-80E5-5B40-B2D3-94E062AF8C5B}"/>
    <hyperlink ref="E5030" r:id="rId999" display="http://www.gannett-cdn.com/-mm-/4a6db3c9477f4109c4cdeac9a88f4baf6e2f228c/c=0-5-305-412&amp;r=537&amp;c=0-0-534-712/local/-/media/2015/06/15/Louisville/B9317735012Z.1_20150615164435_000_GG6B398IT.1-0.jpg" xr:uid="{C460B610-B3EC-7044-8AFC-A973561D018D}"/>
    <hyperlink ref="Q5030" r:id="rId1000" display="http://www.washingtonpost.com/news/morning-mix/wp/2015/06/14/new-video-shows-kentucky-police-officer-killing-flagpole-wielding-man/" xr:uid="{10B77E81-B4CC-774A-B37A-515456A1A942}"/>
    <hyperlink ref="E5035" r:id="rId1001" display="http://www.trbimg.com/img-557a9e9e/turbine/fl-pompano-beach-fatal-shoot-bso-20150611-003/550/550x309" xr:uid="{A76708AD-2D1B-EC4F-8035-BA4CBC6121DC}"/>
    <hyperlink ref="Q5035" r:id="rId1002" display="http://www.local10.com/news/bso-investigates-deputyinvolved-shooting-in-pompano-beach/33522974" xr:uid="{4C5C7486-F0B1-D944-9935-DB51D042E12F}"/>
    <hyperlink ref="E5033" r:id="rId1003" display="http://i.dailymail.co.uk/i/pix/2015/06/12/08/298F3F8200000578-3120464-image-m-3_1434095771297.jpg" xr:uid="{3D01341F-4E1C-A844-BCED-94A80223E3C2}"/>
    <hyperlink ref="Q5033" r:id="rId1004" display="http://miami.cbslocal.com/2015/06/11/witnesses-police-officer-shoots-homeless-man-five-times-in-miami/" xr:uid="{0C8E8774-8485-A749-AF99-3664DEA5FA41}"/>
    <hyperlink ref="E5038" r:id="rId1005" display="http://assets.dnainfo.com/generated/photo/2015/06/hampton-isaiah-13a2575-11-1433968556.jpg/extralarge.jpg" xr:uid="{CC3B838C-2152-CD4A-BED6-F17F01DDD1E5}"/>
    <hyperlink ref="Q5038" r:id="rId1006" display="http://www.nydailynews.com/new-york/bronx/bronx-man-shot-police-responding-domestic-dispute-article-1.2253127" xr:uid="{16EA71FF-1637-0B46-B66A-B59A431D16C7}"/>
    <hyperlink ref="A5039" r:id="rId1007" display="http://www.killedbypolice.net/victims/150504.jpg" xr:uid="{23229724-C050-F249-980F-59264E4B2DBC}"/>
    <hyperlink ref="E5039" r:id="rId1008" display="http://media2.wcpo.com/photo/2015/06/10/16x9/Cincinnati_fatal_officer_involved_shooti_3047750000_19584286_ver1.0_640_480.jpg" xr:uid="{AED7D34C-6E3A-4845-85C2-AF928CF3C6FC}"/>
    <hyperlink ref="Q5039" r:id="rId1009" display="http://www.cincinnati.com/story/news/crime/2015/06/09/officer-involved-shooting-northside/28778129/" xr:uid="{F49D275D-C028-8945-9277-5BEEA8728D30}"/>
    <hyperlink ref="Q5040" r:id="rId1010" display="http://www.dallasnews.com/news/metro/20150609-man-who-died-after-police-used-stun-gun-identified.ece" xr:uid="{15CF37D5-1FD9-5945-A93F-CD74E881E709}"/>
    <hyperlink ref="A5052" r:id="rId1011" display="http://www.killedbypolice.net/victims/150490.jpg" xr:uid="{10BE458C-5E19-A341-B36C-E13D7232EF84}"/>
    <hyperlink ref="Q5052" r:id="rId1012" display="http://www.sfgate.com/crime/article/Oakland-police-shoot-suspect-near-Lake-Merritt-6311221.php" xr:uid="{3A5A4D59-B9F4-B94A-8538-FE55EE228B56}"/>
    <hyperlink ref="Q5057" r:id="rId1013" display="http://www.nbcphiladelphia.com/news/breaking/Rising-Sun-Pizza-Robbery-Shooting-306241121.html" xr:uid="{52223ADA-B737-6F48-AD96-7B0DAD4F2B40}"/>
    <hyperlink ref="A5064" r:id="rId1014" display="http://www.killedbypolice.net/victims/150478.jpg" xr:uid="{B39FB61A-1787-E74E-A7B3-2A4423790CE9}"/>
    <hyperlink ref="Q5064" r:id="rId1015" display="http://www.whdh.com/story/29215946/one-dead-after-officer-involved-shooting-in-roslindale" xr:uid="{87098A04-0D92-0A4E-9513-E6A015FDFEFB}"/>
    <hyperlink ref="Q5066" r:id="rId1016" display="http://www.democratandchronicle.com/story/news/2015/05/31/police-holding-press-briefing-tremont-st-incident/28263079/" xr:uid="{379F4C6E-2936-3B43-808F-8B4515639823}"/>
    <hyperlink ref="Q5072" r:id="rId1017" display="http://newyork.cbslocal.com/2015/05/29/lyndhurst-library-police-shooting/" xr:uid="{C028D8D6-CB11-E44B-8125-D5704B44F40A}"/>
    <hyperlink ref="Q5075" r:id="rId1018" display="http://www.11alive.com/story/news/local/carrollton/2015/05/28/carrolton-officer-involved-shooting/28130059/" xr:uid="{18E3CCA4-06AC-074B-85DA-947C4563A4C8}"/>
    <hyperlink ref="Q5085" r:id="rId1019" display="http://pix11.com/2015/05/26/police-shoot-man-in-brooklyn-school-parking-lot/" xr:uid="{87E4718B-E3CB-444F-8C71-064ED96D1112}"/>
    <hyperlink ref="Q5089" r:id="rId1020" display="http://www.waaytv.com/appnews/huntsville-police-investigate-fatal-officer-involved-shooting/article_ed55e3aa-035d-11e5-86b1-a7abaa619c23.html" xr:uid="{AD43BCDD-4180-AA43-8FF5-C0CD549BECA4}"/>
    <hyperlink ref="Q5090" r:id="rId1021" display="http://www.freep.com/story/news/local/michigan/detroit/2015/05/23/barricaded-standoff-detroit/27839681/" xr:uid="{FBE61F6C-B80E-9340-9C8B-DC52818D5C2F}"/>
    <hyperlink ref="Q5098" r:id="rId1022" display="http://www.wsvn.com/story/29128211/man-dead-after-barricading-himself-inside-fort-lauderdale-home" xr:uid="{B2616EAC-77CF-E740-8FD6-479BD4ECF80F}"/>
    <hyperlink ref="Q5101" r:id="rId1023" display="http://www.wave3.com/story/29120867/shooting-investigation-in-owensboro" xr:uid="{990BDA4B-B411-8C41-A469-C832F76D6B4D}"/>
    <hyperlink ref="Q5094" r:id="rId1024" display="http://www.abcnews4.com/story/29122044/police-close-off-downtown-charleston-streets-believe-lt-rogers-shooting-suspect-inside" xr:uid="{05E85C84-EBC4-A641-9D82-8368891C2988}"/>
    <hyperlink ref="Q5103" r:id="rId1025" display="http://www.wowt.com/home/headlines/Police-Officer-Shot-304450711.html?ref=711" xr:uid="{D818EBBA-FEF1-974D-B6FB-ED2513601331}"/>
    <hyperlink ref="Q5102" r:id="rId1026" display="http://www.wgal.com/news/breaking-news-officer-shot-in-lancaster/33104470" xr:uid="{3253E03B-9C0E-5A4B-B837-29C24F350C01}"/>
    <hyperlink ref="Q5110" r:id="rId1027" display="http://www.chicagotribune.com/news/local/breaking/ct-officials-robbery-suspect-shot-dead-after-opening-fire-on-cops-20150517-story.html" xr:uid="{8CBE4217-3D50-0A40-9805-E30EAF98AAB2}"/>
    <hyperlink ref="Q5116" r:id="rId1028" display="http://wtop.com/montgomery-county/2015/05/death-of-man-after-police-tasing-investigated-in-montgomery-county/" xr:uid="{B133D146-7C95-594F-9C83-BCF16A67FA3F}"/>
    <hyperlink ref="Q5123" r:id="rId1029" display="http://www.nbcwashington.com/news/local/Prince-Georges-County-Sheriffs-Deputy-Involved-in-Fatal-Shooting-303283731.html" xr:uid="{4C4CCBFC-1D05-1649-BDDA-B1040C31FCFC}"/>
    <hyperlink ref="Q5120" r:id="rId1030" display="http://www.wfaa.com/story/news/crime/2015/05/11/fort-worth-police-report-officer-involved-shooting/27141917/" xr:uid="{BFF393F9-3DFA-634F-967E-EB4570AF0374}"/>
    <hyperlink ref="Q5124" r:id="rId1031" display="http://www.kare11.com/story/news/2015/05/09/694-shut-down-man-dies-in-officer-involved-shooting/27034515/" xr:uid="{A3DCB64E-0C81-9446-9F52-6376A18EEB74}"/>
    <hyperlink ref="Q5127" r:id="rId1032" display="http://www.nola.com/crime/index.ssf/2015/05/officer-involved_shooting_repo.html" xr:uid="{3228EA2B-F439-3A44-A16B-01F6585B272E}"/>
    <hyperlink ref="Q5128" r:id="rId1033" display="http://ktla.com/2015/05/07/apparent-deputy-involved-shooting-prompts-emergency-response-in-cerritos/" xr:uid="{ABFEE960-22A3-014E-A327-A1BEFBFD4515}"/>
    <hyperlink ref="Q5132" r:id="rId1034" display="http://abc7.com/news/man-shot-to-death-by-lapd-in-venice-after-disturbing-the-peace-call/699856/" xr:uid="{75A733E5-0ADC-FB49-A7BE-414D2986E746}"/>
    <hyperlink ref="Q5140" r:id="rId1035" display="http://www.wfaa.com/story/news/local/2015/05/03/garland-curtis-culwell-center-swat/26848435/" xr:uid="{065FA9C8-87E3-F644-81BF-E188BD0D6A6E}"/>
    <hyperlink ref="E5147" r:id="rId1036" display="http://mugshots.com/search.html?q=alexia christian&amp;c=119250" xr:uid="{339C0AF6-669A-F440-B598-96F80441C4ED}"/>
    <hyperlink ref="Q5147" r:id="rId1037" display="http://www.ajc.com/news/news/shots-fired-in-downtown-atlanta/nk6jp/" xr:uid="{F2D4E7B0-2FFC-CD40-8E26-BF73E6C2B994}"/>
    <hyperlink ref="E5146" r:id="rId1038" display="http://wtvr.com/2015/04/30/greensville-county-sheriff-shooting/" xr:uid="{B6472D8B-1EF6-934E-9E50-FFB1F9EF0375}"/>
    <hyperlink ref="Q5146" r:id="rId1039" display="http://www.13newsnow.com/story/news/local/virginia/2015/04/30/greensville-co-man-killed-in-officer-involved-shooting/26633591/" xr:uid="{06BCE6A0-1A91-4146-B9CB-AB1D614D9DE7}"/>
    <hyperlink ref="Q5153" r:id="rId1040" display="http://www.wwltv.com/story/news/crime/2015/04/28/nopd-on-scene-of-officer-needing-assistance/26555847/" xr:uid="{8BA52805-3CA9-2140-823C-98F5DBA36E4A}"/>
    <hyperlink ref="Q5154" r:id="rId1041" display="http://america.aljazeera.com/articles/2015/4/29/terrance-kellom-shot-dead-in-detroit-by-ice-agent.html" xr:uid="{46207C1D-475D-7C41-BBB9-C80B06F3C5A1}"/>
    <hyperlink ref="E5158" r:id="rId1042" display="http://www.democracynow.org/2015/4/27/headlines/new_york_police_kill_mentally_ill_african_american_man" xr:uid="{9D194426-6C88-8E47-8103-9E6A6A80F30C}"/>
    <hyperlink ref="Q5158" r:id="rId1043" display="http://www.nydailynews.com/new-york/cops-shoot-man-east-village-altercation-police-article-1.2198797" xr:uid="{8426F2A6-7480-4D45-AB77-86B501C0FF41}"/>
    <hyperlink ref="Q5162" r:id="rId1044" display="http://www.kktv.com/home/headlines/Deadly-Officer-Involved-Shooting-in-Trinidad-301252451.html" xr:uid="{CA1DB83C-84ED-B54F-97AA-1FD5CC2F1CE1}"/>
    <hyperlink ref="Q5175" r:id="rId1045" display="http://www.nj.com/middlesex/index.ssf/2015/04/man_killed_by_state_trooper_released_from_state_pr.html" xr:uid="{ABFFC703-6BB8-E641-A1E1-34961489C4CE}"/>
    <hyperlink ref="Q5187" r:id="rId1046" display="http://www.chicagotribune.com/news/local/breaking/chi-man-fatally-shot-by-police-in-south-shore-20150417-story.html" xr:uid="{FBBBFB91-F07A-194C-A847-25DCD3FCF8D8}"/>
    <hyperlink ref="Q5195" r:id="rId1047" display="http://www.nbcmiami.com/news/local/FDLE-Investigating-Fatal-Police-Involved-Shooting-in-Miami-Dade-300173991.html" xr:uid="{73B5FBE0-A97A-9843-BF65-D5C1148CD96D}"/>
    <hyperlink ref="E5196" r:id="rId1048" display="http://www.brownrobinson.com/obituary/4199/Donte_Noble" xr:uid="{1A391678-A8CA-9E4D-A234-2EF7A5B5CD55}"/>
    <hyperlink ref="Q5196" r:id="rId1049" display="http://www.wyff4.com/news/police-find-man-stabbing-wife-shoot-kill-him/32384112" xr:uid="{3B3FD7BE-0577-864B-A200-AA88F06EEC43}"/>
    <hyperlink ref="Q5198" r:id="rId1050" display="http://www.oregonlive.com/portland/index.ssf/2015/04/se_portland_double_murder_susp.html" xr:uid="{E116D233-0216-924F-BA8A-866F9A649F18}"/>
    <hyperlink ref="Q5202" r:id="rId1051" display="http://www.indystar.com/story/news/crime/2015/04/12/officer-involved-shooting-reported-indys-eastside/25678213/" xr:uid="{41E4BB87-1BD4-4F47-9480-C86F3CC5E400}"/>
    <hyperlink ref="Q5208" r:id="rId1052" display="http://www.jconline.com/story/news/2015/05/01/officers-justified-use-lethal-force/26708803/" xr:uid="{B5A4E3B3-055D-D54C-B3D4-5D12A722293B}"/>
    <hyperlink ref="Q5216" r:id="rId1053" display="http://www.wctv.tv/home/headlines/Police-Respond-to-Apparent-Shooting-in-Valdosta-299123481.html" xr:uid="{71E64DB9-AB11-804F-8358-0A7B1E5A66FD}"/>
    <hyperlink ref="Q5222" r:id="rId1054" display="http://www.wdsu.com/news/local-news/new-orleans/jpso-officer-involved-in-shooting-in-harvey/32215908" xr:uid="{080FD207-DCAF-7049-8017-8263EB61D185}"/>
    <hyperlink ref="Q5225" r:id="rId1055" display="http://ktla.com/2015/04/05/armed-man-is-fatally-shot-by-anaheim-police-1-day-after-posting-bail/" xr:uid="{4590A0CD-4282-7A44-8A24-9013B253794F}"/>
    <hyperlink ref="Q5226" r:id="rId1056" display="http://www.huffingtonpost.com/2015/04/29/justus-howell_n_7172814.html" xr:uid="{9EFE74D6-6B72-AB48-93F8-956878C0C25C}"/>
    <hyperlink ref="E5231" r:id="rId1057" display="http://www.killedbypolice.net/victims/150297.jpg" xr:uid="{B326E415-9F76-3946-8592-36DFE6B4D953}"/>
    <hyperlink ref="Q5231" r:id="rId1058" display="http://kwqc.com/2015/04/03/r-i-county-coroner-identifies-man-killed-in-officer-involved-shooting/" xr:uid="{E346B76A-A440-C643-8BCB-0E36278F95C3}"/>
    <hyperlink ref="Q5235" r:id="rId1059" display="http://www.timesunion.com/news/article/Taser-victim-Dontay-Ivy-to-be-laid-to-rest-6187858.php" xr:uid="{1AA037A2-AF6B-7141-859B-6527096792B0}"/>
    <hyperlink ref="Q5232" r:id="rId1060" display="http://www.inquisitr.com/2003038/oklahoma-shooting-videos-reveal-eric-courtney-harris-last-moments-alive/" xr:uid="{B5E38C05-EB6C-F646-8CF7-971ECBD0C610}"/>
    <hyperlink ref="E5236" r:id="rId1061" display="http://www.killedbypolice.net/victims/150292.jpg" xr:uid="{DEFA0793-BB47-224C-B43C-CA4F45740324}"/>
    <hyperlink ref="Q5236" r:id="rId1062" display="http://www.nbclosangeles.com/news/local/Fatal-Shooting-May-Have-Started-Over-Laugh-298532211.html" xr:uid="{EEB27F97-4B7C-FD45-A1B9-838E5522D770}"/>
    <hyperlink ref="A5255" r:id="rId1063" display="http://www.killedbypolice.net/victims/150279.jpg" xr:uid="{3C2B7965-C3E0-084B-BAEB-96D6A8CEE9C6}"/>
    <hyperlink ref="Q5255" r:id="rId1064" display="http://www.vcstar.com/news/local-news/oxnard/oxnard-woman-killed-by-police-after-domestic-dispute-call_34372240" xr:uid="{4AB561BF-711F-F34A-8021-95E9EAD550EC}"/>
    <hyperlink ref="Q5314" r:id="rId1065" display="http://www.19actionnews.com/story/28380324/one-dead-after-officer-involved-shooting-in-cleveland" xr:uid="{0C638C96-AAD4-9A4D-8E0D-76CE340E7117}"/>
    <hyperlink ref="Q5400" r:id="rId1066" display="http://crimeblog.dallasnews.com/2015/02/live-video-dallas-police-on-the-scene-of-officer-involved-shooting-at-bonnie-view-and-i-20.html/" xr:uid="{6CE433E0-0506-A94F-9FD9-58C8F578CCDC}"/>
    <hyperlink ref="Q5406" r:id="rId1067" display="http://www.washingtonpost.com/local/crime/woman-dies-after-a-stun-gun-was-used-on-her-in-the-fairfax-county-jail/2015/02/08/14a7f498-4987-4e47-be50-5d31b39825ef_story.html" xr:uid="{DA971B13-7C90-0E4F-B15E-7D5F4041DB5D}"/>
    <hyperlink ref="E5405" r:id="rId1068" display="http://www.trbimg.com/img-54da5444/turbine/os-joseph-paffen-20150210/243/243x137" xr:uid="{E28B1A83-D95C-A942-A570-F8B7926806D4}"/>
    <hyperlink ref="Q5405" r:id="rId1069" display="http://www.orlandosentinel.com/news/breaking-news/os-sovereign-citizen-deputy-shooting-20150210-story.html" xr:uid="{79A97AC2-439D-9C47-BA5C-AFB4B00ECDB6}"/>
    <hyperlink ref="Q5409" r:id="rId1070" display="http://www.wcnc.com/story/news/crime/2015/02/08/gastoina-police-officer-involved-in-deadly-shooting/23075073/" xr:uid="{C2E005E1-9A6A-1A4D-ADE6-56DB16D77E5D}"/>
    <hyperlink ref="Q5415" r:id="rId1071" display="http://www.wacotrib.com/news/traffic/officers-shoot-kill-suspected-waco-area-robber-after-high-speed/article_0ad98762-1641-5888-80b2-3797f0b5c9f6.html" xr:uid="{8EDA5A14-281D-4341-B989-2AEDBBA38C8A}"/>
    <hyperlink ref="Q5464" r:id="rId1072" display="http://kfor.com/2015/01/17/update-on-off-duty-officer-shooting-at-garth-brooks-concert-in-tulsa/" xr:uid="{821B348E-5C49-DF40-BBE0-8ABEF2A6B07E}"/>
    <hyperlink ref="Q5489" r:id="rId1073" display="http://www.greenfieldreporter.com/view/story/f769fa01fc134dab9ebc78994015adf8/AR--Fatal-Pharmacy-Robbery" xr:uid="{B6705DBF-9FA4-6445-ADA0-A5A945B722F4}"/>
    <hyperlink ref="Q5494" r:id="rId1074" display="http://www.omaha.com/news/crime/autopsy-results-to-be-released-soon-in-case-of-man/article_57e6f9c6-981e-11e4-84ef-dfff4d2c6e13.html" xr:uid="{83BB4281-D2FC-2445-968A-3B16F15FB2E5}"/>
    <hyperlink ref="Q5498" r:id="rId1075" display="http://www.latimes.com/local/lanow/la-me-ln-taser-death-20150107-story.html" xr:uid="{7764B0D9-556A-1D44-B8A9-4BC5D4CC1A79}"/>
    <hyperlink ref="Q4594" r:id="rId1076" xr:uid="{77EFE95D-ABFB-C946-B633-58A710A8A1EE}"/>
    <hyperlink ref="A4598" r:id="rId1077" xr:uid="{5FE9228E-08EB-4745-A882-4A4A9F55DDBF}"/>
    <hyperlink ref="A4604" r:id="rId1078" xr:uid="{66AA96E7-9E03-DA4D-A75A-B46DE30448C7}"/>
    <hyperlink ref="A4606" r:id="rId1079" xr:uid="{2E54D80E-9339-AF45-9B8D-66F6EF3FEAFB}"/>
    <hyperlink ref="A4603" r:id="rId1080" xr:uid="{AE77C69C-798A-A44F-898F-818B03A484E5}"/>
    <hyperlink ref="A4609" r:id="rId1081" xr:uid="{1FD91A33-A196-6A42-981D-7863CED7477A}"/>
    <hyperlink ref="A4613" r:id="rId1082" xr:uid="{58B324F2-6071-DD4E-984C-9BC4DD5A13C7}"/>
    <hyperlink ref="A4617" r:id="rId1083" xr:uid="{A27C7554-7A2A-3B4A-84C2-3545F4939AF9}"/>
    <hyperlink ref="A4619" r:id="rId1084" xr:uid="{F6748A51-4270-7A43-A841-1785E57073E5}"/>
    <hyperlink ref="A4620" r:id="rId1085" xr:uid="{7EA237E7-959C-834B-9ED5-0F2DF1EEE514}"/>
    <hyperlink ref="A4621" r:id="rId1086" xr:uid="{A49566F2-9748-C14A-96E3-80063E5A7DB4}"/>
    <hyperlink ref="A4632" r:id="rId1087" xr:uid="{571A1AAB-5DB6-904E-8D63-0406D0E94FF1}"/>
    <hyperlink ref="A4637" r:id="rId1088" xr:uid="{DB7F5D67-66A4-7F4F-A9DD-F348CB494B6E}"/>
    <hyperlink ref="A4639" r:id="rId1089" xr:uid="{6CAD17B4-42FF-0D46-AA8F-81F6316280F8}"/>
    <hyperlink ref="A4640" r:id="rId1090" xr:uid="{D3F6022A-8D4B-7645-A303-F93259B9BBD4}"/>
    <hyperlink ref="A4638" r:id="rId1091" xr:uid="{8FD1DD5A-BCC8-ED40-8509-9353D2655B6A}"/>
    <hyperlink ref="A4643" r:id="rId1092" xr:uid="{4513C77D-5729-9C4A-9474-4FE9BADD1754}"/>
    <hyperlink ref="A4647" r:id="rId1093" xr:uid="{B223B02D-E1DA-314D-9EE4-BA4E1AC32240}"/>
    <hyperlink ref="A4649" r:id="rId1094" xr:uid="{3E7653F6-DC70-5F4B-BD95-CB0488C1A2A0}"/>
    <hyperlink ref="A4660" r:id="rId1095" xr:uid="{9B1C423D-A081-6247-8860-1332BDB26E45}"/>
    <hyperlink ref="A4662" r:id="rId1096" xr:uid="{F7185642-6C68-0949-8DDB-0E69BA49AA05}"/>
    <hyperlink ref="Q4604" r:id="rId1097" xr:uid="{A3ECCEA6-6B06-424C-B3CF-519186264C81}"/>
    <hyperlink ref="Q4603" r:id="rId1098" xr:uid="{6C4746F0-C43D-2D49-938E-AE1D3E417057}"/>
    <hyperlink ref="Q4609" r:id="rId1099" xr:uid="{9422A76C-34D4-0E46-A5AA-7B59FB821DAC}"/>
    <hyperlink ref="Q4619" r:id="rId1100" xr:uid="{CB09F651-87E5-194B-8EC1-3EA0A4AB1962}"/>
    <hyperlink ref="Q4640" r:id="rId1101" xr:uid="{85D5F2EF-EF0B-2C41-B47E-0AB4A950B8E0}"/>
    <hyperlink ref="Q4647" r:id="rId1102" xr:uid="{7575C2AC-B741-A14F-92EB-4AA01A94F207}"/>
    <hyperlink ref="E4592" r:id="rId1103" xr:uid="{42BDA0FA-3B7F-1C43-B0DD-A41EC235E85E}"/>
    <hyperlink ref="Q4592" r:id="rId1104" xr:uid="{C05BB5D7-8EC1-8F44-BCC0-08D6CEC289F0}"/>
    <hyperlink ref="E4534" r:id="rId1105" xr:uid="{21DD8BA5-4F5E-CF42-80D6-B08610275A0E}"/>
    <hyperlink ref="Q4534" r:id="rId1106" xr:uid="{EF9D76B5-5581-264E-8720-990A87909E35}"/>
    <hyperlink ref="E4535" r:id="rId1107" xr:uid="{80D33338-7D81-E346-A9F3-8A1BE33D0A7E}"/>
    <hyperlink ref="Q4532" r:id="rId1108" xr:uid="{0511AD9D-7CD1-8043-AF05-C212B80D3BA9}"/>
    <hyperlink ref="E4539" r:id="rId1109" xr:uid="{96D51E15-BB2D-1240-B4CB-F8B38FF197B3}"/>
    <hyperlink ref="Q4539" r:id="rId1110" xr:uid="{C42DBAED-0097-EE4D-BEE9-7D209CCC5F15}"/>
    <hyperlink ref="E4590" r:id="rId1111" xr:uid="{2B3C3428-B468-B64E-AF75-66CBADD7A8EC}"/>
    <hyperlink ref="Q4590" r:id="rId1112" xr:uid="{870341C9-B51E-CD43-A119-F4FB56F72906}"/>
    <hyperlink ref="Q4586" r:id="rId1113" xr:uid="{E5194EAE-EC57-D34E-986D-28326E2DFD7D}"/>
    <hyperlink ref="E4568" r:id="rId1114" xr:uid="{5F51119E-FBD2-D04B-972C-70D55E10CF45}"/>
    <hyperlink ref="Q4568" r:id="rId1115" xr:uid="{F9B3244F-A481-3B41-B0EF-8B1E0166A8F6}"/>
    <hyperlink ref="E4545" r:id="rId1116" xr:uid="{F919D3C2-C04A-654E-B1F7-DABE8B598CF0}"/>
    <hyperlink ref="Q4545" r:id="rId1117" xr:uid="{B41751FA-DCAC-E347-914D-379129DEBD9F}"/>
    <hyperlink ref="E4550" r:id="rId1118" xr:uid="{23E01535-97AB-9649-ADFE-C310D9D6C834}"/>
    <hyperlink ref="Q4550" r:id="rId1119" xr:uid="{B59B74F2-8C86-2549-8A7F-7CBA8736192D}"/>
    <hyperlink ref="E4540" r:id="rId1120" xr:uid="{B9995226-5F8A-1346-B398-922A2D47A5AE}"/>
    <hyperlink ref="Q4540" r:id="rId1121" xr:uid="{D9EA5D94-A894-0F4E-A04A-7EB99F656F94}"/>
    <hyperlink ref="E4581" r:id="rId1122" xr:uid="{171A813A-DA76-F149-BA2C-ECE8BC45E1A0}"/>
    <hyperlink ref="Q4581" r:id="rId1123" xr:uid="{9A795AA8-1168-634F-BDE3-3AF2487E9A24}"/>
    <hyperlink ref="E4538" r:id="rId1124" xr:uid="{8ECD8E5F-B5C2-4246-90C9-48997C453472}"/>
    <hyperlink ref="Q4538" r:id="rId1125" xr:uid="{14B95727-774A-E747-9970-FBE07ED5D6FA}"/>
    <hyperlink ref="E4560" r:id="rId1126" xr:uid="{9C945E10-1E01-224F-BAFE-6A8715F17DE0}"/>
    <hyperlink ref="Q4560" r:id="rId1127" xr:uid="{F3EE3817-F191-1147-8C20-78C32AC58CF5}"/>
    <hyperlink ref="E4541" r:id="rId1128" xr:uid="{39440D7F-1205-EE4D-870A-0505DE06EA6E}"/>
    <hyperlink ref="Q4541" r:id="rId1129" xr:uid="{2F5D8C77-707A-8B46-AF82-A4C292527D7F}"/>
    <hyperlink ref="Q5343" r:id="rId1130" xr:uid="{8CF46155-4D5F-4F46-86E6-276DE5F7779A}"/>
    <hyperlink ref="A4523" r:id="rId1131" display="Freddy Baez, 24" xr:uid="{E15A458F-84FE-CA4D-A770-080E776B21C6}"/>
    <hyperlink ref="Q4506" r:id="rId1132" xr:uid="{37F0CD14-3F59-5C47-9B8B-8B148CF91231}"/>
    <hyperlink ref="Q4523" r:id="rId1133" xr:uid="{E8F04055-D718-E444-8A7E-1B484E0B56C5}"/>
    <hyperlink ref="Q4548" r:id="rId1134" xr:uid="{9B1A8601-AC65-1B43-9FEF-D16BFF999250}"/>
    <hyperlink ref="A4506" r:id="rId1135" display="Darius Smith, 18" xr:uid="{29793BD6-6D12-3A49-9D40-FA3CFB0D46AA}"/>
    <hyperlink ref="Q4957" r:id="rId1136" display="http://www.wtok.com/home/headlines/New-Details-in-Stonewall-Death-Investigation-313047501.html" xr:uid="{1247B00F-EAB9-7E4B-82E6-CF628D2B424D}"/>
    <hyperlink ref="Q4932" r:id="rId1137" xr:uid="{698E826C-5DD9-6B4C-92CD-3E022567F3CB}"/>
    <hyperlink ref="Q4953" r:id="rId1138" xr:uid="{B3F9673D-80C9-4B45-9CB6-F8BD65BA0D5D}"/>
    <hyperlink ref="E4866" r:id="rId1139" xr:uid="{9ED53708-01BC-A742-89ED-3A6BF491284F}"/>
    <hyperlink ref="E4870" r:id="rId1140" xr:uid="{E854F16A-9515-8949-AE40-0E4E9F34A5F2}"/>
    <hyperlink ref="E4855" r:id="rId1141" xr:uid="{3047657A-3D70-2644-AC55-E5A1F4AB1B3E}"/>
    <hyperlink ref="E4851" r:id="rId1142" xr:uid="{40139FB7-F229-CD4E-9F8A-DA8781888003}"/>
    <hyperlink ref="E4848" r:id="rId1143" xr:uid="{7C2CF274-7779-8C42-A0F7-93F8203A757F}"/>
    <hyperlink ref="E4853" r:id="rId1144" xr:uid="{C80800D2-EBDB-7F4A-8F05-5F5950868681}"/>
    <hyperlink ref="E4842" r:id="rId1145" xr:uid="{6881F284-23DD-C844-8133-B7D98D6CA0B8}"/>
    <hyperlink ref="E4830" r:id="rId1146" xr:uid="{77CF27B9-9469-8948-895E-C3FC9DF7523B}"/>
    <hyperlink ref="E4826" r:id="rId1147" xr:uid="{2027A628-16C3-8647-882C-FAA943CAB89E}"/>
    <hyperlink ref="E4819" r:id="rId1148" xr:uid="{80020672-B18A-6A46-AEB3-A6D66CCE2F04}"/>
    <hyperlink ref="E4817" r:id="rId1149" xr:uid="{CCFAF94C-DCAE-A04B-96A9-615FE010BF66}"/>
    <hyperlink ref="E4802" r:id="rId1150" xr:uid="{AF779BB5-A784-134B-8956-E0DE6EBF8207}"/>
    <hyperlink ref="E4860" r:id="rId1151" xr:uid="{DFD80183-232C-FE42-9AC8-E8320D53D52F}"/>
    <hyperlink ref="E4861" r:id="rId1152" xr:uid="{ABB8EAB5-123F-C344-9AF5-CC8CA1736823}"/>
    <hyperlink ref="E4858" r:id="rId1153" xr:uid="{3F47DD8F-3097-FD44-B55B-948BA8F6D934}"/>
    <hyperlink ref="E4856" r:id="rId1154" xr:uid="{ED3481A0-1DDF-7E4A-9B69-7E2B9B4366ED}"/>
    <hyperlink ref="E4774" r:id="rId1155" xr:uid="{40293C16-DCBB-6F4B-A410-6C3B0FBF0062}"/>
    <hyperlink ref="E4780" r:id="rId1156" xr:uid="{22E7D676-9ADC-D74F-9FDC-6152747FFFEE}"/>
    <hyperlink ref="E4786" r:id="rId1157" xr:uid="{2D0842E5-50B4-5648-AFA8-B727520D5F0D}"/>
    <hyperlink ref="E4792" r:id="rId1158" xr:uid="{2F246422-3AF0-A748-ACA3-19A56E68974F}"/>
    <hyperlink ref="E4815" r:id="rId1159" xr:uid="{BBEEE66F-2DBA-E144-9890-C44F48CD5519}"/>
    <hyperlink ref="E4837" r:id="rId1160" xr:uid="{81B05A0F-A571-DE4E-9A87-9FF1BFA3F90E}"/>
    <hyperlink ref="E4833" r:id="rId1161" xr:uid="{E63A6D60-24BC-FD42-A740-EDA6A97F0EBC}"/>
    <hyperlink ref="Q4832" r:id="rId1162" xr:uid="{DD29FB93-F99D-554A-AA41-47EBFD08F342}"/>
    <hyperlink ref="Q4855" r:id="rId1163" xr:uid="{017ADE6B-F89D-E649-8839-329ED790EA4A}"/>
    <hyperlink ref="Q4851" r:id="rId1164" xr:uid="{5F3C976D-1C1A-CE42-94F6-A0104F384C4F}"/>
    <hyperlink ref="Q4848" r:id="rId1165" xr:uid="{FF3C5C27-F03E-3542-8991-F38E5C3AAAA9}"/>
    <hyperlink ref="Q4853" r:id="rId1166" xr:uid="{0D555513-ABF8-014C-8367-9862AA1D3F6B}"/>
    <hyperlink ref="Q4842" r:id="rId1167" xr:uid="{813E1202-2B3E-864E-B7A5-584562E0C068}"/>
    <hyperlink ref="Q4830" r:id="rId1168" xr:uid="{6653B9EF-166A-A644-9F54-8A99F1767593}"/>
    <hyperlink ref="Q4826" r:id="rId1169" xr:uid="{E36DD4E2-3EAE-A946-A9F6-6939CDB3ECC7}"/>
    <hyperlink ref="Q4819" r:id="rId1170" xr:uid="{88CD7DB6-A8A6-EB41-9B29-DC65B6D99379}"/>
    <hyperlink ref="Q4817" r:id="rId1171" xr:uid="{4E06C395-A9A9-0246-BCB4-0EA275620A53}"/>
    <hyperlink ref="Q4802" r:id="rId1172" xr:uid="{94AA9500-B0DA-7C4C-9F3E-F7E0C8B4DB38}"/>
    <hyperlink ref="Q4860" r:id="rId1173" xr:uid="{776BD0D2-25C1-444F-AE2A-2356C6F6EF4A}"/>
    <hyperlink ref="Q4861" r:id="rId1174" xr:uid="{180BC7A6-0095-EC46-9D06-4D20FC24BD51}"/>
    <hyperlink ref="Q4858" r:id="rId1175" xr:uid="{8B85D9A1-D321-5045-8D51-C59021B7A2E1}"/>
    <hyperlink ref="Q4856" r:id="rId1176" xr:uid="{F4FECB67-659A-BB4D-8958-81F5F5E35F52}"/>
    <hyperlink ref="Q4774" r:id="rId1177" xr:uid="{BEC0B5E3-B9FF-164F-9FFC-86D65F3B86B0}"/>
    <hyperlink ref="Q4780" r:id="rId1178" xr:uid="{C75097D2-A9A3-DB4A-A250-5E9EBC65F5C5}"/>
    <hyperlink ref="Q4784" r:id="rId1179" xr:uid="{4345E0ED-EC27-B049-A540-6776B10192C2}"/>
    <hyperlink ref="Q4786" r:id="rId1180" xr:uid="{E0C60A3B-4116-224F-92BD-E356FB7FC809}"/>
    <hyperlink ref="Q4787" r:id="rId1181" xr:uid="{6D18304B-1F00-E54F-BF29-DD1D938954D2}"/>
    <hyperlink ref="Q4792" r:id="rId1182" xr:uid="{41F959C9-4B39-2B4B-A1BD-77233CD8F84A}"/>
    <hyperlink ref="Q4815" r:id="rId1183" xr:uid="{AC431BF4-1A7C-C84E-A3C3-21CDB5B9DA93}"/>
    <hyperlink ref="Q4831" r:id="rId1184" xr:uid="{50E3C631-32F0-3E47-B905-0044E0C583D8}"/>
    <hyperlink ref="Q4837" r:id="rId1185" xr:uid="{E1FDCFD0-BC8A-3540-8709-2E12BC025D64}"/>
    <hyperlink ref="Q4833" r:id="rId1186" xr:uid="{6ED85880-1799-A644-82B1-BCC0F6AA83C6}"/>
    <hyperlink ref="Q4748" r:id="rId1187" xr:uid="{4ECAFFDD-57C2-104C-ABDE-6F6747A781D5}"/>
    <hyperlink ref="Q4689" r:id="rId1188" xr:uid="{C7822B1D-E81D-0B43-A1E4-1C56D83569EA}"/>
    <hyperlink ref="Q4693" r:id="rId1189" xr:uid="{54D1408D-EB20-7049-B02F-E6787846178A}"/>
    <hyperlink ref="Q4695" r:id="rId1190" xr:uid="{CFBDBDBA-5A8E-1145-A709-DBF14292A25C}"/>
    <hyperlink ref="Q4741" r:id="rId1191" xr:uid="{1C3DEC39-BB40-494C-B515-79A3DA42BCC8}"/>
    <hyperlink ref="Q4754" r:id="rId1192" xr:uid="{2B9A312D-9420-E44D-822F-0F81B2FF68E0}"/>
    <hyperlink ref="Q4761" r:id="rId1193" xr:uid="{A5C5010F-6880-B34C-B81C-218D84867806}"/>
    <hyperlink ref="Q4762" r:id="rId1194" xr:uid="{EB893AC5-141F-3F41-8399-433252BA8A62}"/>
    <hyperlink ref="Q4758" r:id="rId1195" xr:uid="{DAEE7428-FE01-CE45-A997-04D3800657FA}"/>
    <hyperlink ref="Q4772" r:id="rId1196" xr:uid="{E0DD6706-F9F7-0E4E-9380-18B4EC8B02D2}"/>
    <hyperlink ref="Q4685" r:id="rId1197" xr:uid="{0AA435D7-D796-8B46-A188-2E8F907FDA09}"/>
    <hyperlink ref="Q4731" r:id="rId1198" xr:uid="{D05C8E9D-ED12-0E4C-BF16-C01761323919}"/>
    <hyperlink ref="Q4728" r:id="rId1199" xr:uid="{9CCD4600-83DD-224D-808E-EE26021D29DB}"/>
    <hyperlink ref="Q4710" r:id="rId1200" xr:uid="{A245E2CA-5307-594B-AB09-5D82037B5F1B}"/>
    <hyperlink ref="Q4700" r:id="rId1201" xr:uid="{CB25C43F-CD85-714A-A8BA-91030A29CD83}"/>
    <hyperlink ref="Q4705" r:id="rId1202" xr:uid="{93E3C2B4-E202-C848-8CE6-6128EB1A9AB8}"/>
    <hyperlink ref="Q4704" r:id="rId1203" xr:uid="{3A20210E-F956-B644-8BF8-D8E237036694}"/>
    <hyperlink ref="Q4702" r:id="rId1204" xr:uid="{EE3DE79A-07F8-EF4A-BDA3-BC50E7E3ADDF}"/>
    <hyperlink ref="Q4677" r:id="rId1205" xr:uid="{DBA09CDA-543C-134A-B129-6C6720E07302}"/>
    <hyperlink ref="Q4662" r:id="rId1206" xr:uid="{4C5BAB18-D824-7D4B-BB2A-F49B0E5387F2}"/>
    <hyperlink ref="Q4633" r:id="rId1207" xr:uid="{658366D9-0951-FA4A-9703-8E8291BB6F05}"/>
    <hyperlink ref="Q4660" r:id="rId1208" xr:uid="{0578F935-0E1F-754D-9505-1B4DE0A3F2A5}"/>
    <hyperlink ref="Q4649" r:id="rId1209" xr:uid="{5769B80A-7CD5-9844-8249-FA7AB809BD1F}"/>
    <hyperlink ref="Q4643" r:id="rId1210" xr:uid="{C5A49012-CFB9-C748-BFE3-FD87AFAEDEA9}"/>
    <hyperlink ref="Q4655" r:id="rId1211" xr:uid="{28015DF1-BF95-694F-86BB-1B9DAA32D82F}"/>
    <hyperlink ref="Q4638" r:id="rId1212" xr:uid="{78A4E649-B563-0D4C-B7C2-6276073BFA48}"/>
    <hyperlink ref="Q4639" r:id="rId1213" xr:uid="{AF8D1A9C-BCA8-5040-B199-BAEC97436CA5}"/>
    <hyperlink ref="Q4637" r:id="rId1214" xr:uid="{E91E7EBF-E47B-7D45-B9CA-AEE70CF11345}"/>
    <hyperlink ref="Q4632" r:id="rId1215" xr:uid="{4ED8D565-D2F0-9547-9CA9-016682CD0591}"/>
    <hyperlink ref="Q4620" r:id="rId1216" xr:uid="{894A6691-354E-0041-A8A4-BFF4BEAC15FF}"/>
    <hyperlink ref="Q4621" r:id="rId1217" xr:uid="{9C27B3F9-BF8D-DC4E-9DBD-4CA1BBB1FF8B}"/>
    <hyperlink ref="Q4613" r:id="rId1218" xr:uid="{E548445C-DF5C-B847-8CB4-7A3268D19AF4}"/>
    <hyperlink ref="Q4617" r:id="rId1219" xr:uid="{AECB6B6D-344E-BC4C-B3F5-FD49EA228066}"/>
    <hyperlink ref="Q4607" r:id="rId1220" xr:uid="{DD4A4E73-608A-2E49-9E85-637E829B6FE6}"/>
    <hyperlink ref="Q4606" r:id="rId1221" xr:uid="{3376064B-FD2D-6D42-9227-4F5B4B947757}"/>
    <hyperlink ref="Q4598" r:id="rId1222" xr:uid="{91CEA146-2A0E-E74D-AB32-5D5B1B6CBCA2}"/>
    <hyperlink ref="Q4595" r:id="rId1223" xr:uid="{756EA018-DAAD-2F45-BF93-48F675BF17C4}"/>
    <hyperlink ref="Q5077" r:id="rId1224" display="http://www.thedenverchannel.com/news/local-news/injured-northglenn-police-officer-taken-to-hospital" xr:uid="{24131FCF-8BD0-7C46-AD2F-0A2FC0F1211F}"/>
    <hyperlink ref="E4405" r:id="rId1225" xr:uid="{911C3E6A-E8E1-D548-BC70-C97C0E5AD1E1}"/>
    <hyperlink ref="E4403" r:id="rId1226" xr:uid="{8D6698ED-0FAF-0A46-B1BC-CEE340DEF3FD}"/>
    <hyperlink ref="E4394" r:id="rId1227" xr:uid="{CE8A781D-0649-0B4E-9B9E-DB25B7797E1A}"/>
    <hyperlink ref="E4396" r:id="rId1228" xr:uid="{4DBCD545-2EEF-4248-8B95-3857B7A4AF12}"/>
    <hyperlink ref="E4393" r:id="rId1229" xr:uid="{5A00024A-2FD3-984E-999F-0637E5210EF4}"/>
    <hyperlink ref="E4390" r:id="rId1230" xr:uid="{536C1BA8-8901-4348-8D68-8EDC55B3E0ED}"/>
    <hyperlink ref="E4392" r:id="rId1231" xr:uid="{2EDDBAF7-DEE4-0D4B-A1C4-D7214267C2FF}"/>
    <hyperlink ref="E4391" r:id="rId1232" xr:uid="{64B94EAF-B354-3B47-8E83-2E8395549A2A}"/>
    <hyperlink ref="E4385" r:id="rId1233" xr:uid="{2A684BD4-1EC1-C241-A1B7-98320D909207}"/>
    <hyperlink ref="E4384" r:id="rId1234" xr:uid="{1729D833-6015-1046-8948-7D79C45580A5}"/>
    <hyperlink ref="E4382" r:id="rId1235" xr:uid="{9C821676-AC24-9447-9100-C55EC0519C61}"/>
    <hyperlink ref="E4380" r:id="rId1236" xr:uid="{EFBDEBF0-A8DA-B04F-9DE7-940122C4AC60}"/>
    <hyperlink ref="E4373" r:id="rId1237" xr:uid="{E1A9E1F7-21E7-2E4F-8E00-27A192C8EBDF}"/>
    <hyperlink ref="E4370" r:id="rId1238" xr:uid="{CCA7044C-FD38-AD48-AB8E-64786728695F}"/>
    <hyperlink ref="E4367" r:id="rId1239" xr:uid="{C481A7F9-8B10-F14A-9CA8-03EF9442B7A3}"/>
    <hyperlink ref="E4365" r:id="rId1240" xr:uid="{BFAB3E30-629B-4B4A-B99A-62F6A03E3671}"/>
    <hyperlink ref="E4362" r:id="rId1241" xr:uid="{7F53F673-F29E-7444-B3B4-37371CAD40FC}"/>
    <hyperlink ref="E4364" r:id="rId1242" xr:uid="{7BA8EC9A-D917-104D-8CBC-F72EDBA77726}"/>
    <hyperlink ref="E4360" r:id="rId1243" xr:uid="{40157266-5FA6-604C-B5FF-001BB3E24D65}"/>
    <hyperlink ref="E4361" r:id="rId1244" xr:uid="{148D7752-46F3-1C45-B25F-D6EF2BB96DA6}"/>
    <hyperlink ref="E4359" r:id="rId1245" xr:uid="{0C509DBD-CB71-4246-A90F-AC42634CBA0C}"/>
    <hyperlink ref="E4356" r:id="rId1246" xr:uid="{3E4E9B78-472F-7D47-9087-3E8948A9881C}"/>
    <hyperlink ref="E4352" r:id="rId1247" xr:uid="{CD3D9E8C-4435-D948-B997-5029811F8EC5}"/>
    <hyperlink ref="E4350" r:id="rId1248" xr:uid="{8E2B00B9-3CD6-B34B-97F7-B4B9D56A835C}"/>
    <hyperlink ref="E4343" r:id="rId1249" xr:uid="{285B8A45-86CF-3543-9C46-78B612C27ED5}"/>
    <hyperlink ref="E4337" r:id="rId1250" xr:uid="{5AC1EE89-6DAD-CE4C-A78D-6CB8BE02B081}"/>
    <hyperlink ref="E4336" r:id="rId1251" xr:uid="{D1CA0F81-ED3E-4B4E-9E96-63C1F5C4C526}"/>
    <hyperlink ref="E4335" r:id="rId1252" xr:uid="{10710B66-1DC7-FA47-9AB4-89FA62824E6F}"/>
    <hyperlink ref="E4341" r:id="rId1253" xr:uid="{DD2FB285-EBC2-5540-9E1E-47703F9D7FCC}"/>
    <hyperlink ref="E4334" r:id="rId1254" xr:uid="{C2CA30A5-0E4D-414C-9D8A-46533219E012}"/>
    <hyperlink ref="E4333" r:id="rId1255" xr:uid="{319E89EF-66CA-9B41-A5A0-56692664CF02}"/>
    <hyperlink ref="E4316" r:id="rId1256" xr:uid="{19EC8912-2D10-6E4D-BDFD-E204AD4FAD9A}"/>
    <hyperlink ref="E4313" r:id="rId1257" xr:uid="{9623A7E4-95FD-2746-924B-8DCFE31301B2}"/>
    <hyperlink ref="E4315" r:id="rId1258" xr:uid="{B3E6C9FF-3BCB-C84E-9397-615D6BCA37FA}"/>
    <hyperlink ref="E4312" r:id="rId1259" xr:uid="{427748FD-4B23-3D45-823E-DC1C9A3AC8B6}"/>
    <hyperlink ref="E4308" r:id="rId1260" xr:uid="{0629B76A-8682-BB42-86B5-6A589594DF23}"/>
    <hyperlink ref="E4305" r:id="rId1261" xr:uid="{4127C68F-F176-3148-9A0C-85DD79F9C953}"/>
    <hyperlink ref="E4302" r:id="rId1262" xr:uid="{818CCA5A-A2DF-EC46-8F48-8A95AA17A949}"/>
    <hyperlink ref="E4292" r:id="rId1263" xr:uid="{9A24D1F3-784C-8141-99EB-ADF80EDD9BD9}"/>
    <hyperlink ref="E4291" r:id="rId1264" xr:uid="{25BBE05A-EDD7-6C41-9799-0CECA7CFA216}"/>
    <hyperlink ref="E4288" r:id="rId1265" xr:uid="{F7F6169A-3030-B64D-8784-D9FD46C527E7}"/>
    <hyperlink ref="E4284" r:id="rId1266" xr:uid="{ECA0B4B8-7958-B14D-992B-553D486F7910}"/>
    <hyperlink ref="E4278" r:id="rId1267" xr:uid="{6F82E3DB-79FA-034B-952A-AD0AF3EC82E8}"/>
    <hyperlink ref="E4268" r:id="rId1268" xr:uid="{061550E8-CED9-3441-85D1-90C88D6438FB}"/>
    <hyperlink ref="E4266" r:id="rId1269" xr:uid="{33090D40-C690-3749-A0CF-51E775B74725}"/>
    <hyperlink ref="E4259" r:id="rId1270" xr:uid="{E54FBC26-7A15-4A43-8421-8C4175022812}"/>
    <hyperlink ref="E4258" r:id="rId1271" xr:uid="{0FA9476B-62AB-BE44-BA89-A8B7DB139A5E}"/>
    <hyperlink ref="E4257" r:id="rId1272" xr:uid="{2381E3A3-D696-A04F-AC2A-612D7E6AA2F1}"/>
    <hyperlink ref="E4255" r:id="rId1273" xr:uid="{3A75ED0B-C7FF-9743-B92B-9A9FA459D2C1}"/>
    <hyperlink ref="E4254" r:id="rId1274" xr:uid="{9510DA0F-EE1E-BC45-A793-BEAF77315F6B}"/>
    <hyperlink ref="E4248" r:id="rId1275" xr:uid="{E30F69E4-79C6-6149-972B-0AECB7D767EA}"/>
    <hyperlink ref="E4244" r:id="rId1276" xr:uid="{B613B954-DC2E-3442-9E37-31D362859B58}"/>
    <hyperlink ref="E4245" r:id="rId1277" xr:uid="{5F1C909A-3703-5F4A-BF6D-D7CD88C5D3CF}"/>
    <hyperlink ref="E4234" r:id="rId1278" xr:uid="{4BA9287F-473D-CB49-9F5B-D543261D3DA0}"/>
    <hyperlink ref="E4236" r:id="rId1279" xr:uid="{1DFEEFF4-5CE1-9F44-ACDE-B427475C1627}"/>
    <hyperlink ref="E4232" r:id="rId1280" xr:uid="{3CB6EE71-4B4B-404B-A8C2-8EDE64C4C62D}"/>
    <hyperlink ref="E4225" r:id="rId1281" xr:uid="{5E9F65ED-E37E-D240-A206-48F39E4FCC95}"/>
    <hyperlink ref="E4221" r:id="rId1282" xr:uid="{A941F98A-E86B-C04C-8F1F-C8528A5BC970}"/>
    <hyperlink ref="E4222" r:id="rId1283" xr:uid="{60983CE4-FDFA-B940-87FD-018D2BF9D890}"/>
    <hyperlink ref="E4215" r:id="rId1284" xr:uid="{DEB9E3F5-6CDC-4C45-BE0C-D99A7163F5B7}"/>
    <hyperlink ref="E4212" r:id="rId1285" xr:uid="{0815BAC7-BD5E-C24B-8DE6-A2A3A4A7A9C8}"/>
    <hyperlink ref="E4209" r:id="rId1286" xr:uid="{A8E21F45-1F1C-C244-B937-C6965E1FB8F7}"/>
    <hyperlink ref="E4211" r:id="rId1287" xr:uid="{74739A05-6112-484E-9913-9AB5E5C785EC}"/>
    <hyperlink ref="E4208" r:id="rId1288" xr:uid="{ABAB350C-F9E1-E744-A66F-A82D49075BF0}"/>
    <hyperlink ref="E4205" r:id="rId1289" xr:uid="{E9B69253-C02C-8446-A386-C8FD7FE9B932}"/>
    <hyperlink ref="E4204" r:id="rId1290" xr:uid="{6AC33B20-5FD0-3540-BE05-16D5137D75BE}"/>
    <hyperlink ref="E4200" r:id="rId1291" xr:uid="{B76E0B42-7FE3-E342-B5D4-8BBB2B8F8907}"/>
    <hyperlink ref="E4193" r:id="rId1292" xr:uid="{040D8DB5-6B98-0C48-AE79-93A7691573D3}"/>
    <hyperlink ref="Q4405" r:id="rId1293" xr:uid="{0DF64037-C197-C640-B44F-ABA6285EA39C}"/>
    <hyperlink ref="Q4402" r:id="rId1294" xr:uid="{EA2F7144-055E-D04A-8C27-F47958D5C8C5}"/>
    <hyperlink ref="Q4403" r:id="rId1295" xr:uid="{E7C2FD32-E972-BA4C-BE08-3116B95E58D7}"/>
    <hyperlink ref="Q4404" r:id="rId1296" xr:uid="{1244F467-93C7-6B41-A379-6E86A3A3AD22}"/>
    <hyperlink ref="Q4394" r:id="rId1297" xr:uid="{027CB3B9-D819-A140-9C2B-6C156B22430F}"/>
    <hyperlink ref="Q4396" r:id="rId1298" xr:uid="{E6B91713-B42F-EE41-BBA2-4EB6AE4EA1E2}"/>
    <hyperlink ref="Q4395" r:id="rId1299" xr:uid="{D35645D1-191A-9A4F-A084-DFB5B1A481EE}"/>
    <hyperlink ref="Q4393" r:id="rId1300" xr:uid="{03167FBE-8822-044B-A138-6FCBA6FE823A}"/>
    <hyperlink ref="Q4397" r:id="rId1301" xr:uid="{805B85F7-3880-F743-B92F-ABF7F6F25DEF}"/>
    <hyperlink ref="Q4390" r:id="rId1302" xr:uid="{B2654E86-9A53-8448-A576-C1F45F0C911E}"/>
    <hyperlink ref="Q4392" r:id="rId1303" location=".VpBJdfkrLIU" xr:uid="{117D4871-953F-D44B-9296-65697A8D2A7D}"/>
    <hyperlink ref="Q4391" r:id="rId1304" xr:uid="{56747290-4561-2C44-B87B-D12DC4E2478E}"/>
    <hyperlink ref="Q4389" r:id="rId1305" xr:uid="{F48DB657-52D2-704D-A596-077EB57C65CD}"/>
    <hyperlink ref="Q4388" r:id="rId1306" xr:uid="{5E4AD855-C6A2-B04F-8754-CC291E2ACB6F}"/>
    <hyperlink ref="Q4387" r:id="rId1307" xr:uid="{F59EDA51-456D-8F49-A52F-A96B03BEF2E9}"/>
    <hyperlink ref="Q4386" r:id="rId1308" xr:uid="{53FE2FA5-0CBB-464E-8BE8-D023494CFC79}"/>
    <hyperlink ref="Q4385" r:id="rId1309" display="http://local12.com/news/local/cpd-outline-events-leading-up-to-deadly-officer-involved-shooting" xr:uid="{C8C7D13F-0177-2748-9A70-1A7642022CAD}"/>
    <hyperlink ref="Q4383" r:id="rId1310" xr:uid="{3CEA0C1B-49A1-1C4E-BCE4-4753B2609AFA}"/>
    <hyperlink ref="Q4384" r:id="rId1311" xr:uid="{5B06F179-5680-394F-B71A-29245206CC2D}"/>
    <hyperlink ref="Q4382" r:id="rId1312" xr:uid="{DDBA9B58-BA77-2848-ADF1-660FE737628E}"/>
    <hyperlink ref="Q4380" r:id="rId1313" xr:uid="{175AFCDD-F15B-1444-93DC-951F26E3FDDC}"/>
    <hyperlink ref="Q4381" r:id="rId1314" xr:uid="{35ADF710-D90C-5B4F-947D-61D66355AE84}"/>
    <hyperlink ref="Q4379" r:id="rId1315" xr:uid="{B47DD680-C806-7F4F-B79D-885181102CC2}"/>
    <hyperlink ref="Q4378" r:id="rId1316" xr:uid="{5C098A80-0BA3-7744-94FF-C719B2B1D8CF}"/>
    <hyperlink ref="Q4376" r:id="rId1317" xr:uid="{E83527FC-742E-194B-B8CB-BCC3B315FB19}"/>
    <hyperlink ref="Q4377" r:id="rId1318" xr:uid="{2EFA1C2C-F238-A846-8ABB-E7854CA0840B}"/>
    <hyperlink ref="Q4375" r:id="rId1319" xr:uid="{922FDFDC-2FFC-4B47-948E-B44E592F76C7}"/>
    <hyperlink ref="Q4373" r:id="rId1320" xr:uid="{B05E6979-80CF-DF49-85C5-F9ECF9AB92C9}"/>
    <hyperlink ref="Q4371" r:id="rId1321" xr:uid="{5E9C6BB4-6B94-904C-B8E5-86A955589941}"/>
    <hyperlink ref="Q4370" r:id="rId1322" xr:uid="{866D6A2B-859E-884C-B49B-4D7A1CBF10F6}"/>
    <hyperlink ref="Q4369" r:id="rId1323" xr:uid="{981964D7-7D68-8F4B-8CAE-314446FDEBCD}"/>
    <hyperlink ref="Q4367" r:id="rId1324" xr:uid="{A869D034-584E-9D4E-BF61-B55553C8E185}"/>
    <hyperlink ref="Q4365" r:id="rId1325" xr:uid="{6E79EFDE-B3AF-0F47-BEEF-8D90F79A99DD}"/>
    <hyperlink ref="Q4362" r:id="rId1326" xr:uid="{C185DC4D-1B6E-FB4A-8877-FCDFE0611E8D}"/>
    <hyperlink ref="Q4364" r:id="rId1327" xr:uid="{E8BEB67E-6761-354A-82F4-8153A11B9566}"/>
    <hyperlink ref="Q4372" r:id="rId1328" xr:uid="{62F8E69C-7F80-E246-A1A7-ADF30DFD4683}"/>
    <hyperlink ref="Q4363" r:id="rId1329" xr:uid="{94FCAE73-E3CC-7648-9D4E-A1321ABFAD4A}"/>
    <hyperlink ref="Q4358" r:id="rId1330" xr:uid="{DDBA6613-6D1B-A745-B9AD-4FEDED06976F}"/>
    <hyperlink ref="Q4360" r:id="rId1331" xr:uid="{8DA475CE-0C8F-1B43-A2AB-98E9B0F128A1}"/>
    <hyperlink ref="Q4361" r:id="rId1332" xr:uid="{8666D119-2D3E-8348-889F-E45101962C0C}"/>
    <hyperlink ref="Q4357" r:id="rId1333" xr:uid="{1F84A857-48D6-6247-B219-A9D67891C552}"/>
    <hyperlink ref="Q4359" r:id="rId1334" xr:uid="{4A744A0E-951E-024E-994D-E8E2F5B30C6D}"/>
    <hyperlink ref="Q4355" r:id="rId1335" xr:uid="{7A99961B-80FC-CC42-85E0-A963DF577EDE}"/>
    <hyperlink ref="Q4354" r:id="rId1336" xr:uid="{4AC8FEAE-85A1-FA44-88E3-8FA098940D22}"/>
    <hyperlink ref="Q4356" r:id="rId1337" xr:uid="{6642ECEB-EDFF-BE47-9283-3293FE56D280}"/>
    <hyperlink ref="Q4353" r:id="rId1338" xr:uid="{834E8809-7EAA-7B44-BEC8-20ADEA100D7F}"/>
    <hyperlink ref="Q4352" r:id="rId1339" xr:uid="{CA12E0C6-5452-C14F-AB55-21C7C061BC09}"/>
    <hyperlink ref="Q4350" r:id="rId1340" xr:uid="{08A9139B-6A4D-D545-9BDF-591E7CBDAEA8}"/>
    <hyperlink ref="Q4348" r:id="rId1341" xr:uid="{964E8ACD-256E-2B4C-862C-C18E888A883E}"/>
    <hyperlink ref="Q4347" r:id="rId1342" location="incart_river_index" xr:uid="{6B44A667-74C1-9144-8E5E-D2E55E2C4C40}"/>
    <hyperlink ref="Q4345" r:id="rId1343" xr:uid="{2412AA20-91DF-4043-A6EC-0226FDEF763B}"/>
    <hyperlink ref="Q4343" r:id="rId1344" xr:uid="{86CF8C22-9716-2E46-934E-D29F56D6EEA7}"/>
    <hyperlink ref="Q4344" r:id="rId1345" xr:uid="{8C349556-5640-304F-A848-62CCF78273D5}"/>
    <hyperlink ref="Q4339" r:id="rId1346" xr:uid="{5A205E48-D5C6-ED49-9BFC-88D7E8DE2BE9}"/>
    <hyperlink ref="Q4337" r:id="rId1347" xr:uid="{ABD0CE26-56F3-BB49-990B-E15D2802FA75}"/>
    <hyperlink ref="Q4336" r:id="rId1348" xr:uid="{DD169578-3469-EF45-B8C0-5D15255ABF69}"/>
    <hyperlink ref="Q4335" r:id="rId1349" xr:uid="{C64DB522-B9F9-E845-8146-2BD0880B726C}"/>
    <hyperlink ref="Q4341" r:id="rId1350" xr:uid="{30904EEA-E97C-B844-82CA-ABEAE1A7AE59}"/>
    <hyperlink ref="Q4340" r:id="rId1351" xr:uid="{CB3A0877-D38D-E447-A675-4AA13A3BF1CD}"/>
    <hyperlink ref="Q4334" r:id="rId1352" xr:uid="{6D2C9A97-6D22-7D40-AE5C-4B0691A6152F}"/>
    <hyperlink ref="Q4333" r:id="rId1353" xr:uid="{D5F95235-64E7-D040-84AD-EE5C95F7F409}"/>
    <hyperlink ref="Q4330" r:id="rId1354" xr:uid="{0FB6F86E-39B3-034F-A661-FE176604584F}"/>
    <hyperlink ref="Q4327" r:id="rId1355" xr:uid="{41B59950-32BB-C84F-9DE3-E342F5E0CB6C}"/>
    <hyperlink ref="Q4323" r:id="rId1356" xr:uid="{5441D83F-7918-8B42-8D28-C45091D39C61}"/>
    <hyperlink ref="Q4326" r:id="rId1357" xr:uid="{F5821411-1760-7445-9709-5118C0DEA98D}"/>
    <hyperlink ref="Q4325" r:id="rId1358" xr:uid="{119EC088-8B0D-284B-9AEF-6E5064B93CCD}"/>
    <hyperlink ref="Q4324" r:id="rId1359" xr:uid="{78E92A0A-B31E-3941-9B7A-EA0D764F461F}"/>
    <hyperlink ref="Q4322" r:id="rId1360" xr:uid="{0FF7749C-7EA9-A841-A081-856104F26C73}"/>
    <hyperlink ref="Q4320" r:id="rId1361" xr:uid="{89CF1622-E90A-4C4E-9B2B-2385AAF749B9}"/>
    <hyperlink ref="Q4316" r:id="rId1362" xr:uid="{4D13D514-A602-F24E-ACB9-7DA34BAFBD59}"/>
    <hyperlink ref="Q4317" r:id="rId1363" xr:uid="{D0690F0C-8E60-7542-AD36-BCA66344D60E}"/>
    <hyperlink ref="Q4318" r:id="rId1364" location=".VrFlKfkrLIU" xr:uid="{E31F1A1A-AC23-C244-A9A4-9682800BA448}"/>
    <hyperlink ref="Q4313" r:id="rId1365" xr:uid="{B55DC37E-111E-9140-B49E-6584557A088D}"/>
    <hyperlink ref="Q4314" r:id="rId1366" xr:uid="{347A77D4-1D19-7C46-A634-72D3A99432FA}"/>
    <hyperlink ref="Q4315" r:id="rId1367" xr:uid="{E4EC939D-F17E-4E43-B191-AD805567213E}"/>
    <hyperlink ref="Q4312" r:id="rId1368" xr:uid="{8224AF93-A145-7441-A818-38FBF76AEC76}"/>
    <hyperlink ref="Q4309" r:id="rId1369" xr:uid="{0EB1FB70-3844-EB4B-BB49-2B06EDF1DADE}"/>
    <hyperlink ref="Q4308" r:id="rId1370" xr:uid="{412F7199-C523-E741-A505-DC6708E187D3}"/>
    <hyperlink ref="Q4310" r:id="rId1371" location=".Vs-IW5wrJvY" xr:uid="{AECCD094-1C54-0D48-AF07-470426B70ADA}"/>
    <hyperlink ref="Q4306" r:id="rId1372" xr:uid="{BE5B5AA3-10C7-B443-B2DD-DF423B95EE44}"/>
    <hyperlink ref="Q4303" r:id="rId1373" xr:uid="{87DF2F5E-6FF6-D14E-9E54-BED0087277C2}"/>
    <hyperlink ref="Q4304" r:id="rId1374" xr:uid="{4318552A-6744-DA49-BE18-541D6E615CC3}"/>
    <hyperlink ref="Q4305" r:id="rId1375" xr:uid="{E9BAB308-DB90-B14B-AE19-5ED2B62C46CA}"/>
    <hyperlink ref="Q4302" r:id="rId1376" xr:uid="{5DC54BB5-966C-AA4D-86B2-5D933D84E695}"/>
    <hyperlink ref="Q4300" r:id="rId1377" xr:uid="{C3552EC1-239A-2E4F-AC77-8390403FA267}"/>
    <hyperlink ref="Q4299" r:id="rId1378" xr:uid="{EE93DB02-832C-FF40-A348-F4480C7CBF48}"/>
    <hyperlink ref="Q4297" r:id="rId1379" xr:uid="{AE504D51-DFA5-4E4B-9F6A-E6F1B0F7E929}"/>
    <hyperlink ref="Q4292" r:id="rId1380" xr:uid="{840799E6-0EEF-3C4E-9E49-1274C2F49805}"/>
    <hyperlink ref="Q4291" r:id="rId1381" xr:uid="{36649173-C6F4-394E-B9AD-DA58FF7DDEB1}"/>
    <hyperlink ref="Q4293" r:id="rId1382" xr:uid="{955987C3-49EC-024E-8AA3-955E290BA8B4}"/>
    <hyperlink ref="Q4290" r:id="rId1383" xr:uid="{41DE1A5C-01D9-1543-8B52-D056504F43F5}"/>
    <hyperlink ref="Q4288" r:id="rId1384" xr:uid="{79DE9B5D-CCEB-5440-9378-9D6F3124C380}"/>
    <hyperlink ref="Q4286" r:id="rId1385" xr:uid="{68DD3258-CE27-2048-8643-2A19AE768A71}"/>
    <hyperlink ref="Q4285" r:id="rId1386" xr:uid="{8B475C15-46AA-6C48-957F-1425ABBEEE2F}"/>
    <hyperlink ref="Q4287" r:id="rId1387" xr:uid="{DBB06509-F0AE-D444-8CC4-0B6EF0C3B419}"/>
    <hyperlink ref="Q4289" r:id="rId1388" xr:uid="{3E989EF8-8556-0248-8B3C-BEB7C861B828}"/>
    <hyperlink ref="Q4284" r:id="rId1389" xr:uid="{584AA60D-3668-FD4A-8435-936F4DED69D9}"/>
    <hyperlink ref="Q4283" r:id="rId1390" xr:uid="{A60FBD21-7B75-1A4C-A20D-549945B812B2}"/>
    <hyperlink ref="Q4278" r:id="rId1391" xr:uid="{A78036FC-E1F5-EF41-B653-3C5A9037AE4A}"/>
    <hyperlink ref="Q4271" r:id="rId1392" xr:uid="{C8057550-BB39-8743-A259-DB6821071F5C}"/>
    <hyperlink ref="Q4272" r:id="rId1393" xr:uid="{90C539E9-9928-E54C-B817-C6C53F1109FA}"/>
    <hyperlink ref="Q4270" r:id="rId1394" xr:uid="{289C402D-EBC3-B344-B96B-F5E3EBAE8A87}"/>
    <hyperlink ref="Q4268" r:id="rId1395" xr:uid="{1131B7BE-3BB9-1043-A89A-0953A61FAEC6}"/>
    <hyperlink ref="Q4267" r:id="rId1396" xr:uid="{E0E49837-9AC0-4641-A9AB-CF2A354CD2E4}"/>
    <hyperlink ref="Q4266" r:id="rId1397" xr:uid="{BE4FD13E-622F-6743-8F5B-19B577F5EB08}"/>
    <hyperlink ref="Q4264" r:id="rId1398" xr:uid="{11AB3E69-5C51-E04F-924F-DBF7245C8C19}"/>
    <hyperlink ref="Q4265" r:id="rId1399" xr:uid="{DA26E67C-16C5-B444-9D27-7FDB5DE8937A}"/>
    <hyperlink ref="Q4260" r:id="rId1400" xr:uid="{1B6373A9-7EDE-F245-9DCB-F9E7612D347F}"/>
    <hyperlink ref="Q4262" r:id="rId1401" xr:uid="{93AE9F64-4DF6-E14C-94DF-0602498FBCED}"/>
    <hyperlink ref="Q4261" r:id="rId1402" xr:uid="{8965FF26-6A0F-6046-A164-3D2B1166016C}"/>
    <hyperlink ref="Q4259" r:id="rId1403" xr:uid="{2AAE00DE-D117-BA4D-A16A-F9DCC2CCF23F}"/>
    <hyperlink ref="Q4258" r:id="rId1404" xr:uid="{79AFA963-9F11-7D40-B057-C34A7E9186F1}"/>
    <hyperlink ref="Q4257" r:id="rId1405" xr:uid="{C99041D8-5698-7346-8171-966E6FB84A64}"/>
    <hyperlink ref="Q4255" r:id="rId1406" xr:uid="{C9169863-D532-C247-84DB-5E0B8D5AC17B}"/>
    <hyperlink ref="Q4253" r:id="rId1407" xr:uid="{C2BAE283-B9D5-514D-95A5-FD6B1DF27A10}"/>
    <hyperlink ref="Q4254" r:id="rId1408" xr:uid="{E1F35707-196D-D44D-BAFF-37CD0CBA9CB1}"/>
    <hyperlink ref="Q4249" r:id="rId1409" xr:uid="{59976BC0-F8DC-C54B-A196-7A3711556A70}"/>
    <hyperlink ref="Q4248" r:id="rId1410" xr:uid="{2E24C07C-B2AF-D841-95B3-018F168E0A3D}"/>
    <hyperlink ref="Q4247" r:id="rId1411" xr:uid="{D90F6A8B-EDE8-1E4E-891B-B375D53F429D}"/>
    <hyperlink ref="Q4244" r:id="rId1412" xr:uid="{36FACB1F-1179-8E45-A6A9-22C084202AC1}"/>
    <hyperlink ref="Q4246" r:id="rId1413" xr:uid="{32DBDADE-A5E7-A44E-A6C0-E93C16609030}"/>
    <hyperlink ref="Q4245" r:id="rId1414" xr:uid="{4A137F77-B501-2C46-B531-85E01B8141A9}"/>
    <hyperlink ref="Q4239" r:id="rId1415" xr:uid="{EA576AE6-2CFF-FC4B-96C4-4583EC282B9B}"/>
    <hyperlink ref="Q4240" r:id="rId1416" xr:uid="{68447F78-87EF-2F40-BC41-5F2C1E7A68D8}"/>
    <hyperlink ref="Q4241" r:id="rId1417" xr:uid="{571E4B1C-73B9-CD42-B7ED-91B39833DDDB}"/>
    <hyperlink ref="Q4235" r:id="rId1418" xr:uid="{A9239BE6-4159-B84A-AF40-D6EBA971C77F}"/>
    <hyperlink ref="Q4234" r:id="rId1419" xr:uid="{C4FF4AEE-D909-9B4A-BDD7-B193844E27AB}"/>
    <hyperlink ref="Q4236" r:id="rId1420" xr:uid="{6D39F749-9BF2-2E4E-AD19-DECD8F7043DE}"/>
    <hyperlink ref="Q4237" r:id="rId1421" xr:uid="{6BB9C10F-FA36-E344-B0F7-B75AB7812F9B}"/>
    <hyperlink ref="Q4232" r:id="rId1422" xr:uid="{DCC7A7C5-7B78-2A44-B64C-C5B1D807270C}"/>
    <hyperlink ref="Q4229" r:id="rId1423" xr:uid="{9D189847-5DB1-E449-A14C-C42D912ACDFA}"/>
    <hyperlink ref="Q4227" r:id="rId1424" xr:uid="{A349DEA6-437E-EF4D-A274-7A6CD592BE8F}"/>
    <hyperlink ref="Q4226" r:id="rId1425" xr:uid="{9A005CCB-2CFD-2248-8C50-B0A2E8EEBDEC}"/>
    <hyperlink ref="Q4225" r:id="rId1426" xr:uid="{7D7DD4D3-1433-C440-8B62-6B4F86644758}"/>
    <hyperlink ref="Q4224" r:id="rId1427" xr:uid="{BDC5DE8E-45E5-3544-AD84-2A8DE71A71C9}"/>
    <hyperlink ref="Q4220" r:id="rId1428" xr:uid="{8BEF8013-9F98-8A46-AA81-BC587EA0E857}"/>
    <hyperlink ref="Q4221" r:id="rId1429" xr:uid="{A2D1ECEE-0A3C-4941-A5FF-C9D317189775}"/>
    <hyperlink ref="Q4222" r:id="rId1430" xr:uid="{DF3E755F-A93C-464A-A90B-46D45DA1F3B8}"/>
    <hyperlink ref="Q4219" r:id="rId1431" xr:uid="{D771244D-FED0-E644-B019-2E05E4042CDA}"/>
    <hyperlink ref="Q4218" r:id="rId1432" xr:uid="{4B39266E-9682-BE4E-8A1D-04C85CB88BE7}"/>
    <hyperlink ref="Q4216" r:id="rId1433" xr:uid="{1425751C-4CC0-584E-A14D-D2C31A53AB0B}"/>
    <hyperlink ref="Q4215" r:id="rId1434" xr:uid="{80DACC09-AF76-1945-8BCC-2BEF24AC4992}"/>
    <hyperlink ref="Q4214" r:id="rId1435" xr:uid="{792A92D1-DF11-5246-ACB9-C72AF55E4940}"/>
    <hyperlink ref="Q4212" r:id="rId1436" xr:uid="{E9669E41-E6ED-7642-9870-8D2BED61CB6C}"/>
    <hyperlink ref="Q4213" r:id="rId1437" xr:uid="{ECDEB214-9546-9244-9E69-4C7748A531AE}"/>
    <hyperlink ref="Q4209" r:id="rId1438" xr:uid="{2E289781-2064-D142-93BD-DADAB464A68A}"/>
    <hyperlink ref="Q4211" r:id="rId1439" xr:uid="{8E25434D-F05E-E64A-8569-71CE6D0E2189}"/>
    <hyperlink ref="Q4210" r:id="rId1440" xr:uid="{F6B28C08-3C91-4947-89F7-F93E865BBF4F}"/>
    <hyperlink ref="Q4202" r:id="rId1441" xr:uid="{83A88C6D-CBDB-BA42-A3F6-C71D4B02CF30}"/>
    <hyperlink ref="Q4207" r:id="rId1442" xr:uid="{1B1F9BB8-7D3C-A64B-8D55-808C0C783F11}"/>
    <hyperlink ref="Q4208" r:id="rId1443" xr:uid="{D88F7C09-2276-5146-8055-32DD58686310}"/>
    <hyperlink ref="Q4205" r:id="rId1444" xr:uid="{4274F6F7-2584-A946-AD43-8913E2179C56}"/>
    <hyperlink ref="Q4204" r:id="rId1445" xr:uid="{D19D81E3-4B14-5549-BC5C-BCC9B1814A9B}"/>
    <hyperlink ref="Q4201" r:id="rId1446" xr:uid="{A95D0EAF-5AFB-1D49-91BF-939E43E40ED1}"/>
    <hyperlink ref="Q4200" r:id="rId1447" xr:uid="{89EE5D91-182A-4F44-8EB4-40DBD66C18EF}"/>
    <hyperlink ref="Q4199" r:id="rId1448" xr:uid="{DC3357C5-F3BB-2C4B-B64E-30249CC52E0D}"/>
    <hyperlink ref="Q4196" r:id="rId1449" xr:uid="{A12A622B-B83E-E34E-B1A6-DF11789DA3B1}"/>
    <hyperlink ref="Q4197" r:id="rId1450" xr:uid="{32610899-6698-284F-9630-5D60EF36E8D8}"/>
    <hyperlink ref="Q4195" r:id="rId1451" xr:uid="{5F1F87E5-C690-3C47-9621-6C21D092F20A}"/>
    <hyperlink ref="Q4194" r:id="rId1452" xr:uid="{A53252AA-1707-0443-8B30-0B171020474A}"/>
    <hyperlink ref="Q4193" r:id="rId1453" xr:uid="{9429C8C5-E393-E14A-BF1D-AE6D86B9C62B}"/>
    <hyperlink ref="Q4191" r:id="rId1454" xr:uid="{C1956047-8285-0042-8AA2-020FF5AECACC}"/>
    <hyperlink ref="E4233" r:id="rId1455" xr:uid="{522ADBFC-84D5-0448-83A9-0D9AC6F02367}"/>
    <hyperlink ref="E4223" r:id="rId1456" xr:uid="{83905047-4C94-8943-8335-29032579984B}"/>
    <hyperlink ref="Q4233" r:id="rId1457" xr:uid="{24EBD96C-0C9C-A24E-AB3D-46D2925EAE3B}"/>
    <hyperlink ref="Q4223" r:id="rId1458" xr:uid="{CFB7AF9D-5C48-C746-89FA-3087EE71D6FC}"/>
    <hyperlink ref="E4401" r:id="rId1459" xr:uid="{5553FFDF-CA28-574B-82F3-66F2D20CA9A3}"/>
    <hyperlink ref="E4400" r:id="rId1460" xr:uid="{B4CB3118-70D0-F147-B113-B13098D11ADB}"/>
    <hyperlink ref="E4374" r:id="rId1461" xr:uid="{8458CCCD-2E6E-0D44-98CF-A8408E1189B7}"/>
    <hyperlink ref="E4368" r:id="rId1462" location="8587986" xr:uid="{AE602878-6B8A-BE45-943A-BA01EE3BA5DF}"/>
    <hyperlink ref="E4366" r:id="rId1463" xr:uid="{77DB4CB6-F423-A94E-BBAC-29BB79AC5C5E}"/>
    <hyperlink ref="E4351" r:id="rId1464" xr:uid="{6F5258C9-FC56-A14B-86ED-28D5543B133D}"/>
    <hyperlink ref="E4349" r:id="rId1465" xr:uid="{B90A51D2-D3B8-A945-B69D-B3A5CD44B131}"/>
    <hyperlink ref="E4332" r:id="rId1466" xr:uid="{5D95416D-E0E5-0D4D-8672-8A9A4A700FA5}"/>
    <hyperlink ref="E4329" r:id="rId1467" xr:uid="{B5A57214-D5F7-D547-8833-CF9EEF1D2DBD}"/>
    <hyperlink ref="E4331" r:id="rId1468" xr:uid="{220A2470-DACC-1D48-8D90-328485AF659A}"/>
    <hyperlink ref="E4280" r:id="rId1469" xr:uid="{FF5DEFF1-9D11-D745-87CE-CF7A58A2C764}"/>
    <hyperlink ref="E4275" r:id="rId1470" xr:uid="{226EEACD-13F5-3342-99CC-C4FF64C4B2BD}"/>
    <hyperlink ref="E4273" r:id="rId1471" xr:uid="{AC8E3112-14A1-0343-B8EF-62538B3AD517}"/>
    <hyperlink ref="E4256" r:id="rId1472" xr:uid="{FDCFC700-7848-C048-91E7-4BFB2868CB6C}"/>
    <hyperlink ref="E4250" r:id="rId1473" xr:uid="{23CD4139-71E0-9F40-A88D-E7C4E5B7E7E3}"/>
    <hyperlink ref="E4231" r:id="rId1474" xr:uid="{C9150DEC-F28B-4345-AA7B-BD74FD205F52}"/>
    <hyperlink ref="E4192" r:id="rId1475" xr:uid="{C8C7FCC7-C84D-D844-87E5-D8BAF5BB3450}"/>
    <hyperlink ref="E4182" r:id="rId1476" xr:uid="{31B479B1-208F-364E-84DF-03A8294348A0}"/>
    <hyperlink ref="Q4401" r:id="rId1477" xr:uid="{E732200E-8A30-954C-AB54-A7E781AFF1C5}"/>
    <hyperlink ref="Q4400" r:id="rId1478" xr:uid="{805203C8-4E3C-264E-97FD-15EE0272DC3A}"/>
    <hyperlink ref="Q4398" r:id="rId1479" xr:uid="{DB71F872-5D69-AF46-98B9-2342BFD1B231}"/>
    <hyperlink ref="Q4374" r:id="rId1480" xr:uid="{4E38E0B6-8F28-ED49-B1D2-95ED9ECEDA97}"/>
    <hyperlink ref="Q4368" r:id="rId1481" xr:uid="{E2D38C52-856E-194F-BC2E-862C2E5584BD}"/>
    <hyperlink ref="Q4366" r:id="rId1482" xr:uid="{7C5F8F6E-2761-9C4F-839E-CB00E484BEC1}"/>
    <hyperlink ref="Q4351" r:id="rId1483" xr:uid="{7D55CFE3-A051-8844-83B8-909D90D980CB}"/>
    <hyperlink ref="Q4349" r:id="rId1484" xr:uid="{56F9DE43-6FE6-B948-A118-3EDEFE872265}"/>
    <hyperlink ref="Q4332" r:id="rId1485" xr:uid="{12481C8F-E450-7B41-92DB-2A701D5A6877}"/>
    <hyperlink ref="Q4329" r:id="rId1486" xr:uid="{1A08B950-DFA7-C444-BDB6-C5AD878418FF}"/>
    <hyperlink ref="Q4331" r:id="rId1487" xr:uid="{2624EAA4-0BDB-E946-90B7-3445DCA3AF75}"/>
    <hyperlink ref="Q4328" r:id="rId1488" xr:uid="{2658A585-6769-6743-BBE3-ED3E8F3FF697}"/>
    <hyperlink ref="Q4298" r:id="rId1489" xr:uid="{73B04CB3-5B25-AD45-89A3-9349B30DC368}"/>
    <hyperlink ref="Q4294" r:id="rId1490" xr:uid="{9F9BC766-542A-8F4D-B32C-B19F6246CF6F}"/>
    <hyperlink ref="Q4279" r:id="rId1491" xr:uid="{7CAE6810-4AB3-0845-A7DC-F41C1B3AD524}"/>
    <hyperlink ref="Q4280" r:id="rId1492" xr:uid="{268944C4-F680-6947-BCF7-5596B614B7B6}"/>
    <hyperlink ref="Q4275" r:id="rId1493" xr:uid="{E96D5BEB-6C00-9E41-BFA3-BF8A5FBD7907}"/>
    <hyperlink ref="Q4273" r:id="rId1494" xr:uid="{3261D880-EFC9-7A4C-8FB4-2F2A5E4F8530}"/>
    <hyperlink ref="Q4256" r:id="rId1495" xr:uid="{AC221649-DF37-2C4B-A4B4-7FCA1E1914E4}"/>
    <hyperlink ref="Q4250" r:id="rId1496" xr:uid="{D0C19423-EB60-8641-BF0B-3B91D76E83DA}"/>
    <hyperlink ref="Q4252" r:id="rId1497" location="038;utm_medium=Referral&amp;#038;utm_campaign=RSS_seattle-news" xr:uid="{D50109FB-2C76-1F49-84DE-B211AA32FFE9}"/>
    <hyperlink ref="Q4231" r:id="rId1498" xr:uid="{56518512-BE48-7E4F-AD39-6D6798602DD7}"/>
    <hyperlink ref="Q4192" r:id="rId1499" xr:uid="{C355BB79-0B7C-CC4F-9AF3-C883EFFCF1E6}"/>
    <hyperlink ref="Q4180" r:id="rId1500" xr:uid="{F9520C0C-6ECE-C848-8B38-8E02228CBED2}"/>
    <hyperlink ref="Q4182" r:id="rId1501" xr:uid="{2A4D353E-D081-BB46-B73E-6D68004D2DDF}"/>
    <hyperlink ref="Q4321" r:id="rId1502" xr:uid="{52BBCA0C-379D-9640-94A8-D87F1D5435E2}"/>
    <hyperlink ref="Q4311" r:id="rId1503" xr:uid="{D53005FA-AD9E-D94A-97BF-6688165A99AF}"/>
    <hyperlink ref="Q4296" r:id="rId1504" xr:uid="{4614F249-4FC0-CF47-BD94-F3D2838D76FA}"/>
    <hyperlink ref="Q4274" r:id="rId1505" xr:uid="{D83E54A6-3C5E-BE42-9857-9ECA17E64892}"/>
    <hyperlink ref="Q4188" r:id="rId1506" xr:uid="{382EAA52-89A2-0F45-A3C6-411B468D4CF1}"/>
    <hyperlink ref="E4228" r:id="rId1507" xr:uid="{EBC6C676-C781-BB40-8B4F-22ACA1C43E8C}"/>
    <hyperlink ref="E4198" r:id="rId1508" xr:uid="{25F1533B-D7BD-414F-AB2D-660A8FA54B8B}"/>
    <hyperlink ref="Q4319" r:id="rId1509" xr:uid="{CD26645C-9367-5E41-A48E-A7837FA04015}"/>
    <hyperlink ref="Q4263" r:id="rId1510" xr:uid="{ACE5949E-3E23-314F-B1BE-BF5886522C92}"/>
    <hyperlink ref="Q4228" r:id="rId1511" xr:uid="{48BF0A74-C023-8A43-8E3A-172CED25300B}"/>
    <hyperlink ref="Q4198" r:id="rId1512" xr:uid="{C752C7DB-22E5-9C43-8B83-E08B00ED4A55}"/>
    <hyperlink ref="Q4282" r:id="rId1513" xr:uid="{FD2A925B-EBD9-6D4C-B78B-B8BE90C9F2BE}"/>
    <hyperlink ref="E4399" r:id="rId1514" xr:uid="{8A7134EF-F273-4A43-A42F-F46E435D1E74}"/>
    <hyperlink ref="E4342" r:id="rId1515" xr:uid="{0E38380A-C0C1-4641-82F4-19E459CD948F}"/>
    <hyperlink ref="E4276" r:id="rId1516" xr:uid="{8AA7DFAB-C651-5D4B-9B2F-FA86F9B372D8}"/>
    <hyperlink ref="E4251" r:id="rId1517" xr:uid="{A91E855C-0E1F-3B40-99C6-D5E015DB4DBA}"/>
    <hyperlink ref="Q4399" r:id="rId1518" xr:uid="{74F7CC54-5BC6-1847-8AFE-EF6120189D89}"/>
    <hyperlink ref="Q4342" r:id="rId1519" xr:uid="{425A4126-0496-3642-ACD8-D1F7CA3F44FE}"/>
    <hyperlink ref="Q4276" r:id="rId1520" xr:uid="{E37150B5-56EE-2748-88AB-D0FBFCF897EA}"/>
    <hyperlink ref="Q4251" r:id="rId1521" xr:uid="{A8CDCEEF-A032-F548-8D0C-FCEF108FFC24}"/>
    <hyperlink ref="Q4238" r:id="rId1522" xr:uid="{80E08B24-3D55-E64F-9030-BE8A8C071A55}"/>
    <hyperlink ref="E4338" r:id="rId1523" xr:uid="{6025DD90-08F4-464D-BB25-ECA1CDA335AF}"/>
    <hyperlink ref="Q4338" r:id="rId1524" location="incart_river_home" xr:uid="{549C8A47-9D03-6A4F-8263-699B8463344D}"/>
    <hyperlink ref="Q4295" r:id="rId1525" xr:uid="{5B8BAF45-AD78-BC44-9027-BC4B6D94266E}"/>
    <hyperlink ref="Q4242" r:id="rId1526" xr:uid="{E105AA6E-2D21-8746-96C1-D667A2CCFC2F}"/>
    <hyperlink ref="E4281" r:id="rId1527" display="http://www.fatalencounters.org/wp-content/uploads/2013/10/Allen.jpg" xr:uid="{78A34CA1-03AC-314C-B64E-935103487AA2}"/>
    <hyperlink ref="Q4059" r:id="rId1528" xr:uid="{6CE59098-9840-7F4B-91D7-EFB0977658CA}"/>
    <hyperlink ref="Q4066" r:id="rId1529" xr:uid="{CF4501BD-608D-EC44-B886-7966EF4867B6}"/>
    <hyperlink ref="Q4062" r:id="rId1530" xr:uid="{E97E4E63-D069-1F4D-88CA-BB33EC18D1A3}"/>
    <hyperlink ref="Q4063" r:id="rId1531" xr:uid="{39B5A765-19CD-6F47-AC23-DB73324E5626}"/>
    <hyperlink ref="Q4065" r:id="rId1532" xr:uid="{4E83CC58-57E6-0B49-BC76-B96BE498FE84}"/>
    <hyperlink ref="Q4064" r:id="rId1533" xr:uid="{0785FF5E-0D41-1548-A1C2-7EF828350AE7}"/>
    <hyperlink ref="Q4068" r:id="rId1534" xr:uid="{5B1B5070-8CC7-3047-B449-4BBD76583670}"/>
    <hyperlink ref="Q4067" r:id="rId1535" xr:uid="{34068C06-AF4E-5D48-9DB6-698F0C1BDAED}"/>
    <hyperlink ref="Q4070" r:id="rId1536" xr:uid="{0B53A4D3-D491-7741-91CB-5B1DFF5F4FFB}"/>
    <hyperlink ref="Q4072" r:id="rId1537" xr:uid="{D99C68BE-D267-1D47-871D-F7AE1387BC43}"/>
    <hyperlink ref="Q4073" r:id="rId1538" xr:uid="{FF94A687-AED6-A244-948A-76137649FFC2}"/>
    <hyperlink ref="Q4075" r:id="rId1539" xr:uid="{E6889B41-843F-D14A-BA21-147870F8D335}"/>
    <hyperlink ref="Q4074" r:id="rId1540" xr:uid="{C65C7A91-BBF3-B74B-9B19-8F7D4C0DC5DE}"/>
    <hyperlink ref="Q4077" r:id="rId1541" xr:uid="{A2F4CC08-58EE-F140-9DF8-EF6DBA54BA62}"/>
    <hyperlink ref="Q4076" r:id="rId1542" xr:uid="{A7F39C6E-B502-9949-AF36-1A12C11F3DDA}"/>
    <hyperlink ref="Q4080" r:id="rId1543" xr:uid="{2FB72BBB-EF7C-0947-9A3A-A4F36B8CA938}"/>
    <hyperlink ref="Q4081" r:id="rId1544" xr:uid="{9C77386F-0468-6342-94F0-F6683BD1212C}"/>
    <hyperlink ref="Q4079" r:id="rId1545" xr:uid="{149EF47F-2813-C34C-A635-AE62E21B57C7}"/>
    <hyperlink ref="Q4078" r:id="rId1546" xr:uid="{B412FB31-3102-0743-9CA6-11217953DB17}"/>
    <hyperlink ref="Q4082" r:id="rId1547" xr:uid="{E717485E-02A7-5547-A061-A8011D11E065}"/>
    <hyperlink ref="Q4083" r:id="rId1548" xr:uid="{B863C9C8-3C80-D842-A083-6AA0A5D2B68C}"/>
    <hyperlink ref="Q4084" r:id="rId1549" xr:uid="{E353F75A-FD68-B640-8CEE-ED44875240F3}"/>
    <hyperlink ref="Q4085" r:id="rId1550" xr:uid="{9484A06E-482D-2646-AF5F-A2749A9F89B3}"/>
    <hyperlink ref="Q4088" r:id="rId1551" xr:uid="{1F8F0472-E4AC-2640-B0F3-6DF0F5C58F26}"/>
    <hyperlink ref="Q4089" r:id="rId1552" xr:uid="{1F3DC5AF-4FE8-C648-A353-DA0F46F15B98}"/>
    <hyperlink ref="Q4091" r:id="rId1553" xr:uid="{3170FDD1-DC93-A948-B56F-B78B68890F02}"/>
    <hyperlink ref="Q4090" r:id="rId1554" xr:uid="{21B0AD1E-9F18-C743-AFBC-92E726DA7D17}"/>
    <hyperlink ref="Q4094" r:id="rId1555" xr:uid="{F3128273-3933-F941-9FF7-719CAFFA379B}"/>
    <hyperlink ref="Q4092" r:id="rId1556" xr:uid="{9487BBCC-ABC1-DE4B-A46F-C6E3C7FC76D2}"/>
    <hyperlink ref="Q4093" r:id="rId1557" xr:uid="{3214AC93-9136-454E-94E6-EC297D707A55}"/>
    <hyperlink ref="Q4095" r:id="rId1558" xr:uid="{EF2B4697-A2DF-1E42-8DE1-E55BB15A95D3}"/>
    <hyperlink ref="Q4096" r:id="rId1559" xr:uid="{357A254E-5AF6-D84D-9EAB-2069C7807D16}"/>
    <hyperlink ref="Q4098" r:id="rId1560" xr:uid="{C216925B-D2E8-FB48-8163-780265C64DFE}"/>
    <hyperlink ref="Q4100" r:id="rId1561" xr:uid="{7F160693-30E0-5347-B499-938AC406FEE0}"/>
    <hyperlink ref="Q4097" r:id="rId1562" xr:uid="{0F30C9E4-59CB-E046-9555-5D012CF24C57}"/>
    <hyperlink ref="Q4099" r:id="rId1563" xr:uid="{1E44F0EA-39A6-1142-A8BF-122FA9447C31}"/>
    <hyperlink ref="Q4101" r:id="rId1564" xr:uid="{93B6FBC9-EC49-7442-8A80-2D644860473A}"/>
    <hyperlink ref="Q4102" r:id="rId1565" xr:uid="{29541137-8750-D546-B81E-93F34A6CFF3D}"/>
    <hyperlink ref="Q4104" r:id="rId1566" xr:uid="{AA839FFD-D582-6C4B-8D2A-7E3D4AAD8B73}"/>
    <hyperlink ref="Q4103" r:id="rId1567" xr:uid="{6FC166E1-684E-7D43-9665-58483C2418F2}"/>
    <hyperlink ref="Q4105" r:id="rId1568" xr:uid="{913F69A2-ABAE-4344-B7CC-0CF493878681}"/>
    <hyperlink ref="Q4107" r:id="rId1569" xr:uid="{99668F8A-AAE3-F243-9479-93939636637E}"/>
    <hyperlink ref="Q4106" r:id="rId1570" xr:uid="{B62EA9EE-137B-C948-9698-68F805974A60}"/>
    <hyperlink ref="Q4110" r:id="rId1571" xr:uid="{778FF42B-68BA-0241-8908-A8168A6F5C2E}"/>
    <hyperlink ref="Q4111" r:id="rId1572" xr:uid="{3FDA3E6B-92D7-9247-AD34-E1030FDD696D}"/>
    <hyperlink ref="Q4109" r:id="rId1573" xr:uid="{431735CA-53E4-254B-9C8C-370C8900063D}"/>
    <hyperlink ref="Q4113" r:id="rId1574" xr:uid="{2085CA61-EC91-C14E-A647-A0C810E5C4D5}"/>
    <hyperlink ref="Q4112" r:id="rId1575" xr:uid="{EB026F89-10DB-CF41-9CE7-3A4D400A3C81}"/>
    <hyperlink ref="Q4114" r:id="rId1576" xr:uid="{ED327D56-4175-FA4F-8912-4AB7CB1F8113}"/>
    <hyperlink ref="Q4118" r:id="rId1577" xr:uid="{ED1DE150-4C93-8B44-9E2E-6FCCCF151618}"/>
    <hyperlink ref="Q4115" r:id="rId1578" xr:uid="{7B7CEEC6-C622-6C44-8B6A-B4315AA2F728}"/>
    <hyperlink ref="Q4116" r:id="rId1579" xr:uid="{F8D10F60-1B85-8D48-A2E1-B82082246205}"/>
    <hyperlink ref="Q4119" r:id="rId1580" xr:uid="{3E2499A0-0EB2-E344-98A6-0BA6EA0F7BE5}"/>
    <hyperlink ref="Q4121" r:id="rId1581" xr:uid="{900CDC4E-AD58-AF4D-BDD4-E1E17D38E315}"/>
    <hyperlink ref="Q4120" r:id="rId1582" xr:uid="{79065905-0719-D24C-AAB7-302DEA715EA5}"/>
    <hyperlink ref="E4066" r:id="rId1583" xr:uid="{4B27DBBA-52CE-C244-A41E-2290752951BD}"/>
    <hyperlink ref="Q4169" r:id="rId1584" xr:uid="{8F6152C3-6275-E54F-BBCF-DD17F9A039CB}"/>
    <hyperlink ref="Q4168" r:id="rId1585" xr:uid="{ED58973C-D0FC-9546-816D-C662DA0C7E7E}"/>
    <hyperlink ref="Q4145" r:id="rId1586" xr:uid="{80B6DC73-78C5-AF44-81E8-6B4E098AAEF0}"/>
    <hyperlink ref="Q4157" r:id="rId1587" display="http://www.wcjb.com/local-news/2016/03/16-year-old-dies-after-standoff-police" xr:uid="{47356C2C-C464-FD4F-AD3D-3DA445AD16F0}"/>
    <hyperlink ref="Q4161" r:id="rId1588" xr:uid="{5AEDCD6F-D5D3-6D48-8699-5A36150AF678}"/>
    <hyperlink ref="E4145" r:id="rId1589" xr:uid="{02C77024-E623-8B40-A087-F7FEA1F82C82}"/>
    <hyperlink ref="E4157" r:id="rId1590" xr:uid="{90555316-A38A-2B45-BEBD-FCD75736F732}"/>
    <hyperlink ref="E4161" r:id="rId1591" xr:uid="{D2A67BFB-2DAA-ED43-91E1-FD300C5540DE}"/>
    <hyperlink ref="Q4134" r:id="rId1592" xr:uid="{829F7B74-EE14-3442-B0FA-E09608FDBE7F}"/>
    <hyperlink ref="Q4142" r:id="rId1593" xr:uid="{A1A1EE19-41A0-7347-9AE8-B1879A5412D6}"/>
    <hyperlink ref="Q4150" r:id="rId1594" xr:uid="{6495D491-341C-C145-8596-9F35027BD422}"/>
    <hyperlink ref="Q4160" r:id="rId1595" xr:uid="{1724CE20-BB65-2A4A-815C-0C966B46C4E1}"/>
    <hyperlink ref="Q4179" r:id="rId1596" xr:uid="{4BB6CD8A-AC5A-094D-A082-5AA443D5938D}"/>
    <hyperlink ref="E4134" r:id="rId1597" xr:uid="{1FC69381-18F6-0943-BF79-F93090AB1501}"/>
    <hyperlink ref="E4142" r:id="rId1598" xr:uid="{11439C28-6A30-1042-BC7C-43ED2CF98369}"/>
    <hyperlink ref="E4150" r:id="rId1599" xr:uid="{5430CE9C-B87A-D447-90B4-4EEA9A3F0EC7}"/>
    <hyperlink ref="E4160" r:id="rId1600" xr:uid="{AAC2A78B-922A-C642-88E5-99DAE35A8F3A}"/>
    <hyperlink ref="E4179" r:id="rId1601" xr:uid="{286F1A0A-F97F-3743-928E-8EE11FDFD824}"/>
    <hyperlink ref="Q4129" r:id="rId1602" xr:uid="{CEF78FD0-981F-624D-B1B6-C0DBAC08D890}"/>
    <hyperlink ref="Q4135" r:id="rId1603" xr:uid="{EAE95F49-1A37-024E-858E-BB7B0139290B}"/>
    <hyperlink ref="Q4133" r:id="rId1604" xr:uid="{DDBCE165-8250-134E-9EF5-D5362BBDFEB6}"/>
    <hyperlink ref="Q4132" r:id="rId1605" xr:uid="{5B80CCCF-7664-264E-8AD7-E36988465339}"/>
    <hyperlink ref="Q4139" r:id="rId1606" xr:uid="{5F3D2324-D48D-C840-ADF2-6CECC188955D}"/>
    <hyperlink ref="Q4138" r:id="rId1607" xr:uid="{2CEA08BD-E9B3-0845-BEE6-1CEEA2DD4B34}"/>
    <hyperlink ref="Q4140" r:id="rId1608" xr:uid="{33F9A24C-903A-C04D-89AD-E57FCD51AAF2}"/>
    <hyperlink ref="Q4137" r:id="rId1609" xr:uid="{BB8AD9D3-CFFB-5A48-96A8-59B7216D9A1C}"/>
    <hyperlink ref="Q4136" r:id="rId1610" xr:uid="{4B39DAE8-FE8E-4D40-9EAA-B979B50D0CCE}"/>
    <hyperlink ref="Q4147" r:id="rId1611" xr:uid="{1906E8D0-ADCB-D847-B4F1-FA6E6E09C89C}"/>
    <hyperlink ref="Q4143" r:id="rId1612" xr:uid="{8056B7E7-1186-FE44-AA42-BA1C584E8861}"/>
    <hyperlink ref="Q4144" r:id="rId1613" xr:uid="{38F48B7D-AB6E-CC42-ADBA-497051E2CAA0}"/>
    <hyperlink ref="Q4141" r:id="rId1614" xr:uid="{D896316A-AD6B-6C44-A25A-C6B90FEC7A6C}"/>
    <hyperlink ref="Q4149" r:id="rId1615" xr:uid="{61BF992B-6DC1-D242-886B-2F019FE8D542}"/>
    <hyperlink ref="Q4148" r:id="rId1616" xr:uid="{1BE5F6B1-1C1A-4B4A-A3C8-E597847691C7}"/>
    <hyperlink ref="Q4151" r:id="rId1617" xr:uid="{A24BF26F-802A-894B-B61E-2E4ACD39599E}"/>
    <hyperlink ref="Q4152" r:id="rId1618" xr:uid="{D6AEA97D-34EB-A346-BD58-79BD20DD0650}"/>
    <hyperlink ref="Q4155" r:id="rId1619" xr:uid="{C3441CA7-11E0-7443-893D-D5AB0F386875}"/>
    <hyperlink ref="Q4154" r:id="rId1620" xr:uid="{99851BF3-04E8-4042-AF55-CC62AE551806}"/>
    <hyperlink ref="Q4153" r:id="rId1621" xr:uid="{D5A00DF5-5AD6-1740-A80D-374ED586960F}"/>
    <hyperlink ref="Q4156" r:id="rId1622" xr:uid="{0214583E-9B5A-0B45-9F63-DA286CFEC417}"/>
    <hyperlink ref="Q4159" r:id="rId1623" xr:uid="{D785D5DA-29C2-FF43-BFA5-087F2F0A8A21}"/>
    <hyperlink ref="Q4158" r:id="rId1624" xr:uid="{C42752B7-F178-054F-843A-6B53FE9BADA4}"/>
    <hyperlink ref="Q4164" r:id="rId1625" xr:uid="{73A9C660-26E5-D541-AAD5-D0C6CEB3C132}"/>
    <hyperlink ref="Q4162" r:id="rId1626" xr:uid="{CFDD4691-5494-8A4B-BF90-7ADA9945D978}"/>
    <hyperlink ref="Q4166" r:id="rId1627" xr:uid="{45FBD60F-F5CB-C746-A129-854FEEF77F3E}"/>
    <hyperlink ref="Q4171" r:id="rId1628" xr:uid="{B6105718-63FA-F849-88A1-B4D5AE210A36}"/>
    <hyperlink ref="Q4167" r:id="rId1629" xr:uid="{1645C14A-E896-4644-A35A-F8769590C7E3}"/>
    <hyperlink ref="Q4170" r:id="rId1630" xr:uid="{660E2149-CA5D-EB42-83F6-859159AB8E6C}"/>
    <hyperlink ref="Q4173" r:id="rId1631" xr:uid="{6692EA23-8087-B648-9004-9191AACBC205}"/>
    <hyperlink ref="Q4174" r:id="rId1632" xr:uid="{7E21954A-E350-5943-B60D-0357C49280AB}"/>
    <hyperlink ref="Q4172" r:id="rId1633" xr:uid="{E34419AD-1721-064D-874C-A2C5D4EBB719}"/>
    <hyperlink ref="Q4177" r:id="rId1634" xr:uid="{3D8E37D7-D6F2-AE47-94F0-A93BA8560975}"/>
    <hyperlink ref="Q4178" r:id="rId1635" xr:uid="{9750A3F6-6C5B-2247-9428-11BA22A5C0F5}"/>
    <hyperlink ref="Q4176" r:id="rId1636" xr:uid="{D387DC15-652F-BF42-8785-4B53C99ED865}"/>
    <hyperlink ref="Q4185" r:id="rId1637" xr:uid="{11131E66-22CB-E646-B7BD-E8DA5F974A55}"/>
    <hyperlink ref="Q4183" r:id="rId1638" xr:uid="{A11C9BD7-386C-CE4A-8E41-AD1C075F793F}"/>
    <hyperlink ref="Q4181" r:id="rId1639" xr:uid="{D8534BE5-2FF3-8648-83CD-C534710DBF9B}"/>
    <hyperlink ref="Q4187" r:id="rId1640" xr:uid="{094424B4-E753-8F4D-989B-9159DD7B86CE}"/>
    <hyperlink ref="E4135" r:id="rId1641" xr:uid="{FD59D367-EB67-1A48-8FAF-F4F91F88B6C8}"/>
    <hyperlink ref="E4133" r:id="rId1642" xr:uid="{883AEBDA-E694-484B-9F3F-1D462B8FDA11}"/>
    <hyperlink ref="E4132" r:id="rId1643" xr:uid="{25E40993-3CD3-104C-8DD5-5CB0E2663A8E}"/>
    <hyperlink ref="E4139" r:id="rId1644" xr:uid="{BA05FEE3-74BF-2045-8BBA-B8030A8070AB}"/>
    <hyperlink ref="E4137" r:id="rId1645" xr:uid="{A37AF9F7-9E53-6E4C-9864-56CFF4B03818}"/>
    <hyperlink ref="E4136" r:id="rId1646" xr:uid="{9BD33DCD-B7BA-1348-A810-5EA86763FB75}"/>
    <hyperlink ref="E4141" r:id="rId1647" xr:uid="{78288B73-7F60-254A-96CA-CCB6B112BFCB}"/>
    <hyperlink ref="E4151" r:id="rId1648" xr:uid="{D7103624-FF6B-994B-857C-8B43B7159F4F}"/>
    <hyperlink ref="E4152" r:id="rId1649" xr:uid="{275E80D4-6191-2C4D-8548-CDA4E7477E5B}"/>
    <hyperlink ref="E4155" r:id="rId1650" xr:uid="{95A6381E-B9D0-EB40-B378-B8F7D1158A7C}"/>
    <hyperlink ref="E4154" r:id="rId1651" xr:uid="{2C4960FE-A54F-6445-98AE-2F5ECA6AC95B}"/>
    <hyperlink ref="E4153" r:id="rId1652" xr:uid="{892729AE-12E1-834D-86BC-429AFB06261E}"/>
    <hyperlink ref="E4158" r:id="rId1653" xr:uid="{6E5BB15D-99F1-8D4B-9FBE-468AAA84010B}"/>
    <hyperlink ref="E4164" r:id="rId1654" xr:uid="{7BDF1FE4-E1D2-8A4B-8A51-EBCD37F18192}"/>
    <hyperlink ref="E4171" r:id="rId1655" xr:uid="{DAE26B55-8C82-9B4D-9B14-58267135438C}"/>
    <hyperlink ref="E4167" r:id="rId1656" xr:uid="{5B82DD66-4760-7745-825A-F591045D173A}"/>
    <hyperlink ref="E4170" r:id="rId1657" xr:uid="{C86D66A7-5184-5A4C-9320-209DF6256585}"/>
    <hyperlink ref="E4177" r:id="rId1658" xr:uid="{600B5199-4BD2-074F-935D-18C2E0EF9B4E}"/>
    <hyperlink ref="E4176" r:id="rId1659" xr:uid="{3F88877E-0827-CB4E-8A6D-8228E88552F5}"/>
    <hyperlink ref="E4181" r:id="rId1660" xr:uid="{16CD1618-B3FA-F241-AB7B-F519AD6BAEA8}"/>
    <hyperlink ref="E4186" r:id="rId1661" xr:uid="{0DB7D77C-E41B-A445-A26B-CE9FAFC00402}"/>
    <hyperlink ref="E4187" r:id="rId1662" xr:uid="{12B79ECB-5525-D043-90C4-8C7DDEE1B7CE}"/>
    <hyperlink ref="Q4042" r:id="rId1663" xr:uid="{A39D182B-0F8A-2E40-8C58-096042DE2030}"/>
    <hyperlink ref="E4040" r:id="rId1664" xr:uid="{D609B284-3F30-EC44-949A-D3C995C157ED}"/>
    <hyperlink ref="Q4040" r:id="rId1665" xr:uid="{FBF25E18-086B-164A-B0B5-BC81611352AD}"/>
    <hyperlink ref="Q4041" r:id="rId1666" xr:uid="{8748B351-C6F8-6F4D-8061-C8D5F5A4EF7A}"/>
    <hyperlink ref="E4039" r:id="rId1667" xr:uid="{E81DD5C2-D4AA-8E46-AC83-F0D697A015AA}"/>
    <hyperlink ref="Q4039" r:id="rId1668" xr:uid="{ED8E4587-AF9C-3441-A827-8A9CB967A425}"/>
    <hyperlink ref="Q4038" r:id="rId1669" xr:uid="{559F199B-C177-A24C-9FDF-7E679A962CB8}"/>
    <hyperlink ref="Q4036" r:id="rId1670" xr:uid="{472F37D4-F0DA-0C4C-BCB8-E3E7AD0DE759}"/>
    <hyperlink ref="Q4035" r:id="rId1671" xr:uid="{2BE5E2D6-AD8B-0E48-84A4-1A9AEB6B577E}"/>
    <hyperlink ref="Q4037" r:id="rId1672" xr:uid="{2534AB27-201B-BD46-967A-762463319E75}"/>
    <hyperlink ref="Q4034" r:id="rId1673" xr:uid="{650DC9ED-529B-9A49-9814-18C77183911D}"/>
    <hyperlink ref="E4033" r:id="rId1674" xr:uid="{DD752E0B-3EAC-A441-9E39-9981EECFE04A}"/>
    <hyperlink ref="Q4033" r:id="rId1675" xr:uid="{15E5313D-E3AE-934C-B657-5838333A05BC}"/>
    <hyperlink ref="E4032" r:id="rId1676" xr:uid="{353FB769-5DBF-5946-8986-FB5A8D32C2CA}"/>
    <hyperlink ref="Q4032" r:id="rId1677" xr:uid="{D0FF0E50-925F-614F-9E20-5C7C8307E865}"/>
    <hyperlink ref="Q4031" r:id="rId1678" xr:uid="{A22364F0-4571-C94E-AB94-CDFFAA3ECBB9}"/>
    <hyperlink ref="Q4030" r:id="rId1679" xr:uid="{5C7101CA-E8BF-2B44-A4B7-09278938637D}"/>
    <hyperlink ref="E4026" r:id="rId1680" xr:uid="{E5161180-B16C-8041-B19B-FE0027F32915}"/>
    <hyperlink ref="Q4026" r:id="rId1681" xr:uid="{B061F577-D1C9-0D4C-86A9-193C472FA2DF}"/>
    <hyperlink ref="E4029" r:id="rId1682" xr:uid="{FAB80739-9F5A-194E-8AA3-C6DF4EB0F892}"/>
    <hyperlink ref="Q4029" r:id="rId1683" xr:uid="{8AAA0F78-06E0-F445-AD5A-1E67CF771E56}"/>
    <hyperlink ref="E4027" r:id="rId1684" xr:uid="{901E94E9-2E9A-754E-9A7B-B97C4AEF5640}"/>
    <hyperlink ref="Q4027" r:id="rId1685" xr:uid="{59AEA362-C840-B744-83C7-AD571B62C924}"/>
    <hyperlink ref="Q4028" r:id="rId1686" xr:uid="{9C7F83D7-8FAC-014B-9D4C-502CFE881C27}"/>
    <hyperlink ref="Q4023" r:id="rId1687" xr:uid="{5D1D1226-C6EF-DE40-A3CA-32D9474A5A6B}"/>
    <hyperlink ref="Q4024" r:id="rId1688" xr:uid="{57CBD803-B009-5045-87AB-DC51E8E24E7E}"/>
    <hyperlink ref="E4020" r:id="rId1689" xr:uid="{DA6F559C-9D6B-0C45-8420-77C5A0F64468}"/>
    <hyperlink ref="Q4020" r:id="rId1690" xr:uid="{7DDE4CA5-0C63-7544-939D-DDCF12B9A598}"/>
    <hyperlink ref="Q4019" r:id="rId1691" xr:uid="{D503DE39-0657-BC48-B4B7-487FF00E7EFD}"/>
    <hyperlink ref="E4022" r:id="rId1692" xr:uid="{CD1DBB72-8167-F54B-A9BE-BCEEE9C4712D}"/>
    <hyperlink ref="Q4022" r:id="rId1693" xr:uid="{D3EAC2D1-A21C-A94A-9CDB-621D65B1E9DD}"/>
    <hyperlink ref="E4021" r:id="rId1694" xr:uid="{BF621F5D-84D8-B44B-AD42-F7B0FA03E643}"/>
    <hyperlink ref="Q4021" r:id="rId1695" xr:uid="{DF51A8B1-D1D4-3B4D-9860-6C5B3E0634A3}"/>
    <hyperlink ref="E4017" r:id="rId1696" xr:uid="{C2742171-B6BB-E54E-AE50-3CB3092E1492}"/>
    <hyperlink ref="Q4017" r:id="rId1697" xr:uid="{F6217C89-C213-6A45-AAA4-BD09F284863E}"/>
    <hyperlink ref="E4015" r:id="rId1698" xr:uid="{DFCC1049-3C2A-6E48-8612-9D9F4C3DC80B}"/>
    <hyperlink ref="Q4015" r:id="rId1699" xr:uid="{B6BBE4AE-F423-C446-B22C-3469CB5E3525}"/>
    <hyperlink ref="Q4013" r:id="rId1700" xr:uid="{DB60C21A-BF49-F645-A9D2-F2688B6C0DD3}"/>
    <hyperlink ref="E4014" r:id="rId1701" xr:uid="{218E4454-1AA4-0740-AC47-7CC7926E188A}"/>
    <hyperlink ref="Q4014" r:id="rId1702" xr:uid="{FADE9CE1-1E99-E34D-B7C2-ADC31A7D542B}"/>
    <hyperlink ref="Q4016" r:id="rId1703" xr:uid="{804FD3B7-7085-CB44-8ED9-AC1B48351824}"/>
    <hyperlink ref="Q4011" r:id="rId1704" xr:uid="{F5E12C87-6DC8-444F-8000-1A252220F3F8}"/>
    <hyperlink ref="E4010" r:id="rId1705" xr:uid="{4AD20A0B-5AE3-6249-A168-F62F1DDB2439}"/>
    <hyperlink ref="Q4010" r:id="rId1706" xr:uid="{3A7138BD-D7F7-944F-9A2F-B176430B83DE}"/>
    <hyperlink ref="E4008" r:id="rId1707" xr:uid="{0D6C1D65-A669-D346-B5A9-DED9F1574576}"/>
    <hyperlink ref="Q4008" r:id="rId1708" xr:uid="{C171667C-0DA5-7141-B8BF-6621913BB2A3}"/>
    <hyperlink ref="Q4009" r:id="rId1709" xr:uid="{CA5A7D35-0CF9-C74B-AFDB-B7426C367155}"/>
    <hyperlink ref="E4006" r:id="rId1710" xr:uid="{52196D88-EF1F-9E48-85F4-08AAA30B6E24}"/>
    <hyperlink ref="Q4006" r:id="rId1711" xr:uid="{D66D01A6-EEE4-F944-AACD-8FDA5CA12F6F}"/>
    <hyperlink ref="E4007" r:id="rId1712" xr:uid="{4A5ECC4D-9428-4644-9DA0-05429D10115F}"/>
    <hyperlink ref="Q4007" r:id="rId1713" xr:uid="{CB069E18-90FA-1D45-ADA5-697F80C835BA}"/>
    <hyperlink ref="E4005" r:id="rId1714" xr:uid="{FE434396-CA41-B74C-AE40-7D33E2F95A4C}"/>
    <hyperlink ref="Q4005" r:id="rId1715" xr:uid="{86AC071D-B4AE-6146-A9BF-6386F46C7123}"/>
    <hyperlink ref="E4004" r:id="rId1716" xr:uid="{B1A85101-D99F-FE41-A40F-2B562C16485C}"/>
    <hyperlink ref="Q4004" r:id="rId1717" xr:uid="{8CE8D4FF-4D77-EF41-AFF6-B9E6279123B4}"/>
    <hyperlink ref="E4003" r:id="rId1718" xr:uid="{F527AECC-5C66-0A41-860A-86256A726F14}"/>
    <hyperlink ref="Q4003" r:id="rId1719" xr:uid="{4ABA7CBC-308C-1E41-B6F7-EFD9FEA77D23}"/>
    <hyperlink ref="Q4002" r:id="rId1720" xr:uid="{BD102E92-FD5A-ED44-8297-537EE29FF5B2}"/>
    <hyperlink ref="E3999" r:id="rId1721" xr:uid="{384788D4-EC4F-DE4E-A50A-5513BBFBF922}"/>
    <hyperlink ref="Q3999" r:id="rId1722" xr:uid="{8874EE59-372F-7F45-BB74-5897393BFFE2}"/>
    <hyperlink ref="Q4001" r:id="rId1723" xr:uid="{38766486-10D8-1047-BE1D-B882886CC90B}"/>
    <hyperlink ref="E4000" r:id="rId1724" xr:uid="{6D906380-A0BE-6F44-B79C-45015AE5B855}"/>
    <hyperlink ref="Q4000" r:id="rId1725" xr:uid="{E79C7DA4-471C-F641-A0B8-E1813088325E}"/>
    <hyperlink ref="E3997" r:id="rId1726" xr:uid="{2D11779C-83C7-DC41-9C5A-4CD87436B946}"/>
    <hyperlink ref="Q3997" r:id="rId1727" xr:uid="{9DBB29E2-2080-F141-B0E6-F782E96738BF}"/>
    <hyperlink ref="E3994" r:id="rId1728" xr:uid="{3CC9DE70-0239-B240-8936-BF1F27112138}"/>
    <hyperlink ref="Q3994" r:id="rId1729" xr:uid="{2ADCD147-4A25-F940-94F7-5DB048560058}"/>
    <hyperlink ref="E3995" r:id="rId1730" xr:uid="{CC85E1EB-9BE3-D24D-87FA-7EBEEE14A6E9}"/>
    <hyperlink ref="Q3995" r:id="rId1731" xr:uid="{98E93B19-46DA-FB46-98B4-B3EF3087D4A3}"/>
    <hyperlink ref="E3996" r:id="rId1732" xr:uid="{0077AA46-FFB6-C94F-9920-A41F58CA5211}"/>
    <hyperlink ref="Q3996" r:id="rId1733" xr:uid="{5A118CE3-DA60-C049-8694-FCEE1ECBEE3E}"/>
    <hyperlink ref="Q3998" r:id="rId1734" xr:uid="{7E508D96-9569-A44C-9798-F69E677AE4FA}"/>
    <hyperlink ref="E3993" r:id="rId1735" xr:uid="{859898E3-AA2D-B241-90E8-1103F0A9A3D5}"/>
    <hyperlink ref="Q3993" r:id="rId1736" xr:uid="{8E2821FB-BCC3-6E46-B2BB-88DBA9961327}"/>
    <hyperlink ref="Q3991" r:id="rId1737" xr:uid="{292B2483-C4B2-3040-9146-88A4EDEF7CF0}"/>
    <hyperlink ref="Q3990" r:id="rId1738" xr:uid="{DFD956E9-3A23-2E42-B812-E61405FD7CA4}"/>
    <hyperlink ref="Q3992" r:id="rId1739" xr:uid="{F4ED3BDE-6CBC-CD42-9B52-4081F597AC9A}"/>
    <hyperlink ref="Q3986" r:id="rId1740" xr:uid="{E27D75FF-A8D7-E740-A4BA-4DA29CC2C89C}"/>
    <hyperlink ref="E3989" r:id="rId1741" xr:uid="{CFD74B00-4B92-B542-B129-835F804CE747}"/>
    <hyperlink ref="Q3989" r:id="rId1742" xr:uid="{C86741F6-2D6D-D844-BF09-049C5768C86C}"/>
    <hyperlink ref="E3988" r:id="rId1743" xr:uid="{C71C7F63-30B6-0B4D-AFF8-FA81CB1ED98F}"/>
    <hyperlink ref="Q3988" r:id="rId1744" xr:uid="{7CC5B056-88D5-8A4F-9FAC-48921B70EB23}"/>
    <hyperlink ref="Q3987" r:id="rId1745" xr:uid="{9A423DB7-D504-FE49-B1AE-9D3E277F960C}"/>
    <hyperlink ref="E3985" r:id="rId1746" xr:uid="{CF081235-FA62-3248-B26F-1729E29F8FCE}"/>
    <hyperlink ref="Q3985" r:id="rId1747" xr:uid="{D92909BF-C722-B044-832C-2C367736C045}"/>
    <hyperlink ref="E3984" r:id="rId1748" xr:uid="{93878803-340A-1244-9CCE-E0F1E9F13662}"/>
    <hyperlink ref="Q3984" r:id="rId1749" xr:uid="{248B81A5-9295-FD4B-BBA0-2689D545C848}"/>
    <hyperlink ref="Q3982" r:id="rId1750" xr:uid="{CA448140-FD3A-BF43-90D9-879FDA97F2B8}"/>
    <hyperlink ref="Q3983" r:id="rId1751" location=".V0ya3ZErJOA" xr:uid="{F57D8800-4C84-5B47-BA75-99B9077F6404}"/>
    <hyperlink ref="E3981" r:id="rId1752" xr:uid="{13B75F2F-1C17-1F41-ADAA-7A743AA956B6}"/>
    <hyperlink ref="Q3981" r:id="rId1753" xr:uid="{C62322ED-E940-FC46-B7E9-E6622A515D48}"/>
    <hyperlink ref="Q3980" r:id="rId1754" xr:uid="{48717F36-829D-B343-95EF-C5769FA2BFED}"/>
    <hyperlink ref="Q3976" r:id="rId1755" xr:uid="{457E005C-99F1-4D45-A054-B212C009B468}"/>
    <hyperlink ref="Q3978" r:id="rId1756" xr:uid="{A292CB65-55D0-8243-8D14-6A3F08CD7931}"/>
    <hyperlink ref="Q3977" r:id="rId1757" xr:uid="{7F4EAAB5-DFA6-F34E-B310-B2B681FF64E2}"/>
    <hyperlink ref="Q3974" r:id="rId1758" xr:uid="{F6315FC8-66A8-8241-A8D8-8E46F5D62AAD}"/>
    <hyperlink ref="Q3973" r:id="rId1759" xr:uid="{EBAF22A9-8591-BF44-8761-FB0E30F7E42B}"/>
    <hyperlink ref="Q3975" r:id="rId1760" xr:uid="{28B09CA7-389B-4243-8892-BED5A73A153F}"/>
    <hyperlink ref="Q3979" r:id="rId1761" xr:uid="{893214DE-14DE-DB49-87FB-452F8A1AD0E6}"/>
    <hyperlink ref="Q3972" r:id="rId1762" xr:uid="{56CB9AEA-ABEA-4D48-B8E0-0065A5B3057C}"/>
    <hyperlink ref="Q3971" r:id="rId1763" xr:uid="{BA7BE0CE-AB5E-1E44-8087-6F0A8CEA8540}"/>
    <hyperlink ref="Q3968" r:id="rId1764" location=".V0uoI5ErK00" xr:uid="{6A3C5CD4-998C-9D4A-88A4-960122F42C6F}"/>
    <hyperlink ref="E3970" r:id="rId1765" xr:uid="{6A1CF786-1258-4A43-B95D-504010C05454}"/>
    <hyperlink ref="Q3970" r:id="rId1766" xr:uid="{AF27DA8C-09AC-FF41-ACAF-78D5E47AA02A}"/>
    <hyperlink ref="Q3969" r:id="rId1767" xr:uid="{F3BB54E6-92D6-6B49-863F-CD1CC9F853B7}"/>
    <hyperlink ref="Q3965" r:id="rId1768" xr:uid="{6FBAC9C6-8923-7449-A398-E7F870A23D93}"/>
    <hyperlink ref="Q3967" r:id="rId1769" xr:uid="{9A91D1D7-BAE7-AF4B-91F2-7A6C1D32C358}"/>
    <hyperlink ref="E3963" r:id="rId1770" xr:uid="{F3A6A32A-117E-7F4C-87A1-3B5E9124192B}"/>
    <hyperlink ref="Q3963" r:id="rId1771" xr:uid="{F9B95068-7DA4-0744-A7F3-A738392FDB60}"/>
    <hyperlink ref="E3964" r:id="rId1772" xr:uid="{0C40DF4E-F9AE-7041-9834-19F5BC4F7827}"/>
    <hyperlink ref="Q3964" r:id="rId1773" xr:uid="{07A6E0EA-815E-E640-95B8-F567D68190BA}"/>
    <hyperlink ref="E3961" r:id="rId1774" xr:uid="{FF39ED71-8D03-E942-85DF-663E498E04EB}"/>
    <hyperlink ref="Q3961" r:id="rId1775" xr:uid="{54A95B45-50C1-7446-8179-20A80A5A95A3}"/>
    <hyperlink ref="E3962" r:id="rId1776" xr:uid="{77913872-32B4-6C47-A754-D6F2E3A2FB4D}"/>
    <hyperlink ref="Q3962" r:id="rId1777" xr:uid="{F0FC1F19-28E7-8F48-B185-8A94F1DC7C0B}"/>
    <hyperlink ref="E3960" r:id="rId1778" xr:uid="{8CBE128E-F08D-CF46-A648-5A2C40C590BE}"/>
    <hyperlink ref="Q3960" r:id="rId1779" xr:uid="{058B225E-273C-D545-AFF3-B6D9B9F4E46E}"/>
    <hyperlink ref="Q3958" r:id="rId1780" xr:uid="{3F6AF7DD-7E16-4246-846E-0914687F8104}"/>
    <hyperlink ref="E3957" r:id="rId1781" xr:uid="{9FA66033-E312-2046-8C69-3B536CB9C2DA}"/>
    <hyperlink ref="Q3957" r:id="rId1782" xr:uid="{BC3B956E-3E93-A541-BCE9-7A8FA41B11C6}"/>
    <hyperlink ref="E3959" r:id="rId1783" xr:uid="{75FCD8FF-DF10-E34A-9E93-D5BDC2AC4884}"/>
    <hyperlink ref="Q3959" r:id="rId1784" xr:uid="{725C6058-CABA-934F-BE4C-DED5E3442156}"/>
    <hyperlink ref="Q3953" r:id="rId1785" xr:uid="{55F465A0-6A63-F543-A627-209B7D0044E2}"/>
    <hyperlink ref="Q3956" r:id="rId1786" xr:uid="{4321DF77-2325-5A4F-887B-3B8E64178007}"/>
    <hyperlink ref="E3955" r:id="rId1787" xr:uid="{2D292BF0-369C-2740-9DFF-E2BAAEA282F4}"/>
    <hyperlink ref="Q3955" r:id="rId1788" xr:uid="{D30F9154-7CF9-F44C-9E91-4CEEEA15F9D9}"/>
    <hyperlink ref="Q3954" r:id="rId1789" xr:uid="{602DCEE0-FFA0-6A48-8473-CB595A931297}"/>
    <hyperlink ref="Q3952" r:id="rId1790" xr:uid="{C6B946B1-D3FC-B846-BC80-577A908761B8}"/>
    <hyperlink ref="E3949" r:id="rId1791" xr:uid="{B41FFE1A-3D76-B44C-A611-D23457F8E7EE}"/>
    <hyperlink ref="Q3949" r:id="rId1792" xr:uid="{8E53A654-C6BA-B149-9B50-5E573836E624}"/>
    <hyperlink ref="Q3950" r:id="rId1793" xr:uid="{FDFCBBD9-D058-3747-AF1E-71D2107EC4D3}"/>
    <hyperlink ref="Q3951" r:id="rId1794" xr:uid="{CD5B1BDF-F302-7048-806C-DEA949062168}"/>
    <hyperlink ref="Q3948" r:id="rId1795" xr:uid="{D105F1EC-324C-874A-B6CF-F34B9B88BD8D}"/>
    <hyperlink ref="Q3947" r:id="rId1796" xr:uid="{84871326-7BA8-5449-90B3-8AD841946F6C}"/>
    <hyperlink ref="E3945" r:id="rId1797" xr:uid="{816C021B-DBF1-3B45-877E-B7C3C7323CB6}"/>
    <hyperlink ref="Q3945" r:id="rId1798" xr:uid="{439F2AAA-ED95-7B4E-A807-A04C38E44DAC}"/>
    <hyperlink ref="Q3946" r:id="rId1799" xr:uid="{87CC45B5-3263-1248-9128-B15C1053A933}"/>
    <hyperlink ref="Q3942" r:id="rId1800" xr:uid="{C6344886-FF26-3F41-B52B-E2C9B1E0CDAA}"/>
    <hyperlink ref="E3944" r:id="rId1801" xr:uid="{AB1C2741-462E-F94F-BC7C-B56B0863B6C4}"/>
    <hyperlink ref="Q3944" r:id="rId1802" xr:uid="{5FE07D42-958F-C54A-B1BA-F1B87510184C}"/>
    <hyperlink ref="Q3943" r:id="rId1803" xr:uid="{27F057F1-93CA-0244-9B3C-905086C4FD33}"/>
    <hyperlink ref="Q3941" r:id="rId1804" xr:uid="{01FDA42C-1397-4B49-A142-302128E545C4}"/>
    <hyperlink ref="Q3940" r:id="rId1805" xr:uid="{AF15BF72-CD32-F54F-B116-0D0687736C56}"/>
    <hyperlink ref="Q3939" r:id="rId1806" xr:uid="{D990448E-6F02-0F43-828E-8D7488A0F3D4}"/>
    <hyperlink ref="Q3938" r:id="rId1807" xr:uid="{293C7185-0A34-A44D-B965-FB639A5792F0}"/>
    <hyperlink ref="Q3937" r:id="rId1808" xr:uid="{16FDC320-7F0B-0F40-ADC3-C1C1ED48A522}"/>
    <hyperlink ref="Q3934" r:id="rId1809" xr:uid="{1DF6BF78-C2C7-084A-8978-9D28F439F87A}"/>
    <hyperlink ref="E3935" r:id="rId1810" xr:uid="{9860BE86-AF86-4948-847B-74AF795AD511}"/>
    <hyperlink ref="Q3935" r:id="rId1811" xr:uid="{587C194C-FF19-524F-99A4-E25261643E93}"/>
    <hyperlink ref="E3936" r:id="rId1812" xr:uid="{3EB55745-B2E5-1A4F-B050-5A920E7EC459}"/>
    <hyperlink ref="Q3936" r:id="rId1813" xr:uid="{D9C6A818-B8C5-BC47-8F46-0EEA9DFFD4D3}"/>
    <hyperlink ref="Q3930" r:id="rId1814" xr:uid="{780EE27E-2213-7548-8361-39131D63232A}"/>
    <hyperlink ref="Q3932" r:id="rId1815" xr:uid="{29CA7EE5-9B53-0244-992B-94CEF4921419}"/>
    <hyperlink ref="Q3933" r:id="rId1816" xr:uid="{694218B8-FC70-494E-917B-33772B4BDEB1}"/>
    <hyperlink ref="Q3928" r:id="rId1817" xr:uid="{4DF60A09-0E85-784B-BD8A-DCD7A0950BFD}"/>
    <hyperlink ref="Q3929" r:id="rId1818" xr:uid="{ED589DD0-6F40-4E4B-984E-880748440C53}"/>
    <hyperlink ref="E3925" r:id="rId1819" xr:uid="{852263F2-EEBC-9143-912B-496E2D054900}"/>
    <hyperlink ref="Q3925" r:id="rId1820" xr:uid="{DCE2A854-BA59-AB4C-BCE2-7BC634158649}"/>
    <hyperlink ref="Q3927" r:id="rId1821" xr:uid="{14438C95-A658-124B-A633-77C3FD16C88A}"/>
    <hyperlink ref="Q3926" r:id="rId1822" xr:uid="{2E1C96C1-593C-5C48-8C8C-5899FF2578D0}"/>
    <hyperlink ref="Q3920" r:id="rId1823" xr:uid="{24F0739B-99EE-404B-AC22-C0132AC128BE}"/>
    <hyperlink ref="E3923" r:id="rId1824" xr:uid="{B0369DC4-1035-5A45-BFD4-D22293F7008C}"/>
    <hyperlink ref="Q3923" r:id="rId1825" xr:uid="{2838867C-19C2-744B-8D32-469091DC415B}"/>
    <hyperlink ref="E3921" r:id="rId1826" xr:uid="{B5C20024-4A5B-D946-9415-EB49B63A4E2C}"/>
    <hyperlink ref="Q3921" r:id="rId1827" xr:uid="{D8C9DC30-9F9A-7C48-ADFC-4FA7AF27BDF3}"/>
    <hyperlink ref="E3922" r:id="rId1828" xr:uid="{B8C99BDE-7B1E-B84B-9359-32B2D3ED2E7E}"/>
    <hyperlink ref="Q3922" r:id="rId1829" xr:uid="{03E20471-609E-2943-94FF-1AA0D01ACFE1}"/>
    <hyperlink ref="E3924" r:id="rId1830" xr:uid="{06021C61-5F85-FE41-B50F-03C6E0A8AB10}"/>
    <hyperlink ref="Q3924" r:id="rId1831" xr:uid="{45D65FE8-2B41-2C48-AA83-90DC0C7AB69C}"/>
    <hyperlink ref="E3918" r:id="rId1832" xr:uid="{C713D239-547D-DF47-8909-5A595388D742}"/>
    <hyperlink ref="Q3918" r:id="rId1833" xr:uid="{9EE58C5D-BB99-CE49-A5F3-34486BB40FB0}"/>
    <hyperlink ref="Q3919" r:id="rId1834" xr:uid="{4932F99C-E803-C145-979C-A92DE43D48B1}"/>
    <hyperlink ref="Q3916" r:id="rId1835" xr:uid="{01125F01-19C4-C44E-980E-7BCDBE56DD11}"/>
    <hyperlink ref="E3917" r:id="rId1836" xr:uid="{188F3297-0B10-764D-9334-31F05B710488}"/>
    <hyperlink ref="Q3917" r:id="rId1837" xr:uid="{764693EC-A456-2244-ADEB-706405F2B1D8}"/>
    <hyperlink ref="E3915" r:id="rId1838" xr:uid="{76F1C070-1559-EA4F-AF82-B7FF3D64822B}"/>
    <hyperlink ref="Q3915" r:id="rId1839" xr:uid="{DD413A02-04CB-0B45-B238-324FD9F7838B}"/>
    <hyperlink ref="Q3914" r:id="rId1840" xr:uid="{A1FC96B3-EC29-544F-962F-557A37C6EFEF}"/>
    <hyperlink ref="E3911" r:id="rId1841" xr:uid="{62879F1A-725C-814E-A531-5C4201884C20}"/>
    <hyperlink ref="Q3911" r:id="rId1842" xr:uid="{29D8C591-38C5-854B-860C-707F9C746A38}"/>
    <hyperlink ref="Q3912" r:id="rId1843" xr:uid="{B9508570-943B-B44B-8131-7A00C9A9402A}"/>
    <hyperlink ref="Q3910" r:id="rId1844" xr:uid="{522B6F98-102E-5C48-91D1-ECF71D800405}"/>
    <hyperlink ref="Q3913" r:id="rId1845" xr:uid="{8ED54834-9FD3-5F4D-BC94-2E596F5B2FA3}"/>
    <hyperlink ref="E3908" r:id="rId1846" xr:uid="{997816DF-49FA-AA4D-9A0C-8D4F5BFF9855}"/>
    <hyperlink ref="Q3908" r:id="rId1847" xr:uid="{13AB2B9E-0A9A-E346-AA7B-5F9D9FA63464}"/>
    <hyperlink ref="Q3907" r:id="rId1848" xr:uid="{5E8B50C7-9A24-2E4C-AC7F-4ACE6AD1E2B9}"/>
    <hyperlink ref="E3909" r:id="rId1849" xr:uid="{8AEB8DAC-8D45-0141-8299-3250183BB95D}"/>
    <hyperlink ref="Q3909" r:id="rId1850" xr:uid="{8883CC43-82D8-C743-A05A-A7DC683E5825}"/>
    <hyperlink ref="Q3905" r:id="rId1851" xr:uid="{A64047A9-7755-CF4F-9141-6720CF36A49C}"/>
    <hyperlink ref="E3904" r:id="rId1852" xr:uid="{E30E9F58-5F65-5D49-A450-CDC929DE73F8}"/>
    <hyperlink ref="Q3904" r:id="rId1853" xr:uid="{6CD2C206-1E8C-0346-B776-45D17D873E79}"/>
    <hyperlink ref="E3903" r:id="rId1854" xr:uid="{3E0C0D6F-7FA5-3147-8C13-3F28B3F9EBF2}"/>
    <hyperlink ref="Q3903" r:id="rId1855" xr:uid="{1DCF5DA6-9CD6-D641-B1DF-F30EDC82404D}"/>
    <hyperlink ref="E3906" r:id="rId1856" xr:uid="{49F44F2A-9807-1841-99CB-F6B74DB3FDAB}"/>
    <hyperlink ref="Q3906" r:id="rId1857" location="incart_m-rpt-1" xr:uid="{CF088DF6-31C9-6F40-82D6-FCC22434BC47}"/>
    <hyperlink ref="E3902" r:id="rId1858" xr:uid="{CA7F7AED-D0FF-EC44-8BF1-28EA8D4ECC53}"/>
    <hyperlink ref="Q3902" r:id="rId1859" xr:uid="{C4130657-E22F-E34E-BD09-20EB515D22A6}"/>
    <hyperlink ref="Q3901" r:id="rId1860" xr:uid="{C94D91EA-932B-4442-9407-E624DA668DBA}"/>
    <hyperlink ref="E3900" r:id="rId1861" xr:uid="{98FFBE34-DFFA-9C4F-A979-44FDAE1D6A4B}"/>
    <hyperlink ref="E3899" r:id="rId1862" xr:uid="{4F93A6AA-BF47-9F49-934F-1262F0110636}"/>
    <hyperlink ref="E3891" r:id="rId1863" xr:uid="{59B08C68-8117-584E-B294-0A2DAEC5210F}"/>
    <hyperlink ref="E3889" r:id="rId1864" xr:uid="{EA5F12DE-D08F-F24E-A0E6-7D328DE7B8A5}"/>
    <hyperlink ref="E3894" r:id="rId1865" xr:uid="{3CD23335-54BF-4A4B-91CD-8840F823211F}"/>
    <hyperlink ref="E3888" r:id="rId1866" xr:uid="{1BCE768D-25E6-8E49-992E-349D27AB73C4}"/>
    <hyperlink ref="E3886" r:id="rId1867" xr:uid="{864FBB5C-EFA9-914B-A96A-B28E3CC54179}"/>
    <hyperlink ref="E3882" r:id="rId1868" xr:uid="{6DCB5771-C9A4-DD45-9834-74C8B9041233}"/>
    <hyperlink ref="E3881" r:id="rId1869" xr:uid="{6AB608AF-B48E-254A-9215-CD6262AE93EF}"/>
    <hyperlink ref="E3870" r:id="rId1870" xr:uid="{90A057E1-8954-2A47-ABBC-24E193446BC3}"/>
    <hyperlink ref="E3874" r:id="rId1871" xr:uid="{AC892F9D-32AB-5A4E-854E-B645B5F2563E}"/>
    <hyperlink ref="E3869" r:id="rId1872" xr:uid="{33A303AA-00BD-7947-B4ED-42CC942F99B6}"/>
    <hyperlink ref="E3866" r:id="rId1873" xr:uid="{CC06FA66-CF9F-204D-8F0A-C22B70CC71D4}"/>
    <hyperlink ref="E3865" r:id="rId1874" xr:uid="{932BD779-071D-A34E-BB83-D1B6A1582C20}"/>
    <hyperlink ref="E3863" r:id="rId1875" xr:uid="{97ABB1DB-A843-7D43-90F0-1996E5F534FA}"/>
    <hyperlink ref="Q3898" r:id="rId1876" xr:uid="{72C3FFC0-4A92-1C4C-A977-B19C92D0A1DE}"/>
    <hyperlink ref="Q3900" r:id="rId1877" xr:uid="{BEFB40D3-C513-7343-857D-707C89660A6F}"/>
    <hyperlink ref="Q3899" r:id="rId1878" xr:uid="{295984D5-551E-F94D-98AC-A3B61A464E24}"/>
    <hyperlink ref="Q3892" r:id="rId1879" xr:uid="{EB1E9388-F15C-7C48-BCE3-9CADCABBF523}"/>
    <hyperlink ref="Q3891" r:id="rId1880" xr:uid="{C1E2E3EA-5090-8340-AF3D-20523868566F}"/>
    <hyperlink ref="Q3893" r:id="rId1881" xr:uid="{B35416AB-7713-A643-ACF5-A176B2360C6D}"/>
    <hyperlink ref="Q3895" r:id="rId1882" xr:uid="{FB54173F-0397-4A4E-8B92-0EF03C587E7E}"/>
    <hyperlink ref="Q3897" r:id="rId1883" xr:uid="{59A4D2DA-97E6-5946-98F4-F9EE13359D87}"/>
    <hyperlink ref="Q3896" r:id="rId1884" xr:uid="{BDAF144F-0B23-E34B-A7BC-E1C4C1903ECC}"/>
    <hyperlink ref="Q3889" r:id="rId1885" xr:uid="{B0B5345B-B4B9-1D42-8CB9-016F6EDF85C6}"/>
    <hyperlink ref="Q3894" r:id="rId1886" xr:uid="{E0CB4942-1DE0-EB4A-9599-5867CD595DB8}"/>
    <hyperlink ref="Q3888" r:id="rId1887" xr:uid="{26D69A86-FE70-FD44-A487-4767D5BB2190}"/>
    <hyperlink ref="Q3890" r:id="rId1888" xr:uid="{8F523348-4FF0-E344-8FFD-F8A3F368868C}"/>
    <hyperlink ref="Q3884" r:id="rId1889" xr:uid="{B132F98C-279A-A74D-94DD-BB0466920974}"/>
    <hyperlink ref="Q3886" r:id="rId1890" xr:uid="{63B86684-E227-DF45-9509-6E3DF5B06CCB}"/>
    <hyperlink ref="Q3885" r:id="rId1891" xr:uid="{6F36ED14-44D3-C645-AD34-BE83CC0E3A26}"/>
    <hyperlink ref="Q3883" r:id="rId1892" xr:uid="{679F6387-96D7-5246-9A60-9190BDFE44DA}"/>
    <hyperlink ref="Q3882" r:id="rId1893" xr:uid="{9D872F5A-2E58-5F4F-A2C7-EBDCCDA5B27F}"/>
    <hyperlink ref="Q3881" r:id="rId1894" xr:uid="{FFA426C2-E4A5-5C4B-B170-1FC15493ACD0}"/>
    <hyperlink ref="Q3879" r:id="rId1895" xr:uid="{F7E1FCCF-7B32-2543-998C-BCAB18794A39}"/>
    <hyperlink ref="Q3877" r:id="rId1896" xr:uid="{D7BCAF5A-76F4-FB4D-A4F9-2AFD4A821E5F}"/>
    <hyperlink ref="Q3875" r:id="rId1897" xr:uid="{3403C02C-DC71-244D-B92B-B7E2FA872A0D}"/>
    <hyperlink ref="Q3876" r:id="rId1898" xr:uid="{7AE2D158-2FD7-3342-BC70-4B89B7FAFBF2}"/>
    <hyperlink ref="Q3878" r:id="rId1899" xr:uid="{390FC928-4F08-1441-8B66-CC3592FCE6A8}"/>
    <hyperlink ref="Q3872" r:id="rId1900" xr:uid="{83D6CB2E-02CC-BA4C-8246-278955BBAA63}"/>
    <hyperlink ref="Q3870" r:id="rId1901" xr:uid="{668AD558-754A-AD43-B982-AEFA5E89E79C}"/>
    <hyperlink ref="Q3873" r:id="rId1902" xr:uid="{E88E1174-2752-2B49-B126-6D3D0E019B6E}"/>
    <hyperlink ref="Q3874" r:id="rId1903" xr:uid="{C85B7759-DF72-534E-BA67-190886FE4FA9}"/>
    <hyperlink ref="Q3871" r:id="rId1904" xr:uid="{5F0AAC57-E04F-9149-AA8E-F8434BE6DCF4}"/>
    <hyperlink ref="Q3869" r:id="rId1905" xr:uid="{7AC04276-6790-CA44-8837-B6663B69409D}"/>
    <hyperlink ref="Q3868" r:id="rId1906" xr:uid="{B2CECC4F-2989-7F48-B2E2-294392C1F632}"/>
    <hyperlink ref="Q3864" r:id="rId1907" xr:uid="{C09887E0-3A56-EF4D-92D5-52D8E199E5B3}"/>
    <hyperlink ref="Q3866" r:id="rId1908" xr:uid="{8A016357-F437-E244-A6A7-E884F8C74EC3}"/>
    <hyperlink ref="Q3865" r:id="rId1909" xr:uid="{CCC222BB-B88C-CE4E-A80D-FEE0E7A9D1BB}"/>
    <hyperlink ref="Q3861" r:id="rId1910" xr:uid="{72947025-DD66-B644-B706-DC89F62FFC91}"/>
    <hyperlink ref="Q3867" r:id="rId1911" xr:uid="{3623F5E2-1F40-2642-AA6A-52A97B2CE850}"/>
    <hyperlink ref="Q3862" r:id="rId1912" xr:uid="{29EF8F77-5B00-4C4A-A242-B3D09F90FA62}"/>
    <hyperlink ref="Q3863" r:id="rId1913" xr:uid="{6D3D80F7-2295-1A4F-8460-2343C6BE63A0}"/>
    <hyperlink ref="Q3859" r:id="rId1914" xr:uid="{9515C773-5427-8B41-BAFD-8668D5F0A666}"/>
    <hyperlink ref="Q3860" r:id="rId1915" xr:uid="{FCC0664A-5DFF-8D47-9ED4-F194201847D4}"/>
    <hyperlink ref="Q3858" r:id="rId1916" xr:uid="{E29B38C5-EEAA-BC4C-9DB5-E4DFFAC205A9}"/>
    <hyperlink ref="E3855" r:id="rId1917" xr:uid="{1FB01B03-8BED-BD40-9613-7A07265375E2}"/>
    <hyperlink ref="Q3855" r:id="rId1918" xr:uid="{1ED6A7C6-99C2-5A42-87B3-CAE3CA5E3CEA}"/>
    <hyperlink ref="E3853" r:id="rId1919" xr:uid="{0AD5A3B9-D466-F34A-9976-18E5CE427DE3}"/>
    <hyperlink ref="Q3853" r:id="rId1920" xr:uid="{6D532648-2005-4144-B03D-6979E6F88FC9}"/>
    <hyperlink ref="Q3854" r:id="rId1921" xr:uid="{F06EDE5F-8058-7549-9051-8E402E49AFD0}"/>
    <hyperlink ref="Q3851" r:id="rId1922" xr:uid="{3DA1545E-418D-EA40-8933-16A8EF38DA13}"/>
    <hyperlink ref="Q3852" r:id="rId1923" xr:uid="{02390026-65E9-FC4A-96B0-018F54A0D7C2}"/>
    <hyperlink ref="E3848" r:id="rId1924" xr:uid="{D485F15F-9C16-0A47-A92D-F4E6660C07C9}"/>
    <hyperlink ref="Q3848" r:id="rId1925" xr:uid="{6D519409-1BE5-1341-A405-41E8610F8457}"/>
    <hyperlink ref="Q3850" r:id="rId1926" xr:uid="{8BCE1BD0-F1CF-B142-954E-5AF1C690D3C0}"/>
    <hyperlink ref="Q3849" r:id="rId1927" xr:uid="{EC342379-2A1B-9242-B231-51AA09C684CC}"/>
    <hyperlink ref="E3847" r:id="rId1928" xr:uid="{E1A5F225-C835-614D-8725-8683B9D7526F}"/>
    <hyperlink ref="Q3847" r:id="rId1929" xr:uid="{1AC2118C-0C2B-104E-B1D1-8E40D01288B8}"/>
    <hyperlink ref="E3845" r:id="rId1930" xr:uid="{DA88D05F-3AA6-4C40-A066-F7E15CDBAE6C}"/>
    <hyperlink ref="Q3845" r:id="rId1931" xr:uid="{5F395CB1-50E0-5C4F-A22C-251C1B739EFF}"/>
    <hyperlink ref="Q3846" r:id="rId1932" xr:uid="{461CA9CA-62A2-364C-B392-90E328AFF9D9}"/>
    <hyperlink ref="Q3842" r:id="rId1933" xr:uid="{5B76954B-B591-8948-9B53-026BAD8840E6}"/>
    <hyperlink ref="Q3843" r:id="rId1934" xr:uid="{8AB45E6F-CF19-5C43-915C-EB4E5D028B2A}"/>
    <hyperlink ref="E3844" r:id="rId1935" xr:uid="{34581862-5469-684C-9E90-43C456B5A348}"/>
    <hyperlink ref="Q3844" r:id="rId1936" xr:uid="{EA0DADDF-99A6-AF41-9E00-315710FC8220}"/>
    <hyperlink ref="E3841" r:id="rId1937" xr:uid="{5D6849C0-A549-9440-9349-61F4679769DA}"/>
    <hyperlink ref="Q3841" r:id="rId1938" xr:uid="{C066C073-9823-304F-9459-9409A592A54E}"/>
    <hyperlink ref="Q3840" r:id="rId1939" xr:uid="{4D19DD04-BA41-A14E-AB3A-415083D26231}"/>
    <hyperlink ref="E3837" r:id="rId1940" xr:uid="{8FC2079E-6990-2843-B9C8-544ADCF15F46}"/>
    <hyperlink ref="Q3837" r:id="rId1941" xr:uid="{61FE0C67-24BE-7240-9DAD-9BEA3C438D96}"/>
    <hyperlink ref="E3839" r:id="rId1942" xr:uid="{A0A8CA25-2731-8844-B513-F2550DDFFED1}"/>
    <hyperlink ref="Q3839" r:id="rId1943" xr:uid="{70A86939-8465-9848-B8DA-0AED6F056F72}"/>
    <hyperlink ref="Q3838" r:id="rId1944" xr:uid="{853A0E06-18B2-5B4F-B9EA-B1F0A3163C92}"/>
    <hyperlink ref="Q3835" r:id="rId1945" xr:uid="{E57FD708-0DC3-764C-911D-556B3B66E070}"/>
    <hyperlink ref="Q3836" r:id="rId1946" xr:uid="{06347B37-54AA-7249-BF63-1C7DB572966E}"/>
    <hyperlink ref="Q3834" r:id="rId1947" xr:uid="{D0B81F62-BF47-6743-9688-08DD831F3C41}"/>
    <hyperlink ref="E3833" r:id="rId1948" xr:uid="{28DCE911-8BA4-034A-ADAF-158042F53C78}"/>
    <hyperlink ref="Q3833" r:id="rId1949" xr:uid="{F1D6BADE-2771-AD46-BD6B-062C179ADBFF}"/>
    <hyperlink ref="Q3832" r:id="rId1950" xr:uid="{61414967-F7CA-2143-8CA4-C067A6C985F2}"/>
    <hyperlink ref="E3830" r:id="rId1951" xr:uid="{DA9192A1-6B5A-3E40-8BEF-84EC64F1D87B}"/>
    <hyperlink ref="Q3830" r:id="rId1952" xr:uid="{40A657BE-D8F0-9444-BB61-7591CDDD3F70}"/>
    <hyperlink ref="Q3831" r:id="rId1953" xr:uid="{1617794D-B1C9-264D-88BB-C432FC495C21}"/>
    <hyperlink ref="E3829" r:id="rId1954" xr:uid="{0771763A-B864-AC4D-A187-E0713800CB46}"/>
    <hyperlink ref="Q3829" r:id="rId1955" xr:uid="{DBD5B67F-63B7-6E4C-A822-517882851A82}"/>
    <hyperlink ref="Q3828" r:id="rId1956" xr:uid="{A220E740-2F64-C547-AE94-23534320B943}"/>
    <hyperlink ref="Q3826" r:id="rId1957" xr:uid="{3A72CCB8-5E18-7C42-992F-4F6E853E28C0}"/>
    <hyperlink ref="Q3825" r:id="rId1958" xr:uid="{7A8AF8E4-1591-514B-AAD6-80263DF5DA34}"/>
    <hyperlink ref="E3824" r:id="rId1959" xr:uid="{B1546BF0-15EA-B04B-951E-8547C23CF3BB}"/>
    <hyperlink ref="Q3824" r:id="rId1960" xr:uid="{EF6E7690-AF54-2345-BE82-1B1374738DB3}"/>
    <hyperlink ref="Q3827" r:id="rId1961" xr:uid="{75A749EF-05A0-AF49-B3F2-14C1D3D980D8}"/>
    <hyperlink ref="Q3823" r:id="rId1962" xr:uid="{02A19C28-ED7A-804B-8BDA-0D4FEA11077A}"/>
    <hyperlink ref="Q3822" r:id="rId1963" xr:uid="{478589B9-0C06-A94B-9DCC-AF3B56E6423B}"/>
    <hyperlink ref="Q3819" r:id="rId1964" xr:uid="{48957CA5-5161-5744-B3E0-87033A9BC675}"/>
    <hyperlink ref="E3821" r:id="rId1965" xr:uid="{3B751AAC-0649-1141-8C37-54B04A79D3B7}"/>
    <hyperlink ref="Q3821" r:id="rId1966" xr:uid="{D183C4A4-2A03-A347-AA7E-BF56B882B0B4}"/>
    <hyperlink ref="Q3820" r:id="rId1967" xr:uid="{AFB7FE36-B0A0-2545-A08E-5742A524E40E}"/>
    <hyperlink ref="E3817" r:id="rId1968" xr:uid="{4D4084DD-6290-DF4F-9389-EDADFA1D0F41}"/>
    <hyperlink ref="Q3817" r:id="rId1969" xr:uid="{3D29A301-35B6-EC40-9E1A-7E2A54DE9EFC}"/>
    <hyperlink ref="Q3818" r:id="rId1970" xr:uid="{E26A68C2-D959-4F4E-A48E-9C789B7B9F0E}"/>
    <hyperlink ref="E3816" r:id="rId1971" xr:uid="{94657038-AD8D-4C48-81A0-F3BAFC4A15EF}"/>
    <hyperlink ref="Q3816" r:id="rId1972" xr:uid="{29596813-738C-D64A-B78B-6D0C53D84E31}"/>
    <hyperlink ref="E3813" r:id="rId1973" xr:uid="{FBA9FCDA-92DE-704D-BAB7-A170AC2C9FE5}"/>
    <hyperlink ref="Q3813" r:id="rId1974" xr:uid="{E6E44829-BFED-BA45-A350-DA73C0337AB3}"/>
    <hyperlink ref="Q3814" r:id="rId1975" xr:uid="{FC0891CA-6C9D-2047-B930-99347F215DFE}"/>
    <hyperlink ref="E3815" r:id="rId1976" xr:uid="{411F9BDB-80BA-CA4A-A53D-787D2724219A}"/>
    <hyperlink ref="Q3815" r:id="rId1977" xr:uid="{D240E4BB-A263-C342-8377-129C1AF3ED26}"/>
    <hyperlink ref="E3812" r:id="rId1978" xr:uid="{C60500BD-B5DA-E04D-8B32-429CE21B3120}"/>
    <hyperlink ref="Q3812" r:id="rId1979" xr:uid="{D9A2BDAA-F7AA-274C-8B3D-18FED869056D}"/>
    <hyperlink ref="Q3810" r:id="rId1980" xr:uid="{912CDAED-9184-7B4C-8AA9-81C6A414B5BA}"/>
    <hyperlink ref="Q3808" r:id="rId1981" xr:uid="{5C9012A8-6BBC-B94C-A9C5-FCC6399C5272}"/>
    <hyperlink ref="Q3811" r:id="rId1982" xr:uid="{7820AD01-885C-9940-9E35-D9688E1FFCE2}"/>
    <hyperlink ref="Q3809" r:id="rId1983" xr:uid="{BDE267A2-08F0-3D44-8919-4D87E37FF95A}"/>
    <hyperlink ref="Q3807" r:id="rId1984" xr:uid="{50B16096-677B-DE4B-9249-34EE2E5AB7A6}"/>
    <hyperlink ref="Q3806" r:id="rId1985" xr:uid="{F868AC45-CCF0-4944-93DD-78D934A29F37}"/>
    <hyperlink ref="E3805" r:id="rId1986" xr:uid="{70AC3B4E-A755-E941-B566-7BEE8397415E}"/>
    <hyperlink ref="Q3805" r:id="rId1987" xr:uid="{F0074F79-E386-014C-845E-9F5005DA1945}"/>
    <hyperlink ref="E3804" r:id="rId1988" xr:uid="{40A31916-B581-9E4A-92B6-8FB752DC8C08}"/>
    <hyperlink ref="Q3804" r:id="rId1989" xr:uid="{395F6EF6-D5B8-EE42-9FE4-3817F310615B}"/>
    <hyperlink ref="Q3803" r:id="rId1990" xr:uid="{887562F5-B6BB-1443-ABE0-216303D33C61}"/>
    <hyperlink ref="Q3802" r:id="rId1991" xr:uid="{DD2E02DA-8546-CF4F-8BDF-959729B2B7AF}"/>
    <hyperlink ref="Q3799" r:id="rId1992" xr:uid="{99B92775-6512-6F48-B1C3-2A13915A7E5F}"/>
    <hyperlink ref="Q3801" r:id="rId1993" xr:uid="{D2389363-EF53-0C44-8A8E-190A427AEBCA}"/>
    <hyperlink ref="Q3800" r:id="rId1994" xr:uid="{47590B7D-E9F4-5948-92C9-035DB98F6E19}"/>
    <hyperlink ref="Q3795" r:id="rId1995" xr:uid="{F76995C2-0FDE-CB43-8E0B-E88D164246FE}"/>
    <hyperlink ref="Q3798" r:id="rId1996" xr:uid="{0E734547-5435-2C4F-A992-919454F22610}"/>
    <hyperlink ref="E3797" r:id="rId1997" xr:uid="{4F4EEB00-9E81-2F41-80E7-02D01F11D8A4}"/>
    <hyperlink ref="Q3797" r:id="rId1998" location=".V5WASEYrLnD" xr:uid="{80B20671-562E-2B4B-A8FD-C3EF8857986A}"/>
    <hyperlink ref="E3794" r:id="rId1999" xr:uid="{B3AF9E6C-B84C-1D4D-A577-26D8212EBB4F}"/>
    <hyperlink ref="Q3794" r:id="rId2000" xr:uid="{AA75E6A9-BC4D-7241-B3E6-7F6A0F4115C7}"/>
    <hyperlink ref="E3796" r:id="rId2001" xr:uid="{04619C47-2B21-8F49-A942-7ABA5DFF3CC9}"/>
    <hyperlink ref="Q3796" r:id="rId2002" xr:uid="{B6C98EDF-8793-CF4F-9F0A-292CCD65E1F3}"/>
    <hyperlink ref="E3791" r:id="rId2003" xr:uid="{EBBDD857-D70A-7B47-9DBB-B800CE1971B0}"/>
    <hyperlink ref="Q3791" r:id="rId2004" xr:uid="{0C5D95EF-7080-D349-A36E-424FAAA7A847}"/>
    <hyperlink ref="Q3790" r:id="rId2005" xr:uid="{FFAAEF79-1AE6-724C-9F37-6FDF1993F295}"/>
    <hyperlink ref="Q3787" r:id="rId2006" xr:uid="{16B0674A-3711-2F48-B748-42A5CD68DD08}"/>
    <hyperlink ref="Q3793" r:id="rId2007" xr:uid="{1CC71EA3-9F16-BD45-BE18-371A2AD3AC0D}"/>
    <hyperlink ref="Q3792" r:id="rId2008" xr:uid="{15FCC844-50F1-6E41-9E3C-32A33AF2A735}"/>
    <hyperlink ref="E3785" r:id="rId2009" xr:uid="{0D466647-3D60-E045-9377-6782244859BD}"/>
    <hyperlink ref="Q3785" r:id="rId2010" xr:uid="{EC9139F8-2BEB-D64A-BC8F-D9038AB3B260}"/>
    <hyperlink ref="E3784" r:id="rId2011" xr:uid="{EEFA1EAA-6A09-F743-871F-2AD97AF9CBFA}"/>
    <hyperlink ref="Q3784" r:id="rId2012" xr:uid="{ADBDE75B-D240-2A43-A158-C100C1C8654F}"/>
    <hyperlink ref="Q3788" r:id="rId2013" xr:uid="{070DBE36-C60B-DE4D-B0F2-ABF86859D7D0}"/>
    <hyperlink ref="Q3786" r:id="rId2014" xr:uid="{E899A449-E3A6-2F4B-9FD5-E2AE5898F33D}"/>
    <hyperlink ref="Q3789" r:id="rId2015" xr:uid="{9285A514-2F0F-ED49-980C-7E20A4DCA29D}"/>
    <hyperlink ref="E3782" r:id="rId2016" xr:uid="{CE1978FA-18B9-3243-8AD0-5D73782B9999}"/>
    <hyperlink ref="Q3782" r:id="rId2017" xr:uid="{DB1D439F-D9F7-0E48-BDC5-2C3233314CE6}"/>
    <hyperlink ref="Q3779" r:id="rId2018" xr:uid="{2FEBA86C-2BDC-7448-A093-4A7D294AB2BC}"/>
    <hyperlink ref="Q3778" r:id="rId2019" xr:uid="{3703F820-4702-5C46-935E-6F787A187490}"/>
    <hyperlink ref="Q3781" r:id="rId2020" xr:uid="{9C1DF6AF-4808-EF46-ACEC-EE1F1A8DDBD8}"/>
    <hyperlink ref="Q3780" r:id="rId2021" xr:uid="{3640BE64-D2A5-EA4A-9CF9-31E93772E39B}"/>
    <hyperlink ref="Q3783" r:id="rId2022" xr:uid="{DC1DBE2B-17C3-EC44-A9C5-2919D0FDF605}"/>
    <hyperlink ref="E3777" r:id="rId2023" xr:uid="{933D74F9-A86F-6540-A030-C74215261218}"/>
    <hyperlink ref="Q3777" r:id="rId2024" xr:uid="{1D840596-384D-B343-9E55-3DCEF87A68A3}"/>
    <hyperlink ref="E3776" r:id="rId2025" xr:uid="{F2E5BE67-C07A-3446-9B6F-374ABD9B5080}"/>
    <hyperlink ref="Q3776" r:id="rId2026" xr:uid="{18D09F8A-1850-7446-BC71-004E58180D22}"/>
    <hyperlink ref="E3775" r:id="rId2027" xr:uid="{6DF781F0-1AC5-BB4D-9F0C-F5506DB0AB00}"/>
    <hyperlink ref="Q3775" r:id="rId2028" xr:uid="{69F34907-A0C3-0F46-9C45-9EF58701BE91}"/>
    <hyperlink ref="Q3774" r:id="rId2029" xr:uid="{615FC397-96A6-F041-92CD-D7350AFCDAE7}"/>
    <hyperlink ref="Q3773" r:id="rId2030" xr:uid="{B0ECBAC8-0395-2546-BA21-A5D24CAB00E5}"/>
    <hyperlink ref="Q3772" r:id="rId2031" xr:uid="{E1AC937C-C320-244A-B9A4-2F6F53204D46}"/>
    <hyperlink ref="E3770" r:id="rId2032" xr:uid="{B85EDED7-FBB2-2248-B2DE-286DC5952CE8}"/>
    <hyperlink ref="Q3770" r:id="rId2033" xr:uid="{74295349-0ABB-9F4C-A08D-11516A1BAE9E}"/>
    <hyperlink ref="Q3769" r:id="rId2034" xr:uid="{B5B452EE-1C3C-8245-B698-B4AC9527B88D}"/>
    <hyperlink ref="E3768" r:id="rId2035" xr:uid="{E7E35632-0B31-2641-BA8F-E30EC06655AE}"/>
    <hyperlink ref="Q3768" r:id="rId2036" xr:uid="{40E0DBE7-4C97-7647-A124-2FDAA6DD1210}"/>
    <hyperlink ref="E3771" r:id="rId2037" xr:uid="{4E8F4DB8-7AE1-F04F-9D88-A713CDA47EE1}"/>
    <hyperlink ref="Q3771" r:id="rId2038" xr:uid="{29E31B21-8C76-3B47-97B6-E0E4FD4D33DD}"/>
    <hyperlink ref="E3763" r:id="rId2039" xr:uid="{94E94C8E-F3E9-BC4A-8785-DF2D72A27389}"/>
    <hyperlink ref="Q3763" r:id="rId2040" xr:uid="{EB6E809F-13A0-FC4D-86FC-43846D13B0E4}"/>
    <hyperlink ref="E3766" r:id="rId2041" xr:uid="{361434E9-4313-1141-8D44-972AFA931838}"/>
    <hyperlink ref="Q3766" r:id="rId2042" xr:uid="{393193CE-448C-0E4A-B8F0-E7714C895EF9}"/>
    <hyperlink ref="E3764" r:id="rId2043" xr:uid="{831DAD4C-CC49-C442-B034-276097B0B5E1}"/>
    <hyperlink ref="Q3764" r:id="rId2044" xr:uid="{A4A2AE15-70BD-E14A-A6CA-421CE27C2424}"/>
    <hyperlink ref="E3765" r:id="rId2045" xr:uid="{BD093AA2-C3BE-374F-8599-70D1031B863D}"/>
    <hyperlink ref="Q3765" r:id="rId2046" xr:uid="{720D187E-7CDF-2D4D-826F-42192E3FD86F}"/>
    <hyperlink ref="E3767" r:id="rId2047" xr:uid="{67334BAC-72E2-5B43-A8DB-6D864B33E2F0}"/>
    <hyperlink ref="Q3767" r:id="rId2048" xr:uid="{95C54A96-BEE0-C144-8953-6C7EE95A509B}"/>
    <hyperlink ref="E3762" r:id="rId2049" xr:uid="{C94BE8A0-5142-F24B-AC72-F4ADF4C601A1}"/>
    <hyperlink ref="Q3762" r:id="rId2050" xr:uid="{546F6802-60D9-F942-9C6B-5ED0F1208168}"/>
    <hyperlink ref="E3760" r:id="rId2051" xr:uid="{180E9EBA-7B6D-9F47-B70A-1C99739725CB}"/>
    <hyperlink ref="Q3760" r:id="rId2052" xr:uid="{18F10A56-6110-6640-A9FC-FB7E6242E130}"/>
    <hyperlink ref="Q3761" r:id="rId2053" xr:uid="{C1A300BE-4CB0-E24E-BF2E-02F690367722}"/>
    <hyperlink ref="Q3755" r:id="rId2054" xr:uid="{44CA7FD6-0EBC-FC4A-869D-B53A2508CB4C}"/>
    <hyperlink ref="E3754" r:id="rId2055" xr:uid="{9B02A1B9-CBA9-174B-B5F3-A1EE186CE7F1}"/>
    <hyperlink ref="Q3754" r:id="rId2056" xr:uid="{72FF113A-580C-7E45-94E7-05246F5D9E75}"/>
    <hyperlink ref="E3758" r:id="rId2057" xr:uid="{F6754171-BC06-6F4C-9F85-5EE0210D20CF}"/>
    <hyperlink ref="Q3758" r:id="rId2058" xr:uid="{47D0AF90-D739-B044-BFFF-129D357A6C53}"/>
    <hyperlink ref="Q3756" r:id="rId2059" xr:uid="{5534909C-2F45-A144-B2BD-C7DB3468A3B8}"/>
    <hyperlink ref="Q3757" r:id="rId2060" xr:uid="{6094E7A4-CB73-084C-A749-B0C19805F5D8}"/>
    <hyperlink ref="E3753" r:id="rId2061" xr:uid="{8DECB03B-3B51-5A48-B4D6-62A93CEDCA53}"/>
    <hyperlink ref="Q3753" r:id="rId2062" xr:uid="{9EF64530-A598-D74B-B791-877E357664A2}"/>
    <hyperlink ref="E3752" r:id="rId2063" xr:uid="{82A46A12-C626-774E-B675-524F863FB5C4}"/>
    <hyperlink ref="Q3752" r:id="rId2064" xr:uid="{4059C69E-072E-9143-B5D3-E9AC9EC869A3}"/>
    <hyperlink ref="Q3747" r:id="rId2065" xr:uid="{7873A894-A212-2142-9655-D9D912B7CF33}"/>
    <hyperlink ref="Q3749" r:id="rId2066" xr:uid="{308CC9C8-5ACF-B34E-B357-7885E4658EC4}"/>
    <hyperlink ref="E3750" r:id="rId2067" xr:uid="{A367D3A2-2AE3-614B-ADDD-E4DC1C135DA2}"/>
    <hyperlink ref="Q3750" r:id="rId2068" xr:uid="{CFBEF91B-7223-6640-A235-3BF2E906E281}"/>
    <hyperlink ref="Q3751" r:id="rId2069" xr:uid="{C8E4964B-2B8D-B444-93DD-1D71AFA5521F}"/>
    <hyperlink ref="Q3748" r:id="rId2070" xr:uid="{2FC9A7DB-DB8D-F944-8208-976BD57DCB90}"/>
    <hyperlink ref="E3745" r:id="rId2071" xr:uid="{8AA7FB3C-B614-2845-BFA3-02EB25C74656}"/>
    <hyperlink ref="Q3745" r:id="rId2072" xr:uid="{45BC18AE-87C0-B648-A2A8-EB44186B2417}"/>
    <hyperlink ref="E3744" r:id="rId2073" xr:uid="{91D9B964-68BC-EE4A-A06E-98C620AEC084}"/>
    <hyperlink ref="Q3744" r:id="rId2074" xr:uid="{5CF5C3B5-78CF-9041-9294-D59DEA9540A8}"/>
    <hyperlink ref="E3743" r:id="rId2075" xr:uid="{D2B90908-914E-5B44-82E5-D6131A395A6C}"/>
    <hyperlink ref="Q3743" r:id="rId2076" xr:uid="{B115C5FF-7E33-8642-A9F9-6012880713DC}"/>
    <hyperlink ref="E3746" r:id="rId2077" xr:uid="{32D6E3AA-024D-F44E-BADD-1B5329475A38}"/>
    <hyperlink ref="Q3746" r:id="rId2078" xr:uid="{4F750BE1-5498-7644-A6F6-26838F542ED2}"/>
    <hyperlink ref="E3738" r:id="rId2079" xr:uid="{E7084384-0CB3-FE41-890F-B1F2F05AC158}"/>
    <hyperlink ref="Q3738" r:id="rId2080" xr:uid="{308308D7-AC9B-8E4E-9F0A-AD623E19EB65}"/>
    <hyperlink ref="E3741" r:id="rId2081" xr:uid="{9C8B7E71-B395-3F4A-BBD0-AE675A5FBD85}"/>
    <hyperlink ref="Q3741" r:id="rId2082" xr:uid="{5F903D8B-EBD7-4149-8845-7C59DFC06AA6}"/>
    <hyperlink ref="Q3739" r:id="rId2083" xr:uid="{02A034EE-3493-974A-BD70-75D32C4426E4}"/>
    <hyperlink ref="Q3735" r:id="rId2084" xr:uid="{1A4733F8-F764-4B46-ADEB-301E2C2E2EE8}"/>
    <hyperlink ref="E3737" r:id="rId2085" xr:uid="{CB983FA1-2B47-264A-AA25-285F45140A9A}"/>
    <hyperlink ref="Q3737" r:id="rId2086" xr:uid="{3A685E43-8524-2544-A915-80A9E2B52B6F}"/>
    <hyperlink ref="E3736" r:id="rId2087" xr:uid="{A8BB8062-D892-2843-BE58-29F1D984E564}"/>
    <hyperlink ref="Q3736" r:id="rId2088" xr:uid="{EC05663B-8FEF-D945-8B5C-BC144DA880F7}"/>
    <hyperlink ref="Q3734" r:id="rId2089" xr:uid="{D0803593-FE47-5749-8899-63E00B6AA852}"/>
    <hyperlink ref="Q3730" r:id="rId2090" xr:uid="{85CD938B-6D94-9942-83C6-017CDD92C773}"/>
    <hyperlink ref="Q3733" r:id="rId2091" xr:uid="{CE777ECA-B855-384C-9A40-FADB2E90FEEF}"/>
    <hyperlink ref="Q3732" r:id="rId2092" xr:uid="{1E5478C0-0901-0F44-A6A4-4FBE9829B6C4}"/>
    <hyperlink ref="E3731" r:id="rId2093" xr:uid="{2CC2A914-2693-A041-93F9-8635858B7D2B}"/>
    <hyperlink ref="Q3731" r:id="rId2094" xr:uid="{CEB3D63F-7BEB-324C-AFEB-F3D1109A2877}"/>
    <hyperlink ref="E3728" r:id="rId2095" xr:uid="{3A2E7774-2504-DF49-B9AF-8CC9A0557745}"/>
    <hyperlink ref="Q3728" r:id="rId2096" xr:uid="{A0DBEE95-22BC-5C44-877D-3AB5A7D1AFD1}"/>
    <hyperlink ref="Q3729" r:id="rId2097" xr:uid="{DC2E97F9-7BD8-CE4D-AECF-F106FE564234}"/>
    <hyperlink ref="Q3722" r:id="rId2098" xr:uid="{E5F0F65B-F395-D54E-BC5F-5BD9F4623780}"/>
    <hyperlink ref="Q3726" r:id="rId2099" xr:uid="{02EDF2F1-FD5C-2643-B2DF-6C07804032EE}"/>
    <hyperlink ref="E3725" r:id="rId2100" xr:uid="{92AF4348-61AA-D94D-9808-458C97D80443}"/>
    <hyperlink ref="Q3725" r:id="rId2101" xr:uid="{09E5B781-E93F-254D-93D9-9AE454DFE26E}"/>
    <hyperlink ref="Q3723" r:id="rId2102" xr:uid="{13F0E8A5-B632-9B42-B16E-46793751839D}"/>
    <hyperlink ref="E3727" r:id="rId2103" xr:uid="{5104AB92-5137-1143-97F4-E88BF738230C}"/>
    <hyperlink ref="Q3727" r:id="rId2104" xr:uid="{C7786B3E-4CEB-BA42-854A-910F2C76BCE7}"/>
    <hyperlink ref="Q3724" r:id="rId2105" xr:uid="{0EA09053-CEC3-D445-8908-DF1B335644C5}"/>
    <hyperlink ref="Q3721" r:id="rId2106" xr:uid="{B7ED9B68-E502-0E48-8980-852CF760A0F3}"/>
    <hyperlink ref="Q3720" r:id="rId2107" xr:uid="{11BF757A-2248-F640-B16B-ECC58DF0AC43}"/>
    <hyperlink ref="Q3717" r:id="rId2108" xr:uid="{2C1AE226-22BD-AC44-9611-645D74D933F9}"/>
    <hyperlink ref="Q3715" r:id="rId2109" xr:uid="{5B289808-82FA-E04E-B97F-18A1A907CC1B}"/>
    <hyperlink ref="E3712" r:id="rId2110" xr:uid="{7CF08DB2-21AD-364A-863C-BBD284CCBDEC}"/>
    <hyperlink ref="Q3712" r:id="rId2111" xr:uid="{26398539-439D-8640-9E8A-6B15130982D9}"/>
    <hyperlink ref="Q3714" r:id="rId2112" xr:uid="{785AE167-FBAE-7A49-B1AF-A17E0196C925}"/>
    <hyperlink ref="E3718" r:id="rId2113" xr:uid="{E1AC3B36-CA30-2B4D-B59B-2547F557D429}"/>
    <hyperlink ref="Q3718" r:id="rId2114" xr:uid="{FA2DC735-9C55-5943-9994-6DA6DC5EC189}"/>
    <hyperlink ref="E3713" r:id="rId2115" xr:uid="{2DC70BF4-A5ED-2E4F-BDF9-AC8065B4FAF2}"/>
    <hyperlink ref="Q3713" r:id="rId2116" xr:uid="{D878CD0D-03CD-834E-AF2A-64FE49BFB292}"/>
    <hyperlink ref="E3719" r:id="rId2117" xr:uid="{A9A5723A-B54A-DD4F-9223-C91C7E530B18}"/>
    <hyperlink ref="Q3719" r:id="rId2118" xr:uid="{41D39233-3348-BD44-BB5F-5FC73788DB0A}"/>
    <hyperlink ref="Q3716" r:id="rId2119" xr:uid="{9E7B48A3-D075-2148-84F0-E5EBD131D47E}"/>
    <hyperlink ref="Q3708" r:id="rId2120" xr:uid="{B1DA476E-62FF-0746-A541-467E6AE39BCA}"/>
    <hyperlink ref="E3707" r:id="rId2121" xr:uid="{DE6107AC-6AE8-124C-9F6E-9A805B7F07C0}"/>
    <hyperlink ref="Q3707" r:id="rId2122" xr:uid="{04E3056C-CC76-E04F-AD61-12F1D9DF4A31}"/>
    <hyperlink ref="Q3710" r:id="rId2123" xr:uid="{9468E1DE-171D-494B-A0CE-C049988EEB64}"/>
    <hyperlink ref="Q3709" r:id="rId2124" xr:uid="{BA36E04C-7BEE-1247-8502-8A5B815ADE1A}"/>
    <hyperlink ref="Q3711" r:id="rId2125" xr:uid="{D3961027-1BCC-B34E-A017-F190DD86A193}"/>
    <hyperlink ref="Q3706" r:id="rId2126" xr:uid="{8C51BDB2-788C-8F40-A7AB-6BEEEEA9A600}"/>
    <hyperlink ref="Q3705" r:id="rId2127" xr:uid="{60D2FDF7-B7BA-F945-A83C-02C69C57923A}"/>
    <hyperlink ref="Q3704" r:id="rId2128" xr:uid="{CAB4F168-E227-6643-BABF-510DE1A6A3F8}"/>
    <hyperlink ref="E3703" r:id="rId2129" xr:uid="{F12F9597-31E7-B54B-AFF6-317A6223833D}"/>
    <hyperlink ref="Q3703" r:id="rId2130" xr:uid="{F604E4C5-C972-6342-967A-9CC02E873CBC}"/>
    <hyperlink ref="E3702" r:id="rId2131" xr:uid="{0AE5A302-BE77-BD43-A9DD-EF3E3E75CE3B}"/>
    <hyperlink ref="Q3702" r:id="rId2132" xr:uid="{0714A047-1B60-6D4E-9139-1BFCCEEC70C4}"/>
    <hyperlink ref="E3701" r:id="rId2133" xr:uid="{80855F95-A0E5-FF4D-A7B0-EAB0780B3C9D}"/>
    <hyperlink ref="Q3701" r:id="rId2134" xr:uid="{BA52A424-6D3F-4845-ACE0-C9BDE8694EF3}"/>
    <hyperlink ref="Q3700" r:id="rId2135" xr:uid="{594D17AB-75C5-F246-AF55-702B93EB696F}"/>
    <hyperlink ref="E3699" r:id="rId2136" xr:uid="{3ED586EC-CB9A-B74A-B74B-402D3BFBBA18}"/>
    <hyperlink ref="Q3699" r:id="rId2137" xr:uid="{FCD86E7D-118A-4A4C-88DE-F65DED583864}"/>
    <hyperlink ref="Q3698" r:id="rId2138" xr:uid="{B3F05F31-6B90-AC49-B03E-B38DEB22CBA3}"/>
    <hyperlink ref="E3694" r:id="rId2139" xr:uid="{3669FCAB-DDCA-604B-ACD5-68E032915CA9}"/>
    <hyperlink ref="Q3694" r:id="rId2140" xr:uid="{0D0FE4DA-196F-D440-BEBF-B2AB3797E99D}"/>
    <hyperlink ref="E3696" r:id="rId2141" xr:uid="{9ACA09DE-1C26-6B47-BA4E-BD5713D3D750}"/>
    <hyperlink ref="Q3696" r:id="rId2142" xr:uid="{CD3FEE5A-2F4B-B34B-9069-1E572FCDD104}"/>
    <hyperlink ref="Q3695" r:id="rId2143" xr:uid="{C625670B-D781-CB4C-843B-BE9B07FD7439}"/>
    <hyperlink ref="Q3693" r:id="rId2144" xr:uid="{12656754-3C17-D448-9100-A2FED51D7B4F}"/>
    <hyperlink ref="E3690" r:id="rId2145" xr:uid="{C32347EE-9B4F-E648-8372-1FA5174BFED5}"/>
    <hyperlink ref="Q3690" r:id="rId2146" xr:uid="{284E9C98-ABC1-7A46-ABB7-6FEC5370A34F}"/>
    <hyperlink ref="E3691" r:id="rId2147" xr:uid="{C0DE8266-2386-0048-95E9-671E6E2D895F}"/>
    <hyperlink ref="Q3691" r:id="rId2148" xr:uid="{A37F544B-0323-D74A-ABB4-DAA1DCC838E8}"/>
    <hyperlink ref="E3692" r:id="rId2149" xr:uid="{DCA9B9C9-58CF-DD40-8EEB-CCB74226B7C5}"/>
    <hyperlink ref="Q3692" r:id="rId2150" xr:uid="{02CA68AD-E129-9948-B1E3-750BD3DB1D9E}"/>
    <hyperlink ref="E3689" r:id="rId2151" xr:uid="{7FC8CD03-1C2A-1A4F-A0F1-02A4A38E9389}"/>
    <hyperlink ref="Q3689" r:id="rId2152" xr:uid="{36AECF26-0029-6548-9F4A-094BC7604902}"/>
    <hyperlink ref="Q3688" r:id="rId2153" xr:uid="{0090F4F3-7915-9A4C-AB9F-0E7A1D4C762B}"/>
    <hyperlink ref="Q3684" r:id="rId2154" xr:uid="{F8DD387C-9BA2-C345-AEC2-8EB8FEE45ECA}"/>
    <hyperlink ref="E3687" r:id="rId2155" xr:uid="{7159247C-C5D1-E849-B4CA-B4DFD70FDBB5}"/>
    <hyperlink ref="Q3687" r:id="rId2156" xr:uid="{95B62D0F-0103-3142-8C97-CC3D3CFD52BD}"/>
    <hyperlink ref="E3686" r:id="rId2157" xr:uid="{F20DB0EA-ED2F-5E40-AE13-2D0A102EC83D}"/>
    <hyperlink ref="Q3686" r:id="rId2158" xr:uid="{4EBA1A21-9726-1847-9AA9-62814FDD4D37}"/>
    <hyperlink ref="E3685" r:id="rId2159" xr:uid="{5BC7AEB3-515E-A54E-B3B2-A39A7ADD811E}"/>
    <hyperlink ref="Q3685" r:id="rId2160" xr:uid="{A542987A-2042-E64F-8475-B31C52AFF515}"/>
    <hyperlink ref="E3680" r:id="rId2161" xr:uid="{DF04AE38-6127-6F40-B464-4BB91DD4371C}"/>
    <hyperlink ref="Q3680" r:id="rId2162" xr:uid="{7842F491-31E3-3248-B409-F651205B8343}"/>
    <hyperlink ref="Q3681" r:id="rId2163" xr:uid="{488F3E5C-23F0-6641-B683-C0A22CAB6E3B}"/>
    <hyperlink ref="E3682" r:id="rId2164" xr:uid="{262B56EC-C5EC-464D-B8CF-7B4AF138C157}"/>
    <hyperlink ref="Q3682" r:id="rId2165" xr:uid="{EAA3F89D-71B4-3E4F-9DF6-488FD49CED32}"/>
    <hyperlink ref="Q3683" r:id="rId2166" xr:uid="{AC9400F7-F34D-9C42-9646-6EDD67030C7E}"/>
    <hyperlink ref="E3678" r:id="rId2167" xr:uid="{663D63DB-5539-5E4E-A89C-82EC0922F52A}"/>
    <hyperlink ref="Q3678" r:id="rId2168" xr:uid="{CECA1B26-9EDF-FC42-8127-D8319690DB94}"/>
    <hyperlink ref="Q3679" r:id="rId2169" xr:uid="{4B3B3B61-70D1-3D4D-AE3B-CCC137F43394}"/>
    <hyperlink ref="Q3676" r:id="rId2170" xr:uid="{9E26A5C8-3BCC-7843-9620-C864D1BED482}"/>
    <hyperlink ref="Q3674" r:id="rId2171" xr:uid="{150B13AF-A11F-9248-901A-2E52569360A0}"/>
    <hyperlink ref="Q3675" r:id="rId2172" xr:uid="{FFFC7E73-E72A-AE46-8834-2ABC44473C63}"/>
    <hyperlink ref="Q3677" r:id="rId2173" xr:uid="{67351807-D649-8547-914C-BABE4C0ACBFF}"/>
    <hyperlink ref="Q3672" r:id="rId2174" xr:uid="{BD2C9880-2E9D-9F41-AA4E-6070EC5325F5}"/>
    <hyperlink ref="Q3670" r:id="rId2175" xr:uid="{ED45847C-DE91-FC47-B0E2-8E2A6F9C5C0B}"/>
    <hyperlink ref="Q3673" r:id="rId2176" xr:uid="{D4114A35-6D42-CB43-8718-F73BA3A43846}"/>
    <hyperlink ref="E3671" r:id="rId2177" xr:uid="{9AEB515E-A412-724B-9E0B-4FE29E67C0FE}"/>
    <hyperlink ref="Q3671" r:id="rId2178" xr:uid="{4D5455E2-3A6B-0646-801B-DFA2C0FF1FB0}"/>
    <hyperlink ref="Q3664" r:id="rId2179" xr:uid="{8DC19959-3C1E-8E4B-BA4F-10B022B005DD}"/>
    <hyperlink ref="Q3669" r:id="rId2180" xr:uid="{F0B8B947-F444-3A48-B008-A9E7E66697BC}"/>
    <hyperlink ref="Q3667" r:id="rId2181" xr:uid="{55D5AF93-9662-7D4C-8CE2-299EEF52724F}"/>
    <hyperlink ref="Q3668" r:id="rId2182" xr:uid="{4BB1E4DE-D78E-454B-838F-E8368A2751BF}"/>
    <hyperlink ref="Q3666" r:id="rId2183" xr:uid="{B6B6845C-C987-CB44-8A69-D9637B5D27BD}"/>
    <hyperlink ref="Q3665" r:id="rId2184" xr:uid="{45B6460C-608E-6D40-BFCE-BD27D0EAFBFA}"/>
    <hyperlink ref="Q3663" r:id="rId2185" xr:uid="{C282CA3E-A0BE-FC4E-8CAB-297F1881A990}"/>
    <hyperlink ref="Q3662" r:id="rId2186" xr:uid="{6E744E63-2B15-D544-9681-E8DEBEE588C3}"/>
    <hyperlink ref="E3659" r:id="rId2187" xr:uid="{23609C77-38CF-B04B-BD71-C3710E4DEA3D}"/>
    <hyperlink ref="Q3659" r:id="rId2188" xr:uid="{8163B529-13B6-7640-8E10-121C22710484}"/>
    <hyperlink ref="E3660" r:id="rId2189" xr:uid="{FCFDBB39-686A-7A4F-A7A0-1F51CC292BA8}"/>
    <hyperlink ref="Q3660" r:id="rId2190" xr:uid="{9E878FAA-3F47-0649-9CDE-F9C2785391AA}"/>
    <hyperlink ref="Q3661" r:id="rId2191" xr:uid="{9A972722-2A8A-F640-BB39-B5EBED491DC6}"/>
    <hyperlink ref="Q3657" r:id="rId2192" xr:uid="{819963A0-1460-9B49-90E4-FEEFEBC5130B}"/>
    <hyperlink ref="Q3658" r:id="rId2193" xr:uid="{01D60639-C5F3-FB49-8663-F5F9CDCDEAA6}"/>
    <hyperlink ref="E3655" r:id="rId2194" xr:uid="{945654E0-0F78-F947-94B0-D8BABA7C8FBA}"/>
    <hyperlink ref="Q3655" r:id="rId2195" xr:uid="{4427F6D2-FE17-6B4A-B11D-B95B6A96916F}"/>
    <hyperlink ref="E3652" r:id="rId2196" xr:uid="{C89F41CC-2986-5949-A420-DD966D1C54D1}"/>
    <hyperlink ref="Q3652" r:id="rId2197" xr:uid="{1213E605-799E-1542-92BC-9F40FDDC5945}"/>
    <hyperlink ref="E3654" r:id="rId2198" xr:uid="{EAD8D01B-E5FD-BC43-B29B-7D9F7D361262}"/>
    <hyperlink ref="Q3654" r:id="rId2199" xr:uid="{54EF7F68-A5D6-7F41-A0FB-F05B7B3BC178}"/>
    <hyperlink ref="Q3656" r:id="rId2200" xr:uid="{832C2864-C4DB-1944-854C-6C6BC9AE9DF8}"/>
    <hyperlink ref="E3653" r:id="rId2201" xr:uid="{0EA1AA37-EB9D-834D-A200-03CE80CDF78E}"/>
    <hyperlink ref="Q3653" r:id="rId2202" xr:uid="{FCD5800F-8C5F-8346-9DD4-16FF3B7B95DD}"/>
    <hyperlink ref="Q3651" r:id="rId2203" xr:uid="{22845135-C8B4-9844-8CB2-AB0C3ADC296B}"/>
    <hyperlink ref="E3649" r:id="rId2204" xr:uid="{546F526C-7C02-4A48-9270-013029A7D71F}"/>
    <hyperlink ref="Q3649" r:id="rId2205" xr:uid="{ABD32E0C-18E7-4E48-B853-17E2EDE27997}"/>
    <hyperlink ref="E3648" r:id="rId2206" xr:uid="{3891AA25-1A7C-4748-A1A8-EB1A9C515292}"/>
    <hyperlink ref="Q3648" r:id="rId2207" xr:uid="{198DC814-A7F3-1444-8BA0-6B6087FE7EC7}"/>
    <hyperlink ref="Q3650" r:id="rId2208" xr:uid="{FC0ADF31-FF50-D047-88FB-EE33C8B56F3C}"/>
    <hyperlink ref="Q3646" r:id="rId2209" xr:uid="{EE7B2100-391F-4644-9F3B-143211BD9F00}"/>
    <hyperlink ref="Q3645" r:id="rId2210" xr:uid="{5DD16E58-8EA3-8D4F-80C6-B17D41FA6D84}"/>
    <hyperlink ref="Q3644" r:id="rId2211" xr:uid="{8A74A0B5-A402-9748-A2FA-3C48B4B57B31}"/>
    <hyperlink ref="Q3642" r:id="rId2212" xr:uid="{9060C839-4A55-CE48-9DA5-E982FCE5D43D}"/>
    <hyperlink ref="E3597" r:id="rId2213" xr:uid="{7DE4E2D4-56A2-A44C-98B2-F96BD3D3D1C5}"/>
    <hyperlink ref="Q3597" r:id="rId2214" xr:uid="{1E2A2F89-518C-5348-B258-A916EDA3BD1F}"/>
    <hyperlink ref="E3594" r:id="rId2215" xr:uid="{EC05B831-95E4-FF43-909E-FC2F6EB1C415}"/>
    <hyperlink ref="Q3594" r:id="rId2216" xr:uid="{858BFC5D-6085-2B48-9C4A-4DA863B6A046}"/>
    <hyperlink ref="Q3592" r:id="rId2217" xr:uid="{17BE0777-506F-C842-9A81-F917C7784F7E}"/>
    <hyperlink ref="Q3590" r:id="rId2218" xr:uid="{D9A3C6DE-D189-FF41-81C2-456D33EA1FE6}"/>
    <hyperlink ref="Q3591" r:id="rId2219" xr:uid="{0E22D93C-10D1-D74F-9A64-D83BC17FB974}"/>
    <hyperlink ref="E3586" r:id="rId2220" xr:uid="{75E22750-0DB3-6243-9B62-415A2AC14EF5}"/>
    <hyperlink ref="Q3586" r:id="rId2221" xr:uid="{CEFDC3AA-A95A-AB4B-8150-8F18647105BF}"/>
    <hyperlink ref="E3587" r:id="rId2222" xr:uid="{6F5D62D3-7B08-A74F-ADC6-B573B3E42E23}"/>
    <hyperlink ref="Q3587" r:id="rId2223" xr:uid="{D35B45CC-9E8C-3E4F-8DCE-05426A004038}"/>
    <hyperlink ref="E3589" r:id="rId2224" xr:uid="{E4D67F43-022F-4749-BBB8-BC3B21D0FA9D}"/>
    <hyperlink ref="Q3589" r:id="rId2225" xr:uid="{3C628444-20DF-6444-B75D-ADBC8F00A967}"/>
    <hyperlink ref="E3588" r:id="rId2226" xr:uid="{4CF3B115-503B-5A4B-93B6-8918DA1A853D}"/>
    <hyperlink ref="Q3588" r:id="rId2227" xr:uid="{4891144A-2AF0-F045-A4E6-8E79B6B75CC1}"/>
    <hyperlink ref="E3583" r:id="rId2228" xr:uid="{1EE10CA9-4F61-7E47-8863-E0EBF7077714}"/>
    <hyperlink ref="Q3583" r:id="rId2229" xr:uid="{BB755BB0-01BF-EE4E-8BC6-A76D3EB02031}"/>
    <hyperlink ref="Q3585" r:id="rId2230" xr:uid="{02E34123-216F-2041-AE90-022841FEE860}"/>
    <hyperlink ref="E3584" r:id="rId2231" xr:uid="{5431BE99-A23B-6542-89BF-B9B942668A5B}"/>
    <hyperlink ref="Q3584" r:id="rId2232" xr:uid="{22F1E234-DDA1-604A-9E48-1AE5993BFC9C}"/>
    <hyperlink ref="E3582" r:id="rId2233" xr:uid="{C3FD33A0-300B-A848-813F-BA4C5D3095CC}"/>
    <hyperlink ref="Q3582" r:id="rId2234" xr:uid="{A17B49B9-EA90-BF43-B4D4-7CF9D412F0D9}"/>
    <hyperlink ref="Q3579" r:id="rId2235" xr:uid="{291FC76F-85BC-8A4A-933A-0057E438834A}"/>
    <hyperlink ref="E3580" r:id="rId2236" xr:uid="{59DF8DF0-2D10-AE4F-BA5E-F524C4D6564C}"/>
    <hyperlink ref="Q3580" r:id="rId2237" xr:uid="{264E97C8-DAC0-4A4A-A89D-B1F9265E2EEC}"/>
    <hyperlink ref="E3578" r:id="rId2238" xr:uid="{0EA32650-8725-7542-A11A-E93D79F91849}"/>
    <hyperlink ref="Q3578" r:id="rId2239" xr:uid="{5D11865B-C1AB-0B4B-8046-E7D5B1C304A9}"/>
    <hyperlink ref="E3581" r:id="rId2240" xr:uid="{CDEE9E7D-E0BA-7245-955F-78A5DD8103D8}"/>
    <hyperlink ref="Q3581" r:id="rId2241" xr:uid="{805F69A0-0CE3-B94C-90FB-826F195A9153}"/>
    <hyperlink ref="Q3577" r:id="rId2242" xr:uid="{6A08E979-2D60-5E47-97A6-97D488C16A01}"/>
    <hyperlink ref="Q3573" r:id="rId2243" xr:uid="{33759FAF-9A3B-FA42-8AA9-4AED2D8CF73B}"/>
    <hyperlink ref="E3574" r:id="rId2244" xr:uid="{96AFAA7C-6DE9-BB40-97AF-ADFD99D0824E}"/>
    <hyperlink ref="Q3574" r:id="rId2245" xr:uid="{B14308F7-7D13-C64D-803E-D7C53F1349E8}"/>
    <hyperlink ref="Q3575" r:id="rId2246" xr:uid="{1640FF8E-56F0-044B-8B41-79872E30ED49}"/>
    <hyperlink ref="E3576" r:id="rId2247" xr:uid="{DBDE2CC9-E909-0F45-936F-263AC75F64D0}"/>
    <hyperlink ref="Q3576" r:id="rId2248" xr:uid="{2C26A724-F962-5646-A34A-17CA10DAC6C1}"/>
    <hyperlink ref="E3571" r:id="rId2249" xr:uid="{621EFEC5-86F6-F84B-9990-1D66B7F1EDDF}"/>
    <hyperlink ref="Q3571" r:id="rId2250" xr:uid="{09581424-79DC-674F-B4EA-00427B27B289}"/>
    <hyperlink ref="E3570" r:id="rId2251" xr:uid="{A660E421-3ECA-294A-8B00-B22D7D6AA3D2}"/>
    <hyperlink ref="Q3570" r:id="rId2252" xr:uid="{547FA909-3A3F-0B43-BA01-95CFFAD4D62D}"/>
    <hyperlink ref="Q3568" r:id="rId2253" xr:uid="{642EF911-0C63-7C4F-AE6D-A73C049621C8}"/>
    <hyperlink ref="Q3569" r:id="rId2254" xr:uid="{E9E3D524-A837-7C4A-9EB0-E5484EF319B5}"/>
    <hyperlink ref="E3567" r:id="rId2255" xr:uid="{51E742A5-229F-4240-AC04-7F9E34EFF25E}"/>
    <hyperlink ref="Q3567" r:id="rId2256" xr:uid="{70EDC5AA-EA9E-7F49-9CC8-EB806AA624C6}"/>
    <hyperlink ref="E3565" r:id="rId2257" xr:uid="{A3623803-5E8F-F541-B5C8-01300CC4AB0E}"/>
    <hyperlink ref="Q3565" r:id="rId2258" xr:uid="{BB545B96-D090-014B-8761-17D5C89F6F25}"/>
    <hyperlink ref="Q3566" r:id="rId2259" xr:uid="{49A7CC7B-17A4-D046-933D-F1E32279C698}"/>
    <hyperlink ref="E3562" r:id="rId2260" xr:uid="{C9101555-3D14-F14E-861C-8686729B9564}"/>
    <hyperlink ref="Q3562" r:id="rId2261" xr:uid="{CDACC82C-6A83-7A48-A507-6ACEA45B4CE0}"/>
    <hyperlink ref="Q3559" r:id="rId2262" xr:uid="{696D0221-4650-8F43-8F08-A9CADBBBA9AE}"/>
    <hyperlink ref="E3561" r:id="rId2263" xr:uid="{DA246A70-DD9B-184C-8DD6-4F150F3E27AE}"/>
    <hyperlink ref="Q3561" r:id="rId2264" xr:uid="{EF6E5E77-E58E-B342-9B0B-745A63754491}"/>
    <hyperlink ref="Q3563" r:id="rId2265" xr:uid="{B68B44EE-D139-FD4C-A149-BB24882BF062}"/>
    <hyperlink ref="E3560" r:id="rId2266" xr:uid="{A36A3764-DEA7-2941-A044-894DB9D33896}"/>
    <hyperlink ref="Q3560" r:id="rId2267" xr:uid="{B8CE7907-25DF-774F-8CF5-2355F1C6CD58}"/>
    <hyperlink ref="E3556" r:id="rId2268" xr:uid="{AB27FBF2-BE5B-3443-995F-752A75DE13F1}"/>
    <hyperlink ref="Q3556" r:id="rId2269" xr:uid="{50C87C08-534D-934C-973D-69821AE5C55B}"/>
    <hyperlink ref="Q3558" r:id="rId2270" xr:uid="{161A32D5-D834-B247-A114-78AD3B2FF878}"/>
    <hyperlink ref="Q3557" r:id="rId2271" xr:uid="{6A42B735-093D-F24B-AB6D-D0F243604F29}"/>
    <hyperlink ref="E3555" r:id="rId2272" xr:uid="{21771CE1-FDE3-4346-B5AC-91347B87DDA5}"/>
    <hyperlink ref="Q3555" r:id="rId2273" xr:uid="{F22309E3-86FD-B045-BB1C-D95749218D3A}"/>
    <hyperlink ref="Q3553" r:id="rId2274" xr:uid="{7DA4996D-9B83-4A4F-8DC2-776572A909D6}"/>
    <hyperlink ref="Q3551" r:id="rId2275" xr:uid="{8791E2C8-387D-B640-BC80-8CF93A0498D9}"/>
    <hyperlink ref="Q3554" r:id="rId2276" xr:uid="{25E6833F-8374-2447-9C5F-40F9855AB49C}"/>
    <hyperlink ref="E3550" r:id="rId2277" xr:uid="{C3DB02CD-C463-F547-A2F3-7FB579D159AC}"/>
    <hyperlink ref="Q3550" r:id="rId2278" xr:uid="{72220F85-68EE-E24A-AADB-AF48213EF71A}"/>
    <hyperlink ref="Q3552" r:id="rId2279" xr:uid="{99E8448E-834D-7045-A568-6F222230934D}"/>
    <hyperlink ref="E3549" r:id="rId2280" xr:uid="{D3C4B4BA-049B-E943-A18D-E47AB440B732}"/>
    <hyperlink ref="Q3549" r:id="rId2281" xr:uid="{D0DCB3B2-0402-BA47-A9A7-55E94D8F8BFA}"/>
    <hyperlink ref="E3548" r:id="rId2282" xr:uid="{A6DE683E-38BC-B841-B098-EE2A9FCE5377}"/>
    <hyperlink ref="Q3548" r:id="rId2283" xr:uid="{56958755-4D84-984A-A5DD-3FF30B6B3EDC}"/>
    <hyperlink ref="E3544" r:id="rId2284" xr:uid="{177ED41B-3623-DA46-A19B-430B8CBC15E1}"/>
    <hyperlink ref="Q3544" r:id="rId2285" xr:uid="{8C39E323-5CBB-EA4D-8AE2-77C3473E8EC9}"/>
    <hyperlink ref="Q3545" r:id="rId2286" xr:uid="{53D94091-A5D0-6A4C-999B-C5E97B126842}"/>
    <hyperlink ref="Q3543" r:id="rId2287" xr:uid="{7283BD3A-A4D0-2849-B4F8-E9ECD9E33DEB}"/>
    <hyperlink ref="E3542" r:id="rId2288" xr:uid="{B8BFB65B-63DC-074B-BF93-2A1EFFB30269}"/>
    <hyperlink ref="Q3542" r:id="rId2289" xr:uid="{06B37FE5-6C10-3C40-B2A4-2A68028AAC8F}"/>
    <hyperlink ref="E3540" r:id="rId2290" xr:uid="{2DB40442-82EC-E648-811C-58F45654CA8A}"/>
    <hyperlink ref="Q3540" r:id="rId2291" xr:uid="{96DE5F97-86C1-E14B-91DD-29C8AE8E39DC}"/>
    <hyperlink ref="E3541" r:id="rId2292" xr:uid="{0398C09C-449E-704F-80DC-5AD9163DDA61}"/>
    <hyperlink ref="Q3541" r:id="rId2293" xr:uid="{D4D919BC-5CE5-0044-AE61-90CE21441DD4}"/>
    <hyperlink ref="Q3539" r:id="rId2294" xr:uid="{1A763A05-F5EB-B64B-8B24-08C3E5F23484}"/>
    <hyperlink ref="E3538" r:id="rId2295" xr:uid="{DC01A246-2792-3C44-968F-99DE1C2BD551}"/>
    <hyperlink ref="Q3538" r:id="rId2296" xr:uid="{035AEBBC-5AC2-8F41-8AF9-117F5906CC6B}"/>
    <hyperlink ref="E3536" r:id="rId2297" xr:uid="{4031A8C4-A345-3145-B175-D4A27C891143}"/>
    <hyperlink ref="Q3536" r:id="rId2298" xr:uid="{F849B008-6629-584D-B46A-F009CEBA0096}"/>
    <hyperlink ref="E3537" r:id="rId2299" xr:uid="{F48B980C-0D9E-7544-955E-2FE596CF904B}"/>
    <hyperlink ref="Q3537" r:id="rId2300" xr:uid="{692E92D0-C54F-9942-8EDF-984E506150C4}"/>
    <hyperlink ref="Q3534" r:id="rId2301" xr:uid="{702C824D-39CC-4F4F-8426-3E1900F78694}"/>
    <hyperlink ref="Q3535" r:id="rId2302" xr:uid="{78C6BA10-A3FB-4B4A-AC06-05DBDFA990EB}"/>
    <hyperlink ref="E3532" r:id="rId2303" xr:uid="{CFA44E79-B088-A34E-875A-6910ACAD2605}"/>
    <hyperlink ref="Q3532" r:id="rId2304" xr:uid="{81872FC0-C072-1444-84C8-843D911CCE61}"/>
    <hyperlink ref="Q3531" r:id="rId2305" xr:uid="{F42A047D-839C-F149-B3B9-3DA022A43644}"/>
    <hyperlink ref="E3533" r:id="rId2306" xr:uid="{6D0C9588-2EFC-3544-BD8F-02A0AC4684AA}"/>
    <hyperlink ref="Q3533" r:id="rId2307" xr:uid="{AD021AF0-4C56-E24B-83CC-9451117B64EF}"/>
    <hyperlink ref="Q3530" r:id="rId2308" xr:uid="{102AB681-09F8-AF4C-B07D-44DE60AB5AA8}"/>
    <hyperlink ref="Q3529" r:id="rId2309" xr:uid="{9823B58E-EB87-8E43-B007-F562283C0930}"/>
    <hyperlink ref="Q3528" r:id="rId2310" xr:uid="{4032F441-FE8B-2741-8E89-6F4405F32064}"/>
    <hyperlink ref="E3524" r:id="rId2311" xr:uid="{37450F25-7803-BF4C-84A2-BCDFA473D6D7}"/>
    <hyperlink ref="Q3524" r:id="rId2312" xr:uid="{0734CD46-904F-D84C-9703-200BF9CDD2DB}"/>
    <hyperlink ref="E3526" r:id="rId2313" xr:uid="{1A5C3F5F-5F1D-814E-9DE7-481CE111CE83}"/>
    <hyperlink ref="Q3526" r:id="rId2314" xr:uid="{95E8471A-04A1-1849-B82E-FEEE0B3210B3}"/>
    <hyperlink ref="Q3525" r:id="rId2315" xr:uid="{4BDE939C-DB2F-5F43-96BF-2E7F0618E7CE}"/>
    <hyperlink ref="E3527" r:id="rId2316" xr:uid="{CDD5D63D-1ADD-4E47-8A80-65AF1B234A3F}"/>
    <hyperlink ref="Q3527" r:id="rId2317" xr:uid="{2DE198FE-813F-AD4A-B746-CECF3B2F7F19}"/>
    <hyperlink ref="Q3522" r:id="rId2318" xr:uid="{206B9B71-B256-A34D-BF17-081007BADF15}"/>
    <hyperlink ref="E3521" r:id="rId2319" xr:uid="{3C5C05A8-F27C-FB4F-A68C-72C071CE9EAB}"/>
    <hyperlink ref="Q3521" r:id="rId2320" xr:uid="{D02C9451-C307-464E-A5FD-726329802C07}"/>
    <hyperlink ref="E3523" r:id="rId2321" xr:uid="{8F06A623-FF66-6544-A41B-855CA4EB548B}"/>
    <hyperlink ref="Q3523" r:id="rId2322" xr:uid="{84375421-D82B-404D-A41A-4E713592F8E5}"/>
    <hyperlink ref="Q3516" r:id="rId2323" xr:uid="{71635DC5-81B4-774C-AFB2-1219625C90A7}"/>
    <hyperlink ref="Q3520" r:id="rId2324" xr:uid="{9BD6DEA5-D2F0-C348-AC61-5E6E5C6EDFFF}"/>
    <hyperlink ref="Q3519" r:id="rId2325" xr:uid="{18672BB3-4093-3D48-8093-D5A87C191610}"/>
    <hyperlink ref="E3518" r:id="rId2326" xr:uid="{7AF3018C-F52A-8F43-B750-B03D87D95CBD}"/>
    <hyperlink ref="Q3518" r:id="rId2327" xr:uid="{97C9309A-741C-B048-9147-11F2AD88409B}"/>
    <hyperlink ref="Q3517" r:id="rId2328" xr:uid="{89221CEC-D96B-6E41-B4B4-48E27752D07B}"/>
    <hyperlink ref="Q3513" r:id="rId2329" xr:uid="{803F2F16-A51E-8043-98D5-DE98A525AA8A}"/>
    <hyperlink ref="Q3512" r:id="rId2330" xr:uid="{B56623AA-94EC-C140-93CB-D6ABE5E3519C}"/>
    <hyperlink ref="Q3511" r:id="rId2331" xr:uid="{B6BB83BF-7DE2-414E-9B91-26EB86124EFF}"/>
    <hyperlink ref="Q3509" r:id="rId2332" xr:uid="{63D209E9-1221-BA46-BF30-BD9C5AB90D2F}"/>
    <hyperlink ref="E3510" r:id="rId2333" xr:uid="{58CB653E-B7EC-CE46-8681-C8B788DACC5C}"/>
    <hyperlink ref="Q3510" r:id="rId2334" xr:uid="{8B74EDB9-7DA7-E742-9C10-F788D7DBD3E4}"/>
    <hyperlink ref="E3507" r:id="rId2335" xr:uid="{793F3325-A85D-C146-B328-245441488545}"/>
    <hyperlink ref="Q3507" r:id="rId2336" xr:uid="{F81B7EB4-4184-214B-B886-190947C73645}"/>
    <hyperlink ref="E3506" r:id="rId2337" xr:uid="{2B0A90A1-3538-DF4B-A6A3-DBCA17AEECFC}"/>
    <hyperlink ref="Q3506" r:id="rId2338" xr:uid="{79D7C2A5-9395-8E45-9633-D46E645F2A18}"/>
    <hyperlink ref="Q3508" r:id="rId2339" xr:uid="{F2C955BF-8D12-5A48-ACB7-140FB6F22B5F}"/>
    <hyperlink ref="Q3503" r:id="rId2340" xr:uid="{D7064B50-3662-0540-BB7C-EFFF67F90430}"/>
    <hyperlink ref="Q3505" r:id="rId2341" xr:uid="{E26BB1D0-7EFF-9E4C-B962-9FC2232B49A2}"/>
    <hyperlink ref="E3504" r:id="rId2342" xr:uid="{444EA17E-2D05-7A44-BFEF-C2E73C0AB9B5}"/>
    <hyperlink ref="Q3504" r:id="rId2343" xr:uid="{A7622070-408B-D149-87B4-A8127F7207DD}"/>
    <hyperlink ref="Q3499" r:id="rId2344" xr:uid="{F71AD435-9C66-6F47-B2E9-F88F52185777}"/>
    <hyperlink ref="Q3502" r:id="rId2345" xr:uid="{F1E2D2DC-B901-044B-8B15-9B6EA57D0751}"/>
    <hyperlink ref="E3501" r:id="rId2346" xr:uid="{DD3D7F97-E1A5-B74F-A3B5-21E2847457F6}"/>
    <hyperlink ref="Q3501" r:id="rId2347" xr:uid="{41060016-C1FB-1543-B6A1-E70E31736C88}"/>
    <hyperlink ref="E3496" r:id="rId2348" xr:uid="{8739FA5E-70C8-1D48-B23D-F787A422BC08}"/>
    <hyperlink ref="Q3496" r:id="rId2349" xr:uid="{1C15DAEB-2ADB-984D-9927-CC91A19FB1B9}"/>
    <hyperlink ref="E3497" r:id="rId2350" xr:uid="{797D9A09-6389-2644-AEF4-3E3C1BB97E12}"/>
    <hyperlink ref="Q3497" r:id="rId2351" xr:uid="{A2A32340-DBAB-6A44-832B-64B751FB608F}"/>
    <hyperlink ref="Q3500" r:id="rId2352" xr:uid="{D415A92D-49D5-BD47-BAD6-B16FDB709AB2}"/>
    <hyperlink ref="E3498" r:id="rId2353" xr:uid="{B05C3F0D-4AD8-6D4A-8948-B67240240AA0}"/>
    <hyperlink ref="Q3498" r:id="rId2354" xr:uid="{633EC0B0-2BDA-D94A-BA87-A4CC4E845A74}"/>
    <hyperlink ref="Q3495" r:id="rId2355" xr:uid="{B1DBA721-05A9-0D40-9931-C40F23FC9A4A}"/>
    <hyperlink ref="E3490" r:id="rId2356" xr:uid="{CDAEE2FB-F695-444F-82A7-B993792AADDB}"/>
    <hyperlink ref="Q3490" r:id="rId2357" xr:uid="{AE469F27-66D9-8841-977E-BBF8144D80E9}"/>
    <hyperlink ref="Q3491" r:id="rId2358" xr:uid="{B31986E1-E4DF-0845-BFF3-CF6DB0AE8C65}"/>
    <hyperlink ref="E3493" r:id="rId2359" xr:uid="{2DA303E4-B12A-764B-9717-C500B5D4B99D}"/>
    <hyperlink ref="Q3493" r:id="rId2360" xr:uid="{9ECB7E79-5B1B-0041-9D6C-33C5A74510D8}"/>
    <hyperlink ref="Q3494" r:id="rId2361" xr:uid="{7194B26E-8419-5240-8420-0E18BD668B1D}"/>
    <hyperlink ref="Q3492" r:id="rId2362" xr:uid="{D0293082-79F4-7D4A-98A9-23948439D8C2}"/>
    <hyperlink ref="Q3489" r:id="rId2363" xr:uid="{3191EFB6-7078-7C44-9FB4-CA9DF1050A7F}"/>
    <hyperlink ref="E3488" r:id="rId2364" xr:uid="{BA2217EF-B8A3-1941-AD30-E8D81FD9B635}"/>
    <hyperlink ref="Q3488" r:id="rId2365" xr:uid="{2ED2F05A-3461-1540-BE6F-1B12AAC0BB30}"/>
    <hyperlink ref="Q3485" r:id="rId2366" xr:uid="{F6C9F0F6-3495-4C45-BA71-6FA38E777E55}"/>
    <hyperlink ref="E3483" r:id="rId2367" xr:uid="{CDF729AF-E319-0041-B0B0-6A29B852F4E7}"/>
    <hyperlink ref="Q3483" r:id="rId2368" xr:uid="{6B2E85E5-0DDA-A94E-82F2-572EB38438A0}"/>
    <hyperlink ref="Q3486" r:id="rId2369" xr:uid="{7BD3B9B8-BC83-F64D-A2FF-D66C3FA10D50}"/>
    <hyperlink ref="Q3484" r:id="rId2370" xr:uid="{A0559227-1E7C-A247-BA7E-5491FA62AFB8}"/>
    <hyperlink ref="E3487" r:id="rId2371" xr:uid="{15C7D4A7-E8DC-EA4A-840E-13500580214A}"/>
    <hyperlink ref="Q3487" r:id="rId2372" xr:uid="{3EAEB6C5-3706-AC4E-AFDF-64266A18DF4E}"/>
    <hyperlink ref="E3482" r:id="rId2373" xr:uid="{D499E80B-A0C4-D84E-98FE-BCE69B200FF3}"/>
    <hyperlink ref="Q3482" r:id="rId2374" xr:uid="{F0F4F253-1485-6F46-BE89-028B9B833830}"/>
    <hyperlink ref="Q3481" r:id="rId2375" xr:uid="{440F9E3D-E29C-714A-99E9-A6FFE72739C3}"/>
    <hyperlink ref="E3480" r:id="rId2376" xr:uid="{129EDDAB-A788-0D4A-AFAC-A48E4AB0E98A}"/>
    <hyperlink ref="Q3480" r:id="rId2377" xr:uid="{7CD8EBBB-0971-2A42-9141-12A40CE0EADA}"/>
    <hyperlink ref="E3478" r:id="rId2378" xr:uid="{F9466132-63F9-0448-A248-07398D27B583}"/>
    <hyperlink ref="Q3478" r:id="rId2379" xr:uid="{C8B9D957-2D7D-AC40-9EAD-8FB1FFFAE42E}"/>
    <hyperlink ref="Q3476" r:id="rId2380" xr:uid="{5C08E5F3-5305-8541-B51E-0D777AAC5329}"/>
    <hyperlink ref="E3477" r:id="rId2381" xr:uid="{523C17C3-03BC-AD46-BA86-9B02A3250688}"/>
    <hyperlink ref="Q3477" r:id="rId2382" xr:uid="{3E37C989-A9FB-B647-B220-6F49E9BA0EE8}"/>
    <hyperlink ref="Q3474" r:id="rId2383" xr:uid="{1F176432-CE9D-0C41-BE65-3DE3D1C6F8C3}"/>
    <hyperlink ref="E3473" r:id="rId2384" xr:uid="{A09972BE-1FB0-A947-B7D8-D7EED0E691E7}"/>
    <hyperlink ref="Q3473" r:id="rId2385" xr:uid="{B0C5AC6B-C1D2-5F4D-B13D-0851EA4FC30A}"/>
    <hyperlink ref="E3470" r:id="rId2386" xr:uid="{FB34F153-8357-7646-9867-11C35780B5D4}"/>
    <hyperlink ref="Q3470" r:id="rId2387" xr:uid="{00E96BF2-5CB2-0341-A4DF-EC8AE8DCD597}"/>
    <hyperlink ref="Q3472" r:id="rId2388" xr:uid="{FB33BCE0-CC86-A149-802B-1D94FE68B70A}"/>
    <hyperlink ref="Q3467" r:id="rId2389" xr:uid="{865D51B4-28B7-474F-BC21-BC310CEBA793}"/>
    <hyperlink ref="Q3468" r:id="rId2390" xr:uid="{89E71A64-CBE6-A842-AB9E-182CAC145A25}"/>
    <hyperlink ref="Q3469" r:id="rId2391" xr:uid="{709B845D-F395-9C40-B114-4803A871177B}"/>
    <hyperlink ref="Q3465" r:id="rId2392" xr:uid="{47DF1595-E2E2-4549-829D-C3E97A79F8DC}"/>
    <hyperlink ref="E3466" r:id="rId2393" xr:uid="{1BEFC006-5F6E-BB47-9774-01E3D493A7A1}"/>
    <hyperlink ref="Q3466" r:id="rId2394" xr:uid="{7EABFCAB-E071-1247-B616-921E6555B79D}"/>
    <hyperlink ref="Q3464" r:id="rId2395" xr:uid="{7868102F-D5DC-1D43-8D45-E49775353723}"/>
    <hyperlink ref="E3459" r:id="rId2396" xr:uid="{E778096C-5776-BB46-B58B-ECB64ED2D71B}"/>
    <hyperlink ref="Q3459" r:id="rId2397" xr:uid="{725ABD92-F944-7242-8AF8-158EDCA5CB85}"/>
    <hyperlink ref="E3462" r:id="rId2398" xr:uid="{0C518114-3F2A-DA42-944D-4E013C3C1F26}"/>
    <hyperlink ref="Q3462" r:id="rId2399" xr:uid="{32F4DC81-474F-9444-9FBE-EC49A8F8D361}"/>
    <hyperlink ref="E3463" r:id="rId2400" xr:uid="{E62A7DF6-F0CC-C847-8B06-9803464463DF}"/>
    <hyperlink ref="Q3463" r:id="rId2401" xr:uid="{22289BA9-66DB-7A4F-AEEE-DD847C01378A}"/>
    <hyperlink ref="E3461" r:id="rId2402" xr:uid="{5A217075-0539-624C-9945-4F33A3D4CEF3}"/>
    <hyperlink ref="Q3461" r:id="rId2403" xr:uid="{2919175D-B550-6442-8720-B638F1683B27}"/>
    <hyperlink ref="E3455" r:id="rId2404" xr:uid="{3ED57FE6-1DCF-634B-AD47-14EBDC067C9E}"/>
    <hyperlink ref="Q3455" r:id="rId2405" xr:uid="{2A9C6C72-BD54-8B44-8B60-6BFF3743F287}"/>
    <hyperlink ref="E3456" r:id="rId2406" xr:uid="{D72F0813-4D93-944C-B759-426A1F7D52BD}"/>
    <hyperlink ref="Q3456" r:id="rId2407" xr:uid="{756E4A1B-9AFF-4348-B5A4-3D0E854D2F78}"/>
    <hyperlink ref="E3460" r:id="rId2408" xr:uid="{AB2FC8C9-FC65-0047-89EF-C0CA6683E24B}"/>
    <hyperlink ref="Q3460" r:id="rId2409" xr:uid="{8F7C2414-F4E0-CF4D-8040-92A241803408}"/>
    <hyperlink ref="Q3457" r:id="rId2410" xr:uid="{3A6054AF-EAD3-804C-845E-D9E10DA03782}"/>
    <hyperlink ref="E3458" r:id="rId2411" xr:uid="{9FBEB320-F6A6-674E-8206-E248D8AE1177}"/>
    <hyperlink ref="Q3458" r:id="rId2412" xr:uid="{5859B745-D321-6049-9AF8-B8577E028D39}"/>
    <hyperlink ref="Q3453" r:id="rId2413" xr:uid="{5B106746-241F-1749-996F-D25A7FBFA2D8}"/>
    <hyperlink ref="Q3454" r:id="rId2414" xr:uid="{C289D301-8DDB-B249-A7E4-707B7ED525AE}"/>
    <hyperlink ref="Q3450" r:id="rId2415" xr:uid="{56746107-ED58-2F4B-9C5B-C4BA6FA3252E}"/>
    <hyperlink ref="Q3451" r:id="rId2416" xr:uid="{D782E487-A1F3-B346-9684-0CCCE960900D}"/>
    <hyperlink ref="Q3452" r:id="rId2417" xr:uid="{C5FF5F0A-9894-0F42-9906-147CCF45DD93}"/>
    <hyperlink ref="E3446" r:id="rId2418" xr:uid="{2DE9C294-773E-DE4F-91A0-320201542B5B}"/>
    <hyperlink ref="Q3446" r:id="rId2419" xr:uid="{B3E935D7-B878-AC44-9084-184B19F10FEF}"/>
    <hyperlink ref="Q3449" r:id="rId2420" xr:uid="{40CCBA3D-B7F3-7A45-8FF2-FB3A44494476}"/>
    <hyperlink ref="Q3448" r:id="rId2421" xr:uid="{93E56681-5486-3D42-B1C0-05C644A32C92}"/>
    <hyperlink ref="E3445" r:id="rId2422" xr:uid="{29578AFE-67C7-224B-AE56-6D39912EF06B}"/>
    <hyperlink ref="Q3445" r:id="rId2423" xr:uid="{094F9F76-4463-4D4E-8D5A-23851537D8E5}"/>
    <hyperlink ref="Q3444" r:id="rId2424" xr:uid="{1F01D869-1C71-9A44-9376-1560224B38C6}"/>
    <hyperlink ref="Q3443" r:id="rId2425" xr:uid="{02BFBC3E-3462-9D48-BA3C-A100EF36EFC2}"/>
    <hyperlink ref="E3441" r:id="rId2426" xr:uid="{0771D468-7A31-C347-94D7-E00195B45DEC}"/>
    <hyperlink ref="Q3441" r:id="rId2427" xr:uid="{15887117-9936-2A4C-B0B2-13D0B3570E50}"/>
    <hyperlink ref="Q3442" r:id="rId2428" xr:uid="{BA19BA5B-8A60-0F4F-87B8-338998934B44}"/>
    <hyperlink ref="Q3439" r:id="rId2429" xr:uid="{169B6D41-7761-3C44-9656-5E238A39114F}"/>
    <hyperlink ref="Q3440" r:id="rId2430" xr:uid="{CCB98DAF-A968-DB49-9980-77276840C466}"/>
    <hyperlink ref="E3438" r:id="rId2431" xr:uid="{982ECE9F-5E57-6D47-988B-63DBA84DC39F}"/>
    <hyperlink ref="Q3438" r:id="rId2432" xr:uid="{B2CB3213-F46F-D448-8FF0-4C4A0D5422AE}"/>
    <hyperlink ref="E3436" r:id="rId2433" xr:uid="{679A28B0-F42C-0741-94AC-405D6D9160C9}"/>
    <hyperlink ref="Q3436" r:id="rId2434" xr:uid="{F7CA3064-54B6-9E40-A4FE-EA155FC68A5E}"/>
    <hyperlink ref="Q3437" r:id="rId2435" xr:uid="{D29328B4-A644-B946-9701-330E8202556C}"/>
    <hyperlink ref="E3435" r:id="rId2436" xr:uid="{B368A77C-078E-1247-89A9-AA270A5CD9AE}"/>
    <hyperlink ref="Q3435" r:id="rId2437" xr:uid="{19301DD9-4384-1842-8BDB-3610B7DEA804}"/>
    <hyperlink ref="Q3432" r:id="rId2438" xr:uid="{0F3404CB-AEA8-3348-8AC6-BC8EFF15A6DD}"/>
    <hyperlink ref="Q3433" r:id="rId2439" xr:uid="{3C296077-98B9-E140-8CE5-4AC9237DA565}"/>
    <hyperlink ref="E3434" r:id="rId2440" xr:uid="{7AC8BE27-9CDD-444B-9D6A-501348923B80}"/>
    <hyperlink ref="Q3434" r:id="rId2441" xr:uid="{CF291BAC-EAA3-3A47-BE2C-CCF92ADB7C79}"/>
    <hyperlink ref="E3427" r:id="rId2442" xr:uid="{CBC52CC8-4D54-EE45-BF50-9DBF85FF5659}"/>
    <hyperlink ref="Q3427" r:id="rId2443" xr:uid="{3F2A4DFF-4BA5-4547-BD54-20C62431DBB4}"/>
    <hyperlink ref="E3431" r:id="rId2444" xr:uid="{F813A6B9-4DDE-8948-AF98-41E18C4AE43D}"/>
    <hyperlink ref="Q3431" r:id="rId2445" xr:uid="{7D55E164-CAC0-B547-AA01-E9F8D863C7BE}"/>
    <hyperlink ref="E3428" r:id="rId2446" xr:uid="{A0FB4A80-F57A-6048-99A0-6E0324F8631E}"/>
    <hyperlink ref="Q3428" r:id="rId2447" xr:uid="{4CFCF79F-AC60-D446-8AE2-C0EA162F7FBE}"/>
    <hyperlink ref="Q3429" r:id="rId2448" xr:uid="{C71BD4CA-A1CA-2644-B220-5FE0E641E0CF}"/>
    <hyperlink ref="E3430" r:id="rId2449" xr:uid="{3969F43E-BAC2-9D40-B1AD-6C24BFE720EC}"/>
    <hyperlink ref="Q3430" r:id="rId2450" xr:uid="{3E2D9300-FC23-6B4F-82E5-2C8449665694}"/>
    <hyperlink ref="E3425" r:id="rId2451" xr:uid="{3721A145-1DF3-B046-8F3C-DCF37F9AC3A0}"/>
    <hyperlink ref="Q3425" r:id="rId2452" xr:uid="{23CB834A-DC51-BE4B-8B4A-282E98E7EDF6}"/>
    <hyperlink ref="Q3426" r:id="rId2453" xr:uid="{BBE54171-07B8-5846-980E-A864CBFFE646}"/>
    <hyperlink ref="E3424" r:id="rId2454" xr:uid="{6032DD9F-0B70-0748-A222-92ACE4CA1479}"/>
    <hyperlink ref="Q3424" r:id="rId2455" xr:uid="{B5F34A71-6C29-DA4B-BFDC-71ADE7C5689F}"/>
    <hyperlink ref="E3423" r:id="rId2456" xr:uid="{A58AE63F-EFD6-9D46-AAE8-DA3F35842CFE}"/>
    <hyperlink ref="Q3423" r:id="rId2457" xr:uid="{D07ED773-9938-8246-B6E5-F0BED46B375E}"/>
    <hyperlink ref="E3422" r:id="rId2458" xr:uid="{15D73C04-A6FF-1C4F-9B38-5CD0A90144A0}"/>
    <hyperlink ref="Q3422" r:id="rId2459" xr:uid="{6A45DF0A-7308-4D47-85EE-903A8A2C7D96}"/>
    <hyperlink ref="E3421" r:id="rId2460" xr:uid="{784167E3-CCA1-1140-A8B2-895EA01FC6B3}"/>
    <hyperlink ref="Q3421" r:id="rId2461" xr:uid="{BD4862CF-DFA9-814B-816B-928B08AD8340}"/>
    <hyperlink ref="E3418" r:id="rId2462" xr:uid="{06A938F2-CEAD-3C49-A0BB-7F529A1E67B9}"/>
    <hyperlink ref="Q3418" r:id="rId2463" xr:uid="{ABA5B81A-E5E9-F54E-8701-66428068D421}"/>
    <hyperlink ref="E3420" r:id="rId2464" xr:uid="{BA44CD86-5EDE-4C45-BC58-9B3FC522921D}"/>
    <hyperlink ref="Q3420" r:id="rId2465" xr:uid="{DFFD4A23-F871-394C-8D3D-026E05FED392}"/>
    <hyperlink ref="E3419" r:id="rId2466" xr:uid="{30E61CB9-B260-C143-9379-B971453F7D65}"/>
    <hyperlink ref="Q3419" r:id="rId2467" xr:uid="{7F42FDB6-7D47-BD47-B7C7-BD1BD82B32E9}"/>
    <hyperlink ref="E3414" r:id="rId2468" xr:uid="{3CBEB702-6A70-BD4A-8CE6-D77A4BBA23AF}"/>
    <hyperlink ref="Q3414" r:id="rId2469" xr:uid="{68EA6C3F-7D05-194E-9314-0ED450DD9A5D}"/>
    <hyperlink ref="E3415" r:id="rId2470" xr:uid="{96410C39-9E4A-F648-B949-24AD9E99FD38}"/>
    <hyperlink ref="Q3415" r:id="rId2471" xr:uid="{8DB3F710-D474-4A42-9121-75F640E82989}"/>
    <hyperlink ref="Q3417" r:id="rId2472" xr:uid="{C0A3293D-1326-D041-AD12-722E269E91D1}"/>
    <hyperlink ref="E3413" r:id="rId2473" xr:uid="{3D58260E-6799-9E4F-808D-FD65E6209DF8}"/>
    <hyperlink ref="Q3413" r:id="rId2474" xr:uid="{EB3A691C-59BA-FE40-96B1-B0A552ABB9EF}"/>
    <hyperlink ref="E3416" r:id="rId2475" xr:uid="{D5AB250C-9F1F-B642-ADF9-EDB45D250BE5}"/>
    <hyperlink ref="Q3416" r:id="rId2476" xr:uid="{B8CBCD49-1368-DC41-81F7-2535BC762670}"/>
    <hyperlink ref="Q3412" r:id="rId2477" xr:uid="{0626F815-E0E0-A940-B2B5-213E3817ACF6}"/>
    <hyperlink ref="Q3409" r:id="rId2478" xr:uid="{41085319-DA22-0F41-96F4-47CA01401CE4}"/>
    <hyperlink ref="Q3410" r:id="rId2479" xr:uid="{54E76733-7C50-5D4E-B424-8D582DFDBD43}"/>
    <hyperlink ref="E3411" r:id="rId2480" xr:uid="{B664F146-C65F-384C-B0C5-58F3B05E9802}"/>
    <hyperlink ref="Q3411" r:id="rId2481" xr:uid="{C07B42BA-72D8-5D41-BBBB-C6C14BC3D948}"/>
    <hyperlink ref="E3405" r:id="rId2482" xr:uid="{9FED57BF-3F87-9F47-8F77-CEA977BC7A66}"/>
    <hyperlink ref="Q3405" r:id="rId2483" xr:uid="{E8160154-1371-3F47-AC40-21F5348D7510}"/>
    <hyperlink ref="Q3408" r:id="rId2484" xr:uid="{3F7C4C4A-BF07-B14E-B409-76D1CAB89431}"/>
    <hyperlink ref="Q3406" r:id="rId2485" xr:uid="{3F327C3A-AA4D-044E-A83F-476EC4DE46AB}"/>
    <hyperlink ref="E3407" r:id="rId2486" xr:uid="{1C605356-61A3-984F-886F-E6B773BE46D4}"/>
    <hyperlink ref="Q3407" r:id="rId2487" xr:uid="{121C4A47-6352-A649-8425-8D2FD675168F}"/>
    <hyperlink ref="Q3401" r:id="rId2488" xr:uid="{9A2633A0-809D-5B44-BC70-4C34D56E9AB8}"/>
    <hyperlink ref="E3403" r:id="rId2489" xr:uid="{27FC1E2E-5F4E-3948-8723-1C577500D102}"/>
    <hyperlink ref="Q3403" r:id="rId2490" xr:uid="{AD20DFE6-FBF5-4941-BCB1-2DB79F754585}"/>
    <hyperlink ref="E3400" r:id="rId2491" xr:uid="{D4A66E43-0951-BD43-ADE5-05DAFF872B61}"/>
    <hyperlink ref="Q3400" r:id="rId2492" xr:uid="{EA056E3F-46FA-F34C-9F0B-B6B725E9C52D}"/>
    <hyperlink ref="E3402" r:id="rId2493" xr:uid="{994107C5-68F4-924D-8E27-1FB57374E3E7}"/>
    <hyperlink ref="Q3402" r:id="rId2494" xr:uid="{56BEC581-DD57-F843-8B11-316BE842A7E7}"/>
    <hyperlink ref="Q3404" r:id="rId2495" xr:uid="{41A6D902-CB1F-C444-9F38-144007573109}"/>
    <hyperlink ref="Q3399" r:id="rId2496" xr:uid="{F6924EEA-7263-5846-BDCA-029A9D087DCE}"/>
    <hyperlink ref="E3395" r:id="rId2497" xr:uid="{61132BD2-5B54-2346-97C0-F3DD9F2287B6}"/>
    <hyperlink ref="Q3395" r:id="rId2498" xr:uid="{90BAA7F5-7052-7247-AC16-A078CB0EEC83}"/>
    <hyperlink ref="Q3397" r:id="rId2499" xr:uid="{849B75F3-6DAD-1D43-B3CE-726A1BF30AF8}"/>
    <hyperlink ref="E3398" r:id="rId2500" xr:uid="{1BFDED29-1B11-E84A-8718-756069F86F86}"/>
    <hyperlink ref="Q3398" r:id="rId2501" xr:uid="{5F59AD08-EC05-B747-9573-DA950CA57BCE}"/>
    <hyperlink ref="E3396" r:id="rId2502" xr:uid="{77170B3A-F6DB-A44A-B719-7590746A7838}"/>
    <hyperlink ref="Q3396" r:id="rId2503" xr:uid="{EB7E9766-F803-1645-A449-EF4BE256A23A}"/>
    <hyperlink ref="E3393" r:id="rId2504" xr:uid="{194CE839-AC1E-9F47-933D-2AF637255CA4}"/>
    <hyperlink ref="Q3393" r:id="rId2505" xr:uid="{78B8A4C5-7575-C149-879F-6915F1B3CAB0}"/>
    <hyperlink ref="E3394" r:id="rId2506" xr:uid="{8585A638-C6B0-E442-A2ED-05120E63D92F}"/>
    <hyperlink ref="Q3394" r:id="rId2507" xr:uid="{052F52E8-3036-4349-8FF2-A1A7E5BC4477}"/>
    <hyperlink ref="Q3388" r:id="rId2508" xr:uid="{3DB4B0B1-B30B-084E-9E81-03B010085CC4}"/>
    <hyperlink ref="Q3389" r:id="rId2509" xr:uid="{01F264BC-7A0F-874C-9FC3-83D133E3E06B}"/>
    <hyperlink ref="Q3391" r:id="rId2510" xr:uid="{062FC605-E066-AB4A-B379-5C9CDDD8030D}"/>
    <hyperlink ref="Q3390" r:id="rId2511" xr:uid="{46095A3A-2375-0A4B-B611-BD365DDF6648}"/>
    <hyperlink ref="Q3392" r:id="rId2512" xr:uid="{F5FEC365-92C6-9544-BBCA-D69AD6016062}"/>
    <hyperlink ref="E3387" r:id="rId2513" xr:uid="{25B07302-398A-1144-83C0-8D152525BC56}"/>
    <hyperlink ref="Q3387" r:id="rId2514" xr:uid="{87B46EB9-02F1-3443-BCB9-C5135D336FAA}"/>
    <hyperlink ref="Q3385" r:id="rId2515" xr:uid="{380257F2-77B6-784C-AB39-3384991CA96C}"/>
    <hyperlink ref="E3386" r:id="rId2516" xr:uid="{7F23CEE1-6E72-C94F-AC48-F139935BBA91}"/>
    <hyperlink ref="Q3386" r:id="rId2517" xr:uid="{D366E3A5-840D-E24F-90E6-629CB5635D0B}"/>
    <hyperlink ref="E3384" r:id="rId2518" xr:uid="{D83487FA-2739-8647-A4E8-0FD40D6CEA97}"/>
    <hyperlink ref="Q3384" r:id="rId2519" xr:uid="{E3379DB8-8C87-E044-8502-BDCC6F33720E}"/>
    <hyperlink ref="E3383" r:id="rId2520" xr:uid="{5512D796-4890-9B49-9DCC-00AC345F48A0}"/>
    <hyperlink ref="Q3383" r:id="rId2521" xr:uid="{011FD660-EA77-3D47-9479-BCC616CD16B9}"/>
    <hyperlink ref="Q3381" r:id="rId2522" xr:uid="{8998ABEC-25FF-3049-B434-4A77EC37D43F}"/>
    <hyperlink ref="E3382" r:id="rId2523" xr:uid="{86363D92-69BE-554C-85B5-F1E7C6F5CE5E}"/>
    <hyperlink ref="Q3382" r:id="rId2524" xr:uid="{E086928C-157B-514D-B81D-B565B03E87CC}"/>
    <hyperlink ref="E3380" r:id="rId2525" xr:uid="{A1EF832B-A020-8A44-BC4D-3DEC1D97B95E}"/>
    <hyperlink ref="Q3380" r:id="rId2526" xr:uid="{34D3DBAD-ADA2-F247-A2AA-A01F18AB011C}"/>
    <hyperlink ref="Q3377" r:id="rId2527" xr:uid="{D35AA441-8D1F-9543-BEF3-A7C13B3E7ACB}"/>
    <hyperlink ref="E3378" r:id="rId2528" xr:uid="{E4BE73AB-23EC-444F-A5D4-A2224554041C}"/>
    <hyperlink ref="Q3378" r:id="rId2529" xr:uid="{F5475AB5-42D4-514C-92B7-ED62C90E9E68}"/>
    <hyperlink ref="Q3379" r:id="rId2530" xr:uid="{3B11F5D7-84A5-4948-B8A2-7175AD4D232E}"/>
    <hyperlink ref="E3374" r:id="rId2531" xr:uid="{CAA5DB94-C530-344E-99A6-D3BC3A836E1A}"/>
    <hyperlink ref="Q3374" r:id="rId2532" xr:uid="{8C3C0296-6214-7747-BD8C-44CF07F9109B}"/>
    <hyperlink ref="Q3376" r:id="rId2533" xr:uid="{0795D55D-5603-2A44-B765-3B332CFBAA93}"/>
    <hyperlink ref="Q3375" r:id="rId2534" xr:uid="{F22A88FC-DA4F-EE49-BB25-7B4972289B5C}"/>
    <hyperlink ref="Q3371" r:id="rId2535" xr:uid="{C62C2345-CBA1-5446-90E0-FD729A8E5C09}"/>
    <hyperlink ref="E3373" r:id="rId2536" xr:uid="{E3935C45-40EE-034B-9000-447DF575BEB5}"/>
    <hyperlink ref="Q3373" r:id="rId2537" xr:uid="{F640B574-7605-B643-ADE1-A05AF2BC6531}"/>
    <hyperlink ref="E3372" r:id="rId2538" xr:uid="{0CC6B651-7BCC-3E4B-B050-037F9258F80E}"/>
    <hyperlink ref="Q3372" r:id="rId2539" xr:uid="{1CFEF96E-15D4-7E42-AEC2-B7B76337F172}"/>
    <hyperlink ref="Q3370" r:id="rId2540" xr:uid="{2D8F0198-D7EB-5940-8546-33DE4FD940B0}"/>
    <hyperlink ref="Q3369" r:id="rId2541" xr:uid="{C9B9F36A-C3DA-4442-8861-E6524D0A1347}"/>
    <hyperlink ref="E7544" r:id="rId2542" xr:uid="{443A9580-8765-F946-B50C-511FCA60C5AA}"/>
    <hyperlink ref="Q7544" r:id="rId2543" xr:uid="{8CFD0461-56DC-BE4B-9FA5-DA0328F66A5E}"/>
    <hyperlink ref="Q7329" r:id="rId2544" xr:uid="{A588FE42-4996-2043-8C29-7469FA04293B}"/>
    <hyperlink ref="Q7314" r:id="rId2545" xr:uid="{12D26AFF-D64B-AC43-906A-5C187B013143}"/>
    <hyperlink ref="Q7101" r:id="rId2546" xr:uid="{523AF4E6-05ED-0341-8D53-0A6D93B6B3E6}"/>
    <hyperlink ref="Q6616" r:id="rId2547" xr:uid="{C824605E-6050-A94F-A3E2-AE61F28BDA00}"/>
    <hyperlink ref="Q6510" r:id="rId2548" xr:uid="{F5DB6D06-66FA-484B-A59A-43184BB2D9C9}"/>
    <hyperlink ref="Q5982" r:id="rId2549" xr:uid="{D85BFF99-A8C1-914E-B335-89F29958322A}"/>
    <hyperlink ref="Q3345" r:id="rId2550" xr:uid="{03F1CE6C-6142-D24F-A9E9-0C83C42450F8}"/>
    <hyperlink ref="Q3351" r:id="rId2551" xr:uid="{A87C96E4-BEDA-8F48-A790-39EEE18885AE}"/>
    <hyperlink ref="E3351" r:id="rId2552" xr:uid="{A76AB053-C200-5045-82C2-EB8DE08BA29E}"/>
    <hyperlink ref="Q3352" r:id="rId2553" xr:uid="{070E18AC-32EA-074E-80DF-70CB63C226FD}"/>
    <hyperlink ref="Q3353" r:id="rId2554" xr:uid="{46AC4F94-B8EB-844B-8B44-746A7C3AA3FC}"/>
    <hyperlink ref="E3353" r:id="rId2555" xr:uid="{3091D569-EAEE-F34D-9A67-DA69910DCC54}"/>
    <hyperlink ref="Q3350" r:id="rId2556" xr:uid="{CBA98E20-9D9F-CD4E-AC6C-C4F5BCE06742}"/>
    <hyperlink ref="Q3356" r:id="rId2557" xr:uid="{8CDA9078-0DCC-964F-B0E4-2C0219506AAB}"/>
    <hyperlink ref="E3356" r:id="rId2558" xr:uid="{54FA6780-0BDA-394B-AB07-37C701FE4E2B}"/>
    <hyperlink ref="Q3355" r:id="rId2559" xr:uid="{95857FE5-BC91-7840-B91A-6770787D632D}"/>
    <hyperlink ref="Q3354" r:id="rId2560" xr:uid="{00CD1CCE-3012-454E-A905-D31B2785152C}"/>
    <hyperlink ref="Q3358" r:id="rId2561" xr:uid="{68E8BB92-CBF9-6546-A7EB-91FB76CEDDDF}"/>
    <hyperlink ref="Q3360" r:id="rId2562" xr:uid="{0A6C4FD6-F8C7-FC49-81C8-36B61B62CB86}"/>
    <hyperlink ref="Q3359" r:id="rId2563" xr:uid="{98B62845-9402-5840-99AA-A3E62953DF76}"/>
    <hyperlink ref="Q3363" r:id="rId2564" xr:uid="{89108631-B8C6-F44F-B175-9F27BAA2FFF2}"/>
    <hyperlink ref="E3363" r:id="rId2565" xr:uid="{4DCE0ED3-03D9-2F46-A026-87E85BC13F15}"/>
    <hyperlink ref="Q3357" r:id="rId2566" xr:uid="{1CBFE611-B7D3-5849-9872-1723D44F6433}"/>
    <hyperlink ref="Q3368" r:id="rId2567" xr:uid="{9FC02EA3-9AAF-5741-BC40-315F13008D90}"/>
    <hyperlink ref="E3368" r:id="rId2568" xr:uid="{B9A672F7-59E5-E949-86AC-F490AB9D6AA6}"/>
    <hyperlink ref="Q3362" r:id="rId2569" xr:uid="{AED58B8D-747C-7D45-A7FF-C110B7AE0728}"/>
    <hyperlink ref="E3362" r:id="rId2570" xr:uid="{55A4F71B-C326-F644-BEB3-E4A14A630D48}"/>
    <hyperlink ref="Q3365" r:id="rId2571" xr:uid="{40854873-5B96-1240-A7F6-4E1A73245E35}"/>
    <hyperlink ref="Q3367" r:id="rId2572" xr:uid="{8FA60D72-ADFE-144B-B53C-8A879D70FA9A}"/>
    <hyperlink ref="Q3366" r:id="rId2573" xr:uid="{71767573-E560-2A48-96D4-DAD735B690F2}"/>
    <hyperlink ref="E3366" r:id="rId2574" xr:uid="{7F0A7D4A-0CA3-E74E-8437-73EAAF918E0D}"/>
    <hyperlink ref="Q3364" r:id="rId2575" xr:uid="{E99877C9-F733-2E46-9C53-D312EEBA8486}"/>
    <hyperlink ref="E3364" r:id="rId2576" xr:uid="{2D14A6B7-E7C4-1742-BC8C-E7B4A9397F09}"/>
    <hyperlink ref="Q5340" r:id="rId2577" xr:uid="{746DF35E-6796-4D4B-9160-4347440AA2C4}"/>
    <hyperlink ref="Q3931" r:id="rId2578" xr:uid="{7C949A36-0FD3-3C43-B98A-4FF2766592C9}"/>
    <hyperlink ref="E4122" r:id="rId2579" xr:uid="{5175CE98-4FF2-0148-9204-4365BC5FCB9A}"/>
    <hyperlink ref="Q4122" r:id="rId2580" xr:uid="{FD8D33A5-E654-394A-9D3D-0BB9390B1CD8}"/>
    <hyperlink ref="Q3887" r:id="rId2581" xr:uid="{3CFCD8AE-8ACC-F14B-B33B-1A279AD4B907}"/>
    <hyperlink ref="E3880" r:id="rId2582" xr:uid="{CC92C304-EB27-EB4B-B6CC-193B0FEA34BB}"/>
    <hyperlink ref="Q3880" r:id="rId2583" xr:uid="{0C1303CA-B37E-3144-977F-259754B01E9C}"/>
    <hyperlink ref="Q3514" r:id="rId2584" xr:uid="{E78ADC7E-E6CA-2F44-A6EC-D2071F72A216}"/>
    <hyperlink ref="E3624" r:id="rId2585" xr:uid="{32066B48-8F72-A346-9A03-0A87380A9164}"/>
    <hyperlink ref="Q3624" r:id="rId2586" xr:uid="{6516AC87-A3D6-324B-85B9-D8E94BC47BFF}"/>
    <hyperlink ref="E3647" r:id="rId2587" xr:uid="{0EF44E7D-C290-5148-9502-B5F956DDF3F5}"/>
    <hyperlink ref="Q3647" r:id="rId2588" xr:uid="{2EA0F1D8-509E-624C-8F7A-4DA28C976D55}"/>
    <hyperlink ref="E4117" r:id="rId2589" xr:uid="{7D331FEE-9F24-DC49-89E0-BD303DDF31DC}"/>
    <hyperlink ref="Q4117" r:id="rId2590" xr:uid="{6F69970E-0485-C547-8EAA-21358B701254}"/>
    <hyperlink ref="E3607" r:id="rId2591" xr:uid="{16FFA018-9119-C044-837A-D98FC19688B5}"/>
    <hyperlink ref="Q3607" r:id="rId2592" xr:uid="{D4E0E12F-D1ED-D945-9511-020D597AB9B9}"/>
    <hyperlink ref="Q4547" r:id="rId2593" xr:uid="{3F275C3E-D588-0846-B142-92626D1292C1}"/>
    <hyperlink ref="E4608" r:id="rId2594" xr:uid="{14698ECE-FEAD-E547-A23D-D57A6448F5EA}"/>
    <hyperlink ref="Q4608" r:id="rId2595" xr:uid="{160DFEA1-9092-9645-9AFC-3F8D0BB8DE52}"/>
    <hyperlink ref="Q4531" r:id="rId2596" xr:uid="{8055D512-9F67-914C-A896-15B2A4B7C8E1}"/>
    <hyperlink ref="Q2829" r:id="rId2597" xr:uid="{5055874A-63A7-1541-B913-711A5828AF1F}"/>
    <hyperlink ref="Q2871" r:id="rId2598" xr:uid="{1682183B-317C-3F4F-A71A-D0F3A6C7CE53}"/>
    <hyperlink ref="E2992" r:id="rId2599" xr:uid="{B4009B3D-7F9B-F54A-9F97-598FC70247DB}"/>
    <hyperlink ref="Q2992" r:id="rId2600" xr:uid="{49B492DF-99F1-0547-BDAC-4586777F863E}"/>
    <hyperlink ref="Q3037" r:id="rId2601" xr:uid="{7B666573-37FC-6342-9B49-34155ABC8243}"/>
    <hyperlink ref="E3065" r:id="rId2602" xr:uid="{B3D884C3-E747-DE49-820A-B0727F858AA5}"/>
    <hyperlink ref="Q3065" r:id="rId2603" xr:uid="{A7B82E9F-4722-2F48-A83A-E52A04C78C24}"/>
    <hyperlink ref="Q3225" r:id="rId2604" xr:uid="{627E7832-7841-434C-86FB-BED99AD82924}"/>
    <hyperlink ref="Q3292" r:id="rId2605" xr:uid="{4872890A-F561-C645-92F1-9F4DC841CE7B}"/>
    <hyperlink ref="Q3301" r:id="rId2606" xr:uid="{5B0F93EE-BC95-2543-9FD7-BC3F077EB902}"/>
    <hyperlink ref="Q2551" r:id="rId2607" xr:uid="{7D1452B7-A700-F14F-B9A7-1F763BFF8906}"/>
    <hyperlink ref="E2566" r:id="rId2608" xr:uid="{280DE9BD-C46A-244C-A874-E03ADC2D93B1}"/>
    <hyperlink ref="Q2566" r:id="rId2609" xr:uid="{7C7354A8-22DC-6F4E-B723-8AC76C6AC27E}"/>
    <hyperlink ref="Q2569" r:id="rId2610" xr:uid="{3457D395-9E03-E74F-9E01-801114BB1ED2}"/>
    <hyperlink ref="Q2581" r:id="rId2611" xr:uid="{61486EC9-85AC-724D-9DD8-F4B6C8C9C3C0}"/>
    <hyperlink ref="E2580" r:id="rId2612" xr:uid="{180A9747-AA7B-5C4A-8D99-2FA35814B678}"/>
    <hyperlink ref="Q2580" r:id="rId2613" xr:uid="{F8B34342-D6D1-1142-92E8-FDFE980E98A6}"/>
    <hyperlink ref="Q2591" r:id="rId2614" xr:uid="{8ECBE8D8-A414-EC4C-A255-8B436CB979E2}"/>
    <hyperlink ref="Q2590" r:id="rId2615" xr:uid="{C7DB0D10-3ECF-F949-B783-0BC9D95B223B}"/>
    <hyperlink ref="Q2595" r:id="rId2616" xr:uid="{FFAEC531-3EC4-3E48-AC5C-6C64B9B8611E}"/>
    <hyperlink ref="Q2596" r:id="rId2617" xr:uid="{65657EF5-12E2-2145-A361-CF0E09789C3B}"/>
    <hyperlink ref="Q2603" r:id="rId2618" xr:uid="{C83EF06A-85A9-1341-8D2A-0901EEAD566D}"/>
    <hyperlink ref="Q2602" r:id="rId2619" xr:uid="{95A92DDB-3C6C-D64D-9C3D-2D3A64D27ADB}"/>
    <hyperlink ref="Q2605" r:id="rId2620" xr:uid="{AF621BC4-5BB9-D94B-85F3-15D768509EA9}"/>
    <hyperlink ref="Q2604" r:id="rId2621" xr:uid="{B9804599-4390-794E-AA69-75AD7F5FB526}"/>
    <hyperlink ref="Q2608" r:id="rId2622" xr:uid="{074FB687-D22F-7546-9CB3-C5816436CF70}"/>
    <hyperlink ref="E2617" r:id="rId2623" xr:uid="{E75A5569-009F-1A4F-9918-ED00EBF498BA}"/>
    <hyperlink ref="Q2617" r:id="rId2624" xr:uid="{2E1EDB3F-DB39-154D-8C18-FACA6F6A034A}"/>
    <hyperlink ref="Q2620" r:id="rId2625" xr:uid="{86F3CA5B-729F-BF45-B7F9-1A5565396BC8}"/>
    <hyperlink ref="Q2623" r:id="rId2626" xr:uid="{169749F2-C6B3-1C4D-9D82-392C83A3C777}"/>
    <hyperlink ref="E2628" r:id="rId2627" xr:uid="{FC216E74-FE4E-1E47-B8BD-33CC6FC5465F}"/>
    <hyperlink ref="Q2628" r:id="rId2628" xr:uid="{D3DFB032-BC0D-1543-A251-B5D97B9FE488}"/>
    <hyperlink ref="E2636" r:id="rId2629" xr:uid="{BC514D24-ABCF-EB49-97D3-079D9CF61B87}"/>
    <hyperlink ref="Q2636" r:id="rId2630" xr:uid="{639227D9-CF51-CE46-97BD-9E80D535779E}"/>
    <hyperlink ref="E2639" r:id="rId2631" xr:uid="{A596E0B5-6D96-7244-BE22-0CCF31795B2A}"/>
    <hyperlink ref="Q2639" r:id="rId2632" xr:uid="{C95541A6-50F6-2145-B60D-2101E9324A1C}"/>
    <hyperlink ref="Q2643" r:id="rId2633" xr:uid="{DD830F92-C32A-684D-84D7-C5E37129213D}"/>
    <hyperlink ref="E2646" r:id="rId2634" xr:uid="{31599E45-B89A-B744-A8A0-4A78FEEE43A8}"/>
    <hyperlink ref="Q2646" r:id="rId2635" xr:uid="{C710FD96-22A0-0844-A094-20FAD553EE3C}"/>
    <hyperlink ref="E2650" r:id="rId2636" xr:uid="{CBB60F7D-B57A-DA46-AE54-C4A9C4395D99}"/>
    <hyperlink ref="Q2650" r:id="rId2637" xr:uid="{62607115-7714-F549-913D-F0AC86BEDB4E}"/>
    <hyperlink ref="E2652" r:id="rId2638" xr:uid="{2F37368D-2228-AF47-9DA8-7C81E93328DC}"/>
    <hyperlink ref="Q2652" r:id="rId2639" xr:uid="{18686241-D197-0041-8B1D-5726FBA292BE}"/>
    <hyperlink ref="E2656" r:id="rId2640" xr:uid="{4DD55493-759E-0E4C-B6C1-FD25FA055D26}"/>
    <hyperlink ref="Q2668" r:id="rId2641" xr:uid="{D1492E6B-420F-2741-9A16-DC4652F0F43B}"/>
    <hyperlink ref="E2665" r:id="rId2642" xr:uid="{2021F27A-F4D7-E448-93D2-99B6E718439C}"/>
    <hyperlink ref="Q2665" r:id="rId2643" xr:uid="{2299A76B-0DEF-EA43-80C5-3A5650DD97D3}"/>
    <hyperlink ref="E2672" r:id="rId2644" xr:uid="{0B9F06FD-037A-3040-A023-644DE6C50D6D}"/>
    <hyperlink ref="Q2672" r:id="rId2645" xr:uid="{FB5C8060-7EA1-6641-88B1-CB460E4E8921}"/>
    <hyperlink ref="E2673" r:id="rId2646" xr:uid="{388418D8-4D88-DD45-B325-F244D82BF61A}"/>
    <hyperlink ref="Q2673" r:id="rId2647" xr:uid="{BF057F3F-8202-BB4A-A262-9152E70C9E47}"/>
    <hyperlink ref="Q2678" r:id="rId2648" xr:uid="{2B1AF7AB-EE49-5649-95B2-B0A0FB47E75A}"/>
    <hyperlink ref="E2680" r:id="rId2649" xr:uid="{3A54D52C-E081-7E4D-BC2F-B147DA0EEABC}"/>
    <hyperlink ref="Q2680" r:id="rId2650" xr:uid="{4A24DF2C-389B-8E43-816B-ED5AA7B2356D}"/>
    <hyperlink ref="E2681" r:id="rId2651" xr:uid="{ED785DBE-DE1D-134F-B4B8-8BD7026E5CFC}"/>
    <hyperlink ref="Q2681" r:id="rId2652" xr:uid="{0A4B79B4-6182-CF4B-9C42-36F45ACE2A30}"/>
    <hyperlink ref="E2684" r:id="rId2653" xr:uid="{C1264974-FBB0-F24D-8F5D-314F811B4487}"/>
    <hyperlink ref="Q2684" r:id="rId2654" xr:uid="{F0D6D237-A6A1-1347-BAA7-7142E562CDA3}"/>
    <hyperlink ref="Q2696" r:id="rId2655" xr:uid="{03AB4A57-7091-2342-9276-BF87B727D6F5}"/>
    <hyperlink ref="E2700" r:id="rId2656" xr:uid="{1ADD6CC6-144B-9242-A043-0A7E8FD32A12}"/>
    <hyperlink ref="Q2700" r:id="rId2657" xr:uid="{882624E5-660F-F048-8943-BC713C1D8B9A}"/>
    <hyperlink ref="E2715" r:id="rId2658" xr:uid="{65A66E7A-187E-564B-A229-93B90F2005A9}"/>
    <hyperlink ref="Q2715" r:id="rId2659" xr:uid="{69B334D5-D029-EF47-B787-FD4D5AEFFD19}"/>
    <hyperlink ref="E2739" r:id="rId2660" xr:uid="{1D2B2EB6-2C22-D547-85E0-398B5AF497BD}"/>
    <hyperlink ref="Q2739" r:id="rId2661" xr:uid="{9B3F4350-2291-4045-9AC4-74E50363655C}"/>
    <hyperlink ref="Q2750" r:id="rId2662" xr:uid="{823822D9-0C1B-5F4E-866A-F7F1708A7EF8}"/>
    <hyperlink ref="E2756" r:id="rId2663" xr:uid="{D5679CAE-1491-D44B-9B06-B2EAC1D694AC}"/>
    <hyperlink ref="Q2756" r:id="rId2664" xr:uid="{8E0B0FF4-81B4-B34F-93BF-B9A98BE211DC}"/>
    <hyperlink ref="E2757" r:id="rId2665" xr:uid="{52B22CE4-E4B9-BD49-9FDB-AC180E68B968}"/>
    <hyperlink ref="Q2757" r:id="rId2666" xr:uid="{DEF2AAEC-A104-E048-8680-B2887F9E5C23}"/>
    <hyperlink ref="E2758" r:id="rId2667" xr:uid="{B9BC00B8-C1F8-DD4A-94DC-15380E27330C}"/>
    <hyperlink ref="Q2758" r:id="rId2668" xr:uid="{FF22CD94-5653-8C4E-8C42-EABDAE3BF186}"/>
    <hyperlink ref="E2764" r:id="rId2669" xr:uid="{7B8FF114-EC2F-6942-A090-7E81FD6743AF}"/>
    <hyperlink ref="Q2764" r:id="rId2670" xr:uid="{42D6D9D0-ECDE-8242-9958-DD024781AB75}"/>
    <hyperlink ref="E2772" r:id="rId2671" xr:uid="{A84DD863-E64A-2C49-AE2E-CB968982B101}"/>
    <hyperlink ref="Q2772" r:id="rId2672" xr:uid="{5AF6119F-0357-8D4B-884D-92DFD1BE6FE2}"/>
    <hyperlink ref="E2775" r:id="rId2673" xr:uid="{F1BB61CB-E13F-344A-813F-9666780FE8C5}"/>
    <hyperlink ref="Q2775" r:id="rId2674" xr:uid="{9D63BBE6-8D0D-2147-AEFC-E541DB5F02A1}"/>
    <hyperlink ref="E2777" r:id="rId2675" xr:uid="{67FC90E5-9323-654B-B978-1D97246409D4}"/>
    <hyperlink ref="Q2777" r:id="rId2676" xr:uid="{E2881F7F-8535-5C46-B0B3-3405B774A3A3}"/>
    <hyperlink ref="E2782" r:id="rId2677" xr:uid="{78993153-FE01-6D4A-BAB3-AF8DE628AAE5}"/>
    <hyperlink ref="Q2782" r:id="rId2678" xr:uid="{572BFD6D-E7F1-F345-9439-A58DEE0BD37F}"/>
    <hyperlink ref="Q2788" r:id="rId2679" xr:uid="{61F2F89B-36AA-9341-984E-51E5AF628A10}"/>
    <hyperlink ref="E2789" r:id="rId2680" xr:uid="{BDD907A8-AF0D-D54E-812B-B4785355F72B}"/>
    <hyperlink ref="Q2789" r:id="rId2681" xr:uid="{A154D784-825F-3B4A-A616-13919346DDFE}"/>
    <hyperlink ref="Q2792" r:id="rId2682" xr:uid="{B6455B62-0F06-6B49-A3F0-4C7536262AEE}"/>
    <hyperlink ref="Q2797" r:id="rId2683" xr:uid="{4F7EF820-E186-1B40-B893-020480269EC2}"/>
    <hyperlink ref="E2798" r:id="rId2684" xr:uid="{432A5241-5CBC-8340-954F-E6944131EF6D}"/>
    <hyperlink ref="Q2798" r:id="rId2685" xr:uid="{772B4AB6-035C-CC4E-B85E-BD272AF792A8}"/>
    <hyperlink ref="Q2802" r:id="rId2686" xr:uid="{F7F507A2-BF30-3F4A-90E7-461E494222C9}"/>
    <hyperlink ref="Q2823" r:id="rId2687" xr:uid="{89BD486B-3737-444B-92D1-24427B0016F1}"/>
    <hyperlink ref="E2833" r:id="rId2688" xr:uid="{D9BC7594-147E-A241-A684-FAA5C3AD6FC5}"/>
    <hyperlink ref="Q2833" r:id="rId2689" xr:uid="{1D2ECC95-F0BF-DC46-B642-3227C948A5F5}"/>
    <hyperlink ref="E2836" r:id="rId2690" xr:uid="{DC9D4921-C2CE-1148-A983-9D4A15809E59}"/>
    <hyperlink ref="Q2836" r:id="rId2691" xr:uid="{C8269764-2ED8-0746-8D35-6E012EE4544B}"/>
    <hyperlink ref="E2844" r:id="rId2692" xr:uid="{1F72235B-356D-1F4A-9E18-6AE6917D6CC8}"/>
    <hyperlink ref="Q2844" r:id="rId2693" xr:uid="{038E83F9-A880-E647-8033-C548DE2E9C6B}"/>
    <hyperlink ref="E2848" r:id="rId2694" xr:uid="{8B1CA843-9C02-0848-9EDC-77E557AB9223}"/>
    <hyperlink ref="Q2848" r:id="rId2695" xr:uid="{1794D97E-41ED-C04F-870B-C3FC4D137270}"/>
    <hyperlink ref="E2858" r:id="rId2696" xr:uid="{0B4D7B3D-9134-6E4F-A4F8-7E6D653ABEA1}"/>
    <hyperlink ref="Q2858" r:id="rId2697" xr:uid="{5B48A1C1-1922-8C4D-8B81-0B12A5000DED}"/>
    <hyperlink ref="Q2859" r:id="rId2698" xr:uid="{6ABA0EC1-950E-5D41-A9B0-DE4F7DA9D73F}"/>
    <hyperlink ref="Q2869" r:id="rId2699" xr:uid="{C31029E8-3004-3E46-858F-03DC618BA5E1}"/>
    <hyperlink ref="Q2872" r:id="rId2700" xr:uid="{29D1AE51-4065-5C47-8609-10E38311E37B}"/>
    <hyperlink ref="Q2868" r:id="rId2701" xr:uid="{985D6FF0-8DAC-E644-84B4-CDFE9E1E7715}"/>
    <hyperlink ref="E2883" r:id="rId2702" xr:uid="{EE0004DF-95C6-1D4F-A18C-0FE1953B418A}"/>
    <hyperlink ref="Q2883" r:id="rId2703" xr:uid="{CE1CF14F-154B-CF43-A765-14B22DEDE32B}"/>
    <hyperlink ref="E2887" r:id="rId2704" xr:uid="{7BBEE213-0171-8E42-889B-B61BA4B7EFD4}"/>
    <hyperlink ref="Q2887" r:id="rId2705" xr:uid="{2C7517B5-15E8-E74E-BC47-25F787E246C1}"/>
    <hyperlink ref="Q2889" r:id="rId2706" xr:uid="{3D008300-E89F-BA47-8613-59AF99776AFA}"/>
    <hyperlink ref="E2892" r:id="rId2707" xr:uid="{390D808C-E72E-6044-9F5E-2E6CD3B955CF}"/>
    <hyperlink ref="Q2892" r:id="rId2708" xr:uid="{3775E2DD-CCA0-8E42-ADC1-8AC97F07E035}"/>
    <hyperlink ref="Q2900" r:id="rId2709" xr:uid="{66266720-F003-6F4F-9A36-7A6977CB7202}"/>
    <hyperlink ref="E2902" r:id="rId2710" xr:uid="{6634E786-FB72-1D49-8633-110A1779BDAD}"/>
    <hyperlink ref="Q2902" r:id="rId2711" xr:uid="{6A581BCE-4383-7542-818F-7A507FCD95D6}"/>
    <hyperlink ref="Q2905" r:id="rId2712" xr:uid="{1FED983F-F028-6E44-8E17-D0F2928F679D}"/>
    <hyperlink ref="Q2908" r:id="rId2713" xr:uid="{122293DE-C663-7D42-AD03-CDD946C66FB8}"/>
    <hyperlink ref="Q2909" r:id="rId2714" xr:uid="{FD95B2FF-13CD-B84E-A402-3FE272A51668}"/>
    <hyperlink ref="Q2919" r:id="rId2715" xr:uid="{8958175E-5EBB-4747-92A2-DDD7BD9AC222}"/>
    <hyperlink ref="Q2923" r:id="rId2716" xr:uid="{AE8D0456-09F6-284E-BC22-96A6DBD37593}"/>
    <hyperlink ref="Q2924" r:id="rId2717" xr:uid="{E6003AFA-3BC1-2B44-AEA9-74EAE3C27682}"/>
    <hyperlink ref="Q2928" r:id="rId2718" xr:uid="{D43C3770-C323-EE4B-A8E2-5F67418644BB}"/>
    <hyperlink ref="Q2927" r:id="rId2719" xr:uid="{31912566-C48B-4D40-94E9-5D03795F8A34}"/>
    <hyperlink ref="Q2931" r:id="rId2720" xr:uid="{2582CC5E-1B7C-4243-BFB6-746CEA7A5C26}"/>
    <hyperlink ref="E2940" r:id="rId2721" xr:uid="{DE86368B-6B27-8A45-AF16-897EE07EB530}"/>
    <hyperlink ref="Q2940" r:id="rId2722" xr:uid="{3968C529-F5AA-B84F-A764-62C605015E12}"/>
    <hyperlink ref="E2945" r:id="rId2723" xr:uid="{597EEED1-554A-6944-B026-62194C0B3AEC}"/>
    <hyperlink ref="Q2945" r:id="rId2724" xr:uid="{E159F8CF-C8DB-A945-B0F0-43700550075B}"/>
    <hyperlink ref="E2948" r:id="rId2725" xr:uid="{49F7AE81-A0AA-9E41-A790-B1D46A89968B}"/>
    <hyperlink ref="Q2948" r:id="rId2726" xr:uid="{47F51FF8-11E5-4B4B-AED2-16A1D5BCD8E7}"/>
    <hyperlink ref="E2950" r:id="rId2727" xr:uid="{F5591773-AAB0-4E40-9830-9EF4AD640A89}"/>
    <hyperlink ref="Q2950" r:id="rId2728" xr:uid="{E31B38CC-E3C0-A740-8A86-E64F51F7868C}"/>
    <hyperlink ref="E2951" r:id="rId2729" xr:uid="{7EBF295F-9F95-8347-A0DC-8549FF41141B}"/>
    <hyperlink ref="Q2951" r:id="rId2730" xr:uid="{05C49F7B-BE2A-874B-B6AA-81432A8B2491}"/>
    <hyperlink ref="E2958" r:id="rId2731" xr:uid="{7EA08B2C-5EE5-D34E-9D32-B1EBA5A1631F}"/>
    <hyperlink ref="Q2958" r:id="rId2732" xr:uid="{E8A4ED19-0E39-EE4E-8F8C-DAB71A7965A1}"/>
    <hyperlink ref="E2963" r:id="rId2733" xr:uid="{F7023839-C7B9-2640-BCBB-FD6FC4A8D8FF}"/>
    <hyperlink ref="Q2963" r:id="rId2734" xr:uid="{F13747C4-8C49-5642-88C3-C788CC8E69D6}"/>
    <hyperlink ref="Q2968" r:id="rId2735" xr:uid="{A9BB70AD-47AF-664B-9EF3-40A585A2B5F7}"/>
    <hyperlink ref="E2973" r:id="rId2736" xr:uid="{D0F52503-7752-0C44-B786-D8CBF8434D47}"/>
    <hyperlink ref="Q2973" r:id="rId2737" xr:uid="{54D57BCC-77CB-E048-B1CB-BB55CADF484E}"/>
    <hyperlink ref="E2969" r:id="rId2738" xr:uid="{D4371EF1-23C0-864D-A096-BE849E391026}"/>
    <hyperlink ref="Q2969" r:id="rId2739" xr:uid="{345BFC53-39B7-8A42-9357-1A90EDBE9B7C}"/>
    <hyperlink ref="E2974" r:id="rId2740" xr:uid="{AA15CAD5-8727-D140-AC2B-3FB576F76507}"/>
    <hyperlink ref="Q2974" r:id="rId2741" xr:uid="{F92A2295-0958-0241-A16A-02E63BFECF5F}"/>
    <hyperlink ref="E2977" r:id="rId2742" xr:uid="{A6C9CF34-D568-994F-9955-43DC14DF26E2}"/>
    <hyperlink ref="Q2977" r:id="rId2743" xr:uid="{F8CCD0FA-4ECC-A74B-9C0D-C8AC95E56068}"/>
    <hyperlink ref="E2978" r:id="rId2744" xr:uid="{1327D0D1-D89D-4B48-B080-A21937E2B3BB}"/>
    <hyperlink ref="E2982" r:id="rId2745" xr:uid="{023594D4-E8D8-D243-BF9B-FF9814AFC6BA}"/>
    <hyperlink ref="Q2982" r:id="rId2746" xr:uid="{8394F3A0-72A2-B942-9180-A85950FF39E7}"/>
    <hyperlink ref="Q2984" r:id="rId2747" xr:uid="{4A5ABE13-1B5B-2A49-A7B3-6CA74AD70EC2}"/>
    <hyperlink ref="Q2988" r:id="rId2748" xr:uid="{54254028-25F6-0C40-AF26-471E3696A137}"/>
    <hyperlink ref="E2994" r:id="rId2749" xr:uid="{A064EB8A-30B0-9046-A7DC-49EF48685B6D}"/>
    <hyperlink ref="Q2994" r:id="rId2750" xr:uid="{6842DEED-6CDE-A449-ADE6-C069AC51F9E0}"/>
    <hyperlink ref="Q2999" r:id="rId2751" xr:uid="{9961C0E3-F216-7B4D-8D49-C37AB4DE84E6}"/>
    <hyperlink ref="E3003" r:id="rId2752" xr:uid="{D06A32AE-0F59-2F4B-8838-C9B8046825D9}"/>
    <hyperlink ref="Q3003" r:id="rId2753" xr:uid="{0AA1D772-DA25-2A42-A804-E74BB8670B4F}"/>
    <hyperlink ref="Q3007" r:id="rId2754" xr:uid="{E9ABB6DF-4923-DF4C-A485-94D609608158}"/>
    <hyperlink ref="Q3006" r:id="rId2755" xr:uid="{B1F3F2FC-04C1-9645-9AA7-AF6C32C5EC7E}"/>
    <hyperlink ref="E3016" r:id="rId2756" xr:uid="{7A21A0C8-7BC2-0C4E-A99C-69B9D9DF23E0}"/>
    <hyperlink ref="Q3016" r:id="rId2757" xr:uid="{382C2FBD-3CD0-1940-9E5B-D35A60DD59FD}"/>
    <hyperlink ref="E3019" r:id="rId2758" xr:uid="{9BD56851-16A0-5E48-9BBE-58BA41C98566}"/>
    <hyperlink ref="Q3019" r:id="rId2759" xr:uid="{4D1EC03A-BE79-6142-AAEC-4C2ED03A9F67}"/>
    <hyperlink ref="Q3021" r:id="rId2760" xr:uid="{3E0B0200-9912-AA43-8802-D0ACE5EBAFBC}"/>
    <hyperlink ref="Q3026" r:id="rId2761" xr:uid="{F9C3AC92-4CFE-B240-B417-ACDC49B9C92A}"/>
    <hyperlink ref="E3028" r:id="rId2762" xr:uid="{1598CA8A-0E26-5045-908B-95A97288D69D}"/>
    <hyperlink ref="Q3028" r:id="rId2763" xr:uid="{B846FDE5-17E3-774D-82F6-6927878BF9D9}"/>
    <hyperlink ref="Q3040" r:id="rId2764" xr:uid="{31894963-8E2C-6F43-AE26-2B5B210CB8EA}"/>
    <hyperlink ref="E3057" r:id="rId2765" xr:uid="{410E1D24-41B9-7D48-B8A5-919E4B399FC9}"/>
    <hyperlink ref="Q3057" r:id="rId2766" xr:uid="{DE17C78A-412B-B44D-8FE2-3D9BF39C9F2E}"/>
    <hyperlink ref="Q3061" r:id="rId2767" xr:uid="{D4580A9A-1BA9-CB40-BAE6-38FC840984F9}"/>
    <hyperlink ref="Q3062" r:id="rId2768" xr:uid="{85DF01CA-4037-FF40-A638-7CC35B08FB90}"/>
    <hyperlink ref="E3063" r:id="rId2769" xr:uid="{AFAFB744-10C3-3740-8E84-DB7AB686F2F7}"/>
    <hyperlink ref="Q3063" r:id="rId2770" xr:uid="{41DC49AC-2373-7E4B-99DA-40124318C085}"/>
    <hyperlink ref="E3075" r:id="rId2771" xr:uid="{82BDD10A-33BD-E442-81F9-17A6D1997043}"/>
    <hyperlink ref="Q3075" r:id="rId2772" xr:uid="{420579F1-9589-584E-B9B9-A1A53FDD2D44}"/>
    <hyperlink ref="E3070" r:id="rId2773" xr:uid="{5964335B-9839-8C48-B491-225763FC8B4A}"/>
    <hyperlink ref="Q3070" r:id="rId2774" xr:uid="{C7A2B4F6-A472-694D-A27C-1EC431DC0644}"/>
    <hyperlink ref="E3082" r:id="rId2775" xr:uid="{36749BC4-4838-B44F-8055-1CA1E11DD2E6}"/>
    <hyperlink ref="Q3082" r:id="rId2776" xr:uid="{5201F65F-BEB6-E144-822E-CE12F0AEBAB1}"/>
    <hyperlink ref="Q3086" r:id="rId2777" xr:uid="{C7B07397-EA58-FE46-8352-008545EE8CD1}"/>
    <hyperlink ref="E3088" r:id="rId2778" xr:uid="{DCD902FA-D0FF-A440-95A7-04656F739124}"/>
    <hyperlink ref="Q3088" r:id="rId2779" xr:uid="{EECCE765-39A6-364D-B86C-0C704A534616}"/>
    <hyperlink ref="E3087" r:id="rId2780" xr:uid="{F9ACB950-21DA-7A41-89E2-9A0991359A75}"/>
    <hyperlink ref="Q3087" r:id="rId2781" xr:uid="{E0DF6842-0363-DB42-A601-C2D32398BBF5}"/>
    <hyperlink ref="E3085" r:id="rId2782" xr:uid="{86CA5236-C363-6D4A-BB39-011216990B0D}"/>
    <hyperlink ref="Q3085" r:id="rId2783" xr:uid="{C976F76D-FDEB-734A-AE3B-DD272C771967}"/>
    <hyperlink ref="E3091" r:id="rId2784" xr:uid="{D46BA7F8-AD0F-5A47-A846-C1732C80E0D1}"/>
    <hyperlink ref="Q3091" r:id="rId2785" xr:uid="{6ADE7163-9437-6745-94DB-B0107B5BC4FA}"/>
    <hyperlink ref="E3094" r:id="rId2786" xr:uid="{A516F6D2-FDFB-C843-B539-1C1D0F07A698}"/>
    <hyperlink ref="Q3094" r:id="rId2787" xr:uid="{64B19901-6418-7640-A5A1-86C39547BD5A}"/>
    <hyperlink ref="Q3099" r:id="rId2788" location="incart_m-rpt-1" xr:uid="{F40438A0-CED8-8042-822F-B6C9BDA882AF}"/>
    <hyperlink ref="E3097" r:id="rId2789" xr:uid="{EA090404-7794-CE48-9E00-F2F56EF18D9E}"/>
    <hyperlink ref="Q3097" r:id="rId2790" xr:uid="{1585A6D0-7D8D-E146-89E2-1204A7A34C69}"/>
    <hyperlink ref="Q3104" r:id="rId2791" xr:uid="{4D025312-CC24-7346-826D-AE98C927686B}"/>
    <hyperlink ref="E3103" r:id="rId2792" xr:uid="{3CF2C8DB-AD39-D746-B450-DB5D8BB80C80}"/>
    <hyperlink ref="Q3103" r:id="rId2793" xr:uid="{99C0F4A6-3081-8642-8CA4-2FB16AA1B619}"/>
    <hyperlink ref="E3112" r:id="rId2794" xr:uid="{9A1EE135-C615-894D-BC3B-1AF3682FC393}"/>
    <hyperlink ref="Q3112" r:id="rId2795" xr:uid="{1AB61BA6-256B-B446-8BB5-1E36301134F8}"/>
    <hyperlink ref="E3125" r:id="rId2796" xr:uid="{161B16EB-6054-3344-90B0-9BE16EE3CE2F}"/>
    <hyperlink ref="Q3125" r:id="rId2797" xr:uid="{3F2E3B0C-F191-CF43-9291-763073AA9F82}"/>
    <hyperlink ref="E3126" r:id="rId2798" xr:uid="{3E594C52-6F8A-4949-96C7-266A01480264}"/>
    <hyperlink ref="Q3126" r:id="rId2799" xr:uid="{8EBAE77E-C701-B245-B03C-9426CC52D924}"/>
    <hyperlink ref="Q3128" r:id="rId2800" xr:uid="{6AAB17C1-2AB5-D044-9130-8C185E84ADB5}"/>
    <hyperlink ref="Q3136" r:id="rId2801" xr:uid="{F5D95E69-0612-864D-B243-1DB1D2E19FA5}"/>
    <hyperlink ref="Q3137" r:id="rId2802" xr:uid="{F2BB8D81-97BB-BC49-8E58-A36905A24D9A}"/>
    <hyperlink ref="E3144" r:id="rId2803" xr:uid="{C8B391CD-0486-DC48-A1F8-6822A8C38226}"/>
    <hyperlink ref="Q3144" r:id="rId2804" xr:uid="{68837DB5-0328-D54D-9161-006E6FB7BDEB}"/>
    <hyperlink ref="E3142" r:id="rId2805" xr:uid="{B0AB0C70-66C7-4548-8E09-D89503654F7C}"/>
    <hyperlink ref="Q3142" r:id="rId2806" xr:uid="{AEFF2A0E-C712-254F-9B98-AE248A539FB2}"/>
    <hyperlink ref="E3149" r:id="rId2807" xr:uid="{B55258F6-2A8C-A54B-8B61-8583CC8BE969}"/>
    <hyperlink ref="Q3149" r:id="rId2808" xr:uid="{77634CD7-E6A9-134C-8A31-752576CE4D58}"/>
    <hyperlink ref="Q3150" r:id="rId2809" xr:uid="{9C4D2AAC-9587-3C4A-B8A0-9CED9DC5987B}"/>
    <hyperlink ref="E3155" r:id="rId2810" xr:uid="{DA6DABAB-59D2-F44B-97E2-5610B6676528}"/>
    <hyperlink ref="Q3155" r:id="rId2811" xr:uid="{4A4D3CCA-3D8D-CA4C-A1F5-15BAD0092316}"/>
    <hyperlink ref="Q3160" r:id="rId2812" xr:uid="{C45158C7-DD5D-964D-8A30-C19AB8AB5FAF}"/>
    <hyperlink ref="Q3162" r:id="rId2813" xr:uid="{C8DD6118-EADA-9843-B32B-E8EE00FF24D2}"/>
    <hyperlink ref="E3163" r:id="rId2814" xr:uid="{05D4F3CD-F124-CC48-BBC5-BB6F4A50DBEF}"/>
    <hyperlink ref="Q3163" r:id="rId2815" xr:uid="{32EA524C-EC16-764F-88B1-5D8E4603EAF0}"/>
    <hyperlink ref="E3166" r:id="rId2816" xr:uid="{CFAA845F-FF85-A543-889E-E8B663C31CBA}"/>
    <hyperlink ref="Q3166" r:id="rId2817" xr:uid="{2F5CB24C-BD33-3E47-9BDF-A772DA73E405}"/>
    <hyperlink ref="E3170" r:id="rId2818" xr:uid="{43B68B2D-C6BB-D043-ABF6-FF9219AD0E14}"/>
    <hyperlink ref="Q3170" r:id="rId2819" xr:uid="{1377F407-7ED3-224E-A523-91013479B76C}"/>
    <hyperlink ref="Q3171" r:id="rId2820" xr:uid="{E07B1D77-23B8-EB4B-BB47-49C3DFA293BA}"/>
    <hyperlink ref="E3176" r:id="rId2821" xr:uid="{1CA50B24-01F2-AB4F-93AC-A2E759D36D52}"/>
    <hyperlink ref="Q3176" r:id="rId2822" xr:uid="{424355F0-A891-144C-AE74-C61F4C00053A}"/>
    <hyperlink ref="E3180" r:id="rId2823" xr:uid="{7E903DB8-FD3A-3D43-BDEB-70E836D54629}"/>
    <hyperlink ref="Q3180" r:id="rId2824" xr:uid="{C7C0903C-D5BE-D44E-9050-A2B04E45EC12}"/>
    <hyperlink ref="E3185" r:id="rId2825" xr:uid="{6AC5E43C-2F40-1744-8519-CAC809B49BFC}"/>
    <hyperlink ref="Q3185" r:id="rId2826" xr:uid="{69B436AE-C22A-E648-B355-9D7E0C84D2AE}"/>
    <hyperlink ref="Q3188" r:id="rId2827" xr:uid="{0A7A0158-26C6-E146-994B-74570BD890ED}"/>
    <hyperlink ref="Q3193" r:id="rId2828" xr:uid="{44DB5FFF-2DB5-B345-8623-AF63112625A4}"/>
    <hyperlink ref="E3191" r:id="rId2829" xr:uid="{BE581B87-3FE1-F643-AC9F-E095EA03C863}"/>
    <hyperlink ref="Q3191" r:id="rId2830" xr:uid="{5B140893-8E39-0E45-8137-105019CAE2D3}"/>
    <hyperlink ref="E3195" r:id="rId2831" xr:uid="{3364D1DB-BC1F-5144-B61C-C5FC4F2E7D30}"/>
    <hyperlink ref="Q3195" r:id="rId2832" xr:uid="{B0B8EFDF-321C-F544-97C1-46171A520B34}"/>
    <hyperlink ref="E3198" r:id="rId2833" xr:uid="{4A862E79-7EED-894A-B99F-019159453C40}"/>
    <hyperlink ref="Q3198" r:id="rId2834" xr:uid="{F50CB879-DB3F-6A4C-B4B8-7F11CEFFD34F}"/>
    <hyperlink ref="E3204" r:id="rId2835" xr:uid="{468F37E4-FF60-9F48-A366-8A149CE549E6}"/>
    <hyperlink ref="Q3204" r:id="rId2836" xr:uid="{27DC8CD9-D27F-B64D-80D4-7C1FD61DCDF2}"/>
    <hyperlink ref="Q3208" r:id="rId2837" xr:uid="{8A47C7CC-83A5-214C-8629-8115C1AB2A83}"/>
    <hyperlink ref="Q3213" r:id="rId2838" xr:uid="{BADECC21-5263-C442-8CB6-397968DDF7D0}"/>
    <hyperlink ref="E3212" r:id="rId2839" xr:uid="{B6C016B1-08D9-1242-B6CE-42AB55BE2C68}"/>
    <hyperlink ref="Q3212" r:id="rId2840" xr:uid="{BEA6B3C9-EAD5-DE4E-90B5-F0405A865503}"/>
    <hyperlink ref="Q3216" r:id="rId2841" xr:uid="{EA72DDB0-4FCF-6540-A34C-4A1BC1521033}"/>
    <hyperlink ref="Q3215" r:id="rId2842" xr:uid="{1B9ECFB9-BC34-3648-B4D3-202B35B2021E}"/>
    <hyperlink ref="Q3217" r:id="rId2843" xr:uid="{91D50715-538F-BF41-84C1-97CEF621EA03}"/>
    <hyperlink ref="Q3220" r:id="rId2844" xr:uid="{9B82FAF9-6CCB-1147-8D25-50A24CDFF18B}"/>
    <hyperlink ref="Q3232" r:id="rId2845" xr:uid="{7EDE53BD-557D-BB4A-BD26-D3F237DFCBD4}"/>
    <hyperlink ref="E3231" r:id="rId2846" xr:uid="{90ABF8E8-ADD6-154E-8106-F46544C140CC}"/>
    <hyperlink ref="Q3231" r:id="rId2847" xr:uid="{A9BF580F-A930-FE47-BAF8-144FE30F400B}"/>
    <hyperlink ref="Q3233" r:id="rId2848" xr:uid="{9CDD5E60-A0E6-8D48-A398-4B1D038BE120}"/>
    <hyperlink ref="Q3236" r:id="rId2849" xr:uid="{9296B3B2-B2A2-7240-BB9B-130A2CCD0BB8}"/>
    <hyperlink ref="E3241" r:id="rId2850" xr:uid="{31A5FB25-3152-1A4D-8337-69C1CB74B655}"/>
    <hyperlink ref="Q3241" r:id="rId2851" xr:uid="{71725C7C-B383-8A4E-987C-858555A4CF0B}"/>
    <hyperlink ref="E3247" r:id="rId2852" xr:uid="{60021585-0E82-4949-A7C9-CEDBD34608A5}"/>
    <hyperlink ref="Q3247" r:id="rId2853" xr:uid="{955DC7F3-706A-4F47-90A4-658BC936EF92}"/>
    <hyperlink ref="E3252" r:id="rId2854" xr:uid="{3681D01D-0AAB-B74E-AFEA-FB813156528A}"/>
    <hyperlink ref="Q3252" r:id="rId2855" xr:uid="{5781C282-1904-3747-8E28-2B49D733D1CA}"/>
    <hyperlink ref="E3260" r:id="rId2856" xr:uid="{778F1772-F276-5E46-9FA3-C668EC990311}"/>
    <hyperlink ref="Q3260" r:id="rId2857" xr:uid="{16B5B924-D8CB-A045-ABB1-0A700ED9291B}"/>
    <hyperlink ref="E3261" r:id="rId2858" xr:uid="{4E666BFE-0673-5349-9C37-64A298B0800D}"/>
    <hyperlink ref="Q3261" r:id="rId2859" xr:uid="{B9170F12-AA9E-8F48-9106-44B98E02E873}"/>
    <hyperlink ref="Q3267" r:id="rId2860" xr:uid="{9AF88857-6C51-6D45-BC18-E01EF064D64F}"/>
    <hyperlink ref="Q3268" r:id="rId2861" xr:uid="{F8C5C1B3-B7AB-E247-82EA-6926937770A4}"/>
    <hyperlink ref="E3272" r:id="rId2862" xr:uid="{8DD6F297-E9BE-E441-822B-7FD5041889C7}"/>
    <hyperlink ref="Q3272" r:id="rId2863" xr:uid="{55262A71-66EF-7041-ABE8-F2C3BD19DF9C}"/>
    <hyperlink ref="E3273" r:id="rId2864" xr:uid="{3474307A-2A25-6C49-B18B-14CA1C2D031E}"/>
    <hyperlink ref="Q3273" r:id="rId2865" xr:uid="{F0515D6B-2472-9847-AB17-FC9E55ED2032}"/>
    <hyperlink ref="Q3282" r:id="rId2866" xr:uid="{C7DE2BC1-C6CF-8F4C-A6B2-986C7B19CBDB}"/>
    <hyperlink ref="Q3288" r:id="rId2867" xr:uid="{950278B8-2825-7B4F-8DB6-561611386CB3}"/>
    <hyperlink ref="Q3293" r:id="rId2868" xr:uid="{B99B8FFE-1C41-3142-9B78-4DF7A0A5FDEF}"/>
    <hyperlink ref="Q3295" r:id="rId2869" xr:uid="{79CF1BE7-14CC-1447-9AC7-2D7711C42A5F}"/>
    <hyperlink ref="E3305" r:id="rId2870" xr:uid="{748BC49D-FFF9-364C-89A1-430A52F0DF7D}"/>
    <hyperlink ref="Q3305" r:id="rId2871" xr:uid="{A5141AA4-BF30-4E49-AC65-A213840A3A72}"/>
    <hyperlink ref="Q3308" r:id="rId2872" xr:uid="{FC586D5B-224C-C749-BA9B-8D4D7726F213}"/>
    <hyperlink ref="Q3307" r:id="rId2873" xr:uid="{6E9AC6F3-3CB6-D04F-9705-12BD8B10B52F}"/>
    <hyperlink ref="E3325" r:id="rId2874" xr:uid="{897B3949-19EF-CB4E-B607-93C8A1778C58}"/>
    <hyperlink ref="Q3320" r:id="rId2875" xr:uid="{A560510B-135D-A342-B44A-74049AC128FE}"/>
    <hyperlink ref="Q3326" r:id="rId2876" xr:uid="{1BBF2CC8-D1EE-1B4D-B563-6702CE4AF77A}"/>
    <hyperlink ref="Q3331" r:id="rId2877" xr:uid="{8D4B227E-A757-E04A-AF0C-FE4D881E6390}"/>
    <hyperlink ref="E3329" r:id="rId2878" xr:uid="{FC45DF7C-D571-F34F-96F8-BEC60A47B138}"/>
    <hyperlink ref="Q3329" r:id="rId2879" xr:uid="{0A50798D-6377-654C-8587-413372911F8B}"/>
    <hyperlink ref="E3333" r:id="rId2880" xr:uid="{C7BF899F-28E3-5148-B173-448A44D1BFC1}"/>
    <hyperlink ref="Q3333" r:id="rId2881" xr:uid="{5BAEF297-758C-8045-B5B0-14953AEDA4C5}"/>
    <hyperlink ref="Q2549" r:id="rId2882" xr:uid="{8C323846-9015-9740-A2ED-ADE9864962BB}"/>
    <hyperlink ref="Q2553" r:id="rId2883" xr:uid="{F0F92343-8A34-824D-A83E-80ED03039EF5}"/>
    <hyperlink ref="E2554" r:id="rId2884" xr:uid="{F6CD34FF-5025-A842-839F-D73768F09017}"/>
    <hyperlink ref="Q2554" r:id="rId2885" xr:uid="{909B30E2-E115-EF41-BD3F-52470D1BD2B5}"/>
    <hyperlink ref="E2557" r:id="rId2886" xr:uid="{35FAAA43-DFA2-6C4A-AA95-1FB12AC764C1}"/>
    <hyperlink ref="Q2557" r:id="rId2887" xr:uid="{405BBDE6-63CB-6E4D-BBE7-E40F738184AF}"/>
    <hyperlink ref="Q2558" r:id="rId2888" xr:uid="{C1A53FAF-2626-0145-8D2C-18463CEA0FFC}"/>
    <hyperlink ref="E2561" r:id="rId2889" xr:uid="{7EBE2BF2-F7BE-8349-AA55-53D87682D759}"/>
    <hyperlink ref="Q2561" r:id="rId2890" xr:uid="{C72D2240-4277-0E45-8A9C-7594C509B525}"/>
    <hyperlink ref="E2563" r:id="rId2891" xr:uid="{C36E7B96-C485-7447-B816-16E240B80E4F}"/>
    <hyperlink ref="Q2563" r:id="rId2892" xr:uid="{2FD2180E-8DD4-1440-BA36-8F6781E4927E}"/>
    <hyperlink ref="Q2562" r:id="rId2893" xr:uid="{32CFDF37-6E54-9343-9510-A4A5C1753302}"/>
    <hyperlink ref="E2572" r:id="rId2894" xr:uid="{FE45F758-484E-DC4D-87C2-D24120D8502C}"/>
    <hyperlink ref="Q2572" r:id="rId2895" xr:uid="{FED8BAEA-40D5-114B-B445-E0DEC729859C}"/>
    <hyperlink ref="Q2588" r:id="rId2896" xr:uid="{D7C0445B-8769-BD4F-8B62-E2AE2998A35C}"/>
    <hyperlink ref="Q2599" r:id="rId2897" xr:uid="{8AF58C70-D857-F946-82C1-887FA9EEF65D}"/>
    <hyperlink ref="E2601" r:id="rId2898" xr:uid="{DCD65CFA-BE41-5A4B-8A61-E9FFC23FAA0E}"/>
    <hyperlink ref="Q2601" r:id="rId2899" xr:uid="{3910EA48-60CD-484A-9176-34E8B0A8D2BE}"/>
    <hyperlink ref="Q2609" r:id="rId2900" xr:uid="{AF020A5A-7346-1846-AC61-F16C4AADF1B3}"/>
    <hyperlink ref="Q2611" r:id="rId2901" xr:uid="{288B1283-5BCE-0443-9409-A49574755A0E}"/>
    <hyperlink ref="Q2616" r:id="rId2902" xr:uid="{53D8EC83-8A9B-3A45-946E-8B432B28BC00}"/>
    <hyperlink ref="Q2625" r:id="rId2903" xr:uid="{A0DAEBF6-06B6-9549-8DB0-EEE0B81E5476}"/>
    <hyperlink ref="E2629" r:id="rId2904" xr:uid="{34522613-6FD0-A04D-A3F3-87B74EB14CA5}"/>
    <hyperlink ref="Q2629" r:id="rId2905" xr:uid="{5C2605D7-0C40-DA48-BF97-2EAAF5C7F1AC}"/>
    <hyperlink ref="Q2645" r:id="rId2906" xr:uid="{E8CD7F5D-CB05-4D46-A1F6-D003249C917A}"/>
    <hyperlink ref="Q2647" r:id="rId2907" xr:uid="{DA855837-D950-3F42-8003-5250844CAFA6}"/>
    <hyperlink ref="E2653" r:id="rId2908" xr:uid="{B012CFC4-62DB-D046-B65B-D1134AB745D8}"/>
    <hyperlink ref="Q2653" r:id="rId2909" xr:uid="{D47FA556-95F6-984A-8C7B-A7BF5F536133}"/>
    <hyperlink ref="Q2659" r:id="rId2910" xr:uid="{5518FEB3-E8E8-A64D-B9FE-59A6C76AAC0C}"/>
    <hyperlink ref="E2671" r:id="rId2911" xr:uid="{B9BD8974-D2FC-4849-8289-83200F07C85E}"/>
    <hyperlink ref="Q2671" r:id="rId2912" xr:uid="{A41B8540-F963-C443-8DB6-3B9BBCFC14BE}"/>
    <hyperlink ref="E2679" r:id="rId2913" xr:uid="{7A6A7F3E-C9E4-2140-9FBC-97F6EDD096D5}"/>
    <hyperlink ref="Q2679" r:id="rId2914" xr:uid="{9F567895-702C-5646-87AC-6BE68A9C1687}"/>
    <hyperlink ref="Q2683" r:id="rId2915" xr:uid="{7B1AF1EC-A3B0-D54D-B635-1F222E841C85}"/>
    <hyperlink ref="Q2693" r:id="rId2916" xr:uid="{FB04BE53-C3E5-F94E-A6F9-B9E41996235B}"/>
    <hyperlink ref="E2701" r:id="rId2917" xr:uid="{89930378-D012-8A40-83C5-ECE0CA93B677}"/>
    <hyperlink ref="Q2701" r:id="rId2918" xr:uid="{A41A9335-4922-8E4B-A3EC-5C4A65CD162A}"/>
    <hyperlink ref="E2707" r:id="rId2919" xr:uid="{763B1CE4-F5DC-B94D-A4D6-F11791DAAE4C}"/>
    <hyperlink ref="Q2707" r:id="rId2920" xr:uid="{58EAAD79-85ED-6142-BE98-D088922D8268}"/>
    <hyperlink ref="E2711" r:id="rId2921" xr:uid="{D45B1802-94EC-C44F-9F5C-358D88F6EEAB}"/>
    <hyperlink ref="Q2711" r:id="rId2922" xr:uid="{49CF23EB-D1A2-E942-AB81-6ACE299C5A67}"/>
    <hyperlink ref="E2710" r:id="rId2923" xr:uid="{F1D37CAC-B75C-2C43-8C1B-0A96E9E172D2}"/>
    <hyperlink ref="Q2710" r:id="rId2924" xr:uid="{B771BD22-0C43-9449-8745-03327E37A60A}"/>
    <hyperlink ref="E2725" r:id="rId2925" xr:uid="{1A66B28B-4814-1746-BA2E-C630CA1B7651}"/>
    <hyperlink ref="Q2725" r:id="rId2926" xr:uid="{D82B2A2E-0699-8D4B-A93B-8321263ED5DC}"/>
    <hyperlink ref="E2727" r:id="rId2927" xr:uid="{58745965-5CAD-E548-842C-7771B2BD3748}"/>
    <hyperlink ref="Q2727" r:id="rId2928" xr:uid="{A53D222E-2EEF-EB4E-855E-FBFFAD8CD000}"/>
    <hyperlink ref="E2747" r:id="rId2929" xr:uid="{5EF62A04-395A-EA46-9110-8A89B2FBCA76}"/>
    <hyperlink ref="Q2747" r:id="rId2930" xr:uid="{FE9228CA-9A6F-4943-B6A6-8D88D9FA74A8}"/>
    <hyperlink ref="E2759" r:id="rId2931" xr:uid="{F6137B17-2841-7343-8F3E-DE1441FEFAAF}"/>
    <hyperlink ref="Q2759" r:id="rId2932" xr:uid="{3CA7DE31-AAFA-6F45-9AC5-A6BF92B3D996}"/>
    <hyperlink ref="E2763" r:id="rId2933" xr:uid="{8C2C2D6E-FB92-9245-9D24-53B16A35EA36}"/>
    <hyperlink ref="Q2763" r:id="rId2934" xr:uid="{B7FADD44-0DE6-3048-A51E-A89CDA60CC4B}"/>
    <hyperlink ref="Q2781" r:id="rId2935" xr:uid="{F0AB11C0-3858-E449-A15E-1877A78F552D}"/>
    <hyperlink ref="E2784" r:id="rId2936" xr:uid="{CE4F3144-8D49-D442-8EB4-CBA4C267D54F}"/>
    <hyperlink ref="Q2784" r:id="rId2937" xr:uid="{0F1DF21A-C31A-204A-BACF-64E223708988}"/>
    <hyperlink ref="E2786" r:id="rId2938" xr:uid="{FB74825E-7CD1-9447-83B7-1480587A3F51}"/>
    <hyperlink ref="Q2786" r:id="rId2939" xr:uid="{3F566AE0-BFBA-4742-AC15-2D642F0191FB}"/>
    <hyperlink ref="Q2787" r:id="rId2940" xr:uid="{76F44AAC-6ECF-774C-8060-7F3A34B39ED0}"/>
    <hyperlink ref="E2790" r:id="rId2941" xr:uid="{F4E7E31F-AD5F-1444-8033-7B1D7D4FA15C}"/>
    <hyperlink ref="Q2790" r:id="rId2942" xr:uid="{74D4237F-D6CC-1442-91E6-9A46C48B5A45}"/>
    <hyperlink ref="E2793" r:id="rId2943" xr:uid="{E3B0FB62-BB34-0C44-8250-25494EF173B5}"/>
    <hyperlink ref="Q2793" r:id="rId2944" xr:uid="{EFB7D166-9652-3842-BD2E-9C42DCF351FB}"/>
    <hyperlink ref="Q2803" r:id="rId2945" xr:uid="{812B6A34-499A-0F48-B621-EDAAE491C4A2}"/>
    <hyperlink ref="E2804" r:id="rId2946" xr:uid="{E4B92E24-0505-B347-A681-4CB6D92CE441}"/>
    <hyperlink ref="Q2804" r:id="rId2947" xr:uid="{FB40F099-1C93-D842-9690-DD6FBC2EDE06}"/>
    <hyperlink ref="E2805" r:id="rId2948" xr:uid="{28BBD8CF-BA64-B04C-AF25-ADD25CF0A086}"/>
    <hyperlink ref="Q2805" r:id="rId2949" xr:uid="{785EEBC8-19DC-1B46-BD37-BDB94BD5E188}"/>
    <hyperlink ref="Q2807" r:id="rId2950" xr:uid="{199E27B1-CAC7-BB4D-A4C0-BA74ACE96243}"/>
    <hyperlink ref="Q2812" r:id="rId2951" xr:uid="{021DAB08-9C28-764C-8E8C-B628F8A761AE}"/>
    <hyperlink ref="E2817" r:id="rId2952" xr:uid="{994DBD8A-3490-9547-BF96-B43E0F8A03E6}"/>
    <hyperlink ref="E2822" r:id="rId2953" xr:uid="{1B02A765-6B5C-1245-B72A-49FD3EA346D3}"/>
    <hyperlink ref="Q2822" r:id="rId2954" xr:uid="{33EC3D15-5A0C-A040-A62E-555A83729EDF}"/>
    <hyperlink ref="E2820" r:id="rId2955" xr:uid="{3A9D6AB5-452A-5046-8ED8-C7FFCF517DA6}"/>
    <hyperlink ref="Q2820" r:id="rId2956" xr:uid="{0A497869-2B31-4F43-9B54-EF5FC1BFD178}"/>
    <hyperlink ref="Q2838" r:id="rId2957" xr:uid="{96F64C1C-D032-844C-8B7C-7F8E6D959AF3}"/>
    <hyperlink ref="Q2837" r:id="rId2958" xr:uid="{9532D975-3FF8-A746-AC50-9AF447FC98F9}"/>
    <hyperlink ref="Q2843" r:id="rId2959" xr:uid="{432DAE7E-3472-F14A-9C37-106BD4031A72}"/>
    <hyperlink ref="E2849" r:id="rId2960" xr:uid="{2F7C5A2A-CAAF-4E43-B33A-53FEDAA937AD}"/>
    <hyperlink ref="Q2849" r:id="rId2961" xr:uid="{87E9A956-FF4A-B346-80EA-9F53C21E364C}"/>
    <hyperlink ref="E2847" r:id="rId2962" xr:uid="{938A46A0-0356-D94F-8CD6-9AB6EBFF0083}"/>
    <hyperlink ref="Q2847" r:id="rId2963" xr:uid="{526EFC76-E5B2-3A41-A0E4-5B70E4477B93}"/>
    <hyperlink ref="Q2853" r:id="rId2964" xr:uid="{3A41F491-21AC-4644-B30D-03E6F12A82B8}"/>
    <hyperlink ref="Q2857" r:id="rId2965" xr:uid="{6F95145E-F513-AE4C-A772-DFEA4878B506}"/>
    <hyperlink ref="Q2873" r:id="rId2966" xr:uid="{1C63D917-9C90-4542-BF65-873283628B3A}"/>
    <hyperlink ref="E2870" r:id="rId2967" xr:uid="{B7AE389D-F623-904E-B98E-31AB98E7458E}"/>
    <hyperlink ref="Q2870" r:id="rId2968" xr:uid="{EFFD28FC-6464-0547-A4B8-7C62D96668A4}"/>
    <hyperlink ref="E2874" r:id="rId2969" xr:uid="{E6FB54AF-0E6A-CC4A-A6B2-3045B691B97E}"/>
    <hyperlink ref="Q2874" r:id="rId2970" xr:uid="{62518EB4-29E4-A149-86E5-6174C05A1FD8}"/>
    <hyperlink ref="Q2878" r:id="rId2971" xr:uid="{3FA9D2F5-0664-264F-90BA-8442FE17E8F2}"/>
    <hyperlink ref="Q2881" r:id="rId2972" xr:uid="{683319A4-80EC-714B-B0B6-8DB41FA8166D}"/>
    <hyperlink ref="E2888" r:id="rId2973" xr:uid="{03126FCD-0FCA-2F4C-B6F1-677870F484E4}"/>
    <hyperlink ref="Q2888" r:id="rId2974" xr:uid="{00A52291-9C7A-AA47-BF52-54A40D8BE01D}"/>
    <hyperlink ref="Q2893" r:id="rId2975" xr:uid="{9997F91B-92A3-5F4E-AF18-2EA8953F8C53}"/>
    <hyperlink ref="E2897" r:id="rId2976" xr:uid="{B65ECDA5-99C7-EF4D-A458-4FFDF3142F13}"/>
    <hyperlink ref="Q2897" r:id="rId2977" xr:uid="{18641C7C-6880-7748-B58B-3BBD5C37C4F1}"/>
    <hyperlink ref="E2904" r:id="rId2978" xr:uid="{2B80550D-CE9A-8E4B-BF5E-D4DA4B0C65FF}"/>
    <hyperlink ref="Q2904" r:id="rId2979" xr:uid="{92028780-03EF-BC4F-8A55-1B3A5D8E84E4}"/>
    <hyperlink ref="E2917" r:id="rId2980" xr:uid="{19C199BC-BC43-6948-85EC-4DCDBBD322C0}"/>
    <hyperlink ref="Q2917" r:id="rId2981" xr:uid="{2D59355F-8FF7-104C-A111-C2306448581B}"/>
    <hyperlink ref="Q2922" r:id="rId2982" xr:uid="{690229BD-9AA6-8241-B4E5-58454ACFCEA8}"/>
    <hyperlink ref="Q2926" r:id="rId2983" xr:uid="{BEED54C8-B8C7-7644-A979-3F43D6910117}"/>
    <hyperlink ref="Q2937" r:id="rId2984" xr:uid="{28566F8F-F1DD-F345-87BD-D5475133E337}"/>
    <hyperlink ref="E2942" r:id="rId2985" xr:uid="{C1AF5B37-C2E8-174A-BF7C-AD82DC98DA52}"/>
    <hyperlink ref="Q2942" r:id="rId2986" xr:uid="{B7BEC828-7AAA-D842-9320-7EBEB3BDA5AD}"/>
    <hyperlink ref="E2949" r:id="rId2987" xr:uid="{DA71CB54-F898-7345-91B3-4EB5F5158A2E}"/>
    <hyperlink ref="Q2949" r:id="rId2988" xr:uid="{86E43D83-716D-844F-877D-33F7B19FADDF}"/>
    <hyperlink ref="Q2957" r:id="rId2989" xr:uid="{3A140EED-C548-5046-9BED-FADD5745FD3F}"/>
    <hyperlink ref="Q2964" r:id="rId2990" xr:uid="{A396C12F-0DA7-B342-AD59-23574CF71876}"/>
    <hyperlink ref="Q2975" r:id="rId2991" xr:uid="{45A4E0A2-D1AF-664E-9A2A-2192F9191542}"/>
    <hyperlink ref="E3001" r:id="rId2992" xr:uid="{2181F183-40B3-2B43-A06C-779AE2BEB67B}"/>
    <hyperlink ref="Q3001" r:id="rId2993" xr:uid="{441FEF69-7873-8E45-BE74-2588FDD2E55E}"/>
    <hyperlink ref="Q3000" r:id="rId2994" xr:uid="{C0B5A09C-65C2-A74D-A6FB-23A3DF3DEA32}"/>
    <hyperlink ref="E3010" r:id="rId2995" xr:uid="{34A00854-DCF0-B540-A011-1F042897708B}"/>
    <hyperlink ref="Q3010" r:id="rId2996" xr:uid="{55072BCF-1839-B046-AD63-2FB14081944D}"/>
    <hyperlink ref="Q3022" r:id="rId2997" xr:uid="{8BFE2FDE-F46B-EC48-8E50-5A30264AC6A0}"/>
    <hyperlink ref="E3032" r:id="rId2998" xr:uid="{14B48E4C-7178-3640-9803-A6060E038F90}"/>
    <hyperlink ref="Q3032" r:id="rId2999" xr:uid="{A6779D80-63EB-F44B-87FF-83DBEE2C2F66}"/>
    <hyperlink ref="E3035" r:id="rId3000" xr:uid="{FA0CC374-41A9-034B-8E3A-02E30A6EAAD6}"/>
    <hyperlink ref="Q3035" r:id="rId3001" xr:uid="{507F3171-55AF-8147-B575-E976E5E6598F}"/>
    <hyperlink ref="Q3033" r:id="rId3002" xr:uid="{335D8177-DACB-7F40-B624-4372D118A874}"/>
    <hyperlink ref="Q3036" r:id="rId3003" xr:uid="{CC0E5771-D472-A845-B5D2-628D1D5FB4E2}"/>
    <hyperlink ref="Q3056" r:id="rId3004" xr:uid="{5E5D1DA5-3FCF-8640-919E-C0367517574D}"/>
    <hyperlink ref="E3058" r:id="rId3005" xr:uid="{4264D60A-7A18-8A4A-92CC-0A412A3F1903}"/>
    <hyperlink ref="Q3058" r:id="rId3006" xr:uid="{46CCC395-8CFA-014B-B0CD-62144170E2AD}"/>
    <hyperlink ref="Q3060" r:id="rId3007" xr:uid="{6604F2C1-A0D0-CC4D-B02A-682377C7E9D2}"/>
    <hyperlink ref="E3074" r:id="rId3008" xr:uid="{9B9A1BAC-4144-9240-ACBA-7B0B4CA99535}"/>
    <hyperlink ref="Q3074" r:id="rId3009" xr:uid="{D5638A5C-901F-9E43-9280-833FE6AA282A}"/>
    <hyperlink ref="E3101" r:id="rId3010" xr:uid="{6714F0F3-FDC1-5044-B6F9-6FB74E69E247}"/>
    <hyperlink ref="Q3101" r:id="rId3011" xr:uid="{F0E534AB-FAA8-DB4F-AB8B-7D0F55E998F5}"/>
    <hyperlink ref="Q3100" r:id="rId3012" xr:uid="{57A5699A-ACA5-6D49-BAF1-18C72DBAB9E5}"/>
    <hyperlink ref="Q3108" r:id="rId3013" xr:uid="{55579930-1E17-FD4D-9532-35AF8E7A3948}"/>
    <hyperlink ref="Q3115" r:id="rId3014" xr:uid="{924DE4FA-0606-9F41-990F-BD61CB502A2E}"/>
    <hyperlink ref="Q3122" r:id="rId3015" xr:uid="{2D281A3B-A957-2E47-9646-C2FAF9D21E6D}"/>
    <hyperlink ref="Q3120" r:id="rId3016" xr:uid="{BDDAD5A0-6FFC-F648-AED2-9DB748435826}"/>
    <hyperlink ref="Q3123" r:id="rId3017" xr:uid="{4CB932CE-F211-C347-9256-D123B244927F}"/>
    <hyperlink ref="E3121" r:id="rId3018" xr:uid="{97B6D09D-3F49-0240-BC95-64F8220133FD}"/>
    <hyperlink ref="Q3121" r:id="rId3019" xr:uid="{820ACE28-48AD-2C45-B8CF-4C48E61CF0EF}"/>
    <hyperlink ref="E3127" r:id="rId3020" xr:uid="{86772B07-97A6-D748-A387-A25848649A40}"/>
    <hyperlink ref="Q3127" r:id="rId3021" xr:uid="{7631EFD5-487A-C74A-901A-9857788AB634}"/>
    <hyperlink ref="E3146" r:id="rId3022" xr:uid="{FA221DEF-D1B2-9843-818F-BE6BDFD12E9F}"/>
    <hyperlink ref="Q3146" r:id="rId3023" xr:uid="{1DF0C3D7-5159-C04B-A2A8-FF87E7913433}"/>
    <hyperlink ref="E3154" r:id="rId3024" xr:uid="{96066394-5F89-A44E-A653-035CE1AF0AF0}"/>
    <hyperlink ref="Q3154" r:id="rId3025" xr:uid="{7D81ADBD-90A3-0E45-ABA5-2CF4070EDD28}"/>
    <hyperlink ref="E3153" r:id="rId3026" xr:uid="{DC76D1B8-1B70-3E4E-BB40-E6CDD8FE37AD}"/>
    <hyperlink ref="Q3153" r:id="rId3027" xr:uid="{7BF311F0-2482-DD48-A824-7DA13B23B20C}"/>
    <hyperlink ref="E3151" r:id="rId3028" xr:uid="{92172F08-8C83-0444-8EE8-98C230796651}"/>
    <hyperlink ref="Q3151" r:id="rId3029" xr:uid="{DC0EA4B2-80E5-704B-8B96-3B4341F74D45}"/>
    <hyperlink ref="E3158" r:id="rId3030" xr:uid="{35DCD4F9-1266-6948-9625-D0623170F0F7}"/>
    <hyperlink ref="Q3158" r:id="rId3031" xr:uid="{E4C6A0FE-240B-5E42-9290-0E747804B581}"/>
    <hyperlink ref="E3161" r:id="rId3032" xr:uid="{9B7D29F1-9F07-5545-80AB-DC0B0B0FC247}"/>
    <hyperlink ref="Q3161" r:id="rId3033" xr:uid="{3187AA08-C46A-1144-B1BA-B9D512E5A1A8}"/>
    <hyperlink ref="Q3173" r:id="rId3034" xr:uid="{5730EBDF-1010-7749-BBD5-E68D7C24472D}"/>
    <hyperlink ref="E3184" r:id="rId3035" xr:uid="{42515E64-4BC7-7448-9309-6F88E0649FF9}"/>
    <hyperlink ref="Q3184" r:id="rId3036" xr:uid="{169DFD11-82AB-CE4B-BBAB-F457A17A19C0}"/>
    <hyperlink ref="Q3200" r:id="rId3037" xr:uid="{ADE624CD-6426-7343-BC09-D5A401ED3826}"/>
    <hyperlink ref="E3203" r:id="rId3038" xr:uid="{0BC46A44-8821-A948-B4FA-99E23AE270C0}"/>
    <hyperlink ref="Q3203" r:id="rId3039" xr:uid="{7EBD7A5E-4526-6C46-919A-DAF4E9B6D1A8}"/>
    <hyperlink ref="Q3211" r:id="rId3040" xr:uid="{8D1CEFFE-FC12-3444-B884-F9473321C758}"/>
    <hyperlink ref="E3214" r:id="rId3041" xr:uid="{45A5C36C-6160-2E4A-828A-4AFE07C00A0B}"/>
    <hyperlink ref="Q3214" r:id="rId3042" xr:uid="{019E87F6-78A5-F142-B130-6E0609A73DA3}"/>
    <hyperlink ref="E3219" r:id="rId3043" xr:uid="{B85500A5-FCE7-6142-A396-9E33121A7375}"/>
    <hyperlink ref="Q3219" r:id="rId3044" xr:uid="{A0A9893C-CD9E-2A4F-8041-7EDCE4497BB8}"/>
    <hyperlink ref="Q3221" r:id="rId3045" xr:uid="{BF468B01-678F-0442-AEF8-1BC754A73419}"/>
    <hyperlink ref="Q3223" r:id="rId3046" xr:uid="{502A0E29-BCBE-CF4D-A356-5753DEC63A2E}"/>
    <hyperlink ref="E3229" r:id="rId3047" xr:uid="{A63ABF59-9DA1-0047-A0F5-23B9C5791C70}"/>
    <hyperlink ref="Q3229" r:id="rId3048" xr:uid="{AEF70763-860D-5042-B98F-3DFEA6D1ED49}"/>
    <hyperlink ref="Q3238" r:id="rId3049" xr:uid="{94E876BF-80CC-2E4A-9199-15DD4997CF3C}"/>
    <hyperlink ref="Q3240" r:id="rId3050" xr:uid="{E4007A95-07C6-2647-8CB4-F3F3EBDC584B}"/>
    <hyperlink ref="Q3243" r:id="rId3051" xr:uid="{6A3C6BCF-9919-D040-87DB-A2AF061F91B0}"/>
    <hyperlink ref="Q3245" r:id="rId3052" xr:uid="{1C28C8DF-82EA-7646-9056-91AB3EDE04EF}"/>
    <hyperlink ref="E3248" r:id="rId3053" xr:uid="{8D925718-30A2-3B4C-A1B1-49FA24019BDC}"/>
    <hyperlink ref="Q3248" r:id="rId3054" xr:uid="{B151919D-399E-4741-9A8B-24EBE88FEF8F}"/>
    <hyperlink ref="E3256" r:id="rId3055" xr:uid="{199B6CE7-DDD1-FE42-AF76-2E655962766C}"/>
    <hyperlink ref="Q3256" r:id="rId3056" xr:uid="{1C6EFC0D-9BA1-574A-8AF8-356C72457F4C}"/>
    <hyperlink ref="E3259" r:id="rId3057" xr:uid="{0F99D053-1914-0C48-937E-DE5B35C0A2FC}"/>
    <hyperlink ref="Q3259" r:id="rId3058" xr:uid="{73CAC966-BFFA-A74C-A4AB-700C992CC74E}"/>
    <hyperlink ref="Q3253" r:id="rId3059" xr:uid="{582C9784-4DB1-D547-96FA-5E71DF5509D6}"/>
    <hyperlink ref="E3257" r:id="rId3060" xr:uid="{DC4A6F86-F69D-1140-B60F-26951D88151D}"/>
    <hyperlink ref="Q3257" r:id="rId3061" xr:uid="{3A6A99AD-BCA5-C542-A7A8-CFD5C359AD91}"/>
    <hyperlink ref="Q3254" r:id="rId3062" xr:uid="{E64363B7-4C6B-8841-98BF-8E82D99E0A86}"/>
    <hyperlink ref="E3262" r:id="rId3063" xr:uid="{F2EC9342-E3DD-6C43-8251-B697CC3F3E86}"/>
    <hyperlink ref="Q3262" r:id="rId3064" xr:uid="{175CA396-B037-984F-B0AC-60443712DFA9}"/>
    <hyperlink ref="Q3269" r:id="rId3065" xr:uid="{0BB1D477-94F5-8449-B150-4EBC2AD91FD2}"/>
    <hyperlink ref="E3277" r:id="rId3066" xr:uid="{9F2721F6-2707-8B44-A313-B5BC91F68718}"/>
    <hyperlink ref="Q3277" r:id="rId3067" xr:uid="{9D084CCC-46E0-DF47-B145-93D290F88F78}"/>
    <hyperlink ref="Q3281" r:id="rId3068" xr:uid="{1729817B-6891-D94C-BF09-BE17D4F67306}"/>
    <hyperlink ref="E3280" r:id="rId3069" xr:uid="{696FB5C5-F7AC-0B41-B741-4BD5177BD87B}"/>
    <hyperlink ref="Q3280" r:id="rId3070" xr:uid="{78E4DD64-3067-2A43-920D-5632FF6A20E7}"/>
    <hyperlink ref="Q3285" r:id="rId3071" xr:uid="{F4983FFA-C5B8-9A4C-9D4F-8E5D7C7BBD6A}"/>
    <hyperlink ref="Q3287" r:id="rId3072" xr:uid="{BA1512E9-78A5-B649-8374-802F2B12BDB5}"/>
    <hyperlink ref="E3302" r:id="rId3073" xr:uid="{A9EDA145-A712-714A-B7D6-B70170884F74}"/>
    <hyperlink ref="Q3302" r:id="rId3074" xr:uid="{565E9601-B76C-B046-9585-F49A5CFC3F1A}"/>
    <hyperlink ref="E3306" r:id="rId3075" xr:uid="{5EF270FC-4395-A54B-9405-F12FBA00255B}"/>
    <hyperlink ref="E3311" r:id="rId3076" xr:uid="{5DF4A9F6-D721-0049-AAE6-A55D86FA57E2}"/>
    <hyperlink ref="Q3311" r:id="rId3077" xr:uid="{BD6C1DA8-B0AF-0D45-9C4D-1EAA809AE0BB}"/>
    <hyperlink ref="E3315" r:id="rId3078" xr:uid="{3A26126C-9DFB-3B47-832D-8B1FE3C28E2C}"/>
    <hyperlink ref="Q3315" r:id="rId3079" xr:uid="{7943065B-AA06-714B-AFD3-94082ECCE49F}"/>
    <hyperlink ref="Q3312" r:id="rId3080" xr:uid="{08F6E300-B76A-6F45-9EC9-6A7CE4F2DC5B}"/>
    <hyperlink ref="E3322" r:id="rId3081" xr:uid="{71AE1A09-3013-8140-86CD-419679FD6B81}"/>
    <hyperlink ref="Q3322" r:id="rId3082" xr:uid="{D69DB3D8-7233-FA4D-A5D8-18BCCACBD7EB}"/>
    <hyperlink ref="E3328" r:id="rId3083" xr:uid="{5843E203-C90A-6749-83C5-7A938168E685}"/>
    <hyperlink ref="Q3328" r:id="rId3084" xr:uid="{81362518-DE1C-3248-B906-C0942F5FBE49}"/>
    <hyperlink ref="Q3332" r:id="rId3085" xr:uid="{369E24F7-28BD-BF45-92E8-E808A55EAC15}"/>
    <hyperlink ref="Q2559" r:id="rId3086" xr:uid="{18D4F40A-BAEE-8848-AB25-18F5597952B0}"/>
    <hyperlink ref="E2589" r:id="rId3087" xr:uid="{FE912DC4-DFC6-D048-8A80-14F995B58B05}"/>
    <hyperlink ref="Q2589" r:id="rId3088" xr:uid="{A128B579-E315-F347-84CE-2EE2977F8053}"/>
    <hyperlink ref="Q2814" r:id="rId3089" xr:uid="{2E8E585B-F8EF-4846-AAD1-8E3B309ADC15}"/>
    <hyperlink ref="E2860" r:id="rId3090" xr:uid="{A704476C-65B1-5745-B301-22400D6743E7}"/>
    <hyperlink ref="Q2860" r:id="rId3091" xr:uid="{28A7ECA7-3D1F-FB46-8683-F06B7C5D5892}"/>
    <hyperlink ref="E3011" r:id="rId3092" xr:uid="{CD37D61B-E383-DD43-9B54-0A423DDFC913}"/>
    <hyperlink ref="Q3011" r:id="rId3093" xr:uid="{D7B06EF4-1E63-F947-A4CB-87814B4D8A6F}"/>
    <hyperlink ref="E3025" r:id="rId3094" xr:uid="{B0694502-1332-D24D-A36A-39DB6D4F4808}"/>
    <hyperlink ref="Q3025" r:id="rId3095" xr:uid="{F2032735-0E38-1D4D-BA9D-55C6A556F599}"/>
    <hyperlink ref="Q3055" r:id="rId3096" xr:uid="{C8596799-881A-F444-9C8C-5EA8816B7A4A}"/>
    <hyperlink ref="Q3118" r:id="rId3097" xr:uid="{D521C290-C2BA-BC4F-BBFE-9BB2ED7A19CD}"/>
    <hyperlink ref="E3202" r:id="rId3098" xr:uid="{FC00F302-82E0-1042-B9EE-07048758EF5F}"/>
    <hyperlink ref="Q3202" r:id="rId3099" xr:uid="{9A7DF752-54CA-DC41-87F3-40BB0E0B13DE}"/>
    <hyperlink ref="E3284" r:id="rId3100" xr:uid="{94763D3B-D31E-1B42-A8B5-C46C5ADFA1F8}"/>
    <hyperlink ref="Q3284" r:id="rId3101" xr:uid="{B2FAEF3C-9F2E-C541-B3C2-DC19999B1792}"/>
    <hyperlink ref="Q3294" r:id="rId3102" xr:uid="{16D4DDCF-6F4A-A049-8D2E-939C795D5F47}"/>
    <hyperlink ref="E3299" r:id="rId3103" xr:uid="{CA4CFA91-4030-E64A-8987-DA808F7B2B7D}"/>
    <hyperlink ref="Q3299" r:id="rId3104" xr:uid="{ADD1CBB3-C636-A043-8A2A-80F69A10C725}"/>
    <hyperlink ref="E2735" r:id="rId3105" xr:uid="{CC727119-ABF2-1D44-A3C8-68E42F12558F}"/>
    <hyperlink ref="Q2735" r:id="rId3106" xr:uid="{B63CEDA0-A2A0-A64D-93A5-41D99022977F}"/>
    <hyperlink ref="Q2770" r:id="rId3107" xr:uid="{0679AB8D-907C-F946-B28D-91B158BD63EA}"/>
    <hyperlink ref="E3187" r:id="rId3108" xr:uid="{73CBBD4D-3175-4C48-9749-E7BB443288AE}"/>
    <hyperlink ref="Q3187" r:id="rId3109" xr:uid="{6D8B4043-A1A8-C148-8780-9B33C12EAD71}"/>
    <hyperlink ref="Q3297" r:id="rId3110" xr:uid="{257E5037-C55E-704C-8A7A-B2E5C8A24121}"/>
    <hyperlink ref="Q2550" r:id="rId3111" xr:uid="{F1EE0AF7-9C42-F243-8E99-B0CE7002509A}"/>
    <hyperlink ref="Q2555" r:id="rId3112" xr:uid="{D864046F-9A21-884A-88C1-B972BE75A117}"/>
    <hyperlink ref="Q2556" r:id="rId3113" xr:uid="{24E1B5F3-079E-3541-AD1F-4ABA24A4956D}"/>
    <hyperlink ref="Q2564" r:id="rId3114" xr:uid="{BEF2A9B8-993E-1C43-B518-A6BBF2B1B4BC}"/>
    <hyperlink ref="Q2568" r:id="rId3115" xr:uid="{CD182845-0F6B-9147-A50B-453E0DED4ED1}"/>
    <hyperlink ref="Q2571" r:id="rId3116" xr:uid="{FE1C85AA-0073-D049-9BDA-6A864B558F30}"/>
    <hyperlink ref="Q2573" r:id="rId3117" xr:uid="{87357441-D609-B94B-ABE5-47950FA0B1BB}"/>
    <hyperlink ref="Q2578" r:id="rId3118" xr:uid="{B74BFFD7-2E96-7043-9DB8-E36AD71D5087}"/>
    <hyperlink ref="Q2575" r:id="rId3119" xr:uid="{68A3EE39-DC02-6545-BCA6-4801FEDCDDCD}"/>
    <hyperlink ref="Q2576" r:id="rId3120" xr:uid="{9D8264CB-A71D-C448-ABAD-676B2DCD2228}"/>
    <hyperlink ref="Q2583" r:id="rId3121" xr:uid="{0A8218E5-DDF4-DD46-92A3-1453874BEB2E}"/>
    <hyperlink ref="Q2584" r:id="rId3122" xr:uid="{FA844C6A-F21B-3246-8750-8E445863FEDA}"/>
    <hyperlink ref="Q2585" r:id="rId3123" xr:uid="{8FB173AB-C561-D943-989D-DD0A1A892BEA}"/>
    <hyperlink ref="Q2592" r:id="rId3124" xr:uid="{7AE53E1E-94D6-2248-8E5D-C5D9616AA148}"/>
    <hyperlink ref="Q2627" r:id="rId3125" xr:uid="{EE10F97A-99DA-0240-A88C-48F48B4A2622}"/>
    <hyperlink ref="Q2630" r:id="rId3126" xr:uid="{1DA4B7E5-CEA1-5746-9AD4-A2F9888EB393}"/>
    <hyperlink ref="Q2633" r:id="rId3127" xr:uid="{83BE855B-8E16-5A4B-B2AB-8048DB9792B3}"/>
    <hyperlink ref="Q2632" r:id="rId3128" xr:uid="{540A5C88-6513-BC45-89C7-07F6549E1D43}"/>
    <hyperlink ref="Q2635" r:id="rId3129" xr:uid="{01879171-198C-6C4C-B3F8-90F982EE2499}"/>
    <hyperlink ref="Q2634" r:id="rId3130" xr:uid="{A1CAA361-58E3-3047-85CA-A780CBA9A208}"/>
    <hyperlink ref="Q2644" r:id="rId3131" xr:uid="{C8EC0D7E-8E10-A94C-A59A-A857BA12A722}"/>
    <hyperlink ref="Q2642" r:id="rId3132" xr:uid="{C4748E16-E4F3-2540-91AD-BB97FCCE5FC2}"/>
    <hyperlink ref="Q2649" r:id="rId3133" xr:uid="{EADC063E-2677-0740-8FF8-914AC8EBBB79}"/>
    <hyperlink ref="Q2654" r:id="rId3134" xr:uid="{CBB0817A-D640-E94C-B628-3B0B575220BA}"/>
    <hyperlink ref="Q2655" r:id="rId3135" xr:uid="{C1B9A738-2DF4-6E42-8F24-EC728B9F6F87}"/>
    <hyperlink ref="Q2660" r:id="rId3136" xr:uid="{432D59FC-C913-A745-9A64-2F62552E41E4}"/>
    <hyperlink ref="Q2658" r:id="rId3137" xr:uid="{53C12A4E-7613-DF4F-A7FE-DD4FA2FDE41B}"/>
    <hyperlink ref="Q2664" r:id="rId3138" xr:uid="{62694586-6FD6-684C-94E3-2D15CAE31B4A}"/>
    <hyperlink ref="Q2662" r:id="rId3139" xr:uid="{726E09A8-9CDA-E94B-9049-A9FC90598761}"/>
    <hyperlink ref="Q2663" r:id="rId3140" xr:uid="{4C661740-328E-1045-B675-38696B69426A}"/>
    <hyperlink ref="Q2669" r:id="rId3141" xr:uid="{54835707-1085-7945-93E2-D24FBF4504FE}"/>
    <hyperlink ref="Q2677" r:id="rId3142" xr:uid="{59EDAF8B-CBFF-884C-997E-97EFAABC4F6F}"/>
    <hyperlink ref="Q2685" r:id="rId3143" xr:uid="{6D2FA827-DF61-9943-A3D1-BF5633AEB31A}"/>
    <hyperlink ref="Q2686" r:id="rId3144" xr:uid="{ACE30223-4CDD-004E-A60A-4FE5063FCAA3}"/>
    <hyperlink ref="Q2688" r:id="rId3145" xr:uid="{93CB6010-FA3D-1E44-9748-A92753A61314}"/>
    <hyperlink ref="Q2687" r:id="rId3146" xr:uid="{A5E06274-C521-B54F-BC0F-D02F0919FCDF}"/>
    <hyperlink ref="Q2690" r:id="rId3147" xr:uid="{E50371BB-CA5C-6141-A1A3-C3D5129792FD}"/>
    <hyperlink ref="Q2699" r:id="rId3148" xr:uid="{C498D2C9-C0B3-CC4B-B554-6A939AB0233C}"/>
    <hyperlink ref="Q2712" r:id="rId3149" xr:uid="{A02C45EF-D8E5-BF42-AB11-89D3F1FC50A2}"/>
    <hyperlink ref="Q2714" r:id="rId3150" xr:uid="{1A1780E5-87EE-144E-A4E9-F43E1CB4EE18}"/>
    <hyperlink ref="Q2717" r:id="rId3151" xr:uid="{6877E953-DFEC-FB4E-BFB9-52857B57A7CD}"/>
    <hyperlink ref="Q2721" r:id="rId3152" xr:uid="{97710FF3-9CA2-B24F-8DB6-89671856C75A}"/>
    <hyperlink ref="Q2724" r:id="rId3153" xr:uid="{1DD1E605-1AE2-9447-89BC-6B92F5536B9D}"/>
    <hyperlink ref="Q2722" r:id="rId3154" xr:uid="{BAF238E4-E31A-614B-83B1-F0F4FA7A96F3}"/>
    <hyperlink ref="Q2729" r:id="rId3155" xr:uid="{459C7945-1CA5-4949-AEEB-2DD67EABEEBF}"/>
    <hyperlink ref="Q2728" r:id="rId3156" xr:uid="{C6FD4A1A-534C-1049-B746-079868BEAABE}"/>
    <hyperlink ref="Q2731" r:id="rId3157" xr:uid="{2918C07F-5BF1-4D4B-B92B-668300FACA91}"/>
    <hyperlink ref="Q2734" r:id="rId3158" xr:uid="{915F8EE9-D4BB-894E-AD0B-65A33D3679C7}"/>
    <hyperlink ref="Q2732" r:id="rId3159" xr:uid="{E6E798D4-B3B2-4940-80DE-BAB50C8D7D95}"/>
    <hyperlink ref="Q2740" r:id="rId3160" xr:uid="{B7F5CAB9-F689-B14D-B77A-0D1AE3933E9F}"/>
    <hyperlink ref="Q2741" r:id="rId3161" xr:uid="{28F15EEA-52D1-BC4B-BC81-A12249C68E28}"/>
    <hyperlink ref="Q2744" r:id="rId3162" xr:uid="{A7EF2055-4F55-3C44-9248-E2D552B69A22}"/>
    <hyperlink ref="Q2748" r:id="rId3163" xr:uid="{B7195786-2CE4-D344-8228-DAC285E7BF40}"/>
    <hyperlink ref="Q2751" r:id="rId3164" xr:uid="{7CA037A2-4805-B745-B2CA-65D110D48C98}"/>
    <hyperlink ref="Q2755" r:id="rId3165" xr:uid="{A9E71A64-07A9-414A-8537-BBEE069C5383}"/>
    <hyperlink ref="Q2754" r:id="rId3166" xr:uid="{68B1083A-4C86-EB4B-99BF-CDF3DBE36AB5}"/>
    <hyperlink ref="Q2771" r:id="rId3167" xr:uid="{7A9CDBD5-B1C4-AE42-96A0-016E9E6C26A2}"/>
    <hyperlink ref="Q2769" r:id="rId3168" xr:uid="{EB63D650-9062-B24C-BC5D-F614DA10C68F}"/>
    <hyperlink ref="Q2766" r:id="rId3169" xr:uid="{1F69DDB7-8CC6-1041-B51D-DD308C12796A}"/>
    <hyperlink ref="Q2773" r:id="rId3170" xr:uid="{29B884E5-D13C-A54B-A4B5-3BDE24274EE8}"/>
    <hyperlink ref="Q2776" r:id="rId3171" xr:uid="{F0DFC8CE-0C57-074B-887C-1232474914FF}"/>
    <hyperlink ref="Q2774" r:id="rId3172" xr:uid="{2F4C5E55-8FE8-BD4B-8DE4-A2C8C54F947D}"/>
    <hyperlink ref="Q2783" r:id="rId3173" xr:uid="{C1A9941A-42D9-D845-8D22-0EC1B35CA861}"/>
    <hyperlink ref="Q2780" r:id="rId3174" xr:uid="{55C090F9-CF9E-2C45-91D9-5729D0C98778}"/>
    <hyperlink ref="Q2791" r:id="rId3175" xr:uid="{3691BDBD-F849-3844-AA6B-1F3F3E2B2D1C}"/>
    <hyperlink ref="Q2795" r:id="rId3176" xr:uid="{77264F9D-C361-2E46-B0B2-86A53FC635DA}"/>
    <hyperlink ref="Q2794" r:id="rId3177" xr:uid="{266008E9-2A21-B643-8D8B-F3A5E28CDD6B}"/>
    <hyperlink ref="Q2800" r:id="rId3178" xr:uid="{9F6FDA34-912E-1441-94CE-ACEBF30A32AC}"/>
    <hyperlink ref="Q2808" r:id="rId3179" xr:uid="{8AAC5FD7-4337-3142-9397-165C13DAD83B}"/>
    <hyperlink ref="Q2819" r:id="rId3180" xr:uid="{BECC9976-5D5C-4F4F-9B41-0577E76A831B}"/>
    <hyperlink ref="Q2818" r:id="rId3181" xr:uid="{9C3500EA-531E-5E43-A276-651127F1C3E0}"/>
    <hyperlink ref="Q2840" r:id="rId3182" xr:uid="{7F63DFDA-1D95-8447-8BDE-D40EF6DE20BB}"/>
    <hyperlink ref="Q2856" r:id="rId3183" xr:uid="{B2B3E944-B3B4-3747-9D03-508064F02286}"/>
    <hyperlink ref="Q2864" r:id="rId3184" xr:uid="{4DD87B50-4526-DE45-9B2A-4FCC98C61CBE}"/>
    <hyperlink ref="Q2879" r:id="rId3185" xr:uid="{B516278A-3976-6940-95E7-568363016AB4}"/>
    <hyperlink ref="Q2882" r:id="rId3186" xr:uid="{5AD95F38-C54F-7C4E-BE04-461CB609757F}"/>
    <hyperlink ref="Q2884" r:id="rId3187" xr:uid="{AA008BD8-4DE4-F14F-844C-3AFC187CCDFE}"/>
    <hyperlink ref="Q2886" r:id="rId3188" xr:uid="{F825FDCC-A643-FB4E-90ED-08E3DF3618C8}"/>
    <hyperlink ref="Q2913" r:id="rId3189" xr:uid="{096B4051-9BF1-1243-ACB2-09212DF92EB7}"/>
    <hyperlink ref="Q2915" r:id="rId3190" xr:uid="{8DB33E0A-0452-6D45-9777-AAA857B01ABC}"/>
    <hyperlink ref="Q2920" r:id="rId3191" xr:uid="{1A53ABE8-C094-5448-8A5A-14FBEC96088F}"/>
    <hyperlink ref="Q2921" r:id="rId3192" xr:uid="{EF432B80-1371-A54D-9E43-E3440FC72A43}"/>
    <hyperlink ref="Q2925" r:id="rId3193" xr:uid="{8BE97A94-A464-0E45-990B-3B542507656B}"/>
    <hyperlink ref="Q2929" r:id="rId3194" xr:uid="{71C93096-7494-884E-8479-823300F2DAB5}"/>
    <hyperlink ref="Q2935" r:id="rId3195" xr:uid="{2150CF49-BB3B-DA44-B848-FCBA594739F5}"/>
    <hyperlink ref="Q2934" r:id="rId3196" xr:uid="{7650A666-81F9-F640-84B1-A9DA41706DF7}"/>
    <hyperlink ref="Q2938" r:id="rId3197" xr:uid="{E8A8EF8B-765D-884B-B67E-5ED8CF218CF0}"/>
    <hyperlink ref="Q2943" r:id="rId3198" xr:uid="{5972EE17-8104-7D4E-889A-1571136DF627}"/>
    <hyperlink ref="Q2955" r:id="rId3199" xr:uid="{19DE9082-E3FE-194F-9074-BB111154A539}"/>
    <hyperlink ref="Q2956" r:id="rId3200" xr:uid="{03D73296-2A51-AB49-9CDF-A199DA366BD4}"/>
    <hyperlink ref="E2960" r:id="rId3201" xr:uid="{99F1184C-887E-9447-8E92-E71BCC2DA606}"/>
    <hyperlink ref="Q2960" r:id="rId3202" xr:uid="{27E3D53D-5BC0-0C43-8ED8-FEE560FEBC4E}"/>
    <hyperlink ref="E2972" r:id="rId3203" xr:uid="{A98BDB28-6C0F-BC48-84BC-F9D18D15DA22}"/>
    <hyperlink ref="Q2972" r:id="rId3204" xr:uid="{2B9667BE-AB0F-FE43-B862-22C4920EE5A0}"/>
    <hyperlink ref="E2971" r:id="rId3205" xr:uid="{2D9DA92F-BE46-2044-92AE-2A09D3E3F059}"/>
    <hyperlink ref="Q2971" r:id="rId3206" xr:uid="{BC3715CB-6F29-644E-9D9F-F4A8B79C3BC6}"/>
    <hyperlink ref="E2976" r:id="rId3207" xr:uid="{B73A0CD4-D7C8-5A46-BF2E-FB98BEDAD457}"/>
    <hyperlink ref="Q2976" r:id="rId3208" xr:uid="{FBBD7F3D-F271-424D-9C25-E239F7DD3A53}"/>
    <hyperlink ref="Q2980" r:id="rId3209" xr:uid="{037C9C96-08D2-1D40-BAC6-5CA839C31851}"/>
    <hyperlink ref="Q2986" r:id="rId3210" xr:uid="{B16835B7-A17E-7443-B87F-09181E31E104}"/>
    <hyperlink ref="E2981" r:id="rId3211" xr:uid="{9F1A0FBA-51AC-D74D-B4BC-957674ECB624}"/>
    <hyperlink ref="Q2981" r:id="rId3212" xr:uid="{F1A492C0-42E0-B740-BF2D-CECF9E3EE2CE}"/>
    <hyperlink ref="Q2989" r:id="rId3213" xr:uid="{507E5AB7-FC67-3749-958F-F7C3AB311941}"/>
    <hyperlink ref="Q2987" r:id="rId3214" xr:uid="{1013497B-0989-7B4D-9283-16452D19E7F0}"/>
    <hyperlink ref="E2991" r:id="rId3215" xr:uid="{17A06051-D9D1-B045-BA66-7F1002E6D507}"/>
    <hyperlink ref="Q2991" r:id="rId3216" xr:uid="{B6EF39DE-A7D3-E24A-928C-1CDE26CFA85A}"/>
    <hyperlink ref="E2997" r:id="rId3217" xr:uid="{4F35132E-D911-6D49-973E-F055ADDAA93C}"/>
    <hyperlink ref="Q2997" r:id="rId3218" xr:uid="{993F0890-CF14-FF4C-B9EE-C6F3A0C2B2A7}"/>
    <hyperlink ref="E3008" r:id="rId3219" xr:uid="{101A8692-3FDF-5F43-B35B-2EAE7FF19BEE}"/>
    <hyperlink ref="Q3008" r:id="rId3220" xr:uid="{8A89FD6C-D4D8-4848-A0B9-F6389DA99830}"/>
    <hyperlink ref="Q3012" r:id="rId3221" xr:uid="{6355DC6F-9533-F74B-9D1D-567F2EA43A5D}"/>
    <hyperlink ref="Q3015" r:id="rId3222" xr:uid="{8AE55816-41C2-AB46-994E-50F6CC4F8F55}"/>
    <hyperlink ref="Q3023" r:id="rId3223" xr:uid="{78EDDC11-6069-6447-B575-5E93FE1C2F11}"/>
    <hyperlink ref="E3027" r:id="rId3224" xr:uid="{E4714964-717A-1447-9B15-3C896D86AE32}"/>
    <hyperlink ref="Q3027" r:id="rId3225" xr:uid="{211DC37C-0958-934E-95D9-F430F96E1B5B}"/>
    <hyperlink ref="Q3038" r:id="rId3226" xr:uid="{5B9A7A80-9800-1145-92B1-B161E605C78A}"/>
    <hyperlink ref="Q3067" r:id="rId3227" xr:uid="{0C476A1E-594B-E742-816F-E0CC8D456C3D}"/>
    <hyperlink ref="Q3068" r:id="rId3228" xr:uid="{867736B6-058D-2548-AF97-21A6E6BDEC31}"/>
    <hyperlink ref="Q3069" r:id="rId3229" xr:uid="{7507549F-EFBF-4E42-A1D8-B58518440589}"/>
    <hyperlink ref="Q3071" r:id="rId3230" xr:uid="{4C97A8E6-E609-084A-9BF8-BFF5698C3815}"/>
    <hyperlink ref="Q3077" r:id="rId3231" xr:uid="{C4540A53-20D9-1A40-8331-0DB9D3C0CF64}"/>
    <hyperlink ref="Q3081" r:id="rId3232" xr:uid="{6E69A211-9505-9B43-A043-B8D26DA065E8}"/>
    <hyperlink ref="Q3109" r:id="rId3233" xr:uid="{B74D2BF4-18FE-0748-9ECF-D7BAF279C81C}"/>
    <hyperlink ref="E3114" r:id="rId3234" xr:uid="{45343C74-F41C-4848-8958-8E420B4C0786}"/>
    <hyperlink ref="Q3114" r:id="rId3235" xr:uid="{6BEA9E1E-F940-B64D-AC13-597C147D0D1B}"/>
    <hyperlink ref="Q3117" r:id="rId3236" xr:uid="{BF4DA967-3095-5E4A-9375-299DDFFC6CAE}"/>
    <hyperlink ref="E3145" r:id="rId3237" xr:uid="{CCCED307-34CB-464B-8C8F-8EDD2A86FDA2}"/>
    <hyperlink ref="Q3145" r:id="rId3238" xr:uid="{3E96D0AF-33D8-F146-8523-49DC812CBB66}"/>
    <hyperlink ref="E3167" r:id="rId3239" xr:uid="{07CA29C9-E051-104F-AC0D-6BA647A58F3C}"/>
    <hyperlink ref="Q3167" r:id="rId3240" xr:uid="{7A9324DD-2567-8442-AD90-5639C64E22F2}"/>
    <hyperlink ref="Q3183" r:id="rId3241" xr:uid="{E0F489F6-2991-9F4D-9187-2C38A2FF0F7E}"/>
    <hyperlink ref="Q3199" r:id="rId3242" xr:uid="{89E972AF-AED5-B344-97E7-B301636EF70B}"/>
    <hyperlink ref="E3230" r:id="rId3243" xr:uid="{63952017-F5D3-3248-86E7-CA6FE7466DF0}"/>
    <hyperlink ref="Q3230" r:id="rId3244" xr:uid="{C58FD15D-542D-BB40-B3DC-346C1EE1A077}"/>
    <hyperlink ref="Q3239" r:id="rId3245" xr:uid="{E3EDF765-7A09-2A4F-80EB-B28D28035E73}"/>
    <hyperlink ref="E3244" r:id="rId3246" xr:uid="{662A1142-1E55-FA4B-AFE5-E2FE11A6C2FA}"/>
    <hyperlink ref="Q3244" r:id="rId3247" xr:uid="{B6CDB0A8-C5CA-214E-AA58-A456CC6CC0FF}"/>
    <hyperlink ref="Q3275" r:id="rId3248" xr:uid="{04198154-96F8-A84B-BCFF-AF4B6BC5C6CB}"/>
    <hyperlink ref="E2548" r:id="rId3249" xr:uid="{134095BC-4A5B-624C-A645-93BF1DD4EB92}"/>
    <hyperlink ref="Q2548" r:id="rId3250" xr:uid="{0FD5C570-A843-D943-94A3-DE8837190035}"/>
    <hyperlink ref="E2552" r:id="rId3251" xr:uid="{52385F29-CA40-A74E-B764-0A8FF869CCE1}"/>
    <hyperlink ref="Q2552" r:id="rId3252" xr:uid="{F2881DA7-FC4A-C242-BD84-718E9F1FDB72}"/>
    <hyperlink ref="E2560" r:id="rId3253" xr:uid="{A4BD18BD-3E11-CB42-B4D6-B0C94CDFA093}"/>
    <hyperlink ref="Q2560" r:id="rId3254" xr:uid="{376ADD73-CB28-614D-A36B-5A9EA1E76546}"/>
    <hyperlink ref="E2565" r:id="rId3255" xr:uid="{14CE4032-C211-A747-AA0F-32B23A722B93}"/>
    <hyperlink ref="Q2565" r:id="rId3256" xr:uid="{DD7E3532-2084-F44F-97E2-8BAACD2E287B}"/>
    <hyperlink ref="Q2567" r:id="rId3257" xr:uid="{61CA31C3-1263-7D46-B592-4421AD8AB59A}"/>
    <hyperlink ref="Q2570" r:id="rId3258" xr:uid="{A3DC38B7-088F-0B4B-94E4-611A3E25EE31}"/>
    <hyperlink ref="Q2574" r:id="rId3259" xr:uid="{9A8D4A62-BB5B-6743-B94F-5EFC80E4CE50}"/>
    <hyperlink ref="E2577" r:id="rId3260" xr:uid="{4FBE2B7D-F1F1-9447-9950-74592D586660}"/>
    <hyperlink ref="Q2577" r:id="rId3261" xr:uid="{D1A8A464-FA46-CF41-A75C-66078B2D0861}"/>
    <hyperlink ref="Q2582" r:id="rId3262" xr:uid="{7164E8F3-29E6-DB41-B930-EB1351B639EC}"/>
    <hyperlink ref="Q2579" r:id="rId3263" xr:uid="{22604BF2-60ED-9643-A755-A634EC660BCE}"/>
    <hyperlink ref="Q2586" r:id="rId3264" xr:uid="{3AD247A0-9D98-8444-85F6-4AB946C86CAB}"/>
    <hyperlink ref="E2587" r:id="rId3265" xr:uid="{B8321E15-5113-1E41-AB95-3999F9FFDDC0}"/>
    <hyperlink ref="Q2587" r:id="rId3266" xr:uid="{85166552-A7BD-D64E-BFA5-A13DAE97CBB8}"/>
    <hyperlink ref="E2594" r:id="rId3267" xr:uid="{59C1AB4C-2550-7947-9BBB-F2701BB61607}"/>
    <hyperlink ref="Q2594" r:id="rId3268" xr:uid="{8A8011B1-D137-8C4D-B266-13D949A6E040}"/>
    <hyperlink ref="E2593" r:id="rId3269" xr:uid="{D99BFC23-79CA-9242-9D84-81741990E04B}"/>
    <hyperlink ref="Q2593" r:id="rId3270" xr:uid="{AE5E644D-B098-8044-86C3-EF7F6FE31008}"/>
    <hyperlink ref="Q2597" r:id="rId3271" xr:uid="{F271DB2A-ECCE-1B49-A400-CA73492CF865}"/>
    <hyperlink ref="Q2600" r:id="rId3272" xr:uid="{A3CCDCFD-1194-9B4D-8B4C-63C8AC6ECE0E}"/>
    <hyperlink ref="E2598" r:id="rId3273" xr:uid="{ACB8D39F-C224-634B-B0D8-7E2EBD8E9270}"/>
    <hyperlink ref="Q2598" r:id="rId3274" xr:uid="{64670B88-8D43-5246-81EC-5CD2475999E6}"/>
    <hyperlink ref="E2606" r:id="rId3275" xr:uid="{379820B4-EBB2-9448-8B93-037FCC8D201B}"/>
    <hyperlink ref="Q2606" r:id="rId3276" xr:uid="{6917E3C5-6612-344E-B23E-E2F6E861CD0B}"/>
    <hyperlink ref="E2607" r:id="rId3277" xr:uid="{3FF02C93-4F6A-F642-A1C3-FA3540AAF634}"/>
    <hyperlink ref="Q2607" r:id="rId3278" xr:uid="{FB642914-F678-6B40-A089-BE6AD16E7E5D}"/>
    <hyperlink ref="E2610" r:id="rId3279" xr:uid="{DE958ED4-2E76-0B4F-BFD8-95BCFA3532F0}"/>
    <hyperlink ref="Q2610" r:id="rId3280" xr:uid="{9224F389-16A1-A748-B1FF-014876C4BDF2}"/>
    <hyperlink ref="E2612" r:id="rId3281" xr:uid="{DD229AF3-4DAB-194E-A666-E99701CE95D5}"/>
    <hyperlink ref="Q2612" r:id="rId3282" xr:uid="{146BC03B-C570-2446-9E8B-C1A125B9A970}"/>
    <hyperlink ref="E2614" r:id="rId3283" xr:uid="{C334BA08-2CC1-BA4E-98C9-02AADDAF311B}"/>
    <hyperlink ref="Q2614" r:id="rId3284" xr:uid="{F13625D3-3587-774C-AF22-A83A65FDB253}"/>
    <hyperlink ref="Q2613" r:id="rId3285" xr:uid="{439F361C-5894-614E-9B58-5DE5631A1781}"/>
    <hyperlink ref="E2615" r:id="rId3286" xr:uid="{89E60D58-2C91-4F4F-AD49-0E46BC3160CB}"/>
    <hyperlink ref="Q2615" r:id="rId3287" xr:uid="{37EFAEC9-F63B-5C40-B1FD-9429ECEDFC29}"/>
    <hyperlink ref="Q2622" r:id="rId3288" xr:uid="{3FA4E666-08A2-714F-BBC9-47D82D8A2FCF}"/>
    <hyperlink ref="Q2618" r:id="rId3289" xr:uid="{EC6ABB0D-3A5E-4742-A8D4-AA6776E5EC6F}"/>
    <hyperlink ref="Q2619" r:id="rId3290" xr:uid="{C4529603-FA2C-8F4B-8050-9645C2713A6F}"/>
    <hyperlink ref="Q2621" r:id="rId3291" xr:uid="{FB4FDCAB-68E5-E040-8C33-24B48A30F6E0}"/>
    <hyperlink ref="E2626" r:id="rId3292" xr:uid="{963FC4ED-0A7D-CD40-98FF-A4043B105CDB}"/>
    <hyperlink ref="Q2626" r:id="rId3293" xr:uid="{A0279163-132C-A942-AE86-5C75E02A5018}"/>
    <hyperlink ref="E2624" r:id="rId3294" xr:uid="{341014EF-58CE-4148-BEDC-E3411C9341EE}"/>
    <hyperlink ref="Q2624" r:id="rId3295" xr:uid="{28E440DE-B30E-D14B-BE48-78D79E397154}"/>
    <hyperlink ref="E2631" r:id="rId3296" xr:uid="{D1E1390C-47D3-4346-84BC-D931170D5E61}"/>
    <hyperlink ref="Q2631" r:id="rId3297" xr:uid="{F72AB75C-CD5E-CB43-B604-C01E4FBA9990}"/>
    <hyperlink ref="E2637" r:id="rId3298" xr:uid="{C8D755CB-9FF0-3141-92D4-8F9391A5A77A}"/>
    <hyperlink ref="Q2637" r:id="rId3299" xr:uid="{3DED017A-3CF4-8A48-9044-D2701EC67A75}"/>
    <hyperlink ref="E2638" r:id="rId3300" xr:uid="{489C22B7-E2D9-AC4C-B929-A6DE93E5C320}"/>
    <hyperlink ref="Q2638" r:id="rId3301" xr:uid="{82901FC4-D735-F544-A616-22E15756FD26}"/>
    <hyperlink ref="E2641" r:id="rId3302" xr:uid="{4F9862F1-7ACF-2343-B061-78595C794318}"/>
    <hyperlink ref="Q2641" r:id="rId3303" xr:uid="{EA196210-7809-AF48-BAD2-93D049036524}"/>
    <hyperlink ref="Q2640" r:id="rId3304" xr:uid="{F609198E-F1DC-1A41-8FC1-597EB3FAE566}"/>
    <hyperlink ref="E2648" r:id="rId3305" xr:uid="{8BE0C9AC-1F3A-0D44-B6A7-9F554FCA72C6}"/>
    <hyperlink ref="Q2648" r:id="rId3306" xr:uid="{C92CAD85-63C9-9240-9705-574B8AE4139F}"/>
    <hyperlink ref="E2651" r:id="rId3307" xr:uid="{76C49EBF-FEAD-8D4A-B37B-6EE6A38919BF}"/>
    <hyperlink ref="Q2651" r:id="rId3308" xr:uid="{253057A7-8405-8540-A6FB-3F5D4F041E31}"/>
    <hyperlink ref="E2657" r:id="rId3309" xr:uid="{A7BA7864-17B1-144E-9B65-888C9EECD514}"/>
    <hyperlink ref="Q2657" r:id="rId3310" xr:uid="{AD00FF4F-4046-A041-A815-F4D84D4F7A79}"/>
    <hyperlink ref="E2661" r:id="rId3311" xr:uid="{F86612E0-2F79-254E-B7B4-626C609E1098}"/>
    <hyperlink ref="Q2661" r:id="rId3312" xr:uid="{794E24B9-39F9-174A-BD05-60FC5644CB28}"/>
    <hyperlink ref="E2666" r:id="rId3313" xr:uid="{D72F1FE7-0CF5-8E40-8412-FC594F4F0A1F}"/>
    <hyperlink ref="Q2666" r:id="rId3314" xr:uid="{39F9F6AF-71AF-C545-9EDE-AF6D94718AFA}"/>
    <hyperlink ref="Q2667" r:id="rId3315" xr:uid="{4F139754-40CB-9C4C-B0E2-AE37CD4C1971}"/>
    <hyperlink ref="E2674" r:id="rId3316" xr:uid="{67E98B3B-5717-C943-8E89-FE8C9EC03617}"/>
    <hyperlink ref="Q2674" r:id="rId3317" xr:uid="{11739625-5D32-F946-B4A7-F3541883FB59}"/>
    <hyperlink ref="Q2676" r:id="rId3318" xr:uid="{9FFADB0A-975F-ED43-8DD4-0066FE37CD1C}"/>
    <hyperlink ref="Q2675" r:id="rId3319" xr:uid="{3236E0BA-0AA8-E64B-800B-FD660D811C51}"/>
    <hyperlink ref="E2682" r:id="rId3320" xr:uid="{97DF1964-1BAA-6540-8ADE-B91EDEE3826E}"/>
    <hyperlink ref="Q2682" r:id="rId3321" xr:uid="{03C8C642-B611-C34F-B134-FFC8E563BB87}"/>
    <hyperlink ref="E2689" r:id="rId3322" xr:uid="{36B4525E-AC1C-3F4D-845B-3DDAC0AD0A50}"/>
    <hyperlink ref="Q2689" r:id="rId3323" xr:uid="{A20FCD94-7C70-2F4B-AF4E-7BB316238B97}"/>
    <hyperlink ref="E2694" r:id="rId3324" xr:uid="{18756F39-3A76-C04E-8F65-F122F4F496C4}"/>
    <hyperlink ref="Q2694" r:id="rId3325" xr:uid="{D27DBB8E-8EFC-444F-B221-837BF4C2CCFE}"/>
    <hyperlink ref="Q2692" r:id="rId3326" xr:uid="{506269DB-D2AF-B64D-A116-BE97D13338E3}"/>
    <hyperlink ref="E2691" r:id="rId3327" xr:uid="{58672A1D-3B24-9843-9439-3EB2631F54FA}"/>
    <hyperlink ref="Q2691" r:id="rId3328" xr:uid="{D59DA124-B4A5-4A45-BF31-65E0022D6656}"/>
    <hyperlink ref="E2698" r:id="rId3329" xr:uid="{57786C8A-95C8-7E4C-93A4-244F2BB12E5C}"/>
    <hyperlink ref="Q2698" r:id="rId3330" xr:uid="{A67F0C71-402F-254C-978F-911A7D3C13F7}"/>
    <hyperlink ref="Q2697" r:id="rId3331" xr:uid="{A3EFE328-CB2F-6341-B2F5-E3E13370130F}"/>
    <hyperlink ref="E2703" r:id="rId3332" xr:uid="{82D1BAFB-A217-1D4A-81C3-65CAD186F561}"/>
    <hyperlink ref="Q2703" r:id="rId3333" xr:uid="{D9495D05-D209-1F49-9ADB-DE71D030ECF6}"/>
    <hyperlink ref="Q2702" r:id="rId3334" xr:uid="{2D2DB258-E9C6-E441-968A-E116825ED79E}"/>
    <hyperlink ref="E2704" r:id="rId3335" xr:uid="{1E6BA139-333B-4E42-88ED-42E510FF2FC3}"/>
    <hyperlink ref="Q2704" r:id="rId3336" xr:uid="{713544C9-EFA3-CE41-A0EB-5B5CA5F4A0E4}"/>
    <hyperlink ref="E2706" r:id="rId3337" xr:uid="{D1131C8F-6434-2243-BC1E-0445ADE8FFE7}"/>
    <hyperlink ref="Q2706" r:id="rId3338" xr:uid="{0591C3A3-BAF9-FE40-8603-2458718774A1}"/>
    <hyperlink ref="Q2705" r:id="rId3339" xr:uid="{6FC7B7A8-6978-BB4A-932E-A3CEE8D51AE6}"/>
    <hyperlink ref="Q2708" r:id="rId3340" xr:uid="{53425E47-CAC4-A544-B596-BE1D89F06E56}"/>
    <hyperlink ref="E2709" r:id="rId3341" xr:uid="{DD7F84E3-B4D1-2D41-90EB-FEEE5F862774}"/>
    <hyperlink ref="Q2709" r:id="rId3342" xr:uid="{13CE68E5-8624-294C-B8D8-F5D0BC0CBA25}"/>
    <hyperlink ref="Q2713" r:id="rId3343" xr:uid="{4AF72540-9856-2C49-8665-B29B8D6AA2B3}"/>
    <hyperlink ref="E2718" r:id="rId3344" xr:uid="{47EB9CB1-958E-4E42-BC8B-DB494FBBD588}"/>
    <hyperlink ref="Q2718" r:id="rId3345" xr:uid="{C960F162-C255-3E45-92AC-A5716893D1CB}"/>
    <hyperlink ref="E2716" r:id="rId3346" xr:uid="{01DD70F1-2C16-D543-A150-FD5141965C17}"/>
    <hyperlink ref="Q2716" r:id="rId3347" xr:uid="{7280CA04-AB66-AC43-A974-AF906FD3C645}"/>
    <hyperlink ref="E2719" r:id="rId3348" xr:uid="{FFBDD187-5E95-B846-98EC-1BF36EFEAD81}"/>
    <hyperlink ref="Q2719" r:id="rId3349" xr:uid="{B9B71076-EFA1-D44C-9ED1-DC374EE351B4}"/>
    <hyperlink ref="E2720" r:id="rId3350" xr:uid="{43F566AE-04B8-CA45-BEE5-0B66AF8B1FF8}"/>
    <hyperlink ref="Q2720" r:id="rId3351" location=".WW46GQXy7sQ.twitter" xr:uid="{5462409A-4454-F147-B3AA-CC39E44D9CF8}"/>
    <hyperlink ref="Q2723" r:id="rId3352" xr:uid="{1EEFF3AF-60F0-644B-833B-271A6725199D}"/>
    <hyperlink ref="E2726" r:id="rId3353" xr:uid="{394A54DD-A738-674B-9CE4-66BC0FBCC9DD}"/>
    <hyperlink ref="Q2726" r:id="rId3354" xr:uid="{1DF1C6D9-C822-5A42-8AA9-A10225E0FF91}"/>
    <hyperlink ref="E2730" r:id="rId3355" xr:uid="{62B9E2ED-3290-E74F-B396-CFCA20E9D99B}"/>
    <hyperlink ref="Q2730" r:id="rId3356" location="11" xr:uid="{62AFFC74-5C9D-B74A-8790-6F30CAC9D105}"/>
    <hyperlink ref="Q2733" r:id="rId3357" xr:uid="{8227D4E6-42AF-274B-889D-28ECD21C264D}"/>
    <hyperlink ref="E2736" r:id="rId3358" xr:uid="{3AD01FD1-CCB1-3E4C-BB14-627654A0A1F2}"/>
    <hyperlink ref="Q2736" r:id="rId3359" xr:uid="{D4647E5C-DAC7-8442-A980-58F8A5CEF6C3}"/>
    <hyperlink ref="E2737" r:id="rId3360" xr:uid="{B7284DBE-EB42-C644-9615-52A03EFD9CA4}"/>
    <hyperlink ref="Q2737" r:id="rId3361" xr:uid="{BDE28C92-D2E8-AC4B-8B65-08F1692C4DC2}"/>
    <hyperlink ref="Q2738" r:id="rId3362" xr:uid="{2EBC869D-2E8F-724D-9C36-13228A5B1FF5}"/>
    <hyperlink ref="Q2743" r:id="rId3363" xr:uid="{EF932C3A-9639-4343-842F-377CA36DB100}"/>
    <hyperlink ref="Q2742" r:id="rId3364" xr:uid="{B1FB6321-EF36-4F4D-96AA-04424ABC061A}"/>
    <hyperlink ref="E2745" r:id="rId3365" xr:uid="{A7E66A37-E1F4-7E46-9EB2-115680D3E2B4}"/>
    <hyperlink ref="Q2745" r:id="rId3366" xr:uid="{83A0B1D1-D044-C749-968B-02E7E9E381BD}"/>
    <hyperlink ref="E2749" r:id="rId3367" xr:uid="{D06CC883-C052-824A-8370-D077B3F5D493}"/>
    <hyperlink ref="Q2749" r:id="rId3368" xr:uid="{AE5DAC1F-254A-6644-A50A-DB27FB6DF9F5}"/>
    <hyperlink ref="Q2746" r:id="rId3369" xr:uid="{7A853C9B-ADDE-6842-8F55-7A965CAE18E8}"/>
    <hyperlink ref="E2753" r:id="rId3370" xr:uid="{81BF7F36-61EE-7042-BF4C-7732845FABFF}"/>
    <hyperlink ref="Q2753" r:id="rId3371" xr:uid="{BE94E04A-8C66-1045-AC78-A68DCEC27E9F}"/>
    <hyperlink ref="E2752" r:id="rId3372" xr:uid="{D2904E27-4F31-5746-B5C4-8EA79BAF2B95}"/>
    <hyperlink ref="Q2752" r:id="rId3373" xr:uid="{73B64F9A-838F-3549-B45F-75506FC976B8}"/>
    <hyperlink ref="E2761" r:id="rId3374" xr:uid="{1817350E-65E3-F24F-A13F-DE434F54F44D}"/>
    <hyperlink ref="Q2761" r:id="rId3375" xr:uid="{6D4EF2AF-3522-C54D-B46F-AAF360CABA67}"/>
    <hyperlink ref="E2762" r:id="rId3376" xr:uid="{D6750B4C-BF92-6740-A5BA-4D3C2BA2B61E}"/>
    <hyperlink ref="Q2762" r:id="rId3377" xr:uid="{D28EC590-922C-0C4A-8801-8BDD4FAAC4F6}"/>
    <hyperlink ref="Q2765" r:id="rId3378" xr:uid="{002ABE98-1F2E-7A41-85AA-0C91A341F027}"/>
    <hyperlink ref="E2760" r:id="rId3379" xr:uid="{F565F364-641A-D540-8DC4-4F624307B3DB}"/>
    <hyperlink ref="Q2760" r:id="rId3380" xr:uid="{D66E76D1-3FB4-9D42-A67F-0495CA357549}"/>
    <hyperlink ref="E2767" r:id="rId3381" xr:uid="{6241E3C8-EF93-2D46-A76A-8E93BC56F5DD}"/>
    <hyperlink ref="Q2767" r:id="rId3382" xr:uid="{E7E10D46-A8D7-DA4A-A3B4-D69AEF60BA14}"/>
    <hyperlink ref="Q2768" r:id="rId3383" xr:uid="{7EC8880E-A82A-D147-AF99-DE7E19522430}"/>
    <hyperlink ref="Q2778" r:id="rId3384" xr:uid="{FCB83021-8624-1C49-B376-C9272876020D}"/>
    <hyperlink ref="Q2779" r:id="rId3385" xr:uid="{F1FF19E6-00FB-C04E-B3F1-5E0E6A7D4AA2}"/>
    <hyperlink ref="Q2785" r:id="rId3386" xr:uid="{95F2635C-B236-9940-BFB2-ECF1041831B8}"/>
    <hyperlink ref="E2796" r:id="rId3387" xr:uid="{ECDC9D40-3866-2C48-A628-D084DED5A96A}"/>
    <hyperlink ref="Q2796" r:id="rId3388" xr:uid="{770EA497-78FA-244C-A069-9ACA6DC40DA5}"/>
    <hyperlink ref="Q2801" r:id="rId3389" xr:uid="{A75C1739-D56D-DF4A-BCBB-2105A1D8FE03}"/>
    <hyperlink ref="Q2799" r:id="rId3390" xr:uid="{A266AA99-B653-004F-84D0-FF4CAB3FA341}"/>
    <hyperlink ref="Q2806" r:id="rId3391" xr:uid="{9515CDEE-DA20-614B-8EE1-C8EC69139882}"/>
    <hyperlink ref="Q2809" r:id="rId3392" xr:uid="{64B636CA-2F5C-284C-B0C2-BBFCF9693441}"/>
    <hyperlink ref="Q2810" r:id="rId3393" xr:uid="{EE915184-391E-ED4F-BC4A-9AFA1A3A99EF}"/>
    <hyperlink ref="Q2811" r:id="rId3394" xr:uid="{B13B56CA-14C4-D54C-B4A3-8AFBD841177A}"/>
    <hyperlink ref="Q2813" r:id="rId3395" xr:uid="{0C1CABC0-C54D-324C-9E49-371E3047E084}"/>
    <hyperlink ref="Q2816" r:id="rId3396" xr:uid="{1F671B9F-3361-3445-8632-162D632EB781}"/>
    <hyperlink ref="E2821" r:id="rId3397" xr:uid="{D04BC04A-E103-F040-A504-5708DB09F51E}"/>
    <hyperlink ref="Q2821" r:id="rId3398" xr:uid="{2D0A98FE-53B7-074C-BD8A-0C5A289FF7D4}"/>
    <hyperlink ref="E2824" r:id="rId3399" xr:uid="{75AEA637-B7AC-C444-BF97-FAA86C96C2D3}"/>
    <hyperlink ref="Q2824" r:id="rId3400" xr:uid="{7F639E49-8211-3046-976C-31DA7E452966}"/>
    <hyperlink ref="E2825" r:id="rId3401" xr:uid="{861B3D76-67A6-8F42-A3B8-1D5E2B59A2B8}"/>
    <hyperlink ref="Q2825" r:id="rId3402" xr:uid="{96A67BC3-7DBD-0540-9363-1637DB6B7268}"/>
    <hyperlink ref="E2826" r:id="rId3403" xr:uid="{A3970472-D751-3F49-B201-3C82C4F9F026}"/>
    <hyperlink ref="Q2826" r:id="rId3404" xr:uid="{874096A4-C983-6D43-BDB7-49A3927C47AB}"/>
    <hyperlink ref="E2827" r:id="rId3405" xr:uid="{4A9F6A12-87D4-4143-8FB2-96D7E01C5BEF}"/>
    <hyperlink ref="Q2827" r:id="rId3406" xr:uid="{42B5BACB-7686-8847-AB95-F9D4783A8C4C}"/>
    <hyperlink ref="E2828" r:id="rId3407" xr:uid="{B88255E1-5255-6846-A011-C2F8C1602840}"/>
    <hyperlink ref="Q2828" r:id="rId3408" xr:uid="{95D3FB10-66E9-D448-991F-59DF68D02284}"/>
    <hyperlink ref="E2831" r:id="rId3409" xr:uid="{E2E1CD53-9E4D-A346-9406-ABC84A6BE9B8}"/>
    <hyperlink ref="Q2831" r:id="rId3410" xr:uid="{BF7EF97D-6859-6045-82B4-9CD73D4AEEE9}"/>
    <hyperlink ref="E2832" r:id="rId3411" xr:uid="{BD656023-1EFD-5549-A0A1-E711C00AF032}"/>
    <hyperlink ref="Q2832" r:id="rId3412" xr:uid="{C3581AC5-3E35-254B-90AE-96625861C9A3}"/>
    <hyperlink ref="Q2835" r:id="rId3413" xr:uid="{1A351092-D15E-AB46-B2BA-525DDCD598DC}"/>
    <hyperlink ref="Q2839" r:id="rId3414" xr:uid="{295CFC8A-1F85-F442-B335-580344460B4F}"/>
    <hyperlink ref="Q2842" r:id="rId3415" xr:uid="{98E24104-470F-9D4E-A440-9FBF1044F672}"/>
    <hyperlink ref="Q2841" r:id="rId3416" xr:uid="{C125BA59-7325-F449-AB34-042E2340DDA7}"/>
    <hyperlink ref="E2845" r:id="rId3417" xr:uid="{AE73AFDB-FB79-D848-934B-E7C740E9875D}"/>
    <hyperlink ref="Q2845" r:id="rId3418" xr:uid="{7DD372BB-3890-6847-BE56-2D1D5E5D9036}"/>
    <hyperlink ref="Q2850" r:id="rId3419" xr:uid="{B7B00B2D-3792-264C-9D50-4D15EB7E5E75}"/>
    <hyperlink ref="E2846" r:id="rId3420" xr:uid="{80E8484F-A26C-2443-B9F7-66B03E86725A}"/>
    <hyperlink ref="Q2846" r:id="rId3421" xr:uid="{EF98C335-539F-3345-AA46-A95C5785E385}"/>
    <hyperlink ref="E2855" r:id="rId3422" xr:uid="{48E07470-6165-004A-8E42-1FF6D40BF1AF}"/>
    <hyperlink ref="Q2855" r:id="rId3423" xr:uid="{4E2DFDD6-C234-9647-9E85-013DEE8F82FC}"/>
    <hyperlink ref="E2851" r:id="rId3424" xr:uid="{C19F6FE1-7496-F740-8590-D2E418F92742}"/>
    <hyperlink ref="Q2851" r:id="rId3425" xr:uid="{6D2FA5AD-5638-D54F-9D62-EA9CB80A7BAF}"/>
    <hyperlink ref="E2854" r:id="rId3426" xr:uid="{4A951BDA-F869-614B-A244-BC608E68D4AE}"/>
    <hyperlink ref="Q2854" r:id="rId3427" xr:uid="{3E5F50D0-CC02-3447-9FE5-D69DACA516AC}"/>
    <hyperlink ref="Q2852" r:id="rId3428" xr:uid="{8DD931BC-2706-F245-A087-9DF2AF3BB357}"/>
    <hyperlink ref="E2861" r:id="rId3429" xr:uid="{FC904CF0-BD55-6045-826C-7DEAA53AA12E}"/>
    <hyperlink ref="Q2861" r:id="rId3430" xr:uid="{FAB22ABF-F2F1-1942-B56D-16F5E1EB344F}"/>
    <hyperlink ref="E2862" r:id="rId3431" xr:uid="{FE27CBF7-7701-714D-80E8-654828D657A4}"/>
    <hyperlink ref="Q2862" r:id="rId3432" xr:uid="{62D4308C-4342-3F40-8ABC-F3A3C50E7BB5}"/>
    <hyperlink ref="Q2865" r:id="rId3433" xr:uid="{BE7642F2-41CE-A149-947C-6B920E4EE4BB}"/>
    <hyperlink ref="Q2863" r:id="rId3434" xr:uid="{06F854E3-F181-DA44-93A2-6B4D21780BEE}"/>
    <hyperlink ref="Q2866" r:id="rId3435" xr:uid="{A61FD92C-B8CB-2849-BB4D-B1C766205C8A}"/>
    <hyperlink ref="Q2867" r:id="rId3436" xr:uid="{A30D9E58-89D0-AB41-98D4-781D9A6E34FC}"/>
    <hyperlink ref="E2875" r:id="rId3437" xr:uid="{79D0B54D-5574-C240-A9C4-6875924789A9}"/>
    <hyperlink ref="Q2875" r:id="rId3438" xr:uid="{41787BB1-80E2-2A4F-9BD9-4FB309B65BFE}"/>
    <hyperlink ref="E2876" r:id="rId3439" xr:uid="{182DBA3F-B7C2-E848-B34E-880E5A7C9C2B}"/>
    <hyperlink ref="Q2876" r:id="rId3440" xr:uid="{B0549A45-B9AA-9C42-B88D-AE6898079767}"/>
    <hyperlink ref="Q2877" r:id="rId3441" xr:uid="{EB5ACAA3-5EB6-974C-9D37-42DEDCC7E341}"/>
    <hyperlink ref="E2880" r:id="rId3442" xr:uid="{1BE7FF62-BE37-7C41-9BCA-4491096D23E3}"/>
    <hyperlink ref="Q2880" r:id="rId3443" xr:uid="{D3F792C2-A3A9-F642-80A8-E3BE72151E91}"/>
    <hyperlink ref="E2885" r:id="rId3444" xr:uid="{5FE80C37-2546-1D40-9924-3F8684FC75C5}"/>
    <hyperlink ref="Q2885" r:id="rId3445" xr:uid="{E17B852D-22DA-B149-92E7-6D6C5A00EEC9}"/>
    <hyperlink ref="Q2890" r:id="rId3446" xr:uid="{9D2B49F9-FABC-CF44-8104-BEEA7CFADD23}"/>
    <hyperlink ref="E2891" r:id="rId3447" xr:uid="{1812ABEA-3F50-1842-9937-9FD32854A677}"/>
    <hyperlink ref="Q2891" r:id="rId3448" xr:uid="{F92FE239-3564-D647-AFED-4268A5834FFA}"/>
    <hyperlink ref="E2894" r:id="rId3449" xr:uid="{D6DCF009-3BC5-A047-A7BB-577505F24371}"/>
    <hyperlink ref="Q2894" r:id="rId3450" xr:uid="{A77E8B17-76F6-C247-9FD7-D9276C5A0819}"/>
    <hyperlink ref="Q2895" r:id="rId3451" xr:uid="{591B55AA-C29C-1C42-924B-C3930E658D1D}"/>
    <hyperlink ref="E2896" r:id="rId3452" xr:uid="{F3FAE46A-3A19-824F-A8EC-1251F9DA933F}"/>
    <hyperlink ref="Q2896" r:id="rId3453" xr:uid="{89A3A290-ED37-574D-A916-4C02FC485DF5}"/>
    <hyperlink ref="Q2899" r:id="rId3454" xr:uid="{AFC94F45-10F5-024F-AE04-9A0D2FEC2706}"/>
    <hyperlink ref="Q2898" r:id="rId3455" xr:uid="{E4C35782-F465-B340-BC1D-37F24539D315}"/>
    <hyperlink ref="E2901" r:id="rId3456" xr:uid="{84F19636-992C-FC46-8D86-B5F5C530986A}"/>
    <hyperlink ref="Q2901" r:id="rId3457" xr:uid="{65F49889-30F7-A848-85A2-EAF89C036B6D}"/>
    <hyperlink ref="Q2903" r:id="rId3458" xr:uid="{081EEDAB-4226-CD40-A335-B7BB6AA45740}"/>
    <hyperlink ref="Q2906" r:id="rId3459" xr:uid="{1D7C0FBC-4539-F34A-AE76-6C17A4E505B0}"/>
    <hyperlink ref="Q2907" r:id="rId3460" xr:uid="{8583C4CB-E185-3442-9593-031D185EFE2A}"/>
    <hyperlink ref="E2910" r:id="rId3461" xr:uid="{D790B6A1-C58F-BE4C-BAAD-586C625C12C4}"/>
    <hyperlink ref="Q2910" r:id="rId3462" xr:uid="{739F1EEB-94C5-1F4C-A8C9-FAABCC3986A1}"/>
    <hyperlink ref="Q2912" r:id="rId3463" xr:uid="{327C79E6-71E1-234A-9B94-F376C70632FF}"/>
    <hyperlink ref="E2916" r:id="rId3464" xr:uid="{87FF25CB-9873-6142-85DA-FBD2A7E38A87}"/>
    <hyperlink ref="Q2916" r:id="rId3465" xr:uid="{3F03EA96-0C9A-0047-957C-D15996B82E15}"/>
    <hyperlink ref="E2914" r:id="rId3466" xr:uid="{1B99C952-7E29-5141-9264-33C9D76B817F}"/>
    <hyperlink ref="Q2914" r:id="rId3467" xr:uid="{63B8EEFC-4B03-BF48-B461-7C38485B3370}"/>
    <hyperlink ref="E2918" r:id="rId3468" xr:uid="{58053668-82C4-0245-978F-C89D9F272B8C}"/>
    <hyperlink ref="Q2918" r:id="rId3469" xr:uid="{F4376208-5A44-BE4D-BC95-A7521C142291}"/>
    <hyperlink ref="Q2930" r:id="rId3470" xr:uid="{CD05D90C-453A-084A-986F-CFDB4858E39D}"/>
    <hyperlink ref="E2932" r:id="rId3471" xr:uid="{4D8004A5-8676-4641-8601-59DD562CB67E}"/>
    <hyperlink ref="Q2932" r:id="rId3472" xr:uid="{B4D6114E-F336-4341-8134-7DE30B79B7CE}"/>
    <hyperlink ref="E2933" r:id="rId3473" xr:uid="{1057175B-446A-984D-A1AF-40FBE63645FA}"/>
    <hyperlink ref="Q2933" r:id="rId3474" xr:uid="{7B491B61-9826-8349-9572-CA7F6C3F1B51}"/>
    <hyperlink ref="E2936" r:id="rId3475" xr:uid="{5ACBD25C-A250-CD41-BE2F-C85FEA888E12}"/>
    <hyperlink ref="Q2936" r:id="rId3476" xr:uid="{64AB91BE-AD4F-1D48-A293-4810CC653AC8}"/>
    <hyperlink ref="Q2939" r:id="rId3477" xr:uid="{BEE5BA9F-35FB-734A-80BA-3B20EE0FA4B8}"/>
    <hyperlink ref="Q2946" r:id="rId3478" xr:uid="{324C99C6-856F-1A48-ABCD-997F885C5DE7}"/>
    <hyperlink ref="E2941" r:id="rId3479" xr:uid="{9C96F089-D555-9D42-A6F7-3D842275C187}"/>
    <hyperlink ref="Q2941" r:id="rId3480" xr:uid="{54F99298-295E-BA42-9466-B4DB046A02BC}"/>
    <hyperlink ref="Q2947" r:id="rId3481" xr:uid="{450A00D4-1DFE-3042-A56D-64FC489CDFA8}"/>
    <hyperlink ref="Q2953" r:id="rId3482" xr:uid="{6495DBB2-180A-3C4A-BCE1-906FF3298C42}"/>
    <hyperlink ref="E2952" r:id="rId3483" xr:uid="{2CE71DD5-F586-0849-8961-0C135C1D990C}"/>
    <hyperlink ref="Q2952" r:id="rId3484" xr:uid="{BE221890-D779-C243-B36A-90968CFB5BCD}"/>
    <hyperlink ref="E2954" r:id="rId3485" xr:uid="{D58D81A7-F283-9649-84D6-46AC507C430A}"/>
    <hyperlink ref="Q2954" r:id="rId3486" xr:uid="{64CF57EA-CD17-4841-B04E-22C3E2041A8A}"/>
    <hyperlink ref="Q2959" r:id="rId3487" xr:uid="{FA1880BE-5E29-D348-AC11-AB99A06A62F1}"/>
    <hyperlink ref="E2961" r:id="rId3488" xr:uid="{5547D48D-CCAE-2440-A327-67AF9FCCF93E}"/>
    <hyperlink ref="Q2961" r:id="rId3489" xr:uid="{D2B7FBEE-9E5E-F749-96C8-365A6E0AF962}"/>
    <hyperlink ref="E2962" r:id="rId3490" xr:uid="{14165656-FD56-174E-876B-334F61977466}"/>
    <hyperlink ref="Q2962" r:id="rId3491" xr:uid="{9018BEA2-5AAD-8D4B-9A45-BAD52665EA3B}"/>
    <hyperlink ref="E2965" r:id="rId3492" xr:uid="{EC910507-02AF-CE41-8BFA-83A77E6DFD32}"/>
    <hyperlink ref="Q2965" r:id="rId3493" xr:uid="{3AC8C42F-8130-9944-9660-31C649BE47B0}"/>
    <hyperlink ref="E2966" r:id="rId3494" xr:uid="{CE36CEF4-D805-324C-BB3D-1C0EC8A8FBF5}"/>
    <hyperlink ref="Q2966" r:id="rId3495" xr:uid="{2619E6BD-20A3-B943-BE61-4EC51BEE1CDF}"/>
    <hyperlink ref="Q2967" r:id="rId3496" xr:uid="{9D30A6FC-D174-0149-B70E-BD131DA9AB4B}"/>
    <hyperlink ref="E2970" r:id="rId3497" xr:uid="{8046E02B-C031-CF41-A891-832BD8E9C77C}"/>
    <hyperlink ref="Q2970" r:id="rId3498" xr:uid="{305649E6-2C86-624E-B743-44987FB28919}"/>
    <hyperlink ref="E2979" r:id="rId3499" xr:uid="{989EDB38-AF54-EC43-9347-6481B163E0CE}"/>
    <hyperlink ref="Q2979" r:id="rId3500" xr:uid="{6E29E712-AEE9-C04E-B5B5-B1766D8DB999}"/>
    <hyperlink ref="E2983" r:id="rId3501" xr:uid="{6B283D75-CBE0-8F44-8398-BAB7F7DC5E6E}"/>
    <hyperlink ref="Q2983" r:id="rId3502" xr:uid="{0650F561-532B-4E45-8FF8-5A80DBA38D06}"/>
    <hyperlink ref="E2985" r:id="rId3503" xr:uid="{9E2DE638-4049-5B42-90B1-C588C1C1F2AF}"/>
    <hyperlink ref="Q2985" r:id="rId3504" xr:uid="{DC67402F-5E3E-9E41-9107-A0DF6AAC98C7}"/>
    <hyperlink ref="E2990" r:id="rId3505" xr:uid="{B4C32546-5098-D54E-BDE0-8024417CE262}"/>
    <hyperlink ref="Q2990" r:id="rId3506" xr:uid="{92D8AA62-33C2-BA42-888D-2B3CC18563CA}"/>
    <hyperlink ref="Q2993" r:id="rId3507" xr:uid="{9E523730-029E-1347-A8D9-4BFB1BF10FFB}"/>
    <hyperlink ref="Q3002" r:id="rId3508" xr:uid="{A67D2CA6-1296-6C47-8712-67A0C6CE94B1}"/>
    <hyperlink ref="Q2996" r:id="rId3509" xr:uid="{048A2A2B-E202-7541-AB5F-5950A66D8C48}"/>
    <hyperlink ref="E3004" r:id="rId3510" xr:uid="{0F2FA908-F90A-2D41-A7AC-ADF0DCE34A38}"/>
    <hyperlink ref="Q3004" r:id="rId3511" xr:uid="{D1A425BC-CC1E-0246-BD4D-4C44380D6A15}"/>
    <hyperlink ref="Q3005" r:id="rId3512" xr:uid="{C2940CE3-07BC-BE4B-B979-AA4758AE319C}"/>
    <hyperlink ref="Q3013" r:id="rId3513" xr:uid="{C3886472-B954-D74E-B0FB-66113034B065}"/>
    <hyperlink ref="E3014" r:id="rId3514" xr:uid="{39AE6EC5-9D3C-9F49-8E74-88E160610EE1}"/>
    <hyperlink ref="Q3014" r:id="rId3515" xr:uid="{BAC82D1B-7ABB-9141-A85E-98C96D900059}"/>
    <hyperlink ref="E3018" r:id="rId3516" xr:uid="{5005AE98-0134-964F-BF09-92FC9B13A735}"/>
    <hyperlink ref="Q3018" r:id="rId3517" xr:uid="{42634D73-7846-6346-B79F-7B27989E004F}"/>
    <hyperlink ref="E3017" r:id="rId3518" xr:uid="{DAA9391E-872C-CD47-A498-C320F871F650}"/>
    <hyperlink ref="Q3017" r:id="rId3519" xr:uid="{E2B27251-C052-5B43-BD29-EDC5D5C7FC36}"/>
    <hyperlink ref="E3020" r:id="rId3520" xr:uid="{FD1E2B2B-D0D2-C841-A725-11A51F81B752}"/>
    <hyperlink ref="Q3020" r:id="rId3521" xr:uid="{50258C31-6EC4-BF45-BEEB-6E94E0473435}"/>
    <hyperlink ref="Q3024" r:id="rId3522" xr:uid="{794CEB76-4B1F-6048-83C8-AA9DDD6EC743}"/>
    <hyperlink ref="E3030" r:id="rId3523" xr:uid="{C2F88DB4-1D4E-F345-88C2-1DDC945977D7}"/>
    <hyperlink ref="Q3030" r:id="rId3524" xr:uid="{C39447DD-635A-EC44-B6BA-6B79D8F90E1E}"/>
    <hyperlink ref="E3029" r:id="rId3525" xr:uid="{40ECD5C8-AC07-894A-A1D4-9F5DE3ED2C33}"/>
    <hyperlink ref="Q3029" r:id="rId3526" xr:uid="{5D9C24FF-80D5-5F40-B0E3-822C60B0875D}"/>
    <hyperlink ref="E3031" r:id="rId3527" xr:uid="{3FD9A8B1-0E39-CE4F-9792-3BE6A527071A}"/>
    <hyperlink ref="Q3031" r:id="rId3528" xr:uid="{2E3241B2-FC58-FC47-A9C0-0AD1C5E8CA42}"/>
    <hyperlink ref="E3034" r:id="rId3529" xr:uid="{389346DB-AF85-D141-90EF-67A91144E8D0}"/>
    <hyperlink ref="Q3034" r:id="rId3530" xr:uid="{69EEA520-331B-AC4F-A4B4-FF4B23796546}"/>
    <hyperlink ref="E3039" r:id="rId3531" xr:uid="{FD26613A-6F9D-5949-8D30-32C84A430A26}"/>
    <hyperlink ref="Q3039" r:id="rId3532" xr:uid="{4974B043-540B-DE41-AFC8-7B8FA6B8E78A}"/>
    <hyperlink ref="E3041" r:id="rId3533" xr:uid="{4A3F2A69-D29A-344A-8CBD-881CFA64FD17}"/>
    <hyperlink ref="Q3041" r:id="rId3534" xr:uid="{F49F1692-D115-484D-BA34-FE9569386235}"/>
    <hyperlink ref="Q3045" r:id="rId3535" xr:uid="{A7473716-563A-1448-8ADB-1ACCAB5A5315}"/>
    <hyperlink ref="Q3043" r:id="rId3536" xr:uid="{953A144F-0430-624F-A97E-CF8E515C549D}"/>
    <hyperlink ref="Q3042" r:id="rId3537" xr:uid="{D98D5996-8FB3-CD46-9858-0D67CE300883}"/>
    <hyperlink ref="E3044" r:id="rId3538" xr:uid="{1E01B8F9-E1BC-8948-ABB4-4368F5A7B0FB}"/>
    <hyperlink ref="Q3044" r:id="rId3539" xr:uid="{24F87E37-CFDB-DD4D-A72F-4676BCBD6BDB}"/>
    <hyperlink ref="Q3047" r:id="rId3540" xr:uid="{43ACB8B3-589B-B84F-94E7-8D661D57CDF1}"/>
    <hyperlink ref="Q3046" r:id="rId3541" xr:uid="{4EC0EAA1-3E92-F141-AE4F-A15031CA0A71}"/>
    <hyperlink ref="E3049" r:id="rId3542" xr:uid="{21F36AAA-CB13-F543-BB95-9094526DA572}"/>
    <hyperlink ref="Q3049" r:id="rId3543" xr:uid="{9EA7F7C8-AE03-164E-992A-D36D7BAB713C}"/>
    <hyperlink ref="Q3050" r:id="rId3544" xr:uid="{16F1C661-2357-994B-B5E6-7F652BE7BC2A}"/>
    <hyperlink ref="E3048" r:id="rId3545" xr:uid="{D0FF93AD-FFD5-B24C-AA2C-80FB7F638690}"/>
    <hyperlink ref="Q3048" r:id="rId3546" xr:uid="{A991AAE2-FCE2-AF44-A349-C941B3546929}"/>
    <hyperlink ref="Q3053" r:id="rId3547" xr:uid="{E1834100-D72F-C84A-8D79-FD0BA99E5733}"/>
    <hyperlink ref="E3051" r:id="rId3548" xr:uid="{6CD19491-9F73-1748-B055-253519565DAB}"/>
    <hyperlink ref="Q3051" r:id="rId3549" xr:uid="{191AB66A-12B2-CD48-8DED-029FBBF1A1C0}"/>
    <hyperlink ref="E3059" r:id="rId3550" xr:uid="{0367CC06-D50B-5148-A664-3E69DF4DC874}"/>
    <hyperlink ref="Q3059" r:id="rId3551" xr:uid="{C1CF84B0-A92B-2E4D-9992-1498FEF3699E}"/>
    <hyperlink ref="Q3064" r:id="rId3552" xr:uid="{0FB23449-89BE-294F-AE5E-1C3AA1CD1F28}"/>
    <hyperlink ref="E3066" r:id="rId3553" xr:uid="{7F1E7BC0-5625-0844-8B40-20559CCDAD46}"/>
    <hyperlink ref="Q3066" r:id="rId3554" xr:uid="{3CE6064C-EF57-5949-9763-9B34AC2C9083}"/>
    <hyperlink ref="E3073" r:id="rId3555" xr:uid="{B2AD5861-A6C1-FA41-99AA-AA7940BAD3A1}"/>
    <hyperlink ref="Q3073" r:id="rId3556" xr:uid="{2E14AF4A-51E8-F341-8520-C4B85905956E}"/>
    <hyperlink ref="Q3072" r:id="rId3557" xr:uid="{A8F28FA8-4260-2448-865F-EBB6B7770749}"/>
    <hyperlink ref="Q3079" r:id="rId3558" xr:uid="{34B37C8C-D60F-F045-842E-3A8653A6403A}"/>
    <hyperlink ref="Q3076" r:id="rId3559" xr:uid="{F9857F67-5464-F247-811C-0A81EC8477A3}"/>
    <hyperlink ref="E3078" r:id="rId3560" xr:uid="{D7EA9575-D4D5-A94E-AD59-4230F4F0D436}"/>
    <hyperlink ref="Q3078" r:id="rId3561" xr:uid="{07B35EC7-32A6-D543-B08A-27D1F6BF2914}"/>
    <hyperlink ref="Q3084" r:id="rId3562" xr:uid="{E8490B58-2E11-A14F-BAF8-1BD5D9647089}"/>
    <hyperlink ref="Q3083" r:id="rId3563" xr:uid="{7549C316-0130-B543-80E4-BEDB0B3BD925}"/>
    <hyperlink ref="E3089" r:id="rId3564" xr:uid="{B75EA6C3-B5F3-0D42-BDDC-69A19B7F9732}"/>
    <hyperlink ref="Q3089" r:id="rId3565" xr:uid="{9DB277CD-9273-C142-BB38-53032B551D34}"/>
    <hyperlink ref="E3090" r:id="rId3566" xr:uid="{78DFA44F-97DE-314F-9210-FB5D85A95CA6}"/>
    <hyperlink ref="Q3090" r:id="rId3567" xr:uid="{FC7E1371-0EED-E34A-99FC-E2992293B25B}"/>
    <hyperlink ref="Q3092" r:id="rId3568" xr:uid="{CC89CFA5-162C-B242-AD61-45354FA05690}"/>
    <hyperlink ref="E3096" r:id="rId3569" xr:uid="{0038AD18-5922-DC46-AE97-4D4DB7570AF1}"/>
    <hyperlink ref="Q3096" r:id="rId3570" xr:uid="{662B1F83-ADC5-3B4D-B61C-F9A0D80D1E97}"/>
    <hyperlink ref="E3093" r:id="rId3571" xr:uid="{A8619E17-CB6C-FC47-915A-FCCD37A5BC69}"/>
    <hyperlink ref="Q3093" r:id="rId3572" xr:uid="{3CF80AC4-EE9C-584A-8FE9-87739AFC2F31}"/>
    <hyperlink ref="Q3095" r:id="rId3573" xr:uid="{FBD11B5B-E7A7-154C-A7C2-5BD9FB183174}"/>
    <hyperlink ref="Q3098" r:id="rId3574" xr:uid="{05A4D754-CB92-BF4D-8926-4022954EF5E8}"/>
    <hyperlink ref="Q3102" r:id="rId3575" xr:uid="{2CF272CC-186A-1E40-A23E-423F1BCDD7E3}"/>
    <hyperlink ref="E3105" r:id="rId3576" xr:uid="{5C80F6BE-034F-D246-9AC2-80D1FEC0AEBF}"/>
    <hyperlink ref="Q3105" r:id="rId3577" xr:uid="{A3F6B6F4-3E7C-8147-B522-D3B9C8E2EA16}"/>
    <hyperlink ref="E3107" r:id="rId3578" xr:uid="{13FD0CF9-5F6D-4542-B259-98782631F531}"/>
    <hyperlink ref="Q3107" r:id="rId3579" xr:uid="{AC9041A8-2640-E547-BD19-389095BE2390}"/>
    <hyperlink ref="Q3106" r:id="rId3580" xr:uid="{F8F21FD2-DAC6-E84B-A522-C1998D9DF4AD}"/>
    <hyperlink ref="E3111" r:id="rId3581" xr:uid="{16B6D448-5684-1346-816D-75AE3C79ED99}"/>
    <hyperlink ref="Q3111" r:id="rId3582" xr:uid="{6276B42D-E83D-B54D-9AFC-EEEBA203E1B7}"/>
    <hyperlink ref="E3110" r:id="rId3583" xr:uid="{07DC6832-8F42-A34F-B4FE-05AF4F53AFDF}"/>
    <hyperlink ref="Q3110" r:id="rId3584" xr:uid="{E2DA37ED-2ECC-B441-97EF-3E7873CA5483}"/>
    <hyperlink ref="E3113" r:id="rId3585" xr:uid="{7B6F1B87-4E06-6742-8965-58AD45313F29}"/>
    <hyperlink ref="Q3113" r:id="rId3586" xr:uid="{008DE2C4-3A08-6846-9C0E-BD91FC4665C3}"/>
    <hyperlink ref="Q3116" r:id="rId3587" xr:uid="{14EC833C-EA2B-AA48-B9D7-9AAA1DA851DF}"/>
    <hyperlink ref="E3119" r:id="rId3588" xr:uid="{B0A71369-3C90-A943-AAC6-23B77678B4A3}"/>
    <hyperlink ref="Q3119" r:id="rId3589" xr:uid="{C3229FF0-6378-274F-91BE-D92535C4B99E}"/>
    <hyperlink ref="E3124" r:id="rId3590" xr:uid="{69649107-1601-B745-8110-40043675EA81}"/>
    <hyperlink ref="Q3124" r:id="rId3591" xr:uid="{59A379BC-B4EE-A740-B7EF-02D0E83ECC64}"/>
    <hyperlink ref="E3130" r:id="rId3592" xr:uid="{48B3371D-01BC-DA49-9278-6C50A41D34F3}"/>
    <hyperlink ref="Q3130" r:id="rId3593" xr:uid="{9BC0C663-8A47-4446-927A-E4129F1C9FA1}"/>
    <hyperlink ref="Q3129" r:id="rId3594" xr:uid="{1E09DD4E-89EB-AA4E-A295-F9CB7121FC0C}"/>
    <hyperlink ref="Q3134" r:id="rId3595" xr:uid="{F5DD5D5A-E62D-364C-86DB-18C71F82645F}"/>
    <hyperlink ref="Q3132" r:id="rId3596" xr:uid="{5E326E89-D227-B842-A9B1-CA81ED96DE05}"/>
    <hyperlink ref="Q3131" r:id="rId3597" xr:uid="{F4621921-0DAA-BD40-9575-EE12963A8502}"/>
    <hyperlink ref="Q3133" r:id="rId3598" xr:uid="{B9D5C4E5-B46D-8847-AE10-1F109CED176C}"/>
    <hyperlink ref="Q3139" r:id="rId3599" xr:uid="{22A69A7F-734B-9C40-B228-6807C35D6A90}"/>
    <hyperlink ref="Q3138" r:id="rId3600" xr:uid="{9E7604DB-8FA4-1245-95D5-56C0BF5A0AC3}"/>
    <hyperlink ref="E3141" r:id="rId3601" xr:uid="{85F9C23A-0C07-D445-B746-AAF53F91E9AD}"/>
    <hyperlink ref="Q3141" r:id="rId3602" xr:uid="{E5BC3942-5550-5C4F-AB93-696559752424}"/>
    <hyperlink ref="Q3140" r:id="rId3603" xr:uid="{FFC160EC-628F-3842-9D87-A0EC235DD1FE}"/>
    <hyperlink ref="E3143" r:id="rId3604" xr:uid="{15F12183-6283-5C48-8C74-039FC7844FD3}"/>
    <hyperlink ref="Q3143" r:id="rId3605" xr:uid="{5325BDDD-A90C-5549-B1EA-9B98A0169012}"/>
    <hyperlink ref="Q3148" r:id="rId3606" xr:uid="{86840E16-9021-C84F-9A07-8CE970E148C0}"/>
    <hyperlink ref="E3147" r:id="rId3607" xr:uid="{813753D9-62CA-FC43-B295-2F6AA0F3C0DE}"/>
    <hyperlink ref="Q3147" r:id="rId3608" xr:uid="{CEB9CEF8-0901-3446-89B4-D285B04A419C}"/>
    <hyperlink ref="E3152" r:id="rId3609" xr:uid="{1177B7DF-1B18-9B43-8A29-3DFA336C1560}"/>
    <hyperlink ref="Q3152" r:id="rId3610" xr:uid="{3D3153B0-5862-3D41-AE11-F690929BF168}"/>
    <hyperlink ref="E3156" r:id="rId3611" xr:uid="{BD13F01D-E101-814A-93AF-5C1B16A522CB}"/>
    <hyperlink ref="Q3156" r:id="rId3612" xr:uid="{8DE8001E-31AE-CD44-BDFE-DE1B3F3710AD}"/>
    <hyperlink ref="Q3157" r:id="rId3613" xr:uid="{9539CA50-E3AD-5F4E-8518-19E5BB0B3208}"/>
    <hyperlink ref="E3159" r:id="rId3614" xr:uid="{E31A2059-B47A-E64C-842C-CE4C8287DDD3}"/>
    <hyperlink ref="Q3159" r:id="rId3615" xr:uid="{06E757FA-5315-9F48-856C-A9B4DC12B1B5}"/>
    <hyperlink ref="E3168" r:id="rId3616" xr:uid="{014DED8B-55A3-4B47-81E5-90BAD276F141}"/>
    <hyperlink ref="Q3168" r:id="rId3617" xr:uid="{0D35AAE0-1F75-E545-ADBF-8F7EF529E173}"/>
    <hyperlink ref="E3165" r:id="rId3618" xr:uid="{D6395D95-D3C1-034D-997D-FD5BDDB80442}"/>
    <hyperlink ref="Q3165" r:id="rId3619" xr:uid="{769B6F55-A051-A24F-BE6E-06913056E03E}"/>
    <hyperlink ref="Q3169" r:id="rId3620" xr:uid="{00DC7F33-C03F-114F-B01A-1112978F3B14}"/>
    <hyperlink ref="E3175" r:id="rId3621" xr:uid="{361D2E0C-C138-4241-966D-12244E034464}"/>
    <hyperlink ref="Q3175" r:id="rId3622" xr:uid="{63206EEC-3371-9748-8BEC-048F47F7D3BF}"/>
    <hyperlink ref="Q3179" r:id="rId3623" xr:uid="{D8BD3D76-FAD5-ED4C-B2E5-E6CEAB2F1282}"/>
    <hyperlink ref="Q3177" r:id="rId3624" xr:uid="{8D13AD6D-D27C-C148-861A-80049EA9C198}"/>
    <hyperlink ref="Q3178" r:id="rId3625" xr:uid="{C0D5173D-6DE5-1D4D-9F01-2B323265F63F}"/>
    <hyperlink ref="E3182" r:id="rId3626" xr:uid="{806B1AE9-45B2-414C-8607-004D51439B0A}"/>
    <hyperlink ref="Q3182" r:id="rId3627" xr:uid="{A701FBF8-436F-D04B-8603-CA6BDDDBC5B4}"/>
    <hyperlink ref="Q3181" r:id="rId3628" xr:uid="{720EA1FB-3208-3E46-8830-4DDD686495BB}"/>
    <hyperlink ref="E3189" r:id="rId3629" xr:uid="{8E4352FF-A8A1-1747-9C54-307460119EC8}"/>
    <hyperlink ref="Q3189" r:id="rId3630" xr:uid="{E45FE572-BAB7-D044-88BB-5AF36E42D31A}"/>
    <hyperlink ref="E3186" r:id="rId3631" xr:uid="{CB8B1406-E7F8-5642-9803-76EA520E4D14}"/>
    <hyperlink ref="Q3186" r:id="rId3632" xr:uid="{6085CE9A-C221-9846-B187-6210133126C2}"/>
    <hyperlink ref="E3197" r:id="rId3633" xr:uid="{5E12AF8C-37C9-844A-9AC9-55C149CF0BDA}"/>
    <hyperlink ref="Q3197" r:id="rId3634" xr:uid="{E5D89AF1-B2AA-A943-8E9F-DCFFD1CB9381}"/>
    <hyperlink ref="E3196" r:id="rId3635" xr:uid="{614ABEB3-7178-E447-874E-59C5BD930D9A}"/>
    <hyperlink ref="Q3196" r:id="rId3636" xr:uid="{B96FEB30-BA29-8D46-810D-B142413CEAAB}"/>
    <hyperlink ref="Q3192" r:id="rId3637" xr:uid="{A7F33D4B-5B0F-DA45-B9A4-11923B3003AB}"/>
    <hyperlink ref="E3190" r:id="rId3638" xr:uid="{B7A4AA8A-B74F-C347-BB63-7D70182F2374}"/>
    <hyperlink ref="Q3190" r:id="rId3639" xr:uid="{24C050C2-8BC1-3D4A-8E7F-E7B7D8F5A3C2}"/>
    <hyperlink ref="Q3194" r:id="rId3640" xr:uid="{B75D3055-B60A-B246-8DF4-B4C9C2A50F1D}"/>
    <hyperlink ref="E3201" r:id="rId3641" xr:uid="{BA473BDB-60A7-4146-B826-4DF78456603C}"/>
    <hyperlink ref="Q3201" r:id="rId3642" xr:uid="{B17CBBA4-073C-194F-8D32-A5CB1627690F}"/>
    <hyperlink ref="E3205" r:id="rId3643" xr:uid="{0C58428B-C8AB-D343-A96A-3DCCF1843EF8}"/>
    <hyperlink ref="Q3205" r:id="rId3644" xr:uid="{84DEAE72-C01B-C548-A13F-C2997CC5610B}"/>
    <hyperlink ref="Q3209" r:id="rId3645" xr:uid="{00612E13-21EF-1F4A-B70B-6576FA0DE205}"/>
    <hyperlink ref="E3206" r:id="rId3646" xr:uid="{F6B4ED15-FF37-4543-A5BF-3796A0DB9526}"/>
    <hyperlink ref="Q3206" r:id="rId3647" xr:uid="{147C7C82-B7EE-264A-BD84-F769A29F4790}"/>
    <hyperlink ref="Q3210" r:id="rId3648" xr:uid="{3CC267EA-119C-8F4F-9F3D-BC9C52BCE98D}"/>
    <hyperlink ref="E3207" r:id="rId3649" xr:uid="{4B3AE442-D044-E749-8EC0-C1E99B863438}"/>
    <hyperlink ref="Q3207" r:id="rId3650" xr:uid="{8375EE12-A26A-C446-A187-EA393154A1A8}"/>
    <hyperlink ref="Q3218" r:id="rId3651" xr:uid="{932DE4CF-52E6-B342-8164-CC4CD12B642A}"/>
    <hyperlink ref="E3222" r:id="rId3652" xr:uid="{B28A1F9E-668B-6549-B933-C974000F88B3}"/>
    <hyperlink ref="Q3222" r:id="rId3653" xr:uid="{4DAF918D-EDF1-274B-8CE1-6130E8E69E3F}"/>
    <hyperlink ref="Q3226" r:id="rId3654" xr:uid="{80288F9A-79F2-1240-817B-C6171531DEC1}"/>
    <hyperlink ref="Q3224" r:id="rId3655" xr:uid="{E59663F1-5C38-284B-8072-4DB837A800E0}"/>
    <hyperlink ref="E3228" r:id="rId3656" xr:uid="{48C4CA0C-DDF2-4F43-91A4-E655238E771C}"/>
    <hyperlink ref="Q3228" r:id="rId3657" xr:uid="{700283A5-E73A-9E46-B213-781DCDDA0AEF}"/>
    <hyperlink ref="E3227" r:id="rId3658" xr:uid="{27C77755-C4DE-1249-8846-730470DED530}"/>
    <hyperlink ref="Q3227" r:id="rId3659" xr:uid="{1751FAC0-8564-E641-A09E-AB9FA627AC92}"/>
    <hyperlink ref="E3234" r:id="rId3660" xr:uid="{1D6E50BD-0BAC-B04A-8A6A-0F48DF209970}"/>
    <hyperlink ref="Q3234" r:id="rId3661" xr:uid="{36BDB2DB-FA7C-AB49-88D7-880DD12915E0}"/>
    <hyperlink ref="Q3235" r:id="rId3662" xr:uid="{1B99B079-9587-E141-92C5-A0D1073852B3}"/>
    <hyperlink ref="Q3237" r:id="rId3663" xr:uid="{789BAF90-FCB1-6642-96E8-9BED1DCD0F72}"/>
    <hyperlink ref="Q3249" r:id="rId3664" xr:uid="{911E8705-9461-B046-B3AC-607D3B880B66}"/>
    <hyperlink ref="Q3246" r:id="rId3665" xr:uid="{DC64A065-0283-E04F-A26E-49561F49474A}"/>
    <hyperlink ref="Q3251" r:id="rId3666" xr:uid="{335F9415-BF4F-CB40-86F3-2A43A60C2BEF}"/>
    <hyperlink ref="Q3250" r:id="rId3667" xr:uid="{6B9D9E36-919A-5F45-AE13-498308BFBBF6}"/>
    <hyperlink ref="E3255" r:id="rId3668" xr:uid="{7F23AF7B-D05E-A744-9EAA-75D282F409E9}"/>
    <hyperlink ref="Q3255" r:id="rId3669" xr:uid="{7F720BCE-8983-4146-81ED-2F2AB3DDECB6}"/>
    <hyperlink ref="E3258" r:id="rId3670" xr:uid="{EFA8AA8E-8487-4B41-A0D2-635E710F8793}"/>
    <hyperlink ref="Q3258" r:id="rId3671" xr:uid="{87B0FA1C-B18D-8748-9237-1341164DF08C}"/>
    <hyperlink ref="E3265" r:id="rId3672" xr:uid="{D2CDA3F0-B2DC-4A47-8CFA-A39A6D2D4E6D}"/>
    <hyperlink ref="Q3265" r:id="rId3673" xr:uid="{D7E62864-7668-FA4F-B33A-F9BE74BF5586}"/>
    <hyperlink ref="Q3263" r:id="rId3674" xr:uid="{1C547527-7E70-154E-AF52-CC2213D426A0}"/>
    <hyperlink ref="Q3266" r:id="rId3675" xr:uid="{CCBB4F69-97A2-4B40-B22B-BB1EC510EA81}"/>
    <hyperlink ref="E3264" r:id="rId3676" xr:uid="{D422C365-3AE4-9D4E-8389-D21E4533E83F}"/>
    <hyperlink ref="Q3264" r:id="rId3677" xr:uid="{F7F1F0BA-6827-0945-977C-F40ED49D43DE}"/>
    <hyperlink ref="Q3270" r:id="rId3678" xr:uid="{BBEAE566-EEC2-9742-B703-00B292129F04}"/>
    <hyperlink ref="Q3271" r:id="rId3679" xr:uid="{0FD70426-92BE-514D-8054-4089D826FBAC}"/>
    <hyperlink ref="Q3274" r:id="rId3680" xr:uid="{97D66939-AC79-3C4E-870C-874937B76F4B}"/>
    <hyperlink ref="Q3276" r:id="rId3681" xr:uid="{B00BB7A0-56D8-2F42-9C6A-611936529A0F}"/>
    <hyperlink ref="Q3278" r:id="rId3682" xr:uid="{3D5BE43D-BD07-EE42-B7E7-84568B107339}"/>
    <hyperlink ref="E3283" r:id="rId3683" xr:uid="{8C36806B-A35B-094A-8FA2-B7A7DBDA510F}"/>
    <hyperlink ref="Q3283" r:id="rId3684" xr:uid="{C131F95A-67EB-4F41-BFFC-35527AEA8A15}"/>
    <hyperlink ref="Q3279" r:id="rId3685" xr:uid="{BA11B61B-9F37-8545-9191-B7ADD54196C3}"/>
    <hyperlink ref="Q3286" r:id="rId3686" xr:uid="{EA7DC378-B05F-F547-BBC1-BD8B23720053}"/>
    <hyperlink ref="Q3289" r:id="rId3687" xr:uid="{B53B0B93-0295-EB46-BADA-D589D2B4843D}"/>
    <hyperlink ref="Q3290" r:id="rId3688" xr:uid="{D0F2142E-FE5F-8349-BC2E-420A0D34ACD6}"/>
    <hyperlink ref="Q3291" r:id="rId3689" xr:uid="{F4DA80DE-F68A-C341-94E5-118D79D3B04D}"/>
    <hyperlink ref="Q3296" r:id="rId3690" xr:uid="{729A5B43-A8D3-3741-ADD8-6CE9FC4A467C}"/>
    <hyperlink ref="E3300" r:id="rId3691" xr:uid="{D10E9E77-CA1A-154D-BFE6-4DC545144E37}"/>
    <hyperlink ref="Q3300" r:id="rId3692" xr:uid="{DD6277A3-AC35-A84E-ADB9-3D909C790D5D}"/>
    <hyperlink ref="E3298" r:id="rId3693" xr:uid="{0DFE77C2-B75E-444E-BB51-2F2DBAF557D6}"/>
    <hyperlink ref="Q3298" r:id="rId3694" xr:uid="{DD667A1B-677D-FE42-BD98-C026B3759771}"/>
    <hyperlink ref="Q3303" r:id="rId3695" xr:uid="{3A28DA3F-4B87-784D-BEE3-46010EEE43E9}"/>
    <hyperlink ref="Q3304" r:id="rId3696" xr:uid="{5B6E6EED-FF06-0E4B-A77B-64B7F75BD78A}"/>
    <hyperlink ref="Q3309" r:id="rId3697" xr:uid="{D43960A2-A9D3-BE4B-BBEA-4E7C8141274F}"/>
    <hyperlink ref="Q3314" r:id="rId3698" xr:uid="{BAF5E4D4-D74B-EE48-8CB6-3A8B931C069F}"/>
    <hyperlink ref="E3310" r:id="rId3699" xr:uid="{F20A5075-CD7F-A449-9DF2-25F36971913A}"/>
    <hyperlink ref="Q3310" r:id="rId3700" xr:uid="{5F3D7044-399D-F848-9F30-0107DDAA97FD}"/>
    <hyperlink ref="E3313" r:id="rId3701" xr:uid="{7ACB72CE-5EDE-F244-AC04-08D08DF55E73}"/>
    <hyperlink ref="Q3313" r:id="rId3702" xr:uid="{46B0D08D-AE8B-2A42-9F03-D199B4A086F7}"/>
    <hyperlink ref="E3316" r:id="rId3703" xr:uid="{B1721D08-683C-F540-8608-D5FA7EABF00C}"/>
    <hyperlink ref="Q3316" r:id="rId3704" xr:uid="{8C5A9B11-7643-0B43-99B5-901F76504EE4}"/>
    <hyperlink ref="Q3319" r:id="rId3705" xr:uid="{65450A56-D06C-3547-AEA9-5485DDC33845}"/>
    <hyperlink ref="Q3323" r:id="rId3706" xr:uid="{D187EB6E-7A7E-8443-A857-B7C6ECBE46FB}"/>
    <hyperlink ref="Q3321" r:id="rId3707" xr:uid="{5D5F39E7-83BC-A442-9A50-50CBD6D07872}"/>
    <hyperlink ref="Q3324" r:id="rId3708" xr:uid="{57741213-CED7-9646-ADA3-6F729ED62047}"/>
    <hyperlink ref="Q3327" r:id="rId3709" xr:uid="{CC9026FB-38C1-E34E-BB42-C19519316D0E}"/>
    <hyperlink ref="Q3334" r:id="rId3710" xr:uid="{E63B72AA-54D4-454B-8B20-04513093BF8D}"/>
    <hyperlink ref="Q3330" r:id="rId3711" xr:uid="{7077B085-A60F-AF45-A906-1E7C0E99C5F3}"/>
    <hyperlink ref="E2472" r:id="rId3712" xr:uid="{0FCA6621-1AEC-BB4D-9A8B-CDACE87ABB5E}"/>
    <hyperlink ref="E2463" r:id="rId3713" xr:uid="{6C2EC23B-A508-414E-8A80-073FA44C5A89}"/>
    <hyperlink ref="Q2463" r:id="rId3714" xr:uid="{9A441728-A300-384A-8CA4-B652317810B2}"/>
    <hyperlink ref="E2462" r:id="rId3715" xr:uid="{F7C8595B-09C0-214D-B62D-C41852AD46DA}"/>
    <hyperlink ref="Q2462" r:id="rId3716" xr:uid="{384AC1A9-AA7D-7F4F-A13B-BA466E0F0520}"/>
    <hyperlink ref="Q2461" r:id="rId3717" xr:uid="{40B39D81-4D10-3541-9167-49081D55F69F}"/>
    <hyperlink ref="E2459" r:id="rId3718" xr:uid="{00B14199-4D96-8B4B-B19A-2B217BEDF0F6}"/>
    <hyperlink ref="Q2459" r:id="rId3719" xr:uid="{C37DB61D-61DC-5A4A-AA70-A7DA9641DDFA}"/>
    <hyperlink ref="E2458" r:id="rId3720" xr:uid="{55751893-B1E7-7646-BBB9-3F70B56782A3}"/>
    <hyperlink ref="Q2458" r:id="rId3721" xr:uid="{C8FD9953-7347-7D4A-84CA-C7727C57326B}"/>
    <hyperlink ref="E2460" r:id="rId3722" xr:uid="{954B4882-8B82-D74F-AEC9-9C632B7E9B8D}"/>
    <hyperlink ref="Q2460" r:id="rId3723" xr:uid="{CFC23516-DE9C-E64C-8758-277F340FA6B1}"/>
    <hyperlink ref="E2455" r:id="rId3724" xr:uid="{FDCFFA65-CCE2-AA41-8827-243140612867}"/>
    <hyperlink ref="Q2455" r:id="rId3725" xr:uid="{C0A513F2-C090-6F4F-90A3-498A0F89FD1E}"/>
    <hyperlink ref="E2457" r:id="rId3726" xr:uid="{94CF3B38-1640-0348-913C-DA7A65543CCD}"/>
    <hyperlink ref="Q2457" r:id="rId3727" xr:uid="{C91286B6-7CDC-CA4C-A63B-2E25997A835C}"/>
    <hyperlink ref="E2453" r:id="rId3728" xr:uid="{1689ADA9-333E-8B45-BCCC-410F403E8382}"/>
    <hyperlink ref="Q2453" r:id="rId3729" xr:uid="{B54AE039-E1F6-B144-A336-4997350EE02F}"/>
    <hyperlink ref="E2456" r:id="rId3730" xr:uid="{F1C00252-6D4D-204F-BE7A-5CC9959EA068}"/>
    <hyperlink ref="Q2456" r:id="rId3731" xr:uid="{87F5B081-CA82-4E41-BF90-4C7DA71D4CCC}"/>
    <hyperlink ref="Q2454" r:id="rId3732" xr:uid="{B6E92D3F-03AC-9B4D-950C-E0116EB5DED7}"/>
    <hyperlink ref="Q2452" r:id="rId3733" xr:uid="{C63CB013-6CA2-3A4D-8573-D73FFFED39A1}"/>
    <hyperlink ref="E2451" r:id="rId3734" xr:uid="{40C7A0DB-17A3-A248-BB10-0A6CFA695B27}"/>
    <hyperlink ref="Q2451" r:id="rId3735" xr:uid="{12892610-0550-C54A-80C6-4D6EBA18032A}"/>
    <hyperlink ref="E2447" r:id="rId3736" xr:uid="{2BFAFCA7-CCB2-8E45-8D98-FCA341C5C15B}"/>
    <hyperlink ref="Q2447" r:id="rId3737" xr:uid="{792830B9-C953-1342-AF0B-12121B14EC53}"/>
    <hyperlink ref="Q2449" r:id="rId3738" xr:uid="{CAF8063E-16B0-C944-9AEB-E9BC8CCFDC98}"/>
    <hyperlink ref="E2448" r:id="rId3739" xr:uid="{A5855B18-BCD1-7041-B74D-B6DD6B08477D}"/>
    <hyperlink ref="Q2448" r:id="rId3740" xr:uid="{204F470C-7FA3-7849-B129-84156D1086EE}"/>
    <hyperlink ref="Q2450" r:id="rId3741" xr:uid="{78651EAC-D1F0-7A4C-8C45-8F1537B2ED4B}"/>
    <hyperlink ref="Q2445" r:id="rId3742" xr:uid="{3B82CD41-8CE3-6B49-A401-927C2C939B28}"/>
    <hyperlink ref="Q2446" r:id="rId3743" xr:uid="{3DD53EEC-E6FE-B14C-BECC-7D6807277420}"/>
    <hyperlink ref="Q2443" r:id="rId3744" xr:uid="{57422047-7983-E745-BE07-DFB1E2384EFF}"/>
    <hyperlink ref="Q2444" r:id="rId3745" xr:uid="{04622AA1-5607-B84F-94C5-0D6D5166BB3B}"/>
    <hyperlink ref="Q2440" r:id="rId3746" xr:uid="{26AF0ABC-8BD9-8841-B57B-D5016D93B1D9}"/>
    <hyperlink ref="E2442" r:id="rId3747" xr:uid="{7D05A39D-7B25-3B46-8C80-E9A14EEF2029}"/>
    <hyperlink ref="Q2442" r:id="rId3748" xr:uid="{4D9FC87C-3898-D045-928C-465F415411CA}"/>
    <hyperlink ref="E2441" r:id="rId3749" xr:uid="{5E683EF4-CC2C-9646-A7BD-86F49A327D0C}"/>
    <hyperlink ref="Q2441" r:id="rId3750" xr:uid="{2FAE92EB-490C-CC4B-84B4-31FD8907A24A}"/>
    <hyperlink ref="E2439" r:id="rId3751" xr:uid="{A734D29A-8D23-FF4B-A76B-DE37DF26F97D}"/>
    <hyperlink ref="Q2439" r:id="rId3752" xr:uid="{38BF741E-9613-ED49-BCCB-F65B36107365}"/>
    <hyperlink ref="E2438" r:id="rId3753" xr:uid="{068460AB-08B2-664C-8596-A83A038C4699}"/>
    <hyperlink ref="Q2438" r:id="rId3754" xr:uid="{183D1F8A-E1F7-E349-80A8-65E8CBE3D080}"/>
    <hyperlink ref="E2437" r:id="rId3755" xr:uid="{F3BA9B7A-2672-BC41-A067-B56FCA880AD0}"/>
    <hyperlink ref="Q2437" r:id="rId3756" xr:uid="{1F0BAEFD-4F3D-344B-AC9A-49A47E53BEDF}"/>
    <hyperlink ref="Q2436" r:id="rId3757" xr:uid="{7C884132-0D2E-624C-B10B-09FA195074E0}"/>
    <hyperlink ref="Q2434" r:id="rId3758" xr:uid="{2C654AC9-8897-E14A-8A38-D4FE0DF38522}"/>
    <hyperlink ref="Q2435" r:id="rId3759" xr:uid="{3A2E7388-6196-6541-A083-91CAE6EB53F3}"/>
    <hyperlink ref="E2433" r:id="rId3760" xr:uid="{0526B5C8-49E0-BB48-B506-E9DC7A14B31D}"/>
    <hyperlink ref="Q2433" r:id="rId3761" xr:uid="{6768EAC4-BA9C-6741-9D39-B1A98D43487C}"/>
    <hyperlink ref="E2431" r:id="rId3762" xr:uid="{26C3602E-10B1-764F-A8EC-597258CF616D}"/>
    <hyperlink ref="Q2431" r:id="rId3763" xr:uid="{D936EFB8-AF21-F74B-9A5D-B09C0038A94D}"/>
    <hyperlink ref="Q2432" r:id="rId3764" xr:uid="{4B6CD513-9BFC-9148-8919-DC8DEFDFE453}"/>
    <hyperlink ref="E2429" r:id="rId3765" xr:uid="{F322472A-1273-2E49-96F8-441471620F5A}"/>
    <hyperlink ref="Q2429" r:id="rId3766" xr:uid="{10207062-7AD3-2D4A-8CB6-3824FE9A35DF}"/>
    <hyperlink ref="Q2428" r:id="rId3767" xr:uid="{A96388CE-34F0-AC46-95B6-BC6A89212480}"/>
    <hyperlink ref="E2427" r:id="rId3768" xr:uid="{7CB1FADA-7C3D-FB44-9BA2-A49E29E21812}"/>
    <hyperlink ref="Q2427" r:id="rId3769" xr:uid="{84966E5F-8A37-2743-BD41-271F8FD1B430}"/>
    <hyperlink ref="Q2424" r:id="rId3770" xr:uid="{38A8BDA1-479E-E543-9436-06FB5C17C9F6}"/>
    <hyperlink ref="Q2425" r:id="rId3771" xr:uid="{6EC629D2-8BCB-D149-B5DC-8E4BE80450B5}"/>
    <hyperlink ref="Q2426" r:id="rId3772" xr:uid="{F8FB28E8-AE93-0D4A-A9F5-C0A11CCE296A}"/>
    <hyperlink ref="Q2421" r:id="rId3773" xr:uid="{D8713FF9-B1B5-5747-A97D-9C5ECCCA4628}"/>
    <hyperlink ref="Q2419" r:id="rId3774" xr:uid="{B0894D1E-48B4-D944-A048-28A6A0815F2E}"/>
    <hyperlink ref="Q2423" r:id="rId3775" xr:uid="{494C7D36-BB62-0D4F-8A6E-863157836ADA}"/>
    <hyperlink ref="Q2422" r:id="rId3776" xr:uid="{82DF43D4-D59B-5D4B-B76F-11DAA729D8D1}"/>
    <hyperlink ref="E2420" r:id="rId3777" xr:uid="{309DA669-E348-AE47-95DE-D1989FDDE113}"/>
    <hyperlink ref="Q2420" r:id="rId3778" xr:uid="{74383743-914E-5049-B086-F5AB260D5C4C}"/>
    <hyperlink ref="E2417" r:id="rId3779" xr:uid="{EEC65358-7578-3143-8308-82722493A6D1}"/>
    <hyperlink ref="Q2417" r:id="rId3780" xr:uid="{03DBB77C-1949-B745-BCFE-B52AE6F0D950}"/>
    <hyperlink ref="E2418" r:id="rId3781" xr:uid="{BA79B9EE-45DF-E540-A54E-129266B3BBBC}"/>
    <hyperlink ref="Q2418" r:id="rId3782" xr:uid="{4C5ACE70-0A41-EC4A-ADC5-A192EC72E828}"/>
    <hyperlink ref="E2413" r:id="rId3783" xr:uid="{E85E1AD7-2540-1647-B365-7D3F95DD1497}"/>
    <hyperlink ref="Q2413" r:id="rId3784" xr:uid="{644DF413-892E-5D47-8A4E-350D5332F7E5}"/>
    <hyperlink ref="E2414" r:id="rId3785" xr:uid="{90A9B285-216B-5F47-8BEF-3AB7EF14E0A4}"/>
    <hyperlink ref="Q2414" r:id="rId3786" xr:uid="{62003BBF-9455-1A4F-8AFC-801EDA2DE3DF}"/>
    <hyperlink ref="Q2415" r:id="rId3787" xr:uid="{838E5880-51B9-4446-883C-A79EED738DB7}"/>
    <hyperlink ref="Q2412" r:id="rId3788" xr:uid="{1C8DBC93-7E63-8D4F-96B9-7A87E752D675}"/>
    <hyperlink ref="Q2410" r:id="rId3789" xr:uid="{D8FC7C9B-37B8-4D4A-B2AB-A63795315FAF}"/>
    <hyperlink ref="Q2411" r:id="rId3790" xr:uid="{0948A7C0-E483-874A-A8C0-7D0F13C92E49}"/>
    <hyperlink ref="E2409" r:id="rId3791" xr:uid="{3F60CE45-07DD-664D-B93B-BE0651982500}"/>
    <hyperlink ref="Q2409" r:id="rId3792" xr:uid="{D8F978C9-8E90-0E44-BC4B-B363CB48AF19}"/>
    <hyperlink ref="Q2403" r:id="rId3793" xr:uid="{6DA9DFF5-E744-BC41-9400-EE3CCCC7DC6D}"/>
    <hyperlink ref="Q2405" r:id="rId3794" xr:uid="{E265802D-7367-7745-8A5E-12E814C2ED54}"/>
    <hyperlink ref="E2408" r:id="rId3795" xr:uid="{08ABC2CB-5818-9B48-8907-6E49C76777DD}"/>
    <hyperlink ref="Q2408" r:id="rId3796" xr:uid="{9ED6EA47-0733-B448-A7AA-799A3F3E5AE4}"/>
    <hyperlink ref="E2407" r:id="rId3797" xr:uid="{1DF1450B-2DBA-5144-AAA6-979030405F60}"/>
    <hyperlink ref="Q2407" r:id="rId3798" xr:uid="{8C585D60-A3F3-FB44-945E-5D7B47714038}"/>
    <hyperlink ref="Q2416" r:id="rId3799" xr:uid="{6DF3EFCF-C15B-F347-B6C1-9F71D61BCD41}"/>
    <hyperlink ref="E2406" r:id="rId3800" xr:uid="{7F428A0F-E9D9-4747-8565-5D2EC952F2BA}"/>
    <hyperlink ref="Q2406" r:id="rId3801" xr:uid="{ABBEEB0F-3B35-3042-9195-259EC7A2E5C4}"/>
    <hyperlink ref="Q2404" r:id="rId3802" xr:uid="{A6B3AEDC-E52B-F341-8C20-4D1618E506A0}"/>
    <hyperlink ref="E2402" r:id="rId3803" xr:uid="{93EC0187-6E1A-694B-8D49-2991470C8901}"/>
    <hyperlink ref="Q2402" r:id="rId3804" xr:uid="{16594348-724B-5E40-8487-DF796D6CB14F}"/>
    <hyperlink ref="E2401" r:id="rId3805" xr:uid="{6A943303-D6B5-794A-9659-D8B27B6C1CF7}"/>
    <hyperlink ref="Q2401" r:id="rId3806" xr:uid="{0FBB3BB6-FA79-C643-A92D-81ABA7AF8174}"/>
    <hyperlink ref="Q2400" r:id="rId3807" xr:uid="{7BC7A688-EB82-2D49-9E04-D778E057B1EF}"/>
    <hyperlink ref="Q2399" r:id="rId3808" xr:uid="{026D6B3B-9499-1446-8A95-72075A46D60C}"/>
    <hyperlink ref="Q2397" r:id="rId3809" xr:uid="{0D07B12A-4EC1-914F-82D9-07C90C8F4E49}"/>
    <hyperlink ref="Q2398" r:id="rId3810" xr:uid="{E85EA209-5A3D-C34D-AE5E-26BFE575392C}"/>
    <hyperlink ref="E2396" r:id="rId3811" xr:uid="{AF405CC4-E188-5B4F-8318-6EEB3CAC94AD}"/>
    <hyperlink ref="Q2396" r:id="rId3812" xr:uid="{7B1AB9B1-5195-944C-992E-C5F7A85FA7A3}"/>
    <hyperlink ref="Q2395" r:id="rId3813" xr:uid="{FB15D74E-96D1-3949-B328-3F2F4CF2A800}"/>
    <hyperlink ref="Q2393" r:id="rId3814" xr:uid="{D8BDC7A4-CCB1-1E49-944F-9F63351D9055}"/>
    <hyperlink ref="Q2391" r:id="rId3815" xr:uid="{0D835B8D-6B56-074A-A1B0-F040ACE40A13}"/>
    <hyperlink ref="Q2392" r:id="rId3816" xr:uid="{A2DB9EE6-194B-0943-BC64-C6B47B04929F}"/>
    <hyperlink ref="E2394" r:id="rId3817" xr:uid="{06443110-8D0A-C542-883F-CF37D7A14A13}"/>
    <hyperlink ref="Q2394" r:id="rId3818" xr:uid="{2567721A-3529-2644-AF51-CFA24D47D9DF}"/>
    <hyperlink ref="E2387" r:id="rId3819" xr:uid="{CCCC542E-3571-8143-9D4E-95C8A4B84369}"/>
    <hyperlink ref="Q2387" r:id="rId3820" xr:uid="{413175CA-0DCD-DA46-8518-2D55E929329D}"/>
    <hyperlink ref="E2386" r:id="rId3821" xr:uid="{BD8DAD75-ACFF-6C40-AC57-5124B27A049B}"/>
    <hyperlink ref="Q2386" r:id="rId3822" xr:uid="{61973FD7-0520-6041-8A79-CADE52F53D42}"/>
    <hyperlink ref="Q2388" r:id="rId3823" xr:uid="{3FD9DA21-4834-9A40-A666-B48552C1183E}"/>
    <hyperlink ref="E2390" r:id="rId3824" xr:uid="{FE81D412-7330-0748-AADA-0DAC217D8672}"/>
    <hyperlink ref="Q2390" r:id="rId3825" xr:uid="{607D99B7-DD3D-9042-AF9E-C5C6AB16C80B}"/>
    <hyperlink ref="E2389" r:id="rId3826" xr:uid="{5C871EBB-A1D9-9549-AA9E-72D04C17050F}"/>
    <hyperlink ref="Q2389" r:id="rId3827" xr:uid="{69958FE4-2E6D-5449-9106-80D88C79CD68}"/>
    <hyperlink ref="E2384" r:id="rId3828" xr:uid="{95FBB729-650E-CB4A-A61F-04635AA3CDA8}"/>
    <hyperlink ref="Q2384" r:id="rId3829" xr:uid="{387A188B-65B2-6943-AF98-66D2F9D7CA8E}"/>
    <hyperlink ref="Q2379" r:id="rId3830" xr:uid="{1764B6CE-A556-EF4F-9C6E-C6EDF51FAA49}"/>
    <hyperlink ref="E2383" r:id="rId3831" xr:uid="{893E8C9A-44AC-554E-8AA2-915DDC483600}"/>
    <hyperlink ref="Q2383" r:id="rId3832" xr:uid="{D8CB6C5F-43CF-0A45-9C01-C9F69D4B6559}"/>
    <hyperlink ref="Q2382" r:id="rId3833" xr:uid="{BD079A5E-3274-DA4D-8A95-3A98202A4246}"/>
    <hyperlink ref="Q2380" r:id="rId3834" xr:uid="{247D378D-6D37-4C41-BF71-8C322B9A754C}"/>
    <hyperlink ref="E2385" r:id="rId3835" xr:uid="{EB28ED7F-6C86-7E45-AF3D-4CCC86A35CC0}"/>
    <hyperlink ref="Q2385" r:id="rId3836" xr:uid="{39484EF7-63F2-DD46-A528-890F0AFBC500}"/>
    <hyperlink ref="E2377" r:id="rId3837" xr:uid="{429C2E6C-8F5F-8240-9EF9-A2ECD8479FB5}"/>
    <hyperlink ref="Q2377" r:id="rId3838" xr:uid="{D44C581F-71FD-D549-BD6F-95C0C320F03F}"/>
    <hyperlink ref="Q2376" r:id="rId3839" xr:uid="{C20D1A6C-FC01-F74A-B1BD-C098336370FE}"/>
    <hyperlink ref="Q2378" r:id="rId3840" location="incart_2box_nola_river_orleans_news" xr:uid="{1581EB2B-B19B-B740-B7BF-D5D6AE6E8266}"/>
    <hyperlink ref="E2375" r:id="rId3841" xr:uid="{94C8037D-F58A-EC46-A8C5-79AE170532FE}"/>
    <hyperlink ref="Q2375" r:id="rId3842" xr:uid="{EFA5D187-E0E3-B54E-9EDC-0C4006D7D829}"/>
    <hyperlink ref="Q2373" r:id="rId3843" xr:uid="{7F8A3E7A-8305-CB45-8948-B07E89E5A722}"/>
    <hyperlink ref="E2374" r:id="rId3844" xr:uid="{6EE67A5B-B32D-7546-943C-96ABDA81E3A0}"/>
    <hyperlink ref="Q2374" r:id="rId3845" xr:uid="{6BB8ACFD-5979-1B4E-83C4-ACB0BBDBBF8E}"/>
    <hyperlink ref="Q2381" r:id="rId3846" xr:uid="{C6994215-43AD-D04E-809C-9B636A26D049}"/>
    <hyperlink ref="E2370" r:id="rId3847" xr:uid="{80F43C32-5707-AA49-8941-43D86A06EEAF}"/>
    <hyperlink ref="Q2370" r:id="rId3848" xr:uid="{E54BEA69-2E14-CB48-9BF8-D101D7B5F9D1}"/>
    <hyperlink ref="E2371" r:id="rId3849" xr:uid="{A47096CC-A4AB-8D46-ADFE-2D1E7C9E06E8}"/>
    <hyperlink ref="Q2371" r:id="rId3850" xr:uid="{BD88C57C-7F11-6A41-B98B-9ECDFAE39D95}"/>
    <hyperlink ref="Q2372" r:id="rId3851" xr:uid="{67CE4530-A8DA-2B44-A7B5-69C1A2BBB68E}"/>
    <hyperlink ref="E2366" r:id="rId3852" xr:uid="{A65C1289-4306-5940-9B2F-018344797C09}"/>
    <hyperlink ref="Q2366" r:id="rId3853" xr:uid="{C2A8519F-1335-6B45-B438-DC7A1226C8BF}"/>
    <hyperlink ref="E2368" r:id="rId3854" xr:uid="{110CF105-5BAA-CA4C-B3B0-5AD957D30392}"/>
    <hyperlink ref="Q2368" r:id="rId3855" xr:uid="{1B37C1AE-97D6-B744-915E-BB87A821C7E4}"/>
    <hyperlink ref="Q2365" r:id="rId3856" xr:uid="{8DC6229E-7B52-0540-B058-E571ABA2C09E}"/>
    <hyperlink ref="Q2367" r:id="rId3857" xr:uid="{2FAA5DDA-23BB-784C-9210-99504F1A7027}"/>
    <hyperlink ref="Q2369" r:id="rId3858" xr:uid="{AAE18E2C-C2D6-6C43-9B79-80AAF002A12D}"/>
    <hyperlink ref="Q2359" r:id="rId3859" xr:uid="{AF3E5274-FB2A-6B46-A063-90860B7CC46C}"/>
    <hyperlink ref="Q2358" r:id="rId3860" xr:uid="{B43070B4-DA65-3643-9FEF-0B2D76D024A2}"/>
    <hyperlink ref="Q2357" r:id="rId3861" xr:uid="{69A2A242-0EBE-DC4C-AEE3-DE9888B49A92}"/>
    <hyperlink ref="Q2356" r:id="rId3862" xr:uid="{2FD7C7AE-F4F3-D848-92E4-602465F8A6B8}"/>
    <hyperlink ref="E2354" r:id="rId3863" xr:uid="{F94E2E8C-3055-A744-84F8-20D8589D0491}"/>
    <hyperlink ref="Q2354" r:id="rId3864" xr:uid="{FB556599-47E9-824C-8D37-A3ACBA36A21E}"/>
    <hyperlink ref="E2355" r:id="rId3865" xr:uid="{D0F10172-B513-3342-8D02-CD556620E7BF}"/>
    <hyperlink ref="Q2355" r:id="rId3866" xr:uid="{A7DBD203-AC56-EA43-B391-9701DC61E9B9}"/>
    <hyperlink ref="Q2351" r:id="rId3867" xr:uid="{EE2A7F94-3E21-4D46-802F-A641D9C799F0}"/>
    <hyperlink ref="E2353" r:id="rId3868" xr:uid="{2A15DC2A-4709-3D49-90EA-8B55142165A5}"/>
    <hyperlink ref="Q2353" r:id="rId3869" xr:uid="{08CCCE62-1734-E646-AC29-0ECADC06B00C}"/>
    <hyperlink ref="Q2361" r:id="rId3870" xr:uid="{9198CEFB-D285-6644-A3F8-3B4740D23275}"/>
    <hyperlink ref="E2362" r:id="rId3871" xr:uid="{E66AC3F8-9657-8548-8803-EE482A451FD8}"/>
    <hyperlink ref="Q2362" r:id="rId3872" xr:uid="{D62A8E99-C685-5D42-90E1-32E27466443C}"/>
    <hyperlink ref="Q2364" r:id="rId3873" xr:uid="{5BE18AD8-921F-1946-B6AE-C4F1A244536E}"/>
    <hyperlink ref="E2363" r:id="rId3874" xr:uid="{7405D77A-3E2C-0C4B-8EFB-11D25CA739D1}"/>
    <hyperlink ref="Q2363" r:id="rId3875" xr:uid="{0D42EA10-9CD2-7743-9063-3E527C8DDE7D}"/>
    <hyperlink ref="Q2360" r:id="rId3876" xr:uid="{A097D798-B2FD-7D46-8EC2-5ACDA05CB7EA}"/>
    <hyperlink ref="Q2352" r:id="rId3877" xr:uid="{C354FC9D-7044-944E-B69A-6204D7E82E6C}"/>
    <hyperlink ref="Q2350" r:id="rId3878" xr:uid="{E3E3A8EC-11F9-B24F-8DE9-3D9316BED845}"/>
    <hyperlink ref="Q2347" r:id="rId3879" xr:uid="{635FC4DA-1307-5A4B-919A-4F8D0DE66CFB}"/>
    <hyperlink ref="E2349" r:id="rId3880" xr:uid="{315F5FC5-1072-DA42-BDB2-7599FAD56BDD}"/>
    <hyperlink ref="Q2349" r:id="rId3881" xr:uid="{2B9CBCD1-507F-AA47-86E5-9F5505F97966}"/>
    <hyperlink ref="Q2348" r:id="rId3882" xr:uid="{608CC48D-F298-3A4E-8E11-6B8268689127}"/>
    <hyperlink ref="E2344" r:id="rId3883" xr:uid="{F283195E-2D1A-7F40-B6C7-4C4258B597E0}"/>
    <hyperlink ref="Q2344" r:id="rId3884" xr:uid="{B7696EE8-612B-A741-A5F6-E6A7B9F4E60B}"/>
    <hyperlink ref="E2345" r:id="rId3885" xr:uid="{D777DC4E-3A84-5449-A16B-C83ED91F1DD9}"/>
    <hyperlink ref="Q2345" r:id="rId3886" xr:uid="{E7853064-90BB-B34C-8FC0-B25BD00B7248}"/>
    <hyperlink ref="E2346" r:id="rId3887" xr:uid="{CF110BBB-20ED-5A45-BA8C-8094A169AFBA}"/>
    <hyperlink ref="Q2346" r:id="rId3888" xr:uid="{D31F7172-AB79-D145-AAF0-1A71BEA95D3E}"/>
    <hyperlink ref="Q2343" r:id="rId3889" xr:uid="{615583E8-3692-1E45-B448-B82694EA80C6}"/>
    <hyperlink ref="Q2342" r:id="rId3890" xr:uid="{CFA37013-6FCA-0A41-965A-BE603AC9F4CD}"/>
    <hyperlink ref="Q2340" r:id="rId3891" xr:uid="{23DB1887-D6B1-FC44-991B-CA1EAA36E6DE}"/>
    <hyperlink ref="E2944" r:id="rId3892" xr:uid="{2972F5F6-4136-404B-9469-2F7893D87E6E}"/>
    <hyperlink ref="Q2944" r:id="rId3893" xr:uid="{3258915B-D01A-6747-B1A1-8A76CB688F94}"/>
    <hyperlink ref="E3054" r:id="rId3894" xr:uid="{2376771D-DE7B-C849-922B-DE4023813E49}"/>
    <hyperlink ref="Q3054" r:id="rId3895" xr:uid="{039F6A3A-8568-0341-958E-EE12E07E354D}"/>
    <hyperlink ref="Q3052" r:id="rId3896" xr:uid="{DB56DFF8-00B0-4243-B6B4-42D00B7AAD16}"/>
    <hyperlink ref="E3242" r:id="rId3897" xr:uid="{BFFB2C2B-FB7A-9F49-AB9B-3561F3A25CEC}"/>
    <hyperlink ref="Q3242" r:id="rId3898" xr:uid="{DBCA2982-BE41-384B-BD74-9A60FE47A0EC}"/>
    <hyperlink ref="Q3172" r:id="rId3899" xr:uid="{653816F4-9338-DE49-B143-3E2FB90A4D11}"/>
    <hyperlink ref="E2338" r:id="rId3900" xr:uid="{E3A207B4-F09E-9743-AB98-051827B6E22E}"/>
    <hyperlink ref="Q2338" r:id="rId3901" xr:uid="{AA819442-AB84-444E-B919-6F5D5DA46A30}"/>
    <hyperlink ref="Q2339" r:id="rId3902" xr:uid="{9FCB8E72-556C-354B-8085-606E5D87AD60}"/>
    <hyperlink ref="Q2336" r:id="rId3903" xr:uid="{7626FD87-4728-944F-9EEE-15DBEA1B03BC}"/>
    <hyperlink ref="Q2337" r:id="rId3904" xr:uid="{0C73FF3D-CBD8-1E4E-8839-2E97855BE904}"/>
    <hyperlink ref="Q2332" r:id="rId3905" xr:uid="{61031349-4499-BB44-B0E3-4B3408508396}"/>
    <hyperlink ref="Q2333" r:id="rId3906" xr:uid="{329BEF59-7704-6C42-A378-32B59060AD0E}"/>
    <hyperlink ref="Q2334" r:id="rId3907" xr:uid="{BAAAD2B6-9CEA-EB41-AA37-C24D367AE6AB}"/>
    <hyperlink ref="E2330" r:id="rId3908" xr:uid="{E2338609-D523-8C4B-A542-47607A723189}"/>
    <hyperlink ref="Q2330" r:id="rId3909" xr:uid="{1AF4B2C0-BD07-1A47-AAF4-9E52D597BCF3}"/>
    <hyperlink ref="Q2319" r:id="rId3910" xr:uid="{29429E09-FFD5-4148-B297-03FE9D79BBF4}"/>
    <hyperlink ref="E2329" r:id="rId3911" xr:uid="{0922BF41-177C-4D40-B671-77F8C6688E70}"/>
    <hyperlink ref="Q2329" r:id="rId3912" xr:uid="{995A402A-7D94-9A43-A47B-4D65AB99FDD1}"/>
    <hyperlink ref="Q2327" r:id="rId3913" xr:uid="{47D8FD40-D7CB-C84B-BE8B-02A0043642EE}"/>
    <hyperlink ref="E2324" r:id="rId3914" xr:uid="{2CE4C643-D316-274A-823C-CB932AB9C5CC}"/>
    <hyperlink ref="Q2324" r:id="rId3915" xr:uid="{9F1488CB-5BA9-B347-9DB9-4EF03441C4BB}"/>
    <hyperlink ref="Q2341" r:id="rId3916" xr:uid="{6E8F7490-323B-9F48-9430-7CF4DB0213BF}"/>
    <hyperlink ref="Q2326" r:id="rId3917" xr:uid="{B73DE72B-AC7B-2F41-8B88-EF31554783AF}"/>
    <hyperlink ref="E2321" r:id="rId3918" xr:uid="{E835F003-BE4F-BD4C-A895-119CA5FCD1D2}"/>
    <hyperlink ref="Q2321" r:id="rId3919" xr:uid="{F0AA3984-33A2-C84C-A31A-0D9121050D78}"/>
    <hyperlink ref="Q2317" r:id="rId3920" xr:uid="{66C0B756-EB35-5E41-90D1-0622C5F2DE50}"/>
    <hyperlink ref="E2322" r:id="rId3921" xr:uid="{73679613-C6F3-7B43-94A1-1A4A59EF2D5A}"/>
    <hyperlink ref="Q2322" r:id="rId3922" xr:uid="{3832A0EE-A276-4243-AF9C-C3F2D5F7B6FD}"/>
    <hyperlink ref="E2328" r:id="rId3923" xr:uid="{C503A786-D15D-B441-B7AB-85F4B0A231F2}"/>
    <hyperlink ref="Q2328" r:id="rId3924" xr:uid="{5E1D9F3A-9D8F-9A41-BA68-61C16769CD04}"/>
    <hyperlink ref="E2320" r:id="rId3925" xr:uid="{BA508278-9074-7549-A7E1-856BA3D7F263}"/>
    <hyperlink ref="Q2320" r:id="rId3926" xr:uid="{7BEDE9EA-36D7-904A-8058-CA4299B34910}"/>
    <hyperlink ref="Q2331" r:id="rId3927" xr:uid="{0995CB35-DA57-794E-A4F4-FBFB6A90FCC7}"/>
    <hyperlink ref="Q2325" r:id="rId3928" xr:uid="{E6676B65-96F3-7842-9B74-95D81762EF50}"/>
    <hyperlink ref="Q2335" r:id="rId3929" xr:uid="{DB7251F0-EB97-9449-8295-55D64E49F536}"/>
    <hyperlink ref="Q2318" r:id="rId3930" xr:uid="{E451AC95-C78E-3043-98FE-B71BB7D78011}"/>
    <hyperlink ref="Q2314" r:id="rId3931" xr:uid="{F2739359-AB44-AB4E-B5A7-6CE641C7950C}"/>
    <hyperlink ref="E2316" r:id="rId3932" xr:uid="{70950731-1DF1-954F-ABFF-1EE4F11F4AF7}"/>
    <hyperlink ref="Q2316" r:id="rId3933" xr:uid="{EE1A898A-D529-0943-928E-AEF18FA99C7F}"/>
    <hyperlink ref="Q2315" r:id="rId3934" xr:uid="{9491B4C7-F595-3949-A36B-2010E6C06FC9}"/>
    <hyperlink ref="E2313" r:id="rId3935" xr:uid="{5BC60CCE-6E25-2B44-9768-7D3E1901EA71}"/>
    <hyperlink ref="Q2313" r:id="rId3936" xr:uid="{3A63EC6B-59C3-524E-BC0D-B6E03928B1E1}"/>
    <hyperlink ref="E2311" r:id="rId3937" xr:uid="{29CB96B4-1D21-BA4C-983D-319C9D73717D}"/>
    <hyperlink ref="Q2311" r:id="rId3938" xr:uid="{C70342AF-F71E-0B4F-9FF3-B7506EE8510D}"/>
    <hyperlink ref="E2312" r:id="rId3939" xr:uid="{A19E4EAB-E382-654A-8DB2-438350309414}"/>
    <hyperlink ref="Q2312" r:id="rId3940" xr:uid="{EA3185AD-1C68-9F4D-AC6B-0165F2C6CC86}"/>
    <hyperlink ref="E2309" r:id="rId3941" xr:uid="{A7A6765D-734A-EB42-805E-446D1F5AD383}"/>
    <hyperlink ref="Q2309" r:id="rId3942" xr:uid="{7159867C-466F-EB4B-8885-EE73B95BEDCB}"/>
    <hyperlink ref="E2310" r:id="rId3943" xr:uid="{C26EA921-4772-FA4B-BCA7-66F9FCC1CFD6}"/>
    <hyperlink ref="Q2310" r:id="rId3944" xr:uid="{D930F7B4-AA18-7046-9538-10EC3D88DA87}"/>
    <hyperlink ref="E2308" r:id="rId3945" xr:uid="{28822965-615E-534F-A5AE-89EC9792FC23}"/>
    <hyperlink ref="Q2308" r:id="rId3946" xr:uid="{1D5F6399-DD64-E141-B567-64763F257946}"/>
    <hyperlink ref="Q2307" r:id="rId3947" xr:uid="{C983271A-5206-684E-8D46-EB0D2EF9FFF8}"/>
    <hyperlink ref="Q2306" r:id="rId3948" xr:uid="{0797AD88-ACB4-FE43-8741-0AB613792287}"/>
    <hyperlink ref="Q2305" r:id="rId3949" xr:uid="{9A6803E3-DEBD-C74C-A48F-63FFD08EFBA4}"/>
    <hyperlink ref="E2302" r:id="rId3950" xr:uid="{C519C614-33F5-5245-9AB0-67E3D000AA2D}"/>
    <hyperlink ref="Q2302" r:id="rId3951" xr:uid="{BAC5A376-79F7-5C48-87CB-516806F881D7}"/>
    <hyperlink ref="E2304" r:id="rId3952" xr:uid="{F6A0C543-9F1F-1F44-88D9-18C318D24336}"/>
    <hyperlink ref="Q2304" r:id="rId3953" xr:uid="{78C42336-BA91-0A45-BEEC-D10EA97EB9E3}"/>
    <hyperlink ref="E2303" r:id="rId3954" xr:uid="{C43AC0AC-D4FC-424A-97DD-7C916089C484}"/>
    <hyperlink ref="Q2303" r:id="rId3955" xr:uid="{257CC80D-F22B-F844-99D8-20207A2CF13A}"/>
    <hyperlink ref="Q2301" r:id="rId3956" xr:uid="{29D38D47-A036-A94C-9AFF-4B8291D4CECD}"/>
    <hyperlink ref="Q2299" r:id="rId3957" xr:uid="{5B4AAEEC-E2E2-FC41-80D4-7EED060C3443}"/>
    <hyperlink ref="E2300" r:id="rId3958" xr:uid="{47272746-9309-5148-B99B-7E9F6D93794F}"/>
    <hyperlink ref="Q2300" r:id="rId3959" xr:uid="{008936E7-14B5-5248-B363-509417FDE88D}"/>
    <hyperlink ref="Q2298" r:id="rId3960" xr:uid="{20D0CF55-F231-7C43-8EB9-E8686D8F0648}"/>
    <hyperlink ref="Q2296" r:id="rId3961" xr:uid="{B3E2F298-8EE9-6D43-8214-C44587AA2A5C}"/>
    <hyperlink ref="Q2295" r:id="rId3962" xr:uid="{E8D0B62A-84E9-E443-9200-613C68461246}"/>
    <hyperlink ref="Q2297" r:id="rId3963" xr:uid="{300058A4-D9B0-E74B-999A-BF439276158A}"/>
    <hyperlink ref="E2290" r:id="rId3964" xr:uid="{E826369D-6CA0-294C-91EB-7B1304BC20FF}"/>
    <hyperlink ref="Q2290" r:id="rId3965" xr:uid="{CE49B462-ED7C-0C44-88DD-97015991A331}"/>
    <hyperlink ref="Q2292" r:id="rId3966" xr:uid="{30F1BF8B-1308-E547-950C-856FC27F8514}"/>
    <hyperlink ref="E2294" r:id="rId3967" xr:uid="{8CCD0BE5-F87C-8744-AAC6-E45FF8202C76}"/>
    <hyperlink ref="Q2294" r:id="rId3968" xr:uid="{55AF0956-8B3F-CC4E-BD95-B4AA60671539}"/>
    <hyperlink ref="Q2293" r:id="rId3969" xr:uid="{5CAB27F3-4A9D-844E-B8A9-4985F5B8BEE5}"/>
    <hyperlink ref="E2291" r:id="rId3970" xr:uid="{54B9209C-07DF-1148-833A-E1D0374C301B}"/>
    <hyperlink ref="Q2291" r:id="rId3971" xr:uid="{D231C828-4CEA-9F48-A2D1-952C1E59562A}"/>
    <hyperlink ref="Q2287" r:id="rId3972" xr:uid="{3909ED7C-0AA9-6E45-84D3-C153549F7A62}"/>
    <hyperlink ref="E2289" r:id="rId3973" xr:uid="{4EEBF94A-550A-0B45-B90F-26913438D591}"/>
    <hyperlink ref="Q2289" r:id="rId3974" xr:uid="{6940E7AD-72E2-9643-9D96-10DF1925DFA8}"/>
    <hyperlink ref="E2288" r:id="rId3975" xr:uid="{6A7D5415-74FD-6C4F-941F-DBAFA814BC01}"/>
    <hyperlink ref="Q2288" r:id="rId3976" xr:uid="{649A095B-3AE4-AE48-9AA0-72715381A597}"/>
    <hyperlink ref="E2286" r:id="rId3977" xr:uid="{385BD7E7-AB6E-A44F-86EA-F0D0F4D20CB6}"/>
    <hyperlink ref="Q2286" r:id="rId3978" xr:uid="{EA033CFD-E361-E24C-8575-A2A5DB0CDAD6}"/>
    <hyperlink ref="E2283" r:id="rId3979" xr:uid="{E8248CCA-32E9-0B4D-9C81-5988809C74D8}"/>
    <hyperlink ref="Q2283" r:id="rId3980" xr:uid="{E74D3CAF-47F0-4147-98B0-69CF2523CA78}"/>
    <hyperlink ref="E2285" r:id="rId3981" xr:uid="{B3E61BDC-27E4-8D4C-84B8-68FC0A238DDB}"/>
    <hyperlink ref="Q2285" r:id="rId3982" xr:uid="{1E138764-0547-CB4A-B29D-52D39FF70396}"/>
    <hyperlink ref="Q2284" r:id="rId3983" xr:uid="{F892326C-307F-6F40-9F86-A092A53EFA55}"/>
    <hyperlink ref="E2281" r:id="rId3984" xr:uid="{E994F2C2-4BA7-BB4E-8C78-E04A72E19D2F}"/>
    <hyperlink ref="Q2281" r:id="rId3985" xr:uid="{C4AE1C2F-3676-0540-9338-A25A8AFA75F8}"/>
    <hyperlink ref="Q2277" r:id="rId3986" xr:uid="{8B78B0EE-30D1-8B4B-9703-4B24B89BBC84}"/>
    <hyperlink ref="E2276" r:id="rId3987" xr:uid="{FE1C6CA5-16DF-3F46-BC44-361FE1791737}"/>
    <hyperlink ref="Q2276" r:id="rId3988" xr:uid="{0E0B990A-AAF4-A348-A4A7-2FC770F4C03A}"/>
    <hyperlink ref="Q2282" r:id="rId3989" xr:uid="{61CE76C7-7D80-5D4D-A86E-84B6D050DB9F}"/>
    <hyperlink ref="E2279" r:id="rId3990" xr:uid="{80FC6AEC-38E7-ED49-A01F-1F63DFE91425}"/>
    <hyperlink ref="Q2279" r:id="rId3991" xr:uid="{4C9F7732-34C8-E94E-A57A-415506009673}"/>
    <hyperlink ref="E2278" r:id="rId3992" xr:uid="{7ECC91EC-6FFD-1A44-9BF0-23DEC578416D}"/>
    <hyperlink ref="Q2278" r:id="rId3993" xr:uid="{DDC9FF90-DC4B-C948-8385-CB34DD3971E5}"/>
    <hyperlink ref="E2275" r:id="rId3994" xr:uid="{10023D2E-2940-0D41-9D1C-9DFE21F02172}"/>
    <hyperlink ref="Q2275" r:id="rId3995" xr:uid="{C1663316-D15C-934D-A21D-0225F63D720B}"/>
    <hyperlink ref="E2273" r:id="rId3996" xr:uid="{4A0B659A-E043-FA4B-9506-84517C888DC0}"/>
    <hyperlink ref="Q2273" r:id="rId3997" xr:uid="{B4B1174C-B0F2-F945-96B4-FC567E126554}"/>
    <hyperlink ref="E2274" r:id="rId3998" xr:uid="{C351A0E4-1290-C749-9685-F55ED6C12A02}"/>
    <hyperlink ref="Q2274" r:id="rId3999" xr:uid="{9CEC2A1D-F97D-F64B-9297-5F69468044E0}"/>
    <hyperlink ref="Q2272" r:id="rId4000" xr:uid="{9BC42ED0-8352-FC40-B0A0-78F5F7A850D2}"/>
    <hyperlink ref="Q2270" r:id="rId4001" xr:uid="{1F6E6445-A639-3E49-90A3-8D160A07DFA3}"/>
    <hyperlink ref="E2271" r:id="rId4002" xr:uid="{B4D8011E-5B7C-054B-BAE8-6739ED6D4B63}"/>
    <hyperlink ref="Q2271" r:id="rId4003" xr:uid="{FA6286AD-F371-6544-A884-0884376EC3EF}"/>
    <hyperlink ref="E2266" r:id="rId4004" xr:uid="{F4A9E086-1EDD-8C43-BEB6-EC4EF1B09DD3}"/>
    <hyperlink ref="Q2266" r:id="rId4005" xr:uid="{E63181E8-1AC5-3846-BEC5-A4BE6FC70C59}"/>
    <hyperlink ref="Q2264" r:id="rId4006" xr:uid="{6FC37E9C-ADAC-2444-B019-000F69D35741}"/>
    <hyperlink ref="Q2255" r:id="rId4007" xr:uid="{5B74B567-0843-6145-91FC-E987206FB3B9}"/>
    <hyperlink ref="Q2265" r:id="rId4008" xr:uid="{34292E8D-34F5-8B43-9AA5-0216A3ED858C}"/>
    <hyperlink ref="Q2280" r:id="rId4009" xr:uid="{E1AFDAB9-4DF1-C34C-AE3C-DB2E3B52E625}"/>
    <hyperlink ref="E2268" r:id="rId4010" xr:uid="{B9676F1D-CEED-E54A-AB76-789ED46BBD1A}"/>
    <hyperlink ref="Q2268" r:id="rId4011" xr:uid="{39B2C3BF-9D98-4240-904E-C8630BD586E2}"/>
    <hyperlink ref="Q2267" r:id="rId4012" xr:uid="{048FEDED-FA21-CB47-B023-0A9640C8D767}"/>
    <hyperlink ref="Q2259" r:id="rId4013" xr:uid="{2D8593C1-6F15-5A4C-BC14-670C244C850B}"/>
    <hyperlink ref="Q2258" r:id="rId4014" xr:uid="{C2C23013-3294-CC45-B5B0-930BDA35B5ED}"/>
    <hyperlink ref="Q2261" r:id="rId4015" xr:uid="{77D810DF-4FC4-D147-9D17-46BA34C3AB8B}"/>
    <hyperlink ref="Q2263" r:id="rId4016" xr:uid="{F58201C3-C30E-394B-834F-053F5A2CD642}"/>
    <hyperlink ref="Q2269" r:id="rId4017" xr:uid="{51252A14-D669-1141-806F-2441F61A519A}"/>
    <hyperlink ref="E2256" r:id="rId4018" xr:uid="{6247C893-0D40-4D4D-95CD-B4863E900C8C}"/>
    <hyperlink ref="Q2256" r:id="rId4019" xr:uid="{279888FB-0955-CE4B-AC3C-CA25A14AF3A0}"/>
    <hyperlink ref="Q2260" r:id="rId4020" xr:uid="{D505B93F-47A7-5F4A-994D-F2391FB35228}"/>
    <hyperlink ref="E2257" r:id="rId4021" xr:uid="{65258232-40E7-9542-836A-786BA2656212}"/>
    <hyperlink ref="Q2257" r:id="rId4022" xr:uid="{5951AE45-9910-6647-A33F-C4FF71DB2D21}"/>
    <hyperlink ref="E2254" r:id="rId4023" xr:uid="{2AC9DCA6-9A52-0E40-9784-8C9B216B4EBF}"/>
    <hyperlink ref="Q2254" r:id="rId4024" xr:uid="{EAB0771E-6172-CF40-9C78-AB372945BA0E}"/>
    <hyperlink ref="E2253" r:id="rId4025" xr:uid="{E5BD0EBF-1163-0442-BCE6-17FD32E720DF}"/>
    <hyperlink ref="Q2253" r:id="rId4026" xr:uid="{AC95783A-AE87-E54B-A991-B0362369FBFA}"/>
    <hyperlink ref="Q2250" r:id="rId4027" xr:uid="{6F1A492E-3A9A-B04E-8283-24E9413CC2FF}"/>
    <hyperlink ref="Q2249" r:id="rId4028" xr:uid="{D0D39B68-5E03-7C46-9093-5C7CA7BF0802}"/>
    <hyperlink ref="E2248" r:id="rId4029" xr:uid="{C77F76CF-BE52-464A-A133-25877E8273F2}"/>
    <hyperlink ref="Q2248" r:id="rId4030" xr:uid="{8288A3D4-00EC-2A4E-B317-3467DE3D4977}"/>
    <hyperlink ref="E2251" r:id="rId4031" xr:uid="{07D1A20B-5B46-6D4A-A393-CD759712E458}"/>
    <hyperlink ref="Q2251" r:id="rId4032" xr:uid="{A9EA9994-BC96-3645-8DBC-6B3912DCF6E7}"/>
    <hyperlink ref="Q2252" r:id="rId4033" xr:uid="{05403CF4-6A90-F543-8FBF-024137C7C8F8}"/>
    <hyperlink ref="E2262" r:id="rId4034" xr:uid="{1F4C9098-0526-0849-91FB-73D0AB558F4F}"/>
    <hyperlink ref="Q2262" r:id="rId4035" xr:uid="{7B29606F-8B7E-0F4D-BCE5-CDA3A49E1046}"/>
    <hyperlink ref="E2247" r:id="rId4036" xr:uid="{E8E44E9D-60FF-B049-A6DB-71577AB838AE}"/>
    <hyperlink ref="Q2247" r:id="rId4037" xr:uid="{FF60EB4F-ADEF-AC44-B499-A7B092AE247B}"/>
    <hyperlink ref="Q2245" r:id="rId4038" xr:uid="{E3804B52-1874-1646-9C35-58ACAB975508}"/>
    <hyperlink ref="Q2244" r:id="rId4039" xr:uid="{50563F63-5E93-694F-83A1-3F77308A4707}"/>
    <hyperlink ref="E2242" r:id="rId4040" xr:uid="{C41E34E8-BAF4-6943-BC1B-2AA07F7ECC26}"/>
    <hyperlink ref="Q2242" r:id="rId4041" xr:uid="{A006F6F1-24E5-E046-AB6B-4D4D79C1E5EE}"/>
    <hyperlink ref="Q2243" r:id="rId4042" xr:uid="{18378985-A092-F743-B68F-E2A82331A7EA}"/>
    <hyperlink ref="E2246" r:id="rId4043" xr:uid="{92300C69-8532-AC43-BF07-266997AB4B86}"/>
    <hyperlink ref="Q2246" r:id="rId4044" xr:uid="{65ECEE5E-F542-7744-BC98-C9F8DD23EDED}"/>
    <hyperlink ref="Q2239" r:id="rId4045" xr:uid="{3DAF8846-DF22-CF4C-88DA-BA36FED09722}"/>
    <hyperlink ref="Q2241" r:id="rId4046" xr:uid="{A565F292-E0D6-6340-BF8E-81689754EBF7}"/>
    <hyperlink ref="Q2240" r:id="rId4047" xr:uid="{3F3299CC-AB84-6742-93BB-03CE920173E5}"/>
    <hyperlink ref="Q2236" r:id="rId4048" xr:uid="{21AC1394-E985-7847-B542-3E02DEE1C6A9}"/>
    <hyperlink ref="Q2237" r:id="rId4049" xr:uid="{336791D6-4D3B-8443-B2BF-4582E0E4FC2C}"/>
    <hyperlink ref="E2235" r:id="rId4050" xr:uid="{0FCDB19B-6814-1345-83F1-392C062AE066}"/>
    <hyperlink ref="Q2235" r:id="rId4051" xr:uid="{1B8238F2-8D67-7E43-81EA-E50D1D09787B}"/>
    <hyperlink ref="Q2238" r:id="rId4052" xr:uid="{0F97DEB0-8790-1B4D-A39F-076AAA905684}"/>
    <hyperlink ref="E2234" r:id="rId4053" xr:uid="{7A4DE7C8-CB6D-CB4E-9D5F-FC6B7BB24460}"/>
    <hyperlink ref="Q2234" r:id="rId4054" xr:uid="{1B56A9A0-F51F-4B43-B701-7384904C8BB7}"/>
    <hyperlink ref="E2232" r:id="rId4055" xr:uid="{12B38115-049F-9945-9CFD-E350C7C34452}"/>
    <hyperlink ref="Q2232" r:id="rId4056" xr:uid="{B5C28259-6165-2D4C-814A-75F7F71C616A}"/>
    <hyperlink ref="E2233" r:id="rId4057" xr:uid="{8D34C328-40F0-F24E-8166-C5C7314CF437}"/>
    <hyperlink ref="Q2233" r:id="rId4058" xr:uid="{DC261C72-89F1-B04D-AC27-C410EA74E6BE}"/>
    <hyperlink ref="E2230" r:id="rId4059" xr:uid="{6B30D71D-8A6C-1343-A578-945507C9A3AC}"/>
    <hyperlink ref="Q2230" r:id="rId4060" xr:uid="{660F3934-CB86-A346-A6AD-3C542CE70825}"/>
    <hyperlink ref="E2231" r:id="rId4061" xr:uid="{1FE3325C-5F71-8541-AFCD-4AC6F9F0A2A6}"/>
    <hyperlink ref="Q2231" r:id="rId4062" xr:uid="{A86FE1B3-DED5-6041-AA84-4BE5D57873C0}"/>
    <hyperlink ref="E2229" r:id="rId4063" xr:uid="{92A8DAC1-6835-E34B-A0DD-B4E2105A713E}"/>
    <hyperlink ref="Q2229" r:id="rId4064" xr:uid="{F9A78587-AA61-2F47-B594-8F5A44BA01F6}"/>
    <hyperlink ref="E2228" r:id="rId4065" xr:uid="{FD0D8B12-8A1A-F640-912E-71B932BF70CF}"/>
    <hyperlink ref="Q2228" r:id="rId4066" xr:uid="{883AD6CC-EAA7-E646-B8B8-C192DD9F145E}"/>
    <hyperlink ref="E2223" r:id="rId4067" xr:uid="{0230E9EC-36E2-A240-906E-465524267937}"/>
    <hyperlink ref="Q2223" r:id="rId4068" xr:uid="{9CA93832-C89E-1A41-A545-1C296B75C309}"/>
    <hyperlink ref="Q2227" r:id="rId4069" xr:uid="{EB7C5521-062B-A443-934A-48AFFE76AEA2}"/>
    <hyperlink ref="Q2225" r:id="rId4070" xr:uid="{63A9574E-9EDF-A849-911D-1046632F3D99}"/>
    <hyperlink ref="Q2222" r:id="rId4071" xr:uid="{2BFC7106-537B-1346-B322-DB7D5D461375}"/>
    <hyperlink ref="Q2224" r:id="rId4072" xr:uid="{C4C2011F-CF76-6D4B-BBC7-436BA79C433A}"/>
    <hyperlink ref="E2226" r:id="rId4073" xr:uid="{915D5217-A99A-074E-B4FD-E9FC6A8EFF7F}"/>
    <hyperlink ref="Q2226" r:id="rId4074" xr:uid="{F227CE9D-1AE4-ED4C-B3E8-EF7AB888CA6A}"/>
    <hyperlink ref="E2219" r:id="rId4075" xr:uid="{C63A0E07-2E0E-AD49-BEE6-BBD3C09FABB7}"/>
    <hyperlink ref="Q2219" r:id="rId4076" xr:uid="{73BD48DB-DEEF-574F-8A15-0CBB68678C3A}"/>
    <hyperlink ref="E2218" r:id="rId4077" xr:uid="{4881F614-FFA8-D64D-A50E-E0FCC6FA9698}"/>
    <hyperlink ref="Q2218" r:id="rId4078" xr:uid="{DCF2BF42-0178-AA4D-935E-ABEFD71710BE}"/>
    <hyperlink ref="Q2216" r:id="rId4079" xr:uid="{080E0C0E-41CA-0648-A027-737D2F308C3E}"/>
    <hyperlink ref="Q2215" r:id="rId4080" xr:uid="{A9DC5CAE-419C-8E4E-AE09-4567165B8B56}"/>
    <hyperlink ref="E2214" r:id="rId4081" xr:uid="{AD4ABB50-F8CC-0749-B1B1-23C31FB87ED9}"/>
    <hyperlink ref="Q2214" r:id="rId4082" xr:uid="{50B7A7E6-BF65-CF4E-8B6B-6E27DA90056D}"/>
    <hyperlink ref="Q2220" r:id="rId4083" xr:uid="{02B3A7EB-EEA1-2743-B082-A3B541B6DC79}"/>
    <hyperlink ref="Q2217" r:id="rId4084" xr:uid="{D2E66DEE-2355-A74F-BFE3-794D3C5CDA23}"/>
    <hyperlink ref="Q2221" r:id="rId4085" xr:uid="{288D1617-9AD0-3748-8AF9-1336B66C77C7}"/>
    <hyperlink ref="Q2210" r:id="rId4086" xr:uid="{7B8B0CB7-B677-3A45-8A1B-2E3CA13D0C27}"/>
    <hyperlink ref="Q2212" r:id="rId4087" xr:uid="{8DD298E0-74D0-784A-96E9-08CA0D11733F}"/>
    <hyperlink ref="Q2211" r:id="rId4088" xr:uid="{9AF55696-5670-FF44-9B7D-D91B218CEB81}"/>
    <hyperlink ref="Q2209" r:id="rId4089" xr:uid="{83B86085-A5D7-E249-9740-38739846F1BC}"/>
    <hyperlink ref="Q2208" r:id="rId4090" xr:uid="{7634E59E-7FAF-294B-BA59-2BFDA9BEC327}"/>
    <hyperlink ref="Q2204" r:id="rId4091" location="tracking-source=home-top-story" xr:uid="{3E06EFFC-8821-A44D-9A83-5EC689CE2760}"/>
    <hyperlink ref="Q2205" r:id="rId4092" xr:uid="{96CCF4DB-FB62-A647-A8B9-AAD7FEEF9AC7}"/>
    <hyperlink ref="E2206" r:id="rId4093" xr:uid="{7BCFF39E-8746-5548-BF92-DB764BEF31B3}"/>
    <hyperlink ref="Q2206" r:id="rId4094" xr:uid="{4EC2EF3C-D909-644E-B87A-28E2537C5435}"/>
    <hyperlink ref="E2207" r:id="rId4095" xr:uid="{3CD67C2B-234A-134F-8E0E-B92A73F07C77}"/>
    <hyperlink ref="Q2207" r:id="rId4096" xr:uid="{5389CF0A-EAA8-1E48-93C0-E45E9A9D4FDC}"/>
    <hyperlink ref="E2197" r:id="rId4097" xr:uid="{239C25B6-9A38-434E-945C-64C1DC6BD391}"/>
    <hyperlink ref="Q2197" r:id="rId4098" xr:uid="{1EA83F88-3BCF-0045-B763-64AE3541ED29}"/>
    <hyperlink ref="E2199" r:id="rId4099" xr:uid="{13ABBAD1-D1E0-2D4A-95DC-129589DCA814}"/>
    <hyperlink ref="Q2199" r:id="rId4100" xr:uid="{BE71A277-F25B-9B4A-8789-306831EBDAF9}"/>
    <hyperlink ref="Q2198" r:id="rId4101" xr:uid="{CA67172B-9E14-9449-8F07-662438DEAB89}"/>
    <hyperlink ref="E2202" r:id="rId4102" xr:uid="{466D0156-B796-7A4A-A8CC-B68CA66318DF}"/>
    <hyperlink ref="Q2202" r:id="rId4103" xr:uid="{4D9C793F-FA18-6142-B2EF-5080037B834D}"/>
    <hyperlink ref="E2203" r:id="rId4104" xr:uid="{7A3626A7-0858-6F49-896A-CB5C547B3540}"/>
    <hyperlink ref="Q2203" r:id="rId4105" xr:uid="{0EC725F9-B043-EF4D-80FA-FD88044A7590}"/>
    <hyperlink ref="Q2201" r:id="rId4106" xr:uid="{C344A202-500A-6344-8253-70F9C8FF04D4}"/>
    <hyperlink ref="Q2200" r:id="rId4107" xr:uid="{ACE7FDB3-316F-EF49-AC6A-2A4ED99717BE}"/>
    <hyperlink ref="E2196" r:id="rId4108" xr:uid="{DAA35290-B3BF-C14E-87A7-F9FDE652DFEB}"/>
    <hyperlink ref="Q2196" r:id="rId4109" xr:uid="{E02F7435-624F-1443-87E4-4174C903BC9C}"/>
    <hyperlink ref="Q2195" r:id="rId4110" xr:uid="{DA258B34-6ED9-9140-BF71-B2CAE0B6CC7A}"/>
    <hyperlink ref="E2193" r:id="rId4111" xr:uid="{FFB5C0E7-34BA-1E40-880D-2C2BD882648C}"/>
    <hyperlink ref="Q2193" r:id="rId4112" xr:uid="{E480B319-6192-5D4B-B92E-8F3C9D031977}"/>
    <hyperlink ref="E2194" r:id="rId4113" xr:uid="{7063FC46-77BC-F040-B814-41B5F86B1E7A}"/>
    <hyperlink ref="Q2194" r:id="rId4114" xr:uid="{DDE1678B-12C5-4E44-8481-2251C9B88402}"/>
    <hyperlink ref="Q2188" r:id="rId4115" xr:uid="{FE551612-A54B-C349-B472-B5A6CE5CE9BA}"/>
    <hyperlink ref="E2189" r:id="rId4116" xr:uid="{94689A7C-2CBD-DB4F-B3BF-B94DB323BF15}"/>
    <hyperlink ref="Q2189" r:id="rId4117" xr:uid="{FE7AE5D2-A08A-D14F-9CC4-0781B33B8B2B}"/>
    <hyperlink ref="Q2192" r:id="rId4118" xr:uid="{ACEE5DE4-AA0B-2540-8278-2FB42D9ECE5A}"/>
    <hyperlink ref="Q2190" r:id="rId4119" xr:uid="{DFFBFBBB-6BEC-FC42-A445-6ADBE73FC990}"/>
    <hyperlink ref="Q2191" r:id="rId4120" xr:uid="{873269E0-517F-A248-ABF6-5071EF7B8B0F}"/>
    <hyperlink ref="Q2187" r:id="rId4121" xr:uid="{7390C254-1699-784F-AF95-03F82809233B}"/>
    <hyperlink ref="E2184" r:id="rId4122" xr:uid="{05D9C178-5902-BB4B-8B05-12AA229A933B}"/>
    <hyperlink ref="Q2184" r:id="rId4123" xr:uid="{268C7B8B-1E38-F649-89EE-4134952189DD}"/>
    <hyperlink ref="Q2186" r:id="rId4124" xr:uid="{5A0CC909-8AEC-C140-9FEB-E319A505CCDD}"/>
    <hyperlink ref="E2182" r:id="rId4125" xr:uid="{0AF54106-E296-EC4C-A13C-A5CF125EEBD9}"/>
    <hyperlink ref="Q2182" r:id="rId4126" xr:uid="{4E539E38-C7AE-A548-8E17-D5B6B0464306}"/>
    <hyperlink ref="E2185" r:id="rId4127" xr:uid="{A39C8671-0131-6F43-840C-7643E8001FF9}"/>
    <hyperlink ref="Q2185" r:id="rId4128" xr:uid="{EBFC656D-A646-754D-8283-073305F2FD97}"/>
    <hyperlink ref="Q2183" r:id="rId4129" xr:uid="{A2F2CB10-C709-D548-A165-0FA63BF2D3F5}"/>
    <hyperlink ref="E2180" r:id="rId4130" xr:uid="{C99A3E2B-CB9C-324C-8E92-5ACF5058E107}"/>
    <hyperlink ref="Q2180" r:id="rId4131" xr:uid="{0B9211AC-D9B1-F04D-B867-B8ED5BE82AB5}"/>
    <hyperlink ref="E2181" r:id="rId4132" xr:uid="{50CC4A58-B6EE-DE41-A3CE-DB54AD381D9D}"/>
    <hyperlink ref="Q2181" r:id="rId4133" xr:uid="{8758F562-A6B3-6142-BCE8-4E10368D4AEF}"/>
    <hyperlink ref="E2178" r:id="rId4134" xr:uid="{DE33B5F1-4A9C-BC47-A202-9E1ABC5720AF}"/>
    <hyperlink ref="Q2178" r:id="rId4135" xr:uid="{9BB65B42-83D8-5A42-9B9C-664B11367E69}"/>
    <hyperlink ref="Q2179" r:id="rId4136" xr:uid="{3FD21113-E56D-1F44-9D78-240A8BFBB075}"/>
    <hyperlink ref="Q2175" r:id="rId4137" xr:uid="{2EC69703-A331-2440-B86B-2249622872E4}"/>
    <hyperlink ref="Q2177" r:id="rId4138" xr:uid="{DF3FAEC9-E7A6-BC43-A8BA-DF9D9CA4F0FE}"/>
    <hyperlink ref="E2176" r:id="rId4139" xr:uid="{272BBF65-E5B6-0B49-B0DD-3FA7D125D5D1}"/>
    <hyperlink ref="Q2176" r:id="rId4140" xr:uid="{0B2C12FB-CA9E-3447-9697-1A44D40F10E3}"/>
    <hyperlink ref="Q2173" r:id="rId4141" xr:uid="{D28E4FA5-4833-614D-A44D-24651EC3D115}"/>
    <hyperlink ref="E2174" r:id="rId4142" xr:uid="{9F9047DD-1728-DD4E-9713-D4D93309284E}"/>
    <hyperlink ref="Q2174" r:id="rId4143" xr:uid="{59262A4E-551C-854E-9248-85EA42CF5D64}"/>
    <hyperlink ref="Q2165" r:id="rId4144" xr:uid="{0D45E8AE-A8A6-564C-90A7-E1FA34E9181C}"/>
    <hyperlink ref="Q2172" r:id="rId4145" xr:uid="{01451AD4-2545-C449-B53A-7F2B1FA62E52}"/>
    <hyperlink ref="E2171" r:id="rId4146" xr:uid="{468CAE10-B961-9A47-9B3C-D2D238D5C89D}"/>
    <hyperlink ref="Q2171" r:id="rId4147" xr:uid="{36F02CF8-32E7-9F4F-B912-DF9C802C4A05}"/>
    <hyperlink ref="Q2170" r:id="rId4148" xr:uid="{733F6306-E733-DB4B-BAD0-44A83086441D}"/>
    <hyperlink ref="Q2166" r:id="rId4149" xr:uid="{702FD443-E195-144E-8A14-30A304C6C602}"/>
    <hyperlink ref="E2167" r:id="rId4150" xr:uid="{D0CA0B05-381D-5B4C-8B71-68A55394FD27}"/>
    <hyperlink ref="Q2167" r:id="rId4151" xr:uid="{875A647C-F41E-2E48-9107-9164AE64DEB2}"/>
    <hyperlink ref="E2169" r:id="rId4152" xr:uid="{6BB2CC3C-4E18-5E4F-9666-1AC7EEC8C4FF}"/>
    <hyperlink ref="Q2169" r:id="rId4153" xr:uid="{110A9B9D-2244-A94D-8F7E-40B906A36FFD}"/>
    <hyperlink ref="Q2168" r:id="rId4154" xr:uid="{4072072A-27DF-124B-AB0E-9111CC070048}"/>
    <hyperlink ref="Q2164" r:id="rId4155" xr:uid="{2DF9560D-C5AF-0444-8BEC-810D5FE79020}"/>
    <hyperlink ref="Q2161" r:id="rId4156" xr:uid="{4E5B12C2-1D1F-7F40-BCC0-8B639443FE44}"/>
    <hyperlink ref="E2163" r:id="rId4157" xr:uid="{14CBE14F-457F-8C4C-A968-5E0BF7B007E1}"/>
    <hyperlink ref="Q2163" r:id="rId4158" xr:uid="{D062984F-3096-D645-A752-86BA9AE54A07}"/>
    <hyperlink ref="Q2162" r:id="rId4159" xr:uid="{A4FAA7EC-C126-C144-8487-95F2AE472AD8}"/>
    <hyperlink ref="Q2159" r:id="rId4160" xr:uid="{C1FDA59F-9836-4140-AAD1-1DACBC8BA54B}"/>
    <hyperlink ref="Q2158" r:id="rId4161" xr:uid="{3534F517-4E62-C543-AC9E-E1E2DAF65DCC}"/>
    <hyperlink ref="Q2160" r:id="rId4162" xr:uid="{D4DE7DF2-1378-104B-8A45-3A9224CC1DE3}"/>
    <hyperlink ref="Q2156" r:id="rId4163" xr:uid="{9FF219FD-70A9-B14A-A852-C8AA6EE67208}"/>
    <hyperlink ref="E2157" r:id="rId4164" xr:uid="{F4C381F4-E341-824D-BF49-A2BD2E267C11}"/>
    <hyperlink ref="Q2157" r:id="rId4165" xr:uid="{A69C2E3E-94B6-254F-9640-5D2CF0CF2BA1}"/>
    <hyperlink ref="Q2155" r:id="rId4166" xr:uid="{1D355686-278E-214A-85F1-9641D5579803}"/>
    <hyperlink ref="Q2150" r:id="rId4167" xr:uid="{5E920AAF-DE8D-8A43-839F-D3D88AB24FC5}"/>
    <hyperlink ref="Q2154" r:id="rId4168" xr:uid="{DBE3A9D2-73C0-6547-A64D-C4C569654ADD}"/>
    <hyperlink ref="Q2152" r:id="rId4169" xr:uid="{9254E53A-A6BA-2545-B269-FACDCED7008A}"/>
    <hyperlink ref="E2151" r:id="rId4170" xr:uid="{3A5C0B70-5B97-6343-A6FF-3ADCF63AAC67}"/>
    <hyperlink ref="Q2151" r:id="rId4171" xr:uid="{23BD9ECE-78CB-A640-89C1-D3203213CF9F}"/>
    <hyperlink ref="E2153" r:id="rId4172" xr:uid="{F6073F04-1126-0341-AFB8-9DF9BA9B5FC0}"/>
    <hyperlink ref="Q2153" r:id="rId4173" xr:uid="{9B153D73-A730-914A-AEDC-D559D33119F1}"/>
    <hyperlink ref="Q2147" r:id="rId4174" xr:uid="{1785096D-CCC8-2448-B00A-55B91427FF86}"/>
    <hyperlink ref="E2148" r:id="rId4175" xr:uid="{FCC1CA75-6697-CC43-A102-8BFC7D9ED0B7}"/>
    <hyperlink ref="Q2148" r:id="rId4176" xr:uid="{7170FD9B-4521-8A4C-A2BB-6592159CD27E}"/>
    <hyperlink ref="Q2149" r:id="rId4177" xr:uid="{FDE3F49C-D181-C148-9A34-13044F94D69F}"/>
    <hyperlink ref="E2144" r:id="rId4178" xr:uid="{DC41C82F-2F48-E948-832C-8D8292CD2113}"/>
    <hyperlink ref="Q2144" r:id="rId4179" xr:uid="{2CC6CCD1-5BB9-174D-ADC5-0ADB4CAD325F}"/>
    <hyperlink ref="Q2145" r:id="rId4180" xr:uid="{70ED3F03-97C1-2C43-9DBB-41DCF729C4A3}"/>
    <hyperlink ref="Q2143" r:id="rId4181" xr:uid="{C2633F75-4032-8649-8700-C0DD93D0124D}"/>
    <hyperlink ref="E2146" r:id="rId4182" xr:uid="{8BC560A5-9B8F-0045-9D8F-03981A46E4FA}"/>
    <hyperlink ref="Q2146" r:id="rId4183" xr:uid="{23FE3D56-9354-2049-9E96-3507F7C2D017}"/>
    <hyperlink ref="Q2140" r:id="rId4184" xr:uid="{FD208CDA-0A25-EF46-B7DF-3BA14311AD2F}"/>
    <hyperlink ref="Q2142" r:id="rId4185" xr:uid="{AF3AA872-FA12-CA4D-8442-F69F70D6A1E8}"/>
    <hyperlink ref="Q2141" r:id="rId4186" xr:uid="{28669530-D734-7F4B-8DF7-58C1370059D1}"/>
    <hyperlink ref="Q2139" r:id="rId4187" xr:uid="{FC26601E-0554-5247-9859-1F512159E02D}"/>
    <hyperlink ref="Q2137" r:id="rId4188" xr:uid="{9E7C6C49-02D8-9E4B-A987-BC3647C8D24E}"/>
    <hyperlink ref="E2138" r:id="rId4189" xr:uid="{04203956-7522-7F47-B64F-D985C2C6566A}"/>
    <hyperlink ref="Q2138" r:id="rId4190" xr:uid="{7C269400-7871-0A4F-B42C-4D6BC4FCBD0A}"/>
    <hyperlink ref="E2129" r:id="rId4191" xr:uid="{A3D0FB42-EA58-4648-968F-2C31CFB63FBF}"/>
    <hyperlink ref="Q2129" r:id="rId4192" xr:uid="{9D67B035-2ECD-4D43-8F92-AD70AF99802B}"/>
    <hyperlink ref="E2133" r:id="rId4193" xr:uid="{D1BFA62B-0413-834B-8BBE-66147B8F0829}"/>
    <hyperlink ref="Q2133" r:id="rId4194" xr:uid="{6E8E8AC0-9E61-5C4E-A7CB-95E00DD5A768}"/>
    <hyperlink ref="Q2131" r:id="rId4195" xr:uid="{64296BB2-F318-4449-8232-C8BBE84221A7}"/>
    <hyperlink ref="E2134" r:id="rId4196" xr:uid="{3F4FD4AC-CD3C-9449-AC70-1A181C4E114E}"/>
    <hyperlink ref="Q2134" r:id="rId4197" xr:uid="{9372EE17-C7AE-024F-B342-434306925375}"/>
    <hyperlink ref="E2135" r:id="rId4198" xr:uid="{C5FB2555-A26E-EA45-A28D-2E65A0E3F2DB}"/>
    <hyperlink ref="Q2135" r:id="rId4199" xr:uid="{A940B706-4992-E443-A69F-A1941442EF2F}"/>
    <hyperlink ref="Q2136" r:id="rId4200" xr:uid="{EBAC2A83-AB12-3344-AEB4-15888B3B752F}"/>
    <hyperlink ref="Q2130" r:id="rId4201" xr:uid="{C5570D87-D910-DA49-A63F-1514A56F9C7C}"/>
    <hyperlink ref="Q2132" r:id="rId4202" xr:uid="{404C8CDE-7665-C14F-A47B-3EF57A9358DB}"/>
    <hyperlink ref="E2128" r:id="rId4203" xr:uid="{31DD2201-FA71-FE48-9C39-E5DDF59F42C6}"/>
    <hyperlink ref="Q2128" r:id="rId4204" xr:uid="{549BF034-EE90-2346-BFF2-A64056BB0CF8}"/>
    <hyperlink ref="Q2125" r:id="rId4205" xr:uid="{B4E77944-F3D6-BF4F-8C0B-054D311ED0CF}"/>
    <hyperlink ref="Q2127" r:id="rId4206" xr:uid="{3136C920-3A2A-2341-9E6B-89591F0A69A2}"/>
    <hyperlink ref="E2126" r:id="rId4207" xr:uid="{0B40C4D9-9BBA-FC4B-8BF8-FBF14BC3046E}"/>
    <hyperlink ref="Q2126" r:id="rId4208" xr:uid="{E5FA7707-73D4-3B4D-9602-35F1887222AF}"/>
    <hyperlink ref="Q2124" r:id="rId4209" xr:uid="{C9A5B5C9-9B53-214A-845F-A68680318A06}"/>
    <hyperlink ref="Q2123" r:id="rId4210" xr:uid="{9FAF2D75-2B52-8148-A2EA-A7309BCE7FBF}"/>
    <hyperlink ref="Q2122" r:id="rId4211" xr:uid="{799DF2F8-10EC-0E40-AB98-BBBE7FA294B6}"/>
    <hyperlink ref="Q2119" r:id="rId4212" xr:uid="{9322E8CC-AD48-7C46-B83D-BD9154013BA9}"/>
    <hyperlink ref="Q2121" r:id="rId4213" xr:uid="{306005DF-280F-3E4A-84CE-B96604789160}"/>
    <hyperlink ref="E2120" r:id="rId4214" xr:uid="{7891AEF6-01F9-BF49-9460-5997A0036261}"/>
    <hyperlink ref="Q2120" r:id="rId4215" xr:uid="{B35B08C1-F64E-DA41-BD6F-368C2679B0F7}"/>
    <hyperlink ref="Q2116" r:id="rId4216" xr:uid="{0B1C5E5C-0764-7646-B4C8-6F0C604AC5D3}"/>
    <hyperlink ref="E2118" r:id="rId4217" xr:uid="{4EDE1A0A-1C5B-DB4E-B1D5-8239311AFFED}"/>
    <hyperlink ref="Q2118" r:id="rId4218" xr:uid="{8C3BAA01-9ABD-4140-BDDA-DBBDC49910FF}"/>
    <hyperlink ref="E2117" r:id="rId4219" xr:uid="{C09FF363-CED7-FF49-800C-B5AB6B4C93A1}"/>
    <hyperlink ref="Q2117" r:id="rId4220" xr:uid="{471B5DC5-2CA3-7D47-8BBB-28D430D1F11F}"/>
    <hyperlink ref="Q2114" r:id="rId4221" xr:uid="{52DB8416-DD20-694E-99F6-8A9A0658A342}"/>
    <hyperlink ref="E2115" r:id="rId4222" xr:uid="{DF84D797-48AC-C34D-91C8-CC8C39BFBE72}"/>
    <hyperlink ref="Q2115" r:id="rId4223" xr:uid="{B77656DA-05B2-814C-9EB3-486EC0C75257}"/>
    <hyperlink ref="E2113" r:id="rId4224" xr:uid="{A28A0238-1875-1B47-817A-FE85DAE86E24}"/>
    <hyperlink ref="Q2113" r:id="rId4225" xr:uid="{427696CC-66DB-FA44-8158-5E66DB0E732F}"/>
    <hyperlink ref="Q2112" r:id="rId4226" xr:uid="{1F993660-0C9D-6F47-9889-5FA669F5FCF2}"/>
    <hyperlink ref="Q2110" r:id="rId4227" xr:uid="{7FA6C1C0-6665-0D43-8978-AFC6E4AB7C5A}"/>
    <hyperlink ref="E2111" r:id="rId4228" xr:uid="{A3BD96C6-112D-6E45-8366-22F0A859AB78}"/>
    <hyperlink ref="Q2111" r:id="rId4229" xr:uid="{873352C1-BFB5-0245-B45C-EA557058D852}"/>
    <hyperlink ref="E2109" r:id="rId4230" xr:uid="{7B512470-3AD1-584F-9A49-A0176EB6AF84}"/>
    <hyperlink ref="Q2109" r:id="rId4231" xr:uid="{7306A21A-1BFF-034A-8792-D3D12EFA0250}"/>
    <hyperlink ref="E2107" r:id="rId4232" xr:uid="{11B75DB8-31CE-9C46-8690-1C6585E969E7}"/>
    <hyperlink ref="Q2107" r:id="rId4233" xr:uid="{2EC806F9-B3E8-7341-9867-18E94572A359}"/>
    <hyperlink ref="Q2108" r:id="rId4234" xr:uid="{1ABD29D4-6DC1-E345-9E38-F38A03A4EFA7}"/>
    <hyperlink ref="Q2106" r:id="rId4235" xr:uid="{2497C62B-C4EA-B043-9C2B-EBD0F9CA715B}"/>
    <hyperlink ref="Q2104" r:id="rId4236" xr:uid="{5F76D724-9AB5-8C46-BFE8-B6CDBB282276}"/>
    <hyperlink ref="E2105" r:id="rId4237" xr:uid="{F74434BC-B38B-5A44-87EB-2B410CBC9536}"/>
    <hyperlink ref="Q2105" r:id="rId4238" xr:uid="{93FD94A9-60BF-CC40-9D5C-AF1F981043AD}"/>
    <hyperlink ref="E2103" r:id="rId4239" xr:uid="{91CF112A-D2D9-D845-84CA-B439DE371EBB}"/>
    <hyperlink ref="Q2103" r:id="rId4240" xr:uid="{477E6F90-D0E0-0C45-92D6-A753108E94D9}"/>
    <hyperlink ref="E2102" r:id="rId4241" xr:uid="{7D3190F3-C1A7-604D-B4EB-3A4AE86CBB77}"/>
    <hyperlink ref="Q2102" r:id="rId4242" xr:uid="{C609BE67-A303-2240-AA2E-538B46900B4A}"/>
    <hyperlink ref="Q2101" r:id="rId4243" xr:uid="{F4527E76-710A-B741-A407-233BEF1843BE}"/>
    <hyperlink ref="Q2100" r:id="rId4244" xr:uid="{B159CF64-943A-5F4D-9246-6CD53366D854}"/>
    <hyperlink ref="Q2099" r:id="rId4245" xr:uid="{57612ECD-B0E0-5B44-A1EF-28FEAE3281DD}"/>
    <hyperlink ref="Q2096" r:id="rId4246" xr:uid="{3B221CE4-95C6-8148-AD9F-2ECB79466FCC}"/>
    <hyperlink ref="Q2098" r:id="rId4247" xr:uid="{EE375864-5B80-6745-A905-52B29F4FE8AB}"/>
    <hyperlink ref="E2097" r:id="rId4248" xr:uid="{84D9CDE3-D5F2-4448-B3AF-E26D6143D01D}"/>
    <hyperlink ref="Q2097" r:id="rId4249" xr:uid="{E9FF6609-2288-CE4C-9DA6-8C4F173E2AC9}"/>
    <hyperlink ref="Q2093" r:id="rId4250" xr:uid="{26B3CAFD-F9C9-6A41-BC21-3A2B3FBBDD3B}"/>
    <hyperlink ref="Q2094" r:id="rId4251" location="1" xr:uid="{FF2C9F9D-659D-7B4E-85E2-DFD42B0717A3}"/>
    <hyperlink ref="Q2095" r:id="rId4252" xr:uid="{C1029C14-8947-D44A-AF6E-BA9A51E98D15}"/>
    <hyperlink ref="Q2092" r:id="rId4253" xr:uid="{FC727B31-2086-A941-A036-41139F35AF60}"/>
    <hyperlink ref="Q2091" r:id="rId4254" xr:uid="{AB9C13C3-578B-6149-9D90-3F31A28877F1}"/>
    <hyperlink ref="Q2090" r:id="rId4255" xr:uid="{79CD009F-7D20-A847-AD21-37893D31DF5C}"/>
    <hyperlink ref="Q2089" r:id="rId4256" xr:uid="{9E175B50-112C-0A45-AFF9-105A72AB990B}"/>
    <hyperlink ref="Q2088" r:id="rId4257" xr:uid="{4F97A6EE-C9EC-904F-BA7C-25CD637FA039}"/>
    <hyperlink ref="E2086" r:id="rId4258" xr:uid="{A975B8FD-D8A7-A546-AC4B-6D165FED64BB}"/>
    <hyperlink ref="Q2086" r:id="rId4259" xr:uid="{96136149-50EE-E24A-BE8D-49212C29185D}"/>
    <hyperlink ref="Q2087" r:id="rId4260" xr:uid="{FD88D842-B863-5947-A62E-FE9D942F94D6}"/>
    <hyperlink ref="Q2083" r:id="rId4261" xr:uid="{E953AEBC-6EF3-1343-8A25-F48D60A980C4}"/>
    <hyperlink ref="Q2081" r:id="rId4262" xr:uid="{B1DC682D-CD53-E94B-9777-8D518E3B86F0}"/>
    <hyperlink ref="Q2085" r:id="rId4263" xr:uid="{C42005C7-B72C-CF44-BB62-957C99EF8B92}"/>
    <hyperlink ref="E2082" r:id="rId4264" xr:uid="{C6583C03-21C8-1C4E-9888-79C82D76BBA6}"/>
    <hyperlink ref="Q2082" r:id="rId4265" xr:uid="{C5FA5AE6-BA90-384B-9A01-98C9359358F8}"/>
    <hyperlink ref="Q2084" r:id="rId4266" xr:uid="{AC66674B-21B5-2E4A-9B31-40F8855AD228}"/>
    <hyperlink ref="E2080" r:id="rId4267" xr:uid="{2FA502F6-6897-2742-A104-FA1F2A722762}"/>
    <hyperlink ref="Q2080" r:id="rId4268" xr:uid="{7E9C0155-821A-BF4C-9154-EB674873FE64}"/>
    <hyperlink ref="Q2079" r:id="rId4269" xr:uid="{A3EDB275-83A6-624E-8B4F-FC81477F1B8D}"/>
    <hyperlink ref="Q2078" r:id="rId4270" xr:uid="{1C394C82-C0D5-164A-A94B-415F8CEA6E08}"/>
    <hyperlink ref="Q2076" r:id="rId4271" xr:uid="{E562CA50-9CA4-DF44-AF88-2032927E87D1}"/>
    <hyperlink ref="Q2075" r:id="rId4272" xr:uid="{EA0A0BC0-112E-1A44-A540-F405C0AAFEC8}"/>
    <hyperlink ref="Q2077" r:id="rId4273" xr:uid="{D6520F35-60F9-2549-BA5C-4A6D565B5BCC}"/>
    <hyperlink ref="Q2070" r:id="rId4274" xr:uid="{3E3E2F38-2C1E-5C41-BC49-126F823D2A71}"/>
    <hyperlink ref="Q2069" r:id="rId4275" xr:uid="{D0B6AA8E-B35B-6149-8104-248E90AA91A8}"/>
    <hyperlink ref="Q2071" r:id="rId4276" xr:uid="{9C3CB02A-467D-5142-9172-6725AEDFBD65}"/>
    <hyperlink ref="Q2073" r:id="rId4277" xr:uid="{759779D3-8C1C-FA45-AA27-8B594AEE6020}"/>
    <hyperlink ref="Q2072" r:id="rId4278" xr:uid="{B03D3EB8-2F9D-9043-A9EA-FAE618B9F11E}"/>
    <hyperlink ref="Q2074" r:id="rId4279" xr:uid="{FA9BDDBB-A33A-8047-B3D9-62ADE42A93A9}"/>
    <hyperlink ref="E2066" r:id="rId4280" xr:uid="{407AC137-DA6F-AE4B-B7B6-6F461DE8F0F6}"/>
    <hyperlink ref="Q2066" r:id="rId4281" xr:uid="{EF94F330-337B-5A49-8FFA-7D80A88A0487}"/>
    <hyperlink ref="Q2068" r:id="rId4282" xr:uid="{FF7DF17C-F635-FF48-A675-35C0544C3EFE}"/>
    <hyperlink ref="Q2067" r:id="rId4283" xr:uid="{A9F46D21-5905-FA42-87B3-1A7DE27BC4A0}"/>
    <hyperlink ref="Q2065" r:id="rId4284" xr:uid="{3456DFAE-5FF3-194E-9625-09A3AD70780F}"/>
    <hyperlink ref="E2064" r:id="rId4285" xr:uid="{A499DE3B-F7FB-7248-B267-4ECEDD003D95}"/>
    <hyperlink ref="Q2064" r:id="rId4286" xr:uid="{09149C15-4ED6-D441-B318-E417EC6D98A8}"/>
    <hyperlink ref="Q2061" r:id="rId4287" xr:uid="{C3A3D467-E59B-784A-88A4-E34DA361E49F}"/>
    <hyperlink ref="E2060" r:id="rId4288" xr:uid="{5CED2184-DBB2-5A4A-9937-4CF9D228FFC7}"/>
    <hyperlink ref="Q2060" r:id="rId4289" xr:uid="{058CAC38-79A8-5E44-82A4-BCDF07D57333}"/>
    <hyperlink ref="Q2062" r:id="rId4290" xr:uid="{32920453-9BDD-9846-ABD5-07B6E180EE48}"/>
    <hyperlink ref="E2059" r:id="rId4291" xr:uid="{EB5360A7-D5B3-3543-ADE7-40D172731618}"/>
    <hyperlink ref="Q2059" r:id="rId4292" xr:uid="{5E9BE58E-11FF-0A4B-9303-1115887A8021}"/>
    <hyperlink ref="E2055" r:id="rId4293" xr:uid="{42B574E5-3697-D249-836E-C6682569AB39}"/>
    <hyperlink ref="Q2055" r:id="rId4294" xr:uid="{C86F9E06-BAF3-B142-8717-62EB3682E3EF}"/>
    <hyperlink ref="Q2053" r:id="rId4295" xr:uid="{8E3B688A-B15B-FA42-BECE-BBBDA4C27841}"/>
    <hyperlink ref="Q2058" r:id="rId4296" xr:uid="{C6ED9503-044F-7442-961E-C043F6A41EF1}"/>
    <hyperlink ref="Q2054" r:id="rId4297" xr:uid="{C7D1C9BC-BBFE-134E-AB3F-9DA3B76CCA6E}"/>
    <hyperlink ref="Q2056" r:id="rId4298" xr:uid="{6F0DC09E-33CA-D34F-B6EA-2F71BB05EA55}"/>
    <hyperlink ref="Q2050" r:id="rId4299" location="/0" xr:uid="{30E70943-5251-4645-8D4C-C38B0DE982D9}"/>
    <hyperlink ref="Q2051" r:id="rId4300" xr:uid="{7E8D8ECA-4BD7-EF4A-B12D-2B7D8D1E5511}"/>
    <hyperlink ref="E2052" r:id="rId4301" xr:uid="{ABFB03FA-1279-AB4D-A25C-28C31967A301}"/>
    <hyperlink ref="Q2052" r:id="rId4302" xr:uid="{7589ECA6-220E-3D42-8438-B933379E719B}"/>
    <hyperlink ref="Q2048" r:id="rId4303" xr:uid="{A9ECDB89-EB1C-7644-BE91-8B010B638E82}"/>
    <hyperlink ref="Q2046" r:id="rId4304" xr:uid="{74333927-1457-6541-B045-1FF8641D7792}"/>
    <hyperlink ref="Q2039" r:id="rId4305" xr:uid="{445E4AE5-9590-B540-9DC0-5B65C6292061}"/>
    <hyperlink ref="E2044" r:id="rId4306" xr:uid="{DE0C9392-F4F1-A44B-A325-25CC9498715D}"/>
    <hyperlink ref="Q2044" r:id="rId4307" xr:uid="{8617054C-4D80-D940-9AB1-7FCBF534057C}"/>
    <hyperlink ref="Q2041" r:id="rId4308" xr:uid="{4E2D1885-FDE2-2C4C-9C5A-B95F20169D73}"/>
    <hyperlink ref="Q2040" r:id="rId4309" xr:uid="{66787452-C97B-F24D-B90A-D3B21A2EC11C}"/>
    <hyperlink ref="Q2045" r:id="rId4310" xr:uid="{65E156CA-2FE3-184E-97F9-BE89EA69EDF9}"/>
    <hyperlink ref="E2043" r:id="rId4311" xr:uid="{0294B064-F420-3D4E-B0AB-4C5BA0EA8105}"/>
    <hyperlink ref="Q2043" r:id="rId4312" xr:uid="{FCB758A4-FC46-7248-AE4E-45458A60B6A6}"/>
    <hyperlink ref="Q2042" r:id="rId4313" xr:uid="{79DDA29E-2EA4-3649-A50F-7958CDD3E3D9}"/>
    <hyperlink ref="Q2037" r:id="rId4314" xr:uid="{660FD8EF-5029-0244-B316-196CBD360132}"/>
    <hyperlink ref="Q2038" r:id="rId4315" xr:uid="{7850BE7B-18C1-4B45-9BC9-388CC97F2DC0}"/>
    <hyperlink ref="Q2036" r:id="rId4316" xr:uid="{EB3BF696-CF6D-1746-9245-C1A631D3F9EC}"/>
    <hyperlink ref="Q2035" r:id="rId4317" xr:uid="{643DF7C3-C100-E347-9C88-F5E3C9CA3BD3}"/>
    <hyperlink ref="E2031" r:id="rId4318" xr:uid="{30513BCC-6D88-2D48-A282-067A6507AA04}"/>
    <hyperlink ref="Q2031" r:id="rId4319" xr:uid="{213C7726-2149-0542-9D58-D1DD322A5964}"/>
    <hyperlink ref="Q2033" r:id="rId4320" xr:uid="{36D9B077-2676-C44B-A75D-9BC1CA076CF4}"/>
    <hyperlink ref="Q2030" r:id="rId4321" xr:uid="{5E481BAE-66E7-7642-A05B-D536468EE760}"/>
    <hyperlink ref="E2029" r:id="rId4322" xr:uid="{0C494789-F0C6-A94F-A9B4-442030FACE8A}"/>
    <hyperlink ref="Q2029" r:id="rId4323" xr:uid="{1118F979-7F6B-5E4B-91A7-382860053469}"/>
    <hyperlink ref="E2032" r:id="rId4324" xr:uid="{5E7F550F-8087-554B-9F76-737D362E2958}"/>
    <hyperlink ref="Q2032" r:id="rId4325" xr:uid="{3013B07A-E1B0-464B-93A4-4C12D1E6564A}"/>
    <hyperlink ref="Q2034" r:id="rId4326" xr:uid="{BD011A90-1DD0-6D4C-8F8E-965093573D8A}"/>
    <hyperlink ref="Q2028" r:id="rId4327" xr:uid="{F4DC999D-6550-EB4E-A3D1-89504B34841A}"/>
    <hyperlink ref="E2025" r:id="rId4328" xr:uid="{2C72EA92-0C85-C740-A040-1E93F48AFB0A}"/>
    <hyperlink ref="Q2025" r:id="rId4329" xr:uid="{203686AD-6811-874B-A53A-4ABC4D1A823C}"/>
    <hyperlink ref="E2022" r:id="rId4330" xr:uid="{1D74B2BD-CC07-0849-BB59-0749CD70DC81}"/>
    <hyperlink ref="Q2022" r:id="rId4331" xr:uid="{F95DD4D1-3CEC-4F49-B76D-B43A099E2B64}"/>
    <hyperlink ref="Q2027" r:id="rId4332" xr:uid="{E13E4420-AC5F-D448-A081-68137EF33C32}"/>
    <hyperlink ref="Q2026" r:id="rId4333" xr:uid="{58E66D56-AC47-2C4D-BE2A-2B0C00739888}"/>
    <hyperlink ref="E2024" r:id="rId4334" xr:uid="{D21AE5CE-F351-2A4C-837D-7C4D12F9EDD7}"/>
    <hyperlink ref="Q2024" r:id="rId4335" xr:uid="{2172F2BB-5C3F-8E46-9712-A3E1D1DFC331}"/>
    <hyperlink ref="E2021" r:id="rId4336" xr:uid="{307D569A-C3FE-4F4E-B639-9D4F1EC861C4}"/>
    <hyperlink ref="Q2021" r:id="rId4337" xr:uid="{3A79FEBC-701B-0E43-A349-C473186AF5AA}"/>
    <hyperlink ref="E2023" r:id="rId4338" xr:uid="{20B46204-E3BA-494A-88F2-D4406D1160BF}"/>
    <hyperlink ref="Q2023" r:id="rId4339" xr:uid="{C63271EF-F06A-4948-8578-EBF55CF1971D}"/>
    <hyperlink ref="E2019" r:id="rId4340" xr:uid="{20871B2D-FAD8-6E42-9ECC-42EA47ECB6C2}"/>
    <hyperlink ref="Q2019" r:id="rId4341" xr:uid="{3B22B716-36D9-E245-AA5D-A5DE02941D00}"/>
    <hyperlink ref="E2020" r:id="rId4342" xr:uid="{16E8405F-9515-2745-AC14-40ED4C5147D4}"/>
    <hyperlink ref="Q2020" r:id="rId4343" xr:uid="{1995BEE7-AF3B-DC4C-AC8F-4EC96F8031FF}"/>
    <hyperlink ref="Q2017" r:id="rId4344" xr:uid="{17273826-639E-4A45-A427-FFE62293F2EF}"/>
    <hyperlink ref="Q2016" r:id="rId4345" xr:uid="{248B4B34-51B2-2944-8711-5E8534476A5C}"/>
    <hyperlink ref="Q2014" r:id="rId4346" xr:uid="{BE3FF951-7210-804F-AD37-63DC65C05077}"/>
    <hyperlink ref="Q2015" r:id="rId4347" xr:uid="{77FC96EF-D12A-4447-B70D-3CC33AAF879A}"/>
    <hyperlink ref="Q2011" r:id="rId4348" xr:uid="{8146428D-CCBB-DC4C-B9D0-C21AAB3C1C33}"/>
    <hyperlink ref="Q2013" r:id="rId4349" xr:uid="{903BAC9C-91C5-5842-96B6-F4807E75B2C6}"/>
    <hyperlink ref="E2012" r:id="rId4350" xr:uid="{5DBF17E4-E868-4244-A7BD-A1AEE94C39F3}"/>
    <hyperlink ref="Q2012" r:id="rId4351" xr:uid="{739E6148-E33E-D74F-9E28-6A4EDB793774}"/>
    <hyperlink ref="Q2009" r:id="rId4352" xr:uid="{18672F20-B33E-4243-BB48-2DD3F22F2CA4}"/>
    <hyperlink ref="Q2010" r:id="rId4353" xr:uid="{17F54F9E-922A-8E4B-A5BD-92AFFF745D70}"/>
    <hyperlink ref="E2005" r:id="rId4354" xr:uid="{60264EAC-7CB2-D241-A201-243661E4B16A}"/>
    <hyperlink ref="Q2005" r:id="rId4355" xr:uid="{1F0A4872-9200-A84A-8A0D-02198156CFD9}"/>
    <hyperlink ref="E2008" r:id="rId4356" xr:uid="{5203CD8C-282B-534D-9FC3-51A5B42E6CEC}"/>
    <hyperlink ref="Q2008" r:id="rId4357" xr:uid="{54C417A0-6D58-A74C-8DFF-A5636DCD2817}"/>
    <hyperlink ref="E2007" r:id="rId4358" xr:uid="{B4EC6F82-4BD4-BA4F-828C-21FE6723B505}"/>
    <hyperlink ref="Q2007" r:id="rId4359" xr:uid="{EA71DF19-EED8-314A-86AB-3E1AB89430EB}"/>
    <hyperlink ref="Q2006" r:id="rId4360" xr:uid="{C089737D-B5EF-DE41-B72E-8D321FA849B0}"/>
    <hyperlink ref="E2001" r:id="rId4361" xr:uid="{05FDCF3B-76C4-8F4B-B64A-7F64C48334FF}"/>
    <hyperlink ref="Q2001" r:id="rId4362" xr:uid="{84DC3C09-18F8-7D4F-A932-EC30007A23B0}"/>
    <hyperlink ref="E1999" r:id="rId4363" xr:uid="{FD8FC5EC-99A1-3F48-B67F-CE45A879AB00}"/>
    <hyperlink ref="Q1999" r:id="rId4364" xr:uid="{9B645DEA-8A50-A843-97B2-AEE93654DA8B}"/>
    <hyperlink ref="E2003" r:id="rId4365" xr:uid="{5F5FD8EA-8D29-D94C-91E5-7ADD5362F322}"/>
    <hyperlink ref="Q2003" r:id="rId4366" xr:uid="{5B8B4CDF-436A-904C-98B0-2CDA3A0F20D5}"/>
    <hyperlink ref="E2004" r:id="rId4367" xr:uid="{84EA20C0-31BB-364C-A62F-F80C7BF18F09}"/>
    <hyperlink ref="Q2004" r:id="rId4368" xr:uid="{805B40EA-35FA-7C4A-8337-D535A3AEF225}"/>
    <hyperlink ref="E2000" r:id="rId4369" xr:uid="{FC3960C7-B27B-434E-8F9F-8EC4C131DBC8}"/>
    <hyperlink ref="Q2000" r:id="rId4370" xr:uid="{1C63F1F3-951D-634F-9CCA-AFFC14784E44}"/>
    <hyperlink ref="E1998" r:id="rId4371" xr:uid="{1B0871DC-E52F-E048-AA89-B1CE6A46D349}"/>
    <hyperlink ref="Q1998" r:id="rId4372" xr:uid="{4A6EBEC5-516F-914C-A926-B062EE82C332}"/>
    <hyperlink ref="E2002" r:id="rId4373" xr:uid="{1D0325E4-9DAB-C24E-B557-34C6E9223A4A}"/>
    <hyperlink ref="Q2002" r:id="rId4374" xr:uid="{35551F42-C7F4-7841-8FD5-BB29E392A3B9}"/>
    <hyperlink ref="E1997" r:id="rId4375" xr:uid="{5232B4CF-ED15-2243-8972-1BD8ABA01EDA}"/>
    <hyperlink ref="Q1997" r:id="rId4376" xr:uid="{C2C79150-F06E-6B4C-8DC7-43DC3B661A30}"/>
    <hyperlink ref="Q1994" r:id="rId4377" xr:uid="{F91878A4-237C-0842-A4BE-B6AC829CA2C5}"/>
    <hyperlink ref="Q1995" r:id="rId4378" xr:uid="{B567762E-1AF8-024A-91E6-8762D1894F8A}"/>
    <hyperlink ref="E1996" r:id="rId4379" xr:uid="{DFB4CD77-84B1-054E-B9F6-D049CEC00016}"/>
    <hyperlink ref="Q1996" r:id="rId4380" xr:uid="{E048DAA1-0134-5346-B06C-8D9204CBBD82}"/>
    <hyperlink ref="Q1993" r:id="rId4381" xr:uid="{C490506F-169C-EC4F-9109-A574B94E2D4D}"/>
    <hyperlink ref="E1989" r:id="rId4382" xr:uid="{61DAA654-5A0F-2B44-A073-E56E25D20943}"/>
    <hyperlink ref="Q1989" r:id="rId4383" xr:uid="{E1CB88F9-88E1-4545-8480-AF557A4FFA25}"/>
    <hyperlink ref="Q1992" r:id="rId4384" xr:uid="{1F344D98-3B66-9C4E-9BE9-1142A24A81B3}"/>
    <hyperlink ref="Q1991" r:id="rId4385" xr:uid="{5424F2EA-24E3-A14A-A3B4-DB476F7E85C6}"/>
    <hyperlink ref="Q1990" r:id="rId4386" xr:uid="{6923D5FD-D30E-C84C-AF93-D7241662F40F}"/>
    <hyperlink ref="Q1986" r:id="rId4387" xr:uid="{410332C6-D017-0D44-B0FA-C9E3BC40BD92}"/>
    <hyperlink ref="Q1985" r:id="rId4388" display="http://www.nola.com/northshore/index.ssf/2018/05/suspect_shot_to_death_by_polic.html" xr:uid="{4EB36B89-2524-8C42-95EC-9E039A6F7930}"/>
    <hyperlink ref="E1984" r:id="rId4389" xr:uid="{18E0940F-2310-F044-93FC-B1805B224F64}"/>
    <hyperlink ref="Q1984" r:id="rId4390" xr:uid="{305D527F-CE9E-9D43-A797-FFE381AA4CC7}"/>
    <hyperlink ref="E1981" r:id="rId4391" xr:uid="{6B2D37A8-A2F2-5F44-B57B-E725B95BCEF9}"/>
    <hyperlink ref="Q1981" r:id="rId4392" xr:uid="{ED79BC7A-FAAD-DF4E-8D11-25D9AE6AE509}"/>
    <hyperlink ref="E1980" r:id="rId4393" xr:uid="{0C654745-31F1-2046-BB93-A1D80BF671AB}"/>
    <hyperlink ref="Q1980" r:id="rId4394" xr:uid="{F919A947-F079-1246-9F48-FECD41612D14}"/>
    <hyperlink ref="E1979" r:id="rId4395" xr:uid="{021B0506-141D-1548-8437-D7174C7488D4}"/>
    <hyperlink ref="Q1979" r:id="rId4396" xr:uid="{9162DCB5-BEE6-B346-95D0-1BDFCDC9B73C}"/>
    <hyperlink ref="Q1988" r:id="rId4397" xr:uid="{DF777B63-EB76-EA47-A66D-BE6E4D7BB40B}"/>
    <hyperlink ref="E1976" r:id="rId4398" xr:uid="{F6C2B5DF-6628-B44A-8CE1-295DAF751284}"/>
    <hyperlink ref="Q1976" r:id="rId4399" xr:uid="{6A321467-8654-7041-8CDC-0B0A5F163DB5}"/>
    <hyperlink ref="Q1975" r:id="rId4400" xr:uid="{C24B2339-2452-3F42-B804-4E4E920AD306}"/>
    <hyperlink ref="Q1977" r:id="rId4401" xr:uid="{B27FA806-A707-3448-82F1-955FBC5948CB}"/>
    <hyperlink ref="E1971" r:id="rId4402" xr:uid="{585A4B35-D09B-8541-B17D-24027412C839}"/>
    <hyperlink ref="Q1971" r:id="rId4403" xr:uid="{32B3F3E1-2A60-F642-81EF-5D2EB44A9047}"/>
    <hyperlink ref="Q1973" r:id="rId4404" xr:uid="{9F0903C6-001A-C340-A7AA-C310E4640554}"/>
    <hyperlink ref="E1974" r:id="rId4405" xr:uid="{CD10B0DB-B749-0843-A482-887305B221E1}"/>
    <hyperlink ref="Q1970" r:id="rId4406" xr:uid="{74B2EDF4-17CB-534B-A184-36FC008BA9B2}"/>
    <hyperlink ref="E1972" r:id="rId4407" xr:uid="{CE1050AF-941C-254D-90CC-228401A7E6E0}"/>
    <hyperlink ref="Q1972" r:id="rId4408" xr:uid="{6082EA78-EB98-284E-8A86-7DEF3E5D988E}"/>
    <hyperlink ref="Q1969" r:id="rId4409" xr:uid="{DFDF1400-6A04-4D4F-88D7-C37B59B29C2D}"/>
    <hyperlink ref="E1968" r:id="rId4410" xr:uid="{21192D01-3DC3-4E4E-B877-C6ECBD3B8C9C}"/>
    <hyperlink ref="Q1968" r:id="rId4411" xr:uid="{84D90D13-2E26-654E-8DA3-D982A9D459D2}"/>
    <hyperlink ref="Q1963" r:id="rId4412" xr:uid="{2350404E-9A89-FF49-B647-A6A418E504B3}"/>
    <hyperlink ref="E1962" r:id="rId4413" xr:uid="{762B5B47-34EB-EB47-A42D-CAAB50D63B6F}"/>
    <hyperlink ref="Q1962" r:id="rId4414" xr:uid="{9D7DCE64-E3CA-D74D-9288-33E832075421}"/>
    <hyperlink ref="E1965" r:id="rId4415" xr:uid="{738A9A7D-68D2-914F-8C43-5D3D22B8231D}"/>
    <hyperlink ref="E1961" r:id="rId4416" xr:uid="{C178BBA8-DF93-3947-A1AB-1CBF601057AA}"/>
    <hyperlink ref="Q1961" r:id="rId4417" xr:uid="{BF3DF989-5975-344A-8233-4672B42BE84B}"/>
    <hyperlink ref="Q1960" r:id="rId4418" xr:uid="{EE79C75C-CD4C-8F45-8FC6-C6E84030D44F}"/>
    <hyperlink ref="E1957" r:id="rId4419" xr:uid="{C3D52C7A-44E8-6541-A37A-D7A1C7B5275D}"/>
    <hyperlink ref="Q1957" r:id="rId4420" xr:uid="{0C5B161B-4C31-3344-B522-332CA1F2ED6D}"/>
    <hyperlink ref="Q1958" r:id="rId4421" xr:uid="{8A5D34D5-98E6-7447-BCD0-518570603608}"/>
    <hyperlink ref="E1955" r:id="rId4422" xr:uid="{65C30310-28D8-5040-A67C-89F70519936F}"/>
    <hyperlink ref="Q1955" r:id="rId4423" xr:uid="{98A74004-6C5F-3D41-B19B-5DBD63F99B4F}"/>
    <hyperlink ref="Q1951" r:id="rId4424" xr:uid="{D5F6B7E8-3FEE-EE47-B1DC-1C5226FE19F3}"/>
    <hyperlink ref="E1952" r:id="rId4425" xr:uid="{50A4D166-2F83-4E4C-A583-9DF835889F80}"/>
    <hyperlink ref="Q1952" r:id="rId4426" xr:uid="{D9901CFB-C777-734F-A17A-D6ED96F592AD}"/>
    <hyperlink ref="Q1950" r:id="rId4427" xr:uid="{596DEDCE-6730-BE43-9934-05D79606A5AE}"/>
    <hyperlink ref="E1944" r:id="rId4428" xr:uid="{2F520415-FC45-074E-8701-4E0BD59DF8A9}"/>
    <hyperlink ref="Q1944" r:id="rId4429" xr:uid="{F772ABF4-85C7-334D-942C-A4E8287DEF1B}"/>
    <hyperlink ref="E1949" r:id="rId4430" xr:uid="{B58D7687-042D-E646-AD52-BB51BC2FF003}"/>
    <hyperlink ref="Q1945" r:id="rId4431" xr:uid="{698874FC-9A7B-184B-8898-D9F160CAA028}"/>
    <hyperlink ref="E1947" r:id="rId4432" xr:uid="{422B5E48-42D9-3941-B85D-FA3C29AD5BAE}"/>
    <hyperlink ref="Q1947" r:id="rId4433" xr:uid="{FA7E4961-7602-B64A-BDA8-20FFA805A01A}"/>
    <hyperlink ref="Q1943" r:id="rId4434" xr:uid="{8E524CEB-20A5-D448-9082-B4EC82C19125}"/>
    <hyperlink ref="E1946" r:id="rId4435" xr:uid="{9A8363F4-BD60-624C-9A28-10CD227B1325}"/>
    <hyperlink ref="Q1946" r:id="rId4436" xr:uid="{86EF034E-0C75-7B4C-B31D-15BF3D9DAC3C}"/>
    <hyperlink ref="E1948" r:id="rId4437" xr:uid="{5971CE3C-8DB7-7247-A3DE-953F94C4848B}"/>
    <hyperlink ref="Q1948" r:id="rId4438" xr:uid="{A295AA0E-DC40-3849-9956-D57477A73B0D}"/>
    <hyperlink ref="E1939" r:id="rId4439" xr:uid="{891CA8DA-3FF8-7945-AFF4-E0E70C73BA24}"/>
    <hyperlink ref="Q1939" r:id="rId4440" xr:uid="{5CE781A0-BE01-4642-8350-D7E36C4B6BD6}"/>
    <hyperlink ref="E1941" r:id="rId4441" xr:uid="{1EF90959-AD50-854C-93B2-73FEDBFAD538}"/>
    <hyperlink ref="Q1941" r:id="rId4442" xr:uid="{A4CE35DD-F810-D741-A405-ED78FCC1A6B7}"/>
    <hyperlink ref="E1940" r:id="rId4443" xr:uid="{EF84D3D6-9798-6146-8FF5-0EFE9AB00BC0}"/>
    <hyperlink ref="Q1940" r:id="rId4444" xr:uid="{47130DA8-1112-8346-BB85-FF59537BDF0D}"/>
    <hyperlink ref="Q1938" r:id="rId4445" xr:uid="{3CA4FC64-4B28-3042-BABD-667C7D182D71}"/>
    <hyperlink ref="E1942" r:id="rId4446" xr:uid="{B983F517-956B-FA4E-8BF5-B835022C26A7}"/>
    <hyperlink ref="E1937" r:id="rId4447" xr:uid="{7F7CD0DF-ADBA-754E-ACAD-A158CAC1F37B}"/>
    <hyperlink ref="Q1937" r:id="rId4448" xr:uid="{589B5819-F4C3-9B4E-8DBE-D4C4C9908226}"/>
    <hyperlink ref="E1936" r:id="rId4449" xr:uid="{27407CCA-95EF-7446-909F-5D00D873E698}"/>
    <hyperlink ref="Q1936" r:id="rId4450" xr:uid="{E8309388-9A7E-EB4D-AA3D-BC97A6C88EDE}"/>
    <hyperlink ref="E1933" r:id="rId4451" xr:uid="{F5E45143-EF65-E042-AC7A-96FCC2F6209B}"/>
    <hyperlink ref="Q1933" r:id="rId4452" xr:uid="{5CF0C220-9BB6-0140-9D27-10EDF7CFAE4E}"/>
    <hyperlink ref="E1934" r:id="rId4453" xr:uid="{5A0283A8-B940-754D-BDF1-BD86DE24492B}"/>
    <hyperlink ref="Q1934" r:id="rId4454" xr:uid="{6302BBEA-F6F9-7C43-9D2C-0AB26248DD97}"/>
    <hyperlink ref="E1931" r:id="rId4455" xr:uid="{3CF6263A-9AE9-D743-9CE0-AFE5A01D4371}"/>
    <hyperlink ref="Q1931" r:id="rId4456" xr:uid="{F3C5342A-DFBB-2943-9A81-04220002ABB7}"/>
    <hyperlink ref="E1930" r:id="rId4457" xr:uid="{43850973-1394-F749-BA24-3E50AD0DD2F4}"/>
    <hyperlink ref="Q1930" r:id="rId4458" xr:uid="{17516F67-5A45-EA42-8FFC-013EDAD56226}"/>
    <hyperlink ref="Q1928" r:id="rId4459" xr:uid="{CE57100D-4B63-0849-B2D2-272CE5C967C1}"/>
    <hyperlink ref="Q1929" r:id="rId4460" xr:uid="{08887292-371B-814D-99AD-86392C823ECC}"/>
    <hyperlink ref="E1926" r:id="rId4461" xr:uid="{7E3C0D87-95F1-6A46-BDCB-E84585FAB909}"/>
    <hyperlink ref="Q1926" r:id="rId4462" xr:uid="{2BD40F18-D7E2-B244-98B0-E0355504C482}"/>
    <hyperlink ref="Q1927" r:id="rId4463" xr:uid="{3F099949-4B4B-2A40-AB9B-09430F1D3E84}"/>
    <hyperlink ref="Q1925" r:id="rId4464" xr:uid="{56C4D3A6-F77F-684B-8311-541564565601}"/>
    <hyperlink ref="E1923" r:id="rId4465" xr:uid="{257E90EA-EF35-B249-809A-75E4CE014D98}"/>
    <hyperlink ref="Q1923" r:id="rId4466" xr:uid="{3F4D5D27-818C-244D-B1D4-AE061CDE7EE5}"/>
    <hyperlink ref="E1924" r:id="rId4467" xr:uid="{20F73C05-F672-D947-9D95-03DE29B7DEB3}"/>
    <hyperlink ref="Q1924" r:id="rId4468" xr:uid="{C55EC545-45B6-324B-B4D3-18F8C123DA32}"/>
    <hyperlink ref="E1919" r:id="rId4469" xr:uid="{CCC9DF07-A7CD-3143-8B26-C73875BCC7FB}"/>
    <hyperlink ref="Q1919" r:id="rId4470" xr:uid="{E0F9BE3B-31E7-594F-B528-4BB691E20702}"/>
    <hyperlink ref="Q1921" r:id="rId4471" xr:uid="{7B4953C6-A7DB-7F4E-858D-AAE18CAD0C23}"/>
    <hyperlink ref="E1922" r:id="rId4472" xr:uid="{28B37329-8199-7E4C-8A01-EA4E34FCC616}"/>
    <hyperlink ref="Q1922" r:id="rId4473" xr:uid="{EB05C473-9BCE-F141-8D6F-FD61C59A0C9A}"/>
    <hyperlink ref="Q1917" r:id="rId4474" xr:uid="{BF27E45E-60D9-494A-9195-7F80CE394390}"/>
    <hyperlink ref="Q1918" r:id="rId4475" xr:uid="{B944AED5-B1FD-7144-952B-D67935B15BC6}"/>
    <hyperlink ref="E1916" r:id="rId4476" xr:uid="{22FCF7B4-9710-F449-9CC6-F48F69A7060D}"/>
    <hyperlink ref="Q1916" r:id="rId4477" xr:uid="{1A3E87F0-4083-504B-B2D2-E17F6DD69C88}"/>
    <hyperlink ref="Q1915" r:id="rId4478" xr:uid="{88CE1154-CAAA-7343-B748-AC6C9E1717A2}"/>
    <hyperlink ref="E1920" r:id="rId4479" xr:uid="{CB495724-F7AB-DC48-8A58-C52D16792D3D}"/>
    <hyperlink ref="Q1920" r:id="rId4480" xr:uid="{A72468F9-AE00-324F-9C8E-85605AAB13E9}"/>
    <hyperlink ref="Q1909" r:id="rId4481" xr:uid="{89A9C68B-9B50-8740-9816-109E78EFC7D8}"/>
    <hyperlink ref="Q1913" r:id="rId4482" xr:uid="{5DE122C2-96DB-3145-A403-158F682D5045}"/>
    <hyperlink ref="Q1912" r:id="rId4483" xr:uid="{5B2A099A-1752-4146-8949-8E8B6D4C2690}"/>
    <hyperlink ref="Q1908" r:id="rId4484" xr:uid="{B0FE618E-73F7-8748-92F7-9BB2105440D4}"/>
    <hyperlink ref="E1911" r:id="rId4485" xr:uid="{ACB56212-B18E-8D4A-848E-90DF66B376A6}"/>
    <hyperlink ref="Q1911" r:id="rId4486" xr:uid="{5A554D80-A8B4-3649-AF3A-EFB43E53DDBF}"/>
    <hyperlink ref="E1910" r:id="rId4487" xr:uid="{526296EE-07A4-0140-8986-1C19EF5974FC}"/>
    <hyperlink ref="Q1910" r:id="rId4488" xr:uid="{FAC385B6-79E9-F74D-93D4-F5728BA5988F}"/>
    <hyperlink ref="E1914" r:id="rId4489" xr:uid="{4A2547C9-6893-F845-9CB5-E84D63CEA875}"/>
    <hyperlink ref="Q1914" r:id="rId4490" xr:uid="{06AD7AFD-7498-E445-B764-A7ADA4DC72B6}"/>
    <hyperlink ref="Q1906" r:id="rId4491" xr:uid="{FE3835AD-98EF-EF45-871C-E168501A61D0}"/>
    <hyperlink ref="Q1905" r:id="rId4492" xr:uid="{025ACB82-BEC3-5041-8349-754C68E4A127}"/>
    <hyperlink ref="E1904" r:id="rId4493" xr:uid="{72A52943-C253-D04F-9C78-DCAF16D0D044}"/>
    <hyperlink ref="Q1904" r:id="rId4494" xr:uid="{A6667B83-A9A0-9F48-B2DC-681DF410F3DA}"/>
    <hyperlink ref="Q1903" r:id="rId4495" xr:uid="{55A4765F-1773-1C44-BCCB-83E89FE45B31}"/>
    <hyperlink ref="E1900" r:id="rId4496" xr:uid="{7C56214D-BD3C-E143-A339-D74BFCC20601}"/>
    <hyperlink ref="Q1900" r:id="rId4497" xr:uid="{0D962900-ECCB-C742-BD49-90DA4DC5C1B0}"/>
    <hyperlink ref="E1899" r:id="rId4498" xr:uid="{3690E792-0E5F-104D-9F40-4A59D084E6DC}"/>
    <hyperlink ref="Q1899" r:id="rId4499" xr:uid="{8C67A3E4-C0AA-8749-8926-E8C9AE2D7C5D}"/>
    <hyperlink ref="Q1901" r:id="rId4500" xr:uid="{E2764DE1-E8A4-324E-8D39-BEEA9D5B5394}"/>
    <hyperlink ref="Q1902" r:id="rId4501" xr:uid="{0F2E16E6-6CC7-4A45-AA0C-31C2B6626882}"/>
    <hyperlink ref="Q1894" r:id="rId4502" xr:uid="{AC76E6AB-A1C8-374B-ACD4-1E7C24B53637}"/>
    <hyperlink ref="Q1895" r:id="rId4503" xr:uid="{514E4386-5783-FF45-B99C-150FA022EE7A}"/>
    <hyperlink ref="Q1896" r:id="rId4504" xr:uid="{E064E055-D298-3045-84D8-051792B88EE6}"/>
    <hyperlink ref="E1893" r:id="rId4505" xr:uid="{146FC8AB-B2F6-5442-B1DD-8036E664FDE7}"/>
    <hyperlink ref="Q1893" r:id="rId4506" xr:uid="{7F1E45BB-CDD5-EE40-A8B1-793D022A93FD}"/>
    <hyperlink ref="E1897" r:id="rId4507" xr:uid="{659B6895-91A6-2640-98AD-51BFB34957D7}"/>
    <hyperlink ref="Q1897" r:id="rId4508" xr:uid="{A027AFFF-2C66-944E-861C-069A4E44FE03}"/>
    <hyperlink ref="E1898" r:id="rId4509" xr:uid="{0A8893C4-73AD-744A-9107-8C25E220A376}"/>
    <hyperlink ref="Q1898" r:id="rId4510" xr:uid="{93AF3D8B-D59E-C045-AE42-46BE3CDEC6F7}"/>
    <hyperlink ref="Q1889" r:id="rId4511" xr:uid="{80593829-102D-334A-8E36-AFC20D9B855E}"/>
    <hyperlink ref="E1891" r:id="rId4512" xr:uid="{65E144CE-47CB-B443-B302-B005EEB4CEF4}"/>
    <hyperlink ref="Q1891" r:id="rId4513" xr:uid="{DD69B887-17A4-2D4E-A51B-F6648B865483}"/>
    <hyperlink ref="E1892" r:id="rId4514" xr:uid="{E0E54215-FB62-A74D-BB08-33B38E16CCB6}"/>
    <hyperlink ref="Q1892" r:id="rId4515" xr:uid="{EAFEA77A-1FBB-954E-B93E-F233D61B8F6F}"/>
    <hyperlink ref="Q1890" r:id="rId4516" xr:uid="{395C8856-2375-3447-8210-FA814B2535AA}"/>
    <hyperlink ref="Q1886" r:id="rId4517" location="incart_2box_nola_river_orleans_news" xr:uid="{09A755A6-0EFF-5D4F-9828-6C73A1402DE4}"/>
    <hyperlink ref="Q1885" r:id="rId4518" xr:uid="{97D6B5F1-7694-B946-ABDA-8B2A30C9344C}"/>
    <hyperlink ref="E1888" r:id="rId4519" xr:uid="{8EE7AAF5-93AA-9141-B84E-84F9081FB955}"/>
    <hyperlink ref="Q1888" r:id="rId4520" xr:uid="{86ECFCEB-0CBE-3446-9BDA-F09B5FEA3DB3}"/>
    <hyperlink ref="Q1887" r:id="rId4521" xr:uid="{D377979C-13F8-754A-A832-2F1AFAC9F03C}"/>
    <hyperlink ref="E1884" r:id="rId4522" xr:uid="{5A7225EA-25CC-4B47-8778-2851CF3CD471}"/>
    <hyperlink ref="Q1884" r:id="rId4523" xr:uid="{EDF15DC5-795C-324B-BFD0-04B03AE1155B}"/>
    <hyperlink ref="E1883" r:id="rId4524" xr:uid="{249650EB-EAF1-7046-ADD7-C00BBE4084F4}"/>
    <hyperlink ref="Q1883" r:id="rId4525" xr:uid="{354DFE99-91BF-BC4C-9CD4-07EEDF63DAE0}"/>
    <hyperlink ref="E1880" r:id="rId4526" xr:uid="{20EAEC5E-5E6A-9143-8411-FB1A71E15E4E}"/>
    <hyperlink ref="Q1880" r:id="rId4527" xr:uid="{C631D26F-989E-B94A-B288-6344B41616CD}"/>
    <hyperlink ref="Q1881" r:id="rId4528" xr:uid="{DE777593-4FF3-3B40-91E3-262766DAA316}"/>
    <hyperlink ref="Q1878" r:id="rId4529" xr:uid="{8353C29A-F369-534D-A730-EA90861E714B}"/>
    <hyperlink ref="E1879" r:id="rId4530" xr:uid="{225F5FE7-8B69-3444-B240-520A442386B9}"/>
    <hyperlink ref="Q1879" r:id="rId4531" xr:uid="{300832B0-0BE1-614A-9029-A09B804CDCBC}"/>
    <hyperlink ref="Q1882" r:id="rId4532" xr:uid="{67D5F93B-2365-3F49-8693-E7C1A3FC5C65}"/>
    <hyperlink ref="E1875" r:id="rId4533" xr:uid="{34B46C3F-6AA7-8944-AB21-7C5CE0D92423}"/>
    <hyperlink ref="Q1875" r:id="rId4534" xr:uid="{0B67F8AA-5CC0-2046-B186-47342BEBE7F9}"/>
    <hyperlink ref="E1876" r:id="rId4535" xr:uid="{E90AE1B1-23DB-3443-97CE-6E175B5987B7}"/>
    <hyperlink ref="Q1876" r:id="rId4536" xr:uid="{E57E25EC-813E-8948-92D6-DC6E73A62152}"/>
    <hyperlink ref="E1877" r:id="rId4537" xr:uid="{1061AC9F-B104-4A49-9820-4302D6626752}"/>
    <hyperlink ref="Q1877" r:id="rId4538" xr:uid="{265A5B1D-5475-544A-AE62-454AF19EBE93}"/>
    <hyperlink ref="Q1874" r:id="rId4539" xr:uid="{A8AC2D10-58E8-594E-AE93-04452620CDD8}"/>
    <hyperlink ref="Q1873" r:id="rId4540" xr:uid="{FF31C7C5-7979-234E-A9FF-B30489681A14}"/>
    <hyperlink ref="Q1872" r:id="rId4541" xr:uid="{121BA065-0211-2448-ADDA-89FF419D3006}"/>
    <hyperlink ref="Q1871" r:id="rId4542" xr:uid="{B6F12F8C-ED18-6648-9071-735C1973783A}"/>
    <hyperlink ref="Q1870" r:id="rId4543" xr:uid="{2A1FE039-C078-5244-A504-239677AE013F}"/>
    <hyperlink ref="Q1867" r:id="rId4544" xr:uid="{E9E92F6D-3AE4-C141-A206-0465A07B9519}"/>
    <hyperlink ref="E1869" r:id="rId4545" xr:uid="{22F454B3-881E-0B4C-BA34-261E833F814B}"/>
    <hyperlink ref="Q1869" r:id="rId4546" xr:uid="{2922E482-FCC1-6441-9C63-EB9A5A7142A5}"/>
    <hyperlink ref="Q1866" r:id="rId4547" xr:uid="{40FC35F1-CB02-5840-A686-55CF06EF8035}"/>
    <hyperlink ref="E1868" r:id="rId4548" xr:uid="{A4FDB3B8-68BD-DA4D-8EC5-E398F9190CEA}"/>
    <hyperlink ref="Q1868" r:id="rId4549" xr:uid="{6695C62F-1544-3947-A9B9-0B36E0D4FDFD}"/>
    <hyperlink ref="E1863" r:id="rId4550" xr:uid="{168FC079-E3DA-6146-9568-E584356CE9ED}"/>
    <hyperlink ref="Q1863" r:id="rId4551" xr:uid="{789FC863-5E6A-854D-B4CC-C89541372ADA}"/>
    <hyperlink ref="E1865" r:id="rId4552" xr:uid="{F8C86669-ACEB-A442-B269-E271326F1CBB}"/>
    <hyperlink ref="Q1865" r:id="rId4553" xr:uid="{B64170E5-867E-054D-9880-5A41FF27E945}"/>
    <hyperlink ref="E1862" r:id="rId4554" xr:uid="{5FB0BAB1-254C-7643-866A-A3EE771B7DA7}"/>
    <hyperlink ref="Q1862" r:id="rId4555" xr:uid="{F0D192E9-0D06-DB42-8926-D0C050D912FE}"/>
    <hyperlink ref="E1861" r:id="rId4556" xr:uid="{F52BB447-6B20-D145-88D4-8463F34730BD}"/>
    <hyperlink ref="Q1861" r:id="rId4557" xr:uid="{4EFC18FD-ADF6-4642-A705-B6893FAD73D9}"/>
    <hyperlink ref="E1864" r:id="rId4558" xr:uid="{A1430E41-C801-6641-988A-DDD4F0162D11}"/>
    <hyperlink ref="Q1864" r:id="rId4559" xr:uid="{642B7301-7CA3-994C-BB29-A4581F8B5A17}"/>
    <hyperlink ref="Q1860" r:id="rId4560" xr:uid="{D186DE6A-559D-6A45-B1EF-E1FFFC67CF0A}"/>
    <hyperlink ref="E1859" r:id="rId4561" xr:uid="{4CE9E9FF-B8B6-8E4E-8086-7334C3418C64}"/>
    <hyperlink ref="Q1859" r:id="rId4562" xr:uid="{1736891F-95B2-9145-9132-1EEBFFA99020}"/>
    <hyperlink ref="E1858" r:id="rId4563" xr:uid="{7A5A509D-5AF5-EA4B-BDC6-1C645A7049A9}"/>
    <hyperlink ref="Q1858" r:id="rId4564" xr:uid="{FD85376C-97B2-804E-B663-2A42BDC34FE5}"/>
    <hyperlink ref="Q1856" r:id="rId4565" xr:uid="{50920020-DCFE-6040-9FEC-9D87B77C015C}"/>
    <hyperlink ref="Q1855" r:id="rId4566" xr:uid="{3594CFBA-2806-A145-A51D-33EEF29DDF8F}"/>
    <hyperlink ref="Q1857" r:id="rId4567" xr:uid="{7B47D32A-EEB6-CF4D-98D4-F441459A6F93}"/>
    <hyperlink ref="E1853" r:id="rId4568" xr:uid="{2C22FDB2-57EB-5E40-AF83-134A83005742}"/>
    <hyperlink ref="Q1853" r:id="rId4569" xr:uid="{68FB7598-FEFF-6A4D-97A3-41514A295BF7}"/>
    <hyperlink ref="Q1854" r:id="rId4570" xr:uid="{EC5332C0-E113-1442-9246-1CE9634DFDE0}"/>
    <hyperlink ref="Q1852" r:id="rId4571" xr:uid="{6906C4EC-30E4-5048-BCA4-C40AE0428784}"/>
    <hyperlink ref="Q1851" r:id="rId4572" xr:uid="{63B75CD6-FB65-3046-8654-1A3FF138C6C0}"/>
    <hyperlink ref="Q1849" r:id="rId4573" xr:uid="{C89E1B6E-8669-844A-B764-7A2204FA124E}"/>
    <hyperlink ref="Q1850" r:id="rId4574" xr:uid="{07BD0165-0ADD-A440-8DEA-34B79A7C6B1B}"/>
    <hyperlink ref="E1847" r:id="rId4575" xr:uid="{DC8C4BC1-96E3-0145-997A-05A0CE67C9E5}"/>
    <hyperlink ref="Q1847" r:id="rId4576" xr:uid="{B1DFC84B-E386-BD43-ABEA-9BCFF70D7798}"/>
    <hyperlink ref="E1848" r:id="rId4577" xr:uid="{8362D98B-A1FF-2748-9970-70C2B641DDF6}"/>
    <hyperlink ref="Q1848" r:id="rId4578" xr:uid="{DA52B973-1999-7543-8D53-E907F41C12D4}"/>
    <hyperlink ref="E1845" r:id="rId4579" xr:uid="{775B6F3E-836D-EB46-8572-93F14A1E7A22}"/>
    <hyperlink ref="Q1845" r:id="rId4580" xr:uid="{793CE3DC-E56C-6E48-AEEB-81F28509C67D}"/>
    <hyperlink ref="Q1846" r:id="rId4581" xr:uid="{06E54E42-393A-ED42-AE00-34DBB0B1D958}"/>
    <hyperlink ref="Q1843" r:id="rId4582" xr:uid="{AB622633-AA67-4041-A2B6-26005C7D49D8}"/>
    <hyperlink ref="Q1844" r:id="rId4583" xr:uid="{87D52E59-6DB2-9341-99F7-20CC921C3D39}"/>
    <hyperlink ref="Q1839" r:id="rId4584" xr:uid="{A3221452-82F4-D44A-B440-81582F3576B7}"/>
    <hyperlink ref="Q1838" r:id="rId4585" xr:uid="{1F9D31E4-AAC2-B143-9541-3BB9AA6D460B}"/>
    <hyperlink ref="Q1841" r:id="rId4586" xr:uid="{F2156A75-06C3-DC41-99CF-DA2417690BB5}"/>
    <hyperlink ref="Q1840" r:id="rId4587" xr:uid="{82785CA2-8968-1747-A75B-27DF767CA2CB}"/>
    <hyperlink ref="Q1835" r:id="rId4588" xr:uid="{93DD70DE-BD3D-F84D-9FE2-D53CDCCD805D}"/>
    <hyperlink ref="E1836" r:id="rId4589" xr:uid="{21C2B5AA-0F55-C34A-A2E0-A69145D526A5}"/>
    <hyperlink ref="Q1836" r:id="rId4590" xr:uid="{A12A5955-9A30-F148-A337-065069103011}"/>
    <hyperlink ref="Q1837" r:id="rId4591" xr:uid="{CDF957ED-EE23-374D-A424-E1AAC5AFB5BB}"/>
    <hyperlink ref="Q1832" r:id="rId4592" xr:uid="{411EE91A-EB2F-6540-A814-9516A221612F}"/>
    <hyperlink ref="Q1834" r:id="rId4593" xr:uid="{B1A59C19-234E-EC4F-AD26-E09220EAA1F1}"/>
    <hyperlink ref="Q1830" r:id="rId4594" xr:uid="{ECF87E30-278D-9840-9E1C-7BFC94D29746}"/>
    <hyperlink ref="Q1831" r:id="rId4595" xr:uid="{476F1F61-06A7-AF47-A947-C16B2C74E620}"/>
    <hyperlink ref="Q1829" r:id="rId4596" xr:uid="{71ABBDF9-4000-5C48-A977-13E5ECEAFC11}"/>
    <hyperlink ref="Q1827" r:id="rId4597" xr:uid="{52B75D51-0841-5F4B-BEFD-BF1075BF9A12}"/>
    <hyperlink ref="Q1825" r:id="rId4598" xr:uid="{B5A8934E-9688-7748-9DC3-29B9328DC7AF}"/>
    <hyperlink ref="E1828" r:id="rId4599" xr:uid="{35592391-FEBD-0C44-898B-031385D56532}"/>
    <hyperlink ref="Q1828" r:id="rId4600" xr:uid="{5354769F-1B7E-FE4C-9A5A-D22A02169DD8}"/>
    <hyperlink ref="E1824" r:id="rId4601" xr:uid="{3C393F75-AC61-4E4B-883A-434A2DB472A7}"/>
    <hyperlink ref="Q1824" r:id="rId4602" xr:uid="{D67AC53D-7AD9-484F-B26D-7011973E0AB4}"/>
    <hyperlink ref="Q1826" r:id="rId4603" xr:uid="{46A65A94-909C-CE4A-B9F8-1E1FDF325E43}"/>
    <hyperlink ref="Q1822" r:id="rId4604" xr:uid="{33367B5B-8682-BF42-A29D-5EA3C4BE12C0}"/>
    <hyperlink ref="E1823" r:id="rId4605" xr:uid="{A21794CB-9CE0-504F-ACB9-84BD0C73D1A1}"/>
    <hyperlink ref="Q1823" r:id="rId4606" xr:uid="{52238CB6-CE76-3A47-9E4F-7F423DEA175A}"/>
    <hyperlink ref="Q1820" r:id="rId4607" xr:uid="{2E3A9A62-B299-214B-8ABF-A0F549BD3053}"/>
    <hyperlink ref="E1821" r:id="rId4608" xr:uid="{9EA0BF38-961F-2441-877A-3070D2E1FFCE}"/>
    <hyperlink ref="Q1821" r:id="rId4609" xr:uid="{8FFCF97D-74B0-C743-86DB-13BB819367CA}"/>
    <hyperlink ref="Q1817" r:id="rId4610" xr:uid="{0C23096F-BA88-8E40-8A4A-917711FA6E48}"/>
    <hyperlink ref="E1819" r:id="rId4611" xr:uid="{523DA6AB-24FE-8E43-B545-A9EDC32384E3}"/>
    <hyperlink ref="Q1819" r:id="rId4612" xr:uid="{8B5DD0B6-338E-E543-BB52-15CCC4EB3F4C}"/>
    <hyperlink ref="Q1816" r:id="rId4613" xr:uid="{6AEA34FE-3284-F747-B3E2-5F2642B1451D}"/>
    <hyperlink ref="Q1812" r:id="rId4614" xr:uid="{5BC9AE45-318E-5F4C-ACBF-B302E9FBAE76}"/>
    <hyperlink ref="Q1813" r:id="rId4615" xr:uid="{76370AD0-6A87-4C45-A418-D2C579A7E3F5}"/>
    <hyperlink ref="Q1814" r:id="rId4616" xr:uid="{F8E364FA-5BE1-B145-8F85-87CF7159BBAA}"/>
    <hyperlink ref="Q1815" r:id="rId4617" xr:uid="{7C2F3C7A-E473-264D-A0A8-A73BD929B147}"/>
    <hyperlink ref="Q1810" r:id="rId4618" xr:uid="{02E797ED-15D8-D546-BE1F-8FE70E59CCDF}"/>
    <hyperlink ref="Q1807" r:id="rId4619" xr:uid="{7814D073-8AB6-A946-BE6F-0D29AF2766DD}"/>
    <hyperlink ref="E1805" r:id="rId4620" xr:uid="{EB08BDF6-0C38-8E46-B969-93BC4002470C}"/>
    <hyperlink ref="Q1805" r:id="rId4621" xr:uid="{E6B0BF2D-B277-4541-82B7-27D1A803CFA6}"/>
    <hyperlink ref="E1806" r:id="rId4622" xr:uid="{BE37FC9F-F8A9-FF4D-B6E0-788738667584}"/>
    <hyperlink ref="Q1806" r:id="rId4623" xr:uid="{F67D4CE4-48E0-8442-A9D8-CBA45213F0A1}"/>
    <hyperlink ref="E1809" r:id="rId4624" xr:uid="{AE7F2320-AF5F-C344-9CE7-D1A4A527200A}"/>
    <hyperlink ref="Q1809" r:id="rId4625" xr:uid="{F43A8E87-B106-9C42-A454-2AABF6358C3F}"/>
    <hyperlink ref="E1811" r:id="rId4626" xr:uid="{A722E69C-B0A2-D342-B1EB-5BC4008CBA37}"/>
    <hyperlink ref="Q1811" r:id="rId4627" xr:uid="{D477AA54-475F-C945-9325-8755509210AC}"/>
    <hyperlink ref="Q1800" r:id="rId4628" xr:uid="{16CA292F-8011-404A-B096-BD23DAD71A58}"/>
    <hyperlink ref="E1801" r:id="rId4629" xr:uid="{B5BEFDCF-3FF8-D94C-81EC-74B34729DCBF}"/>
    <hyperlink ref="Q1801" r:id="rId4630" xr:uid="{64EE5C3B-05CC-6149-814C-2E015B674765}"/>
    <hyperlink ref="E1802" r:id="rId4631" xr:uid="{F7323EAC-DE14-8347-A65A-6BE6357965B9}"/>
    <hyperlink ref="Q1802" r:id="rId4632" location="incart_river_index" xr:uid="{E0B1A61A-2ED5-764D-88CE-AE352BD28989}"/>
    <hyperlink ref="Q1803" r:id="rId4633" xr:uid="{BF15B760-D6BC-D04F-8325-8E0294C9BD84}"/>
    <hyperlink ref="E1804" r:id="rId4634" xr:uid="{7886CE58-907F-134E-8AAE-1AE116503D2F}"/>
    <hyperlink ref="Q1804" r:id="rId4635" xr:uid="{4B87626D-6623-9348-9D6B-64FECBAE2651}"/>
    <hyperlink ref="Q1799" r:id="rId4636" xr:uid="{31A5F77D-7B1C-8642-AAF7-C8590674A030}"/>
    <hyperlink ref="E1797" r:id="rId4637" xr:uid="{B798E5B6-B46F-8747-A95E-BE14005D070D}"/>
    <hyperlink ref="Q1797" r:id="rId4638" xr:uid="{CD034154-A54E-604F-B49A-4D544CFD7444}"/>
    <hyperlink ref="Q1798" r:id="rId4639" xr:uid="{563A8CCF-B05F-8C48-BC34-893E7BD8204F}"/>
    <hyperlink ref="Q1792" r:id="rId4640" xr:uid="{5FEBC472-D30E-224F-A33A-28E6ACC987BA}"/>
    <hyperlink ref="E1793" r:id="rId4641" xr:uid="{34ABF4E4-0D75-9440-A68F-F610CD8CFFF8}"/>
    <hyperlink ref="Q1793" r:id="rId4642" xr:uid="{4EC8E58F-678F-784B-AAE3-B979E3FA6369}"/>
    <hyperlink ref="Q1794" r:id="rId4643" xr:uid="{3F64C363-77F5-7344-8F76-11B2A07078FA}"/>
    <hyperlink ref="Q1795" r:id="rId4644" xr:uid="{4D52B050-4A49-0243-9CB5-C14D5D1E8BCD}"/>
    <hyperlink ref="E1791" r:id="rId4645" xr:uid="{4CD8FDA8-959C-004B-A766-0A5AED84D7E1}"/>
    <hyperlink ref="Q1791" r:id="rId4646" xr:uid="{F57C3B41-AFFA-C245-9E0E-6F446AF17132}"/>
    <hyperlink ref="Q1790" r:id="rId4647" xr:uid="{CB4E385F-4386-BD40-BA1D-727AE10B67B7}"/>
    <hyperlink ref="E1786" r:id="rId4648" xr:uid="{AC371083-7CB8-F64A-9143-A851DC01EF9B}"/>
    <hyperlink ref="Q1786" r:id="rId4649" xr:uid="{20797E48-397A-604D-B207-3690225A9B11}"/>
    <hyperlink ref="Q1787" r:id="rId4650" xr:uid="{9807C6CA-977A-ED49-82E2-3916A69FAC2C}"/>
    <hyperlink ref="Q1789" r:id="rId4651" xr:uid="{C0B5EE72-FBCA-2547-9416-B57A0F469E4F}"/>
    <hyperlink ref="Q1788" r:id="rId4652" xr:uid="{D1A58EE9-99AC-3B4E-A71E-31ABF53F771D}"/>
    <hyperlink ref="E1780" r:id="rId4653" xr:uid="{D13375F9-DE78-4C43-9E16-066BB68D642E}"/>
    <hyperlink ref="Q1780" r:id="rId4654" xr:uid="{808FE04E-905C-B447-8439-5EF24A4E060F}"/>
    <hyperlink ref="Q1783" r:id="rId4655" xr:uid="{B17D482C-26A5-FA4C-876B-B54F83F94BAB}"/>
    <hyperlink ref="Q1782" r:id="rId4656" xr:uid="{5C190677-57A3-5542-A7AB-ED72B9B25539}"/>
    <hyperlink ref="E1784" r:id="rId4657" xr:uid="{2E5FBA23-50C9-7D45-8754-02531D4FDEE7}"/>
    <hyperlink ref="Q1784" r:id="rId4658" xr:uid="{5BD76DF9-114B-E74A-8BC6-040449BFCB74}"/>
    <hyperlink ref="E1781" r:id="rId4659" xr:uid="{17345F3E-A630-1F4B-BFBE-684BF676D1BA}"/>
    <hyperlink ref="Q1781" r:id="rId4660" display="http://www.whig.com/article/20180515/ARTICLE/180519989" xr:uid="{D345C544-9FDA-DE43-B8C9-910663AC9F72}"/>
    <hyperlink ref="Q1785" r:id="rId4661" xr:uid="{5CCA5E4B-D2BF-0041-B1BB-BAD2AF93BC67}"/>
    <hyperlink ref="E1779" r:id="rId4662" xr:uid="{43557A9C-6A58-CC41-AF77-619CAB9D1922}"/>
    <hyperlink ref="Q1779" r:id="rId4663" xr:uid="{9123F853-7E3E-EF46-A591-AF9CB5D55A20}"/>
    <hyperlink ref="Q1778" r:id="rId4664" xr:uid="{B110B16A-481D-814A-9880-37C337B64DD9}"/>
    <hyperlink ref="E1777" r:id="rId4665" xr:uid="{E8D1CAC2-76D1-974F-AAA6-021A35CCC0F8}"/>
    <hyperlink ref="Q1777" r:id="rId4666" xr:uid="{2375AD8E-23BB-4948-8816-4CCA120699C5}"/>
    <hyperlink ref="Q1775" r:id="rId4667" xr:uid="{6F7C5751-57A7-004D-8BDC-F09E4D1345CD}"/>
    <hyperlink ref="E1774" r:id="rId4668" xr:uid="{B1E43AD7-B410-0441-9850-0F96CE6A3E58}"/>
    <hyperlink ref="Q1774" r:id="rId4669" xr:uid="{273531EA-F930-A840-9210-CC74BA91CC90}"/>
    <hyperlink ref="Q1776" r:id="rId4670" xr:uid="{5B0E0BE4-486C-3A41-A79C-65B6C1CAFEC2}"/>
    <hyperlink ref="Q1772" r:id="rId4671" xr:uid="{9785741D-F405-0544-A167-8EA84165CE51}"/>
    <hyperlink ref="Q1773" r:id="rId4672" xr:uid="{338704A2-1A54-3945-96D3-FD43EFDAF008}"/>
    <hyperlink ref="Q1770" r:id="rId4673" xr:uid="{84E64F8E-66FA-8048-8CC2-2F326677E424}"/>
    <hyperlink ref="Q1771" r:id="rId4674" xr:uid="{7F42CA52-91EE-6B47-870E-9F8E80D7EEE5}"/>
    <hyperlink ref="E1766" r:id="rId4675" xr:uid="{4A3A9825-5C2C-A340-8A93-F01514D28408}"/>
    <hyperlink ref="Q1766" r:id="rId4676" xr:uid="{5B8C0601-9D82-7041-AE00-F74370E9E1F8}"/>
    <hyperlink ref="E1769" r:id="rId4677" xr:uid="{92943C12-B3B2-074A-94C6-8D1CB7656E2B}"/>
    <hyperlink ref="Q1769" r:id="rId4678" xr:uid="{61B23644-BF28-3245-91A7-6CEFAA7FFCA6}"/>
    <hyperlink ref="Q1768" r:id="rId4679" xr:uid="{A43AD2F8-4CC4-1F41-9679-5E7A8004C973}"/>
    <hyperlink ref="Q1767" r:id="rId4680" xr:uid="{19D408D8-9AC9-9A45-97B8-D8CC0FC748F9}"/>
    <hyperlink ref="E1765" r:id="rId4681" xr:uid="{147BBA72-C729-194A-858C-C6E51C681FD9}"/>
    <hyperlink ref="Q1765" r:id="rId4682" xr:uid="{F5ED7AC9-9B77-D443-9033-2D975D959B83}"/>
    <hyperlink ref="E1762" r:id="rId4683" xr:uid="{0E49C315-6A36-AF47-9657-876AFE20BE58}"/>
    <hyperlink ref="Q1762" r:id="rId4684" xr:uid="{24359E1E-1B29-504E-9463-6B92F6C04000}"/>
    <hyperlink ref="E1764" r:id="rId4685" xr:uid="{21B2A1A8-E209-2E45-ACCB-C4F15FDB8290}"/>
    <hyperlink ref="Q1764" r:id="rId4686" xr:uid="{D51E46AD-A891-D542-9D82-E36A96AD2269}"/>
    <hyperlink ref="E1763" r:id="rId4687" xr:uid="{8787CD21-D44D-E146-BAD9-35BA297F67A2}"/>
    <hyperlink ref="Q1763" r:id="rId4688" xr:uid="{4EF66F03-3064-FE47-A0E0-38C48BF56CD4}"/>
    <hyperlink ref="Q1761" r:id="rId4689" xr:uid="{980C3AC7-9E99-2E41-806A-3CCA39B8F071}"/>
    <hyperlink ref="Q1759" r:id="rId4690" xr:uid="{57D8DE24-45C5-A741-9574-007A7E1FF085}"/>
    <hyperlink ref="E1760" r:id="rId4691" xr:uid="{D7FA64F4-9163-5243-BF7C-260FEE2CAA43}"/>
    <hyperlink ref="Q1760" r:id="rId4692" xr:uid="{BA0DAE51-2BCE-6F41-895B-A4788B5BBE43}"/>
    <hyperlink ref="E1758" r:id="rId4693" xr:uid="{A7A383FD-63F3-184F-A177-AEF42E4B2176}"/>
    <hyperlink ref="Q1758" r:id="rId4694" xr:uid="{0A7E9E3C-E734-3743-931D-08E7ABF57AB1}"/>
    <hyperlink ref="Q1757" r:id="rId4695" xr:uid="{D5A50D97-7E01-0046-ACC4-2753119A73FB}"/>
    <hyperlink ref="E1754" r:id="rId4696" xr:uid="{7699829C-0BB0-4B44-8532-84A7C46C5DEE}"/>
    <hyperlink ref="Q1754" r:id="rId4697" xr:uid="{CB264245-8DBA-CF4A-B084-9D0B95791799}"/>
    <hyperlink ref="Q1756" r:id="rId4698" xr:uid="{D89A1E6A-B66A-9E4E-872B-BCCE81856A77}"/>
    <hyperlink ref="E1755" r:id="rId4699" xr:uid="{0DDB7AFE-D429-E74A-AE03-0044BADEEDA2}"/>
    <hyperlink ref="Q1755" r:id="rId4700" xr:uid="{C0715313-F04F-C644-8E00-2D22C31338C7}"/>
    <hyperlink ref="Q1753" r:id="rId4701" xr:uid="{974787EF-D1FF-8946-B9DD-E88C7E7133A7}"/>
    <hyperlink ref="Q1750" r:id="rId4702" xr:uid="{10535BF8-0845-234A-A8BF-349BB8E73DA7}"/>
    <hyperlink ref="Q1751" r:id="rId4703" xr:uid="{A17A49C9-8912-4243-81E0-0BE8A629326F}"/>
    <hyperlink ref="Q1752" r:id="rId4704" xr:uid="{2B007969-BC6D-4649-87B9-F2CFBA89195F}"/>
    <hyperlink ref="Q1749" r:id="rId4705" xr:uid="{238C5DCC-AB41-8445-85C6-BD0416BDCAB4}"/>
    <hyperlink ref="E1747" r:id="rId4706" xr:uid="{17522CB7-2FCD-1C46-A422-96F4075563D0}"/>
    <hyperlink ref="Q1747" r:id="rId4707" xr:uid="{0B78A152-D5EE-BA45-A9E7-4E854E3341FC}"/>
    <hyperlink ref="Q1746" r:id="rId4708" xr:uid="{B474412D-A535-2549-8F47-34E3AD5F25EF}"/>
    <hyperlink ref="E1748" r:id="rId4709" xr:uid="{4D8880E4-9F4D-404B-8D5A-051956011264}"/>
    <hyperlink ref="Q1748" r:id="rId4710" xr:uid="{E5F38E1E-DA07-0740-A188-2589B7CEE0D4}"/>
    <hyperlink ref="Q1744" r:id="rId4711" xr:uid="{F37D8EB0-3C92-CA41-A127-4B48A63E3B29}"/>
    <hyperlink ref="E1745" r:id="rId4712" xr:uid="{7E84E15F-5602-E343-B85F-D9B140370271}"/>
    <hyperlink ref="Q1745" r:id="rId4713" xr:uid="{B1BE6F8B-8A3F-1049-AEFA-36BFCF87EFB9}"/>
    <hyperlink ref="E1741" r:id="rId4714" xr:uid="{CA55D68C-2087-8046-95BB-FEE05E192BC6}"/>
    <hyperlink ref="Q1741" r:id="rId4715" xr:uid="{9938B3B1-EA7C-864E-BD91-243198F28FB0}"/>
    <hyperlink ref="E1743" r:id="rId4716" xr:uid="{420150DC-AE68-5E42-961C-5D8948EB96AE}"/>
    <hyperlink ref="Q1743" r:id="rId4717" xr:uid="{5A6D8F7B-E4FE-FA47-B549-32078F890716}"/>
    <hyperlink ref="E1742" r:id="rId4718" xr:uid="{3C294F84-1775-0D48-886E-073C5F8B2028}"/>
    <hyperlink ref="Q1742" r:id="rId4719" xr:uid="{87E60C19-C6B8-2543-B2A3-AA401BF863E6}"/>
    <hyperlink ref="Q1738" r:id="rId4720" xr:uid="{0332D02D-DC42-1043-8DCB-EF19733DF612}"/>
    <hyperlink ref="Q1740" r:id="rId4721" xr:uid="{FBCE41F0-D617-D247-8152-DA2EF543DDA5}"/>
    <hyperlink ref="E1739" r:id="rId4722" xr:uid="{379DABBE-DB0C-D84F-AD75-083D14598E92}"/>
    <hyperlink ref="Q1739" r:id="rId4723" xr:uid="{2F42D603-DCC7-E045-AC3F-82ABE0E4C7BD}"/>
    <hyperlink ref="E1737" r:id="rId4724" xr:uid="{D014678A-20F0-0C4C-94C4-A220DB8D2991}"/>
    <hyperlink ref="Q1737" r:id="rId4725" xr:uid="{4BA8439D-5E49-9B45-BE1F-2520350AAA8B}"/>
    <hyperlink ref="Q1736" r:id="rId4726" xr:uid="{1C2905E7-5F53-F74D-A817-34AB264DA941}"/>
    <hyperlink ref="Q1735" r:id="rId4727" xr:uid="{DEB607FE-02FB-D24E-8B07-728DD331301A}"/>
    <hyperlink ref="Q1734" r:id="rId4728" xr:uid="{202C7CCB-AB0B-F04E-9728-B13310CA8FB2}"/>
    <hyperlink ref="Q1733" r:id="rId4729" xr:uid="{AA510D84-BF46-E640-B587-4EABFDECB297}"/>
    <hyperlink ref="Q1731" r:id="rId4730" xr:uid="{F011C8CD-DAF4-2246-BB77-F3636E7CAC6B}"/>
    <hyperlink ref="E1732" r:id="rId4731" xr:uid="{DC934D7D-A169-9E47-A4D8-4AF73F0767A5}"/>
    <hyperlink ref="Q1732" r:id="rId4732" xr:uid="{D07A948D-594E-4C49-92F8-695C58463249}"/>
    <hyperlink ref="Q1730" r:id="rId4733" xr:uid="{5EEDD351-50A4-DD46-AB24-A57500590B15}"/>
    <hyperlink ref="E1725" r:id="rId4734" xr:uid="{4B2822E2-8085-B445-9111-7683A4460582}"/>
    <hyperlink ref="Q1725" r:id="rId4735" xr:uid="{DA349B13-1135-E545-8537-5CD041692740}"/>
    <hyperlink ref="E1727" r:id="rId4736" xr:uid="{CB500392-0F80-7C47-A83E-87059A649384}"/>
    <hyperlink ref="Q1727" r:id="rId4737" xr:uid="{84B0E34B-C8D2-0448-9228-A26B07F3E373}"/>
    <hyperlink ref="Q1726" r:id="rId4738" xr:uid="{C8780E2F-0D6E-9B4B-A30A-0245F99933E9}"/>
    <hyperlink ref="Q1729" r:id="rId4739" xr:uid="{2B4B46F0-ECFC-6840-87F5-A70DE951A073}"/>
    <hyperlink ref="E1728" r:id="rId4740" xr:uid="{5EB4FF33-63C7-904F-B024-F24762121E19}"/>
    <hyperlink ref="Q1728" r:id="rId4741" xr:uid="{074CA7B4-67A8-F743-A8DD-283415F2233F}"/>
    <hyperlink ref="E1722" r:id="rId4742" xr:uid="{968F5129-6327-2B4B-A8DE-BFAD4D87D89E}"/>
    <hyperlink ref="Q1722" r:id="rId4743" xr:uid="{5D8B36A5-2633-AC42-BFB0-3CD809704E91}"/>
    <hyperlink ref="E1724" r:id="rId4744" xr:uid="{788FD4A3-6345-FD44-812C-721DDCBB8741}"/>
    <hyperlink ref="Q1724" r:id="rId4745" xr:uid="{AD358B9D-5F40-B242-9B1D-EBC4A3F3E8F3}"/>
    <hyperlink ref="Q1721" r:id="rId4746" xr:uid="{4F7C5B92-8656-2A4A-826F-75E0D3615A3A}"/>
    <hyperlink ref="Q1723" r:id="rId4747" location="1" display="https://www.nwitimes.com/news/local/crime-and-courts/second-suspect-charged-in-shooting-of-undercover-federal-agent-in/article_cee49917-3dcf-5026-aaa3-a23012ed9954.html - 1" xr:uid="{2C8131CC-BBDC-FB40-9E99-E628C744E39B}"/>
    <hyperlink ref="E1719" r:id="rId4748" xr:uid="{596CDFA3-07C5-694F-B5AA-5AB25AC7A01D}"/>
    <hyperlink ref="Q1719" r:id="rId4749" xr:uid="{BEF8FDFC-2EDD-EC47-82C1-4B94B4E2B523}"/>
    <hyperlink ref="Q1720" r:id="rId4750" xr:uid="{A30EFA19-AC4B-8F42-9DB1-0DE69517FE47}"/>
    <hyperlink ref="Q1717" r:id="rId4751" xr:uid="{77BA6A52-C97D-D44A-BB81-6346C64E1B91}"/>
    <hyperlink ref="Q1718" r:id="rId4752" xr:uid="{216CA1F6-F96C-694C-84D4-1AD080494305}"/>
    <hyperlink ref="Q1716" r:id="rId4753" xr:uid="{CAA8A8D0-D3F7-3A49-845A-B261711DD195}"/>
    <hyperlink ref="Q1715" r:id="rId4754" xr:uid="{43D7153E-F474-F84A-A695-AD79A05BF4FE}"/>
    <hyperlink ref="Q1714" r:id="rId4755" xr:uid="{F8044C2A-D0D7-F740-85C4-B0AB2E70AD4C}"/>
    <hyperlink ref="Q1712" r:id="rId4756" xr:uid="{9A6699FC-52F4-8448-98DE-5508B3D80703}"/>
    <hyperlink ref="Q1711" r:id="rId4757" xr:uid="{799ADC48-023A-6A41-BA76-688B5F2EE07F}"/>
    <hyperlink ref="Q1713" r:id="rId4758" xr:uid="{26A09945-217D-A647-9E56-3E2D6D4B0692}"/>
    <hyperlink ref="E1710" r:id="rId4759" xr:uid="{E207AE02-9B14-EB46-AB21-8D9CAB7EEA2C}"/>
    <hyperlink ref="Q1710" r:id="rId4760" xr:uid="{ED28F12E-CFDF-CA40-8D35-BEF75961702B}"/>
    <hyperlink ref="E1709" r:id="rId4761" xr:uid="{448861D6-4E3C-524A-887A-B1032BC664AF}"/>
    <hyperlink ref="Q1709" r:id="rId4762" xr:uid="{541DD3C6-395F-A94B-BC98-5065E9C3B04B}"/>
    <hyperlink ref="Q1708" r:id="rId4763" xr:uid="{9FB7210F-B0F1-ED4E-8C70-B13FA4AD832E}"/>
    <hyperlink ref="E1707" r:id="rId4764" xr:uid="{D6BD7B71-A7FF-6F40-AE65-991B5049A4D3}"/>
    <hyperlink ref="Q1707" r:id="rId4765" xr:uid="{9452D9F0-7FC3-B54E-AD32-44D52CE4E5FD}"/>
    <hyperlink ref="E1706" r:id="rId4766" xr:uid="{D33E6437-C71A-8344-B2E5-33DF4D2ABDE4}"/>
    <hyperlink ref="Q1706" r:id="rId4767" xr:uid="{C4B2EBF0-FF1D-A343-8CD2-E4B291DAF8B9}"/>
    <hyperlink ref="Q1704" r:id="rId4768" xr:uid="{9D5C4F24-33E1-4448-973D-204490F0590E}"/>
    <hyperlink ref="E1705" r:id="rId4769" xr:uid="{C3DC6848-386F-864D-91DA-6C3BB5483456}"/>
    <hyperlink ref="Q1705" r:id="rId4770" xr:uid="{058ABBE5-1155-4C4D-879F-42D345C3460B}"/>
    <hyperlink ref="E1697" r:id="rId4771" xr:uid="{73281451-C4D0-B14F-8EBC-8A21838E4501}"/>
    <hyperlink ref="Q1697" r:id="rId4772" xr:uid="{F8AA1337-1320-B14C-B7BD-D362457BD39C}"/>
    <hyperlink ref="Q1701" r:id="rId4773" xr:uid="{DE56A788-1EAF-E64D-91EB-2B37A1858F88}"/>
    <hyperlink ref="Q1700" r:id="rId4774" xr:uid="{711AA9CC-7679-194B-90CF-A20B264C9F86}"/>
    <hyperlink ref="Q1698" r:id="rId4775" xr:uid="{1F846E6A-83F1-ED4F-9458-38CEE0E1B885}"/>
    <hyperlink ref="E1702" r:id="rId4776" xr:uid="{5AE7C0A8-BE10-2749-BFC9-3F7EDD5E5809}"/>
    <hyperlink ref="Q1702" r:id="rId4777" xr:uid="{E6E90ADA-C979-FC4F-9AF0-A04BB680ABFD}"/>
    <hyperlink ref="E1699" r:id="rId4778" xr:uid="{33332C1E-69E5-7643-9369-4C8CABBEC7C2}"/>
    <hyperlink ref="Q1699" r:id="rId4779" xr:uid="{240C43DE-7A8B-2C4C-B06D-CC99D631BE32}"/>
    <hyperlink ref="E1703" r:id="rId4780" xr:uid="{CD4884C1-8D83-2546-911F-EA6F0A7FE318}"/>
    <hyperlink ref="Q1703" r:id="rId4781" xr:uid="{93B35B9A-E7B3-634E-9477-895422FE32DD}"/>
    <hyperlink ref="E1696" r:id="rId4782" xr:uid="{84BD4B97-B46A-7F43-BB73-41F37DC81DCD}"/>
    <hyperlink ref="Q1696" r:id="rId4783" xr:uid="{C0A410D8-9D03-2F4F-9E09-61A8FE9F19C9}"/>
    <hyperlink ref="Q1695" r:id="rId4784" xr:uid="{B00AFC68-9B35-664D-AEA2-B9C49A3E9773}"/>
    <hyperlink ref="Q1691" r:id="rId4785" xr:uid="{F2B0B94A-00D5-214F-9A04-FA15C9E49F18}"/>
    <hyperlink ref="Q1692" r:id="rId4786" xr:uid="{6F742E47-B8A1-694E-80B1-77CA157C5715}"/>
    <hyperlink ref="E1693" r:id="rId4787" xr:uid="{7FD07E65-B743-554B-87FF-BA009394403F}"/>
    <hyperlink ref="Q1693" r:id="rId4788" xr:uid="{80508A1E-A532-BB4D-BBC9-5236FB8AA94D}"/>
    <hyperlink ref="Q1694" r:id="rId4789" xr:uid="{E7401C08-1FCE-C340-913C-42F5B8F1B508}"/>
    <hyperlink ref="E1689" r:id="rId4790" xr:uid="{288AFF12-5E23-4446-A5B7-C8CC03937D45}"/>
    <hyperlink ref="Q1689" r:id="rId4791" xr:uid="{E449C49B-58B2-834D-8711-E256F4A6963D}"/>
    <hyperlink ref="E1690" r:id="rId4792" xr:uid="{C0AC81CA-F83D-7247-9DBE-E6C621EE919B}"/>
    <hyperlink ref="Q1690" r:id="rId4793" location="incart_2box_nj-homepage-featured" display="http://www.nj.com/mercer/index.ssf/2018/06/heres_what_we_know_about_the_shooting_at_art_all_n.html - incart_2box_nj-homepage-featured" xr:uid="{6BEC69A2-341C-4940-882A-579A067DE6D8}"/>
    <hyperlink ref="E1688" r:id="rId4794" xr:uid="{768393EC-8FC8-F94B-AB8E-EF680136F1CC}"/>
    <hyperlink ref="Q1688" r:id="rId4795" xr:uid="{3AE63556-C612-F84E-928F-61A5173CC6D7}"/>
    <hyperlink ref="E1687" r:id="rId4796" xr:uid="{60A0A39A-397F-9A4D-B752-A182B74C7462}"/>
    <hyperlink ref="Q1687" r:id="rId4797" xr:uid="{6A03B75F-62B2-8941-A74B-E5AF07A5B1DC}"/>
    <hyperlink ref="E1685" r:id="rId4798" xr:uid="{E4432DAA-E09E-F644-9DE1-5E55AA346DDF}"/>
    <hyperlink ref="Q1685" r:id="rId4799" xr:uid="{26315FF4-8082-FA4C-9021-E939A72003B5}"/>
    <hyperlink ref="E1684" r:id="rId4800" xr:uid="{E05C6489-162A-4B4B-952A-786A70278098}"/>
    <hyperlink ref="Q1684" r:id="rId4801" xr:uid="{598C4428-2E2A-4840-9048-BCF5CB136287}"/>
    <hyperlink ref="E1686" r:id="rId4802" xr:uid="{EC5C0890-05EA-2746-84B3-C302113064CD}"/>
    <hyperlink ref="Q1686" r:id="rId4803" xr:uid="{1F25D192-AFA6-5944-8CE5-1DC59BFF3B36}"/>
    <hyperlink ref="E1683" r:id="rId4804" xr:uid="{AB74769D-10FA-864F-8948-3FE4CDBE949F}"/>
    <hyperlink ref="Q1683" r:id="rId4805" xr:uid="{839D538D-50BF-0144-AACE-B09F0431E397}"/>
    <hyperlink ref="E1681" r:id="rId4806" xr:uid="{BE0D34A9-C2A9-354C-B05D-FD0BE92E85BA}"/>
    <hyperlink ref="Q1681" r:id="rId4807" xr:uid="{27060726-8A3A-F54C-BD35-CD99086A58B1}"/>
    <hyperlink ref="Q1682" r:id="rId4808" xr:uid="{F474F12D-2199-C54F-B73D-C073EFC9FFCD}"/>
    <hyperlink ref="Q1678" r:id="rId4809" xr:uid="{7F322B30-D7E2-E646-B81A-8F52A50C4337}"/>
    <hyperlink ref="Q1676" r:id="rId4810" xr:uid="{0E563006-A709-2E49-BA30-0CA3FEE19FA9}"/>
    <hyperlink ref="E1680" r:id="rId4811" xr:uid="{98887493-AF80-2A45-B650-27C96051C6AF}"/>
    <hyperlink ref="Q1680" r:id="rId4812" xr:uid="{0EA13A8C-20E3-E343-85BC-842D58171266}"/>
    <hyperlink ref="Q1677" r:id="rId4813" xr:uid="{99A47F99-0F39-B344-93C5-33B35DD98A39}"/>
    <hyperlink ref="Q1679" r:id="rId4814" xr:uid="{4D37E117-3157-DB4A-95D7-899BC5B12554}"/>
    <hyperlink ref="E1671" r:id="rId4815" xr:uid="{1524161C-00D5-1D42-9421-BD1538398A13}"/>
    <hyperlink ref="Q1671" r:id="rId4816" xr:uid="{28FD67B2-E54D-E546-91EC-43BCCD92857A}"/>
    <hyperlink ref="Q1675" r:id="rId4817" xr:uid="{58881744-0116-0A4D-9EBF-9CE157D30901}"/>
    <hyperlink ref="Q1672" r:id="rId4818" xr:uid="{014C79CE-0C94-984C-AE3E-30E0ABA89C6D}"/>
    <hyperlink ref="Q1669" r:id="rId4819" xr:uid="{02826D4A-91B5-1746-9B56-8FBF431D9420}"/>
    <hyperlink ref="Q1674" r:id="rId4820" xr:uid="{783A1C56-166F-1740-9A32-E9E1E082BDBA}"/>
    <hyperlink ref="Q1670" r:id="rId4821" xr:uid="{4B486AA8-273F-F740-B679-84F9D07C343C}"/>
    <hyperlink ref="E1665" r:id="rId4822" xr:uid="{BEED40AE-8B26-6C45-BA45-29D531911F6E}"/>
    <hyperlink ref="Q1665" r:id="rId4823" xr:uid="{C6CB5D38-12F0-FF4C-B84F-AB84EA5BE2B8}"/>
    <hyperlink ref="Q1667" r:id="rId4824" xr:uid="{51343A49-9E70-A94C-92B4-A95C260CDE4E}"/>
    <hyperlink ref="Q1668" r:id="rId4825" xr:uid="{84D5E46E-8E51-C14F-BB86-EE112C6F5F87}"/>
    <hyperlink ref="E1666" r:id="rId4826" xr:uid="{A52C2A10-7773-EF41-8860-556ACB819EB4}"/>
    <hyperlink ref="Q1666" r:id="rId4827" xr:uid="{CFAFFCCF-9BCA-E94C-BFCA-9437B8CD0C3D}"/>
    <hyperlink ref="E1664" r:id="rId4828" xr:uid="{B129B63E-BA65-5F4F-8263-86D187BB31E9}"/>
    <hyperlink ref="Q1664" r:id="rId4829" xr:uid="{769C1372-F31F-4046-A181-5C067DD322C5}"/>
    <hyperlink ref="Q1660" r:id="rId4830" xr:uid="{15CE9E9D-5B5B-3B4D-AC99-CB862A4FA872}"/>
    <hyperlink ref="E1661" r:id="rId4831" xr:uid="{43A693A9-3468-EF49-A705-E80626EB9F7B}"/>
    <hyperlink ref="Q1661" r:id="rId4832" xr:uid="{2FA26535-7AA6-924D-B30B-CF9ADC920E0D}"/>
    <hyperlink ref="E1663" r:id="rId4833" xr:uid="{C76EDA22-59F0-9F44-86FA-782C11B684C2}"/>
    <hyperlink ref="Q1663" r:id="rId4834" xr:uid="{D667ADE5-60EB-E04B-9B10-EA06B8398D3A}"/>
    <hyperlink ref="E1662" r:id="rId4835" xr:uid="{E02BB8B6-7AB1-434D-A267-71D6DBB4E37D}"/>
    <hyperlink ref="Q1662" r:id="rId4836" xr:uid="{5F9E5A39-911B-7A45-B349-92059B03F528}"/>
    <hyperlink ref="Q1659" r:id="rId4837" xr:uid="{D4612A37-A7DE-754E-B22A-620533C71D81}"/>
    <hyperlink ref="Q1653" r:id="rId4838" xr:uid="{7E8368DE-72AA-B64B-87B1-9EEDA9726B71}"/>
    <hyperlink ref="Q1656" r:id="rId4839" xr:uid="{820C0063-8499-BD40-AC21-11859AE53A5E}"/>
    <hyperlink ref="Q1652" r:id="rId4840" xr:uid="{82D33296-A6DA-5446-BE2A-DCC9EF4E5F75}"/>
    <hyperlink ref="E1655" r:id="rId4841" xr:uid="{6FBB1BF1-858E-9048-842A-A110847C6182}"/>
    <hyperlink ref="Q1655" r:id="rId4842" xr:uid="{7ABBAAEB-4874-D849-B837-5D937FA2C8C1}"/>
    <hyperlink ref="Q1658" r:id="rId4843" xr:uid="{CF7737D6-15ED-CD4F-B3E8-083358EF6737}"/>
    <hyperlink ref="E1657" r:id="rId4844" xr:uid="{F90AE0B0-3EA1-4649-A2F1-3E37784DEC2C}"/>
    <hyperlink ref="Q1657" r:id="rId4845" xr:uid="{E14864D1-A6E0-0D4A-A8F8-AA644080EE3E}"/>
    <hyperlink ref="Q1654" r:id="rId4846" xr:uid="{81745BBD-8FAE-F346-802A-DD109503C77A}"/>
    <hyperlink ref="E1650" r:id="rId4847" xr:uid="{63A1DC93-BBBE-824C-A433-F3AC29405A2F}"/>
    <hyperlink ref="Q1650" r:id="rId4848" xr:uid="{583CB30F-C459-614D-811B-920A19D8CE0B}"/>
    <hyperlink ref="E1651" r:id="rId4849" xr:uid="{36D6D60B-F643-5E4A-85A4-E9FE9A49FF32}"/>
    <hyperlink ref="Q1651" r:id="rId4850" xr:uid="{A8200076-A056-7848-9296-C0FE0057479B}"/>
    <hyperlink ref="E1649" r:id="rId4851" xr:uid="{1EABFF6C-E81F-E741-BC11-29E1AC73E739}"/>
    <hyperlink ref="Q1649" r:id="rId4852" xr:uid="{EF4C327E-2224-8542-8196-D949D15B040A}"/>
    <hyperlink ref="Q1648" r:id="rId4853" xr:uid="{B0ABE063-0570-0046-98F4-6CC79F1515A2}"/>
    <hyperlink ref="E1646" r:id="rId4854" xr:uid="{F7776CD3-40EC-C948-A993-58FD3ECAE02D}"/>
    <hyperlink ref="Q1646" r:id="rId4855" xr:uid="{4A6A372E-6B90-1E43-8C46-BC234FDCD722}"/>
    <hyperlink ref="Q1647" r:id="rId4856" display="http://weartv.com/news/local/man-linked-to-panama-city-shootout-kills-ex-wifes-boyfriend" xr:uid="{843483FD-8A61-E24B-AAE9-5134DC158903}"/>
    <hyperlink ref="E1644" r:id="rId4857" xr:uid="{C87ACC5D-6441-A449-95F7-F7AD26ED2EE4}"/>
    <hyperlink ref="Q1644" r:id="rId4858" xr:uid="{0631499F-5772-CF4F-B358-7650E6055730}"/>
    <hyperlink ref="Q1645" r:id="rId4859" xr:uid="{73B3AC52-82FF-6043-8646-FF82BBCD4393}"/>
    <hyperlink ref="E1643" r:id="rId4860" xr:uid="{BEA7851B-1887-044D-A675-4378398D3EAF}"/>
    <hyperlink ref="Q1643" r:id="rId4861" xr:uid="{9937C2BA-4721-EF4D-98E6-5E9B39FC0D15}"/>
    <hyperlink ref="E1641" r:id="rId4862" xr:uid="{75644BFD-7F9D-0341-BD6C-FABC9AD1D5E8}"/>
    <hyperlink ref="Q1641" r:id="rId4863" xr:uid="{D2587684-5261-AC48-AD55-464C8D7462B6}"/>
    <hyperlink ref="Q1642" r:id="rId4864" xr:uid="{4E5DE836-F8CD-6F4E-B5BE-386B96433A06}"/>
    <hyperlink ref="Q1639" r:id="rId4865" xr:uid="{5616E9BF-3306-4149-BC17-AF22FAF0AF7D}"/>
    <hyperlink ref="E1638" r:id="rId4866" xr:uid="{34088D40-6D41-DD48-B36F-541FA50D149F}"/>
    <hyperlink ref="Q1638" r:id="rId4867" xr:uid="{56D8FA91-90C5-3E4B-891F-8165D0E55EB8}"/>
    <hyperlink ref="Q1640" r:id="rId4868" xr:uid="{8606B705-67BD-924E-8434-F5A603954E00}"/>
    <hyperlink ref="E1636" r:id="rId4869" xr:uid="{238CE898-69DE-EA4B-B199-3B8F2AC8CAE3}"/>
    <hyperlink ref="Q1636" r:id="rId4870" xr:uid="{5507CC95-56DA-F54E-B1EA-C192AD2148C8}"/>
    <hyperlink ref="E1637" r:id="rId4871" xr:uid="{F39341B1-862C-D848-B2B5-D740FDDAB699}"/>
    <hyperlink ref="Q1637" r:id="rId4872" xr:uid="{0DB9BB19-B68B-AB42-9F88-38879A8500D9}"/>
    <hyperlink ref="E1635" r:id="rId4873" xr:uid="{E6D24C02-A59B-D740-9AB1-59E4E4D6B612}"/>
    <hyperlink ref="Q1635" r:id="rId4874" xr:uid="{0C5C258B-C332-DC4F-B24A-6EB66D9BCC7C}"/>
    <hyperlink ref="E1634" r:id="rId4875" xr:uid="{2D725F3B-8E2B-964D-A6EB-2BD42D693F86}"/>
    <hyperlink ref="Q1634" r:id="rId4876" xr:uid="{1CC63BC6-0B5E-2C43-A547-A78FD92A35C4}"/>
    <hyperlink ref="E1632" r:id="rId4877" xr:uid="{486E2B38-B680-BA45-8E39-D86D08793A1E}"/>
    <hyperlink ref="Q1632" r:id="rId4878" xr:uid="{6D7B99C6-7296-2845-922C-7F30F5328E33}"/>
    <hyperlink ref="E1631" r:id="rId4879" xr:uid="{842F5D53-81DF-F147-939B-751D304B69DA}"/>
    <hyperlink ref="Q1631" r:id="rId4880" xr:uid="{002407C5-8917-A447-A9EB-86BE2C90E955}"/>
    <hyperlink ref="Q1633" r:id="rId4881" xr:uid="{A6C5AF3B-9DA7-AA41-B8F1-54EECC59D6E9}"/>
    <hyperlink ref="Q1629" r:id="rId4882" xr:uid="{38992BC5-ADBC-2947-B703-F49AA8C1EB21}"/>
    <hyperlink ref="Q1628" r:id="rId4883" xr:uid="{79C8B802-5C7C-2540-9F99-8EF6764EDF2A}"/>
    <hyperlink ref="Q1630" r:id="rId4884" xr:uid="{3729F250-C30F-704C-88F7-A29284435160}"/>
    <hyperlink ref="E1627" r:id="rId4885" xr:uid="{0F791347-3277-D545-8F66-B51B91CEA499}"/>
    <hyperlink ref="Q1627" r:id="rId4886" xr:uid="{D20E2BD0-A13A-124F-84DE-5BF21115B51C}"/>
    <hyperlink ref="Q1625" r:id="rId4887" xr:uid="{B8866309-AB89-FC44-A26F-3BD7D663C2B0}"/>
    <hyperlink ref="E1626" r:id="rId4888" xr:uid="{CFA1FE32-BD4A-FD44-AC66-02C39DF44246}"/>
    <hyperlink ref="Q1626" r:id="rId4889" xr:uid="{98E5353A-7BF2-AA48-BBDD-AE720547A7EE}"/>
    <hyperlink ref="E1624" r:id="rId4890" xr:uid="{ACAB58EA-ADEC-5142-A0F8-72A035AA8B8F}"/>
    <hyperlink ref="Q1624" r:id="rId4891" xr:uid="{3D35391C-6845-0249-A1C4-CD46D6EF2471}"/>
    <hyperlink ref="Q1622" r:id="rId4892" xr:uid="{C08F834D-0202-074D-9C0E-1539177691B6}"/>
    <hyperlink ref="E1623" r:id="rId4893" xr:uid="{4A3B38AC-E8B9-244C-A99C-2C24630BBC28}"/>
    <hyperlink ref="Q1623" r:id="rId4894" xr:uid="{1CCF65E6-9756-6348-B350-720F8FCD6D28}"/>
    <hyperlink ref="E1621" r:id="rId4895" xr:uid="{E98655C7-7D5E-5E4D-843C-9BFEE41AB564}"/>
    <hyperlink ref="Q1621" r:id="rId4896" xr:uid="{41C365FA-038C-6C41-AA46-C3490A5EBDEF}"/>
    <hyperlink ref="E1618" r:id="rId4897" xr:uid="{B1B6948A-14DC-2340-A32B-DCB6238CD2EA}"/>
    <hyperlink ref="Q1618" r:id="rId4898" xr:uid="{4A415A27-20DE-4F4B-8AF7-7C7DFF565B27}"/>
    <hyperlink ref="Q1619" r:id="rId4899" location="tncms-source=article-nav-next" display="https://www.mytexasdaily.com/news/armed-vehicle-theft-suspect-shot-killed-by-dallas-police/article_1643d0a6-86eb-11e8-ab25-4f7f2b34e3aa.html - tncms-source=article-nav-next" xr:uid="{429530A4-199B-BD44-BB80-A4C85A3E9C01}"/>
    <hyperlink ref="E1617" r:id="rId4900" xr:uid="{5C999361-D33E-9A45-B56C-195FFD767C2D}"/>
    <hyperlink ref="Q1617" r:id="rId4901" xr:uid="{ED6D2751-5901-E647-98A8-4299C7B02258}"/>
    <hyperlink ref="Q1620" r:id="rId4902" xr:uid="{5CC89778-BDC7-A547-A48A-264902116B12}"/>
    <hyperlink ref="Q1614" r:id="rId4903" xr:uid="{F4195B62-CBD1-A44D-A3EF-D9CE8F98A555}"/>
    <hyperlink ref="Q1613" r:id="rId4904" xr:uid="{9CA949BE-40D4-B241-9ADA-2B55794A05E1}"/>
    <hyperlink ref="Q1615" r:id="rId4905" xr:uid="{DAB5C49B-30D3-6F49-9FC5-7F37EA28216D}"/>
    <hyperlink ref="E1616" r:id="rId4906" xr:uid="{10968295-4D55-C446-91BE-14B6036343F9}"/>
    <hyperlink ref="Q1616" r:id="rId4907" xr:uid="{AF6077CE-580C-7E42-94BF-12D80D265829}"/>
    <hyperlink ref="E1610" r:id="rId4908" xr:uid="{90A04121-16B0-9C4F-B7ED-18407FF2AF4F}"/>
    <hyperlink ref="Q1610" r:id="rId4909" xr:uid="{5F192D34-A4DC-6E4A-9CFA-ED0A81604726}"/>
    <hyperlink ref="Q1611" r:id="rId4910" xr:uid="{C9A83C85-8237-7044-81B8-FF69D1EC002B}"/>
    <hyperlink ref="E1647" r:id="rId4911" display="https://www.fatalencounters.org/wp-content/uploads/2018/05/Kevin-Robert-Holroyd.jpg" xr:uid="{D64C9063-6E76-ED4E-8696-D24B9C87EB84}"/>
    <hyperlink ref="E1612" r:id="rId4912" xr:uid="{DE05B052-E611-064A-8D56-CC9E3E795FBE}"/>
    <hyperlink ref="Q1612" r:id="rId4913" xr:uid="{C418A78C-2614-974B-A005-DDC24BE580AF}"/>
    <hyperlink ref="Q1608" r:id="rId4914" xr:uid="{9BB6CE16-8A3B-BB4B-BC68-2295627BE5C0}"/>
    <hyperlink ref="E1607" r:id="rId4915" xr:uid="{B439542E-F42C-9D4D-B993-B33C5A3D535B}"/>
    <hyperlink ref="Q1607" r:id="rId4916" xr:uid="{1F1575ED-956A-AE42-A40D-F1CA529378E9}"/>
    <hyperlink ref="Q1606" r:id="rId4917" xr:uid="{B6AB4719-C32F-4947-87CD-689AF2B99AED}"/>
    <hyperlink ref="E1604" r:id="rId4918" xr:uid="{DEA900EB-6CCF-AE43-9DE4-A1C22AF4EBB7}"/>
    <hyperlink ref="Q1604" r:id="rId4919" xr:uid="{0C7A7426-5E15-7B4F-AB4F-5135881B071F}"/>
    <hyperlink ref="E1605" r:id="rId4920" xr:uid="{1212240F-8DF8-ED46-912A-8047453588FA}"/>
    <hyperlink ref="Q1605" r:id="rId4921" xr:uid="{AE90A50A-2BA6-9D46-9FB6-A6EC74EE366F}"/>
    <hyperlink ref="E1603" r:id="rId4922" xr:uid="{C2A82AC9-4F42-B343-A754-E9AE62C90F8F}"/>
    <hyperlink ref="Q1603" r:id="rId4923" xr:uid="{43460CBA-BC02-C540-963E-D86FFCA33348}"/>
    <hyperlink ref="Q1600" r:id="rId4924" xr:uid="{40494C9A-0487-864E-B882-35245D2976E4}"/>
    <hyperlink ref="Q1601" r:id="rId4925" xr:uid="{CE9C5650-597B-0646-B4BC-FC23CD1C8EC3}"/>
    <hyperlink ref="Q1602" r:id="rId4926" xr:uid="{3DFF3A2D-CD72-6F41-A153-F40F841E3236}"/>
    <hyperlink ref="E1597" r:id="rId4927" xr:uid="{FFB71ED7-F8FB-E749-88CC-503C3E8902EB}"/>
    <hyperlink ref="Q1597" r:id="rId4928" xr:uid="{E07E1AC2-6F57-AD4F-81AB-9F9A41F5B2CA}"/>
    <hyperlink ref="Q1598" r:id="rId4929" xr:uid="{EBB1E1BA-349C-C449-81F1-7DE156EC3CC5}"/>
    <hyperlink ref="Q1596" r:id="rId4930" xr:uid="{B9BF8C58-6A41-9F43-B93E-4828DE3FA0C5}"/>
    <hyperlink ref="Q1599" r:id="rId4931" xr:uid="{A1867BA4-0B4D-5743-9D54-A5AA60242D78}"/>
    <hyperlink ref="E1594" r:id="rId4932" xr:uid="{82B408CE-54B6-F64B-90BB-D6995543833B}"/>
    <hyperlink ref="Q1594" r:id="rId4933" xr:uid="{B1C07D0D-0347-E940-AD23-913BCFE57844}"/>
    <hyperlink ref="Q1590" r:id="rId4934" xr:uid="{8D09BC98-D8CF-FB4D-B030-95DEB2CC6227}"/>
    <hyperlink ref="E1591" r:id="rId4935" xr:uid="{AD369FDB-DD29-574D-A6F8-E84FABFEE25A}"/>
    <hyperlink ref="Q1591" r:id="rId4936" xr:uid="{BE8E2D5E-10F5-AD4E-BF7D-7E91E4C5A459}"/>
    <hyperlink ref="Q1595" r:id="rId4937" xr:uid="{6EAEF9AF-60BB-9B42-A162-6D0E748699BE}"/>
    <hyperlink ref="E1593" r:id="rId4938" xr:uid="{65AB9EEE-78AC-6C4F-BAF8-2633C9B1DAA5}"/>
    <hyperlink ref="Q1593" r:id="rId4939" xr:uid="{F9F32A47-C302-7947-B01D-781DBF49F8F4}"/>
    <hyperlink ref="Q1592" r:id="rId4940" xr:uid="{3BB3A63F-7B86-4E42-9C0B-FD7AA74D10DD}"/>
    <hyperlink ref="Q1587" r:id="rId4941" xr:uid="{71F1622E-F64B-944E-88AF-521C8F6BFD56}"/>
    <hyperlink ref="Q1586" r:id="rId4942" xr:uid="{62A171C3-7E18-CC4D-8C44-6CE8A9364F70}"/>
    <hyperlink ref="Q1589" r:id="rId4943" xr:uid="{87AC15EA-E60B-304E-8086-A2C76576C6B8}"/>
    <hyperlink ref="Q1588" r:id="rId4944" xr:uid="{318CC2A5-9E0F-2048-AAAB-400460570884}"/>
    <hyperlink ref="Q1584" r:id="rId4945" xr:uid="{36633E54-6117-B346-A71B-411AEF0A0298}"/>
    <hyperlink ref="Q1585" r:id="rId4946" xr:uid="{41333481-C3C5-8F46-9344-F2126BA8413C}"/>
    <hyperlink ref="Q1583" r:id="rId4947" xr:uid="{6C6AE981-EE79-554F-B3C1-1857FC999CF9}"/>
    <hyperlink ref="Q1582" r:id="rId4948" xr:uid="{DD1B53D3-0B61-A142-866F-A017B48533C5}"/>
    <hyperlink ref="E1580" r:id="rId4949" xr:uid="{F558C1B5-5D3D-F54F-943A-2C4155478C6B}"/>
    <hyperlink ref="Q1580" r:id="rId4950" xr:uid="{23E1E19E-D6BE-224A-8073-C0DD8B98ABBC}"/>
    <hyperlink ref="E1581" r:id="rId4951" xr:uid="{FE4F665F-9FFD-F144-9AD8-7B8AD144147F}"/>
    <hyperlink ref="Q1581" r:id="rId4952" xr:uid="{A4C2C2C2-3565-EE42-BCF9-E2693926B585}"/>
    <hyperlink ref="Q1577" r:id="rId4953" xr:uid="{A216979F-59A7-4C41-A72D-18748FA96B1A}"/>
    <hyperlink ref="E1578" r:id="rId4954" xr:uid="{E2473238-3845-0544-8FAD-A4C2A19BE2C9}"/>
    <hyperlink ref="Q1578" r:id="rId4955" xr:uid="{A3245189-FDA9-B44B-90E3-EA22B5DEDC24}"/>
    <hyperlink ref="E1576" r:id="rId4956" xr:uid="{5D8AC300-5681-4845-A96C-1F3D14DA60AC}"/>
    <hyperlink ref="Q1576" r:id="rId4957" xr:uid="{20440082-C863-D743-9883-B5B81E2A69CD}"/>
    <hyperlink ref="E1579" r:id="rId4958" xr:uid="{A1DB1FCE-DEDC-744E-B212-C1C3F3F3DB30}"/>
    <hyperlink ref="Q1579" r:id="rId4959" xr:uid="{8A776AE3-48C5-0143-AC92-54766CD2E2DD}"/>
    <hyperlink ref="Q1575" r:id="rId4960" xr:uid="{C2563FEF-3874-F444-A501-31F21539066D}"/>
    <hyperlink ref="E1573" r:id="rId4961" xr:uid="{5A5169E1-1500-3E40-B493-1690BCF2865C}"/>
    <hyperlink ref="Q1573" r:id="rId4962" xr:uid="{C1D9A47C-596D-794D-80DB-43899DAA6E37}"/>
    <hyperlink ref="E1569" r:id="rId4963" xr:uid="{E89E0FB6-7B4F-8145-BAE4-BB44CDB7D592}"/>
    <hyperlink ref="Q1569" r:id="rId4964" xr:uid="{DA73CB02-32E5-6844-BBF6-92D56975D36D}"/>
    <hyperlink ref="Q1570" r:id="rId4965" xr:uid="{41DC7E1A-79F5-A645-A24C-283BA006B3B5}"/>
    <hyperlink ref="Q1574" r:id="rId4966" xr:uid="{9FFD25A8-231D-2349-8B35-DFD3FAE3C695}"/>
    <hyperlink ref="E1568" r:id="rId4967" xr:uid="{71DB36EF-CD40-C14D-A70E-F5DF25E74E62}"/>
    <hyperlink ref="Q1568" r:id="rId4968" xr:uid="{8961E589-85B4-944E-8201-3FE602E3D563}"/>
    <hyperlink ref="Q1572" r:id="rId4969" xr:uid="{F94C413A-50FE-3A4A-8CC2-5440A90B8EA7}"/>
    <hyperlink ref="Q1571" r:id="rId4970" xr:uid="{0AAB6A3C-250A-1A47-911F-C4472CD7EAFF}"/>
    <hyperlink ref="Q1567" r:id="rId4971" xr:uid="{222AEEC7-9294-814E-AE8E-6472F6349A82}"/>
    <hyperlink ref="Q1566" r:id="rId4972" xr:uid="{6C6C4DB3-D1F6-B644-BDED-952C979D41D6}"/>
    <hyperlink ref="E1564" r:id="rId4973" xr:uid="{D8A66CB2-DD0F-E344-B467-54EEE9FC86B8}"/>
    <hyperlink ref="Q1564" r:id="rId4974" xr:uid="{8969138F-05C8-EC48-8306-F7913DBAF0E1}"/>
    <hyperlink ref="E1561" r:id="rId4975" xr:uid="{D0ED6589-E6AC-C746-BE91-646B75BAF0CA}"/>
    <hyperlink ref="Q1561" r:id="rId4976" xr:uid="{14C8EB17-D738-A64E-B862-E8B1EBFA21EB}"/>
    <hyperlink ref="Q1560" r:id="rId4977" xr:uid="{344EF619-FDE1-3D45-9976-E829E3156D9F}"/>
    <hyperlink ref="Q1562" r:id="rId4978" xr:uid="{93AEDAAF-C766-9D45-87E5-12C0050A4C73}"/>
    <hyperlink ref="Q1563" r:id="rId4979" xr:uid="{C68C3080-6CB5-094C-9FB0-A91381ADCE4D}"/>
    <hyperlink ref="E1559" r:id="rId4980" xr:uid="{B8F58DCF-1113-2F43-99D5-7F180FE5BE39}"/>
    <hyperlink ref="Q1559" r:id="rId4981" xr:uid="{FE599D79-1B97-A54E-9241-1FB751DBB283}"/>
    <hyperlink ref="E1558" r:id="rId4982" xr:uid="{D026A1F6-84CA-774F-9A41-D276D44695A9}"/>
    <hyperlink ref="Q1558" r:id="rId4983" xr:uid="{F11A9666-7F53-4E4B-BE07-89C3C23469F7}"/>
    <hyperlink ref="Q1556" r:id="rId4984" xr:uid="{4F4D02EC-91BC-174B-A4EA-52E22F29E1F2}"/>
    <hyperlink ref="E1557" r:id="rId4985" xr:uid="{8B871227-8F4B-C64E-9815-E286F4797770}"/>
    <hyperlink ref="Q1557" r:id="rId4986" xr:uid="{37EC4CB1-1A30-5E49-8F09-0383C2A31B2F}"/>
    <hyperlink ref="E1552" r:id="rId4987" xr:uid="{C0146DD9-D39E-9545-903E-E241FF2120AF}"/>
    <hyperlink ref="Q1552" r:id="rId4988" xr:uid="{B9B30193-EF04-1C4A-BC22-D251C1D1BC01}"/>
    <hyperlink ref="E1553" r:id="rId4989" xr:uid="{126EE3DA-79DE-854A-89D4-DA809409C7AA}"/>
    <hyperlink ref="Q1553" r:id="rId4990" xr:uid="{6ED021CA-7634-6548-A9E5-AE2C718ACB04}"/>
    <hyperlink ref="E1555" r:id="rId4991" xr:uid="{39439F8A-9698-FE44-9728-B503D7D14F8E}"/>
    <hyperlink ref="Q1555" r:id="rId4992" xr:uid="{259E5B70-C906-294A-B3F7-7D3575B2E613}"/>
    <hyperlink ref="Q1554" r:id="rId4993" xr:uid="{1EE69ECC-8AF6-1949-B908-74E7F7ECD35C}"/>
    <hyperlink ref="E1548" r:id="rId4994" xr:uid="{4212F642-9D98-1D4A-A68C-7B106C60D48A}"/>
    <hyperlink ref="Q1548" r:id="rId4995" xr:uid="{51BEFF75-F339-8640-8D8E-E2945BF44648}"/>
    <hyperlink ref="E1549" r:id="rId4996" xr:uid="{7EA79D48-72B4-7744-B26B-B2692F656E32}"/>
    <hyperlink ref="Q1549" r:id="rId4997" xr:uid="{353561AC-E7C8-0243-A39A-193214A23A41}"/>
    <hyperlink ref="Q1550" r:id="rId4998" xr:uid="{A1FC8278-3446-744D-A7C4-0052B571E79F}"/>
    <hyperlink ref="Q1551" r:id="rId4999" xr:uid="{3B8BF38B-F02A-6141-981B-4CA1FB14726A}"/>
    <hyperlink ref="Q1543" r:id="rId5000" xr:uid="{A0ECB889-F96D-AB4D-AF26-22869D19850D}"/>
    <hyperlink ref="Q1545" r:id="rId5001" xr:uid="{0B84E303-D8B1-574A-A988-CD1AF5CC3FC5}"/>
    <hyperlink ref="Q1541" r:id="rId5002" xr:uid="{D401427A-DD06-0A40-93AA-FE2B328734A5}"/>
    <hyperlink ref="E1546" r:id="rId5003" xr:uid="{E6EF8D5E-564E-E54F-B1CE-613A6239490F}"/>
    <hyperlink ref="Q1546" r:id="rId5004" xr:uid="{58474665-E21B-E44A-8F59-B4EF82F34063}"/>
    <hyperlink ref="E1542" r:id="rId5005" xr:uid="{C6886448-EBE2-3648-B5A6-AA1BB4FD8134}"/>
    <hyperlink ref="Q1542" r:id="rId5006" xr:uid="{5D715F08-97D6-1346-B129-074C9346DE2C}"/>
    <hyperlink ref="E1544" r:id="rId5007" xr:uid="{02D1E725-D765-BD4B-8A9D-B53A16867784}"/>
    <hyperlink ref="Q1544" r:id="rId5008" xr:uid="{838C97E2-9EE8-2241-9434-8330720BFE78}"/>
    <hyperlink ref="Q1547" r:id="rId5009" xr:uid="{4D160E12-93F6-1C4D-8A91-6BCDF1590CB7}"/>
    <hyperlink ref="Q1538" r:id="rId5010" xr:uid="{D5D30BBB-EFF2-264A-BAE5-EC98639786B6}"/>
    <hyperlink ref="E1540" r:id="rId5011" xr:uid="{AC7B2E4C-9D91-234C-8F23-E1646FF72A1E}"/>
    <hyperlink ref="Q1540" r:id="rId5012" xr:uid="{9657DE5B-0477-2342-B578-9A3E58E1D1B2}"/>
    <hyperlink ref="E1539" r:id="rId5013" xr:uid="{850DFCE5-AF3E-744E-B957-9350AE249F9D}"/>
    <hyperlink ref="Q1539" r:id="rId5014" xr:uid="{C9139783-7E01-AD40-97AE-649BD826628B}"/>
    <hyperlink ref="E1536" r:id="rId5015" xr:uid="{23A380E5-2D92-324A-A7BF-DE8C26AB34A9}"/>
    <hyperlink ref="Q1536" r:id="rId5016" xr:uid="{86D58612-4321-2E4B-BC34-6FC02672B0EB}"/>
    <hyperlink ref="Q1537" r:id="rId5017" xr:uid="{EA374555-8E23-F24B-AC6B-B2108D991545}"/>
    <hyperlink ref="Q1535" r:id="rId5018" xr:uid="{D1EC6A32-30C7-D448-A83A-CBD9E8B4F348}"/>
    <hyperlink ref="Q1534" r:id="rId5019" xr:uid="{A9679794-9A3E-7248-92E7-219024AF7F33}"/>
    <hyperlink ref="Q1530" r:id="rId5020" xr:uid="{83BC477A-F124-9B40-BE29-A8C38556B759}"/>
    <hyperlink ref="Q1531" r:id="rId5021" xr:uid="{4EC8772E-BBC7-5A40-9364-13DBC63D3310}"/>
    <hyperlink ref="Q1532" r:id="rId5022" xr:uid="{CA644F2E-0B73-F148-B43B-1B3789FD95B8}"/>
    <hyperlink ref="Q1533" r:id="rId5023" xr:uid="{915FBCC8-55B8-5442-BB15-8B815405BCA4}"/>
    <hyperlink ref="E1529" r:id="rId5024" xr:uid="{A86AEE10-2438-254E-A65C-05CF2957933D}"/>
    <hyperlink ref="Q1529" r:id="rId5025" xr:uid="{47A179ED-0B8E-9149-B3BB-272D87F2A8DB}"/>
    <hyperlink ref="E1526" r:id="rId5026" xr:uid="{D5C73019-4CF1-7044-BEA2-BB8E26B0A8EC}"/>
    <hyperlink ref="Q1526" r:id="rId5027" xr:uid="{20BEC6A9-6B0C-BA46-9830-6F01E1A6B277}"/>
    <hyperlink ref="Q1527" r:id="rId5028" xr:uid="{70406504-6737-7C4D-B748-04D739A9306E}"/>
    <hyperlink ref="Q1528" r:id="rId5029" xr:uid="{B6E52FB7-093E-9E4E-A65C-EE4207786C5D}"/>
    <hyperlink ref="Q1521" r:id="rId5030" xr:uid="{8433E461-ECA2-3D47-B14B-01BB1292EC3B}"/>
    <hyperlink ref="E1524" r:id="rId5031" xr:uid="{4B2A059D-ACB6-4648-AB3B-42F9D093EC83}"/>
    <hyperlink ref="Q1524" r:id="rId5032" xr:uid="{414FB0B4-FF53-5A40-8B7D-27130DEDF7C2}"/>
    <hyperlink ref="Q1523" r:id="rId5033" xr:uid="{F753BC86-D005-2F48-947C-7EBDC997E620}"/>
    <hyperlink ref="Q1525" r:id="rId5034" xr:uid="{363F3E01-86B4-244F-9FEF-01BF2645B1EE}"/>
    <hyperlink ref="Q1522" r:id="rId5035" xr:uid="{7709F4CC-A766-D345-862A-18A2AE3C11B5}"/>
    <hyperlink ref="Q1518" r:id="rId5036" xr:uid="{5996AA5F-EA33-6643-9E41-951C896B0D40}"/>
    <hyperlink ref="Q1520" r:id="rId5037" xr:uid="{ADE37048-688B-5246-87C3-6B4801223ADA}"/>
    <hyperlink ref="Q1517" r:id="rId5038" xr:uid="{A9AE771E-FF29-FD4D-B241-FD57BB87B3A4}"/>
    <hyperlink ref="E1519" r:id="rId5039" xr:uid="{1C3AABEE-228C-6640-90F4-383BA2B9E880}"/>
    <hyperlink ref="Q1519" r:id="rId5040" xr:uid="{71C40DD3-0B7C-0D41-9C7C-0097CFA60334}"/>
    <hyperlink ref="E1516" r:id="rId5041" xr:uid="{2BD1E04E-154D-B24B-A5C8-DEC813B8CE75}"/>
    <hyperlink ref="Q1516" r:id="rId5042" xr:uid="{DB02ECC5-5E2B-9846-8B1A-26016677BB70}"/>
    <hyperlink ref="Q1515" r:id="rId5043" xr:uid="{4A457B49-85BF-AB47-87E4-428333DEC2EA}"/>
    <hyperlink ref="Q1514" r:id="rId5044" xr:uid="{9F5BF275-BB01-BB49-8AB5-DBCA2F48E905}"/>
    <hyperlink ref="Q1511" r:id="rId5045" xr:uid="{D2DF4245-B332-1B4D-B2BB-AA821541543D}"/>
    <hyperlink ref="Q1513" r:id="rId5046" xr:uid="{F21E0DAE-6E64-2A4C-809D-27CCCAF7D362}"/>
    <hyperlink ref="E1512" r:id="rId5047" xr:uid="{D0D05F16-9FF4-3C4E-B536-B36B736AB299}"/>
    <hyperlink ref="Q1512" r:id="rId5048" xr:uid="{B723D568-D3B9-DC44-99E4-BF77B52CB556}"/>
    <hyperlink ref="Q1508" r:id="rId5049" xr:uid="{83675A5A-ECD4-6C48-8A84-5F91D2B55A1C}"/>
    <hyperlink ref="Q1507" r:id="rId5050" xr:uid="{B1787645-36D1-0640-9575-5A5A1177F4EB}"/>
    <hyperlink ref="Q1510" r:id="rId5051" xr:uid="{223143BB-7566-AB45-8AC6-4C248270AFCE}"/>
    <hyperlink ref="Q1509" r:id="rId5052" xr:uid="{12DA844C-332B-9048-83A0-E3E33EBBF749}"/>
    <hyperlink ref="E1505" r:id="rId5053" xr:uid="{B17C63C1-F8F4-D746-A108-F9AB95BA9D94}"/>
    <hyperlink ref="Q1505" r:id="rId5054" xr:uid="{7DFF8B45-15F3-6B42-8DF4-A65486AF189B}"/>
    <hyperlink ref="Q1506" r:id="rId5055" xr:uid="{5614DC65-7AC6-7341-8476-D552BE59BE18}"/>
    <hyperlink ref="Q1504" r:id="rId5056" xr:uid="{F09B3816-F146-DF45-B66C-46B977260ED7}"/>
    <hyperlink ref="Q1503" r:id="rId5057" xr:uid="{ADB79C44-F440-5C4C-B546-75EC7EC0A7C4}"/>
    <hyperlink ref="E1501" r:id="rId5058" xr:uid="{DE7CFAC0-F996-744F-94CD-B734ED54CD4F}"/>
    <hyperlink ref="Q1501" r:id="rId5059" xr:uid="{10FB755B-085F-B84F-97D0-7720CB8FB440}"/>
    <hyperlink ref="Q1502" r:id="rId5060" xr:uid="{4FE18F95-F481-7045-A458-350B814A7E74}"/>
    <hyperlink ref="E1500" r:id="rId5061" xr:uid="{B0729CD0-B6FA-2646-845D-F49B45523DBA}"/>
    <hyperlink ref="Q1500" r:id="rId5062" xr:uid="{D0A11ACB-1B04-274C-B670-FF5A297250A2}"/>
    <hyperlink ref="Q1499" r:id="rId5063" xr:uid="{3D10C130-E897-F74F-B74F-2C46055EEA57}"/>
    <hyperlink ref="Q1496" r:id="rId5064" xr:uid="{448C2CA6-3686-314D-A1E9-943A31CF9DCB}"/>
    <hyperlink ref="Q1497" r:id="rId5065" xr:uid="{D5415D3A-D8CB-B441-B353-6E27FE1C4930}"/>
    <hyperlink ref="E1498" r:id="rId5066" xr:uid="{71E4E160-7B4F-304F-93C6-AC56AC0D9A83}"/>
    <hyperlink ref="Q1498" r:id="rId5067" xr:uid="{B9C91BD2-999F-2544-B1B1-667AE2B2EEB0}"/>
    <hyperlink ref="Q1493" r:id="rId5068" xr:uid="{89E6BD40-AC4C-4245-A88E-D3B4099610A7}"/>
    <hyperlink ref="E1495" r:id="rId5069" xr:uid="{0EFE60D1-A687-ED41-8723-9D3BFAA469B5}"/>
    <hyperlink ref="Q1495" r:id="rId5070" xr:uid="{42974017-9EA8-9240-BF23-B8EE06117E28}"/>
    <hyperlink ref="Q1492" r:id="rId5071" xr:uid="{A64710AE-8C97-E14A-93F5-8F475FDF702E}"/>
    <hyperlink ref="Q1494" r:id="rId5072" xr:uid="{453E0487-AB26-4B41-951C-B99E845226BF}"/>
    <hyperlink ref="E1490" r:id="rId5073" xr:uid="{7ACED1BD-7913-B740-A6C5-82AE9F526340}"/>
    <hyperlink ref="Q1490" r:id="rId5074" xr:uid="{3315D121-1D21-C143-8274-5A48C9C119AD}"/>
    <hyperlink ref="E1491" r:id="rId5075" xr:uid="{5196BBA5-9FD3-3E43-AA95-CF5444FF6D6C}"/>
    <hyperlink ref="Q1491" r:id="rId5076" xr:uid="{5020E122-BF6C-4645-8624-B0178F65E36D}"/>
    <hyperlink ref="Q1489" r:id="rId5077" xr:uid="{DF2D4513-BA31-8447-AC84-09D4F7EA3261}"/>
    <hyperlink ref="E1488" r:id="rId5078" xr:uid="{42CEF9E3-66E7-434B-8E95-7753EB1E0C25}"/>
    <hyperlink ref="Q1488" r:id="rId5079" xr:uid="{C6958992-524B-F446-A152-03E5F1B826AA}"/>
    <hyperlink ref="Q1485" r:id="rId5080" display="https://www.reviewjournal.com/crime/homicides/coroner-ids-woman-killed-in-ex-boyfriends-las-vegas-home/" xr:uid="{66CFF16F-64F9-C445-81C3-5E967431436A}"/>
    <hyperlink ref="Q1484" r:id="rId5081" xr:uid="{72DF874F-A55B-454D-AE4F-330C833D5FCC}"/>
    <hyperlink ref="Q1487" r:id="rId5082" xr:uid="{21DED793-4C85-C340-975D-BB02555E4B8A}"/>
    <hyperlink ref="Q1486" r:id="rId5083" xr:uid="{C6BC6C88-606B-3845-AD48-DC38F70F5521}"/>
    <hyperlink ref="Q1480" r:id="rId5084" xr:uid="{C366FF2F-686F-F743-A064-E234450C1C00}"/>
    <hyperlink ref="E1481" r:id="rId5085" xr:uid="{A7A1B01D-DF6A-6641-BF4B-BCCAE22F2F45}"/>
    <hyperlink ref="Q1481" r:id="rId5086" xr:uid="{251C7DF9-341D-E147-B723-428CC8A1A6DD}"/>
    <hyperlink ref="Q1479" r:id="rId5087" xr:uid="{D9D83F98-1F64-F448-930D-EAFF53ABF294}"/>
    <hyperlink ref="Q1483" r:id="rId5088" xr:uid="{CFDD857D-2A7C-414A-A6CB-000E228990E6}"/>
    <hyperlink ref="E1482" r:id="rId5089" xr:uid="{235EB221-E978-7546-B93D-C241BF09E19B}"/>
    <hyperlink ref="Q1482" r:id="rId5090" xr:uid="{40463C58-672C-1646-89AB-D2898987E94E}"/>
    <hyperlink ref="Q1475" r:id="rId5091" xr:uid="{46459AF3-4149-0848-B217-8144CE83B0F6}"/>
    <hyperlink ref="Q1478" r:id="rId5092" xr:uid="{1D8D778F-133B-6245-A549-6756CA46C4DA}"/>
    <hyperlink ref="E1476" r:id="rId5093" xr:uid="{E00F8664-AED0-C34C-AEA6-59CD4A2A2E85}"/>
    <hyperlink ref="Q1476" r:id="rId5094" xr:uid="{2B076B75-BE42-644A-8FAF-579A8FE0219C}"/>
    <hyperlink ref="Q1474" r:id="rId5095" xr:uid="{D251423E-1A1A-9746-BD27-188E2549B34F}"/>
    <hyperlink ref="Q1477" r:id="rId5096" xr:uid="{3DA69CDE-9C98-7248-90B0-3FDA486B7891}"/>
    <hyperlink ref="Q1473" r:id="rId5097" xr:uid="{E5E6D955-5E10-CF49-8060-AB3450944C4A}"/>
    <hyperlink ref="Q1471" r:id="rId5098" xr:uid="{DD4F204E-96F7-5F41-8652-8BCF4BB568E1}"/>
    <hyperlink ref="Q1472" r:id="rId5099" xr:uid="{15B9A90F-E753-7249-91A6-8CA227670C42}"/>
    <hyperlink ref="E1464" r:id="rId5100" xr:uid="{5E80A6BD-568D-7244-91B0-9498AF464F2B}"/>
    <hyperlink ref="Q1464" r:id="rId5101" xr:uid="{19F903DC-B810-0D4F-B176-668E668271B2}"/>
    <hyperlink ref="Q1465" r:id="rId5102" xr:uid="{388D1AC5-454E-DC48-AD2B-DD0B08D6CC04}"/>
    <hyperlink ref="Q1468" r:id="rId5103" xr:uid="{C82F0C40-5037-A141-9C1A-9544DAEFF847}"/>
    <hyperlink ref="E1469" r:id="rId5104" xr:uid="{14CA6ED5-F568-1148-A457-6FDE4BC8A686}"/>
    <hyperlink ref="Q1469" r:id="rId5105" xr:uid="{73EB4EE0-2CA2-CA4A-815E-F3AA03B84714}"/>
    <hyperlink ref="Q1467" r:id="rId5106" xr:uid="{6FBF247E-D23A-5B4F-A8CF-2EBA26165536}"/>
    <hyperlink ref="Q1466" r:id="rId5107" xr:uid="{771EB8DC-0558-5340-9C5F-6A3EBAA06CF6}"/>
    <hyperlink ref="Q1470" r:id="rId5108" xr:uid="{77810C5A-D163-064F-9055-CC9269BA7D56}"/>
    <hyperlink ref="E1462" r:id="rId5109" xr:uid="{F22DAD75-4404-B44A-8228-99979AAA3405}"/>
    <hyperlink ref="Q1462" r:id="rId5110" xr:uid="{A957C4AE-2073-CD4E-B44C-3B3398D6EC0F}"/>
    <hyperlink ref="Q1463" r:id="rId5111" xr:uid="{4235D63B-03DC-1849-9840-94A133897AB4}"/>
    <hyperlink ref="Q1461" r:id="rId5112" xr:uid="{B692446D-717F-4248-AC89-E740D50769AA}"/>
    <hyperlink ref="Q1459" r:id="rId5113" xr:uid="{27A2A985-4175-7848-B652-3CC803634D8B}"/>
    <hyperlink ref="Q1460" r:id="rId5114" xr:uid="{87FE83EB-9EFA-BA47-8A34-19B4FC7A6394}"/>
    <hyperlink ref="Q1457" r:id="rId5115" xr:uid="{EA7AC576-B6EA-3D47-9788-1E8BBCFE3194}"/>
    <hyperlink ref="Q1458" r:id="rId5116" xr:uid="{6D08D1D6-BB9F-454D-8ED6-194BA6197F32}"/>
    <hyperlink ref="Q1454" r:id="rId5117" xr:uid="{CF44D16B-FC87-D14D-BBB7-9ACE58895F63}"/>
    <hyperlink ref="Q1455" r:id="rId5118" xr:uid="{9F24F3E7-EF13-DC4F-B0E7-5EA7863AD156}"/>
    <hyperlink ref="Q1456" r:id="rId5119" xr:uid="{DD34A79D-7D50-1843-AD45-4E7F79E10D72}"/>
    <hyperlink ref="Q1453" r:id="rId5120" xr:uid="{AA36A994-5FAC-7245-8BA5-A3E0780431BA}"/>
    <hyperlink ref="Q1450" r:id="rId5121" xr:uid="{24B4BD64-706A-F146-939C-C0B939679B9C}"/>
    <hyperlink ref="E1451" r:id="rId5122" xr:uid="{61962759-C62C-CD41-A91D-71B72BB09B8B}"/>
    <hyperlink ref="Q1451" r:id="rId5123" xr:uid="{647BAE00-E3F5-AA4B-A04D-30393D472AB9}"/>
    <hyperlink ref="Q1452" r:id="rId5124" xr:uid="{7F9943CF-B659-3140-903C-67805C8304E2}"/>
    <hyperlink ref="E1449" r:id="rId5125" xr:uid="{0EDE1C34-20F0-024E-A681-3B127DF3F8BA}"/>
    <hyperlink ref="Q1449" r:id="rId5126" xr:uid="{BB24A929-F8E4-9441-A236-8CBF155BC622}"/>
    <hyperlink ref="E1448" r:id="rId5127" xr:uid="{577538A9-D243-B746-90C1-8421DD3E1E68}"/>
    <hyperlink ref="Q1448" r:id="rId5128" xr:uid="{9455DEB3-AA35-C746-ABFF-00975FB9A816}"/>
    <hyperlink ref="Q1445" r:id="rId5129" xr:uid="{83A67451-5279-7645-955A-4E9259C799D6}"/>
    <hyperlink ref="E1446" r:id="rId5130" xr:uid="{29C17550-E4C1-F14A-A558-90E98081D289}"/>
    <hyperlink ref="Q1446" r:id="rId5131" xr:uid="{D916C24A-567D-DA45-BE48-A81847EB9E28}"/>
    <hyperlink ref="Q1447" r:id="rId5132" xr:uid="{B6B6F82F-AE86-E342-875A-FFFF36EDF829}"/>
    <hyperlink ref="E1444" r:id="rId5133" xr:uid="{61FC5F5A-0B7E-604A-99B5-06BBA268E889}"/>
    <hyperlink ref="Q1444" r:id="rId5134" xr:uid="{7A74A2F7-34BA-F34F-953A-3818DD0130B6}"/>
    <hyperlink ref="E1443" r:id="rId5135" xr:uid="{37BDDA95-8943-2641-B02E-56AE081A300C}"/>
    <hyperlink ref="Q1443" r:id="rId5136" xr:uid="{F413CBFD-8A47-0E4E-A710-576671EC5905}"/>
    <hyperlink ref="E1440" r:id="rId5137" xr:uid="{41997F5E-61F1-3A45-865D-339967C471AD}"/>
    <hyperlink ref="Q1440" r:id="rId5138" xr:uid="{893CAAC8-490C-B145-ADD9-323EB739B3BE}"/>
    <hyperlink ref="E1442" r:id="rId5139" xr:uid="{6C9D9BD4-17B1-8D4D-81CC-0DF551F831C0}"/>
    <hyperlink ref="Q1442" r:id="rId5140" xr:uid="{AAD560B9-4D54-864D-B38E-913A948B2622}"/>
    <hyperlink ref="E1441" r:id="rId5141" xr:uid="{5ABE7F1A-BABE-3144-B7C7-8463624BA9A4}"/>
    <hyperlink ref="Q1441" r:id="rId5142" xr:uid="{D909D53B-D8EC-AA43-A7DE-FF2276E9DEBD}"/>
    <hyperlink ref="E1437" r:id="rId5143" xr:uid="{0F11530B-775C-9745-AF6B-8101CBBFE2F0}"/>
    <hyperlink ref="Q1437" r:id="rId5144" xr:uid="{D79D06EF-9618-3849-9CDD-559A27F6C8BE}"/>
    <hyperlink ref="Q1438" r:id="rId5145" xr:uid="{38BF3A18-0D41-2E4A-AA3F-D4A89F21AB63}"/>
    <hyperlink ref="E1439" r:id="rId5146" xr:uid="{28AEE037-724B-5C48-B20A-7A784A412F81}"/>
    <hyperlink ref="Q1439" r:id="rId5147" xr:uid="{352E2DCE-A342-1B43-A830-828456E8B266}"/>
    <hyperlink ref="Q1436" r:id="rId5148" xr:uid="{553EFC97-5A15-2B4F-B6E9-CDD91785F479}"/>
    <hyperlink ref="E1435" r:id="rId5149" xr:uid="{9AF4F1D2-E55A-5A42-83CE-8962FDEBC1A7}"/>
    <hyperlink ref="Q1435" r:id="rId5150" xr:uid="{41AB43A7-AD20-014C-88C0-612C988B192A}"/>
    <hyperlink ref="Q1433" r:id="rId5151" xr:uid="{EA5A5827-15C6-1F41-A26F-97455E7529F4}"/>
    <hyperlink ref="Q1434" r:id="rId5152" xr:uid="{CDD101BE-A429-3F41-B6C0-CB67818618B7}"/>
    <hyperlink ref="Q1431" r:id="rId5153" xr:uid="{5A6FA40A-6F8C-024F-BF4B-71D1BEB01C08}"/>
    <hyperlink ref="Q1430" r:id="rId5154" xr:uid="{2EB84C0B-ED20-6B46-ACF3-0630758076B7}"/>
    <hyperlink ref="E1429" r:id="rId5155" xr:uid="{B3991537-B476-2541-BA97-A1CB116A4305}"/>
    <hyperlink ref="Q1429" r:id="rId5156" xr:uid="{799394BD-B9CA-F147-8AA6-EEA0CC9DA0B4}"/>
    <hyperlink ref="Q1427" r:id="rId5157" xr:uid="{46A5A06D-0FBA-FA44-8008-2B4969B35568}"/>
    <hyperlink ref="Q1428" r:id="rId5158" xr:uid="{D271BB6C-28BD-6E4A-89BA-51C450F4BB7C}"/>
    <hyperlink ref="Q1426" r:id="rId5159" xr:uid="{159E711B-3B76-D144-9757-02DFCC9CCB76}"/>
    <hyperlink ref="E1424" r:id="rId5160" xr:uid="{13BB3760-7D46-F345-BC38-8BF2EB0F770D}"/>
    <hyperlink ref="Q1424" r:id="rId5161" xr:uid="{22090755-E3AA-6F46-9670-71C7942C73D7}"/>
    <hyperlink ref="Q1422" r:id="rId5162" xr:uid="{C5027A6A-8CC9-9B4D-B090-1CF82929479A}"/>
    <hyperlink ref="Q1423" r:id="rId5163" xr:uid="{3D3A6BC1-CCE2-2141-B4E2-CDEC32194BD2}"/>
    <hyperlink ref="Q1418" r:id="rId5164" xr:uid="{EC1B39F6-5A7B-344D-9B25-9692D13D0BE2}"/>
    <hyperlink ref="E1419" r:id="rId5165" xr:uid="{9B41AC5A-E98D-B84A-AAC9-02CDCBCA4A76}"/>
    <hyperlink ref="Q1419" r:id="rId5166" xr:uid="{01F1CD45-EC7C-5C49-9026-8EB9314F3C4C}"/>
    <hyperlink ref="E1417" r:id="rId5167" xr:uid="{6F2B6A76-B50B-6845-B95E-9B64931B0AEB}"/>
    <hyperlink ref="Q1417" r:id="rId5168" xr:uid="{5DB774E6-46C8-5A41-BFC7-1A59D269CCC1}"/>
    <hyperlink ref="Q1415" r:id="rId5169" xr:uid="{6A46693A-9CB2-CE40-A54C-86E67DB0FEFE}"/>
    <hyperlink ref="Q1413" r:id="rId5170" xr:uid="{8EFCAB42-4720-B94B-9794-5C8A1C1AFB92}"/>
    <hyperlink ref="E1414" r:id="rId5171" xr:uid="{FDB8C380-A474-6643-9330-2349132FB4DC}"/>
    <hyperlink ref="Q1414" r:id="rId5172" xr:uid="{9095EB53-C6DC-2A47-80B7-E771418B493E}"/>
    <hyperlink ref="E1416" r:id="rId5173" xr:uid="{5AF5BE1F-E4BB-7C47-AED0-12ECB1572B2A}"/>
    <hyperlink ref="Q1416" r:id="rId5174" xr:uid="{EEEFE0D8-20E6-6247-AD68-ADFB54E5EB13}"/>
    <hyperlink ref="Q1409" r:id="rId5175" xr:uid="{5E487DC3-B31D-3A4D-B2B1-8B0DB58D9C99}"/>
    <hyperlink ref="Q1410" r:id="rId5176" xr:uid="{7DF262F8-5A12-C449-AF12-141643ECB60D}"/>
    <hyperlink ref="Q1412" r:id="rId5177" xr:uid="{F3E8771B-5514-9141-99CC-F5FCA692630A}"/>
    <hyperlink ref="Q1411" r:id="rId5178" xr:uid="{E4B7B6E6-64BE-494C-9922-E276ED072882}"/>
    <hyperlink ref="E1408" r:id="rId5179" xr:uid="{3937A02D-BF61-9446-900C-0EB1DDC5D12C}"/>
    <hyperlink ref="Q1408" r:id="rId5180" xr:uid="{724D6F63-F974-F641-812A-2A01AC9A5DC2}"/>
    <hyperlink ref="E1405" r:id="rId5181" xr:uid="{4DDB3CD8-59C5-F040-9C3C-7433E74E2910}"/>
    <hyperlink ref="Q1405" r:id="rId5182" xr:uid="{3FCDE280-7172-B945-A48C-2FEF5BD3256D}"/>
    <hyperlink ref="Q1407" r:id="rId5183" xr:uid="{3E6C8A2C-455B-AB46-AF7C-73A54093407B}"/>
    <hyperlink ref="Q1406" r:id="rId5184" xr:uid="{0C5EC058-ED40-0742-B0BA-50E6F2F6C068}"/>
    <hyperlink ref="E1402" r:id="rId5185" xr:uid="{C43D2A6F-AE69-984C-AA8B-F0E564CF4468}"/>
    <hyperlink ref="Q1402" r:id="rId5186" xr:uid="{35254B41-3346-CF46-823E-975BFA41C698}"/>
    <hyperlink ref="Q1404" r:id="rId5187" xr:uid="{1BFDD2CE-25D0-9D40-AC74-93708D5BA760}"/>
    <hyperlink ref="Q1401" r:id="rId5188" xr:uid="{6C5FD150-E076-8246-BD4C-0650D03CBB0A}"/>
    <hyperlink ref="E1403" r:id="rId5189" xr:uid="{79724269-3E9A-4D43-8A59-91AACE914C3D}"/>
    <hyperlink ref="Q1403" r:id="rId5190" xr:uid="{84C7BB94-4A09-1F44-873E-054E58B59031}"/>
    <hyperlink ref="Q1398" r:id="rId5191" xr:uid="{7ED2D675-126F-AF40-BD63-0D227C1FE54F}"/>
    <hyperlink ref="E1396" r:id="rId5192" xr:uid="{BF862B40-0296-8E46-A7FD-4B121D2A5A85}"/>
    <hyperlink ref="Q1396" r:id="rId5193" xr:uid="{A7AAD3CE-1266-6640-9F65-F7E70EE9246B}"/>
    <hyperlink ref="E1400" r:id="rId5194" xr:uid="{A02E2E29-EEFD-D54E-8F4F-FD98DE58689B}"/>
    <hyperlink ref="Q1400" r:id="rId5195" xr:uid="{34AF453F-F607-CB45-8594-BD6475E48B34}"/>
    <hyperlink ref="Q1397" r:id="rId5196" xr:uid="{C65E5214-2CC4-6740-9F00-326CD911DBB7}"/>
    <hyperlink ref="Q1399" r:id="rId5197" xr:uid="{48F2D774-64AD-9E4A-85A6-E6B4A3463816}"/>
    <hyperlink ref="E1395" r:id="rId5198" xr:uid="{4BECB50E-09D8-3044-9747-FE349BC1E73C}"/>
    <hyperlink ref="Q1395" r:id="rId5199" xr:uid="{19A218B3-7DA3-8545-AAF3-EC3649132684}"/>
    <hyperlink ref="E1394" r:id="rId5200" xr:uid="{D99F3873-903B-6348-B126-C5F7DDE38944}"/>
    <hyperlink ref="Q1394" r:id="rId5201" xr:uid="{72060108-B292-994B-8C75-E615082DC654}"/>
    <hyperlink ref="E1393" r:id="rId5202" xr:uid="{76D1E73D-48CC-FB41-A7FA-3647E35A117B}"/>
    <hyperlink ref="Q1393" r:id="rId5203" xr:uid="{E1B6D265-2CA4-4D4C-84EF-D7BC7568FD02}"/>
    <hyperlink ref="Q1392" r:id="rId5204" xr:uid="{BA0D9A19-B74A-D548-B9A7-8265D72FBB6A}"/>
    <hyperlink ref="Q1390" r:id="rId5205" xr:uid="{AF2732BE-A5B5-764E-A9A7-DB3E1EAEAB73}"/>
    <hyperlink ref="Q1388" r:id="rId5206" xr:uid="{56A741B8-A685-1D4B-A0CA-0BCB924CC9C4}"/>
    <hyperlink ref="Q1391" r:id="rId5207" xr:uid="{89505206-11D5-124D-B597-1B761B413CEB}"/>
    <hyperlink ref="E1389" r:id="rId5208" xr:uid="{086D594A-0459-8348-8406-AF4118F92A93}"/>
    <hyperlink ref="Q1389" r:id="rId5209" xr:uid="{23063268-1615-0048-BD6A-B3284B94BBAD}"/>
    <hyperlink ref="Q1386" r:id="rId5210" xr:uid="{A3593A14-26FA-5A41-8096-3AFC339F833E}"/>
    <hyperlink ref="Q1387" r:id="rId5211" xr:uid="{01E8C2E2-8D78-7E41-84F9-D7AF8D35DAA6}"/>
    <hyperlink ref="E1385" r:id="rId5212" xr:uid="{4126C1F3-DE1C-3C4B-BA3C-E56C702262EC}"/>
    <hyperlink ref="Q1385" r:id="rId5213" xr:uid="{6A7168FA-1386-A340-BB30-CED59164C478}"/>
    <hyperlink ref="E1382" r:id="rId5214" xr:uid="{9AA7B551-5FC0-1C49-8D3F-3D33945DF9BC}"/>
    <hyperlink ref="Q1382" r:id="rId5215" location="incart_river_index" display="https://www.nj.com/essex/index.ssf/2018/09/police_shoot_kill_man_who_held_gun_to_head_of_bus.html - incart_river_index" xr:uid="{C8BC8BC5-7094-8C47-B08F-C56B5222BAEA}"/>
    <hyperlink ref="E1384" r:id="rId5216" xr:uid="{7B7CEE2F-6305-8047-806E-715AB3DA48BE}"/>
    <hyperlink ref="Q1384" r:id="rId5217" xr:uid="{B8EB411C-118D-9841-AB24-AD394EF29277}"/>
    <hyperlink ref="Q1383" r:id="rId5218" xr:uid="{51E92B27-B8C9-4745-83B4-C98C27AE3178}"/>
    <hyperlink ref="E1381" r:id="rId5219" xr:uid="{D8D292B5-A099-5948-B227-215C75265D8F}"/>
    <hyperlink ref="Q1381" r:id="rId5220" xr:uid="{FE8DE5A2-636E-064B-9BF1-86BBB44DF547}"/>
    <hyperlink ref="E1379" r:id="rId5221" xr:uid="{CA35A6C4-A421-CA48-8EFB-4133B93A5C3E}"/>
    <hyperlink ref="Q1379" r:id="rId5222" xr:uid="{78A50608-4BAD-3442-81C5-C8733BEEBADC}"/>
    <hyperlink ref="E1376" r:id="rId5223" xr:uid="{E6D6B539-143B-6445-8E2B-DFC31D91608A}"/>
    <hyperlink ref="Q1376" r:id="rId5224" xr:uid="{80B6841C-FE33-A743-BA21-D3508100510D}"/>
    <hyperlink ref="Q1375" r:id="rId5225" xr:uid="{A347408F-E241-CD4E-B3B6-AA1ABFB9B9E0}"/>
    <hyperlink ref="Q1377" r:id="rId5226" xr:uid="{326AE18E-35E7-5D40-BC9D-4A71817D1C12}"/>
    <hyperlink ref="Q1380" r:id="rId5227" xr:uid="{C8B21148-90FF-2547-82FE-A38D144C46DB}"/>
    <hyperlink ref="E1378" r:id="rId5228" xr:uid="{F1BF3139-3E32-8946-845D-88E917F80E80}"/>
    <hyperlink ref="Q1378" r:id="rId5229" xr:uid="{BDBC05B8-296C-E447-9025-FDD3340C7C3B}"/>
    <hyperlink ref="Q1374" r:id="rId5230" xr:uid="{6E79439B-0E0E-3A41-AE43-CE130405A665}"/>
    <hyperlink ref="Q1373" r:id="rId5231" xr:uid="{721854CB-4772-4147-9656-D8B19CCBF85A}"/>
    <hyperlink ref="E1370" r:id="rId5232" xr:uid="{98FCB8C5-C1F9-B34F-830C-F4D62EA856A4}"/>
    <hyperlink ref="Q1370" r:id="rId5233" xr:uid="{81313E1E-A47A-C04C-919A-2974A08041AB}"/>
    <hyperlink ref="Q1372" r:id="rId5234" xr:uid="{4BCC0B83-599C-B44D-A2E6-67755A6C4ADD}"/>
    <hyperlink ref="E1371" r:id="rId5235" xr:uid="{A66EA4C2-DC49-5041-B6F1-0E8FC29C555F}"/>
    <hyperlink ref="Q1371" r:id="rId5236" xr:uid="{227CB6E0-73F9-A54F-9DD2-4235C294314E}"/>
    <hyperlink ref="E1368" r:id="rId5237" xr:uid="{3859BB8B-EE2E-E343-A8F7-D40DC6F0DC54}"/>
    <hyperlink ref="Q1368" r:id="rId5238" xr:uid="{18A072F3-C071-9344-B819-79BB479D245A}"/>
    <hyperlink ref="E1366" r:id="rId5239" xr:uid="{8BBB738B-0225-9844-96A2-E9B5CEB75792}"/>
    <hyperlink ref="Q1366" r:id="rId5240" xr:uid="{6897C40B-F421-0041-A1F2-D8D92C86F5CD}"/>
    <hyperlink ref="E1365" r:id="rId5241" xr:uid="{0A16CF16-4A93-D543-A2D6-8AAAD3DFCCA3}"/>
    <hyperlink ref="Q1365" r:id="rId5242" xr:uid="{58E45B80-E4AA-E641-BE64-F91BC36B61B2}"/>
    <hyperlink ref="Q1367" r:id="rId5243" xr:uid="{46FB8869-2B0E-9646-A7BE-BF1A86682E03}"/>
    <hyperlink ref="E1363" r:id="rId5244" xr:uid="{523B0240-3826-4840-8E1D-D0B1474BC516}"/>
    <hyperlink ref="Q1363" r:id="rId5245" xr:uid="{09E1CE8C-A418-4044-BC78-1B77E0B49F88}"/>
    <hyperlink ref="E1364" r:id="rId5246" xr:uid="{6EFD4DEF-2075-BD4F-9D00-FE014F2D4BF9}"/>
    <hyperlink ref="Q1364" r:id="rId5247" xr:uid="{1C33A84F-2675-C045-AF82-60681DA45586}"/>
    <hyperlink ref="Q1362" r:id="rId5248" xr:uid="{113F0A92-A22C-7647-B1A9-45CE0DBBA1FB}"/>
    <hyperlink ref="Q1360" r:id="rId5249" xr:uid="{AA03EB84-9A82-7F4F-B451-7374CFF76F7B}"/>
    <hyperlink ref="Q1361" r:id="rId5250" xr:uid="{23652979-7BB3-C144-A1BF-AC340ED54548}"/>
    <hyperlink ref="E1359" r:id="rId5251" xr:uid="{0A0C9233-BFE4-D34E-A4D3-BE643AA73D72}"/>
    <hyperlink ref="Q1359" r:id="rId5252" xr:uid="{9D4B885A-D407-5F4B-80AC-1B20BC609E41}"/>
    <hyperlink ref="E1357" r:id="rId5253" xr:uid="{2661C89D-C129-924D-828F-1F003F04644A}"/>
    <hyperlink ref="Q1357" r:id="rId5254" xr:uid="{FB3B2027-2423-4648-B5C6-8F5D03CA81FE}"/>
    <hyperlink ref="Q1356" r:id="rId5255" xr:uid="{8C238CC9-67D7-6641-91FB-3F9DC93E02C6}"/>
    <hyperlink ref="Q1353" r:id="rId5256" xr:uid="{E8609FB6-AA19-824D-BDF8-3E706D67C0A5}"/>
    <hyperlink ref="Q1355" r:id="rId5257" xr:uid="{61884D4B-168A-4141-872F-461A04D8AAB4}"/>
    <hyperlink ref="E1354" r:id="rId5258" xr:uid="{8F2ED18B-0EC7-1F47-B6CB-DC3709ACDA0C}"/>
    <hyperlink ref="Q1354" r:id="rId5259" xr:uid="{93344C50-7847-E341-8FC7-5398D8B4D559}"/>
    <hyperlink ref="Q1351" r:id="rId5260" xr:uid="{D1FDB920-1CC6-6944-A3C3-58126438B418}"/>
    <hyperlink ref="Q1349" r:id="rId5261" xr:uid="{B373C4C4-09F2-F54C-B420-EA425C1F0EA4}"/>
    <hyperlink ref="Q1350" r:id="rId5262" xr:uid="{9616C228-5BC1-B44E-B4FF-6CCA97ED8241}"/>
    <hyperlink ref="E1352" r:id="rId5263" xr:uid="{3BFAA6DC-A337-2745-988A-D633267F9FA3}"/>
    <hyperlink ref="Q1352" r:id="rId5264" xr:uid="{D066C215-DA67-5942-9B2F-4E87D595312F}"/>
    <hyperlink ref="Q1346" r:id="rId5265" xr:uid="{9566F9FC-7411-FC4D-AA50-FC5BD305879C}"/>
    <hyperlink ref="Q1341" r:id="rId5266" xr:uid="{20E5F04A-067F-AC43-9CBA-A2DC2E24040B}"/>
    <hyperlink ref="E1343" r:id="rId5267" xr:uid="{1F986041-8284-114E-B8DE-12ACA6CE22E9}"/>
    <hyperlink ref="Q1343" r:id="rId5268" xr:uid="{51C059D5-8A8C-0A43-AE29-BF799DD0ABE8}"/>
    <hyperlink ref="Q1342" r:id="rId5269" xr:uid="{C94344C3-F83C-CD43-90CC-2FF9FCE16D80}"/>
    <hyperlink ref="E1347" r:id="rId5270" xr:uid="{3CFFFC07-C0F8-144C-8E89-4067992A6F0C}"/>
    <hyperlink ref="Q1347" r:id="rId5271" xr:uid="{4BD0575B-BAF3-6840-A0AA-A88885953103}"/>
    <hyperlink ref="Q1345" r:id="rId5272" xr:uid="{94676347-7B19-A047-9E51-55079C0B660C}"/>
    <hyperlink ref="Q1339" r:id="rId5273" xr:uid="{4DE9E5A5-41FE-4345-92C4-F8E2FF0F0224}"/>
    <hyperlink ref="Q1340" r:id="rId5274" xr:uid="{B4C9EED4-9C5F-0F41-8FDF-E6E8F9FB506E}"/>
    <hyperlink ref="Q1335" r:id="rId5275" xr:uid="{4E6F1613-1F1A-1D46-BBFF-AEF4FA5B460A}"/>
    <hyperlink ref="Q1336" r:id="rId5276" xr:uid="{329EE90C-2C60-2E4D-8A72-74D41E93B4D3}"/>
    <hyperlink ref="Q1337" r:id="rId5277" xr:uid="{B3AAB5D3-1C64-DE46-A171-51A246AD5633}"/>
    <hyperlink ref="E1333" r:id="rId5278" xr:uid="{BE2FD520-2AF1-9642-A4D9-04902878A3A0}"/>
    <hyperlink ref="Q1333" r:id="rId5279" xr:uid="{A6C6657A-FEB0-5149-A800-B8E560E46F6A}"/>
    <hyperlink ref="Q1334" r:id="rId5280" xr:uid="{75CA51A4-07E6-A240-9CFC-DCC8C79C2B03}"/>
    <hyperlink ref="Q1332" r:id="rId5281" xr:uid="{C581228E-CB2D-C743-8263-33951211C243}"/>
    <hyperlink ref="E1327" r:id="rId5282" xr:uid="{C15D5A2E-6D73-A44D-A3AB-39AAFFAEA969}"/>
    <hyperlink ref="Q1327" r:id="rId5283" xr:uid="{73447549-BF35-AA40-BDDF-FA1B8C51578A}"/>
    <hyperlink ref="Q1330" r:id="rId5284" xr:uid="{B1AEAC78-A204-5747-94D3-78C902E556AE}"/>
    <hyperlink ref="Q1329" r:id="rId5285" xr:uid="{99A142F6-FBC3-EF49-B4C1-A0D49AF80DAA}"/>
    <hyperlink ref="Q1328" r:id="rId5286" xr:uid="{A2B6FE5C-8268-5B45-B6CE-00735AABBFA9}"/>
    <hyperlink ref="Q1331" r:id="rId5287" xr:uid="{3A28EE1E-8014-5546-82AE-BD5C3A16D622}"/>
    <hyperlink ref="E1326" r:id="rId5288" xr:uid="{7FBC4A8D-E893-0943-BC21-602812379910}"/>
    <hyperlink ref="Q1326" r:id="rId5289" xr:uid="{AFE3E8AD-4F4B-D94B-86C7-39D131145850}"/>
    <hyperlink ref="Q1325" r:id="rId5290" xr:uid="{A600BC4B-1A51-724A-92DD-4B1E5C95A97F}"/>
    <hyperlink ref="Q1322" r:id="rId5291" xr:uid="{93CE3F88-DC0C-BE42-BFBF-40863741DD53}"/>
    <hyperlink ref="E1320" r:id="rId5292" xr:uid="{52EB47B4-FEB8-B44A-A602-10738D2C231D}"/>
    <hyperlink ref="Q1320" r:id="rId5293" xr:uid="{2978212B-F1BC-DF4B-91D2-214E1EC05D03}"/>
    <hyperlink ref="Q1321" r:id="rId5294" xr:uid="{64F53EC9-49C5-874F-85AA-8B7C943E767B}"/>
    <hyperlink ref="E1323" r:id="rId5295" xr:uid="{FC3DBACD-BD1C-814A-8448-76F86BF39F09}"/>
    <hyperlink ref="Q1323" r:id="rId5296" xr:uid="{620EBD84-49CD-7A42-A2C1-7C1882B9BFD7}"/>
    <hyperlink ref="E1319" r:id="rId5297" xr:uid="{7B3532DA-48DE-7F4B-B1BB-330E4582AD1A}"/>
    <hyperlink ref="Q1319" r:id="rId5298" xr:uid="{F996CCCD-B1B0-8644-8E5B-99E606E5BF24}"/>
    <hyperlink ref="Q1315" r:id="rId5299" xr:uid="{EDB76DD7-DE67-B042-8A23-21E703D17999}"/>
    <hyperlink ref="E1318" r:id="rId5300" xr:uid="{B8C7F6FF-9350-2547-B0BB-935BED4B3ABD}"/>
    <hyperlink ref="Q1318" r:id="rId5301" xr:uid="{A67A5EF4-A6E3-DF43-B447-8798E3BCC425}"/>
    <hyperlink ref="Q1316" r:id="rId5302" xr:uid="{9244BC91-46AD-464D-A7DF-F1DF92F0DD4C}"/>
    <hyperlink ref="Q1314" r:id="rId5303" xr:uid="{CE6DAD70-06C3-EF46-87F2-204606B20DDC}"/>
    <hyperlink ref="Q1317" r:id="rId5304" xr:uid="{E0599F29-B9E9-B941-AC42-847B9168B20B}"/>
    <hyperlink ref="Q1313" r:id="rId5305" xr:uid="{C4EA2128-E5F5-7B46-8EDF-A6E7C9CBC330}"/>
    <hyperlink ref="E1311" r:id="rId5306" xr:uid="{F0868711-83F8-4849-AE51-50A814A9AC33}"/>
    <hyperlink ref="Q1311" r:id="rId5307" xr:uid="{30B75859-76D7-9B48-9093-95B7D2824852}"/>
    <hyperlink ref="E1312" r:id="rId5308" xr:uid="{634FE4E0-24F2-4449-82CB-2B0E3FFFA2FC}"/>
    <hyperlink ref="Q1312" r:id="rId5309" xr:uid="{0E4C6275-821B-944A-99E3-91E03A383B2E}"/>
    <hyperlink ref="Q1309" r:id="rId5310" xr:uid="{383944B0-A6FD-9B40-A503-F3E5FEA170E8}"/>
    <hyperlink ref="E1310" r:id="rId5311" xr:uid="{B5EF8CFA-6F46-AA4C-9602-DADD893DFD66}"/>
    <hyperlink ref="Q1310" r:id="rId5312" xr:uid="{EEB0EF5C-5119-954D-8D30-FD30705BCE51}"/>
    <hyperlink ref="E1308" r:id="rId5313" xr:uid="{A3E9497B-9A8B-3B42-8B03-D306BD88A855}"/>
    <hyperlink ref="Q1308" r:id="rId5314" xr:uid="{C31C3D5B-5337-FB48-959F-0EE53A07C695}"/>
    <hyperlink ref="E1306" r:id="rId5315" xr:uid="{DB2C177A-8CC8-6643-9E6E-75D48F08FD6E}"/>
    <hyperlink ref="Q1306" r:id="rId5316" xr:uid="{E4DA26F7-F4E5-A649-85DE-486EA05FDC16}"/>
    <hyperlink ref="E1303" r:id="rId5317" xr:uid="{DCA1020E-A42E-2941-8631-14D15F569301}"/>
    <hyperlink ref="Q1303" r:id="rId5318" xr:uid="{D39C33BC-7070-7A4D-89BA-5546A75959F8}"/>
    <hyperlink ref="E1305" r:id="rId5319" xr:uid="{0CA5CB1B-EF9E-FF4D-9525-C19C3B7F8D4A}"/>
    <hyperlink ref="Q1305" r:id="rId5320" xr:uid="{E8B28B93-2B7E-BF4B-8BCD-EE30D1A7AB5B}"/>
    <hyperlink ref="Q1302" r:id="rId5321" xr:uid="{357702D3-F14F-A84F-9F98-611E2E3EC573}"/>
    <hyperlink ref="E1304" r:id="rId5322" xr:uid="{ED04EB42-9009-8442-BA20-D0EA179D0797}"/>
    <hyperlink ref="Q1304" r:id="rId5323" xr:uid="{80AEC725-FAAE-F541-9964-EDF81211856F}"/>
    <hyperlink ref="Q1301" r:id="rId5324" xr:uid="{E6FA6E16-5E0A-FB4D-B2E4-A36C22AB8DBC}"/>
    <hyperlink ref="E1300" r:id="rId5325" xr:uid="{B8C69E5B-57D5-0041-B8BC-4804F703677E}"/>
    <hyperlink ref="Q1300" r:id="rId5326" xr:uid="{B53432F4-8048-C444-9817-27F19C3CFFA2}"/>
    <hyperlink ref="E1299" r:id="rId5327" xr:uid="{F65A70CF-5E13-3747-8D3C-3BAC1D36ADC3}"/>
    <hyperlink ref="Q1299" r:id="rId5328" xr:uid="{65BB0AF3-1DEA-9D4E-8A15-C71C9C8AE580}"/>
    <hyperlink ref="Q1298" r:id="rId5329" xr:uid="{042BCB47-5335-1743-A5BA-F02F2AAAA20E}"/>
    <hyperlink ref="E1297" r:id="rId5330" xr:uid="{21981FF9-F970-3447-B6CC-B117F787EF2F}"/>
    <hyperlink ref="Q1297" r:id="rId5331" xr:uid="{7F1CC389-3B61-9F4B-9B93-270A43EA8900}"/>
    <hyperlink ref="E1296" r:id="rId5332" xr:uid="{D1198BE8-C495-0842-B28C-FB1A0D155D3A}"/>
    <hyperlink ref="Q1296" r:id="rId5333" xr:uid="{D6A40943-E874-0B43-8B4B-42920DCD1693}"/>
    <hyperlink ref="Q1294" r:id="rId5334" xr:uid="{7E8A3498-7ABC-E845-B570-BD21AD4904E5}"/>
    <hyperlink ref="E1295" r:id="rId5335" xr:uid="{A51312AD-C4FD-354F-8434-9B5C072DF9FB}"/>
    <hyperlink ref="Q1295" r:id="rId5336" xr:uid="{1305F2E3-3D93-594B-B9CF-E8431A9E54D5}"/>
    <hyperlink ref="E1290" r:id="rId5337" xr:uid="{70383C10-DBAC-B24A-8CE7-44B7779AC307}"/>
    <hyperlink ref="Q1290" r:id="rId5338" xr:uid="{EB488FF2-7B6E-F441-9D5A-F872799126DA}"/>
    <hyperlink ref="E1289" r:id="rId5339" xr:uid="{5465F732-DF07-F24C-A34A-E02F1A4F1380}"/>
    <hyperlink ref="Q1289" r:id="rId5340" xr:uid="{2B26ABAF-148B-9040-AA79-680571900ED5}"/>
    <hyperlink ref="E1292" r:id="rId5341" xr:uid="{0FDF0359-4546-4F48-B0C5-28079B590E0E}"/>
    <hyperlink ref="Q1292" r:id="rId5342" xr:uid="{F9FF6ED0-5D10-FB46-B196-FE5E8D7B85CD}"/>
    <hyperlink ref="Q1291" r:id="rId5343" xr:uid="{89618134-A762-A84D-B486-BFC3116C861B}"/>
    <hyperlink ref="Q1288" r:id="rId5344" xr:uid="{F9E76176-FC92-704C-BAEF-20957048D239}"/>
    <hyperlink ref="E1293" r:id="rId5345" xr:uid="{D0AFD96F-0EF1-D746-8344-FF15E09FAFE4}"/>
    <hyperlink ref="Q1293" r:id="rId5346" xr:uid="{A18FDD9B-F924-034B-941D-A02A4B272445}"/>
    <hyperlink ref="E1286" r:id="rId5347" xr:uid="{1981C24C-19EA-8C4F-9454-09C749400B85}"/>
    <hyperlink ref="Q1286" r:id="rId5348" xr:uid="{AEA25651-35AF-564A-B2F7-ED9ED348D3BA}"/>
    <hyperlink ref="E1287" r:id="rId5349" xr:uid="{E79B440B-47B0-A843-BD85-B196CD1EF213}"/>
    <hyperlink ref="Q1287" r:id="rId5350" xr:uid="{E485CBB0-E4E0-A740-8B24-D9BDB19F4507}"/>
    <hyperlink ref="Q1285" r:id="rId5351" xr:uid="{948B717C-3AFD-CE44-BCF9-7A96ACF31D25}"/>
    <hyperlink ref="E1284" r:id="rId5352" xr:uid="{FD3FFE40-73F8-6E41-9DEB-5240963881D3}"/>
    <hyperlink ref="Q1284" r:id="rId5353" xr:uid="{D389FAF7-A16B-0F42-B5AD-B2F221AA311D}"/>
    <hyperlink ref="E1283" r:id="rId5354" xr:uid="{0947223A-4C8D-224E-BF89-308D6E9A148E}"/>
    <hyperlink ref="Q1283" r:id="rId5355" xr:uid="{DB4E766C-2F35-6B4F-AE4B-09D2BD2E8A70}"/>
    <hyperlink ref="E1282" r:id="rId5356" xr:uid="{0A5589E0-4FC1-9948-A0DB-D7A4DB810764}"/>
    <hyperlink ref="Q1282" r:id="rId5357" xr:uid="{7CA1C115-FBFF-4C4B-8783-92F887B45023}"/>
    <hyperlink ref="E1279" r:id="rId5358" xr:uid="{FF47FB32-434E-9A4C-BBF3-FAEF1370A9B8}"/>
    <hyperlink ref="Q1279" r:id="rId5359" xr:uid="{82B370C0-4889-DF4E-8EDC-6CF8977ECFA1}"/>
    <hyperlink ref="Q1280" r:id="rId5360" xr:uid="{4B089A7B-0424-E043-9800-357ECAF5F2D3}"/>
    <hyperlink ref="Q1281" r:id="rId5361" xr:uid="{61796F70-002E-7140-837D-1917763EFE80}"/>
    <hyperlink ref="Q1277" r:id="rId5362" xr:uid="{565C9D0E-64EA-8F4C-A228-28449CF6107A}"/>
    <hyperlink ref="Q1276" r:id="rId5363" xr:uid="{E7EEE933-36C1-BB46-AA2E-31B1A39A1268}"/>
    <hyperlink ref="E1275" r:id="rId5364" xr:uid="{84738648-42DC-4D46-9E11-6A26419255F0}"/>
    <hyperlink ref="Q1275" r:id="rId5365" xr:uid="{B33765FD-F8CE-D54C-BF38-A8E518C9FB5B}"/>
    <hyperlink ref="E1278" r:id="rId5366" xr:uid="{D29B5D07-D04E-1641-88D9-6F64EE7533DF}"/>
    <hyperlink ref="Q1278" r:id="rId5367" xr:uid="{771F3072-5E5E-AF49-8ACD-5D8D2423DCE9}"/>
    <hyperlink ref="E1272" r:id="rId5368" xr:uid="{0E8FC937-BC3B-8247-B28B-F144DA4F990C}"/>
    <hyperlink ref="Q1272" r:id="rId5369" xr:uid="{8987DE2B-667F-6849-BE14-15FB89BEAAFC}"/>
    <hyperlink ref="Q1273" r:id="rId5370" xr:uid="{1A895D25-C3C2-2044-B814-2A66B4AF337C}"/>
    <hyperlink ref="E1271" r:id="rId5371" xr:uid="{8D6995D3-9D68-E24E-B3FD-E72397615FFB}"/>
    <hyperlink ref="Q1271" r:id="rId5372" xr:uid="{576675EC-E474-5B4A-97EE-2CC98E3FBD53}"/>
    <hyperlink ref="E1274" r:id="rId5373" xr:uid="{7F87491B-FD70-1D48-8838-ABC05B67D47A}"/>
    <hyperlink ref="Q1274" r:id="rId5374" xr:uid="{88B86552-08E2-7A4E-A3F6-63401AB5A226}"/>
    <hyperlink ref="Q1269" r:id="rId5375" xr:uid="{C014F5B2-E6C6-9546-AEFD-8C818AA92CA4}"/>
    <hyperlink ref="Q1270" r:id="rId5376" xr:uid="{1412D608-DF8D-B64F-BA34-AA9ED8E4B4A2}"/>
    <hyperlink ref="Q1268" r:id="rId5377" xr:uid="{203D201B-DF3C-644C-9720-2FEF9E77E0A8}"/>
    <hyperlink ref="E1267" r:id="rId5378" xr:uid="{A7D36B4E-0E72-7C44-8EF2-A71A5B73C3A2}"/>
    <hyperlink ref="Q1267" r:id="rId5379" xr:uid="{1812E0AF-A95E-7042-8EE8-AEFBF9D610EE}"/>
    <hyperlink ref="Q1263" r:id="rId5380" xr:uid="{81CA4238-3582-6B4F-806F-B0768C560F53}"/>
    <hyperlink ref="E1264" r:id="rId5381" xr:uid="{26F1597E-0663-334E-83C2-725A93FA2E9F}"/>
    <hyperlink ref="Q1264" r:id="rId5382" xr:uid="{28F10A9A-A881-6B49-BD45-171EBA2FADC7}"/>
    <hyperlink ref="E1265" r:id="rId5383" xr:uid="{32A31877-15B0-8D47-959B-9AED5BB9D032}"/>
    <hyperlink ref="Q1265" r:id="rId5384" xr:uid="{748F7331-82DC-5247-897B-90557DEF7A72}"/>
    <hyperlink ref="E1266" r:id="rId5385" xr:uid="{A29EEA89-112B-EC4C-A6B5-33A5942B81E7}"/>
    <hyperlink ref="Q1266" r:id="rId5386" xr:uid="{C4B770AA-AB5C-E049-B1E9-2705FF30AAE6}"/>
    <hyperlink ref="E1262" r:id="rId5387" xr:uid="{7C24133D-AD25-684B-AD6B-ECC9952B8ACD}"/>
    <hyperlink ref="Q1262" r:id="rId5388" xr:uid="{0D0BDAA9-FC83-4344-B628-6B5A9E586140}"/>
    <hyperlink ref="Q1259" r:id="rId5389" xr:uid="{9D4FE843-D684-BF48-8E1A-3E7E374D037C}"/>
    <hyperlink ref="Q1260" r:id="rId5390" xr:uid="{916D7CFD-3962-7247-A70E-092DC17C4FF2}"/>
    <hyperlink ref="Q1261" r:id="rId5391" xr:uid="{CCFF1C3E-8F86-9E46-9842-D6C607F872E0}"/>
    <hyperlink ref="E1254" r:id="rId5392" xr:uid="{C9C6ACE7-2B8E-F04D-AADC-4FCF3221096C}"/>
    <hyperlink ref="Q1254" r:id="rId5393" xr:uid="{7FC91B8B-84D6-C043-B969-BC6854D219CA}"/>
    <hyperlink ref="E1255" r:id="rId5394" xr:uid="{78B7485C-867F-C842-9145-9E4C45CF0E4A}"/>
    <hyperlink ref="Q1255" r:id="rId5395" xr:uid="{EF5C0B7F-A499-B14B-81AB-CF1F63F91C59}"/>
    <hyperlink ref="E1256" r:id="rId5396" xr:uid="{9DB61E2A-8B8B-4046-BADC-D3065B46C5F1}"/>
    <hyperlink ref="Q1256" r:id="rId5397" xr:uid="{3FFECD2A-5D33-4D47-8D57-9339567A9F5F}"/>
    <hyperlink ref="E1257" r:id="rId5398" xr:uid="{BF03D873-BBC0-C840-A5EC-ED645AFADAE1}"/>
    <hyperlink ref="Q1257" r:id="rId5399" location="incart_river_index" display="https://www.nj.com/ocean/index.ssf/2018/11/man_wanted_for_assaulting_girl_shot_by_police_afte.html - incart_river_index" xr:uid="{A0998ED1-239F-D841-88F8-C2E0139A6688}"/>
    <hyperlink ref="Q1258" r:id="rId5400" xr:uid="{57908384-159D-5E47-9950-BEAF46FE83C2}"/>
    <hyperlink ref="E1253" r:id="rId5401" xr:uid="{C65FF0B0-7F60-1746-9B63-DD980077578D}"/>
    <hyperlink ref="Q1253" r:id="rId5402" xr:uid="{E755561B-633B-224F-958F-44D2BAE0A78B}"/>
    <hyperlink ref="E1251" r:id="rId5403" xr:uid="{3D49CC70-2902-1743-BF0B-91AB461B4A62}"/>
    <hyperlink ref="Q1251" r:id="rId5404" xr:uid="{23940231-2667-2643-8C41-B4FB49F11797}"/>
    <hyperlink ref="Q1246" r:id="rId5405" location="incart_river_index" display="https://www.al.com/news/2018/11/man-shot-killed-by-police-in-lowndes-county.html - incart_river_index" xr:uid="{9A954B0E-CADA-D64D-9598-902BD9436B9B}"/>
    <hyperlink ref="E1250" r:id="rId5406" xr:uid="{144A2B72-5C98-044B-9189-8C4A2F279BFB}"/>
    <hyperlink ref="Q1250" r:id="rId5407" xr:uid="{0DFACD03-EB4C-1C41-BE47-28B82C38D545}"/>
    <hyperlink ref="Q1247" r:id="rId5408" xr:uid="{7C12ABFD-0775-5249-A3E8-CB050471F51C}"/>
    <hyperlink ref="Q1248" r:id="rId5409" xr:uid="{940C7F0D-5B31-AD4C-B293-40BF7F5142A3}"/>
    <hyperlink ref="E1249" r:id="rId5410" xr:uid="{B465B6D7-9C04-C349-B39C-A6A9A2F01099}"/>
    <hyperlink ref="Q1249" r:id="rId5411" xr:uid="{EBA9C380-3E02-CA4E-A6C0-456F355C6753}"/>
    <hyperlink ref="E1245" r:id="rId5412" xr:uid="{872E5E84-DDD1-964F-A7B2-5D88AA41032E}"/>
    <hyperlink ref="Q1245" r:id="rId5413" xr:uid="{B448779C-84B4-C24A-AD34-D04C130A7524}"/>
    <hyperlink ref="Q1242" r:id="rId5414" xr:uid="{5B13729B-8F78-C343-9157-AC33ACA5CF1A}"/>
    <hyperlink ref="E1243" r:id="rId5415" xr:uid="{A7F51330-37F0-5C4C-B0B4-A1D0355F24C9}"/>
    <hyperlink ref="Q1243" r:id="rId5416" xr:uid="{B41C57D2-C3A5-AD4D-917C-5DF7CA33F762}"/>
    <hyperlink ref="E1244" r:id="rId5417" xr:uid="{F38C6097-7532-7745-81B9-43FAA22D1DB3}"/>
    <hyperlink ref="Q1244" r:id="rId5418" xr:uid="{00B85935-0C78-1A4B-8560-5D2688B57F22}"/>
    <hyperlink ref="Q1241" r:id="rId5419" xr:uid="{EE7BCFC3-30BB-844D-B539-F022498D3A04}"/>
    <hyperlink ref="Q1240" r:id="rId5420" xr:uid="{F14F9EDF-D61C-3A48-9B1F-34075999811B}"/>
    <hyperlink ref="E1239" r:id="rId5421" xr:uid="{997880CF-7BF6-5A48-9BC7-9219CEEB99CE}"/>
    <hyperlink ref="Q1239" r:id="rId5422" xr:uid="{74303203-3FDC-6940-8634-6EC5741E00E0}"/>
    <hyperlink ref="Q1238" r:id="rId5423" xr:uid="{094B35AF-03FF-6D47-9E31-8B3E0B86DDC0}"/>
    <hyperlink ref="E1236" r:id="rId5424" xr:uid="{C3EC3898-C105-1C45-893D-C41E935E759B}"/>
    <hyperlink ref="Q1236" r:id="rId5425" xr:uid="{B61FADEC-C71A-514C-B30E-9B9C2DDB3A9E}"/>
    <hyperlink ref="E1237" r:id="rId5426" xr:uid="{7573E246-539C-8648-BC9D-13E4C571DBBB}"/>
    <hyperlink ref="Q1237" r:id="rId5427" xr:uid="{1A1B31EB-8632-964D-8F2F-D4B7B5ECC218}"/>
    <hyperlink ref="Q1235" r:id="rId5428" xr:uid="{C1088CE2-B747-B244-B6FC-75C8574F88F9}"/>
    <hyperlink ref="Q1234" r:id="rId5429" xr:uid="{9067CD52-0734-8C4F-86DC-DB44D488B820}"/>
    <hyperlink ref="E1232" r:id="rId5430" xr:uid="{173DF6B4-5DB4-554A-8770-7F8820C7C64C}"/>
    <hyperlink ref="Q1232" r:id="rId5431" xr:uid="{F36DD739-5D40-D24F-8100-D2D08AFEB32F}"/>
    <hyperlink ref="E1227" r:id="rId5432" xr:uid="{EB4BDC84-AE12-BF41-851A-9A53600B25E4}"/>
    <hyperlink ref="Q1227" r:id="rId5433" xr:uid="{0A54CA85-8F53-9345-8526-2F860EE41FDA}"/>
    <hyperlink ref="Q1228" r:id="rId5434" xr:uid="{85E234A7-A2C9-DA4A-ADC4-38F2DCC07089}"/>
    <hyperlink ref="E1230" r:id="rId5435" xr:uid="{6D3AEB90-1C42-FA47-B8CC-0861BB7810D3}"/>
    <hyperlink ref="Q1230" r:id="rId5436" xr:uid="{0281CB12-2C02-0D47-8552-855A87A404FE}"/>
    <hyperlink ref="Q1231" r:id="rId5437" xr:uid="{A6A90002-7568-6F40-B52C-51D2D65C73CE}"/>
    <hyperlink ref="Q1229" r:id="rId5438" xr:uid="{C6023756-27B5-834D-BAF4-1B2C3363E18E}"/>
    <hyperlink ref="Q1233" r:id="rId5439" xr:uid="{F21B8EEB-1CA2-B84F-BE9F-32C950D2E08E}"/>
    <hyperlink ref="E1226" r:id="rId5440" xr:uid="{86CD7668-2456-2D4C-8AEE-F667C562C4FD}"/>
    <hyperlink ref="Q1226" r:id="rId5441" xr:uid="{C7B68382-6EFA-CF48-B24E-7E77F11C6E31}"/>
    <hyperlink ref="E1224" r:id="rId5442" xr:uid="{92082F47-BFA8-B641-859F-23755BF084FD}"/>
    <hyperlink ref="Q1224" r:id="rId5443" xr:uid="{E7D66CAF-B620-BB4E-AAF8-86D71E051A02}"/>
    <hyperlink ref="Q1225" r:id="rId5444" xr:uid="{FA6564D3-CB2E-EB40-B403-024C942C580A}"/>
    <hyperlink ref="Q1223" r:id="rId5445" xr:uid="{9094C3A8-8B4B-9C4D-8369-95FAECED38E6}"/>
    <hyperlink ref="Q1221" r:id="rId5446" xr:uid="{EF5DBB26-FDCA-224C-8554-989D6767F5A2}"/>
    <hyperlink ref="E1222" r:id="rId5447" xr:uid="{D91FB19A-24D8-0C48-9EFD-8D33DD4EEFDF}"/>
    <hyperlink ref="Q1222" r:id="rId5448" xr:uid="{CB2A3328-29E0-E945-8C39-E54E52C241F1}"/>
    <hyperlink ref="E1220" r:id="rId5449" xr:uid="{F4EA0E1F-DC04-F24E-97BE-8B89572C0EDB}"/>
    <hyperlink ref="Q1220" r:id="rId5450" xr:uid="{4D37A233-7E2A-7845-AF8E-8724057197C9}"/>
    <hyperlink ref="Q1219" r:id="rId5451" xr:uid="{26E71935-0A37-9644-9E39-BED5A16407F5}"/>
    <hyperlink ref="E1420" r:id="rId5452" xr:uid="{407A2393-668E-EA49-89A0-351E730AAE6F}"/>
    <hyperlink ref="Q1420" r:id="rId5453" xr:uid="{38B89D17-EAE2-AC42-8A40-A2D264539F7D}"/>
    <hyperlink ref="E1421" r:id="rId5454" xr:uid="{2A352814-02BC-5D44-8499-A2A1C5E0102A}"/>
    <hyperlink ref="Q1421" r:id="rId5455" xr:uid="{C531A7AE-E48A-AF41-A278-C22C54F2F97D}"/>
    <hyperlink ref="E1425" r:id="rId5456" xr:uid="{502E4954-E1D7-AB46-82DE-161D065E683E}"/>
    <hyperlink ref="Q1425" r:id="rId5457" xr:uid="{846763C7-D299-4A46-B876-743EAD07F53A}"/>
    <hyperlink ref="E1218" r:id="rId5458" xr:uid="{6AD41116-9590-8649-8136-A5D3258EEFAE}"/>
    <hyperlink ref="Q1218" r:id="rId5459" xr:uid="{CD8F9FD5-5101-B84A-A60C-0EF8DE91A98B}"/>
    <hyperlink ref="Q1217" r:id="rId5460" xr:uid="{796F6591-97CC-BB45-8961-1091EADEC01B}"/>
    <hyperlink ref="E1216" r:id="rId5461" xr:uid="{A0E140D0-BD38-7F4D-AB58-C28E6359FB5A}"/>
    <hyperlink ref="Q1216" r:id="rId5462" xr:uid="{72B32A19-9ABD-5B4A-AB96-07AB4D4B39D2}"/>
    <hyperlink ref="Q1214" r:id="rId5463" xr:uid="{1A18FF6C-F6E5-B144-8710-41AAB816C5AB}"/>
    <hyperlink ref="E1215" r:id="rId5464" xr:uid="{3594887B-5CD6-454D-980A-608E43729B1B}"/>
    <hyperlink ref="Q1215" r:id="rId5465" xr:uid="{F4D800A1-F3D3-0D49-BC6C-E3F0E2890DC4}"/>
    <hyperlink ref="E1213" r:id="rId5466" xr:uid="{49436556-EA8E-FE43-A757-6E96306277FE}"/>
    <hyperlink ref="Q1213" r:id="rId5467" xr:uid="{36B315B7-3A94-7F4C-892D-DDF96B6AE829}"/>
    <hyperlink ref="E1210" r:id="rId5468" xr:uid="{988ED9B1-31C8-0145-A7AF-B11D26ACABF2}"/>
    <hyperlink ref="Q1210" r:id="rId5469" xr:uid="{F88A24AC-8B59-CD41-AE3C-3B900775B573}"/>
    <hyperlink ref="Q1209" r:id="rId5470" xr:uid="{D79D890C-EBFA-7E47-B175-DFA70F515DEF}"/>
    <hyperlink ref="E1208" r:id="rId5471" xr:uid="{9C63A372-2457-504D-B52B-3EBCC97DBCEB}"/>
    <hyperlink ref="Q1208" r:id="rId5472" xr:uid="{5A83F5A7-2769-BC4B-B3F1-50064B82BF11}"/>
    <hyperlink ref="Q1211" r:id="rId5473" xr:uid="{FAA7BCE2-D858-C945-BF0E-D9C9B134871F}"/>
    <hyperlink ref="Q1212" r:id="rId5474" xr:uid="{7C24DD55-CFC1-F249-B1DE-A5B45DF796B3}"/>
    <hyperlink ref="Q1207" r:id="rId5475" xr:uid="{55AC7A02-8549-684E-B10C-66F4C819D801}"/>
    <hyperlink ref="Q1202" r:id="rId5476" xr:uid="{7ED1173E-392C-C04B-A849-A9C0251A4C8A}"/>
    <hyperlink ref="Q1203" r:id="rId5477" xr:uid="{FF6AF50E-57F1-0341-BC94-E09D5C521866}"/>
    <hyperlink ref="Q1200" r:id="rId5478" xr:uid="{A1ABADB0-04E0-E84A-B883-B6102D960CD7}"/>
    <hyperlink ref="E1201" r:id="rId5479" xr:uid="{C6B15FFA-54CC-F645-9B6F-62452C486F07}"/>
    <hyperlink ref="Q1201" r:id="rId5480" xr:uid="{17F5F3E9-ED04-CA44-9E8B-4F7A6F779ADB}"/>
    <hyperlink ref="Q1198" r:id="rId5481" xr:uid="{1C3DBAA7-A795-DE43-AD31-FC13B8F2F3C7}"/>
    <hyperlink ref="E1197" r:id="rId5482" xr:uid="{A093A0D0-3224-324D-8E07-C3C00DAE4517}"/>
    <hyperlink ref="Q1197" r:id="rId5483" xr:uid="{474B13D0-323A-D448-9B86-33CF67036B6F}"/>
    <hyperlink ref="Q1196" r:id="rId5484" xr:uid="{8DB1EBDD-FD2D-4448-B395-06264A52A39A}"/>
    <hyperlink ref="E1199" r:id="rId5485" xr:uid="{F406FA69-DA98-044F-A3D7-6393C2D17AAB}"/>
    <hyperlink ref="Q1199" r:id="rId5486" xr:uid="{9DAD72A8-543C-8D45-B501-91A425D9FB22}"/>
    <hyperlink ref="E1195" r:id="rId5487" xr:uid="{0EC0F0BA-06B1-524E-A736-E55E6876C7EF}"/>
    <hyperlink ref="Q1195" r:id="rId5488" xr:uid="{658D0746-EE0C-944C-BECF-E2765C16FF0C}"/>
    <hyperlink ref="Q1194" r:id="rId5489" xr:uid="{5E5CCD86-68D7-7A48-BBEA-92B4AD40B25A}"/>
    <hyperlink ref="E1193" r:id="rId5490" xr:uid="{02795DF2-A279-9E4B-8F40-2756BA2284AF}"/>
    <hyperlink ref="Q1193" r:id="rId5491" xr:uid="{7E84650F-07D3-884A-957C-CAF95A2EBCF1}"/>
    <hyperlink ref="Q1186" r:id="rId5492" xr:uid="{E08824E5-C70E-1747-86F3-8A1CE9229F4E}"/>
    <hyperlink ref="Q1189" r:id="rId5493" xr:uid="{5120C737-B34A-E34C-B0C1-070EEFADC96D}"/>
    <hyperlink ref="Q1188" r:id="rId5494" xr:uid="{91A3787B-DC30-6741-B621-DD212AF5A61E}"/>
    <hyperlink ref="Q1187" r:id="rId5495" xr:uid="{EB7492EE-2CA9-D04E-82AA-5F01593C56C1}"/>
    <hyperlink ref="Q1190" r:id="rId5496" xr:uid="{E00A96F5-63A0-6A46-9BB4-8AD67EA071F8}"/>
    <hyperlink ref="Q1192" r:id="rId5497" xr:uid="{590F2C06-4C16-9C4A-BA75-7EAC13EB2F90}"/>
    <hyperlink ref="Q1191" r:id="rId5498" xr:uid="{C17413D7-3B30-D543-8BEA-E2D89C9A1B84}"/>
    <hyperlink ref="E1185" r:id="rId5499" xr:uid="{E4417802-F560-154E-8415-E2BFB3D977E0}"/>
    <hyperlink ref="Q1185" r:id="rId5500" xr:uid="{A7BE2F23-95E2-714F-ADDD-22C05C8A3FE4}"/>
    <hyperlink ref="Q1182" r:id="rId5501" xr:uid="{2DE6CB4A-0795-D044-B2B1-67047CF88FC7}"/>
    <hyperlink ref="E1183" r:id="rId5502" xr:uid="{D85A311A-ACD7-AA40-BDC6-8CFCF600AF6A}"/>
    <hyperlink ref="Q1183" r:id="rId5503" xr:uid="{88D1B6E1-F573-1248-BBD6-A8678820A1A0}"/>
    <hyperlink ref="Q1184" r:id="rId5504" xr:uid="{CC51273D-F142-E344-8C10-F19CFB2AE37F}"/>
    <hyperlink ref="Q1181" r:id="rId5505" xr:uid="{255D05A3-7484-CF46-8B54-D1B50D026DEB}"/>
    <hyperlink ref="E1179" r:id="rId5506" xr:uid="{E6A86F7D-1405-9D48-BCE8-F81DD3338FC9}"/>
    <hyperlink ref="Q1179" r:id="rId5507" xr:uid="{EED53ECD-C9ED-EC4B-B974-F285416E48CA}"/>
    <hyperlink ref="E1180" r:id="rId5508" xr:uid="{4CC2C7AA-765A-3E48-8C98-B9B13F8FE375}"/>
    <hyperlink ref="Q1180" r:id="rId5509" xr:uid="{74FE7D61-4A8D-C740-9736-1BB14DD4E4B8}"/>
    <hyperlink ref="E1178" r:id="rId5510" xr:uid="{857B675A-F0F0-5B47-A374-8838D2FFB31A}"/>
    <hyperlink ref="Q1178" r:id="rId5511" xr:uid="{AF6F6F7E-C807-9048-B56A-193E0410541A}"/>
    <hyperlink ref="E1177" r:id="rId5512" xr:uid="{CD01C39A-59B8-A24D-8B1E-8D57E9E0827A}"/>
    <hyperlink ref="Q1177" r:id="rId5513" xr:uid="{0C932EFE-C8BB-9D4C-A083-34C0834FC983}"/>
    <hyperlink ref="Q1171" r:id="rId5514" xr:uid="{AA38E681-0A6F-B247-9110-F55469434D8E}"/>
    <hyperlink ref="Q1172" r:id="rId5515" xr:uid="{9FD53866-46FF-5341-A3E8-30251DE525C6}"/>
    <hyperlink ref="E1174" r:id="rId5516" xr:uid="{084AB443-510D-E049-A27B-8DFE6323D660}"/>
    <hyperlink ref="Q1174" r:id="rId5517" xr:uid="{DAEB0AB1-3613-F044-96BB-6B6D50ECC4F1}"/>
    <hyperlink ref="Q1176" r:id="rId5518" xr:uid="{9DFB051A-CAB9-2C44-B8D9-2AF24C1FA009}"/>
    <hyperlink ref="E1175" r:id="rId5519" xr:uid="{909CA377-FEF7-A346-90C3-CD6A587737DD}"/>
    <hyperlink ref="Q1175" r:id="rId5520" xr:uid="{2E239A0B-AC52-4541-9305-3A80CC221EFD}"/>
    <hyperlink ref="Q1173" r:id="rId5521" xr:uid="{6B36B48C-91E9-3D43-90B6-C79ABF63A372}"/>
    <hyperlink ref="Q1170" r:id="rId5522" xr:uid="{CC7DC4A9-5C4E-B04F-91CA-6ECB481920F8}"/>
    <hyperlink ref="E1169" r:id="rId5523" xr:uid="{495DA1C3-9334-D24B-AEE1-EE674F1D2E66}"/>
    <hyperlink ref="Q1169" r:id="rId5524" xr:uid="{47C5D305-6234-8248-AE96-D1BD422B9112}"/>
    <hyperlink ref="Q1168" r:id="rId5525" xr:uid="{250C9D32-727C-9B4B-9B5C-39846F76B257}"/>
    <hyperlink ref="E1165" r:id="rId5526" xr:uid="{97818EE4-2C17-3340-B20A-5927997A2317}"/>
    <hyperlink ref="Q1165" r:id="rId5527" xr:uid="{FD290C5D-3975-194A-9837-814B8E55ECD8}"/>
    <hyperlink ref="E1164" r:id="rId5528" xr:uid="{F74E9CCB-ECFB-DD44-B79E-6AFD7F182576}"/>
    <hyperlink ref="Q1164" r:id="rId5529" xr:uid="{75E8FAE1-6F5A-7943-8842-B27DA97F7EC4}"/>
    <hyperlink ref="Q1166" r:id="rId5530" xr:uid="{64B15B01-DEF3-384F-A79F-64C62FB417B6}"/>
    <hyperlink ref="E1167" r:id="rId5531" xr:uid="{65B2AA6E-3B61-C448-8ED5-9AB54F7A0E5E}"/>
    <hyperlink ref="Q1167" r:id="rId5532" xr:uid="{61EBC368-CFE8-9241-9959-57AA5276F110}"/>
    <hyperlink ref="Q1163" r:id="rId5533" xr:uid="{8146AA40-153E-9548-9210-34AFE579B364}"/>
    <hyperlink ref="E1162" r:id="rId5534" xr:uid="{39F9B138-3220-1049-9BFC-3A858FFD652E}"/>
    <hyperlink ref="Q1162" r:id="rId5535" xr:uid="{F397797F-1F33-AC48-AD8B-95E2F77F1FE8}"/>
    <hyperlink ref="Q1161" r:id="rId5536" xr:uid="{F8382D69-C9F6-D64D-B51A-C2FCBB3D2B05}"/>
    <hyperlink ref="E1160" r:id="rId5537" xr:uid="{8CDC1294-2291-2A44-864F-524C6F421A93}"/>
    <hyperlink ref="Q1160" r:id="rId5538" xr:uid="{A922BF82-AF1D-EE44-A5BA-115062AE4376}"/>
    <hyperlink ref="E1158" r:id="rId5539" xr:uid="{914C6FCA-2A74-F041-83D3-C190771B4836}"/>
    <hyperlink ref="Q1158" r:id="rId5540" xr:uid="{49A44CC1-B359-6B4F-A452-DE7D51555BB8}"/>
    <hyperlink ref="Q1159" r:id="rId5541" xr:uid="{44FB84A0-5A09-054F-A88B-017A690180A5}"/>
    <hyperlink ref="E2269" r:id="rId5542" xr:uid="{AD4340D7-4F52-5147-88BA-124CE605A9F3}"/>
    <hyperlink ref="Q1153" r:id="rId5543" xr:uid="{48E9D183-DA11-8543-9C35-BBADCAEF5F9C}"/>
    <hyperlink ref="E1154" r:id="rId5544" xr:uid="{4F923189-F4BC-3D48-978E-3AB9CD165B94}"/>
    <hyperlink ref="Q1154" r:id="rId5545" xr:uid="{05CF763D-A718-6C46-97E4-915F1F81A628}"/>
    <hyperlink ref="Q1155" r:id="rId5546" xr:uid="{C55E29D7-9EEE-C745-B709-2A7FD2A30EC5}"/>
    <hyperlink ref="Q1156" r:id="rId5547" xr:uid="{C1D4E8C6-7B6B-114D-BECB-04664F3E0180}"/>
    <hyperlink ref="Q1157" r:id="rId5548" xr:uid="{F5EC2594-FE21-EB46-A8AA-BFF7776955B5}"/>
    <hyperlink ref="Q1151" r:id="rId5549" xr:uid="{43DC5D30-68E2-5F4D-9D1D-1D04D4DC8245}"/>
    <hyperlink ref="Q1152" r:id="rId5550" xr:uid="{DB6227E7-C2A0-7B46-B5A2-9E3C78E4C3E5}"/>
    <hyperlink ref="E1149" r:id="rId5551" xr:uid="{C6DC33B4-36CD-C74A-AFA3-54120A01280A}"/>
    <hyperlink ref="Q1149" r:id="rId5552" xr:uid="{D419087A-AD58-DF43-BCE0-1D3FE1532237}"/>
    <hyperlink ref="Q1150" r:id="rId5553" xr:uid="{DCA1F594-1869-4244-BA91-F501B6510933}"/>
    <hyperlink ref="Q1146" r:id="rId5554" xr:uid="{7DD1C505-269A-E643-9715-7F2BB5886298}"/>
    <hyperlink ref="E1144" r:id="rId5555" xr:uid="{523EC8E9-CEF0-C44F-AFDF-500E4113D539}"/>
    <hyperlink ref="Q1144" r:id="rId5556" xr:uid="{5E53CE0C-DB12-5D4A-B189-D9CD8DEA6F30}"/>
    <hyperlink ref="Q1145" r:id="rId5557" xr:uid="{DA99FC1A-7EBD-974A-AA7D-4412490F0E15}"/>
    <hyperlink ref="Q1148" r:id="rId5558" xr:uid="{AEEBDC88-0AD9-E545-89CF-526FBBD51EFC}"/>
    <hyperlink ref="E1147" r:id="rId5559" xr:uid="{F9326F8D-4975-244B-A8A0-FFCDB743EAD4}"/>
    <hyperlink ref="Q1147" r:id="rId5560" xr:uid="{AEDEF26E-E4A9-7B4D-B396-4A62DEDA3595}"/>
    <hyperlink ref="Q1143" r:id="rId5561" xr:uid="{B81BB457-6664-944B-A64A-23BD85431D5C}"/>
    <hyperlink ref="Q1141" r:id="rId5562" xr:uid="{B152EB04-1403-804D-A035-97664C41D663}"/>
    <hyperlink ref="Q1142" r:id="rId5563" xr:uid="{E8D07083-9AF9-9246-905B-50D730EEDC02}"/>
    <hyperlink ref="E1137" r:id="rId5564" xr:uid="{F19AFFE5-1148-1649-A6B6-CAFE446D82F0}"/>
    <hyperlink ref="Q1137" r:id="rId5565" xr:uid="{F7F3CD14-9116-A146-BB99-6EE6401B0463}"/>
    <hyperlink ref="Q1138" r:id="rId5566" xr:uid="{0017E575-6FA3-274F-82D0-5614262A3B5B}"/>
    <hyperlink ref="E1140" r:id="rId5567" xr:uid="{A57EFC7B-1F48-824C-81D0-F13A4C3F816B}"/>
    <hyperlink ref="Q1140" r:id="rId5568" xr:uid="{ABC1995B-48E7-D547-9235-06D34E786396}"/>
    <hyperlink ref="E1139" r:id="rId5569" xr:uid="{4FBD5062-5A68-7542-8A0E-B0714F4B0FDF}"/>
    <hyperlink ref="Q1139" r:id="rId5570" xr:uid="{3EDB234A-8A5E-714F-A1F1-275FC919183C}"/>
    <hyperlink ref="E1134" r:id="rId5571" xr:uid="{010BA879-2775-4641-8337-8FC2D27C909F}"/>
    <hyperlink ref="Q1134" r:id="rId5572" xr:uid="{B8E30467-36DC-7247-A732-44EC62E2D9CD}"/>
    <hyperlink ref="Q1133" r:id="rId5573" xr:uid="{3743844E-820F-BF4D-9115-BEC8FEAE5DA7}"/>
    <hyperlink ref="E1131" r:id="rId5574" xr:uid="{FCE5A925-24EE-DB4B-80ED-F546C76B62D2}"/>
    <hyperlink ref="Q1131" r:id="rId5575" xr:uid="{B6E9AB59-FA54-B045-9DDF-9F3524E831EB}"/>
    <hyperlink ref="E1135" r:id="rId5576" xr:uid="{DE2643DB-F1EA-4847-AC14-9739478B77BE}"/>
    <hyperlink ref="Q1135" r:id="rId5577" xr:uid="{6846D153-9A96-F54C-B433-1F4FF7B838B8}"/>
    <hyperlink ref="Q1132" r:id="rId5578" xr:uid="{6876F02B-E9A3-2B4C-A2E3-4C6A1A5688D3}"/>
    <hyperlink ref="E1136" r:id="rId5579" xr:uid="{43C72958-EDB7-604E-B839-F6CC548FEFF2}"/>
    <hyperlink ref="Q1136" r:id="rId5580" xr:uid="{6A927033-BACB-A741-B7BE-A9524272B704}"/>
    <hyperlink ref="E1128" r:id="rId5581" xr:uid="{5E7C51BC-91B8-5848-B6F2-7AF85D07EA95}"/>
    <hyperlink ref="Q1128" r:id="rId5582" xr:uid="{B7489DB2-2E7B-E147-A59A-9C401E2F5165}"/>
    <hyperlink ref="E1130" r:id="rId5583" xr:uid="{A7120FE3-8CC6-BC43-8476-ED6726B08FA8}"/>
    <hyperlink ref="Q1130" r:id="rId5584" xr:uid="{58072745-7965-874F-9F32-59F8945ADED8}"/>
    <hyperlink ref="Q1129" r:id="rId5585" xr:uid="{17F704C7-25D3-A643-AF42-A7151B75304A}"/>
    <hyperlink ref="Q1126" r:id="rId5586" xr:uid="{7E62267A-EDE1-4E47-A36A-5E8857058765}"/>
    <hyperlink ref="Q1127" r:id="rId5587" xr:uid="{15E4D89E-30E4-D145-BA5C-5841B25972D9}"/>
    <hyperlink ref="E1124" r:id="rId5588" xr:uid="{34C2A064-DEF7-3842-B0EC-D736326DB68E}"/>
    <hyperlink ref="Q1124" r:id="rId5589" xr:uid="{EFAE5842-A42E-9247-8560-7748FD7085C5}"/>
    <hyperlink ref="Q1125" r:id="rId5590" xr:uid="{50671F1D-2007-A647-841E-6EAFF6974C67}"/>
    <hyperlink ref="Q1123" r:id="rId5591" xr:uid="{691AFB7E-5A25-8F45-99E2-364AD5FDFF79}"/>
    <hyperlink ref="E1122" r:id="rId5592" xr:uid="{32D2A8BA-90B8-3544-B046-136CFB345C4B}"/>
    <hyperlink ref="Q1122" r:id="rId5593" xr:uid="{8C233644-3362-6C47-9834-7940C1BE99FA}"/>
    <hyperlink ref="Q1121" r:id="rId5594" xr:uid="{1CCD099F-865A-8F4A-8357-4DE949717947}"/>
    <hyperlink ref="Q1118" r:id="rId5595" xr:uid="{207484D2-2D22-A340-BDCA-FFD4284CAC4B}"/>
    <hyperlink ref="E1119" r:id="rId5596" xr:uid="{E7AF734F-C94C-454D-B525-12D5F1F1A530}"/>
    <hyperlink ref="Q1119" r:id="rId5597" xr:uid="{7961C3EA-25F2-4040-9F20-A28F00C609F8}"/>
    <hyperlink ref="E1120" r:id="rId5598" xr:uid="{EE3065CF-57D1-F947-9DB1-123FF12BA2BF}"/>
    <hyperlink ref="Q1120" r:id="rId5599" xr:uid="{2495E43C-9C50-A146-A1E7-5DC8F9E60568}"/>
    <hyperlink ref="E1117" r:id="rId5600" xr:uid="{AD7FF068-A76D-B646-93E3-02059A2D2369}"/>
    <hyperlink ref="Q1117" r:id="rId5601" xr:uid="{8A113025-63DD-DC46-9CA8-7A0DDB8A9DB5}"/>
    <hyperlink ref="E1112" r:id="rId5602" xr:uid="{616C2427-B99B-C44F-87A1-611612440518}"/>
    <hyperlink ref="Q1112" r:id="rId5603" xr:uid="{F49D29AA-4FEB-CC40-9023-A41307EC7E6C}"/>
    <hyperlink ref="E1114" r:id="rId5604" xr:uid="{28714B01-6FA2-2242-8A58-67F146E7B481}"/>
    <hyperlink ref="Q1114" r:id="rId5605" xr:uid="{E3FDDDE4-5E3C-8348-B8FA-752CD2B7C3F1}"/>
    <hyperlink ref="E1115" r:id="rId5606" xr:uid="{DE9125F5-9AF5-6C4D-B396-0FCC6BA27E9E}"/>
    <hyperlink ref="Q1115" r:id="rId5607" xr:uid="{8A354038-5CAB-A542-B5B4-D2D664974D25}"/>
    <hyperlink ref="Q1116" r:id="rId5608" xr:uid="{EC3BAD6A-759E-4F47-8C2C-AC609D4C10AC}"/>
    <hyperlink ref="Q1113" r:id="rId5609" xr:uid="{A63D8409-F497-7141-B33A-04984F8D093D}"/>
    <hyperlink ref="Q1111" r:id="rId5610" xr:uid="{881140B5-F8E4-1A4B-8B2B-C0752F59BFAA}"/>
    <hyperlink ref="Q1110" r:id="rId5611" xr:uid="{3A42D372-4DBA-AD42-BF47-4BCD7959A431}"/>
    <hyperlink ref="Q1108" r:id="rId5612" xr:uid="{18F607E5-0149-484C-8583-F2C94919550C}"/>
    <hyperlink ref="Q1109" r:id="rId5613" xr:uid="{0F8AFB59-6EF1-7A48-ABE0-91E04B24C9BD}"/>
    <hyperlink ref="Q1106" r:id="rId5614" xr:uid="{68340BC8-05C0-DF41-9DF6-010A1B819625}"/>
    <hyperlink ref="Q1107" r:id="rId5615" xr:uid="{65BF6758-84D7-CC40-B1BD-0803032A8A72}"/>
    <hyperlink ref="E1101" r:id="rId5616" xr:uid="{C7484440-7E9D-F548-96D6-A2F4410ACB24}"/>
    <hyperlink ref="Q1101" r:id="rId5617" xr:uid="{1CD091BE-2B90-E343-9C92-70AF68538D32}"/>
    <hyperlink ref="Q1105" r:id="rId5618" xr:uid="{94A6ABFA-D534-0147-AE3F-15DF306FF031}"/>
    <hyperlink ref="Q1104" r:id="rId5619" xr:uid="{9FD26BD5-AD27-6448-9D99-49671FBA8664}"/>
    <hyperlink ref="Q1100" r:id="rId5620" xr:uid="{80AF3567-4DE1-D141-A7A7-C106CC39DF86}"/>
    <hyperlink ref="Q1103" r:id="rId5621" xr:uid="{4AAD2BAA-B68A-B748-AEC5-4D1B62791528}"/>
    <hyperlink ref="Q1102" r:id="rId5622" xr:uid="{AC0531C4-57FA-F94A-9FE0-5304A3A7C743}"/>
    <hyperlink ref="Q3742" r:id="rId5623" xr:uid="{F78AF6FE-CB13-A544-BBFE-E799943C7E90}"/>
    <hyperlink ref="E3742" r:id="rId5624" xr:uid="{F1CF0482-F9CF-4143-A2DF-BA73DF252D03}"/>
    <hyperlink ref="Q7463" r:id="rId5625" xr:uid="{59E5FC62-1EAC-3E49-B2BF-807CF470435E}"/>
    <hyperlink ref="Q3009" r:id="rId5626" xr:uid="{0252D3D6-3E6C-8B41-8E4E-610B11D3CC1C}"/>
    <hyperlink ref="Q2430" r:id="rId5627" xr:uid="{B2D405E7-ACDE-5C44-B7AA-1A3801B9A547}"/>
    <hyperlink ref="Q2213" r:id="rId5628" xr:uid="{9A8AEF21-480A-8844-8279-57A02A95E8F1}"/>
    <hyperlink ref="Q2063" r:id="rId5629" xr:uid="{B996C5C9-8C8E-634A-A750-DADA8435589E}"/>
    <hyperlink ref="Q2049" r:id="rId5630" xr:uid="{5B71AA5F-3D6F-934F-BF09-EA87F36796A3}"/>
    <hyperlink ref="Q2047" r:id="rId5631" xr:uid="{9BF2FE75-55D4-5948-B559-C9914226A079}"/>
    <hyperlink ref="Q2018" r:id="rId5632" xr:uid="{5FEBDA9F-A5E7-E041-A8F4-F83149E22CD4}"/>
    <hyperlink ref="Q1907" r:id="rId5633" xr:uid="{F80840AF-8600-CE43-AB03-D5848B5F4C97}"/>
    <hyperlink ref="Q1842" r:id="rId5634" xr:uid="{9FE7AFEB-4CA6-A64A-A602-FEEE90DEF690}"/>
    <hyperlink ref="Q1818" r:id="rId5635" xr:uid="{793E9F02-9525-5244-9829-707DA79C2D42}"/>
    <hyperlink ref="Q1796" r:id="rId5636" xr:uid="{1298A4C6-F100-4B40-8398-983E9D86DC84}"/>
    <hyperlink ref="Q1673" r:id="rId5637" xr:uid="{17290B67-A6DB-744F-B062-1DFE188899B9}"/>
    <hyperlink ref="Q2323" r:id="rId5638" xr:uid="{4B5DDA07-891C-6E45-A068-2B8CF3B0C7AD}"/>
    <hyperlink ref="Q6473" r:id="rId5639" xr:uid="{F28635C4-7B65-7540-929E-25A19E1E2DF7}"/>
    <hyperlink ref="Q4307" r:id="rId5640" xr:uid="{25AFF447-E4A2-7945-AB4E-FD1C5CEA7120}"/>
    <hyperlink ref="Q3325" r:id="rId5641" xr:uid="{797B6084-0C25-4245-8A15-8B69436CC6D2}"/>
    <hyperlink ref="Q3306" r:id="rId5642" xr:uid="{C431D8F6-404F-254C-9E3E-DE969E5F9201}"/>
    <hyperlink ref="Q3164" r:id="rId5643" xr:uid="{210F909D-AB62-4747-9677-1A77B4EC784B}"/>
    <hyperlink ref="Q2817" r:id="rId5644" xr:uid="{8351930F-4D92-844C-B0AD-248F58E5DEF8}"/>
    <hyperlink ref="Q7263" r:id="rId5645" xr:uid="{984544D4-D62B-024A-91A0-13352AC8CD8A}"/>
    <hyperlink ref="E1099" r:id="rId5646" xr:uid="{5361A60B-53B3-6B43-8205-48C4B5DA1B91}"/>
    <hyperlink ref="Q1099" r:id="rId5647" xr:uid="{C6198F71-115E-9846-99D7-6E92159CC582}"/>
    <hyperlink ref="E1098" r:id="rId5648" xr:uid="{027D2F3E-BB7A-5244-803E-B42576814D15}"/>
    <hyperlink ref="Q1098" r:id="rId5649" xr:uid="{58583D49-4001-1240-B1E3-ADE2874FB680}"/>
    <hyperlink ref="E1097" r:id="rId5650" xr:uid="{38C64BA1-BF7D-D849-9C6B-57296D4B46E8}"/>
    <hyperlink ref="Q1097" r:id="rId5651" xr:uid="{7C523D94-E772-3C40-8412-D2B3CA857243}"/>
    <hyperlink ref="E1095" r:id="rId5652" xr:uid="{F8266E9D-8B8F-2149-8DE3-4F248A436FFA}"/>
    <hyperlink ref="Q1095" r:id="rId5653" xr:uid="{6883AEF7-9628-464C-B007-DA80724BA3FE}"/>
    <hyperlink ref="E1096" r:id="rId5654" xr:uid="{9B8F9BBF-AD74-6748-9214-B06AD946A91D}"/>
    <hyperlink ref="Q1096" r:id="rId5655" xr:uid="{E52C55C0-7798-284F-B10E-4CCBD3551924}"/>
    <hyperlink ref="Q1090" r:id="rId5656" xr:uid="{C8125B4D-F1F5-8247-9599-9FB8100BF6AD}"/>
    <hyperlink ref="E1093" r:id="rId5657" xr:uid="{5BA21A35-03B3-9F44-8714-16557F7980D0}"/>
    <hyperlink ref="Q1093" r:id="rId5658" xr:uid="{A1E6877E-4C20-6544-9A12-0E123226872B}"/>
    <hyperlink ref="Q1092" r:id="rId5659" xr:uid="{718C8D3A-C0A2-0E49-B6CC-5FEA8DFF556E}"/>
    <hyperlink ref="Q1091" r:id="rId5660" xr:uid="{4A0011ED-AEC7-8944-8CA4-7266910AB883}"/>
    <hyperlink ref="E1089" r:id="rId5661" xr:uid="{F7BA504B-6B77-4C4D-BD78-D97C2E14F2FA}"/>
    <hyperlink ref="Q1089" r:id="rId5662" xr:uid="{226D4182-F09B-7D4A-B14B-0E528FEDF94A}"/>
    <hyperlink ref="E1094" r:id="rId5663" xr:uid="{92AB4319-F6EC-B440-84B8-84A14FBDB92C}"/>
    <hyperlink ref="Q1094" r:id="rId5664" xr:uid="{8A804A1A-1B4B-7D4F-898A-3C5E21CBA3E6}"/>
    <hyperlink ref="E1086" r:id="rId5665" xr:uid="{3646FF22-795A-7A43-9845-52A666EE5BF6}"/>
    <hyperlink ref="Q1086" r:id="rId5666" xr:uid="{2F498D56-7483-B04E-9816-3C29069C7F29}"/>
    <hyperlink ref="Q1087" r:id="rId5667" xr:uid="{CA88F803-A557-6F43-A41B-D4FC20CC35E4}"/>
    <hyperlink ref="E1085" r:id="rId5668" xr:uid="{1FB25C07-0246-194C-B002-1942A64FCE86}"/>
    <hyperlink ref="Q1085" r:id="rId5669" xr:uid="{DC3C7795-E7EE-9147-93EE-60D399799904}"/>
    <hyperlink ref="E1088" r:id="rId5670" xr:uid="{9B627224-A202-4E47-BE6E-B86E6F7DCB63}"/>
    <hyperlink ref="Q1088" r:id="rId5671" xr:uid="{BC4E68B2-9F7A-E441-A2A1-2796F0E1D74C}"/>
    <hyperlink ref="Q1082" r:id="rId5672" xr:uid="{AFA50500-BC96-3E42-8475-683F088A3115}"/>
    <hyperlink ref="Q1080" r:id="rId5673" xr:uid="{9792A404-3929-7E4A-B55C-13193CB9CB2C}"/>
    <hyperlink ref="Q1079" r:id="rId5674" xr:uid="{EF673251-3E7D-C34A-9799-0E8C6ED8E15D}"/>
    <hyperlink ref="Q1081" r:id="rId5675" xr:uid="{B8B9F5E8-C186-E246-9C88-A75DCBA2E4F0}"/>
    <hyperlink ref="E1083" r:id="rId5676" xr:uid="{B4A7279A-7084-9149-9FD3-72993B64CE02}"/>
    <hyperlink ref="Q1083" r:id="rId5677" xr:uid="{4EC774B0-884F-E043-8C91-0FDBE33A3A92}"/>
    <hyperlink ref="Q1084" r:id="rId5678" xr:uid="{86332743-94BD-0F4F-99B5-0A93AD0A2817}"/>
    <hyperlink ref="Q1075" r:id="rId5679" xr:uid="{CD080486-60DA-574A-A168-C58352F49333}"/>
    <hyperlink ref="E1076" r:id="rId5680" xr:uid="{BCF2E4EA-D3DD-094D-A306-678A5ED6C7F6}"/>
    <hyperlink ref="Q1076" r:id="rId5681" xr:uid="{069CD39A-AFE4-5249-9C8C-1DA999391EBE}"/>
    <hyperlink ref="Q1077" r:id="rId5682" xr:uid="{6AE434FD-D517-604A-8EF6-E33EB83EEB97}"/>
    <hyperlink ref="Q1078" r:id="rId5683" xr:uid="{CA20A8F6-8304-7C46-96CB-1BD0343323DA}"/>
    <hyperlink ref="Q1071" r:id="rId5684" xr:uid="{7BED63F0-6F71-3A49-86F8-7C279E1CC9F7}"/>
    <hyperlink ref="Q1072" r:id="rId5685" xr:uid="{2812F256-1375-6B4A-86D8-44F1F4B4AA5F}"/>
    <hyperlink ref="Q1070" r:id="rId5686" xr:uid="{E93D22ED-F546-5F4D-89F8-E96EB55B4794}"/>
    <hyperlink ref="Q1074" r:id="rId5687" xr:uid="{4430F1DB-4371-5946-9D77-283DE8DEB8B3}"/>
    <hyperlink ref="Q1073" r:id="rId5688" xr:uid="{3BD99F19-589C-D64B-8C0D-2B46DD5C25E8}"/>
    <hyperlink ref="Q1069" r:id="rId5689" xr:uid="{1589F7CD-3413-0E4D-8749-985C86113436}"/>
    <hyperlink ref="Q1068" r:id="rId5690" xr:uid="{D6CD9D5B-625A-C745-96B8-80DC374B860F}"/>
    <hyperlink ref="Q1067" r:id="rId5691" xr:uid="{65100D90-3326-9945-ACBC-3FA22B6F29F1}"/>
    <hyperlink ref="Q1066" r:id="rId5692" xr:uid="{2D001A85-597B-3E44-B501-51F74BBD1ECB}"/>
    <hyperlink ref="E1065" r:id="rId5693" xr:uid="{CE47532F-B8E8-8040-9AE5-2C44BD7334AF}"/>
    <hyperlink ref="Q1065" r:id="rId5694" xr:uid="{4464A0EE-4BD1-AE46-B926-059CEE683D63}"/>
    <hyperlink ref="Q1064" r:id="rId5695" xr:uid="{303594AC-0F91-BF4E-AED6-030A471520AC}"/>
    <hyperlink ref="Q1061" r:id="rId5696" xr:uid="{532FFDCF-9F72-9C47-A1E6-8347E4CD167A}"/>
    <hyperlink ref="Q1059" r:id="rId5697" xr:uid="{DF5F00EA-535D-C44D-9128-8F9362DC8F98}"/>
    <hyperlink ref="E1062" r:id="rId5698" xr:uid="{41ED9B2B-6712-EC40-A21A-ADCA9E12BC6B}"/>
    <hyperlink ref="Q1062" r:id="rId5699" xr:uid="{5C03D483-83CE-2347-B25C-1E4B1EA32775}"/>
    <hyperlink ref="Q1063" r:id="rId5700" xr:uid="{F4358E1C-DB2E-C448-BC92-FCB77F1CB142}"/>
    <hyperlink ref="Q1060" r:id="rId5701" xr:uid="{2EFCBDAF-9C67-294E-B2BE-757742BC1431}"/>
    <hyperlink ref="Q1058" r:id="rId5702" xr:uid="{4E4DB5E2-D614-0A4B-ABBA-51353C07A30E}"/>
    <hyperlink ref="E1057" r:id="rId5703" xr:uid="{DC27CF47-122F-CC44-AF0B-5832A6B1190D}"/>
    <hyperlink ref="Q1057" r:id="rId5704" xr:uid="{D5A4EC01-921C-E148-AC45-AEBF126A49C0}"/>
    <hyperlink ref="Q1056" r:id="rId5705" xr:uid="{D4121CE4-E731-7B47-A434-D3D96BAB7CB6}"/>
    <hyperlink ref="Q1055" r:id="rId5706" xr:uid="{87BA2DC0-9D3A-B544-B283-DFA0AFD5D0BF}"/>
    <hyperlink ref="E1052" r:id="rId5707" xr:uid="{AEB485DA-A177-CA44-8997-725D11ECD40A}"/>
    <hyperlink ref="Q1052" r:id="rId5708" xr:uid="{367F3CC8-610D-A244-A5EE-BC6A91097005}"/>
    <hyperlink ref="Q1051" r:id="rId5709" xr:uid="{9FD06177-E852-344C-9F0F-31FE04413868}"/>
    <hyperlink ref="E1046" r:id="rId5710" xr:uid="{4D185972-964D-DF42-9210-9BBE69796FB6}"/>
    <hyperlink ref="Q1046" r:id="rId5711" xr:uid="{BF65EAF1-07F1-E44D-AAF9-76EF25AF3475}"/>
    <hyperlink ref="E1045" r:id="rId5712" xr:uid="{9B084A9E-94CB-B844-AFFD-58915CC8ADDE}"/>
    <hyperlink ref="Q1045" r:id="rId5713" xr:uid="{A41492C5-9382-0540-AEE4-C0151CDE8FE8}"/>
    <hyperlink ref="E1047" r:id="rId5714" xr:uid="{CBF5207C-2FC8-6B41-8D2A-1BDA3D964E79}"/>
    <hyperlink ref="Q1047" r:id="rId5715" xr:uid="{DB9A408B-1D3D-714C-B356-8A37AA06375C}"/>
    <hyperlink ref="Q1044" r:id="rId5716" xr:uid="{6E5F460A-4A00-7B41-B5EC-CDF47A7E980C}"/>
    <hyperlink ref="E1049" r:id="rId5717" xr:uid="{44F13F6E-541B-5F43-8609-7933F8F86893}"/>
    <hyperlink ref="Q1049" r:id="rId5718" xr:uid="{40611BBE-57ED-AF47-A9C7-84F233B7AF86}"/>
    <hyperlink ref="E1050" r:id="rId5719" xr:uid="{18C1F35A-409B-9B47-B4B4-DA487BDF1DD8}"/>
    <hyperlink ref="Q1050" r:id="rId5720" xr:uid="{FD085A90-B349-224E-8688-BA4E12931783}"/>
    <hyperlink ref="E1048" r:id="rId5721" xr:uid="{678A40A3-F5C1-D349-954D-DEA9C1C72464}"/>
    <hyperlink ref="Q1048" r:id="rId5722" xr:uid="{18FD82F6-6853-384B-9CD3-E8E2B74B6AD3}"/>
    <hyperlink ref="E1039" r:id="rId5723" xr:uid="{DDE5E385-E6AF-4E4B-8F8F-AB690CB61738}"/>
    <hyperlink ref="Q1039" r:id="rId5724" xr:uid="{E2D1E96E-D076-4D42-9227-A517200B98F8}"/>
    <hyperlink ref="E1040" r:id="rId5725" xr:uid="{326154FA-23FD-AE4B-9C20-D9CF9404CD60}"/>
    <hyperlink ref="Q1040" r:id="rId5726" xr:uid="{73FE9CCC-79A3-3F4E-906B-1FD9D81509B3}"/>
    <hyperlink ref="E1043" r:id="rId5727" xr:uid="{A4FAE38A-AB07-5E46-88C2-02731ACB7865}"/>
    <hyperlink ref="Q1043" r:id="rId5728" xr:uid="{9FD40C19-EE99-EC4A-B2B1-7C4F9680680E}"/>
    <hyperlink ref="E1041" r:id="rId5729" xr:uid="{E37348DD-4931-C945-A42B-5DA55875C721}"/>
    <hyperlink ref="Q1041" r:id="rId5730" xr:uid="{5DBEAD14-2314-2E48-836B-893A3935A132}"/>
    <hyperlink ref="E1042" r:id="rId5731" xr:uid="{C33FC0F0-50CC-D14F-9F9D-07DC476BCF4F}"/>
    <hyperlink ref="Q1042" r:id="rId5732" xr:uid="{A45D0779-8BD4-4740-96F4-9DE19BFC9A44}"/>
    <hyperlink ref="E1033" r:id="rId5733" xr:uid="{35B38758-38CC-B741-A6EF-54BF57AE2B48}"/>
    <hyperlink ref="Q1033" r:id="rId5734" xr:uid="{47A54FCD-080E-D245-B82E-674347EEF25D}"/>
    <hyperlink ref="E1034" r:id="rId5735" xr:uid="{F62EF75E-9192-7842-A1F0-DA8008FA9056}"/>
    <hyperlink ref="Q1034" r:id="rId5736" xr:uid="{71CC6E2B-FC01-414B-8EE2-D8EEE3B33956}"/>
    <hyperlink ref="Q1036" r:id="rId5737" xr:uid="{B3A7D6AC-0325-F946-8E83-B6B8EA203703}"/>
    <hyperlink ref="E1035" r:id="rId5738" xr:uid="{C9591CE2-B178-6A44-B40A-9A47ADF727A9}"/>
    <hyperlink ref="Q1035" r:id="rId5739" xr:uid="{8349CB59-9549-9448-9859-DD7FDAB22698}"/>
    <hyperlink ref="E1032" r:id="rId5740" xr:uid="{41FAA759-5B9C-1C4D-B597-6760A42B6338}"/>
    <hyperlink ref="Q1032" r:id="rId5741" xr:uid="{6373A848-4A95-5041-9E5E-1F728DC82EAD}"/>
    <hyperlink ref="E1038" r:id="rId5742" xr:uid="{E76AA2E0-46E4-4741-B861-5E13B640E109}"/>
    <hyperlink ref="Q1038" r:id="rId5743" xr:uid="{8AE29523-8000-BA4C-A756-99DF72836428}"/>
    <hyperlink ref="Q1037" r:id="rId5744" xr:uid="{E1071409-B0F3-D341-9F45-7DB5478352AC}"/>
    <hyperlink ref="Q1030" r:id="rId5745" xr:uid="{517CAA7E-5558-134B-A9C3-8B6B2F4D5EA4}"/>
    <hyperlink ref="Q1027" r:id="rId5746" xr:uid="{0DC52D3B-C569-9043-9C38-E679790A5CE0}"/>
    <hyperlink ref="E1029" r:id="rId5747" xr:uid="{41DE8543-6B96-834B-85BC-957BF3C33037}"/>
    <hyperlink ref="Q1029" r:id="rId5748" xr:uid="{87ECAD31-3F11-6743-B588-B8009B560139}"/>
    <hyperlink ref="E1028" r:id="rId5749" xr:uid="{C3A48510-40D8-4249-905E-C204FAA55CBD}"/>
    <hyperlink ref="Q1028" r:id="rId5750" xr:uid="{56961CBA-B253-8E4F-B92E-76B4F3E2C7FD}"/>
    <hyperlink ref="E1025" r:id="rId5751" xr:uid="{3DE01890-7938-254C-A2D6-01132DF888F1}"/>
    <hyperlink ref="Q1025" r:id="rId5752" xr:uid="{E06579B8-9181-8544-A95E-A6204A22A54B}"/>
    <hyperlink ref="E1026" r:id="rId5753" xr:uid="{A65F9AA8-052C-074F-92B6-F2950513C6D2}"/>
    <hyperlink ref="Q1026" r:id="rId5754" xr:uid="{D62EFC12-96DF-8C42-8163-B9F34CEF774E}"/>
    <hyperlink ref="E1023" r:id="rId5755" xr:uid="{D307C2EF-A4CE-7447-91B6-61885955925A}"/>
    <hyperlink ref="Q1023" r:id="rId5756" xr:uid="{35EE3E6A-52AC-7041-B6C3-059E2ABF4806}"/>
    <hyperlink ref="Q1024" r:id="rId5757" xr:uid="{BD3826F8-4B4E-8748-B821-579065608F9B}"/>
    <hyperlink ref="E1022" r:id="rId5758" xr:uid="{4C520F83-324D-DE42-BBA6-A2060FC86663}"/>
    <hyperlink ref="Q1022" r:id="rId5759" xr:uid="{68703E54-7008-3047-AF1D-DD02FA7A54E2}"/>
    <hyperlink ref="E1017" r:id="rId5760" xr:uid="{78A31BB2-948F-5B4C-9A31-26D59D9C5D04}"/>
    <hyperlink ref="Q1017" r:id="rId5761" location="tracking-source=home-top-story-1" xr:uid="{1794A007-035D-E440-9656-7001FC086244}"/>
    <hyperlink ref="E1018" r:id="rId5762" xr:uid="{A8E7690B-1A03-0243-9E97-A1F1269E9F91}"/>
    <hyperlink ref="Q1018" r:id="rId5763" location="tracking-source=home-top-story-1" xr:uid="{CD47DF87-43CC-DB4A-AF55-D61D2A72D32C}"/>
    <hyperlink ref="E1021" r:id="rId5764" xr:uid="{317EC0B5-7FFE-B048-9375-F9AD40462C6D}"/>
    <hyperlink ref="Q1021" r:id="rId5765" xr:uid="{346C9BDD-04A8-6747-9178-58E6D8421AD3}"/>
    <hyperlink ref="Q1019" r:id="rId5766" xr:uid="{8D679AAB-8610-3849-8957-36F917A7D279}"/>
    <hyperlink ref="E1020" r:id="rId5767" xr:uid="{EA8FC424-E3AF-F445-9F92-C62D784214BE}"/>
    <hyperlink ref="Q1020" r:id="rId5768" xr:uid="{D5EF3E2F-18C5-714F-B793-DA5EA2B49288}"/>
    <hyperlink ref="E1015" r:id="rId5769" xr:uid="{2225627C-C228-2A42-BE2D-FAD84CBC953D}"/>
    <hyperlink ref="Q1015" r:id="rId5770" xr:uid="{2908FD9B-BC9C-7F4A-83B1-40BEB6283984}"/>
    <hyperlink ref="E1016" r:id="rId5771" xr:uid="{3038B3CE-B7C6-8443-BD88-9666AE88675A}"/>
    <hyperlink ref="Q1016" r:id="rId5772" xr:uid="{268F55CE-B8FC-1E4B-86F8-F40913C13905}"/>
    <hyperlink ref="Q1012" r:id="rId5773" xr:uid="{764A48B3-B74B-FD48-9EEC-364418C14A23}"/>
    <hyperlink ref="E1010" r:id="rId5774" xr:uid="{97C63143-0CDC-0445-971F-20B0C2B5A1A3}"/>
    <hyperlink ref="Q1010" r:id="rId5775" xr:uid="{0D5FC2C5-BEFD-1D42-BA7D-3C2E68772CD5}"/>
    <hyperlink ref="Q1013" r:id="rId5776" xr:uid="{8427E473-CCAA-4445-9E01-80D6E2B5CC46}"/>
    <hyperlink ref="Q1011" r:id="rId5777" xr:uid="{45020B89-EC27-EA43-B413-65F88C9A2A2F}"/>
    <hyperlink ref="Q1009" r:id="rId5778" xr:uid="{B2BDEE8D-021C-D643-AB90-08E470D8766F}"/>
    <hyperlink ref="Q1002" r:id="rId5779" xr:uid="{F9381E34-A1E9-BD48-A52E-F6641D64AB7A}"/>
    <hyperlink ref="Q1001" r:id="rId5780" xr:uid="{C65BD604-036A-334F-8C73-762EF5320C4B}"/>
    <hyperlink ref="E1000" r:id="rId5781" xr:uid="{174ECF91-DDF0-B24B-A4FC-61B66D112797}"/>
    <hyperlink ref="Q1000" r:id="rId5782" xr:uid="{BA592D2B-5C8C-CE4F-96AA-E8BF44E7B6CD}"/>
    <hyperlink ref="E1008" r:id="rId5783" xr:uid="{AC0C21F7-A965-6A4B-942C-B2E49AEB8D4D}"/>
    <hyperlink ref="Q1008" r:id="rId5784" xr:uid="{C14D460C-D55A-6249-B71C-82029B1EBD37}"/>
    <hyperlink ref="E1005" r:id="rId5785" xr:uid="{54C4824C-0692-4D4E-B029-C3D0D5E9D088}"/>
    <hyperlink ref="Q1005" r:id="rId5786" xr:uid="{11B642C0-793F-6540-A7C5-40563E2F3B52}"/>
    <hyperlink ref="E1006" r:id="rId5787" xr:uid="{F86B7A8C-C081-164E-BD78-08CC9FF8BF24}"/>
    <hyperlink ref="Q1006" r:id="rId5788" xr:uid="{46D1F332-4512-DE4C-BBE7-D8289A9AD4F5}"/>
    <hyperlink ref="E1007" r:id="rId5789" xr:uid="{A1932218-14D2-834E-8082-B65FFDB1B082}"/>
    <hyperlink ref="Q1007" r:id="rId5790" xr:uid="{00465EB4-0EC8-4347-AA06-7B7CD2C53D1C}"/>
    <hyperlink ref="E1003" r:id="rId5791" xr:uid="{F7CAF473-475D-9945-B623-3B75021811DF}"/>
    <hyperlink ref="Q1003" r:id="rId5792" xr:uid="{BA8304DF-85F5-B94C-87AD-CD007C12036E}"/>
    <hyperlink ref="E1004" r:id="rId5793" xr:uid="{BDCA50DD-B532-9640-A94B-E7C764046500}"/>
    <hyperlink ref="Q1004" r:id="rId5794" xr:uid="{BB572971-29A6-3241-8AE8-54FE1DBDF20F}"/>
    <hyperlink ref="E998" r:id="rId5795" xr:uid="{57B713FC-6C14-EB47-9B42-A5329945A8AE}"/>
    <hyperlink ref="Q998" r:id="rId5796" xr:uid="{1F2075C0-E393-B748-988C-CB905F43883E}"/>
    <hyperlink ref="Q999" r:id="rId5797" xr:uid="{A612BE20-B705-2347-93C1-F74C34772456}"/>
    <hyperlink ref="E997" r:id="rId5798" xr:uid="{2A7EB047-F8BE-0D4D-BCEF-B62269A96F6B}"/>
    <hyperlink ref="Q997" r:id="rId5799" xr:uid="{C9F30F3B-E816-8A4E-8364-562DF92D28E1}"/>
    <hyperlink ref="E996" r:id="rId5800" xr:uid="{74198DD9-8DA2-CA45-98AB-7F851DA000BC}"/>
    <hyperlink ref="Q996" r:id="rId5801" xr:uid="{247E77AC-61CA-F54A-9B61-FE08C34A178F}"/>
    <hyperlink ref="Q995" r:id="rId5802" xr:uid="{672CCB28-785E-D540-85B9-F1939953B6DF}"/>
    <hyperlink ref="Q994" r:id="rId5803" xr:uid="{7AD24451-6C54-FE46-B32B-674EA5A1C8BF}"/>
    <hyperlink ref="Q993" r:id="rId5804" xr:uid="{C69C5E17-8CAF-4F49-A8BB-280FD6528863}"/>
    <hyperlink ref="Q992" r:id="rId5805" xr:uid="{FF582028-EBBE-0143-AB19-ED8AAB372B86}"/>
    <hyperlink ref="Q989" r:id="rId5806" xr:uid="{A2FE4CDC-0B0F-9D4C-ADCB-6F62128B351A}"/>
    <hyperlink ref="E991" r:id="rId5807" xr:uid="{EAA204E3-2005-1C4D-9557-46F433F0BEFD}"/>
    <hyperlink ref="Q991" r:id="rId5808" xr:uid="{A4043CA7-D2F8-F24B-AB39-EE32C95337AB}"/>
    <hyperlink ref="Q990" r:id="rId5809" xr:uid="{A3371B67-2EF0-A747-AB16-AD7EAA1A5C0F}"/>
    <hyperlink ref="E987" r:id="rId5810" xr:uid="{F31B0426-AFBB-E841-B076-13A81C2EAED9}"/>
    <hyperlink ref="Q987" r:id="rId5811" xr:uid="{708EB4D1-BD4B-FE4D-A814-73BBCC316352}"/>
    <hyperlink ref="E986" r:id="rId5812" xr:uid="{AD23A233-23CD-824C-8AC4-CC612304D4F1}"/>
    <hyperlink ref="Q986" r:id="rId5813" xr:uid="{82A72631-C0B7-3F45-B861-AC0EB8B911A8}"/>
    <hyperlink ref="Q988" r:id="rId5814" xr:uid="{10AE141D-3BBE-4B44-86CA-5816B8E7DF7A}"/>
    <hyperlink ref="E985" r:id="rId5815" xr:uid="{CC031628-D880-E842-AB32-2C98D821F393}"/>
    <hyperlink ref="Q985" r:id="rId5816" xr:uid="{8B8F55D1-E1B1-FA41-9FDE-EAA35A266543}"/>
    <hyperlink ref="E983" r:id="rId5817" xr:uid="{FD8EC4E6-C519-B940-A57F-3B34AF97EE66}"/>
    <hyperlink ref="Q983" r:id="rId5818" xr:uid="{EE5CF9C2-DEAD-1245-8E72-79ADBAAABD80}"/>
    <hyperlink ref="Q982" r:id="rId5819" xr:uid="{27A840E1-6E88-AF4B-AF48-D661833B7D8E}"/>
    <hyperlink ref="Q984" r:id="rId5820" xr:uid="{E7CBA753-AECE-D143-A57A-466D722E27F3}"/>
    <hyperlink ref="Q979" r:id="rId5821" xr:uid="{825132D7-F2C4-9E44-8B64-364D68D2DCD7}"/>
    <hyperlink ref="Q975" r:id="rId5822" xr:uid="{E1BBAB8F-C176-6441-9996-22EC61B86C56}"/>
    <hyperlink ref="E981" r:id="rId5823" xr:uid="{B3AB690D-F301-714A-A21E-D4F7ACB06773}"/>
    <hyperlink ref="Q981" r:id="rId5824" xr:uid="{E554ACF2-E29C-B540-A485-4E07042362A5}"/>
    <hyperlink ref="E977" r:id="rId5825" xr:uid="{49393FF3-0716-7C48-8A99-28EB8739C1B3}"/>
    <hyperlink ref="Q977" r:id="rId5826" xr:uid="{77A670B8-2BD8-944F-9651-8754E68F879D}"/>
    <hyperlink ref="Q976" r:id="rId5827" xr:uid="{B4125148-6C30-434A-96CD-40FB37EC8B69}"/>
    <hyperlink ref="Q978" r:id="rId5828" xr:uid="{FB3D9832-D33B-D648-BC8D-AB4E55D04A80}"/>
    <hyperlink ref="Q980" r:id="rId5829" xr:uid="{A60355CF-3010-E648-9DEE-9CF5666E9461}"/>
    <hyperlink ref="E972" r:id="rId5830" xr:uid="{3BF24C05-83AC-5F4D-BFB1-EF521CDED60A}"/>
    <hyperlink ref="Q972" r:id="rId5831" xr:uid="{B3E07439-B868-BD43-9AF1-69FB2CD2C6D5}"/>
    <hyperlink ref="Q973" r:id="rId5832" xr:uid="{AB19695A-BE8B-CE4F-996A-4B562FE29E11}"/>
    <hyperlink ref="Q974" r:id="rId5833" xr:uid="{145294DD-E2C7-5542-9BCA-372FB15444C0}"/>
    <hyperlink ref="E969" r:id="rId5834" xr:uid="{6A925060-A88C-BC4F-A164-58C9E7142906}"/>
    <hyperlink ref="Q969" r:id="rId5835" xr:uid="{67B7F00C-9426-AF49-97AA-5A8DA3214013}"/>
    <hyperlink ref="Q971" r:id="rId5836" xr:uid="{BE65BA52-2FCC-CD43-A6FC-2CF28446FAD7}"/>
    <hyperlink ref="E968" r:id="rId5837" xr:uid="{CC0A784B-F1D1-8248-B768-B37802599D08}"/>
    <hyperlink ref="Q968" r:id="rId5838" xr:uid="{372A2CE6-B9E6-0F48-BC00-A30551A52E32}"/>
    <hyperlink ref="Q970" r:id="rId5839" xr:uid="{629561BA-8650-DD44-8419-2B1C45680FA2}"/>
    <hyperlink ref="E966" r:id="rId5840" xr:uid="{1E66E040-DE9D-A040-BD82-BB45FACF56DF}"/>
    <hyperlink ref="Q966" r:id="rId5841" xr:uid="{F586EA90-8845-FD45-A17B-A3E97A427E6A}"/>
    <hyperlink ref="E967" r:id="rId5842" xr:uid="{84D8399D-C5CA-0F44-81A6-BE76541D517A}"/>
    <hyperlink ref="Q967" r:id="rId5843" xr:uid="{15B40B58-B538-114D-9E95-4EB0E0A215E8}"/>
    <hyperlink ref="Q965" r:id="rId5844" xr:uid="{9DAD18DC-B9E4-D74C-AE69-61DE673A4F4E}"/>
    <hyperlink ref="Q962" r:id="rId5845" xr:uid="{01C717A6-55B6-5E42-90F7-D9C41B2192F4}"/>
    <hyperlink ref="E964" r:id="rId5846" xr:uid="{9EEAC4F0-DF84-E74D-9E7D-728860A505AD}"/>
    <hyperlink ref="Q964" r:id="rId5847" xr:uid="{49650D59-9474-8840-855A-5F4B3F5F7EC9}"/>
    <hyperlink ref="Q963" r:id="rId5848" xr:uid="{545E8837-8105-6D47-8B54-EDB09B0D9B3E}"/>
    <hyperlink ref="Q959" r:id="rId5849" xr:uid="{9C628C8C-8382-E945-A5F7-BCE9E4AC2469}"/>
    <hyperlink ref="E960" r:id="rId5850" xr:uid="{854911A9-2E23-574D-849A-2F213A86196A}"/>
    <hyperlink ref="Q960" r:id="rId5851" xr:uid="{DFCD2FD7-6011-374F-AC5F-8C8DA6488306}"/>
    <hyperlink ref="Q961" r:id="rId5852" xr:uid="{D6573662-6DCC-7646-9268-2667796977A3}"/>
    <hyperlink ref="Q957" r:id="rId5853" xr:uid="{58C60EC5-9973-1A4D-B328-B84E15ACE29C}"/>
    <hyperlink ref="Q958" r:id="rId5854" xr:uid="{2A976669-787E-0C46-AC01-31F9649A77C8}"/>
    <hyperlink ref="E954" r:id="rId5855" xr:uid="{473B9779-B42C-124E-B622-D534EBC98FA6}"/>
    <hyperlink ref="Q954" r:id="rId5856" xr:uid="{A4425B69-8AE6-124F-B60E-23236AC7B16C}"/>
    <hyperlink ref="Q955" r:id="rId5857" xr:uid="{DC406DEA-D231-3640-9D61-10D662C781A0}"/>
    <hyperlink ref="Q949" r:id="rId5858" xr:uid="{268A8EF8-74A0-F147-8F5C-5F71BF1D3F09}"/>
    <hyperlink ref="E953" r:id="rId5859" xr:uid="{730E3615-17B2-1645-B689-339F2ECF369B}"/>
    <hyperlink ref="Q953" r:id="rId5860" xr:uid="{5EE4F049-894D-624D-8F08-76250C5C6CE5}"/>
    <hyperlink ref="E951" r:id="rId5861" xr:uid="{8ACBFEA8-01D0-E34D-ADAA-26695D6F1666}"/>
    <hyperlink ref="Q951" r:id="rId5862" xr:uid="{2CA84EE4-BFF6-6742-8DB8-C77D13B8C861}"/>
    <hyperlink ref="E952" r:id="rId5863" xr:uid="{9865E27B-2112-8A43-8BEC-4E04D7CABB36}"/>
    <hyperlink ref="Q952" r:id="rId5864" xr:uid="{30D45BEE-0DDE-F041-A579-70517645B69C}"/>
    <hyperlink ref="E948" r:id="rId5865" xr:uid="{78296B7C-38C2-6843-9260-228319110C80}"/>
    <hyperlink ref="Q948" r:id="rId5866" xr:uid="{05692FB8-8877-4547-AB37-72EAF01C596A}"/>
    <hyperlink ref="E946" r:id="rId5867" xr:uid="{0E303DA0-907B-9644-AAC7-A1DF4B709B5E}"/>
    <hyperlink ref="Q946" r:id="rId5868" xr:uid="{F9B23BF2-FBDC-9646-8067-F7D155E3E9DB}"/>
    <hyperlink ref="E947" r:id="rId5869" xr:uid="{5024BA42-3C08-B347-8241-FCCACB8BE2C4}"/>
    <hyperlink ref="Q947" r:id="rId5870" xr:uid="{02723B77-E7B0-0543-A363-C4F8D32C56CA}"/>
    <hyperlink ref="Q942" r:id="rId5871" xr:uid="{60D86352-9738-514C-AFD3-54C7296C9F1E}"/>
    <hyperlink ref="Q943" r:id="rId5872" xr:uid="{71BF76DD-B92F-4C41-B809-875878624033}"/>
    <hyperlink ref="E944" r:id="rId5873" xr:uid="{93A4C180-A163-0943-AE74-2127F4E1AFC9}"/>
    <hyperlink ref="Q944" r:id="rId5874" xr:uid="{47A8D3B1-EE31-1242-A17F-950144C9DC21}"/>
    <hyperlink ref="Q945" r:id="rId5875" xr:uid="{99F82831-6186-594C-8C6A-81A73981F8AF}"/>
    <hyperlink ref="Q940" r:id="rId5876" xr:uid="{1045DA72-13FC-434A-9FE2-8BBE807DB0F6}"/>
    <hyperlink ref="Q941" r:id="rId5877" xr:uid="{1E1A09D0-2F45-A046-BA01-FFCDA842FEB1}"/>
    <hyperlink ref="Q938" r:id="rId5878" xr:uid="{6CBE0009-1B1B-7547-A6F1-AB29C3E8FEB2}"/>
    <hyperlink ref="E937" r:id="rId5879" xr:uid="{C9336400-0327-7847-848A-DCC62C10610D}"/>
    <hyperlink ref="Q937" r:id="rId5880" xr:uid="{08E67154-8E5F-8849-8F32-50D1B80B5BF3}"/>
    <hyperlink ref="E939" r:id="rId5881" xr:uid="{7A793ED4-5EED-274C-8894-3ED75B23F75A}"/>
    <hyperlink ref="Q939" r:id="rId5882" xr:uid="{3FDDE87F-00C9-644A-B058-BC4A0807E6A8}"/>
    <hyperlink ref="E936" r:id="rId5883" xr:uid="{F4CE53BA-4791-484A-94AA-A6365A24E71F}"/>
    <hyperlink ref="Q936" r:id="rId5884" xr:uid="{3C11DDFA-50D2-F848-9703-7501EC1EC4FB}"/>
    <hyperlink ref="Q935" r:id="rId5885" xr:uid="{D9C34CF8-D7AB-5845-A1D3-BD90120987CE}"/>
    <hyperlink ref="E931" r:id="rId5886" xr:uid="{EF1FE714-7A55-3E4B-A6AF-5590183E2622}"/>
    <hyperlink ref="Q931" r:id="rId5887" xr:uid="{B65AD29C-1216-C74D-ABBE-44B22D0746A5}"/>
    <hyperlink ref="E933" r:id="rId5888" xr:uid="{F8FC2476-8814-8C4B-A414-1B5585D93F1C}"/>
    <hyperlink ref="Q933" r:id="rId5889" xr:uid="{87026D8C-110A-5D49-ACD3-41529BDB1C82}"/>
    <hyperlink ref="Q932" r:id="rId5890" xr:uid="{47490AFE-DC8A-524E-800B-4027DCC47139}"/>
    <hyperlink ref="Q934" r:id="rId5891" xr:uid="{8A0BF8A6-B704-4749-8C5B-73ABAAC802AD}"/>
    <hyperlink ref="E928" r:id="rId5892" xr:uid="{D08F8340-DAFE-B549-9388-96D711F04BB2}"/>
    <hyperlink ref="Q928" r:id="rId5893" xr:uid="{A12B8BE1-4407-DC48-BDDE-094828073188}"/>
    <hyperlink ref="E926" r:id="rId5894" xr:uid="{C331E2A1-DB3D-F240-BA88-99F6A753834B}"/>
    <hyperlink ref="Q926" r:id="rId5895" xr:uid="{70252FFF-759D-EE47-8311-4C1892EDCC7C}"/>
    <hyperlink ref="Q930" r:id="rId5896" xr:uid="{4DCD1C9E-CB04-3046-BD6A-2A60662DDB41}"/>
    <hyperlink ref="Q929" r:id="rId5897" xr:uid="{B831A6EE-E0A6-2A4D-BDC5-E71EC74E8ABE}"/>
    <hyperlink ref="E927" r:id="rId5898" xr:uid="{8B2B5E43-28C1-324C-B43C-ABD5AEB7CC4F}"/>
    <hyperlink ref="Q927" r:id="rId5899" xr:uid="{35218E1D-0FE0-164F-B903-506D26007A2C}"/>
    <hyperlink ref="Q925" r:id="rId5900" xr:uid="{A7C5A6B1-3B4C-DA4D-84A5-95DF75ED2FB8}"/>
    <hyperlink ref="Q923" r:id="rId5901" xr:uid="{AB6883BA-5FC9-E545-99BD-E51C6688BE94}"/>
    <hyperlink ref="Q924" r:id="rId5902" xr:uid="{4603FF00-A808-E04F-9ADC-4CE34C0D55A5}"/>
    <hyperlink ref="E922" r:id="rId5903" xr:uid="{D1A12812-5BB6-324B-84CB-B72C5D2E8CFE}"/>
    <hyperlink ref="Q922" r:id="rId5904" xr:uid="{7A52A30F-FA6A-0C46-939E-3C66CEF75910}"/>
    <hyperlink ref="E921" r:id="rId5905" xr:uid="{D3283214-E98D-464A-AA6B-155EDD876435}"/>
    <hyperlink ref="Q921" r:id="rId5906" xr:uid="{928E2F5C-491A-414D-BFA5-5332E9103F21}"/>
    <hyperlink ref="Q920" r:id="rId5907" xr:uid="{F1A4E111-1CE7-EB43-B523-AD47DD9A2878}"/>
    <hyperlink ref="Q917" r:id="rId5908" xr:uid="{C6D2EF40-4753-B940-BBEE-EAB5AEBA4B3E}"/>
    <hyperlink ref="E919" r:id="rId5909" xr:uid="{1790F2D6-3E64-E945-AFB8-822507A3E9D7}"/>
    <hyperlink ref="Q919" r:id="rId5910" xr:uid="{CC4FDB86-2FB0-7A49-8E2E-DA1A7F929166}"/>
    <hyperlink ref="E918" r:id="rId5911" xr:uid="{61251797-87CD-6F4B-89B9-297A573681B5}"/>
    <hyperlink ref="Q918" r:id="rId5912" xr:uid="{395C451B-8450-2B4E-A41D-FCE04A69A69E}"/>
    <hyperlink ref="E916" r:id="rId5913" xr:uid="{0F34586F-9E29-B64B-8019-3A44C48C10FE}"/>
    <hyperlink ref="Q916" r:id="rId5914" xr:uid="{91694D78-3C06-ED43-A397-8B169C86BC95}"/>
    <hyperlink ref="E915" r:id="rId5915" xr:uid="{1C4F467C-8503-C048-B662-39B46C57D9A2}"/>
    <hyperlink ref="Q915" r:id="rId5916" xr:uid="{03C4DAF2-5A03-514E-9A3B-875CD8674472}"/>
    <hyperlink ref="Q914" r:id="rId5917" xr:uid="{B4E108BF-E2B0-D945-82F8-101B2A437634}"/>
    <hyperlink ref="Q912" r:id="rId5918" xr:uid="{8464709E-C4E5-4640-9818-750846853313}"/>
    <hyperlink ref="Q913" r:id="rId5919" xr:uid="{F3337CFC-36D8-4143-851B-4963318872DE}"/>
    <hyperlink ref="Q911" r:id="rId5920" xr:uid="{807951C0-D1D0-164E-978C-F3482434F9CD}"/>
    <hyperlink ref="E910" r:id="rId5921" xr:uid="{3F3B5FFD-E444-7D48-B073-62022C633144}"/>
    <hyperlink ref="Q910" r:id="rId5922" xr:uid="{4F4FD226-8B94-2249-8C2E-45A78C0B3DFC}"/>
    <hyperlink ref="Q907" r:id="rId5923" xr:uid="{B52FD57F-6005-0C43-A478-34F3C42DF902}"/>
    <hyperlink ref="E908" r:id="rId5924" xr:uid="{A32C49D7-D4D8-6F4B-AD69-3BDBB0F5A1E2}"/>
    <hyperlink ref="Q908" r:id="rId5925" xr:uid="{83826B5F-8965-9F4F-BB67-214D36A8B874}"/>
    <hyperlink ref="Q909" r:id="rId5926" xr:uid="{0756E259-456C-AC46-8575-650D0F465F38}"/>
    <hyperlink ref="Q906" r:id="rId5927" xr:uid="{30896B0A-0CC7-D441-BE8B-AA1A64CDDA80}"/>
    <hyperlink ref="Q901" r:id="rId5928" xr:uid="{390952DC-81FC-E64F-A1B3-87A678BA5699}"/>
    <hyperlink ref="E905" r:id="rId5929" xr:uid="{87C39554-A71F-6746-8BAF-B5C29949ADD9}"/>
    <hyperlink ref="Q905" r:id="rId5930" xr:uid="{B235F22F-FA11-644E-B5C6-6C603435EDBD}"/>
    <hyperlink ref="E902" r:id="rId5931" xr:uid="{A890374A-6D87-E14E-90CD-CD6548350F91}"/>
    <hyperlink ref="Q902" r:id="rId5932" xr:uid="{735A480C-E80F-3B46-A4C5-43FD08BB1212}"/>
    <hyperlink ref="E903" r:id="rId5933" xr:uid="{32283FF7-D0E2-BD46-AB5B-849935CA2E00}"/>
    <hyperlink ref="Q903" r:id="rId5934" xr:uid="{C73DD2A9-16B1-CC48-A6C3-28F86EA67034}"/>
    <hyperlink ref="E904" r:id="rId5935" xr:uid="{DA5D85DF-72E2-4D47-BA4F-5193D1F8D387}"/>
    <hyperlink ref="Q904" r:id="rId5936" xr:uid="{46C8B3ED-360A-1448-A3B1-7AB73074CE6A}"/>
    <hyperlink ref="E900" r:id="rId5937" xr:uid="{2D0C2532-1DDA-FA42-865D-F03520E2C98A}"/>
    <hyperlink ref="Q900" r:id="rId5938" xr:uid="{670760D6-63A3-894E-A1F3-793A32D75C86}"/>
    <hyperlink ref="Q898" r:id="rId5939" xr:uid="{3A7D4792-BC72-6347-BE1A-ADD1ECBEA823}"/>
    <hyperlink ref="Q896" r:id="rId5940" xr:uid="{8685067D-357B-7948-A308-397C199249E6}"/>
    <hyperlink ref="Q897" r:id="rId5941" xr:uid="{E2185F41-F8D3-C444-85E3-91ADBA27F3D1}"/>
    <hyperlink ref="Q899" r:id="rId5942" xr:uid="{5BD9F300-C382-D64C-81CB-B741B0AEE86F}"/>
    <hyperlink ref="E895" r:id="rId5943" xr:uid="{403E5C13-0CB2-454C-A19D-2EF59CA721B5}"/>
    <hyperlink ref="Q895" r:id="rId5944" xr:uid="{219F157E-7A40-574D-A42A-1C00FFF5F603}"/>
    <hyperlink ref="E894" r:id="rId5945" xr:uid="{B0BFFD51-FE76-3145-947A-12B216678925}"/>
    <hyperlink ref="Q894" r:id="rId5946" xr:uid="{CC58968C-9AD9-754C-A75D-056755B3329F}"/>
    <hyperlink ref="Q893" r:id="rId5947" xr:uid="{4213C9D9-5BEC-5A48-ACFC-4A597023791D}"/>
    <hyperlink ref="Q891" r:id="rId5948" xr:uid="{5FD1856D-5A10-3043-BA35-432218A952F2}"/>
    <hyperlink ref="E892" r:id="rId5949" xr:uid="{BF57532F-6823-C14E-B7E8-873C9A73E17C}"/>
    <hyperlink ref="Q892" r:id="rId5950" xr:uid="{81B7D7CE-4B1F-6144-A38B-963C1D8A2D9E}"/>
    <hyperlink ref="E890" r:id="rId5951" xr:uid="{79ADE722-3C5A-2A4F-B63B-0E71D7D37647}"/>
    <hyperlink ref="Q890" r:id="rId5952" xr:uid="{D672D68F-2F5C-1344-B3CD-785344C819F3}"/>
    <hyperlink ref="Q885" r:id="rId5953" xr:uid="{EDD5B541-0D18-5249-894B-E066160CEDF1}"/>
    <hyperlink ref="E886" r:id="rId5954" xr:uid="{1D7D6BC6-2D3F-5548-9B3A-CC3BC3FFB907}"/>
    <hyperlink ref="Q886" r:id="rId5955" xr:uid="{5897B572-71F4-3D4A-8EED-7EA8E9693EB4}"/>
    <hyperlink ref="E888" r:id="rId5956" xr:uid="{1FAEC6D5-062E-404A-9DFE-A56ECC5DCD7A}"/>
    <hyperlink ref="Q888" r:id="rId5957" xr:uid="{92C2207C-1C0C-9D4C-8E42-5DD75EEB0E8B}"/>
    <hyperlink ref="E887" r:id="rId5958" xr:uid="{9CFB33FC-807E-B748-BF17-2E99D85AED20}"/>
    <hyperlink ref="Q887" r:id="rId5959" xr:uid="{88718BBD-4790-6243-821D-7EFFE6448B07}"/>
    <hyperlink ref="E884" r:id="rId5960" xr:uid="{3C377E53-E321-0D4F-9AFB-7624587A1F10}"/>
    <hyperlink ref="Q884" r:id="rId5961" xr:uid="{2F306F63-56B3-6142-84A1-40F4E3EDC4DD}"/>
    <hyperlink ref="Q889" r:id="rId5962" xr:uid="{E3319027-36A7-A14E-9771-CE4F8EB6E126}"/>
    <hyperlink ref="Q882" r:id="rId5963" xr:uid="{68CAB544-293A-FD4E-9DD4-751711638E75}"/>
    <hyperlink ref="Q883" r:id="rId5964" xr:uid="{6018CCB7-BBED-FB46-9ECF-BB5B83A1E4A4}"/>
    <hyperlink ref="E878" r:id="rId5965" xr:uid="{1913470F-68BA-2D4D-BD94-92199EA0EA32}"/>
    <hyperlink ref="Q878" r:id="rId5966" xr:uid="{E93355DC-95D2-5648-B5DB-87C30ACF0221}"/>
    <hyperlink ref="Q880" r:id="rId5967" xr:uid="{ACD5A3E2-622D-9F4F-9E19-2D4E0F2AAD29}"/>
    <hyperlink ref="Q879" r:id="rId5968" xr:uid="{C2E25AD6-4157-D14A-A926-765BC8CCF480}"/>
    <hyperlink ref="Q881" r:id="rId5969" xr:uid="{DFF9233C-FECF-5A42-9CBA-2DD9DEBB8F7D}"/>
    <hyperlink ref="E875" r:id="rId5970" xr:uid="{C9149507-99D7-2D43-AE6D-CCD7E051A58E}"/>
    <hyperlink ref="Q875" r:id="rId5971" xr:uid="{97C0C559-14D6-8647-AD96-82BE75996A5D}"/>
    <hyperlink ref="Q876" r:id="rId5972" xr:uid="{3A872A3F-9E0B-6E4D-8516-37C8B2E701E7}"/>
    <hyperlink ref="E877" r:id="rId5973" xr:uid="{7C7370C9-6547-0C43-953F-4B087A891B0A}"/>
    <hyperlink ref="Q877" r:id="rId5974" xr:uid="{1FFA2D56-0756-D942-ADC8-00F568B0D5A2}"/>
    <hyperlink ref="E874" r:id="rId5975" xr:uid="{2C5BEE4E-B4B1-2449-9255-B1515A0E6772}"/>
    <hyperlink ref="Q874" r:id="rId5976" xr:uid="{E1611877-28D8-CF4F-ABBB-F47934DDC517}"/>
    <hyperlink ref="E872" r:id="rId5977" xr:uid="{3ABA5239-50C7-1B45-B4C8-20DB0F92BA7E}"/>
    <hyperlink ref="Q872" r:id="rId5978" xr:uid="{87E32AAB-4AFA-454D-8647-745D79FDAF02}"/>
    <hyperlink ref="E873" r:id="rId5979" xr:uid="{3FD535F9-4EC0-5045-8F40-6763784FFC72}"/>
    <hyperlink ref="Q873" r:id="rId5980" xr:uid="{936BE2BC-2201-B54A-A23D-2D73D913D5D1}"/>
    <hyperlink ref="E871" r:id="rId5981" xr:uid="{C7C7B34C-36F7-8347-98C8-C41348F4B3E2}"/>
    <hyperlink ref="Q871" r:id="rId5982" xr:uid="{9571BF88-813B-024D-B449-A1F8FFCE9512}"/>
    <hyperlink ref="E868" r:id="rId5983" xr:uid="{2B5FA6B6-3FE3-A743-A7DB-7EEF9141579E}"/>
    <hyperlink ref="Q868" r:id="rId5984" xr:uid="{516F99C4-92FF-5E40-87AB-3DD7C1A40990}"/>
    <hyperlink ref="Q870" r:id="rId5985" xr:uid="{57B05F56-A28C-CB46-A586-96A5B9768512}"/>
    <hyperlink ref="Q869" r:id="rId5986" xr:uid="{2BB08CF3-6DF6-274B-8172-3CED053310C9}"/>
    <hyperlink ref="E866" r:id="rId5987" xr:uid="{E2909C4D-6212-B54E-A58F-854C41855441}"/>
    <hyperlink ref="Q866" r:id="rId5988" xr:uid="{8D27C296-7920-8641-81AE-36C8F1A08E55}"/>
    <hyperlink ref="Q867" r:id="rId5989" xr:uid="{DA630BE4-47AE-CF42-B79B-94041E00BBCC}"/>
    <hyperlink ref="Q865" r:id="rId5990" xr:uid="{934EAF74-B1CD-1D44-B272-83B9E0A107F2}"/>
    <hyperlink ref="E864" r:id="rId5991" xr:uid="{9DC0D421-446E-8249-A6C6-BFF4E8CCF156}"/>
    <hyperlink ref="Q864" r:id="rId5992" xr:uid="{B190AA96-D430-F741-8309-B7C360209C47}"/>
    <hyperlink ref="Q861" r:id="rId5993" xr:uid="{5FD66FAC-B768-2A4A-BF34-A67609A88F0C}"/>
    <hyperlink ref="Q860" r:id="rId5994" xr:uid="{689D4337-FA66-3D49-B138-33C8E9A63793}"/>
    <hyperlink ref="Q858" r:id="rId5995" xr:uid="{CB52F39B-75D7-C649-B682-1E95B09E1261}"/>
    <hyperlink ref="E859" r:id="rId5996" xr:uid="{8A7BBB03-1C6C-E641-BE46-75ABBC2161E1}"/>
    <hyperlink ref="Q859" r:id="rId5997" xr:uid="{213111A4-3207-B14A-A523-1B8CEDF98F59}"/>
    <hyperlink ref="E857" r:id="rId5998" xr:uid="{E0D76310-02BA-C74A-94AC-27712CE5823C}"/>
    <hyperlink ref="Q857" r:id="rId5999" xr:uid="{57A36055-A052-3942-AF67-E308E7C4A171}"/>
    <hyperlink ref="E856" r:id="rId6000" xr:uid="{FF11E574-A48C-C141-8C03-9CAB97AF41A8}"/>
    <hyperlink ref="Q856" r:id="rId6001" xr:uid="{A4758EF5-73EC-BE4A-97B9-E1ADBB4B6443}"/>
    <hyperlink ref="E854" r:id="rId6002" xr:uid="{F582691C-E6F6-9545-8ADB-0B70A4928C6F}"/>
    <hyperlink ref="Q854" r:id="rId6003" xr:uid="{606617ED-95E1-D646-A16B-4EDA1C0F5CBE}"/>
    <hyperlink ref="E855" r:id="rId6004" xr:uid="{7B8AC3CE-935F-C740-BB20-C21BEEB9C401}"/>
    <hyperlink ref="Q855" r:id="rId6005" location="tracking-source=home-the-latest" xr:uid="{755A5EA1-A84A-FC4B-AB5B-961734FD8277}"/>
    <hyperlink ref="E853" r:id="rId6006" xr:uid="{A150BE86-A6E7-DB4C-8BB2-3BE49D3EA1A7}"/>
    <hyperlink ref="Q853" r:id="rId6007" xr:uid="{029FB254-1229-B749-9E1D-69FBE8FB8DBD}"/>
    <hyperlink ref="E851" r:id="rId6008" xr:uid="{D73EDC3B-FF98-6940-8FBC-13B240687A29}"/>
    <hyperlink ref="Q851" r:id="rId6009" xr:uid="{E77F5AE3-4462-E848-A27C-A25F92E521CE}"/>
    <hyperlink ref="E852" r:id="rId6010" xr:uid="{A97BFE8F-4879-2D47-95E6-1B23E40FEF5E}"/>
    <hyperlink ref="Q852" r:id="rId6011" xr:uid="{87E91CD8-50BC-C44D-9DD4-DE97FC62B362}"/>
    <hyperlink ref="E850" r:id="rId6012" xr:uid="{48C76D9E-4E76-1045-9945-2CE537BCF759}"/>
    <hyperlink ref="Q850" r:id="rId6013" xr:uid="{A3A28B4E-D16A-8A4A-A78F-9789E6BB4D0C}"/>
    <hyperlink ref="Q848" r:id="rId6014" xr:uid="{EF5FEBE8-A2CC-9B47-8C39-8E4662477C12}"/>
    <hyperlink ref="Q849" r:id="rId6015" xr:uid="{B396C9A8-DB1B-0245-AF41-37D9FA1D67D3}"/>
    <hyperlink ref="E847" r:id="rId6016" xr:uid="{0FDECA8D-422B-1540-A304-B45F77500220}"/>
    <hyperlink ref="Q847" r:id="rId6017" xr:uid="{0F9584A4-715B-AA4B-8DBC-4A7A4A713A84}"/>
    <hyperlink ref="E846" r:id="rId6018" xr:uid="{71BE0026-590C-3E42-B271-95DD5AB1A1FD}"/>
    <hyperlink ref="Q846" r:id="rId6019" xr:uid="{50FEBFBA-3697-9D40-87BD-91224F880C09}"/>
    <hyperlink ref="E845" r:id="rId6020" xr:uid="{C6294967-6C95-7740-9FF5-47714993C821}"/>
    <hyperlink ref="Q845" r:id="rId6021" xr:uid="{8D5FD36C-B501-504A-AF8B-31DDAF3FBD78}"/>
    <hyperlink ref="E842" r:id="rId6022" xr:uid="{B7B9B09D-7063-9546-9B04-D93D6A0EA4BB}"/>
    <hyperlink ref="Q842" r:id="rId6023" xr:uid="{C393E5BF-33FA-B04D-A969-36B12BBA273B}"/>
    <hyperlink ref="E843" r:id="rId6024" xr:uid="{074191E3-C764-2E46-8D18-A8DB971D51C3}"/>
    <hyperlink ref="Q843" r:id="rId6025" xr:uid="{EF31F7FD-3EEB-5E49-BC01-CD0210380866}"/>
    <hyperlink ref="Q841" r:id="rId6026" xr:uid="{16541C71-8493-6947-BD0F-B98E29438C75}"/>
    <hyperlink ref="Q840" r:id="rId6027" xr:uid="{2DB41A95-A2F8-5A49-A35D-2C9FC149DADC}"/>
    <hyperlink ref="E844" r:id="rId6028" xr:uid="{67446EFA-A201-2542-8737-F12F456874E4}"/>
    <hyperlink ref="Q844" r:id="rId6029" xr:uid="{4FCD56A4-3791-C04A-A374-9FB9CDC31B06}"/>
    <hyperlink ref="Q839" r:id="rId6030" xr:uid="{5A154BF8-C0A5-CB4E-8FF6-54028045AF77}"/>
    <hyperlink ref="E837" r:id="rId6031" xr:uid="{140CE41C-4E2A-4A47-8B6B-433F1FF9E833}"/>
    <hyperlink ref="Q837" r:id="rId6032" xr:uid="{C94FBE35-6D31-814C-806D-675CE595B488}"/>
    <hyperlink ref="E838" r:id="rId6033" xr:uid="{A4083845-0158-0143-9FFA-ABCBC5C02823}"/>
    <hyperlink ref="Q838" r:id="rId6034" xr:uid="{7E9D0291-14B7-BB4E-A5B1-33DDDA060113}"/>
    <hyperlink ref="E833" r:id="rId6035" xr:uid="{DC2F3FA9-6E59-704E-82C3-DB37296BD125}"/>
    <hyperlink ref="Q833" r:id="rId6036" xr:uid="{AB4401F5-3F8C-5F4D-9919-3B586EECDE06}"/>
    <hyperlink ref="Q832" r:id="rId6037" xr:uid="{8E710B7E-D196-F84F-9502-5F3899903A68}"/>
    <hyperlink ref="E835" r:id="rId6038" xr:uid="{68DEEC1A-9230-3245-B8E0-1A2A7DD1B39A}"/>
    <hyperlink ref="Q835" r:id="rId6039" xr:uid="{A2F173F7-C771-FA46-8293-6656B63547E6}"/>
    <hyperlink ref="E836" r:id="rId6040" xr:uid="{95FA1EAD-B6DB-7140-B3B6-821ACF8C8275}"/>
    <hyperlink ref="Q836" r:id="rId6041" xr:uid="{57659918-CC53-7742-86E4-45484E83EDDD}"/>
    <hyperlink ref="E831" r:id="rId6042" xr:uid="{E9C6DF19-E026-154A-82DA-549F44DA3CFA}"/>
    <hyperlink ref="Q831" r:id="rId6043" xr:uid="{709700F5-E45B-2543-9B92-8753F7969A55}"/>
    <hyperlink ref="E827" r:id="rId6044" xr:uid="{CFE51148-53FB-FD43-88AD-ABAF05505B1B}"/>
    <hyperlink ref="Q827" r:id="rId6045" xr:uid="{4E81AC4B-2C76-904D-85D7-D72DFEB08711}"/>
    <hyperlink ref="E829" r:id="rId6046" xr:uid="{E0384CFF-C84B-154E-9F73-E6D76866357E}"/>
    <hyperlink ref="Q829" r:id="rId6047" xr:uid="{B562B3C5-F783-924D-B6B0-951D6D06B548}"/>
    <hyperlink ref="Q828" r:id="rId6048" xr:uid="{D3ACDF34-C8A3-3544-A40F-7336AAB8AF3D}"/>
    <hyperlink ref="E824" r:id="rId6049" xr:uid="{ED1140D1-8BBC-1E4F-90EF-5790D774BAA3}"/>
    <hyperlink ref="Q824" r:id="rId6050" xr:uid="{9887336F-83D8-3348-886B-052D3A2C5473}"/>
    <hyperlink ref="E823" r:id="rId6051" xr:uid="{94973DE9-8B2D-A84C-8845-1B70C64D5169}"/>
    <hyperlink ref="Q823" r:id="rId6052" xr:uid="{D64093F3-3ED5-BB41-ACA5-279D53C95322}"/>
    <hyperlink ref="Q825" r:id="rId6053" xr:uid="{3462DC14-6910-3E4D-8753-A42D4CC416BF}"/>
    <hyperlink ref="E826" r:id="rId6054" xr:uid="{A995101E-CE12-534D-89BE-BA3039C06D72}"/>
    <hyperlink ref="Q826" r:id="rId6055" xr:uid="{4DC6CFCF-5E34-AE4F-AB85-2539DEF1B897}"/>
    <hyperlink ref="Q820" r:id="rId6056" xr:uid="{903DCD0D-EB2F-834F-BE89-2CB572AB5D4B}"/>
    <hyperlink ref="E819" r:id="rId6057" xr:uid="{2A053A42-EE90-B246-B810-D786B47B45C3}"/>
    <hyperlink ref="Q819" r:id="rId6058" xr:uid="{5D35D482-93D7-B34C-B453-FAFB2D81048E}"/>
    <hyperlink ref="E821" r:id="rId6059" xr:uid="{E7ABE1B9-AAD8-5348-8280-E6BBEB881DBC}"/>
    <hyperlink ref="Q821" r:id="rId6060" xr:uid="{BAED6DE7-873A-F949-B7F7-AB96EA44A6E1}"/>
    <hyperlink ref="Q822" r:id="rId6061" xr:uid="{80966758-2DDB-454C-BC81-2AB145DAE840}"/>
    <hyperlink ref="E818" r:id="rId6062" xr:uid="{EC6CF83A-4C90-9946-A60A-A02AAEC7A34A}"/>
    <hyperlink ref="Q818" r:id="rId6063" xr:uid="{8F8CEE19-00A3-CB44-B8EB-BEB33EC7D882}"/>
    <hyperlink ref="Q815" r:id="rId6064" xr:uid="{7CD954AD-56DB-B647-BD16-0D3A70E0ABB2}"/>
    <hyperlink ref="E816" r:id="rId6065" xr:uid="{7967F991-C557-F949-ADD9-3787866873B1}"/>
    <hyperlink ref="Q816" r:id="rId6066" xr:uid="{32C47B34-3C2D-1E44-BE15-79B181E55436}"/>
    <hyperlink ref="E817" r:id="rId6067" xr:uid="{8EE40852-B84F-3744-8984-5B236AF17E34}"/>
    <hyperlink ref="Q817" r:id="rId6068" xr:uid="{A9163F14-B8B0-5A49-B182-2C001F7D3935}"/>
    <hyperlink ref="E814" r:id="rId6069" xr:uid="{F3186335-E87A-E949-9922-A14C83F80776}"/>
    <hyperlink ref="Q814" r:id="rId6070" xr:uid="{E6A3A7E8-29F3-F44E-9346-43863B720088}"/>
    <hyperlink ref="Q812" r:id="rId6071" xr:uid="{80EB4EFF-458F-A44C-A8E1-FC93DF8A4660}"/>
    <hyperlink ref="E813" r:id="rId6072" xr:uid="{3923B540-05F3-2341-99D9-40A2A2C6FCB0}"/>
    <hyperlink ref="Q813" r:id="rId6073" xr:uid="{75F7E721-6912-3F43-A805-BDE96E133243}"/>
    <hyperlink ref="Q811" r:id="rId6074" xr:uid="{76AB6BDD-E905-9541-B2CB-C16E2F79FAAF}"/>
    <hyperlink ref="E807" r:id="rId6075" xr:uid="{F795C953-0F5E-1B4A-9E20-976076FE8D96}"/>
    <hyperlink ref="Q807" r:id="rId6076" xr:uid="{D25BA57A-B72B-2146-B91D-7CEC106A59D0}"/>
    <hyperlink ref="Q810" r:id="rId6077" xr:uid="{147D875C-792F-C141-92A1-1074B8B1037C}"/>
    <hyperlink ref="E806" r:id="rId6078" xr:uid="{61B5B934-1F36-274C-9A53-F96B27B87DA7}"/>
    <hyperlink ref="Q806" r:id="rId6079" xr:uid="{60E9F4FA-06CB-A84C-B4E6-6B3321616F49}"/>
    <hyperlink ref="E804" r:id="rId6080" xr:uid="{9AA38E69-E717-6945-B0CC-7FF488EE06E6}"/>
    <hyperlink ref="Q804" r:id="rId6081" xr:uid="{1776A547-6559-6141-9727-46C691B2EDFB}"/>
    <hyperlink ref="E805" r:id="rId6082" xr:uid="{54B36A8D-1EA6-794A-841D-F54D2B3A5DFD}"/>
    <hyperlink ref="Q805" r:id="rId6083" xr:uid="{B08E5ED6-4817-674F-91F8-B599162EC799}"/>
    <hyperlink ref="E803" r:id="rId6084" xr:uid="{8B560523-7780-2445-AE14-9F7A329FC96F}"/>
    <hyperlink ref="Q803" r:id="rId6085" xr:uid="{1FD09E2E-21CC-4D4F-B438-031481FCCB2E}"/>
    <hyperlink ref="E802" r:id="rId6086" xr:uid="{28792979-29D6-AE4A-A384-52DBA924E7DB}"/>
    <hyperlink ref="Q802" r:id="rId6087" xr:uid="{E2778B51-4BD2-044B-91AE-7F86B96406A0}"/>
    <hyperlink ref="E801" r:id="rId6088" xr:uid="{97C598F4-9A1C-6449-8B06-36692103AA92}"/>
    <hyperlink ref="Q801" r:id="rId6089" xr:uid="{F2D15313-E726-AB4A-B00B-82F145529DC6}"/>
    <hyperlink ref="E800" r:id="rId6090" xr:uid="{83B46BC1-589F-134D-874C-FFD1AC38B9A7}"/>
    <hyperlink ref="Q800" r:id="rId6091" xr:uid="{173EC5B1-79AD-E649-8C60-4765E22755C4}"/>
    <hyperlink ref="Q796" r:id="rId6092" xr:uid="{E8557B13-60E4-2144-A530-12C958129F78}"/>
    <hyperlink ref="Q799" r:id="rId6093" xr:uid="{43251144-5E1E-9C49-B747-0AFDF27AFC6F}"/>
    <hyperlink ref="E798" r:id="rId6094" xr:uid="{1AD7D985-D0C9-A94D-8597-DD1A2E29476A}"/>
    <hyperlink ref="Q798" r:id="rId6095" xr:uid="{E91FF9AB-A32E-974F-A2F7-D07C657571C1}"/>
    <hyperlink ref="Q797" r:id="rId6096" xr:uid="{48E220B2-FD7F-AC44-A6E2-47EE1DF8E40B}"/>
    <hyperlink ref="E790" r:id="rId6097" xr:uid="{237C40EB-7100-044F-A9AB-CEB5AE647AD5}"/>
    <hyperlink ref="Q790" r:id="rId6098" xr:uid="{44270E79-0E2B-B041-B871-8584253C9874}"/>
    <hyperlink ref="E791" r:id="rId6099" xr:uid="{7934D235-0035-9A4D-A1D8-25359E3CD803}"/>
    <hyperlink ref="Q791" r:id="rId6100" xr:uid="{5CD3AE14-42C6-3A4F-9211-08D8A906ED96}"/>
    <hyperlink ref="E795" r:id="rId6101" xr:uid="{E73486CC-1ACE-244E-BAE3-CD906013E7A4}"/>
    <hyperlink ref="Q795" r:id="rId6102" xr:uid="{7377A337-FB9E-1246-AD47-85F496BAA05A}"/>
    <hyperlink ref="E792" r:id="rId6103" xr:uid="{4587B449-FE12-264F-AB64-C6AB461E54EE}"/>
    <hyperlink ref="Q792" r:id="rId6104" xr:uid="{2D42E7E2-2D86-074A-87B2-3F17842C2744}"/>
    <hyperlink ref="Q794" r:id="rId6105" xr:uid="{1451530B-E704-044F-BD55-644E66BEA95D}"/>
    <hyperlink ref="E793" r:id="rId6106" xr:uid="{AE3E7616-6620-EF46-BF05-B3EE08FDC30D}"/>
    <hyperlink ref="Q793" r:id="rId6107" xr:uid="{5FE25C97-B87A-6A45-B3D1-3D3A1A76ED41}"/>
    <hyperlink ref="E787" r:id="rId6108" xr:uid="{28593BA5-D4E0-CD49-B5E8-B58F275A653C}"/>
    <hyperlink ref="Q787" r:id="rId6109" xr:uid="{73BCAADD-2B78-3048-8182-B7397D38411E}"/>
    <hyperlink ref="Q788" r:id="rId6110" xr:uid="{A8A1B1D9-062B-B043-91CA-4B231D5A6A7E}"/>
    <hyperlink ref="E789" r:id="rId6111" xr:uid="{D268496A-B40D-AE44-A263-30AEB2A3A13F}"/>
    <hyperlink ref="Q789" r:id="rId6112" xr:uid="{EF0E9CDD-B6F0-0E4C-80AB-35275E982185}"/>
    <hyperlink ref="E786" r:id="rId6113" xr:uid="{F7C3C81B-FC03-B348-AE91-80068C7DAC75}"/>
    <hyperlink ref="Q786" r:id="rId6114" xr:uid="{D489B2C9-F986-3841-BA9A-F1F0384B8C4F}"/>
    <hyperlink ref="Q781" r:id="rId6115" xr:uid="{C5771D69-0294-A448-8286-BCDD4A3CEBC5}"/>
    <hyperlink ref="Q785" r:id="rId6116" xr:uid="{4C1214AD-5F97-404B-A4EA-71F9C688AF57}"/>
    <hyperlink ref="E782" r:id="rId6117" xr:uid="{C52BD53F-58F1-F44A-B89A-78C29EEEBA92}"/>
    <hyperlink ref="Q782" r:id="rId6118" xr:uid="{A35D527F-DBDE-3A45-AA9C-51D12F3F7248}"/>
    <hyperlink ref="E784" r:id="rId6119" xr:uid="{17A89004-5F0A-384C-B137-B237C13AE934}"/>
    <hyperlink ref="Q784" r:id="rId6120" xr:uid="{97792628-6AFC-1247-BE90-0AAA03C9D084}"/>
    <hyperlink ref="Q780" r:id="rId6121" xr:uid="{D1F3F8C7-4AEF-FD48-9307-9392FE3533FB}"/>
    <hyperlink ref="E783" r:id="rId6122" xr:uid="{17A89241-192A-F340-A1C3-63F362EA5125}"/>
    <hyperlink ref="Q783" r:id="rId6123" xr:uid="{74D33A75-516A-5149-B286-1C84570912E7}"/>
    <hyperlink ref="E779" r:id="rId6124" xr:uid="{36A1352E-30CC-D944-96A6-168A1F1EF7E5}"/>
    <hyperlink ref="Q779" r:id="rId6125" xr:uid="{0017200C-A739-D94A-9EE0-FBF2B818530D}"/>
    <hyperlink ref="E777" r:id="rId6126" xr:uid="{C8016E9B-653E-B34B-A52E-21E53E927227}"/>
    <hyperlink ref="Q777" r:id="rId6127" xr:uid="{8BBCCFA1-510E-754E-B5DF-FA2F91FD4543}"/>
    <hyperlink ref="E778" r:id="rId6128" xr:uid="{F01088DD-2268-9A48-BB0E-26A39F6E1EEE}"/>
    <hyperlink ref="Q778" r:id="rId6129" xr:uid="{BEBF6C2D-731F-514D-A6EC-9F5193E30EB2}"/>
    <hyperlink ref="E773" r:id="rId6130" xr:uid="{55C65F27-0230-9043-8CB5-F92AE7B8CED2}"/>
    <hyperlink ref="Q773" r:id="rId6131" xr:uid="{1F2825A9-9ADF-0942-B7A3-9DA23B815EF7}"/>
    <hyperlink ref="E774" r:id="rId6132" xr:uid="{5224F64C-B2E2-8F45-89D3-AFE0CD3FAC61}"/>
    <hyperlink ref="Q774" r:id="rId6133" xr:uid="{7612B101-7F94-F743-A268-D1EE99F5532C}"/>
    <hyperlink ref="Q775" r:id="rId6134" xr:uid="{DAF2C15D-BF53-FA4F-B96A-869F1E9D00D1}"/>
    <hyperlink ref="E771" r:id="rId6135" xr:uid="{86587958-2E2D-4841-B93E-F587BB21977E}"/>
    <hyperlink ref="Q771" r:id="rId6136" xr:uid="{930EBBAF-3588-034C-8AC5-CFA24E399E7A}"/>
    <hyperlink ref="E770" r:id="rId6137" xr:uid="{7283248C-D9F1-9348-9C37-5F40C47124BD}"/>
    <hyperlink ref="Q770" r:id="rId6138" xr:uid="{8644C97A-E483-CC4D-B79C-FBE675467E46}"/>
    <hyperlink ref="E772" r:id="rId6139" xr:uid="{5D68BA7D-1C8C-1F4B-89CA-D183E095336E}"/>
    <hyperlink ref="Q772" r:id="rId6140" xr:uid="{2D9F2640-1C64-DB4D-8A9A-54F35B066A7D}"/>
    <hyperlink ref="Q768" r:id="rId6141" xr:uid="{FD3187DD-F935-4A4B-A4CA-3EFBC5386333}"/>
    <hyperlink ref="E765" r:id="rId6142" xr:uid="{4358DDC8-F8AE-AA44-8E49-0DAB45CED9AE}"/>
    <hyperlink ref="Q765" r:id="rId6143" xr:uid="{128D1F00-771F-C944-94AA-BC813C818F84}"/>
    <hyperlink ref="E767" r:id="rId6144" xr:uid="{E235E326-E308-854B-81A8-0E3D873C4CD3}"/>
    <hyperlink ref="Q767" r:id="rId6145" xr:uid="{0871F59C-11BA-F542-AD63-FBB14DD5572A}"/>
    <hyperlink ref="Q766" r:id="rId6146" xr:uid="{031938A9-801C-9A4B-AD67-786E42715A98}"/>
    <hyperlink ref="E769" r:id="rId6147" xr:uid="{75B24D8B-9965-D146-855E-A710D6D927C8}"/>
    <hyperlink ref="Q769" r:id="rId6148" xr:uid="{C6A57B7B-4B71-004D-A46D-26DB68DCCAC9}"/>
    <hyperlink ref="E762" r:id="rId6149" xr:uid="{A5FECC1C-B039-EF43-A061-3A801235102A}"/>
    <hyperlink ref="Q762" r:id="rId6150" xr:uid="{921138A0-29E3-6F4B-96CA-195421D96CEC}"/>
    <hyperlink ref="Q763" r:id="rId6151" xr:uid="{5C2D863E-DD37-384D-A380-A9CDA599F20E}"/>
    <hyperlink ref="Q764" r:id="rId6152" xr:uid="{589102C6-F83B-114C-A36B-505DBD9D30BF}"/>
    <hyperlink ref="E759" r:id="rId6153" xr:uid="{97D121E8-DBF8-D843-BC8C-819502475C55}"/>
    <hyperlink ref="Q759" r:id="rId6154" xr:uid="{DE5F7488-3B60-3640-8130-71F724DFB9F6}"/>
    <hyperlink ref="E761" r:id="rId6155" xr:uid="{E3966018-6FD0-F34D-991E-EC3CD578964F}"/>
    <hyperlink ref="Q761" r:id="rId6156" xr:uid="{AAED307E-29AD-C54B-A2AC-FBBB1ADA7880}"/>
    <hyperlink ref="Q760" r:id="rId6157" xr:uid="{8DF61696-708C-B247-8FF2-18BBAE28D4EF}"/>
    <hyperlink ref="Q757" r:id="rId6158" xr:uid="{7BE72B1F-E5E2-704A-86A6-4F748F53BDFA}"/>
    <hyperlink ref="Q758" r:id="rId6159" xr:uid="{6228CDB1-0CEC-D34D-86B8-45D1FD62F84F}"/>
    <hyperlink ref="Q755" r:id="rId6160" xr:uid="{7AD79E93-C72B-FF40-B4F9-5F601A83931E}"/>
    <hyperlink ref="Q754" r:id="rId6161" xr:uid="{A2658811-5956-0C4F-84D8-AA53503CD93C}"/>
    <hyperlink ref="E756" r:id="rId6162" xr:uid="{1814F28C-1C38-EC45-9C12-44635F9F8C65}"/>
    <hyperlink ref="Q756" r:id="rId6163" xr:uid="{FE60DCC0-9D4D-D944-9211-D9BA82D51579}"/>
    <hyperlink ref="Q753" r:id="rId6164" xr:uid="{93C64B5D-9C10-C647-962B-83D2897D6D1A}"/>
    <hyperlink ref="Q751" r:id="rId6165" xr:uid="{CD94B361-B700-0144-B2D5-10DA41C63144}"/>
    <hyperlink ref="Q750" r:id="rId6166" xr:uid="{BDCA8406-A906-054B-87D3-214FDB28E903}"/>
    <hyperlink ref="Q752" r:id="rId6167" xr:uid="{66FCB128-ED12-654E-900A-DD25872777F3}"/>
    <hyperlink ref="Q746" r:id="rId6168" xr:uid="{1C4CFDD9-A377-AB4C-9305-0715B18A1231}"/>
    <hyperlink ref="E748" r:id="rId6169" xr:uid="{6F63FA77-D6D5-B64C-83D1-671FF9CF0F01}"/>
    <hyperlink ref="Q748" r:id="rId6170" xr:uid="{A7B64A55-8F53-6C45-83E4-5C4B4F1F7024}"/>
    <hyperlink ref="Q749" r:id="rId6171" xr:uid="{F63B5D4E-CA6D-3841-964D-9514367C1CDE}"/>
    <hyperlink ref="Q745" r:id="rId6172" xr:uid="{B67393CD-96F9-F549-BFDB-BBEA879B14FB}"/>
    <hyperlink ref="Q747" r:id="rId6173" xr:uid="{9519A949-1ADE-CB43-A3C5-4F265B3A99D5}"/>
    <hyperlink ref="Q743" r:id="rId6174" xr:uid="{440928E3-8F5F-4D4D-8C2E-4FB762C74D8A}"/>
    <hyperlink ref="Q742" r:id="rId6175" xr:uid="{021FD91B-A7EA-6E46-B3EB-7725BDBFA1E4}"/>
    <hyperlink ref="Q744" r:id="rId6176" xr:uid="{BE6D3C9E-BE67-FF4D-B1AE-53F547274BF1}"/>
    <hyperlink ref="E738" r:id="rId6177" xr:uid="{47440C78-9376-D942-A462-E55B8E69B46D}"/>
    <hyperlink ref="Q738" r:id="rId6178" xr:uid="{9A6B1C88-E00F-1B4A-9D58-4EB7B2AD6874}"/>
    <hyperlink ref="Q741" r:id="rId6179" xr:uid="{0DE59E39-BBE4-A34B-A2BD-5262054845E7}"/>
    <hyperlink ref="E740" r:id="rId6180" xr:uid="{7DC9DF83-9281-864E-B9D6-117B9BCE9A16}"/>
    <hyperlink ref="Q740" r:id="rId6181" xr:uid="{FF62F8DF-319C-DC45-AC66-DC09A6D7C203}"/>
    <hyperlink ref="E739" r:id="rId6182" xr:uid="{2C31B2BC-6DD2-B14E-90BE-199ADC638944}"/>
    <hyperlink ref="Q739" r:id="rId6183" xr:uid="{770D12BB-C102-B44C-A69B-36DCB26D3508}"/>
    <hyperlink ref="E736" r:id="rId6184" xr:uid="{65DAC6F3-C38D-384F-8609-638610A866AF}"/>
    <hyperlink ref="Q736" r:id="rId6185" xr:uid="{E0EEC871-45A9-1249-A337-69244C20C45C}"/>
    <hyperlink ref="Q735" r:id="rId6186" xr:uid="{051ECA5D-4830-E241-B70A-CAA51E388EEB}"/>
    <hyperlink ref="E737" r:id="rId6187" xr:uid="{A4CF9632-E5C0-8F44-9E7D-38A9CB79635D}"/>
    <hyperlink ref="Q737" r:id="rId6188" xr:uid="{CFA815CE-E239-4547-A57D-FA61B9AC6F51}"/>
    <hyperlink ref="Q730" r:id="rId6189" xr:uid="{AFA41FB7-C055-BC48-B334-87C66A02EECA}"/>
    <hyperlink ref="Q734" r:id="rId6190" xr:uid="{1C649AEB-0645-3A45-BF98-CC61F293C7E8}"/>
    <hyperlink ref="E731" r:id="rId6191" xr:uid="{F46749B4-FB43-9A47-BD90-15570D845AC4}"/>
    <hyperlink ref="Q731" r:id="rId6192" xr:uid="{36B0BBB5-91AA-E448-8E79-557647457108}"/>
    <hyperlink ref="E732" r:id="rId6193" xr:uid="{8848FDF0-F13D-0743-9D7F-84DBCD8624AE}"/>
    <hyperlink ref="Q732" r:id="rId6194" xr:uid="{6DCA0D1B-9DB8-E64D-B316-106497FF8E95}"/>
    <hyperlink ref="Q733" r:id="rId6195" xr:uid="{868B29A8-7B28-5446-B467-428731E8EE2E}"/>
    <hyperlink ref="Q729" r:id="rId6196" xr:uid="{3B2F763C-B294-6B4A-960F-9A5582DB0D2C}"/>
    <hyperlink ref="E727" r:id="rId6197" xr:uid="{358492CC-507B-A648-B9AB-3326A27EBD55}"/>
    <hyperlink ref="Q727" r:id="rId6198" xr:uid="{14008C28-2490-8148-A019-E7D2BAB5EF8B}"/>
    <hyperlink ref="E728" r:id="rId6199" xr:uid="{29A3AC70-C8E6-F34F-AE02-3BFE140A16E9}"/>
    <hyperlink ref="Q728" r:id="rId6200" xr:uid="{A7E113B9-13E3-0D4D-83B6-084453F7DF19}"/>
    <hyperlink ref="E725" r:id="rId6201" xr:uid="{AE11FF4A-5C8F-E143-80D4-B8FB9A986825}"/>
    <hyperlink ref="Q725" r:id="rId6202" xr:uid="{90F31512-7A95-2A4B-A120-84A7E0A19AF8}"/>
    <hyperlink ref="Q726" r:id="rId6203" xr:uid="{1A33291F-F8F6-7947-A25B-B6E67AA751B6}"/>
    <hyperlink ref="Q724" r:id="rId6204" xr:uid="{97973CB3-CFFA-1541-BC20-4E7AE4238DE0}"/>
    <hyperlink ref="Q723" r:id="rId6205" xr:uid="{3F894221-0B22-684D-BF78-A797F882E628}"/>
    <hyperlink ref="Q722" r:id="rId6206" xr:uid="{ECF7F63D-12BF-E84B-8E89-562B2987DD68}"/>
    <hyperlink ref="Q720" r:id="rId6207" xr:uid="{103A5897-9373-B34D-8000-917600B1FFC8}"/>
    <hyperlink ref="Q721" r:id="rId6208" xr:uid="{917E59F8-B11A-A443-AF58-1391030948C6}"/>
    <hyperlink ref="E719" r:id="rId6209" xr:uid="{9FCCB6FF-07A2-EB41-BA77-51755ABAFC4E}"/>
    <hyperlink ref="Q719" r:id="rId6210" xr:uid="{A2BEF68F-7FEB-514D-ADF4-1FE554D1D86C}"/>
    <hyperlink ref="Q713" r:id="rId6211" location="tracking-source=home-the-latest" xr:uid="{0A70DD1A-F15A-4045-AAFA-F41A0FA4B76C}"/>
    <hyperlink ref="E717" r:id="rId6212" xr:uid="{DA1DFF73-87A7-1744-8302-7E7B3C251111}"/>
    <hyperlink ref="Q717" r:id="rId6213" xr:uid="{C04C598A-B893-0140-834D-6621F2BDC75D}"/>
    <hyperlink ref="Q714" r:id="rId6214" xr:uid="{44FA3EA1-D435-6F43-87AE-251FC5099253}"/>
    <hyperlink ref="E715" r:id="rId6215" xr:uid="{8A325204-42A2-C247-B715-2FFFDC3C4416}"/>
    <hyperlink ref="Q715" r:id="rId6216" location="tracking-source=home-top-story-1" xr:uid="{A4BB06C6-EE95-2546-B6A2-CE7AC3B56266}"/>
    <hyperlink ref="E716" r:id="rId6217" xr:uid="{481BFFE3-4071-BA41-B811-931AB7E1358E}"/>
    <hyperlink ref="Q716" r:id="rId6218" xr:uid="{416FB9C4-A33F-D746-9324-26D341C1506B}"/>
    <hyperlink ref="Q712" r:id="rId6219" xr:uid="{B9E8950D-9E8A-4247-9ADB-5690AD0F1A52}"/>
    <hyperlink ref="E710" r:id="rId6220" xr:uid="{007BBCCC-5E2D-8548-8F9B-7F98266A281B}"/>
    <hyperlink ref="Q710" r:id="rId6221" xr:uid="{DFA6ECDA-C4D3-4B43-9860-0E0E5B9D2446}"/>
    <hyperlink ref="E711" r:id="rId6222" xr:uid="{896B8F2F-AFF0-5649-A022-023CB06FBD7E}"/>
    <hyperlink ref="Q711" r:id="rId6223" xr:uid="{60C60C93-494D-C04A-A2FB-236848067ABB}"/>
    <hyperlink ref="E709" r:id="rId6224" xr:uid="{306BBEB4-EB97-F742-B899-1183450F6966}"/>
    <hyperlink ref="Q709" r:id="rId6225" xr:uid="{6D3CCA72-BC04-D244-BEA5-4412E20333DC}"/>
    <hyperlink ref="Q706" r:id="rId6226" xr:uid="{F105C3A4-8250-5D42-B65B-0B582AEB329A}"/>
    <hyperlink ref="E708" r:id="rId6227" xr:uid="{CF70EC5E-A6E1-014D-A8A1-62DABF57FB5B}"/>
    <hyperlink ref="Q708" r:id="rId6228" xr:uid="{A2AA40C3-DB8D-594F-9865-823E52C1AA57}"/>
    <hyperlink ref="E707" r:id="rId6229" xr:uid="{4C873AF3-2246-9D40-B6C3-77D04CD71ADF}"/>
    <hyperlink ref="Q707" r:id="rId6230" xr:uid="{EE78892E-9E5A-1146-86E6-F4C18E653548}"/>
    <hyperlink ref="E705" r:id="rId6231" xr:uid="{A0C3436F-7B08-134C-AE38-7D27250C1D1E}"/>
    <hyperlink ref="Q705" r:id="rId6232" xr:uid="{8CFE03A2-F6BE-A940-A582-21F968DEB6C2}"/>
    <hyperlink ref="E703" r:id="rId6233" xr:uid="{DAC76911-10A9-094B-8C6B-17FAB041FDDC}"/>
    <hyperlink ref="Q703" r:id="rId6234" xr:uid="{16966DB6-2073-1247-9232-BB3925A5CAE7}"/>
    <hyperlink ref="E702" r:id="rId6235" xr:uid="{B086306D-CAD1-B94C-A9BF-EBE8FBA50F5F}"/>
    <hyperlink ref="Q702" r:id="rId6236" xr:uid="{B21A2847-EA48-924D-A5A0-C4277D1F5705}"/>
    <hyperlink ref="Q704" r:id="rId6237" xr:uid="{C3E9165B-D289-2645-929E-FD552516667C}"/>
    <hyperlink ref="E701" r:id="rId6238" xr:uid="{F07A6995-E042-7242-A245-1B1CA8E75F74}"/>
    <hyperlink ref="Q701" r:id="rId6239" xr:uid="{F4A0702D-022B-5E4D-8579-01D24A87DCA5}"/>
    <hyperlink ref="E698" r:id="rId6240" xr:uid="{889440E8-BACD-5E46-B798-D6E1A73648FD}"/>
    <hyperlink ref="Q698" r:id="rId6241" xr:uid="{027D909C-5057-A144-80D4-45BC549AD8F5}"/>
    <hyperlink ref="Q700" r:id="rId6242" xr:uid="{0BFBD3E7-9F76-AB45-B963-155E453D5EFD}"/>
    <hyperlink ref="Q699" r:id="rId6243" xr:uid="{5BB6AC42-CE5E-EB47-982D-861ECACE40DF}"/>
    <hyperlink ref="Q694" r:id="rId6244" xr:uid="{52E1E15E-76DC-2443-AAEA-8207037599EA}"/>
    <hyperlink ref="E696" r:id="rId6245" xr:uid="{9E0FF5F7-38EC-484F-8D5C-62C2A5C40462}"/>
    <hyperlink ref="Q696" r:id="rId6246" xr:uid="{C3CC92E5-23BC-034F-A305-762A3E99644A}"/>
    <hyperlink ref="Q697" r:id="rId6247" xr:uid="{D040E11A-4838-624F-86B7-E607A0946841}"/>
    <hyperlink ref="E689" r:id="rId6248" xr:uid="{D5B40CAB-41DD-AC47-87E7-30FC6DAE416F}"/>
    <hyperlink ref="Q689" r:id="rId6249" xr:uid="{D95B96D9-1A86-024D-A789-5B67E5BA5E8B}"/>
    <hyperlink ref="Q690" r:id="rId6250" xr:uid="{899C1AF6-D360-F946-9E8E-534927B13B96}"/>
    <hyperlink ref="E691" r:id="rId6251" xr:uid="{6ACA1D38-BD43-1C4D-8BFD-1BE1849B23D6}"/>
    <hyperlink ref="Q691" r:id="rId6252" xr:uid="{08913AA2-0363-174B-AFB7-DE145C6ED571}"/>
    <hyperlink ref="Q693" r:id="rId6253" xr:uid="{D13DB56D-42D3-C540-BBC7-DE371F2865E3}"/>
    <hyperlink ref="Q685" r:id="rId6254" xr:uid="{68BB3B8E-7DCA-5E43-A964-BA2803E088DA}"/>
    <hyperlink ref="Q686" r:id="rId6255" xr:uid="{23C2F4E3-BFA6-9542-83C5-D67E43CE7C1F}"/>
    <hyperlink ref="Q687" r:id="rId6256" xr:uid="{26B1140E-3019-0544-91DD-FB1C0F7AE041}"/>
    <hyperlink ref="E688" r:id="rId6257" xr:uid="{314E4B3C-FDD0-E244-BEA2-E13ECAC769DC}"/>
    <hyperlink ref="Q688" r:id="rId6258" xr:uid="{6AFA9BB3-464A-654D-B38D-2E0CA1B527B7}"/>
    <hyperlink ref="Q683" r:id="rId6259" xr:uid="{A2DF5571-7949-BC48-8994-9F5A6CE33A4D}"/>
    <hyperlink ref="E681" r:id="rId6260" xr:uid="{0A24524B-C1AF-8645-AD3F-EB7BE2790B2B}"/>
    <hyperlink ref="Q681" r:id="rId6261" xr:uid="{5A68EE38-61DA-AB4E-90E3-2C5B6076ACC4}"/>
    <hyperlink ref="E680" r:id="rId6262" xr:uid="{C95B27E0-FF0C-394A-AD56-B1604B911422}"/>
    <hyperlink ref="Q680" r:id="rId6263" xr:uid="{C91AC4E8-5F32-F84B-BC7C-86FB3BD24C05}"/>
    <hyperlink ref="E684" r:id="rId6264" xr:uid="{EEC1FCA5-9407-E14B-8573-96BCA5BAFC1A}"/>
    <hyperlink ref="Q684" r:id="rId6265" xr:uid="{8DA8F404-F68F-B243-A1C1-E8B2CCB25612}"/>
    <hyperlink ref="Q682" r:id="rId6266" xr:uid="{69031723-12FF-DB40-B99F-672392BBAEAE}"/>
    <hyperlink ref="E677" r:id="rId6267" xr:uid="{25F8AF2B-8B7F-DE4B-87AE-0DEEBD4A8291}"/>
    <hyperlink ref="Q677" r:id="rId6268" xr:uid="{31BAAE67-A006-144D-9B7B-B2A1AA974B93}"/>
    <hyperlink ref="E679" r:id="rId6269" xr:uid="{08E28119-1421-5A4D-A16A-49716A06B184}"/>
    <hyperlink ref="Q679" r:id="rId6270" xr:uid="{CFB0B411-B7C3-7C4D-9DED-88E0B6533276}"/>
    <hyperlink ref="E678" r:id="rId6271" xr:uid="{94EA7179-A119-6249-B233-AFCFF4097110}"/>
    <hyperlink ref="Q678" r:id="rId6272" xr:uid="{E85CB7DF-44EC-434D-AE1E-47B8D40524BE}"/>
    <hyperlink ref="E674" r:id="rId6273" xr:uid="{EEB6F335-AC7D-A54A-9078-BC07108E29DB}"/>
    <hyperlink ref="Q674" r:id="rId6274" xr:uid="{70EEC133-BDD6-3D45-8892-4B7BDF2A2985}"/>
    <hyperlink ref="E676" r:id="rId6275" xr:uid="{0719FC07-7019-B24E-ABBA-D40F3C1B3A90}"/>
    <hyperlink ref="Q676" r:id="rId6276" xr:uid="{A6655816-8BB3-0A46-A3A7-C48826705535}"/>
    <hyperlink ref="Q675" r:id="rId6277" xr:uid="{F5F70150-C626-DA4C-8E65-F0D50CB8335B}"/>
    <hyperlink ref="Q672" r:id="rId6278" xr:uid="{116D4424-9A7C-494A-A648-85C8AF372A8E}"/>
    <hyperlink ref="Q673" r:id="rId6279" xr:uid="{2D5AB696-62C2-C642-858D-1202801E4216}"/>
    <hyperlink ref="Q670" r:id="rId6280" xr:uid="{99306263-8C82-274D-BE7E-67DAB366F2D9}"/>
    <hyperlink ref="E671" r:id="rId6281" xr:uid="{09D7C717-D179-9048-9F24-C36AAE8C690C}"/>
    <hyperlink ref="Q671" r:id="rId6282" xr:uid="{CC8C4731-E18E-F845-BB39-E3D34812240E}"/>
    <hyperlink ref="E669" r:id="rId6283" xr:uid="{E87B5135-B877-1B41-A4C9-204C008ABDE4}"/>
    <hyperlink ref="Q669" r:id="rId6284" xr:uid="{95B54A3E-D632-AF4D-9284-BFBAA0867B82}"/>
    <hyperlink ref="Q668" r:id="rId6285" xr:uid="{4F84521E-FB2F-1144-B518-131E48D730E0}"/>
    <hyperlink ref="Q667" r:id="rId6286" xr:uid="{A3066D0B-04DA-2846-B486-3CFEDA4514C6}"/>
    <hyperlink ref="E665" r:id="rId6287" xr:uid="{652AC278-457A-0148-99FE-D3519A3AE369}"/>
    <hyperlink ref="Q665" r:id="rId6288" xr:uid="{E638D167-871B-5948-8CDE-82031F455F92}"/>
    <hyperlink ref="Q664" r:id="rId6289" xr:uid="{4D2F0375-59DF-4240-AA7E-59C7628E0100}"/>
    <hyperlink ref="Q666" r:id="rId6290" xr:uid="{487D108C-E369-DF41-B4C9-6387A0FBE233}"/>
    <hyperlink ref="Q662" r:id="rId6291" xr:uid="{613B9065-BB1F-FA4B-BFC4-F4CC1038788C}"/>
    <hyperlink ref="E660" r:id="rId6292" xr:uid="{465C6E40-ACAD-1042-ABE5-47804E6FDE07}"/>
    <hyperlink ref="Q660" r:id="rId6293" xr:uid="{C28B8DFB-9EF5-5D49-AF2C-06B9A0146328}"/>
    <hyperlink ref="Q659" r:id="rId6294" xr:uid="{C1C7B24D-7D4C-0749-8474-0BA13E83707C}"/>
    <hyperlink ref="E663" r:id="rId6295" xr:uid="{39A3570E-43FC-A84B-BB00-682F1846A3CB}"/>
    <hyperlink ref="Q663" r:id="rId6296" xr:uid="{A5A5ED78-3F24-3445-8F53-F48E9CDF6526}"/>
    <hyperlink ref="Q661" r:id="rId6297" xr:uid="{B4D26153-9087-EC4A-965F-BD0F30BFAAD4}"/>
    <hyperlink ref="Q657" r:id="rId6298" xr:uid="{00D29C74-C595-814C-955C-35706A18A69B}"/>
    <hyperlink ref="Q656" r:id="rId6299" xr:uid="{A46555B4-3702-0A44-9C14-E1F7679A01A4}"/>
    <hyperlink ref="E658" r:id="rId6300" xr:uid="{2FFB57B0-D1D0-CC4D-ADD5-07E5DEBFA9DB}"/>
    <hyperlink ref="Q658" r:id="rId6301" xr:uid="{A03FD1CB-4D25-9E40-834B-A3B9C27EEDDE}"/>
    <hyperlink ref="Q655" r:id="rId6302" xr:uid="{29C8B2D0-6D7F-A24C-8C0B-6EAF95E3BE9C}"/>
    <hyperlink ref="Q654" r:id="rId6303" xr:uid="{89745B02-2EEE-0843-BD5E-5246A83437DB}"/>
    <hyperlink ref="E651" r:id="rId6304" xr:uid="{223712A1-E9E9-BD43-93B0-3435F496B131}"/>
    <hyperlink ref="Q651" r:id="rId6305" xr:uid="{378A308C-28C4-3340-8430-DA516CF34BF9}"/>
    <hyperlink ref="Q653" r:id="rId6306" xr:uid="{E41C0EFA-FAAC-204F-9F20-85C6EDCE723C}"/>
    <hyperlink ref="E650" r:id="rId6307" xr:uid="{15AE00C9-236F-DC4D-9939-54A10BE29FFE}"/>
    <hyperlink ref="Q650" r:id="rId6308" xr:uid="{2C9BCBCA-35F8-044D-AD6F-EFE2EF5B8FCF}"/>
    <hyperlink ref="E652" r:id="rId6309" xr:uid="{5196CF22-81BD-F44F-AABE-B2B22CBB7F43}"/>
    <hyperlink ref="Q652" r:id="rId6310" xr:uid="{CE67872F-4BC8-C241-A542-7DCEE493E726}"/>
    <hyperlink ref="E649" r:id="rId6311" xr:uid="{5492AA60-AC0F-774E-9B04-A37C8EF2B91F}"/>
    <hyperlink ref="Q649" r:id="rId6312" xr:uid="{E6E121D4-EF5C-AF4C-8D16-30D1B2FC8EFB}"/>
    <hyperlink ref="Q645" r:id="rId6313" xr:uid="{1C96CADF-6FF6-4947-B19D-EE66C894B4DF}"/>
    <hyperlink ref="Q648" r:id="rId6314" xr:uid="{DBEC34F1-E318-FC44-A7E4-F10E59406E57}"/>
    <hyperlink ref="Q647" r:id="rId6315" xr:uid="{784650DB-F48E-D44F-8CF5-0C7E4B3A0A7F}"/>
    <hyperlink ref="Q644" r:id="rId6316" xr:uid="{13052FA8-46F2-3149-B214-039CC78FD99D}"/>
    <hyperlink ref="Q646" r:id="rId6317" xr:uid="{0E45084D-17F4-8944-844D-77CE5861CEFD}"/>
    <hyperlink ref="E638" r:id="rId6318" xr:uid="{8603F59A-BC5A-F540-8146-8DB2F501E4CF}"/>
    <hyperlink ref="Q638" r:id="rId6319" xr:uid="{844112E6-DF56-0142-B6EF-B5DB3749A41B}"/>
    <hyperlink ref="Q637" r:id="rId6320" xr:uid="{23F30B5A-2F11-2A4F-A1DF-0ED9EF44A918}"/>
    <hyperlink ref="Q641" r:id="rId6321" xr:uid="{D6B5E6BA-5E58-7740-A69A-8D778F965AF9}"/>
    <hyperlink ref="Q640" r:id="rId6322" xr:uid="{17C6E3FF-7BB4-1848-B465-4DDBD0D33CC2}"/>
    <hyperlink ref="Q643" r:id="rId6323" xr:uid="{964FD4B3-2120-8544-8E89-6B53983E2365}"/>
    <hyperlink ref="E639" r:id="rId6324" xr:uid="{400BAE61-16FC-CD48-AA39-282BD9A78706}"/>
    <hyperlink ref="Q639" r:id="rId6325" xr:uid="{D28C1FF2-07B5-1E48-950A-1D4BF80E98C4}"/>
    <hyperlink ref="E642" r:id="rId6326" xr:uid="{D1F0FE35-FAC1-6548-806C-3311252435B3}"/>
    <hyperlink ref="Q642" r:id="rId6327" xr:uid="{36DE3C44-C963-BD41-A99A-BC20D30FB025}"/>
    <hyperlink ref="Q636" r:id="rId6328" xr:uid="{E0484C4C-C5C4-A04E-B74E-B2C1EC75A03D}"/>
    <hyperlink ref="Q634" r:id="rId6329" xr:uid="{29455A82-2B38-A745-A5C7-47FC4B971D44}"/>
    <hyperlink ref="E633" r:id="rId6330" xr:uid="{379A07D0-EF48-A048-A9D2-A6338C960D24}"/>
    <hyperlink ref="Q633" r:id="rId6331" xr:uid="{C4D26FD2-C175-904F-8D1C-E56F3073E3C2}"/>
    <hyperlink ref="E635" r:id="rId6332" xr:uid="{88B0C288-D152-6E45-A13F-E4F8179F767F}"/>
    <hyperlink ref="Q635" r:id="rId6333" xr:uid="{0633925E-E265-3446-B272-635E10FBAB7B}"/>
    <hyperlink ref="Q630" r:id="rId6334" xr:uid="{B5BAF53C-EC4C-B042-8BAF-2AC48B443297}"/>
    <hyperlink ref="Q629" r:id="rId6335" xr:uid="{41F18A52-6CC2-404B-A48A-3AB8696B42CF}"/>
    <hyperlink ref="E631" r:id="rId6336" xr:uid="{F1FC2352-F845-6C44-976B-0DBD176574FB}"/>
    <hyperlink ref="Q631" r:id="rId6337" xr:uid="{16D86C7C-690F-5A46-9B22-C36204EFE176}"/>
    <hyperlink ref="Q628" r:id="rId6338" xr:uid="{AD58D0C0-02B6-4349-9A95-02F9FCBE01DF}"/>
    <hyperlink ref="E632" r:id="rId6339" xr:uid="{2D85F60D-4817-E242-BC27-2F28143CAFEE}"/>
    <hyperlink ref="Q632" r:id="rId6340" xr:uid="{2699A690-E1B6-BA40-AFE6-5CAC72D08D1A}"/>
    <hyperlink ref="Q627" r:id="rId6341" xr:uid="{0618DDE9-41E9-6B4D-A927-55637EE0F154}"/>
    <hyperlink ref="E625" r:id="rId6342" xr:uid="{4EBB7A64-93F7-9246-BB38-E555BA3ABFFD}"/>
    <hyperlink ref="Q625" r:id="rId6343" xr:uid="{1595F68F-2231-6040-8C1D-F7302E3B90DD}"/>
    <hyperlink ref="E626" r:id="rId6344" xr:uid="{B4123166-8BB4-2C45-963F-3DF56148D267}"/>
    <hyperlink ref="Q626" r:id="rId6345" xr:uid="{6F1CB83B-3B11-7247-9B66-34275D8BC350}"/>
    <hyperlink ref="E624" r:id="rId6346" xr:uid="{2E4C38DB-2FF3-E445-9063-0AB5AAF20D32}"/>
    <hyperlink ref="Q624" r:id="rId6347" xr:uid="{AA02FE89-85C7-CB4B-8918-244663F1206F}"/>
    <hyperlink ref="Q617" r:id="rId6348" xr:uid="{914572E9-A3A7-324F-97FF-272D42FA6E3F}"/>
    <hyperlink ref="E621" r:id="rId6349" xr:uid="{F81CCD77-9079-5141-A8D7-4499C2D69A09}"/>
    <hyperlink ref="Q621" r:id="rId6350" xr:uid="{240203CF-01CB-4346-B599-33A31CF45202}"/>
    <hyperlink ref="Q619" r:id="rId6351" xr:uid="{792D1F0A-26BD-4842-8A3C-2E654B762EFF}"/>
    <hyperlink ref="E622" r:id="rId6352" xr:uid="{30A02B50-C347-F144-9A80-282DDC250580}"/>
    <hyperlink ref="Q622" r:id="rId6353" xr:uid="{F0C4C12A-0D3A-CA42-8549-3C7C9EECFD1E}"/>
    <hyperlink ref="Q618" r:id="rId6354" xr:uid="{CDF51C0D-DF15-C147-97C3-DF3D1DF8C268}"/>
    <hyperlink ref="E620" r:id="rId6355" xr:uid="{F81B526B-4B6C-AD44-8D92-E6DECFA26AA7}"/>
    <hyperlink ref="Q620" r:id="rId6356" xr:uid="{74BDB938-7E9F-EB4A-9A23-3B45EE07B522}"/>
    <hyperlink ref="Q623" r:id="rId6357" xr:uid="{05673F85-13A0-B844-BF83-0057B675A0E0}"/>
    <hyperlink ref="E615" r:id="rId6358" xr:uid="{35A9E44F-2486-6F4D-92C1-6DBB6B98DFF4}"/>
    <hyperlink ref="Q615" r:id="rId6359" xr:uid="{0E00F1BA-38AD-3F4B-9452-1F412E42F4A8}"/>
    <hyperlink ref="E616" r:id="rId6360" xr:uid="{170802AE-95EF-B84B-969E-F2427CD5E019}"/>
    <hyperlink ref="Q616" r:id="rId6361" xr:uid="{7AF51466-BA16-9746-BA4C-DF5F3EF45F2E}"/>
    <hyperlink ref="Q613" r:id="rId6362" xr:uid="{05FF253D-2127-FE49-8186-D2814325F858}"/>
    <hyperlink ref="Q614" r:id="rId6363" xr:uid="{4F2EE599-60CB-7F47-9287-7D79722C33AB}"/>
    <hyperlink ref="Q612" r:id="rId6364" xr:uid="{3276B88D-0CB6-8D43-AC00-E14353C6F3CE}"/>
    <hyperlink ref="E610" r:id="rId6365" xr:uid="{6ABEB518-A287-CB4D-828D-845BB7F1E204}"/>
    <hyperlink ref="Q610" r:id="rId6366" xr:uid="{AB651844-24A6-CF46-B9E1-65BDA250152F}"/>
    <hyperlink ref="E611" r:id="rId6367" xr:uid="{E61A298B-1B21-184F-AB1E-3625E7EB1A77}"/>
    <hyperlink ref="Q611" r:id="rId6368" xr:uid="{1E91A839-0CED-0744-B426-A04CF7FC7237}"/>
    <hyperlink ref="Q607" r:id="rId6369" xr:uid="{303D83F7-C279-554B-A54D-C65657E5DD89}"/>
    <hyperlink ref="Q604" r:id="rId6370" xr:uid="{77D65DE8-2A5A-624B-A529-C80F3E59633C}"/>
    <hyperlink ref="Q608" r:id="rId6371" xr:uid="{A95F159C-F4F1-F743-AE99-1BF7165AA94A}"/>
    <hyperlink ref="Q602" r:id="rId6372" xr:uid="{11EB8851-0FC6-1041-8484-8475041EE2B8}"/>
    <hyperlink ref="Q605" r:id="rId6373" xr:uid="{40FA12F1-B75B-8345-86F0-51606BF6D4B1}"/>
    <hyperlink ref="E603" r:id="rId6374" xr:uid="{C0D5158D-9B89-4443-A7C7-DE27CA30DBDB}"/>
    <hyperlink ref="Q603" r:id="rId6375" xr:uid="{BD950835-D8AA-644E-805A-5CA073B53BFC}"/>
    <hyperlink ref="E609" r:id="rId6376" xr:uid="{5B54C77B-A69D-BF4E-9ABD-246F2B45DDC7}"/>
    <hyperlink ref="Q609" r:id="rId6377" xr:uid="{FD060F22-FDD9-124C-B189-893A53169BD2}"/>
    <hyperlink ref="E606" r:id="rId6378" xr:uid="{5F5D9C5F-B09C-214A-B48E-9E7C06876FC4}"/>
    <hyperlink ref="Q606" r:id="rId6379" xr:uid="{AEBF7ADB-C3F0-8749-8071-F8F4BD69E04A}"/>
    <hyperlink ref="E600" r:id="rId6380" xr:uid="{EF10278A-C059-5943-B17A-3D40D72E2033}"/>
    <hyperlink ref="Q600" r:id="rId6381" xr:uid="{6E72924F-FDC3-C34A-9457-BEAA72C2A86B}"/>
    <hyperlink ref="E601" r:id="rId6382" xr:uid="{8068CB60-A8DE-7E4A-8765-5578BE6E43E3}"/>
    <hyperlink ref="Q601" r:id="rId6383" xr:uid="{6EFC8EDE-ABA8-8046-9D06-C10BFB50F52C}"/>
    <hyperlink ref="E599" r:id="rId6384" xr:uid="{055391E8-DF4F-8548-B235-CDDFAE592365}"/>
    <hyperlink ref="Q599" r:id="rId6385" xr:uid="{1A3EC104-B180-7A46-B782-FE04422E8C13}"/>
    <hyperlink ref="E598" r:id="rId6386" xr:uid="{67992C02-9ED7-794F-B609-077EF6F6C262}"/>
    <hyperlink ref="Q598" r:id="rId6387" xr:uid="{9C26F169-1520-2947-8168-52F190071741}"/>
    <hyperlink ref="E597" r:id="rId6388" xr:uid="{093ACA9E-CA08-5B4A-BBAD-97881C6ED9B3}"/>
    <hyperlink ref="Q597" r:id="rId6389" xr:uid="{53C159A1-FEB7-9B4B-975F-32AE8BFC0866}"/>
    <hyperlink ref="Q594" r:id="rId6390" xr:uid="{4BC9A29F-3393-4141-98A6-0ACAACCF7D99}"/>
    <hyperlink ref="E596" r:id="rId6391" xr:uid="{37F05F23-B6C4-B542-9D5E-8230E984FB49}"/>
    <hyperlink ref="Q596" r:id="rId6392" xr:uid="{DAC3B761-AC37-1D46-B2CC-1C3E234BFD11}"/>
    <hyperlink ref="E595" r:id="rId6393" xr:uid="{3A554C05-FC7C-AE45-9C57-C725C9AE78EF}"/>
    <hyperlink ref="Q595" r:id="rId6394" xr:uid="{9B373EC2-51C8-6E4D-A917-EC6E93A69BE6}"/>
    <hyperlink ref="Q592" r:id="rId6395" xr:uid="{837EE61E-BC1B-8B4D-B2F5-1DEC5FEC272E}"/>
    <hyperlink ref="E593" r:id="rId6396" xr:uid="{8320AAAA-9755-554F-82EE-C3F00BE8BCB9}"/>
    <hyperlink ref="Q593" r:id="rId6397" xr:uid="{91CE4949-83A0-3B40-BF76-12F1B7285F91}"/>
    <hyperlink ref="Q591" r:id="rId6398" xr:uid="{80FB6DEB-DCC6-5740-B90B-93CF335B1953}"/>
    <hyperlink ref="Q590" r:id="rId6399" xr:uid="{5D2D4790-E645-094D-8B98-948BBE63B84B}"/>
    <hyperlink ref="Q589" r:id="rId6400" xr:uid="{95370F2A-98AA-904F-91E1-16CB3A971500}"/>
    <hyperlink ref="E587" r:id="rId6401" xr:uid="{0D7F9D59-5873-B849-8990-C8DAC05F0F20}"/>
    <hyperlink ref="Q587" r:id="rId6402" xr:uid="{69570637-5939-1C45-8918-569EC2A2EDEE}"/>
    <hyperlink ref="E588" r:id="rId6403" xr:uid="{D355A151-C045-9843-B84C-510AFCFB3DE2}"/>
    <hyperlink ref="Q588" r:id="rId6404" xr:uid="{2A2CB11B-5645-2C4A-BC7F-06F4D4BE1E81}"/>
    <hyperlink ref="E586" r:id="rId6405" xr:uid="{DF9F31F4-100C-7C41-9FED-001FE14FB579}"/>
    <hyperlink ref="Q586" r:id="rId6406" xr:uid="{22B7BCF4-961B-374A-A5AD-214512EE7487}"/>
    <hyperlink ref="Q583" r:id="rId6407" xr:uid="{C7E87097-347C-614E-9550-B8CFD8337778}"/>
    <hyperlink ref="Q584" r:id="rId6408" xr:uid="{C0190FB6-529E-9A4B-AE83-51EBAB66510B}"/>
    <hyperlink ref="Q585" r:id="rId6409" xr:uid="{F2E420E7-BFB3-BC45-8174-27C8698EE9FF}"/>
    <hyperlink ref="E581" r:id="rId6410" xr:uid="{75F70D2E-23F1-DE42-85D8-12FE8AD9FFF8}"/>
    <hyperlink ref="Q581" r:id="rId6411" xr:uid="{94FB041E-7561-0141-A14A-6A3D553F1D3B}"/>
    <hyperlink ref="Q582" r:id="rId6412" xr:uid="{01346F17-65F4-F649-999F-AB50844DB0A4}"/>
    <hyperlink ref="E578" r:id="rId6413" xr:uid="{8699FF86-2D95-E149-B061-00C830BFEEA2}"/>
    <hyperlink ref="Q578" r:id="rId6414" xr:uid="{C5A28F6A-1C6D-1B48-8FD9-93FD9A9AF85E}"/>
    <hyperlink ref="Q576" r:id="rId6415" xr:uid="{B6E0DD58-383B-EE43-9343-51D2787ABDBC}"/>
    <hyperlink ref="E577" r:id="rId6416" xr:uid="{00A4C47A-89A1-044D-872A-4CEE19DDAC6F}"/>
    <hyperlink ref="Q577" r:id="rId6417" xr:uid="{C7CCF60C-85BB-664F-B13F-C124737D3560}"/>
    <hyperlink ref="Q580" r:id="rId6418" xr:uid="{BE567DB9-49B2-6940-AB9A-0114BAB0E374}"/>
    <hyperlink ref="Q575" r:id="rId6419" xr:uid="{945F1BB3-4A23-3247-B32C-AC4E820304B6}"/>
    <hyperlink ref="E579" r:id="rId6420" xr:uid="{72C4B8DC-B17B-DF44-BE36-9E53BCD2D9B8}"/>
    <hyperlink ref="Q579" r:id="rId6421" xr:uid="{19F09F96-1CE1-E74E-8C70-C319311465AD}"/>
    <hyperlink ref="E574" r:id="rId6422" xr:uid="{0C8A266E-18B4-B543-9B40-63FB1388542A}"/>
    <hyperlink ref="Q574" r:id="rId6423" xr:uid="{21C843CB-7A6C-4C40-AC62-55B9089D101A}"/>
    <hyperlink ref="Q570" r:id="rId6424" xr:uid="{F79EC419-89C6-774D-A171-8889CF1157CD}"/>
    <hyperlink ref="Q572" r:id="rId6425" xr:uid="{4B111F63-CDBB-0840-9F72-1C6B3B85CE80}"/>
    <hyperlink ref="Q571" r:id="rId6426" xr:uid="{5DC48CEB-2591-1347-9DBB-6BAEBB5AFF91}"/>
    <hyperlink ref="E567" r:id="rId6427" xr:uid="{B5068238-72EF-8A4B-BED3-9373BB2A827A}"/>
    <hyperlink ref="Q567" r:id="rId6428" xr:uid="{7191A6A3-DCA9-9849-A94D-9A0EA8F85720}"/>
    <hyperlink ref="Q573" r:id="rId6429" xr:uid="{5CE446F0-E879-F04E-A204-FAB15765D93C}"/>
    <hyperlink ref="E569" r:id="rId6430" xr:uid="{97E33E93-E02A-CE4D-8BDF-15779A29F8EA}"/>
    <hyperlink ref="Q569" r:id="rId6431" xr:uid="{7D16EDD5-AD17-0245-B9CE-64FB9253965C}"/>
    <hyperlink ref="Q568" r:id="rId6432" xr:uid="{3F9BB168-2665-4D4D-AB6E-7817588309FD}"/>
    <hyperlink ref="Q566" r:id="rId6433" xr:uid="{9A788DA1-BF57-934C-9F62-631DFFA64466}"/>
    <hyperlink ref="Q563" r:id="rId6434" xr:uid="{D83DBE61-AFF5-824A-AEB2-8A6C0146C4F4}"/>
    <hyperlink ref="Q560" r:id="rId6435" xr:uid="{69B7115A-321D-474A-A101-174E4EDDEAE0}"/>
    <hyperlink ref="Q562" r:id="rId6436" xr:uid="{DC0CF3F0-8E5C-D745-93DF-02D41D1F8143}"/>
    <hyperlink ref="E564" r:id="rId6437" xr:uid="{0F4573BE-A9C6-DD4B-A530-BB4195C01A2D}"/>
    <hyperlink ref="Q564" r:id="rId6438" xr:uid="{86C611B9-C409-9D40-9A5B-994D067FD996}"/>
    <hyperlink ref="Q565" r:id="rId6439" xr:uid="{80997D89-58D9-8D4E-A5F7-2E72C5335115}"/>
    <hyperlink ref="E561" r:id="rId6440" xr:uid="{D412B6BC-AB9E-844B-A0B8-550E0279DD80}"/>
    <hyperlink ref="Q561" r:id="rId6441" xr:uid="{241865F8-FE2F-194E-8B7E-C1F038242E29}"/>
    <hyperlink ref="Q557" r:id="rId6442" xr:uid="{97430F68-48C1-FF4C-8859-3F534D0E60DB}"/>
    <hyperlink ref="E559" r:id="rId6443" xr:uid="{F1E22FC0-5DEF-8F4E-9F1D-8E5771E7B344}"/>
    <hyperlink ref="Q559" r:id="rId6444" xr:uid="{A9444BB6-2E83-0844-9F24-95ADAAC82A1B}"/>
    <hyperlink ref="Q558" r:id="rId6445" xr:uid="{ED58B22A-4967-BB42-B6FE-C231589EEAD8}"/>
    <hyperlink ref="E556" r:id="rId6446" xr:uid="{2C57EBB0-B2CC-CB41-9A19-8735B5B9653F}"/>
    <hyperlink ref="Q556" r:id="rId6447" xr:uid="{C5C63509-6DF8-3148-86FF-C6CB069AA0A1}"/>
    <hyperlink ref="E553" r:id="rId6448" xr:uid="{A3CEDE1B-3FB8-F040-89BA-9B7CFD080468}"/>
    <hyperlink ref="Q553" r:id="rId6449" xr:uid="{02366164-1356-454E-A7B7-F38959C08D3A}"/>
    <hyperlink ref="Q551" r:id="rId6450" xr:uid="{B784B3D5-57DF-2841-9913-FEAD0835ABEE}"/>
    <hyperlink ref="E555" r:id="rId6451" xr:uid="{62CC5CFD-F211-4849-9937-9B00DE90A23E}"/>
    <hyperlink ref="Q555" r:id="rId6452" xr:uid="{8E32FFA4-A672-964B-A09D-448081301149}"/>
    <hyperlink ref="E554" r:id="rId6453" xr:uid="{0E2EF437-1EE1-A544-9979-30FC8483F05A}"/>
    <hyperlink ref="Q554" r:id="rId6454" xr:uid="{49947D4E-289B-024C-B637-C73DF006F233}"/>
    <hyperlink ref="Q549" r:id="rId6455" xr:uid="{5D6FF43E-6E52-8241-9F0D-7DDD94E64224}"/>
    <hyperlink ref="Q550" r:id="rId6456" xr:uid="{BAFBE0D6-D671-2745-AF98-24E73AEFBD98}"/>
    <hyperlink ref="Q546" r:id="rId6457" xr:uid="{83940691-1F7E-EB47-955C-58CA8B31B1FB}"/>
    <hyperlink ref="E548" r:id="rId6458" xr:uid="{8C5D65FB-5058-3940-9C7A-92815CABDF02}"/>
    <hyperlink ref="Q548" r:id="rId6459" xr:uid="{1FCA4151-0DB7-B746-AF52-1B5571496596}"/>
    <hyperlink ref="E545" r:id="rId6460" xr:uid="{11F0076E-57E5-A841-9E88-2035D73D21E7}"/>
    <hyperlink ref="Q545" r:id="rId6461" xr:uid="{ADD67478-467C-4947-9410-CDC668C6101D}"/>
    <hyperlink ref="E544" r:id="rId6462" xr:uid="{A07BD866-8414-B344-BC4E-DC47E20C9E28}"/>
    <hyperlink ref="Q544" r:id="rId6463" xr:uid="{1AD33F02-0D9E-7C43-8A0F-65476C2B2EB2}"/>
    <hyperlink ref="E547" r:id="rId6464" xr:uid="{7869D953-E481-1A4A-9497-3AF6120E1E7D}"/>
    <hyperlink ref="Q547" r:id="rId6465" xr:uid="{B9796599-6A0D-7E4B-A58D-C65D085FE115}"/>
    <hyperlink ref="E543" r:id="rId6466" xr:uid="{8A1DB2A0-9BF8-9B41-9940-DF50CB8E714B}"/>
    <hyperlink ref="Q543" r:id="rId6467" xr:uid="{1AD18D2C-116B-7643-A0B4-CF6655DDC445}"/>
    <hyperlink ref="Q542" r:id="rId6468" xr:uid="{BE7ED12B-8DA4-6840-B9B0-8E72C0B1055F}"/>
    <hyperlink ref="Q540" r:id="rId6469" xr:uid="{B8EF4C32-E8DD-014C-BAB6-4F45F98F9F51}"/>
    <hyperlink ref="Q539" r:id="rId6470" xr:uid="{87175087-9919-8849-AE9E-1AAA692E4F40}"/>
    <hyperlink ref="Q538" r:id="rId6471" xr:uid="{D10D7C7F-1DDD-F342-9D82-19B292F01FA2}"/>
    <hyperlink ref="Q541" r:id="rId6472" xr:uid="{87EB9C2C-FE70-C748-8991-BC8C4330A723}"/>
    <hyperlink ref="Q537" r:id="rId6473" xr:uid="{482C0C08-CC5E-5B4A-97E8-D4EC2081D73D}"/>
    <hyperlink ref="Q531" r:id="rId6474" xr:uid="{B8012809-479D-B547-8D34-FE99932541E9}"/>
    <hyperlink ref="E534" r:id="rId6475" xr:uid="{24952E1C-630A-CD44-8ED3-C555DFDAC7AC}"/>
    <hyperlink ref="Q534" r:id="rId6476" xr:uid="{DB17D281-0DC9-A94E-AD53-FB93949FEDA3}"/>
    <hyperlink ref="Q533" r:id="rId6477" xr:uid="{AB4F51F3-6C93-674D-B034-EC76F2F93D1A}"/>
    <hyperlink ref="Q535" r:id="rId6478" xr:uid="{F23862A1-CD18-3E42-9E40-AF42926AAC84}"/>
    <hyperlink ref="E536" r:id="rId6479" xr:uid="{61B9A6E1-6DEC-5044-AFA7-1E1ED9F40014}"/>
    <hyperlink ref="Q536" r:id="rId6480" xr:uid="{C6B88499-2941-A14F-99EB-D627F959AB3B}"/>
    <hyperlink ref="Q532" r:id="rId6481" xr:uid="{1A64537D-D212-A346-9FC1-65D64850BD82}"/>
    <hyperlink ref="E527" r:id="rId6482" xr:uid="{FDB1EBFD-BF4D-844E-ACF4-DDFDD71CD46B}"/>
    <hyperlink ref="Q527" r:id="rId6483" xr:uid="{430CFE11-38A5-774B-B3A9-AC169A71C384}"/>
    <hyperlink ref="E529" r:id="rId6484" xr:uid="{BD53F646-6186-7E42-9B74-A33B3E051BC1}"/>
    <hyperlink ref="Q529" r:id="rId6485" xr:uid="{FE4E0F78-727E-0F44-9632-F9FAD3E5DBF5}"/>
    <hyperlink ref="Q528" r:id="rId6486" xr:uid="{D69405D2-DE13-6545-BE21-05E434F5A5BE}"/>
    <hyperlink ref="E525" r:id="rId6487" xr:uid="{9F452C18-D2D0-D64F-A7DD-59CABED371F5}"/>
    <hyperlink ref="Q525" r:id="rId6488" xr:uid="{A31F598E-5F94-BB4F-9A1C-6342EB8A8D07}"/>
    <hyperlink ref="Q526" r:id="rId6489" xr:uid="{58F4F542-8D7A-CE40-82AB-05AEF2A53C32}"/>
    <hyperlink ref="Q522" r:id="rId6490" xr:uid="{0521DA18-A77B-F34C-8B3C-7735C8EA264F}"/>
    <hyperlink ref="Q523" r:id="rId6491" xr:uid="{8EA86DDB-7B2F-8C4C-AE96-A0DA39BBACCD}"/>
    <hyperlink ref="E524" r:id="rId6492" xr:uid="{A5557F9B-1B5A-AD4B-BAB5-0F9002BD671D}"/>
    <hyperlink ref="Q524" r:id="rId6493" xr:uid="{EA4CE339-1C97-DF4D-B59B-EA5A664CDF16}"/>
    <hyperlink ref="E520" r:id="rId6494" xr:uid="{21A0F231-7D1C-5946-891B-8AADC863E51E}"/>
    <hyperlink ref="Q520" r:id="rId6495" xr:uid="{DBE354C1-FACD-E247-8D00-36DC7A59BE8F}"/>
    <hyperlink ref="E519" r:id="rId6496" xr:uid="{1585ACCA-A29F-3348-B560-E909505FBD75}"/>
    <hyperlink ref="Q519" r:id="rId6497" xr:uid="{0B78FC96-6FA3-2E44-91AE-7311493A4985}"/>
    <hyperlink ref="Q516" r:id="rId6498" xr:uid="{452DF560-E6FF-8643-8E60-2F669F4528AB}"/>
    <hyperlink ref="E518" r:id="rId6499" xr:uid="{8303AAD1-85DE-B443-8D10-5061E2F23CC5}"/>
    <hyperlink ref="Q518" r:id="rId6500" xr:uid="{01DD8ED6-D485-5948-958E-A696B341DD03}"/>
    <hyperlink ref="E517" r:id="rId6501" xr:uid="{36C90B66-1402-DF48-8C05-19DEAD451316}"/>
    <hyperlink ref="Q517" r:id="rId6502" xr:uid="{59A6737D-A896-D24F-9E68-52BA854AA9BE}"/>
    <hyperlink ref="E513" r:id="rId6503" xr:uid="{77D5940E-1238-1D4F-A306-91E3706426A9}"/>
    <hyperlink ref="Q513" r:id="rId6504" xr:uid="{C40C3EDF-0C83-F74F-869E-63250606565E}"/>
    <hyperlink ref="Q512" r:id="rId6505" xr:uid="{9F70C2C5-9D1C-8B4F-B439-37FF29B58967}"/>
    <hyperlink ref="Q510" r:id="rId6506" xr:uid="{FB927570-A34A-1340-BCAD-190470D723E0}"/>
    <hyperlink ref="Q511" r:id="rId6507" xr:uid="{582259FD-85BE-AF42-810E-A0F6C70E27B6}"/>
    <hyperlink ref="E504" r:id="rId6508" xr:uid="{50B6CD72-E95B-9044-8AF1-9AC7C2C1D04F}"/>
    <hyperlink ref="Q504" r:id="rId6509" xr:uid="{CCB57BAD-934E-B548-B761-9DEB722061F4}"/>
    <hyperlink ref="E507" r:id="rId6510" xr:uid="{47CEB958-7BB2-7C42-BDD7-37A949A68880}"/>
    <hyperlink ref="Q507" r:id="rId6511" xr:uid="{BAE5629D-BEA6-2A4D-9B84-D7A50BF00754}"/>
    <hyperlink ref="E505" r:id="rId6512" xr:uid="{15566343-65B3-084A-9B12-9EE68BEDF4DF}"/>
    <hyperlink ref="Q505" r:id="rId6513" xr:uid="{88139D19-E629-9842-A2BC-6B2BFCB56408}"/>
    <hyperlink ref="E509" r:id="rId6514" xr:uid="{87183F29-87C3-9A43-8640-B3DE26F99956}"/>
    <hyperlink ref="Q509" r:id="rId6515" xr:uid="{53B2D307-584B-2E43-A7DD-80319A290384}"/>
    <hyperlink ref="E508" r:id="rId6516" xr:uid="{F278B900-42AA-374F-8BBE-8B1CCFB69136}"/>
    <hyperlink ref="Q508" r:id="rId6517" xr:uid="{D9C4A6DD-D5A7-E54B-B014-889E5A7DDEAA}"/>
    <hyperlink ref="E506" r:id="rId6518" xr:uid="{8079D855-5F9C-224A-80DC-1C2DB953B207}"/>
    <hyperlink ref="Q506" r:id="rId6519" xr:uid="{93BD7CD4-5ECF-4C42-BAFD-B73DCD37725F}"/>
    <hyperlink ref="Q500" r:id="rId6520" xr:uid="{D40C8533-FE4F-CD45-8AB4-FB57A214849E}"/>
    <hyperlink ref="Q503" r:id="rId6521" xr:uid="{636AA5E9-6D1B-2A45-85BD-AA716098B6BC}"/>
    <hyperlink ref="Q502" r:id="rId6522" xr:uid="{7753B608-CD7C-A444-AC60-935896DF76D2}"/>
    <hyperlink ref="E501" r:id="rId6523" xr:uid="{067DA994-1798-EC48-8AB3-27385BDC4476}"/>
    <hyperlink ref="Q501" r:id="rId6524" xr:uid="{F4865034-7711-E84E-BB0A-6362F4ABEFC5}"/>
    <hyperlink ref="Q499" r:id="rId6525" xr:uid="{13047E80-ADD7-464E-ADA8-FB080C73AA4B}"/>
    <hyperlink ref="E498" r:id="rId6526" xr:uid="{F0B367C2-EDCB-6942-A24D-84D7BA08065B}"/>
    <hyperlink ref="Q498" r:id="rId6527" xr:uid="{7C12DCA2-4266-8441-A877-8BBA59768605}"/>
    <hyperlink ref="E496" r:id="rId6528" xr:uid="{CD814E05-E2DB-3B41-8EB3-508F4E45F8CC}"/>
    <hyperlink ref="Q496" r:id="rId6529" xr:uid="{B07FFCD8-5351-E544-83CE-0E5E4A58A490}"/>
    <hyperlink ref="Q497" r:id="rId6530" xr:uid="{038E830C-63AA-FA48-B130-25BE910689B5}"/>
    <hyperlink ref="E494" r:id="rId6531" xr:uid="{46CE3DB6-47DA-5B41-8681-E7EB9FB3B123}"/>
    <hyperlink ref="Q494" r:id="rId6532" xr:uid="{015A1D31-12A8-FD41-8E1C-48B341A716AA}"/>
    <hyperlink ref="E495" r:id="rId6533" xr:uid="{AFD145A9-BD36-9E49-BEC4-415617C8F844}"/>
    <hyperlink ref="Q495" r:id="rId6534" xr:uid="{26878DE5-0230-8F4B-874B-72752A913FD7}"/>
    <hyperlink ref="E492" r:id="rId6535" xr:uid="{433B20E1-594D-6D44-971B-4A7A4B2F9C60}"/>
    <hyperlink ref="Q492" r:id="rId6536" xr:uid="{77D86ED4-3E37-654D-AC0E-243B3D424CC9}"/>
    <hyperlink ref="E493" r:id="rId6537" xr:uid="{40A54940-F16B-0946-B458-0CEF689A3CA8}"/>
    <hyperlink ref="Q493" r:id="rId6538" xr:uid="{65533948-5F9B-7740-8412-603A75ACCF53}"/>
    <hyperlink ref="Q490" r:id="rId6539" xr:uid="{A2064007-7C49-3A41-B166-767C36108BD8}"/>
    <hyperlink ref="E491" r:id="rId6540" xr:uid="{18E7EDD2-060B-5D48-9621-6E8C537A8251}"/>
    <hyperlink ref="Q491" r:id="rId6541" xr:uid="{E356BA8D-8CB9-B54D-BD57-466B00F2A376}"/>
    <hyperlink ref="E489" r:id="rId6542" xr:uid="{AB97D6BF-5474-1A46-A40B-9A1A2DD3E00C}"/>
    <hyperlink ref="Q489" r:id="rId6543" xr:uid="{8CDE4866-EB53-2C48-9121-E58BC2CCB8B6}"/>
    <hyperlink ref="E488" r:id="rId6544" xr:uid="{97A436D4-CB1D-4A46-BBE8-C3A7E1527585}"/>
    <hyperlink ref="Q488" r:id="rId6545" xr:uid="{E10537C0-629F-8046-8B66-759B669EDA25}"/>
    <hyperlink ref="E486" r:id="rId6546" xr:uid="{6016096D-6701-2A4C-925D-0427DD68D619}"/>
    <hyperlink ref="Q486" r:id="rId6547" xr:uid="{10D7C0BC-2203-3C4F-A4AF-829914FC3275}"/>
    <hyperlink ref="E485" r:id="rId6548" xr:uid="{5D052D0B-A1BB-6548-AA5B-0D1DCB408D94}"/>
    <hyperlink ref="Q485" r:id="rId6549" xr:uid="{37A399BC-AE81-4E4B-B7A4-126DC58C5B30}"/>
    <hyperlink ref="Q487" r:id="rId6550" xr:uid="{EB5F4A0D-B38D-ED48-B6F0-1DC45623A2C6}"/>
    <hyperlink ref="Q484" r:id="rId6551" xr:uid="{78EF5C5C-C483-634E-9593-62342E6B59C2}"/>
    <hyperlink ref="E483" r:id="rId6552" xr:uid="{33751C36-4B94-B84D-BFD1-81609D1E3CC5}"/>
    <hyperlink ref="Q483" r:id="rId6553" xr:uid="{F2322EC4-8E74-5A40-BB06-297B4381D4D8}"/>
    <hyperlink ref="Q481" r:id="rId6554" xr:uid="{8791778A-7E20-7444-A061-1E2277657305}"/>
    <hyperlink ref="E480" r:id="rId6555" xr:uid="{90AE6A68-07AC-0C41-8961-FE5EAC9D5EC5}"/>
    <hyperlink ref="Q480" r:id="rId6556" xr:uid="{E87BAD6F-AF88-2748-8A23-81926CAF127B}"/>
    <hyperlink ref="Q476" r:id="rId6557" xr:uid="{AA300AE3-6BAD-F84B-9982-5AEC9CD47576}"/>
    <hyperlink ref="Q479" r:id="rId6558" xr:uid="{4C32D6E8-7E49-A044-84CB-B72A5D0680D6}"/>
    <hyperlink ref="Q475" r:id="rId6559" xr:uid="{8DBB913D-9ABA-EE4C-875E-95D0688DAB06}"/>
    <hyperlink ref="E478" r:id="rId6560" xr:uid="{8ED5F939-C4C1-7C4A-A991-1CF0611C98FD}"/>
    <hyperlink ref="Q478" r:id="rId6561" xr:uid="{1001FA62-FA92-4745-900A-40912F5B88C3}"/>
    <hyperlink ref="E477" r:id="rId6562" xr:uid="{CAB4BD84-CA08-F64C-B581-2FFA58189BEA}"/>
    <hyperlink ref="Q477" r:id="rId6563" xr:uid="{FDD93298-6406-3F49-A4DF-6ACB73A2C761}"/>
    <hyperlink ref="Q470" r:id="rId6564" xr:uid="{C2F35346-4E0B-BF44-8CF5-C800BAB98C05}"/>
    <hyperlink ref="Q469" r:id="rId6565" xr:uid="{3CC43CBF-C3D6-C74D-8BE1-4AD68FCBA2CF}"/>
    <hyperlink ref="Q474" r:id="rId6566" xr:uid="{D7F31E86-EB81-9746-938C-BB24E33AFB0F}"/>
    <hyperlink ref="Q472" r:id="rId6567" xr:uid="{D79364E3-8B9B-624B-95E6-8DBAB0F35C65}"/>
    <hyperlink ref="E473" r:id="rId6568" xr:uid="{0326E4AB-20B5-6945-92A4-48274E76BBF2}"/>
    <hyperlink ref="Q473" r:id="rId6569" xr:uid="{21F4A6CE-1E80-FF4C-81FA-32267A63B749}"/>
    <hyperlink ref="E471" r:id="rId6570" xr:uid="{D498836D-E478-894C-BF73-735EDB50AFF6}"/>
    <hyperlink ref="Q471" r:id="rId6571" xr:uid="{A543110A-9BD0-7C4B-8BE0-D64AC87FC761}"/>
    <hyperlink ref="E467" r:id="rId6572" xr:uid="{6073583F-7827-9F45-84A8-6EAEE7E56BC1}"/>
    <hyperlink ref="Q467" r:id="rId6573" xr:uid="{4F4196F2-0049-524B-B4C7-20B87F0F118F}"/>
    <hyperlink ref="Q466" r:id="rId6574" xr:uid="{EC38224B-6608-B746-BD0F-7D0B14B31DBC}"/>
    <hyperlink ref="Q468" r:id="rId6575" xr:uid="{99CBAADE-3B1B-B246-B23F-906E3CA1385D}"/>
    <hyperlink ref="E464" r:id="rId6576" xr:uid="{08D03EBE-D032-9843-8DAA-9E783E7FBEC7}"/>
    <hyperlink ref="Q464" r:id="rId6577" xr:uid="{0C20514A-FD2C-D64D-B3D7-4F58818573E6}"/>
    <hyperlink ref="Q462" r:id="rId6578" xr:uid="{CA139DF0-BB33-A840-BF4E-6BAC3EE41393}"/>
    <hyperlink ref="Q463" r:id="rId6579" xr:uid="{B41D6922-58DB-A146-9AAA-C30A99F01FE1}"/>
    <hyperlink ref="E465" r:id="rId6580" xr:uid="{621CC785-543A-4F49-8EBB-276DDBFDA007}"/>
    <hyperlink ref="Q465" r:id="rId6581" xr:uid="{FA6763ED-8981-F743-B383-4A30D9F2599B}"/>
    <hyperlink ref="E459" r:id="rId6582" xr:uid="{5CBFB686-4759-BE41-917D-AAE55EEC65A9}"/>
    <hyperlink ref="Q459" r:id="rId6583" xr:uid="{0CEE217F-4C61-B849-AC3B-987BD46AC070}"/>
    <hyperlink ref="Q460" r:id="rId6584" xr:uid="{FF396657-C2AA-324F-BC6B-29D2B0779953}"/>
    <hyperlink ref="Q458" r:id="rId6585" xr:uid="{B717D562-E659-304A-A9F2-0E63FA5A7F79}"/>
    <hyperlink ref="E461" r:id="rId6586" xr:uid="{2026A28B-E3ED-6242-8867-7F404ADFDF3E}"/>
    <hyperlink ref="Q461" r:id="rId6587" xr:uid="{83607B32-B20B-6C4B-BC87-96C39B706819}"/>
    <hyperlink ref="E454" r:id="rId6588" xr:uid="{B4E7ABB1-A440-7949-8E94-5380A075CA8F}"/>
    <hyperlink ref="Q454" r:id="rId6589" xr:uid="{41F5C9D6-6382-934C-AC69-BC9AE7044B31}"/>
    <hyperlink ref="Q456" r:id="rId6590" xr:uid="{8882B0B8-ED2C-754A-9495-765BADCAC509}"/>
    <hyperlink ref="Q452" r:id="rId6591" location=".XUh885wqlhY.facebook" xr:uid="{1CF16231-A2AC-5247-9E21-0B9CE86D22F2}"/>
    <hyperlink ref="Q453" r:id="rId6592" xr:uid="{8E34A285-1F18-7A47-9059-1822E5FF287C}"/>
    <hyperlink ref="E455" r:id="rId6593" xr:uid="{AB9018E9-D1E4-8B4C-806C-36F0CECFAFD8}"/>
    <hyperlink ref="Q455" r:id="rId6594" xr:uid="{1068D4EB-9E9B-984F-B2E2-BFDA8B2C366A}"/>
    <hyperlink ref="Q457" r:id="rId6595" xr:uid="{50E6B9EC-1F4E-B547-9613-5A984BD52F02}"/>
    <hyperlink ref="E451" r:id="rId6596" xr:uid="{8DCD0159-90FE-7B4A-9BE8-EF20204C6FC8}"/>
    <hyperlink ref="Q451" r:id="rId6597" xr:uid="{105BA643-213C-D64E-BEB2-28FCB85A3355}"/>
    <hyperlink ref="E450" r:id="rId6598" xr:uid="{14688AF5-50E1-8046-A2A3-16ADCB87E101}"/>
    <hyperlink ref="Q450" r:id="rId6599" xr:uid="{3C61C605-10CB-2046-BA9D-C2270069A6B1}"/>
    <hyperlink ref="E448" r:id="rId6600" xr:uid="{019D6F56-3A9D-8D4E-BC6B-6C450DEA8A8F}"/>
    <hyperlink ref="Q448" r:id="rId6601" xr:uid="{C85B9F94-C49C-9640-9F25-C46A70F83F82}"/>
    <hyperlink ref="E449" r:id="rId6602" xr:uid="{6CB6E315-32F3-A44D-957D-ACB0A29315B4}"/>
    <hyperlink ref="Q449" r:id="rId6603" xr:uid="{AD084E8C-E80A-DF4C-80DE-22AEB37FA468}"/>
    <hyperlink ref="Q446" r:id="rId6604" xr:uid="{22E842A5-68AB-994F-B0C0-9C7D0AF0C132}"/>
    <hyperlink ref="E444" r:id="rId6605" xr:uid="{37E50D8B-6344-2F45-B1DC-6A5E70925B46}"/>
    <hyperlink ref="Q444" r:id="rId6606" xr:uid="{C55F37E1-611C-384D-A42A-C15F35FD9D9D}"/>
    <hyperlink ref="E447" r:id="rId6607" xr:uid="{E7042D62-E7DA-F54D-AD14-80934AEC5EC1}"/>
    <hyperlink ref="Q447" r:id="rId6608" xr:uid="{8FA72559-5B90-0F49-9DE1-8E6901F3191C}"/>
    <hyperlink ref="E445" r:id="rId6609" xr:uid="{BA6454D4-8156-6F4F-9C95-54E39EB3F1F1}"/>
    <hyperlink ref="Q445" r:id="rId6610" xr:uid="{BC8440D2-389E-1E45-8393-4A7A922CF674}"/>
    <hyperlink ref="Q440" r:id="rId6611" xr:uid="{1A7ECBEF-7B87-B940-8837-986B7EEECEB0}"/>
    <hyperlink ref="Q442" r:id="rId6612" xr:uid="{31EBBC71-AEE4-5343-8528-8A19DF23D311}"/>
    <hyperlink ref="E443" r:id="rId6613" xr:uid="{F0A6737E-818A-344E-A74A-03F8359BDBD2}"/>
    <hyperlink ref="Q443" r:id="rId6614" xr:uid="{903FCFF1-853C-B74A-8CAD-980167A7274E}"/>
    <hyperlink ref="Q441" r:id="rId6615" xr:uid="{B02C0A51-0FF4-F148-A89D-DC81D4700CB2}"/>
    <hyperlink ref="E438" r:id="rId6616" xr:uid="{58376FCA-5003-A547-893C-9DB742FD1EC7}"/>
    <hyperlink ref="Q438" r:id="rId6617" xr:uid="{5D93A903-53B9-6B48-A271-0FFDF1A2A173}"/>
    <hyperlink ref="Q439" r:id="rId6618" xr:uid="{A720D0B3-4278-0141-8106-B34AB74E533B}"/>
    <hyperlink ref="E437" r:id="rId6619" xr:uid="{C9D34A86-1FBC-604B-AF7F-91ED9C026199}"/>
    <hyperlink ref="Q437" r:id="rId6620" xr:uid="{0BDD8F8B-6B33-304E-A5B5-771F60922948}"/>
    <hyperlink ref="Q436" r:id="rId6621" xr:uid="{D6470A33-0CBC-E249-871A-0692573A0F96}"/>
    <hyperlink ref="E435" r:id="rId6622" xr:uid="{BF545942-4D8E-6E4F-ADDB-435F37126578}"/>
    <hyperlink ref="Q435" r:id="rId6623" xr:uid="{76F53AF1-2388-CC47-8CF8-EC45FC353F09}"/>
    <hyperlink ref="Q434" r:id="rId6624" xr:uid="{5EE24F0F-9F89-7A46-9737-FA5021775ECE}"/>
    <hyperlink ref="E431" r:id="rId6625" xr:uid="{A04914E7-71B5-D041-B234-42AE3899F249}"/>
    <hyperlink ref="Q431" r:id="rId6626" xr:uid="{34C2FF41-A5AB-B64E-8390-A5BBC531F46C}"/>
    <hyperlink ref="E428" r:id="rId6627" xr:uid="{81EE11D1-7C74-4742-8210-14D3A1DA83DF}"/>
    <hyperlink ref="Q428" r:id="rId6628" xr:uid="{682C5C96-1C60-9143-8412-CA319F808429}"/>
    <hyperlink ref="E432" r:id="rId6629" xr:uid="{A190D2A2-FEA8-CA4F-9D88-C20200BA5412}"/>
    <hyperlink ref="Q432" r:id="rId6630" xr:uid="{706A3F11-DA99-7C49-A30D-D75DDBA2AED2}"/>
    <hyperlink ref="E430" r:id="rId6631" xr:uid="{DB014524-17A3-0544-A731-A3F91F34D663}"/>
    <hyperlink ref="Q430" r:id="rId6632" xr:uid="{50A03E77-5466-7245-B387-FFBBFB68E54B}"/>
    <hyperlink ref="E429" r:id="rId6633" xr:uid="{3A76B1D2-7ABC-FB4A-BA89-D237765E1505}"/>
    <hyperlink ref="Q429" r:id="rId6634" xr:uid="{F767C021-3278-374E-92B7-2D7F83A489E3}"/>
    <hyperlink ref="E433" r:id="rId6635" xr:uid="{2D9593F1-0AAB-144D-9158-187FBC5FA7DA}"/>
    <hyperlink ref="Q433" r:id="rId6636" xr:uid="{3D327EFA-FD63-C241-8824-4E2AEEA3A031}"/>
    <hyperlink ref="Q426" r:id="rId6637" xr:uid="{D1838FC7-045A-0B40-938E-4F121295CA63}"/>
    <hyperlink ref="Q427" r:id="rId6638" xr:uid="{9EB1BACF-5E09-E344-807C-2435FB27521B}"/>
    <hyperlink ref="Q425" r:id="rId6639" xr:uid="{31CC8E78-28D0-A84F-B95A-A42C59509429}"/>
    <hyperlink ref="Q424" r:id="rId6640" xr:uid="{9338CA1E-847A-FC4A-8C7B-24F4D72D6D2C}"/>
    <hyperlink ref="E422" r:id="rId6641" xr:uid="{96B85720-2BD6-AD47-9745-B22C874E6B25}"/>
    <hyperlink ref="Q422" r:id="rId6642" xr:uid="{C6B972BA-F184-8C4F-BDA4-CC408185C240}"/>
    <hyperlink ref="Q423" r:id="rId6643" xr:uid="{879C5183-04D5-ED44-A143-0FB5A04EF2C6}"/>
    <hyperlink ref="Q421" r:id="rId6644" location="tracking-source=home-top-story-1" xr:uid="{0DC45B5F-C5EB-DA46-ACA7-DC456BB3478B}"/>
    <hyperlink ref="E419" r:id="rId6645" xr:uid="{D8C93507-58DE-5C42-8C25-DCC04343C1A0}"/>
    <hyperlink ref="Q419" r:id="rId6646" xr:uid="{D0AA1371-4B94-6B4E-9EFB-0A98ADE69635}"/>
    <hyperlink ref="E418" r:id="rId6647" xr:uid="{B55EBB9A-C637-4F42-B9AE-7747AEDC7FCD}"/>
    <hyperlink ref="Q418" r:id="rId6648" xr:uid="{7360FC27-6CB4-BB43-86EC-36BE1910DC8D}"/>
    <hyperlink ref="Q420" r:id="rId6649" xr:uid="{4FE83BC2-E80A-4E42-B9C6-5147B5D92F10}"/>
    <hyperlink ref="Q415" r:id="rId6650" xr:uid="{C789A743-55EB-ED4D-970D-4D6B49B12B67}"/>
    <hyperlink ref="Q416" r:id="rId6651" xr:uid="{AD7B4F09-6248-4044-9F57-7F051FAE1426}"/>
    <hyperlink ref="Q417" r:id="rId6652" xr:uid="{F3135673-3460-BA43-98E4-C0BBAEB05D8A}"/>
    <hyperlink ref="Q412" r:id="rId6653" xr:uid="{82CE5375-44AB-024F-B809-5B0456646C49}"/>
    <hyperlink ref="Q413" r:id="rId6654" xr:uid="{B71E8C64-FA4C-BB44-BECA-11B2D0F5820C}"/>
    <hyperlink ref="Q414" r:id="rId6655" xr:uid="{4329932E-64D4-5044-B289-46380DE968E9}"/>
    <hyperlink ref="Q408" r:id="rId6656" xr:uid="{5448101C-C82D-F343-AD0A-39798DC29016}"/>
    <hyperlink ref="Q409" r:id="rId6657" xr:uid="{3BEFEBD2-86E8-134A-9BAA-EDE13304379A}"/>
    <hyperlink ref="Q410" r:id="rId6658" xr:uid="{BA641AF1-7DA5-CD48-A56D-A88B779E87C1}"/>
    <hyperlink ref="Q411" r:id="rId6659" xr:uid="{9C9C8D40-975F-9249-BE21-6683B85B75CD}"/>
    <hyperlink ref="E401" r:id="rId6660" xr:uid="{D5A0895C-108A-2A4D-8FC4-D322DDFF7655}"/>
    <hyperlink ref="Q401" r:id="rId6661" xr:uid="{7725B4D3-6A7D-7146-A987-321C1516D459}"/>
    <hyperlink ref="Q405" r:id="rId6662" xr:uid="{D57801C0-1EFC-CB4B-92BD-78603A50A525}"/>
    <hyperlink ref="Q407" r:id="rId6663" xr:uid="{66CB2FE5-E9E7-7A45-85EA-495965A98B39}"/>
    <hyperlink ref="Q404" r:id="rId6664" xr:uid="{914E53E0-5328-EA42-9827-1DC1D4B9FE52}"/>
    <hyperlink ref="Q403" r:id="rId6665" xr:uid="{41E3D391-E0CD-0744-8A87-BF0712AE7D1C}"/>
    <hyperlink ref="E406" r:id="rId6666" xr:uid="{D97A73FE-8496-754F-A518-428520C07689}"/>
    <hyperlink ref="Q406" r:id="rId6667" xr:uid="{1A2D3BEF-7C46-B24C-9142-ABEF85257466}"/>
    <hyperlink ref="Q402" r:id="rId6668" xr:uid="{6AE999A6-0012-BB41-8898-91D3F9FB3D41}"/>
    <hyperlink ref="E400" r:id="rId6669" xr:uid="{AF737ED3-007F-BB43-97EC-2BB73A5E9BBC}"/>
    <hyperlink ref="Q400" r:id="rId6670" xr:uid="{1BCFB075-6356-FC4D-8AD4-88ABC0B590EF}"/>
    <hyperlink ref="E399" r:id="rId6671" xr:uid="{C1C66B96-F390-1A44-936B-7DDC72D63E1F}"/>
    <hyperlink ref="Q399" r:id="rId6672" xr:uid="{D9D40BEC-0300-864B-A093-0FFA35936B1F}"/>
    <hyperlink ref="E397" r:id="rId6673" xr:uid="{C9D3A8E9-58A4-634E-9CEE-6F38638E77FD}"/>
    <hyperlink ref="Q397" r:id="rId6674" xr:uid="{5ACBB75C-C5F7-6647-ADA9-C2133D5AED73}"/>
    <hyperlink ref="Q398" r:id="rId6675" xr:uid="{9E04F201-99DD-5E42-A78F-DAD5D7939B91}"/>
    <hyperlink ref="E396" r:id="rId6676" xr:uid="{6B04A240-F85E-7C44-805A-77BBFFB3808F}"/>
    <hyperlink ref="Q396" r:id="rId6677" xr:uid="{B2AC9490-082B-4143-8D32-AB30C04CBCFB}"/>
    <hyperlink ref="Q394" r:id="rId6678" xr:uid="{B07BBA36-CDAC-B54F-B981-0DFD9CCD30F4}"/>
    <hyperlink ref="E395" r:id="rId6679" xr:uid="{C2ECAAB4-2CDA-584F-868F-B1E165F9971F}"/>
    <hyperlink ref="Q395" r:id="rId6680" xr:uid="{40896ADD-B902-D44E-9349-22CC2E9B182A}"/>
    <hyperlink ref="E390" r:id="rId6681" xr:uid="{4C5990C0-A671-7C42-A4C1-F6077B667689}"/>
    <hyperlink ref="Q390" r:id="rId6682" xr:uid="{FABC90AA-E6EE-674C-98B2-6372D3767E6D}"/>
    <hyperlink ref="Q391" r:id="rId6683" xr:uid="{25A83D6E-500F-B045-9DFE-F8F3CEAC58F0}"/>
    <hyperlink ref="E393" r:id="rId6684" xr:uid="{9806A0D4-D809-0E49-84D7-E1A40BF58F5B}"/>
    <hyperlink ref="Q393" r:id="rId6685" xr:uid="{786D1EDC-0627-324A-8B89-43E000C5C852}"/>
    <hyperlink ref="Q392" r:id="rId6686" xr:uid="{382E2009-60E2-C948-BD7C-E23C14CBBC76}"/>
    <hyperlink ref="E387" r:id="rId6687" xr:uid="{3BA56036-2FDC-624D-966E-8136BFE15938}"/>
    <hyperlink ref="Q387" r:id="rId6688" xr:uid="{DF4FCE14-E919-5E49-A6E8-8EBD0079408D}"/>
    <hyperlink ref="E386" r:id="rId6689" xr:uid="{08B7C7C9-4CF0-ED4B-B2F8-C379F0089791}"/>
    <hyperlink ref="Q386" r:id="rId6690" xr:uid="{7E53DDCA-8506-5A4E-8E77-ECE94CB73BEC}"/>
    <hyperlink ref="E388" r:id="rId6691" xr:uid="{D6DC580E-AC0F-3441-89D7-2AB00405F33A}"/>
    <hyperlink ref="Q388" r:id="rId6692" xr:uid="{C5A22547-4BAE-2F4B-B2D3-C4B06D97D03A}"/>
    <hyperlink ref="Q385" r:id="rId6693" xr:uid="{B068D452-AAAF-CF44-B0E3-12EB7E3D5D0C}"/>
    <hyperlink ref="Q382" r:id="rId6694" xr:uid="{2692FAB8-F391-2A4F-9963-C6FA9F0564C7}"/>
    <hyperlink ref="E380" r:id="rId6695" xr:uid="{3045344E-2096-F14A-BB84-45EB8A306B01}"/>
    <hyperlink ref="Q380" r:id="rId6696" xr:uid="{598C63D4-B8DB-6848-A3DC-D9DD95ECC41D}"/>
    <hyperlink ref="Q383" r:id="rId6697" xr:uid="{D3192048-A914-D44F-A28F-CAF36C383F8A}"/>
    <hyperlink ref="Q381" r:id="rId6698" xr:uid="{4995894B-9668-C746-A1B4-3DD3E476CB2B}"/>
    <hyperlink ref="Q374" r:id="rId6699" xr:uid="{91427819-C3F9-5444-8AC1-8AEBEC694D03}"/>
    <hyperlink ref="E377" r:id="rId6700" xr:uid="{47FD5674-78F2-6840-8DC6-5EB81D1FC5D5}"/>
    <hyperlink ref="Q377" r:id="rId6701" xr:uid="{8A6E8E07-D650-A046-B8D4-AAE04955CB21}"/>
    <hyperlink ref="Q379" r:id="rId6702" xr:uid="{D33A773F-F017-0342-BC9F-1806BE980F35}"/>
    <hyperlink ref="Q375" r:id="rId6703" xr:uid="{8D74DABF-86A1-704D-8157-954E002DD48F}"/>
    <hyperlink ref="E376" r:id="rId6704" xr:uid="{85D06393-2AF5-D44D-9F7A-82DDB1032559}"/>
    <hyperlink ref="Q376" r:id="rId6705" xr:uid="{4D40FEBB-7805-8042-83EE-53895A6622A5}"/>
    <hyperlink ref="Q373" r:id="rId6706" xr:uid="{1A6C6DBB-CB4E-F648-9305-F3A0E8E797DB}"/>
    <hyperlink ref="E372" r:id="rId6707" xr:uid="{01242E90-DE3C-9846-AEC7-5E0FA19071D6}"/>
    <hyperlink ref="Q372" r:id="rId6708" xr:uid="{1BDACED7-FBA0-9C46-9698-C9DF396B6665}"/>
    <hyperlink ref="Q371" r:id="rId6709" xr:uid="{DF9A6198-BF46-6844-BAB7-248E65F133C7}"/>
    <hyperlink ref="Q370" r:id="rId6710" xr:uid="{C60922EC-E567-714C-9A16-357CD74F6D9F}"/>
    <hyperlink ref="Q369" r:id="rId6711" xr:uid="{DBE45B42-687C-8C48-AC9B-28E382A473D7}"/>
    <hyperlink ref="Q368" r:id="rId6712" xr:uid="{02D2D930-5283-9D43-B74A-3CE56CBD41EB}"/>
    <hyperlink ref="E367" r:id="rId6713" xr:uid="{A0A4B1C3-DA10-D24A-9689-A3E59F9B3206}"/>
    <hyperlink ref="Q367" r:id="rId6714" xr:uid="{360362F3-F0DF-1E49-96AF-5568322FE606}"/>
    <hyperlink ref="E366" r:id="rId6715" xr:uid="{B3838DE6-751C-7A45-B358-DA02B2D18F3D}"/>
    <hyperlink ref="Q366" r:id="rId6716" xr:uid="{869314CA-C966-264F-916F-5258509373EE}"/>
    <hyperlink ref="Q365" r:id="rId6717" xr:uid="{F5A99C89-8AD3-4E4F-90BE-1904FA942ADC}"/>
    <hyperlink ref="Q364" r:id="rId6718" xr:uid="{6658C584-69B1-7145-B9A2-4EA95183868D}"/>
    <hyperlink ref="Q362" r:id="rId6719" xr:uid="{AD24BC2B-6302-3042-91FC-48F7EC559955}"/>
    <hyperlink ref="E363" r:id="rId6720" xr:uid="{9194A86E-2EA7-C745-8522-8F16AF265D10}"/>
    <hyperlink ref="Q363" r:id="rId6721" xr:uid="{8608F0EF-D2E8-7D47-960C-0CDDA497E5A0}"/>
    <hyperlink ref="E361" r:id="rId6722" xr:uid="{8B73E747-DB2A-4A42-83CE-C4245C3A1DD4}"/>
    <hyperlink ref="Q361" r:id="rId6723" xr:uid="{EFA8C1E5-81B4-6D4A-B130-21FEB5B792FC}"/>
    <hyperlink ref="Q358" r:id="rId6724" xr:uid="{3AAEB658-F252-D141-8D2F-A0AFCF2837EC}"/>
    <hyperlink ref="E360" r:id="rId6725" xr:uid="{647544AA-14C3-BA48-85BC-414C3DBA626D}"/>
    <hyperlink ref="Q360" r:id="rId6726" xr:uid="{4A06B745-763E-D344-8AD1-40522E0562DE}"/>
    <hyperlink ref="Q357" r:id="rId6727" xr:uid="{3267148A-C1E1-C54B-AB87-F30AC44F80BA}"/>
    <hyperlink ref="E356" r:id="rId6728" xr:uid="{A7793DB7-804F-474A-BF1C-CC9D153F7902}"/>
    <hyperlink ref="Q356" r:id="rId6729" xr:uid="{3C27DEA0-68DB-CC47-A46A-96E862D2DFA8}"/>
    <hyperlink ref="Q355" r:id="rId6730" xr:uid="{E1ED75AD-BE47-3041-AD27-192A032606E6}"/>
    <hyperlink ref="Q353" r:id="rId6731" xr:uid="{DCFD1A0A-A602-D447-9353-8A9656D63022}"/>
    <hyperlink ref="Q354" r:id="rId6732" xr:uid="{77892405-7EE7-444F-AF85-C11989A7352A}"/>
    <hyperlink ref="Q351" r:id="rId6733" xr:uid="{736A66B8-F848-B747-8C44-6F7AE0FD41BF}"/>
    <hyperlink ref="E350" r:id="rId6734" xr:uid="{BF38C426-533E-D241-85A6-5B613231BD41}"/>
    <hyperlink ref="Q350" r:id="rId6735" xr:uid="{F6331425-398E-614F-AEBA-A834A90DB139}"/>
    <hyperlink ref="E352" r:id="rId6736" xr:uid="{687D4566-1FFE-9B40-B725-79146B1A7D9C}"/>
    <hyperlink ref="Q352" r:id="rId6737" xr:uid="{EB506663-0D9A-6D44-A95F-77C14B163E39}"/>
    <hyperlink ref="E349" r:id="rId6738" xr:uid="{30F82EFC-2F0F-B24D-ACC4-84777C4568FB}"/>
    <hyperlink ref="Q349" r:id="rId6739" xr:uid="{AAF4321A-155F-C645-8610-4DE8D4FB5A30}"/>
    <hyperlink ref="E347" r:id="rId6740" xr:uid="{E7B7094A-783D-324E-8758-77117E18A4D0}"/>
    <hyperlink ref="Q347" r:id="rId6741" xr:uid="{619966AD-0CC5-7440-A6B6-09B51D5CE344}"/>
    <hyperlink ref="E348" r:id="rId6742" xr:uid="{D7BB12E2-5A58-BD44-82EF-227D1752CD1A}"/>
    <hyperlink ref="Q348" r:id="rId6743" xr:uid="{4C86E780-A730-E549-AAB3-BC4F93953FDC}"/>
    <hyperlink ref="Q345" r:id="rId6744" xr:uid="{A03FD736-5CC1-554F-9D39-1D1FF50E73F7}"/>
    <hyperlink ref="Q344" r:id="rId6745" xr:uid="{692693A1-2FDD-604E-8160-CACB57920405}"/>
    <hyperlink ref="Q343" r:id="rId6746" xr:uid="{70164CE4-D4FC-0644-BA96-E9AA707EB82A}"/>
    <hyperlink ref="Q341" r:id="rId6747" xr:uid="{0BDF117F-6DE0-6B48-AC1E-5E7E3308BF60}"/>
    <hyperlink ref="E342" r:id="rId6748" xr:uid="{85E9F273-68A2-FC44-95A4-707BA4462FB6}"/>
    <hyperlink ref="Q342" r:id="rId6749" xr:uid="{BB1603E4-F86B-1F41-BF0A-B824D5596971}"/>
    <hyperlink ref="Q339" r:id="rId6750" xr:uid="{6CFF9717-F39A-3241-BED2-9B90E79907A2}"/>
    <hyperlink ref="Q340" r:id="rId6751" xr:uid="{328194B7-DD4F-C44A-A2D0-6222AF34B4EC}"/>
    <hyperlink ref="E338" r:id="rId6752" xr:uid="{EF52CF3D-E885-8846-BBCB-7A5477004EFF}"/>
    <hyperlink ref="Q338" r:id="rId6753" xr:uid="{EA96C318-7E3A-BE40-A0B0-47D72CF97BFF}"/>
    <hyperlink ref="E337" r:id="rId6754" xr:uid="{811B3561-ED88-5D4C-9DE1-4C231B57433D}"/>
    <hyperlink ref="Q337" r:id="rId6755" xr:uid="{F3857C6F-7E8B-9F49-AD66-643B160DAB73}"/>
    <hyperlink ref="E334" r:id="rId6756" xr:uid="{72DE7571-25D8-1A4C-A3FB-0C409C1B2D06}"/>
    <hyperlink ref="Q334" r:id="rId6757" xr:uid="{352CCB56-5448-4D4E-8D99-37154700DB9F}"/>
    <hyperlink ref="E336" r:id="rId6758" xr:uid="{64B29CD5-2C70-034D-BFE9-094F09C0C684}"/>
    <hyperlink ref="Q336" r:id="rId6759" xr:uid="{8CDCFE51-3987-9847-A47C-44E23A5F30F3}"/>
    <hyperlink ref="Q335" r:id="rId6760" xr:uid="{A7F35CC6-2984-A14A-995F-1CEE0539C025}"/>
    <hyperlink ref="E329" r:id="rId6761" xr:uid="{6D4C4879-6B0B-944C-BBC2-CD89960B6D55}"/>
    <hyperlink ref="Q329" r:id="rId6762" xr:uid="{94BEBAF0-18E2-7043-8B04-3D2E5B6E7837}"/>
    <hyperlink ref="E331" r:id="rId6763" xr:uid="{B6FBE65F-5F17-8E4D-9CD9-0BD78EE09FAA}"/>
    <hyperlink ref="Q331" r:id="rId6764" xr:uid="{7DA6B244-5AF7-B74E-AAB2-2E77E0401F25}"/>
    <hyperlink ref="Q332" r:id="rId6765" xr:uid="{D92A22AD-DA89-4643-87F8-77CD045110EB}"/>
    <hyperlink ref="E330" r:id="rId6766" xr:uid="{255B8833-13AC-D549-ACF4-1011F4398432}"/>
    <hyperlink ref="Q330" r:id="rId6767" xr:uid="{289870A5-8A96-E14C-BB86-C979EB420E15}"/>
    <hyperlink ref="Q333" r:id="rId6768" xr:uid="{EC73DFBD-7DA8-B549-B59B-1D0B2F36A7D6}"/>
    <hyperlink ref="Q328" r:id="rId6769" xr:uid="{9AB8F733-BD60-084B-AA90-BB8C3064FB69}"/>
    <hyperlink ref="E327" r:id="rId6770" xr:uid="{FFFC80A1-ED22-3F48-8BC2-4C9E681B1EC4}"/>
    <hyperlink ref="Q327" r:id="rId6771" xr:uid="{6F18E57D-3158-3549-AFAC-FBE60B32779A}"/>
    <hyperlink ref="E325" r:id="rId6772" xr:uid="{AF91A277-BA2E-024F-8241-16BA9C989576}"/>
    <hyperlink ref="Q325" r:id="rId6773" xr:uid="{0C968516-7D82-3F42-A5E8-0809F2CE8D55}"/>
    <hyperlink ref="E326" r:id="rId6774" xr:uid="{9ADDD66E-E535-3941-9E9E-67765B2D7F7C}"/>
    <hyperlink ref="Q326" r:id="rId6775" xr:uid="{979804E7-D5A5-D340-921F-49D685626F4C}"/>
    <hyperlink ref="E324" r:id="rId6776" xr:uid="{D36352C8-439E-C84C-B03E-CBEC95494F59}"/>
    <hyperlink ref="Q324" r:id="rId6777" xr:uid="{87E8E6AC-50C0-F643-A4BC-5D757318587A}"/>
    <hyperlink ref="E323" r:id="rId6778" xr:uid="{519E438F-0538-9A48-A69B-8087A8A74544}"/>
    <hyperlink ref="Q323" r:id="rId6779" xr:uid="{715DA0C7-2E0B-094B-9CEC-28497EC7F2AF}"/>
    <hyperlink ref="E319" r:id="rId6780" xr:uid="{EA4EDA82-5A31-8040-B101-901890A09CDC}"/>
    <hyperlink ref="Q319" r:id="rId6781" xr:uid="{15272BF9-ADC9-694F-BD4E-57665CE52DE4}"/>
    <hyperlink ref="E320" r:id="rId6782" xr:uid="{13FC6B64-2FC2-6A48-96D8-DD18A9DEB096}"/>
    <hyperlink ref="Q320" r:id="rId6783" xr:uid="{5AA9F730-4820-024A-8F1F-62A36C5F6E2A}"/>
    <hyperlink ref="E322" r:id="rId6784" xr:uid="{D516A567-9FC7-5143-BA6D-E5141CE7141C}"/>
    <hyperlink ref="Q322" r:id="rId6785" xr:uid="{0851F349-B854-964F-B216-AEAADCF2EFB1}"/>
    <hyperlink ref="E321" r:id="rId6786" xr:uid="{C395D2B1-38B3-9343-8B7B-1D33A4577C4F}"/>
    <hyperlink ref="Q321" r:id="rId6787" xr:uid="{476576ED-806F-CE43-875B-864A552C54AF}"/>
    <hyperlink ref="Q315" r:id="rId6788" xr:uid="{45C889F9-53B6-1540-A5E3-66B6159944CD}"/>
    <hyperlink ref="E317" r:id="rId6789" xr:uid="{7573A164-B7AA-4C4F-8080-CA3076FF2C2E}"/>
    <hyperlink ref="Q317" r:id="rId6790" xr:uid="{78A1D850-19E4-384D-AFC3-16D21C1A547F}"/>
    <hyperlink ref="Q316" r:id="rId6791" xr:uid="{242DC9C4-3368-FF4C-9852-353EE11EAA50}"/>
    <hyperlink ref="Q313" r:id="rId6792" xr:uid="{EC079366-AF0C-734C-A997-EC12DC02D6DB}"/>
    <hyperlink ref="Q312" r:id="rId6793" xr:uid="{1CEC216E-519A-2140-B3C0-F6F0B2A84493}"/>
    <hyperlink ref="E314" r:id="rId6794" xr:uid="{380E481C-1C5D-8240-9475-DCEF40B74826}"/>
    <hyperlink ref="Q314" r:id="rId6795" xr:uid="{465D3726-4BD7-E34C-9E57-021E3FE2631E}"/>
    <hyperlink ref="Q311" r:id="rId6796" xr:uid="{9B31217B-C611-0148-A554-72E32F22C1D9}"/>
    <hyperlink ref="Q310" r:id="rId6797" location="tracking-source=home-top-story" xr:uid="{75376E3B-74DD-A64B-8F19-B4A3CEBB1B10}"/>
    <hyperlink ref="E309" r:id="rId6798" xr:uid="{D06DC9B1-E514-D845-AAE5-22E31933A02E}"/>
    <hyperlink ref="Q309" r:id="rId6799" xr:uid="{B435162B-1F40-5F40-9BC0-9F446DEB260D}"/>
    <hyperlink ref="Q308" r:id="rId6800" xr:uid="{A901CE7C-DF64-484E-8539-CDF85FC23B03}"/>
    <hyperlink ref="Q306" r:id="rId6801" xr:uid="{7162CF99-59E2-A140-88E3-01E3E955B4F4}"/>
    <hyperlink ref="Q307" r:id="rId6802" xr:uid="{3A0AD581-34F6-D34F-AC83-B573E112B7E7}"/>
    <hyperlink ref="Q304" r:id="rId6803" xr:uid="{8432C07F-8E98-EA4B-B25C-E2BBF3D18AB8}"/>
    <hyperlink ref="Q305" r:id="rId6804" xr:uid="{0F7D489A-5C4E-814F-89B3-6724592C0AC3}"/>
    <hyperlink ref="Q302" r:id="rId6805" xr:uid="{E3DC4881-50EE-DD49-9D14-C261055C61BB}"/>
    <hyperlink ref="Q303" r:id="rId6806" xr:uid="{8D5AD77A-2452-AB44-A17B-6B3EF7E0DEE6}"/>
    <hyperlink ref="E301" r:id="rId6807" xr:uid="{E11FFF7B-24E0-5746-AC27-2EF5D4A039AD}"/>
    <hyperlink ref="Q301" r:id="rId6808" xr:uid="{A1D62AA1-86A0-704E-A009-0BB32E05D0E1}"/>
    <hyperlink ref="Q298" r:id="rId6809" xr:uid="{0744190F-257D-A548-BF9E-D480C47551B5}"/>
    <hyperlink ref="E300" r:id="rId6810" xr:uid="{B0A2BDB4-9498-3E4E-9323-D95DC36C6CBA}"/>
    <hyperlink ref="Q300" r:id="rId6811" xr:uid="{99FB2441-5C29-6747-B546-699AF2966527}"/>
    <hyperlink ref="Q299" r:id="rId6812" xr:uid="{39D9DF4C-D597-D840-A159-B226A175A475}"/>
    <hyperlink ref="E297" r:id="rId6813" xr:uid="{07C58359-F88A-F74A-A919-FC616156F55F}"/>
    <hyperlink ref="Q297" r:id="rId6814" xr:uid="{C8BCC249-73A7-7744-8633-431115761775}"/>
    <hyperlink ref="Q291" r:id="rId6815" xr:uid="{102FAC47-7FB0-4941-9565-A36C51E0A775}"/>
    <hyperlink ref="E296" r:id="rId6816" xr:uid="{EA0E8691-A8A7-8D49-90A5-C6E7EAE64E6D}"/>
    <hyperlink ref="Q296" r:id="rId6817" xr:uid="{81F354BB-8BF2-404C-9ED5-9DAD64C72EDC}"/>
    <hyperlink ref="Q292" r:id="rId6818" xr:uid="{1944D90D-2FD2-E74E-9F3E-C11304B602DD}"/>
    <hyperlink ref="Q290" r:id="rId6819" xr:uid="{08A2C7F4-0B6A-EF4D-8A04-18612C6CAEB7}"/>
    <hyperlink ref="E289" r:id="rId6820" xr:uid="{0515D619-82E1-8F46-BDD9-BF2EDC3C37A9}"/>
    <hyperlink ref="Q289" r:id="rId6821" xr:uid="{7AF604C3-DA56-AE46-9EB8-EA02C1C1895F}"/>
    <hyperlink ref="E294" r:id="rId6822" xr:uid="{8B83217C-0D08-C440-8A39-922259C1FE62}"/>
    <hyperlink ref="Q294" r:id="rId6823" location="click=https://t.co/2B5cLmbuyD" xr:uid="{6384D71B-EF7D-CE44-B7C6-15839685054E}"/>
    <hyperlink ref="E295" r:id="rId6824" xr:uid="{0D29595C-015E-FF4E-80C8-67641F487E10}"/>
    <hyperlink ref="Q295" r:id="rId6825" location="click=https://t.co/2B5cLmbuyD" xr:uid="{9EED1435-FB73-2340-AD8C-E057824566E5}"/>
    <hyperlink ref="E293" r:id="rId6826" xr:uid="{D92FC465-E6F6-B44E-A36B-0D8D7E81DBDB}"/>
    <hyperlink ref="Q293" r:id="rId6827" xr:uid="{F3DDF030-B2EB-D140-BA67-EA547C329535}"/>
    <hyperlink ref="E288" r:id="rId6828" xr:uid="{28625177-61B8-6D47-8D23-686CB4BD4F49}"/>
    <hyperlink ref="Q288" r:id="rId6829" xr:uid="{DAAF4323-2C6D-6746-9328-2346C9669291}"/>
    <hyperlink ref="E287" r:id="rId6830" xr:uid="{639B3548-01FD-304C-8332-82D320814A08}"/>
    <hyperlink ref="Q287" r:id="rId6831" xr:uid="{74807996-553C-F046-95AB-8CEC4B2DC5DE}"/>
    <hyperlink ref="E284" r:id="rId6832" xr:uid="{BFC18BA1-36ED-5044-A51E-34E46ED98F80}"/>
    <hyperlink ref="Q284" r:id="rId6833" xr:uid="{F79D40EB-3D78-3B4D-BB99-19718CEBE1CA}"/>
    <hyperlink ref="E286" r:id="rId6834" xr:uid="{11E4DEDE-4451-1945-AA09-CFCB9450680A}"/>
    <hyperlink ref="Q286" r:id="rId6835" xr:uid="{46C8BFFD-0049-4647-BAF9-54F3AE2E6D92}"/>
    <hyperlink ref="E285" r:id="rId6836" xr:uid="{212FF6E2-4978-1E41-BCAF-068885EB2883}"/>
    <hyperlink ref="Q285" r:id="rId6837" xr:uid="{9DEA8AC4-6D80-EE4A-B470-63065BC1CC38}"/>
    <hyperlink ref="Q283" r:id="rId6838" xr:uid="{C9AFAB58-C1DB-414D-86C4-AE90C350EDBA}"/>
    <hyperlink ref="Q282" r:id="rId6839" xr:uid="{24D8FC8C-B3D7-2B4E-B3BE-29E26456827E}"/>
    <hyperlink ref="E281" r:id="rId6840" xr:uid="{49D8A916-62BB-2F45-8272-C12AB2869F93}"/>
    <hyperlink ref="Q281" r:id="rId6841" xr:uid="{949886AA-85AB-EC42-9EF0-D8A155AB073A}"/>
    <hyperlink ref="Q280" r:id="rId6842" xr:uid="{8D25110A-8AFB-C44C-B36F-799134937E4C}"/>
    <hyperlink ref="E277" r:id="rId6843" xr:uid="{7B8F27F8-EE74-034B-BDE3-9DFEBC86C1FC}"/>
    <hyperlink ref="Q277" r:id="rId6844" xr:uid="{8D72838C-F7D6-5E46-8EAA-4E22B437D238}"/>
    <hyperlink ref="Q279" r:id="rId6845" xr:uid="{DC8DC950-60FC-3A4E-8ACF-22F44CDE0195}"/>
    <hyperlink ref="Q278" r:id="rId6846" xr:uid="{0030090C-B38C-D849-BEF5-6AE98575F678}"/>
    <hyperlink ref="E276" r:id="rId6847" xr:uid="{F561E603-8C71-A64D-968E-D2715B784647}"/>
    <hyperlink ref="Q276" r:id="rId6848" xr:uid="{9F701A08-4034-F541-880C-475F97230B8A}"/>
    <hyperlink ref="E275" r:id="rId6849" xr:uid="{8F365C3F-6677-874A-8DBE-025699426DF0}"/>
    <hyperlink ref="Q275" r:id="rId6850" xr:uid="{5E0611D1-E6A5-E345-B45B-012CF0323F7A}"/>
    <hyperlink ref="E271" r:id="rId6851" xr:uid="{6434816B-A63F-3A40-BCA4-8E0B574F1458}"/>
    <hyperlink ref="Q271" r:id="rId6852" xr:uid="{5A0CAC1C-86D1-7146-8CEA-ED24E1B4C8CB}"/>
    <hyperlink ref="Q272" r:id="rId6853" xr:uid="{A657D4B9-B367-B241-BA00-8BF5CF1F9D64}"/>
    <hyperlink ref="E273" r:id="rId6854" xr:uid="{4E4A5939-22AB-2744-B28C-692560CA9260}"/>
    <hyperlink ref="Q273" r:id="rId6855" xr:uid="{F488ECA0-525F-5049-8A53-6B8266C9B651}"/>
    <hyperlink ref="Q274" r:id="rId6856" location="tncms-source=article-nav-next" xr:uid="{B808D151-FC68-C44A-B887-8C8AB7F0180F}"/>
    <hyperlink ref="Q270" r:id="rId6857" xr:uid="{6D856636-98EC-0F41-A11D-8D3165CC5742}"/>
    <hyperlink ref="Q268" r:id="rId6858" xr:uid="{9D98BEE4-68BD-B04B-A183-08B32EEEEA20}"/>
    <hyperlink ref="Q266" r:id="rId6859" xr:uid="{9E4F18E2-F226-5F45-90F5-78ACEFE0C4B4}"/>
    <hyperlink ref="Q262" r:id="rId6860" xr:uid="{1B14CFF1-73AB-1F40-AA0A-02375618478F}"/>
    <hyperlink ref="Q263" r:id="rId6861" xr:uid="{5D66993F-B029-C84D-BA3E-25EFDEFB9E82}"/>
    <hyperlink ref="Q265" r:id="rId6862" xr:uid="{E70C1FE2-EAB0-1243-9BCB-1CADC7FFE193}"/>
    <hyperlink ref="E264" r:id="rId6863" xr:uid="{8CC4345C-97D0-054C-8376-1D3816C7E72A}"/>
    <hyperlink ref="Q264" r:id="rId6864" xr:uid="{6B2BC7E2-138D-AC46-B1A2-FBDEA227CB71}"/>
    <hyperlink ref="Q261" r:id="rId6865" xr:uid="{83F54EEF-40DF-A64D-9376-D93B384ADB40}"/>
    <hyperlink ref="Q259" r:id="rId6866" xr:uid="{20B5101D-6377-714B-B893-2C44122E010C}"/>
    <hyperlink ref="Q257" r:id="rId6867" xr:uid="{61105B7C-E8A8-D541-928A-58CC88CB9CAF}"/>
    <hyperlink ref="E256" r:id="rId6868" xr:uid="{FB327743-FE8E-6940-AC9A-86DAA6BAC23D}"/>
    <hyperlink ref="Q256" r:id="rId6869" xr:uid="{4678B5F6-2BCA-174B-986B-9DABF1BF5D88}"/>
    <hyperlink ref="Q258" r:id="rId6870" xr:uid="{E6DD0B4B-4B1E-5E4F-99E1-7455DD2A8037}"/>
    <hyperlink ref="Q253" r:id="rId6871" xr:uid="{733BF404-7F15-3648-94AA-408422E6204F}"/>
    <hyperlink ref="E254" r:id="rId6872" xr:uid="{449E061A-CBDE-094B-847A-991F0C923B2F}"/>
    <hyperlink ref="Q254" r:id="rId6873" xr:uid="{0E403CAE-9FD6-FF48-900E-D961A13E88B6}"/>
    <hyperlink ref="E252" r:id="rId6874" xr:uid="{173A75ED-5B97-5142-A079-BB77A70A07D9}"/>
    <hyperlink ref="Q252" r:id="rId6875" xr:uid="{60483345-5D87-6D43-B365-7D0FEAA87CC9}"/>
    <hyperlink ref="E255" r:id="rId6876" xr:uid="{363C774C-E735-FF49-A21C-27598D5EFCA2}"/>
    <hyperlink ref="Q255" r:id="rId6877" xr:uid="{38B8306B-0C44-A548-81BC-35F8EB502705}"/>
    <hyperlink ref="Q251" r:id="rId6878" xr:uid="{A3305FFB-DA99-934F-85E0-87C9F2CEFAA8}"/>
    <hyperlink ref="E250" r:id="rId6879" xr:uid="{0B88E339-5446-E347-B3B1-533F1C2C37F8}"/>
    <hyperlink ref="Q250" r:id="rId6880" xr:uid="{374BD043-94E4-8147-A472-2DEA59D22922}"/>
    <hyperlink ref="E249" r:id="rId6881" xr:uid="{7F8D9299-8DCE-8548-AE58-2871D1F4FC08}"/>
    <hyperlink ref="Q249" r:id="rId6882" xr:uid="{E43C331E-2750-3D43-B565-6802AE8F8386}"/>
    <hyperlink ref="E247" r:id="rId6883" xr:uid="{BB80621C-C445-9048-A1BF-09580E9DB4C4}"/>
    <hyperlink ref="Q247" r:id="rId6884" xr:uid="{BC9C81F9-3D9A-D247-BC40-996E402E07AA}"/>
    <hyperlink ref="E248" r:id="rId6885" xr:uid="{05D4515A-4D29-4C4E-8D30-95C909FABBA3}"/>
    <hyperlink ref="Q248" r:id="rId6886" xr:uid="{EDDA5F2E-A0C3-3A48-BF65-047A1EC24FC1}"/>
    <hyperlink ref="Q245" r:id="rId6887" xr:uid="{0F1413AE-21C1-0C4A-91C4-22F1BA04564A}"/>
    <hyperlink ref="E246" r:id="rId6888" xr:uid="{9B460B95-E750-2E4D-8356-2DACB4A20CF2}"/>
    <hyperlink ref="Q246" r:id="rId6889" xr:uid="{4D6AE085-F70B-7F44-8D64-37BA761CA40D}"/>
    <hyperlink ref="Q241" r:id="rId6890" xr:uid="{04C36E7F-CC04-E447-A9E4-4CF001E977A4}"/>
    <hyperlink ref="E243" r:id="rId6891" xr:uid="{CBA95BD9-91E1-404B-9B47-4706FCF05244}"/>
    <hyperlink ref="Q243" r:id="rId6892" xr:uid="{28A64F7E-30D4-E348-8082-2E2861180A3D}"/>
    <hyperlink ref="Q242" r:id="rId6893" xr:uid="{5A0612D0-C995-3245-8AF3-EF6815D03DC3}"/>
    <hyperlink ref="Q239" r:id="rId6894" xr:uid="{5878367D-E07F-3244-97A0-AFEAF027D50F}"/>
    <hyperlink ref="Q240" r:id="rId6895" xr:uid="{19969576-4030-4143-A1F2-DB47110E3964}"/>
    <hyperlink ref="E238" r:id="rId6896" xr:uid="{74AF530B-FF4B-774D-A701-C267DFC4F740}"/>
    <hyperlink ref="Q238" r:id="rId6897" xr:uid="{9421766F-93DA-994E-A015-8D9008DB8FAF}"/>
    <hyperlink ref="Q235" r:id="rId6898" xr:uid="{A7C40C5D-84B1-BB43-BFD0-F5B672B92662}"/>
    <hyperlink ref="E236" r:id="rId6899" xr:uid="{71D9677E-9DD2-F248-9E2F-ACFB7AFF91B1}"/>
    <hyperlink ref="Q236" r:id="rId6900" xr:uid="{72B3EABC-2FDB-3A4C-A362-46DE496E4CD9}"/>
    <hyperlink ref="E234" r:id="rId6901" xr:uid="{B4C6F376-04B5-2048-9CC0-3811A48CD1F9}"/>
    <hyperlink ref="Q234" r:id="rId6902" xr:uid="{692F0102-34C1-C84A-9507-A062D34D4610}"/>
    <hyperlink ref="Q233" r:id="rId6903" xr:uid="{3DD94D15-1031-1348-9CB6-62A5EFDA4CBB}"/>
    <hyperlink ref="E232" r:id="rId6904" xr:uid="{9269244D-9FC0-1341-911D-F3F685834904}"/>
    <hyperlink ref="Q232" r:id="rId6905" xr:uid="{F8AC1426-717F-0747-88C9-B5904C4E302E}"/>
    <hyperlink ref="Q230" r:id="rId6906" xr:uid="{D6578FE9-06D3-9C4E-B717-E1EC3EAF72AD}"/>
    <hyperlink ref="Q227" r:id="rId6907" xr:uid="{713B9A83-124C-F846-924D-56CB115190A8}"/>
    <hyperlink ref="E226" r:id="rId6908" xr:uid="{23C7A2A7-EBBA-7A41-9D05-53C5CD9D14E2}"/>
    <hyperlink ref="Q226" r:id="rId6909" xr:uid="{72DFE67B-1F4E-9C40-8D95-4B087960A129}"/>
    <hyperlink ref="Q229" r:id="rId6910" xr:uid="{BE2E208B-73B6-DE4A-BC17-377AE065CCE1}"/>
    <hyperlink ref="E228" r:id="rId6911" xr:uid="{43C13475-B366-FE42-B9BB-45024E3706E6}"/>
    <hyperlink ref="Q228" r:id="rId6912" xr:uid="{328415C5-088F-0545-AA6A-B1DF92D5B882}"/>
    <hyperlink ref="Q225" r:id="rId6913" xr:uid="{F201EC0F-EB1E-9644-B1F9-D9380C92B204}"/>
    <hyperlink ref="Q222" r:id="rId6914" xr:uid="{DC9ADFE3-3C1E-B949-8E70-AB2F28F2C536}"/>
    <hyperlink ref="E224" r:id="rId6915" xr:uid="{3A5D5559-9891-8142-BD51-28F7412FBC75}"/>
    <hyperlink ref="Q224" r:id="rId6916" xr:uid="{9186662B-190D-0446-86B7-50475024D60C}"/>
    <hyperlink ref="E219" r:id="rId6917" xr:uid="{6B105AE2-3219-A54F-BDCB-4F9708CD1927}"/>
    <hyperlink ref="Q219" r:id="rId6918" xr:uid="{7C66DC1F-C8B8-5B4A-8994-370A535D73F9}"/>
    <hyperlink ref="E218" r:id="rId6919" xr:uid="{80168820-7E50-114B-86A0-7224F72962FB}"/>
    <hyperlink ref="Q218" r:id="rId6920" xr:uid="{A64640BC-F66C-B04C-9DAB-F39D4075460A}"/>
    <hyperlink ref="Q221" r:id="rId6921" xr:uid="{1E28C830-3EB8-3041-8D78-0FA2625FEE68}"/>
    <hyperlink ref="Q223" r:id="rId6922" xr:uid="{9A797533-209D-2E4D-87AA-8F9F006E54B8}"/>
    <hyperlink ref="E217" r:id="rId6923" xr:uid="{A01E0D7A-C180-6844-BCF9-461E8D395568}"/>
    <hyperlink ref="Q217" r:id="rId6924" xr:uid="{FE93F455-2B74-FA44-B90C-8263CB17C129}"/>
    <hyperlink ref="Q210" r:id="rId6925" xr:uid="{4705FAED-E0F6-264B-A1C4-915B30C765C4}"/>
    <hyperlink ref="Q216" r:id="rId6926" xr:uid="{442B8769-5C95-C44E-9009-1B7FD546AF46}"/>
    <hyperlink ref="E214" r:id="rId6927" xr:uid="{E559E57C-8DE9-5743-981D-A61CF149B2BB}"/>
    <hyperlink ref="Q214" r:id="rId6928" xr:uid="{6935D513-99E5-6449-849D-237EFB7D7C17}"/>
    <hyperlink ref="E212" r:id="rId6929" xr:uid="{761FC37E-F72A-2647-9232-3D6308A03A44}"/>
    <hyperlink ref="Q212" r:id="rId6930" xr:uid="{A42D4999-9C4A-3444-A26A-6E23C3499B53}"/>
    <hyperlink ref="E213" r:id="rId6931" xr:uid="{205B1C20-CDA1-CD4D-928F-598294015829}"/>
    <hyperlink ref="Q213" r:id="rId6932" xr:uid="{BE06CBEB-AF61-384A-A982-3438EFAB0290}"/>
    <hyperlink ref="Q211" r:id="rId6933" xr:uid="{AA15B118-91CA-2D4F-B188-F53270221E3D}"/>
    <hyperlink ref="E215" r:id="rId6934" xr:uid="{C96DD473-76DE-204C-8161-837A2DF8437A}"/>
    <hyperlink ref="Q215" r:id="rId6935" xr:uid="{945FD5BB-1A35-EA41-A4AE-37ACE5308FAD}"/>
    <hyperlink ref="Q209" r:id="rId6936" xr:uid="{311A48BF-AA49-D84E-A802-BCF06A4267F7}"/>
    <hyperlink ref="Q208" r:id="rId6937" xr:uid="{9671E2D1-44B4-C44D-97EF-7FE08193FBFF}"/>
    <hyperlink ref="Q204" r:id="rId6938" xr:uid="{CEFD474D-3FEA-5942-992E-EEC23E7B5F14}"/>
    <hyperlink ref="Q205" r:id="rId6939" xr:uid="{181F83AD-05AF-A14E-8549-872A27E1110E}"/>
    <hyperlink ref="E202" r:id="rId6940" xr:uid="{82B10147-2EE8-7E43-839E-4CA24DBCD714}"/>
    <hyperlink ref="Q202" r:id="rId6941" xr:uid="{A8816FE0-C4C2-7B49-A65D-873ADE8624DE}"/>
    <hyperlink ref="Q203" r:id="rId6942" xr:uid="{47CE6BDF-1499-1D4D-9234-D0D37BD29189}"/>
    <hyperlink ref="Q206" r:id="rId6943" xr:uid="{288B5760-5E8A-A44D-8B04-4CA76589752B}"/>
    <hyperlink ref="E201" r:id="rId6944" xr:uid="{4FCEF4D4-A0F0-5744-BC45-A09ACC08F59D}"/>
    <hyperlink ref="Q201" r:id="rId6945" xr:uid="{D1BB2C28-1E7D-2042-9465-EAFDB98F5373}"/>
    <hyperlink ref="E199" r:id="rId6946" xr:uid="{13A3A1A8-FE02-C642-A6B7-6D53533B6B94}"/>
    <hyperlink ref="Q199" r:id="rId6947" xr:uid="{9401B928-0ED3-CD44-9034-234813D75F74}"/>
    <hyperlink ref="Q197" r:id="rId6948" xr:uid="{840A36C9-60E3-9444-BA1B-F453DE956B86}"/>
    <hyperlink ref="E200" r:id="rId6949" xr:uid="{8650D2F1-CE6F-D940-BE5B-82EB7326AF9B}"/>
    <hyperlink ref="Q200" r:id="rId6950" xr:uid="{202C65FB-80A1-E945-A626-3E0F1BF82C55}"/>
    <hyperlink ref="Q198" r:id="rId6951" xr:uid="{09B5EDEF-FD3A-6944-B094-D7787A21CEBE}"/>
    <hyperlink ref="Q195" r:id="rId6952" xr:uid="{6FC7F2A7-E667-F844-BAD4-E458572B3A82}"/>
    <hyperlink ref="E194" r:id="rId6953" xr:uid="{9F677AD3-F70D-0A43-8113-F3472A916B86}"/>
    <hyperlink ref="Q194" r:id="rId6954" xr:uid="{7AC354F1-8068-0040-A5F1-5B7D29D43D9D}"/>
    <hyperlink ref="Q196" r:id="rId6955" xr:uid="{180B79E8-6D8A-A74B-AF43-0AAC35BC1036}"/>
    <hyperlink ref="Q189" r:id="rId6956" xr:uid="{B4B888C0-B310-8D44-AC0A-56A2C24F54E7}"/>
    <hyperlink ref="Q191" r:id="rId6957" xr:uid="{A5046294-15C1-AE47-9A3C-FFC33CF5DB86}"/>
    <hyperlink ref="E190" r:id="rId6958" xr:uid="{D2742CCE-F106-5B4F-ADA5-E9A73AF8FC6E}"/>
    <hyperlink ref="Q190" r:id="rId6959" xr:uid="{4CFF7BFC-1DD5-7F41-811A-5C64F68920F6}"/>
    <hyperlink ref="E192" r:id="rId6960" xr:uid="{42071D17-5319-144A-BBB5-8B4FA16A71DB}"/>
    <hyperlink ref="Q192" r:id="rId6961" xr:uid="{2FF633FE-AEC9-6F49-B53E-385D6E26F61C}"/>
    <hyperlink ref="Q193" r:id="rId6962" xr:uid="{087FE4AC-A926-884F-9649-EE6AF3B8D099}"/>
    <hyperlink ref="E188" r:id="rId6963" xr:uid="{9F3013C3-30C3-8445-9732-56C73AD14553}"/>
    <hyperlink ref="Q188" r:id="rId6964" xr:uid="{AC1140A9-98C3-7C40-93CA-8CFE626A4EDA}"/>
    <hyperlink ref="E186" r:id="rId6965" xr:uid="{1E49F792-715B-F04C-AC60-3A149C196087}"/>
    <hyperlink ref="Q186" r:id="rId6966" xr:uid="{D040A428-BEF7-9448-AA0B-50F18428CD5B}"/>
    <hyperlink ref="E187" r:id="rId6967" xr:uid="{4A5E1401-B125-0D45-BD4D-BF6E2EAA656E}"/>
    <hyperlink ref="Q187" r:id="rId6968" xr:uid="{5E3D4B23-49BF-2F47-B8FB-2A81381C05BD}"/>
    <hyperlink ref="Q185" r:id="rId6969" xr:uid="{AACB9B35-EB8F-C847-B70C-2CD1A34B9616}"/>
    <hyperlink ref="Q183" r:id="rId6970" xr:uid="{82219BDD-4304-954C-9E5D-2330492B7EB5}"/>
    <hyperlink ref="Q152" r:id="rId6971" xr:uid="{F5B70C10-33B5-5A42-BF10-A4B94C021EAC}"/>
    <hyperlink ref="E126" r:id="rId6972" xr:uid="{4792E73D-0819-9447-8B72-E3C7436B7BC3}"/>
    <hyperlink ref="E86" r:id="rId6973" xr:uid="{DFEA2CE5-DFA8-D642-A961-23E6B2A4C9E9}"/>
    <hyperlink ref="Q86" r:id="rId6974" xr:uid="{39959A69-D71C-194B-B731-26F87407CF1A}"/>
    <hyperlink ref="E83" r:id="rId6975" xr:uid="{808D7D26-F3D1-3D44-AEF4-5F2BFFA6DF57}"/>
    <hyperlink ref="Q83" r:id="rId6976" xr:uid="{2451F5AC-E7E0-1F49-89DC-176BA0ED2135}"/>
    <hyperlink ref="Q77" r:id="rId6977" xr:uid="{32DBF7DA-D351-BE4F-8C06-679C76317070}"/>
    <hyperlink ref="E84" r:id="rId6978" xr:uid="{7FDA92C4-474A-D04E-8EA8-7C74EC18A64D}"/>
    <hyperlink ref="Q84" r:id="rId6979" xr:uid="{6468C360-5019-8949-B06A-76EB8C0B73AA}"/>
    <hyperlink ref="E80" r:id="rId6980" xr:uid="{17335F1F-D9C3-A941-8166-6D58DEBBB53A}"/>
    <hyperlink ref="Q80" r:id="rId6981" xr:uid="{B10B6B10-A247-EF44-A761-34467C132429}"/>
    <hyperlink ref="E81" r:id="rId6982" xr:uid="{FF137134-C5B1-0045-8A31-0317252FFA47}"/>
    <hyperlink ref="Q81" r:id="rId6983" xr:uid="{217E7F55-857A-B640-9A1F-F446FC289351}"/>
    <hyperlink ref="Q78" r:id="rId6984" xr:uid="{79F386C2-E3D8-9644-9AE3-413ACF3616D4}"/>
    <hyperlink ref="Q85" r:id="rId6985" xr:uid="{926FE2E6-439E-634C-8A31-AFA23601DDEE}"/>
    <hyperlink ref="Q79" r:id="rId6986" xr:uid="{EEF03685-9057-A141-A412-3410B389E9DE}"/>
    <hyperlink ref="E82" r:id="rId6987" xr:uid="{7802DDB8-4F02-564C-88FD-91ADF27D4585}"/>
    <hyperlink ref="Q82" r:id="rId6988" xr:uid="{26F92264-F482-D342-9F64-72CDB55780AA}"/>
    <hyperlink ref="Q76" r:id="rId6989" xr:uid="{26FC3BD5-4CB0-B647-8F15-5406B01CE51F}"/>
    <hyperlink ref="E75" r:id="rId6990" xr:uid="{566F6BCD-A764-9143-8DE0-10B24E88B9AB}"/>
    <hyperlink ref="Q75" r:id="rId6991" xr:uid="{92FA8BF6-36F2-EB49-BE12-4F311005D3DA}"/>
    <hyperlink ref="Q73" r:id="rId6992" xr:uid="{B5372861-375B-0145-94CD-458B90CAD323}"/>
    <hyperlink ref="Q69" r:id="rId6993" xr:uid="{08FE4F1E-92D3-2B4E-AEAB-5443D680A3EB}"/>
    <hyperlink ref="Q70" r:id="rId6994" xr:uid="{9CB495FE-B221-014C-8799-847F431F2787}"/>
    <hyperlink ref="E71" r:id="rId6995" xr:uid="{84446950-B16B-844C-BA69-A80E2B32B187}"/>
    <hyperlink ref="Q71" r:id="rId6996" xr:uid="{B359310C-0BB9-3A43-BC11-6CBAB88148DD}"/>
    <hyperlink ref="E72" r:id="rId6997" xr:uid="{4E9F4C18-852C-BC4C-987D-F4C54EAF7565}"/>
    <hyperlink ref="Q72" r:id="rId6998" xr:uid="{F33D51AB-112C-F941-BFC9-9DDF696BBE3C}"/>
    <hyperlink ref="Q74" r:id="rId6999" xr:uid="{136793B8-2040-E34B-9E2F-817592EB8DD2}"/>
    <hyperlink ref="E67" r:id="rId7000" xr:uid="{ABA470BE-B762-0849-8191-18E18F6CE04C}"/>
    <hyperlink ref="Q67" r:id="rId7001" xr:uid="{9C356AC7-1885-4A43-A3CC-19B9CB125613}"/>
    <hyperlink ref="E66" r:id="rId7002" xr:uid="{2599087F-D400-E249-AAFF-A1AF55F82F19}"/>
    <hyperlink ref="Q66" r:id="rId7003" xr:uid="{B922FD95-0DD0-6346-8780-352EE0132669}"/>
    <hyperlink ref="E65" r:id="rId7004" xr:uid="{CC8467EE-45B4-7A4C-A99A-DE34E1DEBF16}"/>
    <hyperlink ref="Q65" r:id="rId7005" xr:uid="{9F5EC5A9-FDBD-3D44-8B42-A9C6F61E3E2D}"/>
    <hyperlink ref="Q68" r:id="rId7006" xr:uid="{D0E8C3A0-9791-1F48-AFCD-39924857E4B7}"/>
    <hyperlink ref="E63" r:id="rId7007" xr:uid="{EC64D621-C56B-F446-9149-DB579D35573A}"/>
    <hyperlink ref="Q63" r:id="rId7008" xr:uid="{A15503BE-0EF4-0B43-BC65-59FF0F525EF3}"/>
    <hyperlink ref="E64" r:id="rId7009" xr:uid="{D50D2BC0-7E8E-4441-8A4B-3D9205678A1F}"/>
    <hyperlink ref="Q64" r:id="rId7010" xr:uid="{BE7A00F5-C52D-3C4D-BA17-8415069993EC}"/>
    <hyperlink ref="Q62" r:id="rId7011" xr:uid="{04BC56F9-6EA8-CC48-B90B-C6739018EE26}"/>
    <hyperlink ref="E61" r:id="rId7012" xr:uid="{332F8996-4EC0-7B4E-A44B-A89AF5BD08F1}"/>
    <hyperlink ref="Q61" r:id="rId7013" xr:uid="{5D1D728D-AF60-5E4F-8A5F-8427CA4859B5}"/>
    <hyperlink ref="E59" r:id="rId7014" xr:uid="{26CD5CC3-6255-894B-A5B5-BCD8A643C79F}"/>
    <hyperlink ref="Q59" r:id="rId7015" xr:uid="{1C7A5C9B-9744-EA43-ACF5-5FC2E1641B1A}"/>
    <hyperlink ref="Q58" r:id="rId7016" xr:uid="{81B6BC4B-D673-474E-B011-DFD1A26DF7F8}"/>
    <hyperlink ref="E60" r:id="rId7017" xr:uid="{BD399757-816D-2645-839C-A2B19B5B3116}"/>
    <hyperlink ref="Q60" r:id="rId7018" xr:uid="{61CD76F4-F3AA-924C-A4FA-C4673B39CCD1}"/>
    <hyperlink ref="E54" r:id="rId7019" xr:uid="{78FBB0A8-1761-B84D-86B0-21365DF5F639}"/>
    <hyperlink ref="Q54" r:id="rId7020" xr:uid="{E882B95A-C0C5-484B-AFC7-F137FF644F22}"/>
    <hyperlink ref="E56" r:id="rId7021" xr:uid="{9ABFB2B1-7A80-564A-A394-5B4EEC91D510}"/>
    <hyperlink ref="Q56" r:id="rId7022" xr:uid="{E871F534-172B-5B4D-97EE-63C5B605757C}"/>
    <hyperlink ref="E53" r:id="rId7023" xr:uid="{B648AC4A-32C1-A048-A5D0-5ADD99680B6D}"/>
    <hyperlink ref="Q53" r:id="rId7024" xr:uid="{F3479786-77FF-FA46-A54D-10C2FB3425AF}"/>
    <hyperlink ref="E57" r:id="rId7025" xr:uid="{3EFEEDEF-6581-044B-B1F6-27B8512D8D6A}"/>
    <hyperlink ref="Q57" r:id="rId7026" xr:uid="{5AE58A42-1D6A-974B-BC6F-ED7A12C9D649}"/>
    <hyperlink ref="Q55" r:id="rId7027" xr:uid="{6138C8F0-73FB-434C-AB97-B991BEEF07FE}"/>
    <hyperlink ref="Q52" r:id="rId7028" xr:uid="{51E0C2B8-7319-FE44-AEAC-0422F823AFE2}"/>
    <hyperlink ref="E50" r:id="rId7029" xr:uid="{7F446DD6-D682-C642-87F7-DF0D37B0C588}"/>
    <hyperlink ref="Q50" r:id="rId7030" xr:uid="{890B9B27-7792-8945-A93B-29C15875E3D8}"/>
    <hyperlink ref="Q47" r:id="rId7031" xr:uid="{31F02C2F-7365-B745-B059-1C150C658FB7}"/>
    <hyperlink ref="Q48" r:id="rId7032" xr:uid="{7255D8BC-9D73-5B47-9F65-62B152352D39}"/>
    <hyperlink ref="E49" r:id="rId7033" xr:uid="{73E47EEB-F101-1A4B-BDF9-0F61F98C13DF}"/>
    <hyperlink ref="Q49" r:id="rId7034" xr:uid="{83C76190-0319-EF43-846E-4CE2E7ED198C}"/>
    <hyperlink ref="Q51" r:id="rId7035" xr:uid="{86E2D595-DBCB-A243-BA72-154E0B1305D3}"/>
    <hyperlink ref="Q46" r:id="rId7036" xr:uid="{666D3E56-89A1-2B4E-8974-A609B180A191}"/>
    <hyperlink ref="E45" r:id="rId7037" xr:uid="{C22F6A0E-3861-DD48-982A-9CA5A5796E38}"/>
    <hyperlink ref="Q45" r:id="rId7038" xr:uid="{DB1E1BE5-F084-F44B-BE78-71C5147DE8B3}"/>
    <hyperlink ref="E44" r:id="rId7039" xr:uid="{59C6FBDD-B1A2-7B48-9964-AA6BD4BC94AC}"/>
    <hyperlink ref="Q44" r:id="rId7040" xr:uid="{B572D45B-D478-6243-9A2A-1B09BDAA96EB}"/>
    <hyperlink ref="E43" r:id="rId7041" xr:uid="{619AF91E-16C5-A343-9C39-BAD13C33DB37}"/>
    <hyperlink ref="Q43" r:id="rId7042" xr:uid="{D3246123-4A82-6D4B-8C26-73F913EAF66A}"/>
    <hyperlink ref="E42" r:id="rId7043" xr:uid="{E88193B4-E5A1-F448-8349-649DA609D2D0}"/>
    <hyperlink ref="Q42" r:id="rId7044" xr:uid="{AB92E028-98D8-0648-BE1D-5E4F77E927B9}"/>
    <hyperlink ref="Q41" r:id="rId7045" xr:uid="{8284FD66-5AF5-7F4C-9790-4C6C9074F51D}"/>
    <hyperlink ref="E39" r:id="rId7046" xr:uid="{31D042B1-A6D0-D74D-A8AA-4E601A5C3512}"/>
    <hyperlink ref="Q39" r:id="rId7047" xr:uid="{EF390980-89C2-DA4F-845A-7728865C4B77}"/>
    <hyperlink ref="Q40" r:id="rId7048" xr:uid="{F935055E-CB7E-914C-9A61-8EA0EB9B27B4}"/>
    <hyperlink ref="Q38" r:id="rId7049" xr:uid="{FDD9A73B-7FFA-FE47-8C02-A6A0EB895D0B}"/>
    <hyperlink ref="Q37" r:id="rId7050" xr:uid="{5ECFFC39-C9E4-3C47-A0CC-29352CC91753}"/>
    <hyperlink ref="E36" r:id="rId7051" xr:uid="{8AA04647-D622-214B-BCF5-1CAB4C43EF66}"/>
    <hyperlink ref="Q36" r:id="rId7052" xr:uid="{7BD7D457-4317-CC48-9899-A893E325607D}"/>
    <hyperlink ref="Q34" r:id="rId7053" xr:uid="{5C1963A5-D458-414F-A95C-40787C881568}"/>
    <hyperlink ref="Q33" r:id="rId7054" xr:uid="{AC42CDBA-8201-4644-939E-BB905BB0AFC3}"/>
    <hyperlink ref="Q35" r:id="rId7055" xr:uid="{D19133C7-D8D0-D34E-BE07-2A13997D66F8}"/>
    <hyperlink ref="Q31" r:id="rId7056" xr:uid="{53B62F69-8DC3-2242-8FE0-11F94C311C11}"/>
    <hyperlink ref="Q30" r:id="rId7057" xr:uid="{92F53D7D-62FA-2241-A6AE-70E8A06A6F2F}"/>
    <hyperlink ref="E32" r:id="rId7058" xr:uid="{206CCB47-6FE9-F044-A45E-AD5CB71BA3C0}"/>
    <hyperlink ref="Q32" r:id="rId7059" xr:uid="{8E671325-3D03-7145-949E-2F9CB35DCCC5}"/>
    <hyperlink ref="Q29" r:id="rId7060" xr:uid="{248B1810-261C-5540-9ED7-AB3A9E4DCE0C}"/>
    <hyperlink ref="E28" r:id="rId7061" xr:uid="{B76CB6A1-17EB-654C-9CD9-F10A46939A30}"/>
    <hyperlink ref="Q28" r:id="rId7062" xr:uid="{C18F1930-7AC7-FE4C-AB3D-A57E349A0081}"/>
    <hyperlink ref="Q27" r:id="rId7063" xr:uid="{4E7E4915-CF02-F743-BB53-BB8126F171C5}"/>
    <hyperlink ref="E26" r:id="rId7064" xr:uid="{D64EC1B2-6127-7648-90D5-FA96675C1977}"/>
    <hyperlink ref="Q26" r:id="rId7065" xr:uid="{FC3342A8-3D79-AC48-9C5E-D5F1081FCEFF}"/>
    <hyperlink ref="Q22" r:id="rId7066" xr:uid="{46941172-BC64-AF41-BF29-44B55561F0A7}"/>
    <hyperlink ref="Q25" r:id="rId7067" xr:uid="{B89F74F9-FD0B-554F-B264-9CB59A2E720D}"/>
    <hyperlink ref="E24" r:id="rId7068" xr:uid="{C4CFA7BD-F75D-474F-A2E5-EB2C53B8DFAA}"/>
    <hyperlink ref="Q24" r:id="rId7069" xr:uid="{A4A01F0B-F7DD-F34E-8F80-57C4139B772F}"/>
    <hyperlink ref="Q23" r:id="rId7070" xr:uid="{6D2E4FAE-D902-334E-A2EF-A5231630B307}"/>
    <hyperlink ref="Q20" r:id="rId7071" xr:uid="{FF7F603A-2B70-C849-88C6-AAE821A0B6F1}"/>
    <hyperlink ref="Q21" r:id="rId7072" xr:uid="{43CCBCED-FE36-BF49-A6CB-F94854E33AD8}"/>
    <hyperlink ref="Q17" r:id="rId7073" xr:uid="{EBCAB40F-164A-9246-9EC4-88D8F86E0A84}"/>
    <hyperlink ref="E18" r:id="rId7074" xr:uid="{DC028823-15C0-D64D-9679-2CF8D188958A}"/>
    <hyperlink ref="Q18" r:id="rId7075" xr:uid="{878CDD22-16AC-F841-A0D8-A00E69879EDF}"/>
    <hyperlink ref="E19" r:id="rId7076" xr:uid="{B7589C23-D304-174D-B687-29D2580859A5}"/>
    <hyperlink ref="Q19" r:id="rId7077" xr:uid="{BA178671-4DB0-0D4A-90BE-A1A5C5DC69BA}"/>
    <hyperlink ref="Q16" r:id="rId7078" xr:uid="{3F34F03C-8862-B341-9373-AF8236A48DB2}"/>
    <hyperlink ref="Q15" r:id="rId7079" xr:uid="{CD420B3D-80E4-E649-98D3-7D071C357900}"/>
    <hyperlink ref="Q14" r:id="rId7080" xr:uid="{6B1FBB47-7BC2-DD45-86EE-245DD3C89786}"/>
    <hyperlink ref="Q12" r:id="rId7081" xr:uid="{279F58E2-873B-1D45-A298-A3A9CE9E25CE}"/>
    <hyperlink ref="Q13" r:id="rId7082" xr:uid="{C21FF775-E473-F84A-952B-81BB6FA96234}"/>
    <hyperlink ref="Q9" r:id="rId7083" xr:uid="{596D4EFE-C68B-2B4E-8AB2-93ADCBDE5E70}"/>
    <hyperlink ref="Q11" r:id="rId7084" xr:uid="{6B9DC814-C6C4-D74B-9F26-E2FAF7C0EF81}"/>
    <hyperlink ref="Q10" r:id="rId7085" xr:uid="{333D5889-5665-E242-83CF-D678FC6B825D}"/>
    <hyperlink ref="Q3" r:id="rId7086" xr:uid="{94068AA6-B6CA-9A42-B442-B6E4A3863EBD}"/>
    <hyperlink ref="E2" r:id="rId7087" xr:uid="{8629FE12-3367-C24E-BDDD-A63E85ACA18B}"/>
    <hyperlink ref="Q2" r:id="rId7088" xr:uid="{2897C4F2-A11B-3B4D-8F81-E47EA4FF345B}"/>
    <hyperlink ref="Q6" r:id="rId7089" xr:uid="{B693E814-8BC6-824F-88F2-2DF64098C8C0}"/>
    <hyperlink ref="Q4" r:id="rId7090" xr:uid="{56FA4EDE-0613-754E-B37B-B20DA95E9FE5}"/>
    <hyperlink ref="Q5" r:id="rId7091" xr:uid="{512043AB-CDAF-6C4A-AD4A-6A2C6357B158}"/>
    <hyperlink ref="Q8" r:id="rId7092" xr:uid="{3D60E9F2-FD4C-0945-8CD8-B615E6F5B89C}"/>
    <hyperlink ref="Q1031" r:id="rId7093" xr:uid="{B05DF3CF-ACB4-2045-ADBC-A5FE1AFB32F7}"/>
    <hyperlink ref="E2695" r:id="rId7094" xr:uid="{1ED8766B-109D-5945-B915-3753A6235E5C}"/>
    <hyperlink ref="Q2695" r:id="rId7095" xr:uid="{6A94A124-4277-4641-8731-008AE7A6EC41}"/>
    <hyperlink ref="Q7" r:id="rId7096" xr:uid="{D797F06B-596D-F44F-B636-130DF44EF125}"/>
    <hyperlink ref="Q3857" r:id="rId7097" xr:uid="{09975620-488D-FA49-A077-F22471D8DC95}"/>
    <hyperlink ref="Q3856" r:id="rId7098" xr:uid="{B2B0B2BB-0B3D-294E-8DCC-22770E7F7176}"/>
    <hyperlink ref="E3697" r:id="rId7099" xr:uid="{4F9C1FC8-3216-C84F-8AAC-C724F093785F}"/>
    <hyperlink ref="Q5540" r:id="rId7100" display="http://www.valleynewslive.com/home/headlines/Man-Dead-in-Otter-Tail-Police-Chase-286635971.html" xr:uid="{9B2CCC6D-3CEB-EF4A-BA78-456A9932742E}"/>
    <hyperlink ref="Q4571" r:id="rId7101" xr:uid="{942E6D83-7ABA-8B4D-8903-A2AC463243CE}"/>
    <hyperlink ref="Q4572" r:id="rId7102" xr:uid="{18BFE24C-7D2B-5348-A6B4-6F9CEF70E951}"/>
    <hyperlink ref="E4012" r:id="rId7103" xr:uid="{49A16376-D802-174F-BBB6-B6E208FF3C21}"/>
    <hyperlink ref="Q4012" r:id="rId7104" xr:uid="{1829C786-1B9C-2048-98A3-73CACAAFF046}"/>
    <hyperlink ref="Q4025" r:id="rId7105" xr:uid="{F4126C87-33F4-C74F-8E24-B1150D6DA3B2}"/>
    <hyperlink ref="Q2911" r:id="rId7106" xr:uid="{169E0F0B-2179-9E41-BE30-3B06E6D99D34}"/>
    <hyperlink ref="E2998" r:id="rId7107" xr:uid="{61CF081E-2602-7B45-87A6-5E23B51A545D}"/>
    <hyperlink ref="Q2998" r:id="rId7108" xr:uid="{90AACFF4-9171-AD4D-A91B-CEABFE3CB223}"/>
    <hyperlink ref="E3080" r:id="rId7109" xr:uid="{DA602B74-89B0-C743-9003-533516B8D379}"/>
    <hyperlink ref="Q3080" r:id="rId7110" xr:uid="{41993AEC-0BC9-1845-A14E-E38EB6D6F52C}"/>
    <hyperlink ref="E2057" r:id="rId7111" xr:uid="{E9C4C9DB-E491-2A49-B52F-5D5A49BB9763}"/>
    <hyperlink ref="Q2057" r:id="rId7112" xr:uid="{38C5D5E8-F114-0C41-9451-37D6536D7E6A}"/>
    <hyperlink ref="Q1344" r:id="rId7113" xr:uid="{10E14743-8BD3-DE42-B3BF-A2B650002F71}"/>
    <hyperlink ref="Q1204" r:id="rId7114" xr:uid="{61C1F897-9F77-DA41-9E6F-0FC72DE35C6B}"/>
    <hyperlink ref="Q1205" r:id="rId7115" xr:uid="{C59E7429-3E64-F348-A64E-64CC83A74A76}"/>
    <hyperlink ref="Q1206" r:id="rId7116" xr:uid="{CACF4697-B452-1C4F-A834-1C2EE52A9457}"/>
    <hyperlink ref="Q3697" r:id="rId7117" xr:uid="{35591C21-33FB-1345-9DFB-55BF9E92713E}"/>
    <hyperlink ref="Q7656" r:id="rId7118" xr:uid="{12421CD1-F424-464D-B9BF-27B78E27E1AF}"/>
    <hyperlink ref="E7617" r:id="rId7119" xr:uid="{9BA70CD9-FB41-E845-8206-CDB51D223E90}"/>
    <hyperlink ref="Q7617" r:id="rId7120" xr:uid="{566D7DD6-F7B6-884E-8A80-F0D9EA36994D}"/>
    <hyperlink ref="Q7577" r:id="rId7121" xr:uid="{9ED3EEBD-3BAC-1043-9E89-4BFD9ACB1C52}"/>
    <hyperlink ref="Q7573" r:id="rId7122" xr:uid="{6AD06242-02BC-C245-BE29-83732C20BA34}"/>
    <hyperlink ref="Q7560" r:id="rId7123" xr:uid="{5DD596BE-3CDB-174A-80D7-3FD0C90C3436}"/>
    <hyperlink ref="Q7551" r:id="rId7124" xr:uid="{5567CC24-7F82-4045-BBFE-2782B0D26773}"/>
    <hyperlink ref="Q7548" r:id="rId7125" xr:uid="{8665F3AD-1CC8-F144-A9E4-3435FB8CD2A1}"/>
    <hyperlink ref="E7538" r:id="rId7126" xr:uid="{4BF79EAA-F2F0-C540-965D-36EF7666FFD0}"/>
    <hyperlink ref="Q7538" r:id="rId7127" xr:uid="{8E689D73-E4E4-BC43-9CD0-33FF5E86D64E}"/>
    <hyperlink ref="Q7504" r:id="rId7128" xr:uid="{5E59230A-BCA1-E243-9502-A0DE9034F167}"/>
    <hyperlink ref="Q7458" r:id="rId7129" xr:uid="{3FF6258D-4B48-8147-B13C-A934C1BC4C75}"/>
    <hyperlink ref="Q7451" r:id="rId7130" xr:uid="{498542A9-AD5D-E24E-8332-CEC915DEEC44}"/>
    <hyperlink ref="E7450" r:id="rId7131" xr:uid="{02947868-3F14-4748-8A71-137983B0AFC8}"/>
    <hyperlink ref="Q7450" r:id="rId7132" location="36" xr:uid="{5C647527-54ED-674B-A232-2A19301A02C2}"/>
    <hyperlink ref="E7453" r:id="rId7133" xr:uid="{7A2C84E3-474E-6347-838C-B4709A197E7B}"/>
    <hyperlink ref="Q7453" r:id="rId7134" xr:uid="{E0FA2BDA-790B-0741-86F1-F3D744353DA6}"/>
    <hyperlink ref="Q7448" r:id="rId7135" xr:uid="{BDDE98B3-EB11-294F-AA2D-9B0928D69D78}"/>
    <hyperlink ref="Q7447" r:id="rId7136" xr:uid="{EFDE575F-6D95-1040-899A-83779FBB2750}"/>
    <hyperlink ref="Q7445" r:id="rId7137" xr:uid="{6B7EA48A-1055-AE4E-B715-3BE0D20A6A4F}"/>
    <hyperlink ref="Q7442" r:id="rId7138" xr:uid="{8B85258F-9C11-7C45-9262-BCF018A27426}"/>
    <hyperlink ref="E7444" r:id="rId7139" xr:uid="{9B5FCAC0-B9DE-C34D-8452-A08DD7B3C4DA}"/>
    <hyperlink ref="Q7444" r:id="rId7140" xr:uid="{AEEB7DC9-CB05-3041-B3C5-B3C7C243459D}"/>
    <hyperlink ref="E7441" r:id="rId7141" xr:uid="{B8085C09-541F-FA40-924F-A7EDA20B769F}"/>
    <hyperlink ref="Q7441" r:id="rId7142" xr:uid="{DD45C04B-3958-C44B-A077-ABECECB1C716}"/>
    <hyperlink ref="Q7437" r:id="rId7143" xr:uid="{33F2FEA2-760F-2746-B1D2-474F0192A208}"/>
    <hyperlink ref="E7439" r:id="rId7144" xr:uid="{4030B140-5B15-A345-AD17-44450C5CABCA}"/>
    <hyperlink ref="Q7439" r:id="rId7145" xr:uid="{1BF71ED8-F3BA-EB4C-9F74-D3529C6F492A}"/>
    <hyperlink ref="E7431" r:id="rId7146" xr:uid="{4BBABFE3-6E84-BA49-9033-3907FBC1437F}"/>
    <hyperlink ref="Q7431" r:id="rId7147" xr:uid="{5DEEE883-D546-E243-A3A7-2AFAFB8D2EE7}"/>
    <hyperlink ref="Q7430" r:id="rId7148" xr:uid="{DA8E32B6-189C-CA45-B67C-4944CA2C6E7E}"/>
    <hyperlink ref="E7434" r:id="rId7149" xr:uid="{8695CFDF-BD31-864F-9129-9D50629003AC}"/>
    <hyperlink ref="Q7434" r:id="rId7150" xr:uid="{F5188458-C713-274C-AB75-C909342FF53C}"/>
    <hyperlink ref="E7432" r:id="rId7151" xr:uid="{A83F773D-9E28-A94B-AB7E-F8189BC56FA4}"/>
    <hyperlink ref="Q7432" r:id="rId7152" xr:uid="{684DE9AC-2564-F146-9994-4D01E9B2BBFC}"/>
    <hyperlink ref="E7427" r:id="rId7153" xr:uid="{46F39650-27E4-404C-A1F4-AF31249FEE41}"/>
    <hyperlink ref="Q7427" r:id="rId7154" xr:uid="{2FDF6941-5522-DE4C-A69D-649D604532ED}"/>
    <hyperlink ref="E7426" r:id="rId7155" xr:uid="{BDD20DEC-5005-1F47-8B71-6CCDEF1402C6}"/>
    <hyperlink ref="Q7426" r:id="rId7156" xr:uid="{1676A10F-586E-FA4D-A524-8598F4ED48D8}"/>
    <hyperlink ref="Q7425" r:id="rId7157" xr:uid="{B8B4638E-C3E0-6D47-A227-5E41B07CECFC}"/>
    <hyperlink ref="Q7422" r:id="rId7158" xr:uid="{1E5CAF1C-2D94-C045-9C0E-1ACEE122859B}"/>
    <hyperlink ref="E7421" r:id="rId7159" xr:uid="{FC99072C-9155-3B41-87C2-892C6B52B79B}"/>
    <hyperlink ref="Q7421" r:id="rId7160" location="35" xr:uid="{3AF5EDCA-D189-A74B-8E57-1EC98C7D10C6}"/>
    <hyperlink ref="E7423" r:id="rId7161" xr:uid="{2A6ED101-4E5A-5B4A-97A1-2E3E187E7B9B}"/>
    <hyperlink ref="Q7423" r:id="rId7162" xr:uid="{0CDC92DE-C5D5-0E40-96CC-4853FDF6AD3D}"/>
    <hyperlink ref="Q7419" r:id="rId7163" xr:uid="{731E4C75-6EFE-2647-911D-F948D5C6D0F1}"/>
    <hyperlink ref="Q7416" r:id="rId7164" xr:uid="{5B3618A1-8AE6-0746-B24A-2422C8FF898B}"/>
    <hyperlink ref="E7415" r:id="rId7165" xr:uid="{3F2D1DAA-3425-1648-9144-A52A638812AC}"/>
    <hyperlink ref="Q7415" r:id="rId7166" location="axzz2oAstG5cf" xr:uid="{3E866E9C-C9A1-8245-8597-BC9147B0866A}"/>
    <hyperlink ref="Q7412" r:id="rId7167" xr:uid="{2F6ED1A1-87A3-D04D-BB35-FE6E58FF2AED}"/>
    <hyperlink ref="Q7410" r:id="rId7168" xr:uid="{C40DAB71-8FE5-4A4F-A886-BA70231199A6}"/>
    <hyperlink ref="E7409" r:id="rId7169" xr:uid="{4776AF71-2305-3F4D-A76B-5569AB1F2D8C}"/>
    <hyperlink ref="Q7409" r:id="rId7170" xr:uid="{C5DC31B6-361F-3D47-98D4-06F8B7C877F9}"/>
    <hyperlink ref="Q7406" r:id="rId7171" xr:uid="{F1A5E40C-5484-224E-96B7-56BFAC270838}"/>
    <hyperlink ref="Q7405" r:id="rId7172" xr:uid="{8AF87E40-ADBD-B44A-9A34-8FAC9976A8EA}"/>
    <hyperlink ref="E7401" r:id="rId7173" xr:uid="{5DCEDD44-6CFC-7146-9547-D1528DAF8D47}"/>
    <hyperlink ref="Q7401" r:id="rId7174" xr:uid="{187521F7-321A-4045-9158-26C9E33489B6}"/>
    <hyperlink ref="E7400" r:id="rId7175" xr:uid="{CE64596B-866A-D849-8D9E-9FEAA81C0A41}"/>
    <hyperlink ref="Q7400" r:id="rId7176" location="axzz2tFBy4q1S" xr:uid="{48D11458-4078-DF43-A499-7CC9782D6EAE}"/>
    <hyperlink ref="E7402" r:id="rId7177" xr:uid="{7BE60E80-9DBC-7443-B62B-70A83737835C}"/>
    <hyperlink ref="Q7402" r:id="rId7178" xr:uid="{BFBC2C1D-1705-4D47-94BE-ACA4394CE959}"/>
    <hyperlink ref="Q7398" r:id="rId7179" xr:uid="{8F925157-7958-7744-B362-7C1D6D85711E}"/>
    <hyperlink ref="E7395" r:id="rId7180" xr:uid="{25CF9FEC-7B28-434C-9A83-4A8A96BBA619}"/>
    <hyperlink ref="Q7395" r:id="rId7181" xr:uid="{2B325A1B-0F9C-8747-B1E1-7A30599ED3CC}"/>
    <hyperlink ref="Q7393" r:id="rId7182" xr:uid="{B5C23374-314D-C643-B496-D6DF80943D96}"/>
    <hyperlink ref="E7389" r:id="rId7183" xr:uid="{A6A9AF90-05DF-D34D-BC79-5B4C088D1F90}"/>
    <hyperlink ref="Q7389" r:id="rId7184" xr:uid="{61704CB8-BFC1-9148-B38C-74C7433A9F5F}"/>
    <hyperlink ref="Q7391" r:id="rId7185" xr:uid="{4160FCC5-A99C-E44B-AAE5-2834A966708E}"/>
    <hyperlink ref="E7388" r:id="rId7186" xr:uid="{A9832894-575D-C94B-A7B0-4D66283F855C}"/>
    <hyperlink ref="Q7388" r:id="rId7187" xr:uid="{884CF4C3-643B-9240-8E01-B49D943CD4FA}"/>
    <hyperlink ref="E7382" r:id="rId7188" xr:uid="{890037FB-D70F-DB4C-8BDC-FD35CE74CF59}"/>
    <hyperlink ref="Q7382" r:id="rId7189" xr:uid="{F176EED9-18CE-4247-88BD-37988972E264}"/>
    <hyperlink ref="E7380" r:id="rId7190" xr:uid="{A4A02325-8443-8A40-84BE-EC468D5A041F}"/>
    <hyperlink ref="Q7380" r:id="rId7191" xr:uid="{39D63FF4-96C8-8C44-9F28-25E594BDC778}"/>
    <hyperlink ref="Q7377" r:id="rId7192" xr:uid="{DD118F7C-7BC1-F341-9B05-EB8F27C02F54}"/>
    <hyperlink ref="Q7378" r:id="rId7193" xr:uid="{8B44BE5D-AD06-254F-B7D3-60C1496F48D6}"/>
    <hyperlink ref="E7374" r:id="rId7194" xr:uid="{75BC2A3C-23E0-BE4B-910D-7A99D676EA9D}"/>
    <hyperlink ref="Q7374" r:id="rId7195" xr:uid="{71AC7730-3B2F-014F-9E82-18AC65D7FF63}"/>
    <hyperlink ref="Q7364" r:id="rId7196" xr:uid="{656BCD63-9D2A-CA48-9200-FF89721113BD}"/>
    <hyperlink ref="E7335" r:id="rId7197" xr:uid="{27174BCA-409E-7E47-8B5C-81A68BB25BA6}"/>
    <hyperlink ref="Q7335" r:id="rId7198" xr:uid="{733B1D73-0092-9D4A-B241-0D53B72178FE}"/>
    <hyperlink ref="Q7318" r:id="rId7199" xr:uid="{BCED192A-A81B-0B4C-8FC8-1E713F1D6E2F}"/>
    <hyperlink ref="Q7316" r:id="rId7200" xr:uid="{2BBEB910-8073-9B49-BAE6-8AC8E4D9AE04}"/>
    <hyperlink ref="Q7309" r:id="rId7201" xr:uid="{F320BDA8-A789-2C4C-AE5B-7D2C96FDDCA4}"/>
    <hyperlink ref="Q7296" r:id="rId7202" xr:uid="{083D3F77-A32C-AE49-87C9-734BAA877D33}"/>
    <hyperlink ref="E7248" r:id="rId7203" xr:uid="{87DB9C79-F637-7C4C-842A-AE19767598B6}"/>
    <hyperlink ref="Q7248" r:id="rId7204" xr:uid="{EB834E72-D50B-C04B-B7B7-B1A0F4467034}"/>
    <hyperlink ref="E7246" r:id="rId7205" xr:uid="{86A3DDE1-EDCF-5549-AAB1-B811B2656F83}"/>
    <hyperlink ref="Q7246" r:id="rId7206" xr:uid="{B2DF4A24-3F21-874B-B120-4130CA59A4DA}"/>
    <hyperlink ref="E7247" r:id="rId7207" xr:uid="{A1A3E36E-3857-3148-B0B3-B4274B0662E9}"/>
    <hyperlink ref="Q7247" r:id="rId7208" xr:uid="{8A3138E7-70DD-CF4F-ABDD-DAA92AA1AC9A}"/>
    <hyperlink ref="Q7235" r:id="rId7209" xr:uid="{2D26BF9F-1AFA-5441-A08D-D64F2FB13DF5}"/>
    <hyperlink ref="E7230" r:id="rId7210" xr:uid="{3820E41E-2F68-5845-94A1-5F9E76E35363}"/>
    <hyperlink ref="Q7230" r:id="rId7211" xr:uid="{93389033-E6AC-DF4F-8464-7EEB4EE640F8}"/>
    <hyperlink ref="E7209" r:id="rId7212" xr:uid="{0C7125B6-F3AD-B54B-B162-CD3B80E18485}"/>
    <hyperlink ref="Q7209" r:id="rId7213" xr:uid="{EEC919C1-C859-1F4A-BB3B-C922F69C909E}"/>
    <hyperlink ref="E7192" r:id="rId7214" xr:uid="{08D27429-6BBA-AC41-AA8D-BDA09E257F39}"/>
    <hyperlink ref="Q7192" r:id="rId7215" xr:uid="{59F1317D-96BF-B344-98D9-B1A86D8D8020}"/>
    <hyperlink ref="Q7091" r:id="rId7216" xr:uid="{82216839-65C8-3640-A2E8-E68E73657037}"/>
    <hyperlink ref="Q7042" r:id="rId7217" xr:uid="{C5B0A210-A411-DA4E-B808-A63AE6FC7B21}"/>
    <hyperlink ref="E6983" r:id="rId7218" xr:uid="{195E903A-5417-104D-B89A-8A905D1D7153}"/>
    <hyperlink ref="Q6983" r:id="rId7219" xr:uid="{D2AA5276-A03C-0245-81B7-860FC0D28BBF}"/>
    <hyperlink ref="Q6959" r:id="rId7220" xr:uid="{1B49204A-146B-BE4F-AC91-7637E761A167}"/>
    <hyperlink ref="E6922" r:id="rId7221" xr:uid="{8778288E-F135-D242-A846-652C4E8FCA18}"/>
    <hyperlink ref="Q6922" r:id="rId7222" xr:uid="{2A6D71FE-D2F1-864C-9AA1-7128AF1FD09F}"/>
    <hyperlink ref="Q6891" r:id="rId7223" xr:uid="{ABD2445C-94A3-C74B-A47A-DADCA8633E8F}"/>
    <hyperlink ref="Q6879" r:id="rId7224" xr:uid="{E75046D2-9066-C648-A949-E083AB6ED610}"/>
    <hyperlink ref="Q6872" r:id="rId7225" location=".VkeWPvmrTIU" xr:uid="{8697E078-C352-AE4F-96EA-827820CFE631}"/>
    <hyperlink ref="E6833" r:id="rId7226" xr:uid="{BEF6812E-503E-FB49-B35D-67419E72B9B2}"/>
    <hyperlink ref="Q6833" r:id="rId7227" xr:uid="{A17C8FB9-B239-D842-9996-ECDB1DCC68B2}"/>
    <hyperlink ref="E6826" r:id="rId7228" xr:uid="{62B12EE2-540E-FA42-9E32-F829179ACD19}"/>
    <hyperlink ref="Q6826" r:id="rId7229" xr:uid="{35D3C427-1F4A-1B4C-920C-96634A0BF0BD}"/>
    <hyperlink ref="E6810" r:id="rId7230" xr:uid="{DEFA71C3-8792-B248-8A83-C5503A013347}"/>
    <hyperlink ref="Q6810" r:id="rId7231" xr:uid="{A0CEDCFE-6194-2B4F-A42F-0377F4399E6B}"/>
    <hyperlink ref="Q6798" r:id="rId7232" xr:uid="{AC6D77D3-56E6-674E-B114-C7CBAA065118}"/>
    <hyperlink ref="E6790" r:id="rId7233" xr:uid="{88206D92-9824-4447-B88A-2A34F687EB62}"/>
    <hyperlink ref="Q6790" r:id="rId7234" xr:uid="{BFA98DC2-41EE-6048-B246-BB1FAE6E2A8B}"/>
    <hyperlink ref="E6779" r:id="rId7235" xr:uid="{1A769905-92A7-454B-83FF-924FDACDE63A}"/>
    <hyperlink ref="Q6779" r:id="rId7236" xr:uid="{6966F416-1F1F-4042-AA2F-1C3F89BFD360}"/>
    <hyperlink ref="E6781" r:id="rId7237" xr:uid="{230C9F4F-4589-7343-8A48-666C2033E04C}"/>
    <hyperlink ref="Q6781" r:id="rId7238" xr:uid="{9EB420B0-EF43-E048-BE29-E0F48D3701B4}"/>
    <hyperlink ref="Q6770" r:id="rId7239" xr:uid="{874E3C2B-A93C-F24D-BFEF-CEADE69A968C}"/>
    <hyperlink ref="E6745" r:id="rId7240" xr:uid="{2416444A-7CB6-FA4A-AB44-F7F50B7A8B3C}"/>
    <hyperlink ref="Q6745" r:id="rId7241" xr:uid="{3398BB1F-C599-414D-A244-5BFC45E96E43}"/>
    <hyperlink ref="E6719" r:id="rId7242" xr:uid="{CCA827F1-8D9F-ED4B-95C3-86256B6A60EB}"/>
    <hyperlink ref="Q6719" r:id="rId7243" xr:uid="{43EDA971-2856-204D-9979-3D04F6525176}"/>
    <hyperlink ref="E6705" r:id="rId7244" xr:uid="{37CE724E-8BBC-1146-8076-AE3853FEA657}"/>
    <hyperlink ref="Q6705" r:id="rId7245" xr:uid="{13B0CF1A-11D5-6B4F-9571-07AC97743500}"/>
    <hyperlink ref="Q6674" r:id="rId7246" xr:uid="{601D282C-E7F6-FB4D-A11A-6701704B0E28}"/>
    <hyperlink ref="E6649" r:id="rId7247" xr:uid="{81B27A8B-776B-2D46-ADBF-6C1EF1D95B15}"/>
    <hyperlink ref="Q6649" r:id="rId7248" xr:uid="{DECC6729-EDAE-7444-97E1-93E53E10DF6F}"/>
    <hyperlink ref="Q6637" r:id="rId7249" xr:uid="{013260F1-E15D-3544-AD8A-62EA5F40C571}"/>
    <hyperlink ref="Q6629" r:id="rId7250" xr:uid="{1C164844-0DD2-0045-9676-D116BD935DD4}"/>
    <hyperlink ref="E6613" r:id="rId7251" xr:uid="{507D31FB-5433-6442-B1B7-1FBC26FCFD02}"/>
    <hyperlink ref="Q6613" r:id="rId7252" xr:uid="{6443FEEB-64AF-2342-BA4D-A13720F669F3}"/>
    <hyperlink ref="E7172" r:id="rId7253" xr:uid="{4D7BF42A-4125-8443-BCF6-CA8284318CF6}"/>
    <hyperlink ref="Q7172" r:id="rId7254" xr:uid="{FD74A9F4-FE5A-9D42-BC88-D05F854320B3}"/>
    <hyperlink ref="Q1565" r:id="rId7255" xr:uid="{A0C40CCB-B8C2-EF4B-9392-0C6DF56A1E1C}"/>
  </hyperlinks>
  <pageMargins left="0.75" right="0.75" top="1" bottom="1" header="0.5" footer="0.5"/>
  <pageSetup orientation="portrait" horizontalDpi="4294967292" verticalDpi="4294967292"/>
  <drawing r:id="rId72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1007"/>
  <sheetViews>
    <sheetView topLeftCell="T1" zoomScale="75" zoomScaleNormal="75" workbookViewId="0">
      <selection activeCell="AA8" sqref="AA8"/>
    </sheetView>
  </sheetViews>
  <sheetFormatPr baseColWidth="10" defaultRowHeight="13" x14ac:dyDescent="0.15"/>
  <cols>
    <col min="1" max="1" width="0" style="13" hidden="1" customWidth="1"/>
    <col min="2" max="2" width="23.1640625" style="10" customWidth="1"/>
    <col min="3" max="3" width="29.1640625" style="14" customWidth="1"/>
    <col min="4" max="4" width="15.1640625" style="1" customWidth="1"/>
    <col min="5" max="5" width="15.5" style="1" customWidth="1"/>
    <col min="6" max="6" width="13.83203125" style="1" customWidth="1"/>
    <col min="7" max="7" width="14.5" style="1" customWidth="1"/>
    <col min="8" max="8" width="14.1640625" style="1" customWidth="1"/>
    <col min="9" max="9" width="13.83203125" style="1" customWidth="1"/>
    <col min="10" max="10" width="12.83203125" style="1" customWidth="1"/>
    <col min="11" max="11" width="14.83203125" style="10" customWidth="1"/>
    <col min="12" max="19" width="10.83203125" style="10" customWidth="1"/>
    <col min="20" max="20" width="13.5" style="10" customWidth="1"/>
    <col min="21" max="21" width="10" style="10" customWidth="1"/>
    <col min="22" max="22" width="10.83203125" style="1" customWidth="1"/>
    <col min="23" max="24" width="10.83203125" style="10" customWidth="1"/>
    <col min="25" max="26" width="13" style="10" customWidth="1"/>
    <col min="27" max="28" width="10.83203125" style="1"/>
    <col min="29" max="30" width="10.83203125" style="28"/>
    <col min="31" max="36" width="10.83203125" style="1"/>
    <col min="37" max="37" width="10.83203125" style="55"/>
    <col min="38" max="38" width="11.6640625" style="1" bestFit="1" customWidth="1"/>
    <col min="39" max="39" width="8.83203125" style="34"/>
    <col min="40" max="40" width="12.6640625" style="2" bestFit="1" customWidth="1"/>
    <col min="41" max="45" width="10.83203125" style="2"/>
    <col min="46" max="46" width="12.6640625" style="2" bestFit="1" customWidth="1"/>
    <col min="47" max="16384" width="10.83203125" style="2"/>
  </cols>
  <sheetData>
    <row r="1" spans="1:46" s="47" customFormat="1" ht="64" customHeight="1" x14ac:dyDescent="0.2">
      <c r="A1" s="44" t="s">
        <v>19222</v>
      </c>
      <c r="B1" s="45" t="s">
        <v>19223</v>
      </c>
      <c r="C1" s="46" t="s">
        <v>22636</v>
      </c>
      <c r="D1" s="47" t="s">
        <v>42957</v>
      </c>
      <c r="E1" s="47" t="s">
        <v>42958</v>
      </c>
      <c r="F1" s="47" t="s">
        <v>42959</v>
      </c>
      <c r="G1" s="47" t="s">
        <v>42960</v>
      </c>
      <c r="H1" s="47" t="s">
        <v>42961</v>
      </c>
      <c r="I1" s="47" t="s">
        <v>42962</v>
      </c>
      <c r="J1" s="47" t="s">
        <v>42963</v>
      </c>
      <c r="K1" s="47" t="s">
        <v>42964</v>
      </c>
      <c r="L1" s="3" t="s">
        <v>19224</v>
      </c>
      <c r="M1" s="4" t="s">
        <v>79</v>
      </c>
      <c r="N1" s="4" t="s">
        <v>31</v>
      </c>
      <c r="O1" s="5" t="s">
        <v>19225</v>
      </c>
      <c r="P1" s="6" t="s">
        <v>15</v>
      </c>
      <c r="Q1" s="4" t="s">
        <v>19226</v>
      </c>
      <c r="R1" s="4" t="s">
        <v>19227</v>
      </c>
      <c r="S1" s="4" t="s">
        <v>19228</v>
      </c>
      <c r="T1" s="4" t="s">
        <v>19229</v>
      </c>
      <c r="U1" s="7" t="s">
        <v>42</v>
      </c>
      <c r="V1" s="47" t="s">
        <v>28849</v>
      </c>
      <c r="W1" s="59" t="s">
        <v>19230</v>
      </c>
      <c r="X1" s="8" t="s">
        <v>19231</v>
      </c>
      <c r="Y1" s="47" t="s">
        <v>36363</v>
      </c>
      <c r="Z1" s="47" t="s">
        <v>36362</v>
      </c>
      <c r="AA1" s="47" t="s">
        <v>36364</v>
      </c>
      <c r="AB1" s="47" t="s">
        <v>36365</v>
      </c>
      <c r="AC1" s="51" t="s">
        <v>36366</v>
      </c>
      <c r="AD1" s="51" t="s">
        <v>36367</v>
      </c>
      <c r="AE1" s="51" t="s">
        <v>36956</v>
      </c>
      <c r="AF1" s="51" t="s">
        <v>36955</v>
      </c>
      <c r="AG1" s="51" t="s">
        <v>36957</v>
      </c>
      <c r="AH1" s="51" t="s">
        <v>36958</v>
      </c>
      <c r="AI1" s="51" t="s">
        <v>36959</v>
      </c>
      <c r="AJ1" s="51" t="s">
        <v>36961</v>
      </c>
      <c r="AK1" s="56" t="s">
        <v>36960</v>
      </c>
      <c r="AL1" s="51" t="s">
        <v>19216</v>
      </c>
      <c r="AM1" s="104" t="s">
        <v>43044</v>
      </c>
      <c r="AN1" s="104" t="s">
        <v>43039</v>
      </c>
      <c r="AO1" s="104" t="s">
        <v>43040</v>
      </c>
      <c r="AP1" s="104" t="s">
        <v>43041</v>
      </c>
      <c r="AQ1" s="104" t="s">
        <v>43042</v>
      </c>
      <c r="AR1" s="104" t="s">
        <v>43043</v>
      </c>
      <c r="AS1" s="47" t="s">
        <v>43045</v>
      </c>
      <c r="AT1" s="47" t="s">
        <v>43046</v>
      </c>
    </row>
    <row r="2" spans="1:46" ht="16" x14ac:dyDescent="0.2">
      <c r="A2" s="13" t="s">
        <v>18676</v>
      </c>
      <c r="B2" s="13" t="s">
        <v>866</v>
      </c>
      <c r="C2" s="14" t="s">
        <v>4562</v>
      </c>
      <c r="D2" s="1">
        <v>3</v>
      </c>
      <c r="E2" s="1">
        <v>18</v>
      </c>
      <c r="I2" s="1">
        <v>10</v>
      </c>
      <c r="J2" s="93">
        <v>1</v>
      </c>
      <c r="K2" s="14">
        <f>D2+E2+F2+G2+H2+I2+J2</f>
        <v>32</v>
      </c>
      <c r="L2" s="16">
        <v>545852</v>
      </c>
      <c r="M2" s="17">
        <v>14878</v>
      </c>
      <c r="N2" s="17">
        <v>229933</v>
      </c>
      <c r="O2" s="17">
        <v>20627</v>
      </c>
      <c r="P2" s="17">
        <v>13674</v>
      </c>
      <c r="Q2" s="18">
        <v>418</v>
      </c>
      <c r="R2" s="18">
        <f t="shared" ref="R2:R33" si="0">P2+Q2</f>
        <v>14092</v>
      </c>
      <c r="S2" s="17">
        <v>1224</v>
      </c>
      <c r="T2" s="17">
        <v>10043</v>
      </c>
      <c r="U2" s="19">
        <v>255055</v>
      </c>
      <c r="V2" s="22">
        <v>28.484186172485352</v>
      </c>
      <c r="W2" s="15">
        <v>30</v>
      </c>
      <c r="X2" s="9">
        <f t="shared" ref="X2:X33" si="1">W2/L2*100000</f>
        <v>5.4959952514601031</v>
      </c>
      <c r="Y2" s="9">
        <f t="shared" ref="Y2:Y33" si="2">(K2/L2)*(1000000/7)</f>
        <v>8.3748499069868245</v>
      </c>
      <c r="Z2" s="9">
        <f t="shared" ref="Z2:Z33" si="3">(D2/M2)*(1000000/7)</f>
        <v>28.805715053866692</v>
      </c>
      <c r="AA2" s="9">
        <f t="shared" ref="AA2:AA33" si="4">(I2/N2)*(1000000/7)</f>
        <v>6.2129899952222116</v>
      </c>
      <c r="AB2" s="9">
        <f t="shared" ref="AB2:AB33" si="5">(E2/U2)*(1000000/7)</f>
        <v>10.081859094817085</v>
      </c>
      <c r="AC2" s="52">
        <f t="shared" ref="AC2:AC10" si="6">Z2/AA2</f>
        <v>4.6363691356365102</v>
      </c>
      <c r="AD2" s="52">
        <f t="shared" ref="AD2:AD10" si="7">AB2/AA2</f>
        <v>1.6227064750740037</v>
      </c>
      <c r="AE2" s="1">
        <v>4325</v>
      </c>
      <c r="AF2" s="1">
        <v>4934</v>
      </c>
      <c r="AG2" s="1">
        <v>5406</v>
      </c>
      <c r="AH2" s="1">
        <v>6245</v>
      </c>
      <c r="AI2" s="1">
        <v>7686</v>
      </c>
      <c r="AJ2" s="1">
        <v>7646</v>
      </c>
      <c r="AK2" s="55">
        <f t="shared" ref="AK2:AK33" si="8">AVERAGE(AE2:AJ2)</f>
        <v>6040.333333333333</v>
      </c>
      <c r="AL2" s="55">
        <f t="shared" ref="AL2:AL33" si="9">AK2/L2*1000</f>
        <v>11.065881105745392</v>
      </c>
      <c r="AM2" s="1">
        <v>27700</v>
      </c>
      <c r="AN2" s="1">
        <v>25447</v>
      </c>
      <c r="AO2" s="1">
        <v>22126</v>
      </c>
      <c r="AP2" s="1">
        <v>20341</v>
      </c>
      <c r="AQ2" s="1">
        <v>21130</v>
      </c>
      <c r="AR2" s="1">
        <v>22254</v>
      </c>
      <c r="AS2" s="2">
        <f>AVERAGE(AN2:AR2)</f>
        <v>22259.599999999999</v>
      </c>
      <c r="AT2" s="57">
        <f t="shared" ref="AT2:AT11" si="10">(K2/AS2)*10000</f>
        <v>14.375819870977018</v>
      </c>
    </row>
    <row r="3" spans="1:46" ht="16" x14ac:dyDescent="0.2">
      <c r="A3" s="13" t="s">
        <v>18661</v>
      </c>
      <c r="B3" s="13" t="s">
        <v>1751</v>
      </c>
      <c r="C3" s="14" t="s">
        <v>1753</v>
      </c>
      <c r="D3" s="1">
        <v>3</v>
      </c>
      <c r="E3" s="1">
        <v>7</v>
      </c>
      <c r="I3" s="1">
        <v>3</v>
      </c>
      <c r="K3" s="14">
        <f t="shared" ref="K3:K33" si="11">D3+E3+F3+G3+H3+I3+J3</f>
        <v>13</v>
      </c>
      <c r="L3" s="16">
        <v>336265</v>
      </c>
      <c r="M3" s="17">
        <v>8209</v>
      </c>
      <c r="N3" s="17">
        <v>92362</v>
      </c>
      <c r="O3" s="18">
        <v>743</v>
      </c>
      <c r="P3" s="17">
        <v>49210</v>
      </c>
      <c r="Q3" s="17">
        <v>1437</v>
      </c>
      <c r="R3" s="18">
        <f t="shared" si="0"/>
        <v>50647</v>
      </c>
      <c r="S3" s="18">
        <v>628</v>
      </c>
      <c r="T3" s="17">
        <v>6209</v>
      </c>
      <c r="U3" s="19">
        <v>177467</v>
      </c>
      <c r="V3" s="22">
        <v>27.784099578857422</v>
      </c>
      <c r="W3" s="15">
        <v>14</v>
      </c>
      <c r="X3" s="9">
        <f t="shared" si="1"/>
        <v>4.163383046109467</v>
      </c>
      <c r="Y3" s="9">
        <f t="shared" si="2"/>
        <v>5.52285506116562</v>
      </c>
      <c r="Z3" s="9">
        <f t="shared" si="3"/>
        <v>52.207507439569817</v>
      </c>
      <c r="AA3" s="9">
        <f t="shared" si="4"/>
        <v>4.6401272013536801</v>
      </c>
      <c r="AB3" s="9">
        <f t="shared" si="5"/>
        <v>5.6348504228955241</v>
      </c>
      <c r="AC3" s="52">
        <f t="shared" si="6"/>
        <v>11.25130953831161</v>
      </c>
      <c r="AD3" s="52">
        <f t="shared" si="7"/>
        <v>1.2143741277721114</v>
      </c>
      <c r="AE3" s="1">
        <v>1130</v>
      </c>
      <c r="AF3" s="1">
        <v>1101</v>
      </c>
      <c r="AG3" s="1">
        <v>1271</v>
      </c>
      <c r="AH3" s="1">
        <v>1209</v>
      </c>
      <c r="AI3" s="1">
        <v>1253</v>
      </c>
      <c r="AJ3" s="1">
        <v>1192</v>
      </c>
      <c r="AK3" s="55">
        <f t="shared" si="8"/>
        <v>1192.6666666666667</v>
      </c>
      <c r="AL3" s="55">
        <f t="shared" si="9"/>
        <v>3.5468058426142082</v>
      </c>
      <c r="AM3" s="1">
        <v>7891</v>
      </c>
      <c r="AN3" s="1">
        <v>8137</v>
      </c>
      <c r="AO3" s="1">
        <v>8381</v>
      </c>
      <c r="AP3" s="1">
        <v>9415</v>
      </c>
      <c r="AQ3" s="1">
        <v>8869</v>
      </c>
      <c r="AR3" s="1">
        <v>10019</v>
      </c>
      <c r="AS3" s="2">
        <f t="shared" ref="AS3:AS66" si="12">AVERAGE(AN3:AR3)</f>
        <v>8964.2000000000007</v>
      </c>
      <c r="AT3" s="57">
        <f t="shared" si="10"/>
        <v>14.50213069766404</v>
      </c>
    </row>
    <row r="4" spans="1:46" ht="16" x14ac:dyDescent="0.2">
      <c r="A4" s="13" t="s">
        <v>19233</v>
      </c>
      <c r="B4" s="13" t="s">
        <v>4070</v>
      </c>
      <c r="C4" s="14" t="s">
        <v>4072</v>
      </c>
      <c r="D4" s="1">
        <v>1</v>
      </c>
      <c r="E4" s="1">
        <v>1</v>
      </c>
      <c r="F4" s="93">
        <v>2</v>
      </c>
      <c r="I4" s="1">
        <v>5</v>
      </c>
      <c r="J4" s="93">
        <v>4</v>
      </c>
      <c r="K4" s="14">
        <f t="shared" si="11"/>
        <v>13</v>
      </c>
      <c r="L4" s="16">
        <v>291826</v>
      </c>
      <c r="M4" s="17">
        <v>15308</v>
      </c>
      <c r="N4" s="17">
        <v>182814</v>
      </c>
      <c r="O4" s="17">
        <v>22047</v>
      </c>
      <c r="P4" s="17">
        <v>23208</v>
      </c>
      <c r="Q4" s="17">
        <v>5776</v>
      </c>
      <c r="R4" s="18">
        <f t="shared" si="0"/>
        <v>28984</v>
      </c>
      <c r="S4" s="18">
        <v>562</v>
      </c>
      <c r="T4" s="17">
        <v>20050</v>
      </c>
      <c r="U4" s="19">
        <v>22061</v>
      </c>
      <c r="V4" s="22">
        <v>34.3250732421875</v>
      </c>
      <c r="W4" s="15">
        <v>12</v>
      </c>
      <c r="X4" s="9">
        <f t="shared" si="1"/>
        <v>4.1120393659235299</v>
      </c>
      <c r="Y4" s="9">
        <f t="shared" si="2"/>
        <v>6.363870447262606</v>
      </c>
      <c r="Z4" s="9">
        <f t="shared" si="3"/>
        <v>9.3321885848669233</v>
      </c>
      <c r="AA4" s="9">
        <f t="shared" si="4"/>
        <v>3.9071718483579723</v>
      </c>
      <c r="AB4" s="9">
        <f t="shared" si="5"/>
        <v>6.4755515551037064</v>
      </c>
      <c r="AC4" s="52">
        <f t="shared" si="6"/>
        <v>2.3884766135354063</v>
      </c>
      <c r="AD4" s="52">
        <f t="shared" si="7"/>
        <v>1.6573500747926204</v>
      </c>
      <c r="AE4" s="1">
        <v>2435</v>
      </c>
      <c r="AF4" s="1">
        <v>2605</v>
      </c>
      <c r="AG4" s="1">
        <v>3226</v>
      </c>
      <c r="AH4" s="1">
        <v>3422</v>
      </c>
      <c r="AI4" s="1">
        <v>3564</v>
      </c>
      <c r="AJ4" s="1">
        <v>3824</v>
      </c>
      <c r="AK4" s="55">
        <f t="shared" si="8"/>
        <v>3179.3333333333335</v>
      </c>
      <c r="AL4" s="55">
        <f t="shared" si="9"/>
        <v>10.894619853382952</v>
      </c>
      <c r="AM4" s="1">
        <v>17601</v>
      </c>
      <c r="AN4" s="1">
        <v>14748</v>
      </c>
      <c r="AO4" s="1">
        <v>14387</v>
      </c>
      <c r="AP4" s="1">
        <v>13294</v>
      </c>
      <c r="AQ4" s="1">
        <v>13871</v>
      </c>
      <c r="AR4" s="1">
        <v>13973</v>
      </c>
      <c r="AS4" s="2">
        <f t="shared" si="12"/>
        <v>14054.6</v>
      </c>
      <c r="AT4" s="57">
        <f t="shared" si="10"/>
        <v>9.2496406870348498</v>
      </c>
    </row>
    <row r="5" spans="1:46" ht="16" x14ac:dyDescent="0.2">
      <c r="A5" s="13" t="s">
        <v>18666</v>
      </c>
      <c r="B5" s="13" t="s">
        <v>787</v>
      </c>
      <c r="C5" s="14" t="s">
        <v>788</v>
      </c>
      <c r="D5" s="1">
        <v>7</v>
      </c>
      <c r="E5" s="1">
        <v>1</v>
      </c>
      <c r="G5" s="93">
        <v>1</v>
      </c>
      <c r="I5" s="1">
        <v>4</v>
      </c>
      <c r="J5" s="93">
        <v>1</v>
      </c>
      <c r="K5" s="14">
        <f t="shared" si="11"/>
        <v>14</v>
      </c>
      <c r="L5" s="16">
        <v>365438</v>
      </c>
      <c r="M5" s="17">
        <v>67087</v>
      </c>
      <c r="N5" s="17">
        <v>164022</v>
      </c>
      <c r="O5" s="17">
        <v>1338</v>
      </c>
      <c r="P5" s="17">
        <v>24564</v>
      </c>
      <c r="Q5" s="18">
        <v>373</v>
      </c>
      <c r="R5" s="18">
        <f t="shared" si="0"/>
        <v>24937</v>
      </c>
      <c r="S5" s="18">
        <v>597</v>
      </c>
      <c r="T5" s="17">
        <v>7188</v>
      </c>
      <c r="U5" s="19">
        <v>100269</v>
      </c>
      <c r="V5" s="22">
        <v>39.739589691162109</v>
      </c>
      <c r="W5" s="15">
        <v>13</v>
      </c>
      <c r="X5" s="9">
        <f t="shared" si="1"/>
        <v>3.557374985633678</v>
      </c>
      <c r="Y5" s="9">
        <f t="shared" si="2"/>
        <v>5.4728845932825818</v>
      </c>
      <c r="Z5" s="9">
        <f t="shared" si="3"/>
        <v>14.906017559288687</v>
      </c>
      <c r="AA5" s="9">
        <f t="shared" si="4"/>
        <v>3.4838532113287943</v>
      </c>
      <c r="AB5" s="9">
        <f t="shared" si="5"/>
        <v>1.4247388809815882</v>
      </c>
      <c r="AC5" s="52">
        <f t="shared" si="6"/>
        <v>4.2786009211918854</v>
      </c>
      <c r="AD5" s="52">
        <f t="shared" si="7"/>
        <v>0.40895491128863354</v>
      </c>
      <c r="AE5" s="1">
        <v>1837</v>
      </c>
      <c r="AF5" s="1">
        <v>1854</v>
      </c>
      <c r="AG5" s="1">
        <v>1946</v>
      </c>
      <c r="AH5" s="1">
        <v>2188</v>
      </c>
      <c r="AJ5" s="1">
        <v>1784</v>
      </c>
      <c r="AK5" s="55">
        <f t="shared" si="8"/>
        <v>1921.8</v>
      </c>
      <c r="AL5" s="55">
        <f t="shared" si="9"/>
        <v>5.258894805685232</v>
      </c>
      <c r="AM5" s="1">
        <v>17258</v>
      </c>
      <c r="AN5" s="1">
        <v>16222</v>
      </c>
      <c r="AO5" s="1">
        <v>13989</v>
      </c>
      <c r="AP5" s="1">
        <v>11024</v>
      </c>
      <c r="AQ5" s="1">
        <v>8397</v>
      </c>
      <c r="AR5" s="1">
        <v>9566</v>
      </c>
      <c r="AS5" s="2">
        <f t="shared" si="12"/>
        <v>11839.6</v>
      </c>
      <c r="AT5" s="57">
        <f t="shared" si="10"/>
        <v>11.824723808236763</v>
      </c>
    </row>
    <row r="6" spans="1:46" ht="16" x14ac:dyDescent="0.2">
      <c r="A6" s="13" t="s">
        <v>18669</v>
      </c>
      <c r="B6" s="13" t="s">
        <v>1786</v>
      </c>
      <c r="C6" s="14" t="s">
        <v>2356</v>
      </c>
      <c r="D6" s="1">
        <v>13</v>
      </c>
      <c r="I6" s="1">
        <v>1</v>
      </c>
      <c r="J6" s="93">
        <v>1</v>
      </c>
      <c r="K6" s="14">
        <f t="shared" si="11"/>
        <v>15</v>
      </c>
      <c r="L6" s="16">
        <v>420003</v>
      </c>
      <c r="M6" s="17">
        <v>224316</v>
      </c>
      <c r="N6" s="17">
        <v>152377</v>
      </c>
      <c r="O6" s="18">
        <v>754</v>
      </c>
      <c r="P6" s="17">
        <v>13098</v>
      </c>
      <c r="Q6" s="18">
        <v>115</v>
      </c>
      <c r="R6" s="18">
        <f t="shared" si="0"/>
        <v>13213</v>
      </c>
      <c r="S6" s="18">
        <v>739</v>
      </c>
      <c r="T6" s="17">
        <v>6789</v>
      </c>
      <c r="U6" s="19">
        <v>21815</v>
      </c>
      <c r="V6" s="22">
        <v>74.119720458984375</v>
      </c>
      <c r="W6" s="15">
        <v>93</v>
      </c>
      <c r="X6" s="9">
        <f t="shared" si="1"/>
        <v>22.142698980721566</v>
      </c>
      <c r="Y6" s="9">
        <f t="shared" si="2"/>
        <v>5.1020043734381497</v>
      </c>
      <c r="Z6" s="9">
        <f t="shared" si="3"/>
        <v>8.2791368299312449</v>
      </c>
      <c r="AA6" s="9">
        <f t="shared" si="4"/>
        <v>0.93752431703697325</v>
      </c>
      <c r="AB6" s="9">
        <f t="shared" si="5"/>
        <v>0</v>
      </c>
      <c r="AC6" s="52">
        <f t="shared" si="6"/>
        <v>8.8308502291410313</v>
      </c>
      <c r="AD6" s="52">
        <f t="shared" si="7"/>
        <v>0</v>
      </c>
      <c r="AE6" s="1">
        <v>5517</v>
      </c>
      <c r="AF6" s="1">
        <v>5577</v>
      </c>
      <c r="AG6" s="1">
        <v>5203</v>
      </c>
      <c r="AH6" s="1">
        <v>5121</v>
      </c>
      <c r="AI6" s="1">
        <v>4504</v>
      </c>
      <c r="AJ6" s="1">
        <v>3814</v>
      </c>
      <c r="AK6" s="55">
        <f t="shared" si="8"/>
        <v>4956</v>
      </c>
      <c r="AL6" s="55">
        <f t="shared" si="9"/>
        <v>11.799915714887751</v>
      </c>
      <c r="AM6" s="1">
        <v>30505</v>
      </c>
      <c r="AN6" s="1">
        <v>26958</v>
      </c>
      <c r="AO6" s="1"/>
      <c r="AP6" s="1">
        <v>22161</v>
      </c>
      <c r="AQ6" s="1">
        <v>22581</v>
      </c>
      <c r="AR6" s="1"/>
      <c r="AS6" s="2">
        <f t="shared" si="12"/>
        <v>23900</v>
      </c>
      <c r="AT6" s="57">
        <f t="shared" si="10"/>
        <v>6.2761506276150625</v>
      </c>
    </row>
    <row r="7" spans="1:46" ht="16" x14ac:dyDescent="0.2">
      <c r="A7" s="13" t="s">
        <v>18665</v>
      </c>
      <c r="B7" s="13" t="s">
        <v>3508</v>
      </c>
      <c r="C7" s="14" t="s">
        <v>3511</v>
      </c>
      <c r="D7" s="1">
        <v>8</v>
      </c>
      <c r="E7" s="1">
        <v>3</v>
      </c>
      <c r="G7" s="93">
        <v>1</v>
      </c>
      <c r="I7" s="1">
        <v>7</v>
      </c>
      <c r="J7" s="93">
        <v>2</v>
      </c>
      <c r="K7" s="14">
        <f t="shared" si="11"/>
        <v>21</v>
      </c>
      <c r="L7" s="16">
        <v>325078</v>
      </c>
      <c r="M7" s="17">
        <v>49003</v>
      </c>
      <c r="N7" s="17">
        <v>153715</v>
      </c>
      <c r="O7" s="17">
        <v>1487</v>
      </c>
      <c r="P7" s="17">
        <v>15735</v>
      </c>
      <c r="Q7" s="18">
        <v>919</v>
      </c>
      <c r="R7" s="18">
        <f t="shared" si="0"/>
        <v>16654</v>
      </c>
      <c r="S7" s="18">
        <v>677</v>
      </c>
      <c r="T7" s="17">
        <v>10279</v>
      </c>
      <c r="U7" s="19">
        <v>93263</v>
      </c>
      <c r="V7" s="22">
        <v>28.717597961425781</v>
      </c>
      <c r="W7" s="15">
        <v>11</v>
      </c>
      <c r="X7" s="9">
        <f t="shared" si="1"/>
        <v>3.3838032718301454</v>
      </c>
      <c r="Y7" s="9">
        <f t="shared" si="2"/>
        <v>9.228554377718579</v>
      </c>
      <c r="Z7" s="9">
        <f t="shared" si="3"/>
        <v>23.322187271333242</v>
      </c>
      <c r="AA7" s="9">
        <f t="shared" si="4"/>
        <v>6.5055459779461993</v>
      </c>
      <c r="AB7" s="9">
        <f t="shared" si="5"/>
        <v>4.595299621194135</v>
      </c>
      <c r="AC7" s="52">
        <f t="shared" si="6"/>
        <v>3.584970016412989</v>
      </c>
      <c r="AD7" s="52">
        <f t="shared" si="7"/>
        <v>0.70636648127185642</v>
      </c>
      <c r="AE7" s="1">
        <v>1436</v>
      </c>
      <c r="AF7" s="1">
        <v>1448</v>
      </c>
      <c r="AG7" s="1">
        <v>1660</v>
      </c>
      <c r="AH7" s="1">
        <v>1939</v>
      </c>
      <c r="AI7" s="1">
        <v>2239</v>
      </c>
      <c r="AJ7" s="1">
        <v>2716</v>
      </c>
      <c r="AK7" s="55">
        <f t="shared" si="8"/>
        <v>1906.3333333333333</v>
      </c>
      <c r="AL7" s="55">
        <f t="shared" si="9"/>
        <v>5.8642336095747272</v>
      </c>
      <c r="AM7" s="1">
        <v>21182</v>
      </c>
      <c r="AN7" s="1">
        <v>20469</v>
      </c>
      <c r="AO7" s="1">
        <v>19155</v>
      </c>
      <c r="AP7" s="1">
        <v>17455</v>
      </c>
      <c r="AQ7" s="1">
        <v>15907</v>
      </c>
      <c r="AR7" s="1">
        <v>15662</v>
      </c>
      <c r="AS7" s="2">
        <f t="shared" si="12"/>
        <v>17729.599999999999</v>
      </c>
      <c r="AT7" s="57">
        <f t="shared" si="10"/>
        <v>11.844598862918509</v>
      </c>
    </row>
    <row r="8" spans="1:46" ht="16" x14ac:dyDescent="0.2">
      <c r="A8" s="13" t="s">
        <v>18666</v>
      </c>
      <c r="B8" s="13" t="s">
        <v>1227</v>
      </c>
      <c r="C8" s="14" t="s">
        <v>1229</v>
      </c>
      <c r="D8" s="1">
        <v>5</v>
      </c>
      <c r="E8" s="1">
        <v>7</v>
      </c>
      <c r="I8" s="1">
        <v>19</v>
      </c>
      <c r="J8" s="93">
        <v>1</v>
      </c>
      <c r="K8" s="14">
        <f t="shared" si="11"/>
        <v>32</v>
      </c>
      <c r="L8" s="16">
        <v>790390</v>
      </c>
      <c r="M8" s="17">
        <v>60760</v>
      </c>
      <c r="N8" s="17">
        <v>385271</v>
      </c>
      <c r="O8" s="17">
        <v>1967</v>
      </c>
      <c r="P8" s="17">
        <v>49159</v>
      </c>
      <c r="Q8" s="18">
        <v>401</v>
      </c>
      <c r="R8" s="18">
        <f t="shared" si="0"/>
        <v>49560</v>
      </c>
      <c r="S8" s="17">
        <v>1448</v>
      </c>
      <c r="T8" s="17">
        <v>13677</v>
      </c>
      <c r="U8" s="19">
        <v>277707</v>
      </c>
      <c r="V8" s="22">
        <v>54.142200469970703</v>
      </c>
      <c r="W8" s="15">
        <v>32</v>
      </c>
      <c r="X8" s="9">
        <f t="shared" si="1"/>
        <v>4.0486342185503359</v>
      </c>
      <c r="Y8" s="9">
        <f t="shared" si="2"/>
        <v>5.7837631693576235</v>
      </c>
      <c r="Z8" s="9">
        <f t="shared" si="3"/>
        <v>11.755854415498918</v>
      </c>
      <c r="AA8" s="9">
        <f t="shared" si="4"/>
        <v>7.0451337221999957</v>
      </c>
      <c r="AB8" s="9">
        <f t="shared" si="5"/>
        <v>3.600917513782512</v>
      </c>
      <c r="AC8" s="52">
        <f t="shared" si="6"/>
        <v>1.6686488687155676</v>
      </c>
      <c r="AD8" s="52">
        <f t="shared" si="7"/>
        <v>0.51112124421934291</v>
      </c>
      <c r="AE8" s="1">
        <v>3123</v>
      </c>
      <c r="AF8" s="1">
        <v>3581</v>
      </c>
      <c r="AG8" s="1">
        <v>3497</v>
      </c>
      <c r="AH8" s="1">
        <v>3903</v>
      </c>
      <c r="AI8" s="1">
        <v>4032</v>
      </c>
      <c r="AJ8" s="1">
        <v>3720</v>
      </c>
      <c r="AK8" s="55">
        <f t="shared" si="8"/>
        <v>3642.6666666666665</v>
      </c>
      <c r="AL8" s="55">
        <f t="shared" si="9"/>
        <v>4.6086952854497989</v>
      </c>
      <c r="AM8" s="1">
        <v>37024</v>
      </c>
      <c r="AN8" s="1">
        <v>36524</v>
      </c>
      <c r="AO8" s="1">
        <v>33101</v>
      </c>
      <c r="AP8" s="1">
        <v>30687</v>
      </c>
      <c r="AQ8" s="1">
        <v>28485</v>
      </c>
      <c r="AR8" s="1">
        <v>24359</v>
      </c>
      <c r="AS8" s="2">
        <f t="shared" si="12"/>
        <v>30631.200000000001</v>
      </c>
      <c r="AT8" s="57">
        <f t="shared" si="10"/>
        <v>10.446864634751496</v>
      </c>
    </row>
    <row r="9" spans="1:46" ht="16" x14ac:dyDescent="0.2">
      <c r="A9" s="13" t="s">
        <v>18661</v>
      </c>
      <c r="B9" s="13" t="s">
        <v>631</v>
      </c>
      <c r="C9" s="14" t="s">
        <v>633</v>
      </c>
      <c r="D9" s="1">
        <v>3</v>
      </c>
      <c r="E9" s="1">
        <v>15</v>
      </c>
      <c r="G9" s="93">
        <v>1</v>
      </c>
      <c r="I9" s="1">
        <v>5</v>
      </c>
      <c r="K9" s="14">
        <f t="shared" si="11"/>
        <v>24</v>
      </c>
      <c r="L9" s="16">
        <v>347483</v>
      </c>
      <c r="M9" s="17">
        <v>26677</v>
      </c>
      <c r="N9" s="17">
        <v>131311</v>
      </c>
      <c r="O9" s="17">
        <v>2265</v>
      </c>
      <c r="P9" s="17">
        <v>20496</v>
      </c>
      <c r="Q9" s="18">
        <v>357</v>
      </c>
      <c r="R9" s="18">
        <f t="shared" si="0"/>
        <v>20853</v>
      </c>
      <c r="S9" s="18">
        <v>681</v>
      </c>
      <c r="T9" s="17">
        <v>7491</v>
      </c>
      <c r="U9" s="19">
        <v>158205</v>
      </c>
      <c r="V9" s="22">
        <v>43.388790130615234</v>
      </c>
      <c r="W9" s="15">
        <v>17</v>
      </c>
      <c r="X9" s="9">
        <f t="shared" si="1"/>
        <v>4.8923256677305078</v>
      </c>
      <c r="Y9" s="9">
        <f t="shared" si="2"/>
        <v>9.8668752962632098</v>
      </c>
      <c r="Z9" s="9">
        <f t="shared" si="3"/>
        <v>16.065203305147829</v>
      </c>
      <c r="AA9" s="9">
        <f t="shared" si="4"/>
        <v>5.4396487292436602</v>
      </c>
      <c r="AB9" s="9">
        <f t="shared" si="5"/>
        <v>13.544813013856345</v>
      </c>
      <c r="AC9" s="52">
        <f t="shared" si="6"/>
        <v>2.9533530756831734</v>
      </c>
      <c r="AD9" s="52">
        <f t="shared" si="7"/>
        <v>2.4900161183274867</v>
      </c>
      <c r="AE9" s="1">
        <v>1857</v>
      </c>
      <c r="AF9" s="1">
        <v>1678</v>
      </c>
      <c r="AG9" s="1">
        <v>1810</v>
      </c>
      <c r="AH9" s="1">
        <v>1821</v>
      </c>
      <c r="AI9" s="1">
        <v>1827</v>
      </c>
      <c r="AJ9" s="1">
        <v>1895</v>
      </c>
      <c r="AK9" s="55">
        <f t="shared" si="8"/>
        <v>1814.6666666666667</v>
      </c>
      <c r="AL9" s="55">
        <f t="shared" si="9"/>
        <v>5.2223178304166442</v>
      </c>
      <c r="AM9" s="1">
        <v>16786</v>
      </c>
      <c r="AN9" s="1">
        <v>20912</v>
      </c>
      <c r="AO9" s="1">
        <v>21814</v>
      </c>
      <c r="AP9" s="1">
        <v>21629</v>
      </c>
      <c r="AQ9" s="1">
        <v>16822</v>
      </c>
      <c r="AR9" s="1">
        <v>13048</v>
      </c>
      <c r="AS9" s="2">
        <f t="shared" si="12"/>
        <v>18845</v>
      </c>
      <c r="AT9" s="57">
        <f t="shared" si="10"/>
        <v>12.735473600424516</v>
      </c>
    </row>
    <row r="10" spans="1:46" ht="16" x14ac:dyDescent="0.2">
      <c r="A10" s="13" t="s">
        <v>18674</v>
      </c>
      <c r="B10" s="13" t="s">
        <v>1487</v>
      </c>
      <c r="C10" s="14" t="s">
        <v>2556</v>
      </c>
      <c r="D10" s="1">
        <v>27</v>
      </c>
      <c r="I10" s="1">
        <v>3</v>
      </c>
      <c r="J10" s="93">
        <v>1</v>
      </c>
      <c r="K10" s="14">
        <f t="shared" si="11"/>
        <v>31</v>
      </c>
      <c r="L10" s="16">
        <v>620961</v>
      </c>
      <c r="M10" s="17">
        <v>392938</v>
      </c>
      <c r="N10" s="17">
        <v>174120</v>
      </c>
      <c r="O10" s="17">
        <v>1884</v>
      </c>
      <c r="P10" s="17">
        <v>14397</v>
      </c>
      <c r="Q10" s="18">
        <v>192</v>
      </c>
      <c r="R10" s="18">
        <f t="shared" si="0"/>
        <v>14589</v>
      </c>
      <c r="S10" s="18">
        <v>942</v>
      </c>
      <c r="T10" s="17">
        <v>10528</v>
      </c>
      <c r="U10" s="19">
        <v>25960</v>
      </c>
      <c r="V10" s="22">
        <v>68.903999328613281</v>
      </c>
      <c r="W10" s="15">
        <v>211</v>
      </c>
      <c r="X10" s="9">
        <f t="shared" si="1"/>
        <v>33.979589700480382</v>
      </c>
      <c r="Y10" s="9">
        <f t="shared" si="2"/>
        <v>7.1318028484420584</v>
      </c>
      <c r="Z10" s="9">
        <f t="shared" si="3"/>
        <v>9.8161614736748728</v>
      </c>
      <c r="AA10" s="9">
        <f t="shared" si="4"/>
        <v>2.4613566998129368</v>
      </c>
      <c r="AB10" s="9">
        <f t="shared" si="5"/>
        <v>0</v>
      </c>
      <c r="AC10" s="52">
        <f t="shared" si="6"/>
        <v>3.9881100835246275</v>
      </c>
      <c r="AD10" s="52">
        <f t="shared" si="7"/>
        <v>0</v>
      </c>
      <c r="AE10" s="1">
        <v>8725</v>
      </c>
      <c r="AF10" s="1">
        <v>8346</v>
      </c>
      <c r="AG10" s="1">
        <v>9542</v>
      </c>
      <c r="AH10" s="1">
        <v>11010</v>
      </c>
      <c r="AI10" s="1">
        <v>12430</v>
      </c>
      <c r="AJ10" s="1">
        <v>11100</v>
      </c>
      <c r="AK10" s="55">
        <f t="shared" si="8"/>
        <v>10192.166666666666</v>
      </c>
      <c r="AL10" s="55">
        <f t="shared" si="9"/>
        <v>16.413537511480861</v>
      </c>
      <c r="AM10" s="1">
        <v>47560</v>
      </c>
      <c r="AN10" s="1">
        <v>46232</v>
      </c>
      <c r="AO10" s="1">
        <v>32939</v>
      </c>
      <c r="AP10" s="1">
        <v>29661</v>
      </c>
      <c r="AQ10" s="1">
        <v>29044</v>
      </c>
      <c r="AR10" s="1">
        <v>25567</v>
      </c>
      <c r="AS10" s="2">
        <f t="shared" si="12"/>
        <v>32688.6</v>
      </c>
      <c r="AT10" s="57">
        <f t="shared" si="10"/>
        <v>9.4834284735351169</v>
      </c>
    </row>
    <row r="11" spans="1:46" ht="16" x14ac:dyDescent="0.2">
      <c r="A11" s="13" t="s">
        <v>18662</v>
      </c>
      <c r="B11" s="13" t="s">
        <v>172</v>
      </c>
      <c r="C11" s="14" t="s">
        <v>1573</v>
      </c>
      <c r="D11" s="1">
        <v>10</v>
      </c>
      <c r="K11" s="14">
        <f t="shared" si="11"/>
        <v>10</v>
      </c>
      <c r="L11" s="16">
        <v>229493</v>
      </c>
      <c r="M11" s="17">
        <v>124542</v>
      </c>
      <c r="N11" s="17">
        <v>86679</v>
      </c>
      <c r="O11" s="18">
        <v>397</v>
      </c>
      <c r="P11" s="17">
        <v>7469</v>
      </c>
      <c r="Q11" s="18">
        <v>39</v>
      </c>
      <c r="R11" s="18">
        <f t="shared" si="0"/>
        <v>7508</v>
      </c>
      <c r="S11" s="18">
        <v>332</v>
      </c>
      <c r="T11" s="17">
        <v>2382</v>
      </c>
      <c r="U11" s="19">
        <v>7653</v>
      </c>
      <c r="V11" s="22">
        <v>66.938194274902344</v>
      </c>
      <c r="W11" s="15">
        <v>53</v>
      </c>
      <c r="X11" s="9">
        <f t="shared" si="1"/>
        <v>23.094386321151408</v>
      </c>
      <c r="Y11" s="9">
        <f t="shared" si="2"/>
        <v>6.2249019733561752</v>
      </c>
      <c r="Z11" s="9">
        <f t="shared" si="3"/>
        <v>11.470599705893825</v>
      </c>
      <c r="AA11" s="9">
        <f t="shared" si="4"/>
        <v>0</v>
      </c>
      <c r="AB11" s="9">
        <f t="shared" si="5"/>
        <v>0</v>
      </c>
      <c r="AC11" s="52" t="s">
        <v>36368</v>
      </c>
      <c r="AD11" s="52" t="s">
        <v>36368</v>
      </c>
      <c r="AE11" s="1">
        <v>2127</v>
      </c>
      <c r="AF11" s="1">
        <v>2120</v>
      </c>
      <c r="AG11" s="1">
        <v>2001</v>
      </c>
      <c r="AH11" s="1">
        <v>2143</v>
      </c>
      <c r="AI11" s="1">
        <v>2335</v>
      </c>
      <c r="AJ11" s="1">
        <v>2067</v>
      </c>
      <c r="AK11" s="55">
        <f t="shared" si="8"/>
        <v>2132.1666666666665</v>
      </c>
      <c r="AL11" s="55">
        <f t="shared" si="9"/>
        <v>9.2907699436003135</v>
      </c>
      <c r="AM11" s="1"/>
      <c r="AN11" s="1"/>
      <c r="AO11" s="1">
        <v>15244</v>
      </c>
      <c r="AP11" s="1">
        <v>13322</v>
      </c>
      <c r="AQ11" s="1">
        <v>12829</v>
      </c>
      <c r="AR11" s="1">
        <v>10773</v>
      </c>
      <c r="AS11" s="2">
        <f t="shared" si="12"/>
        <v>13042</v>
      </c>
      <c r="AT11" s="57">
        <f t="shared" si="10"/>
        <v>7.6675356540407913</v>
      </c>
    </row>
    <row r="12" spans="1:46" ht="16" x14ac:dyDescent="0.2">
      <c r="A12" s="13" t="s">
        <v>19240</v>
      </c>
      <c r="B12" s="13" t="s">
        <v>3809</v>
      </c>
      <c r="C12" s="14" t="s">
        <v>3834</v>
      </c>
      <c r="D12" s="1">
        <v>4</v>
      </c>
      <c r="I12" s="1">
        <v>3</v>
      </c>
      <c r="K12" s="14">
        <f t="shared" si="11"/>
        <v>7</v>
      </c>
      <c r="L12" s="16">
        <v>212237</v>
      </c>
      <c r="M12" s="17">
        <v>155258</v>
      </c>
      <c r="N12" s="17">
        <v>44819</v>
      </c>
      <c r="O12" s="18">
        <v>361</v>
      </c>
      <c r="P12" s="17">
        <v>2132</v>
      </c>
      <c r="Q12" s="18">
        <v>48</v>
      </c>
      <c r="R12" s="18">
        <f t="shared" si="0"/>
        <v>2180</v>
      </c>
      <c r="S12" s="18">
        <v>150</v>
      </c>
      <c r="T12" s="17">
        <v>1765</v>
      </c>
      <c r="U12" s="19">
        <v>7704</v>
      </c>
      <c r="V12" s="22">
        <v>62.555355072021484</v>
      </c>
      <c r="W12" s="15">
        <v>52</v>
      </c>
      <c r="X12" s="9">
        <f t="shared" si="1"/>
        <v>24.500911716618688</v>
      </c>
      <c r="Y12" s="9">
        <f t="shared" si="2"/>
        <v>4.7117137916574396</v>
      </c>
      <c r="Z12" s="9">
        <f t="shared" si="3"/>
        <v>3.6805096769800687</v>
      </c>
      <c r="AA12" s="9">
        <f t="shared" si="4"/>
        <v>9.5622711031354708</v>
      </c>
      <c r="AB12" s="9">
        <f t="shared" si="5"/>
        <v>0</v>
      </c>
      <c r="AC12" s="52">
        <f>Z12/AA12</f>
        <v>0.38489911416266254</v>
      </c>
      <c r="AD12" s="52">
        <f>AB12/AA12</f>
        <v>0</v>
      </c>
      <c r="AE12" s="1">
        <v>2852</v>
      </c>
      <c r="AF12" s="1">
        <v>3369</v>
      </c>
      <c r="AG12" s="1">
        <v>3707</v>
      </c>
      <c r="AJ12" s="1">
        <v>4025</v>
      </c>
      <c r="AK12" s="55">
        <f t="shared" si="8"/>
        <v>3488.25</v>
      </c>
      <c r="AL12" s="55">
        <f t="shared" si="9"/>
        <v>16.435635633749065</v>
      </c>
      <c r="AM12" s="1"/>
      <c r="AN12" s="1"/>
      <c r="AO12" s="1"/>
      <c r="AP12" s="1"/>
      <c r="AQ12" s="1"/>
      <c r="AR12" s="1"/>
      <c r="AS12" s="2" t="e">
        <f t="shared" si="12"/>
        <v>#DIV/0!</v>
      </c>
      <c r="AT12" s="57"/>
    </row>
    <row r="13" spans="1:46" ht="16" x14ac:dyDescent="0.2">
      <c r="A13" s="13" t="s">
        <v>18678</v>
      </c>
      <c r="B13" s="13" t="s">
        <v>1586</v>
      </c>
      <c r="C13" s="14" t="s">
        <v>2980</v>
      </c>
      <c r="D13" s="1">
        <v>9</v>
      </c>
      <c r="E13" s="1">
        <v>1</v>
      </c>
      <c r="G13" s="93">
        <v>1</v>
      </c>
      <c r="J13" s="93">
        <v>1</v>
      </c>
      <c r="K13" s="14">
        <f t="shared" si="11"/>
        <v>12</v>
      </c>
      <c r="L13" s="16">
        <v>617594</v>
      </c>
      <c r="M13" s="17">
        <v>138073</v>
      </c>
      <c r="N13" s="17">
        <v>290312</v>
      </c>
      <c r="O13" s="17">
        <v>1227</v>
      </c>
      <c r="P13" s="17">
        <v>54846</v>
      </c>
      <c r="Q13" s="18">
        <v>182</v>
      </c>
      <c r="R13" s="18">
        <f t="shared" si="0"/>
        <v>55028</v>
      </c>
      <c r="S13" s="17">
        <v>10078</v>
      </c>
      <c r="T13" s="17">
        <v>14959</v>
      </c>
      <c r="U13" s="19">
        <v>107917</v>
      </c>
      <c r="V13" s="22">
        <v>69.170494079589844</v>
      </c>
      <c r="W13" s="15">
        <v>53</v>
      </c>
      <c r="X13" s="9">
        <f t="shared" si="1"/>
        <v>8.5816895889532603</v>
      </c>
      <c r="Y13" s="9">
        <f t="shared" si="2"/>
        <v>2.7757486541088716</v>
      </c>
      <c r="Z13" s="9">
        <f t="shared" si="3"/>
        <v>9.3118443556255457</v>
      </c>
      <c r="AA13" s="9">
        <f t="shared" si="4"/>
        <v>0</v>
      </c>
      <c r="AB13" s="9">
        <f t="shared" si="5"/>
        <v>1.3237686634834442</v>
      </c>
      <c r="AC13" s="52" t="s">
        <v>36368</v>
      </c>
      <c r="AD13" s="52" t="s">
        <v>36368</v>
      </c>
      <c r="AE13" s="1">
        <v>5037</v>
      </c>
      <c r="AF13" s="1">
        <v>4749</v>
      </c>
      <c r="AG13" s="1">
        <v>4702</v>
      </c>
      <c r="AH13" s="1">
        <v>4767</v>
      </c>
      <c r="AI13" s="1">
        <v>4570</v>
      </c>
      <c r="AJ13" s="1">
        <v>4324</v>
      </c>
      <c r="AK13" s="55">
        <f t="shared" si="8"/>
        <v>4691.5</v>
      </c>
      <c r="AL13" s="55">
        <f t="shared" si="9"/>
        <v>7.5964144729385321</v>
      </c>
      <c r="AM13" s="1">
        <v>12716</v>
      </c>
      <c r="AN13" s="1">
        <v>13647</v>
      </c>
      <c r="AO13" s="1">
        <v>11423</v>
      </c>
      <c r="AP13" s="1">
        <v>10247</v>
      </c>
      <c r="AQ13" s="1">
        <v>9994</v>
      </c>
      <c r="AR13" s="1">
        <v>8843</v>
      </c>
      <c r="AS13" s="2">
        <f t="shared" si="12"/>
        <v>10830.8</v>
      </c>
      <c r="AT13" s="57">
        <f t="shared" ref="AT13:AT39" si="13">(K13/AS13)*10000</f>
        <v>11.07951397865347</v>
      </c>
    </row>
    <row r="14" spans="1:46" ht="16" x14ac:dyDescent="0.2">
      <c r="A14" s="13" t="s">
        <v>700</v>
      </c>
      <c r="B14" s="13" t="s">
        <v>12068</v>
      </c>
      <c r="C14" s="14" t="s">
        <v>19235</v>
      </c>
      <c r="D14" s="1">
        <v>1</v>
      </c>
      <c r="E14" s="1">
        <v>2</v>
      </c>
      <c r="K14" s="14">
        <f t="shared" si="11"/>
        <v>3</v>
      </c>
      <c r="L14" s="16">
        <v>261310</v>
      </c>
      <c r="M14" s="17">
        <v>97637</v>
      </c>
      <c r="N14" s="17">
        <v>119801</v>
      </c>
      <c r="O14" s="17">
        <v>1597</v>
      </c>
      <c r="P14" s="17">
        <v>8313</v>
      </c>
      <c r="Q14" s="18">
        <v>79</v>
      </c>
      <c r="R14" s="18">
        <f t="shared" si="0"/>
        <v>8392</v>
      </c>
      <c r="S14" s="18">
        <v>445</v>
      </c>
      <c r="T14" s="17">
        <v>5919</v>
      </c>
      <c r="U14" s="19">
        <v>27519</v>
      </c>
      <c r="V14" s="22">
        <v>65.893440246582031</v>
      </c>
      <c r="W14" s="15">
        <v>60</v>
      </c>
      <c r="X14" s="9">
        <f t="shared" si="1"/>
        <v>22.961233783628639</v>
      </c>
      <c r="Y14" s="9">
        <f t="shared" si="2"/>
        <v>1.640088127402046</v>
      </c>
      <c r="Z14" s="9">
        <f t="shared" si="3"/>
        <v>1.4631455581095576</v>
      </c>
      <c r="AA14" s="9">
        <f t="shared" si="4"/>
        <v>0</v>
      </c>
      <c r="AB14" s="9">
        <f t="shared" si="5"/>
        <v>10.382437069453314</v>
      </c>
      <c r="AC14" s="52" t="e">
        <f>Z14/AA14</f>
        <v>#DIV/0!</v>
      </c>
      <c r="AD14" s="52" t="e">
        <f>AB14/AA14</f>
        <v>#DIV/0!</v>
      </c>
      <c r="AE14" s="1">
        <v>3249</v>
      </c>
      <c r="AF14" s="1">
        <v>3174</v>
      </c>
      <c r="AG14" s="1">
        <v>2887</v>
      </c>
      <c r="AH14" s="1">
        <v>2857</v>
      </c>
      <c r="AI14" s="1">
        <v>2611</v>
      </c>
      <c r="AJ14" s="1">
        <v>2692</v>
      </c>
      <c r="AK14" s="55">
        <f t="shared" si="8"/>
        <v>2911.6666666666665</v>
      </c>
      <c r="AL14" s="55">
        <f t="shared" si="9"/>
        <v>11.142576505555342</v>
      </c>
      <c r="AM14" s="1">
        <v>14774</v>
      </c>
      <c r="AN14" s="1">
        <v>12893</v>
      </c>
      <c r="AO14" s="1">
        <v>12354</v>
      </c>
      <c r="AP14" s="1">
        <v>10937</v>
      </c>
      <c r="AQ14" s="1">
        <v>10050</v>
      </c>
      <c r="AR14" s="1">
        <v>10720</v>
      </c>
      <c r="AS14" s="2">
        <f t="shared" si="12"/>
        <v>11390.8</v>
      </c>
      <c r="AT14" s="57">
        <f t="shared" si="13"/>
        <v>2.6337043930189279</v>
      </c>
    </row>
    <row r="15" spans="1:46" ht="16" x14ac:dyDescent="0.2">
      <c r="A15" s="13" t="s">
        <v>18664</v>
      </c>
      <c r="B15" s="13" t="s">
        <v>4703</v>
      </c>
      <c r="C15" s="14" t="s">
        <v>4705</v>
      </c>
      <c r="E15" s="1">
        <v>3</v>
      </c>
      <c r="I15" s="1">
        <v>2</v>
      </c>
      <c r="K15" s="14">
        <f t="shared" si="11"/>
        <v>5</v>
      </c>
      <c r="L15" s="16">
        <v>236123</v>
      </c>
      <c r="M15" s="17">
        <v>10580</v>
      </c>
      <c r="N15" s="17">
        <v>145724</v>
      </c>
      <c r="O15" s="17">
        <v>2715</v>
      </c>
      <c r="P15" s="17">
        <v>19119</v>
      </c>
      <c r="Q15" s="18">
        <v>365</v>
      </c>
      <c r="R15" s="18">
        <f t="shared" si="0"/>
        <v>19484</v>
      </c>
      <c r="S15" s="18">
        <v>369</v>
      </c>
      <c r="T15" s="17">
        <v>5443</v>
      </c>
      <c r="U15" s="19">
        <v>51808</v>
      </c>
      <c r="V15" s="22">
        <v>17.242570877075195</v>
      </c>
      <c r="W15" s="15">
        <v>1</v>
      </c>
      <c r="X15" s="9">
        <f t="shared" si="1"/>
        <v>0.42350808688691916</v>
      </c>
      <c r="Y15" s="9">
        <f t="shared" si="2"/>
        <v>3.025057763477994</v>
      </c>
      <c r="Z15" s="9">
        <f t="shared" si="3"/>
        <v>0</v>
      </c>
      <c r="AA15" s="9">
        <f t="shared" si="4"/>
        <v>1.960653603485258</v>
      </c>
      <c r="AB15" s="9">
        <f t="shared" si="5"/>
        <v>8.272302126533134</v>
      </c>
      <c r="AC15" s="52">
        <f>Z15/AA15</f>
        <v>0</v>
      </c>
      <c r="AD15" s="52">
        <f>AB15/AA15</f>
        <v>4.2191553428041999</v>
      </c>
      <c r="AE15" s="1">
        <v>575</v>
      </c>
      <c r="AF15" s="1">
        <v>466</v>
      </c>
      <c r="AG15" s="1">
        <v>490</v>
      </c>
      <c r="AH15" s="1">
        <v>558</v>
      </c>
      <c r="AI15" s="1">
        <v>647</v>
      </c>
      <c r="AJ15" s="1">
        <v>606</v>
      </c>
      <c r="AK15" s="55">
        <f t="shared" si="8"/>
        <v>557</v>
      </c>
      <c r="AL15" s="55">
        <f t="shared" si="9"/>
        <v>2.3589400439601391</v>
      </c>
      <c r="AM15" s="1">
        <v>6257</v>
      </c>
      <c r="AN15" s="1">
        <v>6105</v>
      </c>
      <c r="AO15" s="1">
        <v>6256</v>
      </c>
      <c r="AP15" s="1">
        <v>6151</v>
      </c>
      <c r="AQ15" s="1">
        <v>6660</v>
      </c>
      <c r="AR15" s="1">
        <v>6538</v>
      </c>
      <c r="AS15" s="2">
        <f t="shared" si="12"/>
        <v>6342</v>
      </c>
      <c r="AT15" s="57">
        <f t="shared" si="13"/>
        <v>7.8839482812992747</v>
      </c>
    </row>
    <row r="16" spans="1:46" ht="16" x14ac:dyDescent="0.2">
      <c r="A16" s="13" t="s">
        <v>18681</v>
      </c>
      <c r="B16" s="13" t="s">
        <v>3855</v>
      </c>
      <c r="C16" s="14" t="s">
        <v>3858</v>
      </c>
      <c r="D16" s="1">
        <v>12</v>
      </c>
      <c r="E16" s="1">
        <v>2</v>
      </c>
      <c r="H16" s="93">
        <v>1</v>
      </c>
      <c r="I16" s="1">
        <v>5</v>
      </c>
      <c r="J16" s="93">
        <v>1</v>
      </c>
      <c r="K16" s="14">
        <f t="shared" si="11"/>
        <v>21</v>
      </c>
      <c r="L16" s="16">
        <v>731424</v>
      </c>
      <c r="M16" s="17">
        <v>252007</v>
      </c>
      <c r="N16" s="17">
        <v>329545</v>
      </c>
      <c r="O16" s="17">
        <v>2250</v>
      </c>
      <c r="P16" s="17">
        <v>36115</v>
      </c>
      <c r="Q16" s="18">
        <v>436</v>
      </c>
      <c r="R16" s="18">
        <f t="shared" si="0"/>
        <v>36551</v>
      </c>
      <c r="S16" s="17">
        <v>1960</v>
      </c>
      <c r="T16" s="17">
        <v>13423</v>
      </c>
      <c r="U16" s="19">
        <v>95688</v>
      </c>
      <c r="V16" s="22">
        <v>53.400146484375</v>
      </c>
      <c r="W16" s="15">
        <v>47</v>
      </c>
      <c r="X16" s="9">
        <f t="shared" si="1"/>
        <v>6.4258214113838212</v>
      </c>
      <c r="Y16" s="9">
        <f t="shared" si="2"/>
        <v>4.1015881349258434</v>
      </c>
      <c r="Z16" s="9">
        <f t="shared" si="3"/>
        <v>6.8025321292095633</v>
      </c>
      <c r="AA16" s="9">
        <f t="shared" si="4"/>
        <v>2.1674906743713738</v>
      </c>
      <c r="AB16" s="9">
        <f t="shared" si="5"/>
        <v>2.9858946337501644</v>
      </c>
      <c r="AC16" s="52">
        <f>Z16/AA16</f>
        <v>3.1384366307285112</v>
      </c>
      <c r="AD16" s="52">
        <f>AB16/AA16</f>
        <v>1.377581305910877</v>
      </c>
      <c r="AE16" s="1">
        <v>5093</v>
      </c>
      <c r="AF16" s="1">
        <v>5054</v>
      </c>
      <c r="AG16" s="1">
        <v>5948</v>
      </c>
      <c r="AH16" s="1">
        <v>6560</v>
      </c>
      <c r="AI16" s="1">
        <v>6304</v>
      </c>
      <c r="AJ16" s="1">
        <v>6482</v>
      </c>
      <c r="AK16" s="55">
        <f t="shared" si="8"/>
        <v>5906.833333333333</v>
      </c>
      <c r="AL16" s="55">
        <f t="shared" si="9"/>
        <v>8.0757991716614885</v>
      </c>
      <c r="AM16" s="1">
        <v>19087</v>
      </c>
      <c r="AN16" s="1">
        <v>23669</v>
      </c>
      <c r="AO16" s="1">
        <v>25305</v>
      </c>
      <c r="AP16" s="1">
        <v>23740</v>
      </c>
      <c r="AQ16" s="1">
        <v>23632</v>
      </c>
      <c r="AR16" s="1">
        <v>22021</v>
      </c>
      <c r="AS16" s="2">
        <f t="shared" si="12"/>
        <v>23673.4</v>
      </c>
      <c r="AT16" s="57">
        <f t="shared" si="13"/>
        <v>8.8707156555458866</v>
      </c>
    </row>
    <row r="17" spans="1:46" ht="16" x14ac:dyDescent="0.2">
      <c r="A17" s="13" t="s">
        <v>18675</v>
      </c>
      <c r="B17" s="13" t="s">
        <v>4479</v>
      </c>
      <c r="C17" s="14" t="s">
        <v>4481</v>
      </c>
      <c r="D17" s="1">
        <v>2</v>
      </c>
      <c r="K17" s="14">
        <f t="shared" si="11"/>
        <v>2</v>
      </c>
      <c r="L17" s="16">
        <v>222209</v>
      </c>
      <c r="M17" s="17">
        <v>65204</v>
      </c>
      <c r="N17" s="17">
        <v>134251</v>
      </c>
      <c r="O17" s="18">
        <v>720</v>
      </c>
      <c r="P17" s="17">
        <v>6289</v>
      </c>
      <c r="Q17" s="18">
        <v>147</v>
      </c>
      <c r="R17" s="18">
        <f t="shared" si="0"/>
        <v>6436</v>
      </c>
      <c r="S17" s="18">
        <v>266</v>
      </c>
      <c r="T17" s="17">
        <v>5626</v>
      </c>
      <c r="U17" s="19">
        <v>9706</v>
      </c>
      <c r="V17" s="22">
        <v>41.662143707275391</v>
      </c>
      <c r="W17" s="15">
        <v>10</v>
      </c>
      <c r="X17" s="9">
        <f t="shared" si="1"/>
        <v>4.5002677659320725</v>
      </c>
      <c r="Y17" s="9">
        <f t="shared" si="2"/>
        <v>1.2857907902663068</v>
      </c>
      <c r="Z17" s="9">
        <f t="shared" si="3"/>
        <v>4.3818521212546129</v>
      </c>
      <c r="AA17" s="9">
        <f t="shared" si="4"/>
        <v>0</v>
      </c>
      <c r="AB17" s="9">
        <f t="shared" si="5"/>
        <v>0</v>
      </c>
      <c r="AC17" s="52" t="s">
        <v>36368</v>
      </c>
      <c r="AD17" s="52" t="s">
        <v>36368</v>
      </c>
      <c r="AE17" s="1">
        <v>737</v>
      </c>
      <c r="AF17" s="1">
        <v>991</v>
      </c>
      <c r="AG17" s="1">
        <v>897</v>
      </c>
      <c r="AH17" s="1">
        <v>969</v>
      </c>
      <c r="AI17" s="1">
        <v>1006</v>
      </c>
      <c r="AJ17" s="1">
        <v>979</v>
      </c>
      <c r="AK17" s="55">
        <f t="shared" si="8"/>
        <v>929.83333333333337</v>
      </c>
      <c r="AL17" s="55">
        <f t="shared" si="9"/>
        <v>4.1844989776891728</v>
      </c>
      <c r="AM17" s="1">
        <v>9177</v>
      </c>
      <c r="AN17" s="1">
        <v>8084</v>
      </c>
      <c r="AO17" s="1">
        <v>5919</v>
      </c>
      <c r="AP17" s="1">
        <v>3500</v>
      </c>
      <c r="AQ17" s="1">
        <v>4080</v>
      </c>
      <c r="AR17" s="1">
        <v>5149</v>
      </c>
      <c r="AS17" s="2">
        <f t="shared" si="12"/>
        <v>5346.4</v>
      </c>
      <c r="AT17" s="57">
        <f t="shared" si="13"/>
        <v>3.740834954361814</v>
      </c>
    </row>
    <row r="18" spans="1:46" ht="16" x14ac:dyDescent="0.2">
      <c r="A18" s="13" t="s">
        <v>18679</v>
      </c>
      <c r="B18" s="13" t="s">
        <v>81</v>
      </c>
      <c r="C18" s="14" t="s">
        <v>83</v>
      </c>
      <c r="D18" s="1">
        <v>56</v>
      </c>
      <c r="E18" s="1">
        <v>13</v>
      </c>
      <c r="I18" s="1">
        <v>2</v>
      </c>
      <c r="J18" s="93">
        <v>5</v>
      </c>
      <c r="K18" s="14">
        <f t="shared" si="11"/>
        <v>76</v>
      </c>
      <c r="L18" s="16">
        <v>2695598</v>
      </c>
      <c r="M18" s="17">
        <v>872286</v>
      </c>
      <c r="N18" s="17">
        <v>854717</v>
      </c>
      <c r="O18" s="17">
        <v>4097</v>
      </c>
      <c r="P18" s="17">
        <v>144903</v>
      </c>
      <c r="Q18" s="18">
        <v>557</v>
      </c>
      <c r="R18" s="18">
        <f t="shared" si="0"/>
        <v>145460</v>
      </c>
      <c r="S18" s="17">
        <v>4227</v>
      </c>
      <c r="T18" s="17">
        <v>35949</v>
      </c>
      <c r="U18" s="19">
        <v>778862</v>
      </c>
      <c r="V18" s="22">
        <v>82.477745056152344</v>
      </c>
      <c r="W18" s="15">
        <v>411</v>
      </c>
      <c r="X18" s="9">
        <f t="shared" si="1"/>
        <v>15.247080610684533</v>
      </c>
      <c r="Y18" s="9">
        <f t="shared" si="2"/>
        <v>4.027730713979925</v>
      </c>
      <c r="Z18" s="9">
        <f t="shared" si="3"/>
        <v>9.1713039072047486</v>
      </c>
      <c r="AA18" s="9">
        <f t="shared" si="4"/>
        <v>0.33427939974785303</v>
      </c>
      <c r="AB18" s="9">
        <f t="shared" si="5"/>
        <v>2.3844312049411287</v>
      </c>
      <c r="AC18" s="52">
        <f t="shared" ref="AC18:AC29" si="14">Z18/AA18</f>
        <v>27.436042765790127</v>
      </c>
      <c r="AD18" s="52">
        <f t="shared" ref="AD18:AD27" si="15">AB18/AA18</f>
        <v>7.1330486016778334</v>
      </c>
      <c r="AE18" s="1">
        <v>25688</v>
      </c>
      <c r="AF18" s="1">
        <v>24133</v>
      </c>
      <c r="AG18" s="1">
        <v>24698</v>
      </c>
      <c r="AH18" s="1">
        <v>30193</v>
      </c>
      <c r="AI18" s="1">
        <v>29737</v>
      </c>
      <c r="AJ18" s="1">
        <v>27420</v>
      </c>
      <c r="AK18" s="55">
        <f t="shared" si="8"/>
        <v>26978.166666666668</v>
      </c>
      <c r="AL18" s="55">
        <f t="shared" si="9"/>
        <v>10.00823070304499</v>
      </c>
      <c r="AM18" s="1">
        <v>112862</v>
      </c>
      <c r="AN18" s="1">
        <v>100346</v>
      </c>
      <c r="AO18" s="1">
        <v>84215</v>
      </c>
      <c r="AP18" s="1">
        <v>61507</v>
      </c>
      <c r="AQ18" s="1">
        <v>57523</v>
      </c>
      <c r="AR18" s="1">
        <v>78737</v>
      </c>
      <c r="AS18" s="2">
        <f t="shared" si="12"/>
        <v>76465.600000000006</v>
      </c>
      <c r="AT18" s="57">
        <f t="shared" si="13"/>
        <v>9.9391098742441049</v>
      </c>
    </row>
    <row r="19" spans="1:46" ht="16" x14ac:dyDescent="0.2">
      <c r="A19" s="13" t="s">
        <v>18661</v>
      </c>
      <c r="B19" s="13" t="s">
        <v>5546</v>
      </c>
      <c r="C19" s="14" t="s">
        <v>5548</v>
      </c>
      <c r="E19" s="1">
        <v>1</v>
      </c>
      <c r="I19" s="1">
        <v>1</v>
      </c>
      <c r="K19" s="14">
        <f t="shared" si="11"/>
        <v>2</v>
      </c>
      <c r="L19" s="16">
        <v>243916</v>
      </c>
      <c r="M19" s="17">
        <v>9972</v>
      </c>
      <c r="N19" s="17">
        <v>49641</v>
      </c>
      <c r="O19" s="18">
        <v>600</v>
      </c>
      <c r="P19" s="17">
        <v>33581</v>
      </c>
      <c r="Q19" s="17">
        <v>1105</v>
      </c>
      <c r="R19" s="18">
        <f t="shared" si="0"/>
        <v>34686</v>
      </c>
      <c r="S19" s="18">
        <v>360</v>
      </c>
      <c r="T19" s="17">
        <v>6591</v>
      </c>
      <c r="U19" s="19">
        <v>142066</v>
      </c>
      <c r="V19" s="22">
        <v>22.051408767700195</v>
      </c>
      <c r="W19" s="15">
        <v>7</v>
      </c>
      <c r="X19" s="9">
        <f t="shared" si="1"/>
        <v>2.8698404368717099</v>
      </c>
      <c r="Y19" s="9">
        <f t="shared" si="2"/>
        <v>1.1713634436211062</v>
      </c>
      <c r="Z19" s="9">
        <f t="shared" si="3"/>
        <v>0</v>
      </c>
      <c r="AA19" s="9">
        <f t="shared" si="4"/>
        <v>2.8778055006374341</v>
      </c>
      <c r="AB19" s="9">
        <f t="shared" si="5"/>
        <v>1.0055688402372338</v>
      </c>
      <c r="AC19" s="52">
        <f t="shared" si="14"/>
        <v>0</v>
      </c>
      <c r="AD19" s="52">
        <f t="shared" si="15"/>
        <v>0.34942209958751563</v>
      </c>
      <c r="AE19" s="1">
        <v>595</v>
      </c>
      <c r="AF19" s="1">
        <v>612</v>
      </c>
      <c r="AG19" s="1">
        <v>705</v>
      </c>
      <c r="AH19" s="1">
        <v>696</v>
      </c>
      <c r="AI19" s="1">
        <v>808</v>
      </c>
      <c r="AJ19" s="1">
        <v>835</v>
      </c>
      <c r="AK19" s="55">
        <f t="shared" si="8"/>
        <v>708.5</v>
      </c>
      <c r="AL19" s="55">
        <f t="shared" si="9"/>
        <v>2.9046884993194375</v>
      </c>
      <c r="AM19" s="1">
        <v>3935</v>
      </c>
      <c r="AN19" s="1">
        <v>3426</v>
      </c>
      <c r="AO19" s="1">
        <v>4019</v>
      </c>
      <c r="AP19" s="1">
        <v>4601</v>
      </c>
      <c r="AQ19" s="1">
        <v>4118</v>
      </c>
      <c r="AR19" s="1">
        <v>4213</v>
      </c>
      <c r="AS19" s="2">
        <f t="shared" si="12"/>
        <v>4075.4</v>
      </c>
      <c r="AT19" s="57">
        <f t="shared" si="13"/>
        <v>4.9074937429454781</v>
      </c>
    </row>
    <row r="20" spans="1:46" ht="16" x14ac:dyDescent="0.2">
      <c r="A20" s="13" t="s">
        <v>12538</v>
      </c>
      <c r="B20" s="13" t="s">
        <v>504</v>
      </c>
      <c r="C20" s="14" t="s">
        <v>20860</v>
      </c>
      <c r="D20" s="1">
        <v>8</v>
      </c>
      <c r="E20" s="1">
        <v>1</v>
      </c>
      <c r="I20" s="1">
        <v>3</v>
      </c>
      <c r="K20" s="14">
        <f t="shared" si="11"/>
        <v>12</v>
      </c>
      <c r="L20" s="16">
        <v>296943</v>
      </c>
      <c r="M20" s="17">
        <v>132307</v>
      </c>
      <c r="N20" s="17">
        <v>142831</v>
      </c>
      <c r="O20" s="18">
        <v>549</v>
      </c>
      <c r="P20" s="17">
        <v>5434</v>
      </c>
      <c r="Q20" s="18">
        <v>168</v>
      </c>
      <c r="R20" s="18">
        <f t="shared" si="0"/>
        <v>5602</v>
      </c>
      <c r="S20" s="18">
        <v>721</v>
      </c>
      <c r="T20" s="17">
        <v>6625</v>
      </c>
      <c r="U20" s="19">
        <v>8308</v>
      </c>
      <c r="V20" s="22">
        <v>53.417514801025391</v>
      </c>
      <c r="W20" s="15">
        <v>60</v>
      </c>
      <c r="X20" s="9">
        <f t="shared" si="1"/>
        <v>20.205898101655873</v>
      </c>
      <c r="Y20" s="9">
        <f t="shared" si="2"/>
        <v>5.7731137433302502</v>
      </c>
      <c r="Z20" s="9">
        <f t="shared" si="3"/>
        <v>8.6379189525659488</v>
      </c>
      <c r="AA20" s="9">
        <f t="shared" si="4"/>
        <v>3.0005491004853893</v>
      </c>
      <c r="AB20" s="9">
        <f t="shared" si="5"/>
        <v>17.195130339087971</v>
      </c>
      <c r="AC20" s="52">
        <f t="shared" si="14"/>
        <v>2.8787794044658761</v>
      </c>
      <c r="AD20" s="52">
        <f t="shared" si="15"/>
        <v>5.7306612100786385</v>
      </c>
      <c r="AE20" s="1">
        <v>2826</v>
      </c>
      <c r="AF20" s="1">
        <v>2695</v>
      </c>
      <c r="AG20" s="1">
        <v>2761</v>
      </c>
      <c r="AH20" s="1">
        <v>2720</v>
      </c>
      <c r="AI20" s="1">
        <v>2833</v>
      </c>
      <c r="AJ20" s="1">
        <v>2535</v>
      </c>
      <c r="AK20" s="55">
        <f t="shared" si="8"/>
        <v>2728.3333333333335</v>
      </c>
      <c r="AL20" s="55">
        <f t="shared" si="9"/>
        <v>9.188070886780741</v>
      </c>
      <c r="AM20" s="1"/>
      <c r="AN20" s="1"/>
      <c r="AO20" s="1"/>
      <c r="AP20" s="1"/>
      <c r="AQ20" s="1">
        <v>6971</v>
      </c>
      <c r="AR20" s="1">
        <v>6694</v>
      </c>
      <c r="AS20" s="2">
        <f t="shared" si="12"/>
        <v>6832.5</v>
      </c>
      <c r="AT20" s="57">
        <f t="shared" si="13"/>
        <v>17.563117453347967</v>
      </c>
    </row>
    <row r="21" spans="1:46" ht="16" x14ac:dyDescent="0.2">
      <c r="A21" s="13" t="s">
        <v>12538</v>
      </c>
      <c r="B21" s="13" t="s">
        <v>924</v>
      </c>
      <c r="C21" s="14" t="s">
        <v>3166</v>
      </c>
      <c r="D21" s="1">
        <v>8</v>
      </c>
      <c r="I21" s="1">
        <v>1</v>
      </c>
      <c r="J21" s="93">
        <v>1</v>
      </c>
      <c r="K21" s="14">
        <f t="shared" si="11"/>
        <v>10</v>
      </c>
      <c r="L21" s="16">
        <v>396815</v>
      </c>
      <c r="M21" s="17">
        <v>208208</v>
      </c>
      <c r="N21" s="17">
        <v>132710</v>
      </c>
      <c r="O21" s="18">
        <v>997</v>
      </c>
      <c r="P21" s="17">
        <v>7213</v>
      </c>
      <c r="Q21" s="18">
        <v>70</v>
      </c>
      <c r="R21" s="18">
        <f t="shared" si="0"/>
        <v>7283</v>
      </c>
      <c r="S21" s="18">
        <v>599</v>
      </c>
      <c r="T21" s="17">
        <v>7484</v>
      </c>
      <c r="U21" s="19">
        <v>39534</v>
      </c>
      <c r="V21" s="22">
        <v>69.02178955078125</v>
      </c>
      <c r="W21" s="15">
        <v>63</v>
      </c>
      <c r="X21" s="9">
        <f t="shared" si="1"/>
        <v>15.876415962098209</v>
      </c>
      <c r="Y21" s="9">
        <f t="shared" si="2"/>
        <v>3.6000943224712492</v>
      </c>
      <c r="Z21" s="9">
        <f t="shared" si="3"/>
        <v>5.4890164780274677</v>
      </c>
      <c r="AA21" s="9">
        <f t="shared" si="4"/>
        <v>1.0764610267285275</v>
      </c>
      <c r="AB21" s="9">
        <f t="shared" si="5"/>
        <v>0</v>
      </c>
      <c r="AC21" s="52">
        <f t="shared" si="14"/>
        <v>5.0991316375931754</v>
      </c>
      <c r="AD21" s="52">
        <f t="shared" si="15"/>
        <v>0</v>
      </c>
      <c r="AE21" s="1">
        <v>5751</v>
      </c>
      <c r="AF21" s="1">
        <v>5186</v>
      </c>
      <c r="AH21" s="1">
        <v>6299</v>
      </c>
      <c r="AI21" s="1">
        <v>5999</v>
      </c>
      <c r="AJ21" s="1">
        <v>5576</v>
      </c>
      <c r="AK21" s="55">
        <f t="shared" si="8"/>
        <v>5762.2</v>
      </c>
      <c r="AL21" s="55">
        <f t="shared" si="9"/>
        <v>14.521124453460681</v>
      </c>
      <c r="AM21" s="1">
        <v>9245</v>
      </c>
      <c r="AN21" s="1">
        <v>8519</v>
      </c>
      <c r="AO21" s="1">
        <v>6441</v>
      </c>
      <c r="AP21" s="1">
        <v>3883</v>
      </c>
      <c r="AQ21" s="1">
        <v>4417</v>
      </c>
      <c r="AR21" s="1">
        <v>3834</v>
      </c>
      <c r="AS21" s="2">
        <f t="shared" si="12"/>
        <v>5418.8</v>
      </c>
      <c r="AT21" s="57">
        <f t="shared" si="13"/>
        <v>18.454270318151622</v>
      </c>
    </row>
    <row r="22" spans="1:46" ht="16" x14ac:dyDescent="0.2">
      <c r="A22" s="13" t="s">
        <v>18665</v>
      </c>
      <c r="B22" s="13" t="s">
        <v>18214</v>
      </c>
      <c r="C22" s="14" t="s">
        <v>18216</v>
      </c>
      <c r="D22" s="1">
        <v>2</v>
      </c>
      <c r="E22" s="1">
        <v>2</v>
      </c>
      <c r="I22" s="1">
        <v>10</v>
      </c>
      <c r="J22" s="93">
        <v>1</v>
      </c>
      <c r="K22" s="14">
        <f t="shared" si="11"/>
        <v>15</v>
      </c>
      <c r="L22" s="16">
        <v>416427</v>
      </c>
      <c r="M22" s="17">
        <v>24391</v>
      </c>
      <c r="N22" s="17">
        <v>294598</v>
      </c>
      <c r="O22" s="17">
        <v>2403</v>
      </c>
      <c r="P22" s="17">
        <v>12206</v>
      </c>
      <c r="Q22" s="17">
        <v>1092</v>
      </c>
      <c r="R22" s="18">
        <f t="shared" si="0"/>
        <v>13298</v>
      </c>
      <c r="S22" s="18">
        <v>768</v>
      </c>
      <c r="T22" s="17">
        <v>14103</v>
      </c>
      <c r="U22" s="19">
        <v>66866</v>
      </c>
      <c r="V22" s="22">
        <v>34.708843231201172</v>
      </c>
      <c r="W22" s="15">
        <v>20</v>
      </c>
      <c r="X22" s="9">
        <f t="shared" si="1"/>
        <v>4.8027625490181958</v>
      </c>
      <c r="Y22" s="9">
        <f t="shared" si="2"/>
        <v>5.1458170168052089</v>
      </c>
      <c r="Z22" s="9">
        <f t="shared" si="3"/>
        <v>11.713922582685653</v>
      </c>
      <c r="AA22" s="9">
        <f t="shared" si="4"/>
        <v>4.8492231059661934</v>
      </c>
      <c r="AB22" s="9">
        <f t="shared" si="5"/>
        <v>4.2729382004948064</v>
      </c>
      <c r="AC22" s="52">
        <f t="shared" si="14"/>
        <v>2.4156287155098193</v>
      </c>
      <c r="AD22" s="52">
        <f t="shared" si="15"/>
        <v>0.88115933359255827</v>
      </c>
      <c r="AE22" s="1">
        <v>1893</v>
      </c>
      <c r="AF22" s="1">
        <v>2039</v>
      </c>
      <c r="AG22" s="1">
        <v>1983</v>
      </c>
      <c r="AH22" s="1">
        <v>2301</v>
      </c>
      <c r="AI22" s="1">
        <v>2479</v>
      </c>
      <c r="AJ22" s="1">
        <v>2617</v>
      </c>
      <c r="AK22" s="55">
        <f t="shared" si="8"/>
        <v>2218.6666666666665</v>
      </c>
      <c r="AL22" s="55">
        <f t="shared" si="9"/>
        <v>5.3278645877108515</v>
      </c>
      <c r="AM22" s="1">
        <v>17106</v>
      </c>
      <c r="AN22" s="1">
        <v>20316</v>
      </c>
      <c r="AO22" s="1">
        <v>22020</v>
      </c>
      <c r="AP22" s="1">
        <v>20489</v>
      </c>
      <c r="AQ22" s="1">
        <v>21462</v>
      </c>
      <c r="AR22" s="1">
        <v>16670</v>
      </c>
      <c r="AS22" s="2">
        <f t="shared" si="12"/>
        <v>20191.400000000001</v>
      </c>
      <c r="AT22" s="57">
        <f t="shared" si="13"/>
        <v>7.4289053755559289</v>
      </c>
    </row>
    <row r="23" spans="1:46" ht="16" x14ac:dyDescent="0.2">
      <c r="A23" s="13" t="s">
        <v>12538</v>
      </c>
      <c r="B23" s="13" t="s">
        <v>1202</v>
      </c>
      <c r="C23" s="14" t="s">
        <v>11441</v>
      </c>
      <c r="D23" s="1">
        <v>27</v>
      </c>
      <c r="I23" s="1">
        <v>11</v>
      </c>
      <c r="J23" s="93">
        <v>2</v>
      </c>
      <c r="K23" s="14">
        <f t="shared" si="11"/>
        <v>40</v>
      </c>
      <c r="L23" s="16">
        <v>787033</v>
      </c>
      <c r="M23" s="17">
        <v>217694</v>
      </c>
      <c r="N23" s="17">
        <v>466615</v>
      </c>
      <c r="O23" s="17">
        <v>1643</v>
      </c>
      <c r="P23" s="17">
        <v>31734</v>
      </c>
      <c r="Q23" s="18">
        <v>462</v>
      </c>
      <c r="R23" s="18">
        <f t="shared" si="0"/>
        <v>32196</v>
      </c>
      <c r="S23" s="17">
        <v>2032</v>
      </c>
      <c r="T23" s="17">
        <v>22494</v>
      </c>
      <c r="U23" s="19">
        <v>44359</v>
      </c>
      <c r="V23" s="22">
        <v>53.800861358642578</v>
      </c>
      <c r="W23" s="15">
        <v>83</v>
      </c>
      <c r="X23" s="9">
        <f t="shared" si="1"/>
        <v>10.545936447391659</v>
      </c>
      <c r="Y23" s="9">
        <f t="shared" si="2"/>
        <v>7.2605414439873739</v>
      </c>
      <c r="Z23" s="9">
        <f t="shared" si="3"/>
        <v>17.718186340197054</v>
      </c>
      <c r="AA23" s="9">
        <f t="shared" si="4"/>
        <v>3.3677197934669296</v>
      </c>
      <c r="AB23" s="9">
        <f t="shared" si="5"/>
        <v>0</v>
      </c>
      <c r="AC23" s="52">
        <f t="shared" si="14"/>
        <v>5.2611818758106672</v>
      </c>
      <c r="AD23" s="52">
        <f t="shared" si="15"/>
        <v>0</v>
      </c>
      <c r="AE23" s="1">
        <v>1022</v>
      </c>
      <c r="AF23" s="1">
        <v>4563</v>
      </c>
      <c r="AG23" s="1">
        <v>4631</v>
      </c>
      <c r="AH23" s="1">
        <v>4500</v>
      </c>
      <c r="AI23" s="1">
        <v>4478</v>
      </c>
      <c r="AJ23" s="1">
        <v>4416</v>
      </c>
      <c r="AK23" s="55">
        <f t="shared" si="8"/>
        <v>3935</v>
      </c>
      <c r="AL23" s="55">
        <f t="shared" si="9"/>
        <v>4.9997903518658049</v>
      </c>
      <c r="AM23" s="1">
        <v>12745</v>
      </c>
      <c r="AN23" s="1">
        <v>8663</v>
      </c>
      <c r="AO23" s="1">
        <v>9942</v>
      </c>
      <c r="AP23" s="1">
        <v>10092</v>
      </c>
      <c r="AQ23" s="1">
        <v>9412</v>
      </c>
      <c r="AR23" s="1">
        <v>10954</v>
      </c>
      <c r="AS23" s="2">
        <f t="shared" si="12"/>
        <v>9812.6</v>
      </c>
      <c r="AT23" s="57">
        <f t="shared" si="13"/>
        <v>40.763915781749994</v>
      </c>
    </row>
    <row r="24" spans="1:46" ht="16" x14ac:dyDescent="0.2">
      <c r="A24" s="13" t="s">
        <v>18666</v>
      </c>
      <c r="B24" s="13" t="s">
        <v>11314</v>
      </c>
      <c r="C24" s="14" t="s">
        <v>11317</v>
      </c>
      <c r="D24" s="1">
        <v>1</v>
      </c>
      <c r="E24" s="1">
        <v>5</v>
      </c>
      <c r="I24" s="1">
        <v>1</v>
      </c>
      <c r="K24" s="14">
        <f t="shared" si="11"/>
        <v>7</v>
      </c>
      <c r="L24" s="16">
        <v>305215</v>
      </c>
      <c r="M24" s="17">
        <v>11912</v>
      </c>
      <c r="N24" s="17">
        <v>101593</v>
      </c>
      <c r="O24" s="18">
        <v>792</v>
      </c>
      <c r="P24" s="17">
        <v>5398</v>
      </c>
      <c r="Q24" s="18">
        <v>204</v>
      </c>
      <c r="R24" s="18">
        <f t="shared" si="0"/>
        <v>5602</v>
      </c>
      <c r="S24" s="18">
        <v>369</v>
      </c>
      <c r="T24" s="17">
        <v>2766</v>
      </c>
      <c r="U24" s="19">
        <v>182181</v>
      </c>
      <c r="V24" s="22">
        <v>40.151992797851562</v>
      </c>
      <c r="W24" s="15">
        <v>27</v>
      </c>
      <c r="X24" s="9">
        <f t="shared" si="1"/>
        <v>8.846223154170012</v>
      </c>
      <c r="Y24" s="9">
        <f t="shared" si="2"/>
        <v>3.2763789459888932</v>
      </c>
      <c r="Z24" s="9">
        <f t="shared" si="3"/>
        <v>11.992708433272572</v>
      </c>
      <c r="AA24" s="9">
        <f t="shared" si="4"/>
        <v>1.4061711225885922</v>
      </c>
      <c r="AB24" s="9">
        <f t="shared" si="5"/>
        <v>3.9207475767819604</v>
      </c>
      <c r="AC24" s="52">
        <f t="shared" si="14"/>
        <v>8.5286265950302234</v>
      </c>
      <c r="AD24" s="52">
        <f t="shared" si="15"/>
        <v>2.7882435599760682</v>
      </c>
      <c r="AE24" s="1">
        <v>1939</v>
      </c>
      <c r="AF24" s="1">
        <v>2094</v>
      </c>
      <c r="AG24" s="1">
        <v>2092</v>
      </c>
      <c r="AH24" s="1">
        <v>2328</v>
      </c>
      <c r="AI24" s="1">
        <v>2313</v>
      </c>
      <c r="AJ24" s="1">
        <v>2488</v>
      </c>
      <c r="AK24" s="55">
        <f t="shared" si="8"/>
        <v>2209</v>
      </c>
      <c r="AL24" s="55">
        <f t="shared" si="9"/>
        <v>7.2375210916894641</v>
      </c>
      <c r="AM24" s="1">
        <v>16900</v>
      </c>
      <c r="AN24" s="1">
        <v>17443</v>
      </c>
      <c r="AO24" s="1">
        <v>19278</v>
      </c>
      <c r="AP24" s="1">
        <v>19747</v>
      </c>
      <c r="AQ24" s="1">
        <v>16655</v>
      </c>
      <c r="AR24" s="1">
        <v>16238</v>
      </c>
      <c r="AS24" s="2">
        <f t="shared" si="12"/>
        <v>17872.2</v>
      </c>
      <c r="AT24" s="57">
        <f t="shared" si="13"/>
        <v>3.9166974407179862</v>
      </c>
    </row>
    <row r="25" spans="1:46" ht="16" x14ac:dyDescent="0.2">
      <c r="A25" s="13" t="s">
        <v>18666</v>
      </c>
      <c r="B25" s="13" t="s">
        <v>266</v>
      </c>
      <c r="C25" s="14" t="s">
        <v>267</v>
      </c>
      <c r="D25" s="1">
        <v>15</v>
      </c>
      <c r="E25" s="1">
        <v>11</v>
      </c>
      <c r="I25" s="1">
        <v>12</v>
      </c>
      <c r="J25" s="93">
        <v>2</v>
      </c>
      <c r="K25" s="14">
        <f t="shared" si="11"/>
        <v>40</v>
      </c>
      <c r="L25" s="16">
        <v>1197816</v>
      </c>
      <c r="M25" s="17">
        <v>294159</v>
      </c>
      <c r="N25" s="17">
        <v>345205</v>
      </c>
      <c r="O25" s="17">
        <v>3167</v>
      </c>
      <c r="P25" s="17">
        <v>33609</v>
      </c>
      <c r="Q25" s="18">
        <v>311</v>
      </c>
      <c r="R25" s="18">
        <f t="shared" si="0"/>
        <v>33920</v>
      </c>
      <c r="S25" s="17">
        <v>1824</v>
      </c>
      <c r="T25" s="17">
        <v>12232</v>
      </c>
      <c r="U25" s="19">
        <v>507309</v>
      </c>
      <c r="V25" s="22">
        <v>66.134841918945312</v>
      </c>
      <c r="W25" s="15">
        <v>116</v>
      </c>
      <c r="X25" s="9">
        <f t="shared" si="1"/>
        <v>9.6842920782490793</v>
      </c>
      <c r="Y25" s="9">
        <f t="shared" si="2"/>
        <v>4.7705872306645718</v>
      </c>
      <c r="Z25" s="9">
        <f t="shared" si="3"/>
        <v>7.2846900582920906</v>
      </c>
      <c r="AA25" s="9">
        <f t="shared" si="4"/>
        <v>4.9659932917707286</v>
      </c>
      <c r="AB25" s="9">
        <f t="shared" si="5"/>
        <v>3.0975767656961963</v>
      </c>
      <c r="AC25" s="52">
        <f t="shared" si="14"/>
        <v>1.466915001750754</v>
      </c>
      <c r="AD25" s="52">
        <f t="shared" si="15"/>
        <v>0.62375774265125727</v>
      </c>
      <c r="AE25" s="1">
        <v>8330</v>
      </c>
      <c r="AF25" s="1">
        <v>8457</v>
      </c>
      <c r="AG25" s="1">
        <v>9038</v>
      </c>
      <c r="AH25" s="1">
        <v>10071</v>
      </c>
      <c r="AI25" s="1">
        <v>10369</v>
      </c>
      <c r="AJ25" s="1">
        <v>10422</v>
      </c>
      <c r="AK25" s="55">
        <f t="shared" si="8"/>
        <v>9447.8333333333339</v>
      </c>
      <c r="AL25" s="55">
        <f t="shared" si="9"/>
        <v>7.8875497850532419</v>
      </c>
      <c r="AM25" s="1">
        <v>46332</v>
      </c>
      <c r="AN25" s="1">
        <v>33225</v>
      </c>
      <c r="AO25" s="1">
        <v>26666</v>
      </c>
      <c r="AP25" s="1">
        <v>34498</v>
      </c>
      <c r="AQ25" s="1">
        <v>31372</v>
      </c>
      <c r="AR25" s="1">
        <v>29772</v>
      </c>
      <c r="AS25" s="2">
        <f t="shared" si="12"/>
        <v>31106.6</v>
      </c>
      <c r="AT25" s="57">
        <f t="shared" si="13"/>
        <v>12.859007413217773</v>
      </c>
    </row>
    <row r="26" spans="1:46" ht="16" x14ac:dyDescent="0.2">
      <c r="A26" s="13" t="s">
        <v>3359</v>
      </c>
      <c r="B26" s="13" t="s">
        <v>107</v>
      </c>
      <c r="C26" s="14" t="s">
        <v>17581</v>
      </c>
      <c r="D26" s="1">
        <v>16</v>
      </c>
      <c r="I26" s="1">
        <v>1</v>
      </c>
      <c r="J26" s="93">
        <v>2</v>
      </c>
      <c r="K26" s="14">
        <f t="shared" si="11"/>
        <v>19</v>
      </c>
      <c r="L26" s="16">
        <v>601723</v>
      </c>
      <c r="M26" s="17">
        <v>301053</v>
      </c>
      <c r="N26" s="17">
        <v>209464</v>
      </c>
      <c r="O26" s="17">
        <v>1322</v>
      </c>
      <c r="P26" s="17">
        <v>20818</v>
      </c>
      <c r="Q26" s="18">
        <v>216</v>
      </c>
      <c r="R26" s="18">
        <f t="shared" si="0"/>
        <v>21034</v>
      </c>
      <c r="S26" s="17">
        <v>1451</v>
      </c>
      <c r="T26" s="17">
        <v>12650</v>
      </c>
      <c r="U26" s="19">
        <v>54749</v>
      </c>
      <c r="V26" s="22">
        <v>72.177276611328125</v>
      </c>
      <c r="W26" s="15">
        <v>31</v>
      </c>
      <c r="X26" s="9">
        <f t="shared" si="1"/>
        <v>5.1518722069789584</v>
      </c>
      <c r="Y26" s="9">
        <f t="shared" si="2"/>
        <v>4.510855849428582</v>
      </c>
      <c r="Z26" s="9">
        <f t="shared" si="3"/>
        <v>7.5923983010110705</v>
      </c>
      <c r="AA26" s="9">
        <f t="shared" si="4"/>
        <v>0.68201286549069473</v>
      </c>
      <c r="AB26" s="9">
        <f t="shared" si="5"/>
        <v>0</v>
      </c>
      <c r="AC26" s="52">
        <f t="shared" si="14"/>
        <v>11.132338824060879</v>
      </c>
      <c r="AD26" s="52">
        <f t="shared" si="15"/>
        <v>0</v>
      </c>
      <c r="AE26" s="1">
        <v>7880</v>
      </c>
      <c r="AF26" s="1">
        <v>7810</v>
      </c>
      <c r="AG26" s="1">
        <v>8084</v>
      </c>
      <c r="AH26" s="1">
        <v>7711</v>
      </c>
      <c r="AI26" s="1">
        <v>6584</v>
      </c>
      <c r="AJ26" s="1">
        <v>6613</v>
      </c>
      <c r="AK26" s="55">
        <f t="shared" si="8"/>
        <v>7447</v>
      </c>
      <c r="AL26" s="55">
        <f t="shared" si="9"/>
        <v>12.376126556571712</v>
      </c>
      <c r="AM26" s="1">
        <v>41630</v>
      </c>
      <c r="AN26" s="1">
        <v>41186</v>
      </c>
      <c r="AO26" s="1">
        <v>36219</v>
      </c>
      <c r="AP26" s="1">
        <v>44175</v>
      </c>
      <c r="AQ26" s="1">
        <v>53028</v>
      </c>
      <c r="AR26" s="1">
        <v>47147</v>
      </c>
      <c r="AS26" s="2">
        <f t="shared" si="12"/>
        <v>44351</v>
      </c>
      <c r="AT26" s="57">
        <f t="shared" si="13"/>
        <v>4.2840071249802714</v>
      </c>
    </row>
    <row r="27" spans="1:46" ht="16" x14ac:dyDescent="0.2">
      <c r="A27" s="13" t="s">
        <v>18665</v>
      </c>
      <c r="B27" s="13" t="s">
        <v>1212</v>
      </c>
      <c r="C27" s="14" t="s">
        <v>1213</v>
      </c>
      <c r="D27" s="1">
        <v>1</v>
      </c>
      <c r="E27" s="1">
        <v>12</v>
      </c>
      <c r="F27" s="93">
        <v>1</v>
      </c>
      <c r="G27" s="93">
        <v>2</v>
      </c>
      <c r="I27" s="1">
        <v>8</v>
      </c>
      <c r="J27" s="93">
        <v>7</v>
      </c>
      <c r="K27" s="14">
        <f t="shared" si="11"/>
        <v>31</v>
      </c>
      <c r="L27" s="16">
        <v>600158</v>
      </c>
      <c r="M27" s="17">
        <v>58388</v>
      </c>
      <c r="N27" s="17">
        <v>313012</v>
      </c>
      <c r="O27" s="17">
        <v>3525</v>
      </c>
      <c r="P27" s="17">
        <v>19925</v>
      </c>
      <c r="Q27" s="18">
        <v>495</v>
      </c>
      <c r="R27" s="18">
        <f t="shared" si="0"/>
        <v>20420</v>
      </c>
      <c r="S27" s="17">
        <v>1208</v>
      </c>
      <c r="T27" s="17">
        <v>12640</v>
      </c>
      <c r="U27" s="19">
        <v>190965</v>
      </c>
      <c r="V27" s="22">
        <v>54.686649322509766</v>
      </c>
      <c r="W27" s="15">
        <v>298</v>
      </c>
      <c r="X27" s="9">
        <f t="shared" si="1"/>
        <v>49.653591220978477</v>
      </c>
      <c r="Y27" s="9">
        <f t="shared" si="2"/>
        <v>7.3790092418520272</v>
      </c>
      <c r="Z27" s="9">
        <f t="shared" si="3"/>
        <v>2.446686696875092</v>
      </c>
      <c r="AA27" s="9">
        <f t="shared" si="4"/>
        <v>3.6511607952958447</v>
      </c>
      <c r="AB27" s="9">
        <f t="shared" si="5"/>
        <v>8.9769628690373331</v>
      </c>
      <c r="AC27" s="52">
        <f t="shared" si="14"/>
        <v>0.670112009316983</v>
      </c>
      <c r="AD27" s="52">
        <f t="shared" si="15"/>
        <v>2.4586599638677242</v>
      </c>
      <c r="AE27" s="1">
        <v>4087</v>
      </c>
      <c r="AF27" s="1">
        <v>3983</v>
      </c>
      <c r="AG27" s="1">
        <v>4599</v>
      </c>
      <c r="AH27" s="1">
        <v>4597</v>
      </c>
      <c r="AI27" s="1">
        <v>4774</v>
      </c>
      <c r="AJ27" s="1">
        <v>5262</v>
      </c>
      <c r="AK27" s="55">
        <f t="shared" si="8"/>
        <v>4550.333333333333</v>
      </c>
      <c r="AL27" s="55">
        <f t="shared" si="9"/>
        <v>7.5818923239102585</v>
      </c>
      <c r="AM27" s="1">
        <v>22343</v>
      </c>
      <c r="AN27" s="1">
        <v>29752</v>
      </c>
      <c r="AO27" s="1">
        <v>30118</v>
      </c>
      <c r="AP27" s="1">
        <v>29993</v>
      </c>
      <c r="AQ27" s="1">
        <v>29372</v>
      </c>
      <c r="AR27" s="1">
        <v>29520</v>
      </c>
      <c r="AS27" s="2">
        <f t="shared" si="12"/>
        <v>29751</v>
      </c>
      <c r="AT27" s="57">
        <f t="shared" si="13"/>
        <v>10.419817821249707</v>
      </c>
    </row>
    <row r="28" spans="1:46" ht="16" x14ac:dyDescent="0.2">
      <c r="A28" s="13" t="s">
        <v>18683</v>
      </c>
      <c r="B28" s="13" t="s">
        <v>415</v>
      </c>
      <c r="C28" s="14" t="s">
        <v>2030</v>
      </c>
      <c r="D28" s="1">
        <v>7</v>
      </c>
      <c r="E28" s="1">
        <v>1</v>
      </c>
      <c r="J28" s="93">
        <v>5</v>
      </c>
      <c r="K28" s="14">
        <f t="shared" si="11"/>
        <v>13</v>
      </c>
      <c r="L28" s="16">
        <v>713777</v>
      </c>
      <c r="M28" s="17">
        <v>586573</v>
      </c>
      <c r="N28" s="17">
        <v>55604</v>
      </c>
      <c r="O28" s="17">
        <v>1927</v>
      </c>
      <c r="P28" s="17">
        <v>7436</v>
      </c>
      <c r="Q28" s="18">
        <v>82</v>
      </c>
      <c r="R28" s="18">
        <f t="shared" si="0"/>
        <v>7518</v>
      </c>
      <c r="S28" s="18">
        <v>994</v>
      </c>
      <c r="T28" s="17">
        <v>12482</v>
      </c>
      <c r="U28" s="19">
        <v>48679</v>
      </c>
      <c r="V28" s="22">
        <v>59.169761657714844</v>
      </c>
      <c r="W28" s="15">
        <v>21</v>
      </c>
      <c r="X28" s="9">
        <f t="shared" si="1"/>
        <v>2.9420953603156166</v>
      </c>
      <c r="Y28" s="9">
        <f t="shared" si="2"/>
        <v>2.6018530397348996</v>
      </c>
      <c r="Z28" s="9">
        <f t="shared" si="3"/>
        <v>1.7048176441806904</v>
      </c>
      <c r="AA28" s="9">
        <f t="shared" si="4"/>
        <v>0</v>
      </c>
      <c r="AB28" s="9">
        <f t="shared" si="5"/>
        <v>2.934677024120111</v>
      </c>
      <c r="AC28" s="52" t="e">
        <f t="shared" si="14"/>
        <v>#DIV/0!</v>
      </c>
      <c r="AD28" s="52" t="s">
        <v>36368</v>
      </c>
      <c r="AE28" s="1">
        <v>14504</v>
      </c>
      <c r="AF28" s="1">
        <v>13616</v>
      </c>
      <c r="AG28" s="1">
        <v>11846</v>
      </c>
      <c r="AH28" s="1">
        <v>13705</v>
      </c>
      <c r="AI28" s="1">
        <v>13796</v>
      </c>
      <c r="AJ28" s="1">
        <v>13478</v>
      </c>
      <c r="AK28" s="55">
        <f t="shared" si="8"/>
        <v>13490.833333333334</v>
      </c>
      <c r="AL28" s="55">
        <f t="shared" si="9"/>
        <v>18.900627693710128</v>
      </c>
      <c r="AM28" s="1">
        <v>14737</v>
      </c>
      <c r="AN28" s="1">
        <v>13383</v>
      </c>
      <c r="AO28" s="1">
        <v>10849</v>
      </c>
      <c r="AP28" s="1">
        <v>10883</v>
      </c>
      <c r="AQ28" s="1">
        <v>9701</v>
      </c>
      <c r="AR28" s="1">
        <v>10734</v>
      </c>
      <c r="AS28" s="2">
        <f t="shared" si="12"/>
        <v>11110</v>
      </c>
      <c r="AT28" s="57">
        <f t="shared" si="13"/>
        <v>11.701170117011699</v>
      </c>
    </row>
    <row r="29" spans="1:46" ht="16" x14ac:dyDescent="0.2">
      <c r="A29" s="13" t="s">
        <v>18681</v>
      </c>
      <c r="B29" s="13" t="s">
        <v>455</v>
      </c>
      <c r="C29" s="14" t="s">
        <v>457</v>
      </c>
      <c r="D29" s="1">
        <v>5</v>
      </c>
      <c r="E29" s="1">
        <v>1</v>
      </c>
      <c r="I29" s="1">
        <v>1</v>
      </c>
      <c r="K29" s="14">
        <f t="shared" si="11"/>
        <v>7</v>
      </c>
      <c r="L29" s="16">
        <v>228330</v>
      </c>
      <c r="M29" s="17">
        <v>92285</v>
      </c>
      <c r="N29" s="17">
        <v>86519</v>
      </c>
      <c r="O29" s="18">
        <v>611</v>
      </c>
      <c r="P29" s="17">
        <v>11478</v>
      </c>
      <c r="Q29" s="18">
        <v>129</v>
      </c>
      <c r="R29" s="18">
        <f t="shared" si="0"/>
        <v>11607</v>
      </c>
      <c r="S29" s="18">
        <v>616</v>
      </c>
      <c r="T29" s="17">
        <v>4233</v>
      </c>
      <c r="U29" s="19">
        <v>32459</v>
      </c>
      <c r="V29" s="22">
        <v>47.919090270996094</v>
      </c>
      <c r="W29" s="15">
        <v>21</v>
      </c>
      <c r="X29" s="9">
        <f t="shared" si="1"/>
        <v>9.197214557876757</v>
      </c>
      <c r="Y29" s="9">
        <f t="shared" si="2"/>
        <v>4.3796259799413138</v>
      </c>
      <c r="Z29" s="9">
        <f t="shared" si="3"/>
        <v>7.7399979876005238</v>
      </c>
      <c r="AA29" s="9">
        <f t="shared" si="4"/>
        <v>1.651164979451252</v>
      </c>
      <c r="AB29" s="9">
        <f t="shared" si="5"/>
        <v>4.4011566239607776</v>
      </c>
      <c r="AC29" s="52">
        <f t="shared" si="14"/>
        <v>4.6875982012244677</v>
      </c>
      <c r="AD29" s="52">
        <f>AB29/AA29</f>
        <v>2.6654856896392376</v>
      </c>
      <c r="AF29" s="1">
        <v>1834</v>
      </c>
      <c r="AG29" s="1">
        <v>2185</v>
      </c>
      <c r="AK29" s="55">
        <f t="shared" si="8"/>
        <v>2009.5</v>
      </c>
      <c r="AL29" s="55">
        <f t="shared" si="9"/>
        <v>8.8008584066920683</v>
      </c>
      <c r="AM29" s="1">
        <v>5793</v>
      </c>
      <c r="AN29" s="1">
        <v>5699</v>
      </c>
      <c r="AO29" s="1">
        <v>4663</v>
      </c>
      <c r="AP29" s="1">
        <v>3546</v>
      </c>
      <c r="AQ29" s="1">
        <v>3772</v>
      </c>
      <c r="AR29" s="1">
        <v>4596</v>
      </c>
      <c r="AS29" s="2">
        <f t="shared" si="12"/>
        <v>4455.2</v>
      </c>
      <c r="AT29" s="57">
        <f t="shared" si="13"/>
        <v>15.711977015622194</v>
      </c>
    </row>
    <row r="30" spans="1:46" ht="16" x14ac:dyDescent="0.2">
      <c r="A30" s="13" t="s">
        <v>18666</v>
      </c>
      <c r="B30" s="13" t="s">
        <v>801</v>
      </c>
      <c r="C30" s="14" t="s">
        <v>802</v>
      </c>
      <c r="D30" s="1">
        <v>2</v>
      </c>
      <c r="E30" s="1">
        <v>7</v>
      </c>
      <c r="I30" s="1">
        <v>5</v>
      </c>
      <c r="J30" s="93">
        <v>2</v>
      </c>
      <c r="K30" s="14">
        <f t="shared" si="11"/>
        <v>16</v>
      </c>
      <c r="L30" s="16">
        <v>649121</v>
      </c>
      <c r="M30" s="17">
        <v>18155</v>
      </c>
      <c r="N30" s="17">
        <v>92426</v>
      </c>
      <c r="O30" s="17">
        <v>1633</v>
      </c>
      <c r="P30" s="17">
        <v>7092</v>
      </c>
      <c r="Q30" s="18">
        <v>737</v>
      </c>
      <c r="R30" s="18">
        <f t="shared" si="0"/>
        <v>7829</v>
      </c>
      <c r="S30" s="18">
        <v>543</v>
      </c>
      <c r="T30" s="17">
        <v>4814</v>
      </c>
      <c r="U30" s="19">
        <v>523721</v>
      </c>
      <c r="V30" s="22">
        <v>30.835353851318359</v>
      </c>
      <c r="W30" s="15">
        <v>12</v>
      </c>
      <c r="X30" s="9">
        <f t="shared" si="1"/>
        <v>1.8486537949011046</v>
      </c>
      <c r="Y30" s="9">
        <f t="shared" si="2"/>
        <v>3.5212453236211521</v>
      </c>
      <c r="Z30" s="9">
        <f t="shared" si="3"/>
        <v>15.737498524609515</v>
      </c>
      <c r="AA30" s="9">
        <f t="shared" si="4"/>
        <v>7.7281902742271047</v>
      </c>
      <c r="AB30" s="9">
        <f t="shared" si="5"/>
        <v>1.9094135999893074</v>
      </c>
      <c r="AC30" s="52">
        <f>Z30/AA30</f>
        <v>2.0363756540897824</v>
      </c>
      <c r="AD30" s="52">
        <f>AB30/AA30</f>
        <v>0.24707124594965638</v>
      </c>
      <c r="AE30" s="1">
        <v>2522</v>
      </c>
      <c r="AF30" s="1">
        <v>2671</v>
      </c>
      <c r="AG30" s="1">
        <v>2515</v>
      </c>
      <c r="AH30" s="1">
        <v>2682</v>
      </c>
      <c r="AI30" s="1">
        <v>2609</v>
      </c>
      <c r="AJ30" s="1">
        <v>2554</v>
      </c>
      <c r="AK30" s="55">
        <f t="shared" si="8"/>
        <v>2592.1666666666665</v>
      </c>
      <c r="AL30" s="55">
        <f t="shared" si="9"/>
        <v>3.9933489544578999</v>
      </c>
      <c r="AM30" s="1">
        <v>20469</v>
      </c>
      <c r="AN30" s="1">
        <v>19539</v>
      </c>
      <c r="AO30" s="1">
        <v>18192</v>
      </c>
      <c r="AP30" s="1">
        <v>16874</v>
      </c>
      <c r="AQ30" s="1">
        <v>16838</v>
      </c>
      <c r="AR30" s="1">
        <v>16264</v>
      </c>
      <c r="AS30" s="2">
        <f t="shared" si="12"/>
        <v>17541.400000000001</v>
      </c>
      <c r="AT30" s="57">
        <f t="shared" si="13"/>
        <v>9.1212788032882202</v>
      </c>
    </row>
    <row r="31" spans="1:46" ht="16" x14ac:dyDescent="0.2">
      <c r="A31" s="13" t="s">
        <v>9421</v>
      </c>
      <c r="B31" s="13" t="s">
        <v>1678</v>
      </c>
      <c r="C31" s="14" t="s">
        <v>1681</v>
      </c>
      <c r="D31" s="1">
        <v>5</v>
      </c>
      <c r="E31" s="1">
        <v>1</v>
      </c>
      <c r="I31" s="1">
        <v>3</v>
      </c>
      <c r="K31" s="14">
        <f t="shared" si="11"/>
        <v>9</v>
      </c>
      <c r="L31" s="16">
        <v>253691</v>
      </c>
      <c r="M31" s="17">
        <v>38514</v>
      </c>
      <c r="N31" s="17">
        <v>178436</v>
      </c>
      <c r="O31" s="18">
        <v>730</v>
      </c>
      <c r="P31" s="17">
        <v>8279</v>
      </c>
      <c r="Q31" s="18">
        <v>91</v>
      </c>
      <c r="R31" s="18">
        <f t="shared" si="0"/>
        <v>8370</v>
      </c>
      <c r="S31" s="18">
        <v>542</v>
      </c>
      <c r="T31" s="17">
        <v>6899</v>
      </c>
      <c r="U31" s="19">
        <v>20200</v>
      </c>
      <c r="V31" s="22">
        <v>54.288715362548828</v>
      </c>
      <c r="W31" s="15">
        <v>48</v>
      </c>
      <c r="X31" s="9">
        <f t="shared" si="1"/>
        <v>18.920655443038974</v>
      </c>
      <c r="Y31" s="9">
        <f t="shared" si="2"/>
        <v>5.0680327079568679</v>
      </c>
      <c r="Z31" s="9">
        <f t="shared" si="3"/>
        <v>18.546131647860889</v>
      </c>
      <c r="AA31" s="9">
        <f t="shared" si="4"/>
        <v>2.401821541457041</v>
      </c>
      <c r="AB31" s="9">
        <f t="shared" si="5"/>
        <v>7.072135785007073</v>
      </c>
      <c r="AC31" s="52">
        <f>Z31/AA31</f>
        <v>7.7216942756746469</v>
      </c>
      <c r="AD31" s="52">
        <f t="shared" ref="AD31:AD34" si="16">AB31/AA31</f>
        <v>2.944488448844885</v>
      </c>
      <c r="AE31" s="1">
        <v>949</v>
      </c>
      <c r="AF31" s="1">
        <v>816</v>
      </c>
      <c r="AG31" s="1">
        <v>984</v>
      </c>
      <c r="AH31" s="1">
        <v>1040</v>
      </c>
      <c r="AI31" s="1">
        <v>952</v>
      </c>
      <c r="AJ31" s="1">
        <v>1024</v>
      </c>
      <c r="AK31" s="55">
        <f t="shared" si="8"/>
        <v>960.83333333333337</v>
      </c>
      <c r="AL31" s="55">
        <f t="shared" si="9"/>
        <v>3.787415924622211</v>
      </c>
      <c r="AM31" s="1"/>
      <c r="AN31" s="1">
        <v>5331</v>
      </c>
      <c r="AO31" s="1">
        <v>5054</v>
      </c>
      <c r="AP31" s="1">
        <v>5365</v>
      </c>
      <c r="AQ31" s="1">
        <v>5694</v>
      </c>
      <c r="AR31" s="1">
        <v>5897</v>
      </c>
      <c r="AS31" s="2">
        <f t="shared" si="12"/>
        <v>5468.2</v>
      </c>
      <c r="AT31" s="57">
        <f t="shared" si="13"/>
        <v>16.458798141984566</v>
      </c>
    </row>
    <row r="32" spans="1:46" ht="16" x14ac:dyDescent="0.2">
      <c r="A32" s="13" t="s">
        <v>18666</v>
      </c>
      <c r="B32" s="13" t="s">
        <v>870</v>
      </c>
      <c r="C32" s="14" t="s">
        <v>871</v>
      </c>
      <c r="D32" s="1">
        <v>9</v>
      </c>
      <c r="E32" s="1">
        <v>5</v>
      </c>
      <c r="I32" s="1">
        <v>7</v>
      </c>
      <c r="J32" s="93">
        <v>7</v>
      </c>
      <c r="K32" s="14">
        <f t="shared" si="11"/>
        <v>28</v>
      </c>
      <c r="L32" s="16">
        <v>741206</v>
      </c>
      <c r="M32" s="17">
        <v>136941</v>
      </c>
      <c r="N32" s="17">
        <v>309312</v>
      </c>
      <c r="O32" s="17">
        <v>2481</v>
      </c>
      <c r="P32" s="17">
        <v>27095</v>
      </c>
      <c r="Q32" s="18">
        <v>615</v>
      </c>
      <c r="R32" s="18">
        <f t="shared" si="0"/>
        <v>27710</v>
      </c>
      <c r="S32" s="18">
        <v>993</v>
      </c>
      <c r="T32" s="17">
        <v>11301</v>
      </c>
      <c r="U32" s="19">
        <v>252468</v>
      </c>
      <c r="V32" s="22">
        <v>54.993923187255859</v>
      </c>
      <c r="W32" s="15">
        <v>1</v>
      </c>
      <c r="X32" s="9">
        <f t="shared" si="1"/>
        <v>0.1349152597253665</v>
      </c>
      <c r="Y32" s="9">
        <f t="shared" si="2"/>
        <v>5.3966103890146604</v>
      </c>
      <c r="Z32" s="9">
        <f t="shared" si="3"/>
        <v>9.3888191682132156</v>
      </c>
      <c r="AA32" s="9">
        <f t="shared" si="4"/>
        <v>3.2329815849368928</v>
      </c>
      <c r="AB32" s="9">
        <f t="shared" si="5"/>
        <v>2.8292128677127963</v>
      </c>
      <c r="AC32" s="52">
        <f>Z32/AA32</f>
        <v>2.9040744345583658</v>
      </c>
      <c r="AD32" s="52">
        <f t="shared" si="16"/>
        <v>0.87510949053798026</v>
      </c>
      <c r="AE32" s="1">
        <v>4440</v>
      </c>
      <c r="AF32" s="1">
        <v>4492</v>
      </c>
      <c r="AG32" s="1">
        <v>4382</v>
      </c>
      <c r="AH32" s="1">
        <v>4515</v>
      </c>
      <c r="AI32" s="1">
        <v>5359</v>
      </c>
      <c r="AJ32" s="1">
        <v>4835</v>
      </c>
      <c r="AK32" s="55">
        <f t="shared" si="8"/>
        <v>4670.5</v>
      </c>
      <c r="AL32" s="55">
        <f t="shared" si="9"/>
        <v>6.3012172054732423</v>
      </c>
      <c r="AM32" s="1">
        <v>32694</v>
      </c>
      <c r="AN32" s="1">
        <v>19452</v>
      </c>
      <c r="AO32" s="1">
        <v>26640</v>
      </c>
      <c r="AP32" s="1">
        <v>24587</v>
      </c>
      <c r="AQ32" s="1">
        <v>23168</v>
      </c>
      <c r="AR32" s="1">
        <v>19863</v>
      </c>
      <c r="AS32" s="2">
        <f t="shared" si="12"/>
        <v>22742</v>
      </c>
      <c r="AT32" s="57">
        <f t="shared" si="13"/>
        <v>12.312021809867206</v>
      </c>
    </row>
    <row r="33" spans="1:46" ht="16" x14ac:dyDescent="0.2">
      <c r="A33" s="13" t="s">
        <v>18661</v>
      </c>
      <c r="B33" s="13" t="s">
        <v>1066</v>
      </c>
      <c r="C33" s="14" t="s">
        <v>1067</v>
      </c>
      <c r="D33" s="1">
        <v>1</v>
      </c>
      <c r="E33" s="1">
        <v>1</v>
      </c>
      <c r="G33" s="93">
        <v>2</v>
      </c>
      <c r="I33" s="1">
        <v>1</v>
      </c>
      <c r="J33" s="93">
        <v>2</v>
      </c>
      <c r="K33" s="14">
        <f t="shared" si="11"/>
        <v>7</v>
      </c>
      <c r="L33" s="16">
        <v>214089</v>
      </c>
      <c r="M33" s="17">
        <v>6743</v>
      </c>
      <c r="N33" s="17">
        <v>56766</v>
      </c>
      <c r="O33" s="18">
        <v>458</v>
      </c>
      <c r="P33" s="17">
        <v>107679</v>
      </c>
      <c r="Q33" s="17">
        <v>1064</v>
      </c>
      <c r="R33" s="18">
        <f t="shared" si="0"/>
        <v>108743</v>
      </c>
      <c r="S33" s="18">
        <v>388</v>
      </c>
      <c r="T33" s="17">
        <v>9293</v>
      </c>
      <c r="U33" s="19">
        <v>31698</v>
      </c>
      <c r="V33" s="22">
        <v>22.041610717773438</v>
      </c>
      <c r="W33" s="15">
        <v>47</v>
      </c>
      <c r="X33" s="9">
        <f t="shared" si="1"/>
        <v>21.953486634063403</v>
      </c>
      <c r="Y33" s="9">
        <f t="shared" si="2"/>
        <v>4.6709546029922135</v>
      </c>
      <c r="Z33" s="9">
        <f t="shared" si="3"/>
        <v>21.185991822207157</v>
      </c>
      <c r="AA33" s="9">
        <f t="shared" si="4"/>
        <v>2.5165969569309596</v>
      </c>
      <c r="AB33" s="9">
        <f t="shared" si="5"/>
        <v>4.5068188168699246</v>
      </c>
      <c r="AC33" s="52">
        <f t="shared" ref="AC33:AC36" si="17">Z33/AA33</f>
        <v>8.4185080824558813</v>
      </c>
      <c r="AD33" s="52">
        <f t="shared" si="16"/>
        <v>1.7908385387090671</v>
      </c>
      <c r="AE33" s="1">
        <v>273</v>
      </c>
      <c r="AF33" s="1">
        <v>284</v>
      </c>
      <c r="AG33" s="1">
        <v>337</v>
      </c>
      <c r="AH33" s="1">
        <v>420</v>
      </c>
      <c r="AI33" s="1">
        <v>431</v>
      </c>
      <c r="AJ33" s="1">
        <v>502</v>
      </c>
      <c r="AK33" s="55">
        <f t="shared" si="8"/>
        <v>374.5</v>
      </c>
      <c r="AL33" s="55">
        <f t="shared" si="9"/>
        <v>1.7492724988205839</v>
      </c>
      <c r="AM33" s="1">
        <v>2913</v>
      </c>
      <c r="AN33" s="1">
        <v>3040</v>
      </c>
      <c r="AO33" s="1">
        <v>2566</v>
      </c>
      <c r="AP33" s="1">
        <v>2422</v>
      </c>
      <c r="AQ33" s="1">
        <v>2405</v>
      </c>
      <c r="AR33" s="1">
        <v>2741</v>
      </c>
      <c r="AS33" s="2">
        <f t="shared" si="12"/>
        <v>2634.8</v>
      </c>
      <c r="AT33" s="57">
        <f t="shared" si="13"/>
        <v>26.567481402763015</v>
      </c>
    </row>
    <row r="34" spans="1:46" ht="16" x14ac:dyDescent="0.2">
      <c r="A34" s="13" t="s">
        <v>18661</v>
      </c>
      <c r="B34" s="13" t="s">
        <v>183</v>
      </c>
      <c r="C34" s="14" t="s">
        <v>184</v>
      </c>
      <c r="D34" s="1">
        <v>1</v>
      </c>
      <c r="E34" s="1">
        <v>15</v>
      </c>
      <c r="G34" s="93">
        <v>2</v>
      </c>
      <c r="I34" s="1">
        <v>4</v>
      </c>
      <c r="J34" s="93">
        <v>1</v>
      </c>
      <c r="K34" s="14">
        <f t="shared" ref="K34:K65" si="18">D34+E34+F34+G34+H34+I34+J34</f>
        <v>23</v>
      </c>
      <c r="L34" s="16">
        <v>494665</v>
      </c>
      <c r="M34" s="17">
        <v>37885</v>
      </c>
      <c r="N34" s="17">
        <v>148598</v>
      </c>
      <c r="O34" s="17">
        <v>3127</v>
      </c>
      <c r="P34" s="17">
        <v>60939</v>
      </c>
      <c r="Q34" s="18">
        <v>663</v>
      </c>
      <c r="R34" s="18">
        <f t="shared" ref="R34:R65" si="19">P34+Q34</f>
        <v>61602</v>
      </c>
      <c r="S34" s="18">
        <v>984</v>
      </c>
      <c r="T34" s="17">
        <v>10414</v>
      </c>
      <c r="U34" s="19">
        <v>232055</v>
      </c>
      <c r="V34" s="22">
        <v>42.013145446777344</v>
      </c>
      <c r="W34" s="15">
        <v>5</v>
      </c>
      <c r="X34" s="9">
        <f t="shared" ref="X34:X65" si="20">W34/L34*100000</f>
        <v>1.0107850767691267</v>
      </c>
      <c r="Y34" s="9">
        <f t="shared" ref="Y34:Y65" si="21">(K34/L34)*(1000000/7)</f>
        <v>6.6423019330542612</v>
      </c>
      <c r="Z34" s="9">
        <f t="shared" ref="Z34:Z65" si="22">(D34/M34)*(1000000/7)</f>
        <v>3.7708101585625675</v>
      </c>
      <c r="AA34" s="9">
        <f t="shared" ref="AA34:AA65" si="23">(I34/N34)*(1000000/7)</f>
        <v>3.8454660993322354</v>
      </c>
      <c r="AB34" s="9">
        <f t="shared" ref="AB34:AB65" si="24">(E34/U34)*(1000000/7)</f>
        <v>9.2342640445460908</v>
      </c>
      <c r="AC34" s="52">
        <f t="shared" si="17"/>
        <v>0.9805859838986406</v>
      </c>
      <c r="AD34" s="52">
        <f t="shared" si="16"/>
        <v>2.4013380448600548</v>
      </c>
      <c r="AE34" s="1">
        <v>2552</v>
      </c>
      <c r="AF34" s="1">
        <v>2382</v>
      </c>
      <c r="AG34" s="1">
        <v>2871</v>
      </c>
      <c r="AH34" s="1">
        <v>3206</v>
      </c>
      <c r="AI34" s="1">
        <v>2974</v>
      </c>
      <c r="AJ34" s="1">
        <v>2953</v>
      </c>
      <c r="AK34" s="55">
        <f t="shared" ref="AK34:AK65" si="25">AVERAGE(AE34:AJ34)</f>
        <v>2823</v>
      </c>
      <c r="AL34" s="55">
        <f t="shared" ref="AL34:AL65" si="26">AK34/L34*1000</f>
        <v>5.7068925434384887</v>
      </c>
      <c r="AM34" s="1">
        <v>30580</v>
      </c>
      <c r="AN34" s="1">
        <v>32118</v>
      </c>
      <c r="AO34" s="1">
        <v>25068</v>
      </c>
      <c r="AP34" s="1">
        <v>19212</v>
      </c>
      <c r="AQ34" s="1">
        <v>19070</v>
      </c>
      <c r="AR34" s="1">
        <v>22527</v>
      </c>
      <c r="AS34" s="2">
        <f t="shared" si="12"/>
        <v>23599</v>
      </c>
      <c r="AT34" s="57">
        <f t="shared" si="13"/>
        <v>9.7461756854103996</v>
      </c>
    </row>
    <row r="35" spans="1:46" ht="16" x14ac:dyDescent="0.2">
      <c r="A35" s="13" t="s">
        <v>18666</v>
      </c>
      <c r="B35" s="13" t="s">
        <v>2330</v>
      </c>
      <c r="C35" s="14" t="s">
        <v>2331</v>
      </c>
      <c r="D35" s="1">
        <v>2</v>
      </c>
      <c r="E35" s="1">
        <v>1</v>
      </c>
      <c r="G35" s="93">
        <v>1</v>
      </c>
      <c r="I35" s="1">
        <v>3</v>
      </c>
      <c r="J35" s="93">
        <v>1</v>
      </c>
      <c r="K35" s="14">
        <f t="shared" si="18"/>
        <v>8</v>
      </c>
      <c r="L35" s="16">
        <v>226876</v>
      </c>
      <c r="M35" s="17">
        <v>32164</v>
      </c>
      <c r="N35" s="17">
        <v>83259</v>
      </c>
      <c r="O35" s="18">
        <v>789</v>
      </c>
      <c r="P35" s="17">
        <v>21162</v>
      </c>
      <c r="Q35" s="18">
        <v>65</v>
      </c>
      <c r="R35" s="18">
        <f t="shared" si="19"/>
        <v>21227</v>
      </c>
      <c r="S35" s="18">
        <v>308</v>
      </c>
      <c r="T35" s="17">
        <v>3345</v>
      </c>
      <c r="U35" s="19">
        <v>85784</v>
      </c>
      <c r="V35" s="22">
        <v>25.046453475952148</v>
      </c>
      <c r="W35" s="15">
        <v>13</v>
      </c>
      <c r="X35" s="9">
        <f t="shared" si="20"/>
        <v>5.7300022920009166</v>
      </c>
      <c r="Y35" s="9">
        <f t="shared" si="21"/>
        <v>5.0373646523084989</v>
      </c>
      <c r="Z35" s="9">
        <f t="shared" si="22"/>
        <v>8.8830458187503325</v>
      </c>
      <c r="AA35" s="9">
        <f t="shared" si="23"/>
        <v>5.1474486670681685</v>
      </c>
      <c r="AB35" s="9">
        <f t="shared" si="24"/>
        <v>1.6653122127336433</v>
      </c>
      <c r="AC35" s="52">
        <f t="shared" si="17"/>
        <v>1.7257181942544455</v>
      </c>
      <c r="AD35" s="52">
        <f t="shared" ref="AD35:AD42" si="27">AB35/AA35</f>
        <v>0.32352186887997758</v>
      </c>
      <c r="AE35" s="1">
        <v>514</v>
      </c>
      <c r="AF35" s="1">
        <v>644</v>
      </c>
      <c r="AG35" s="1">
        <v>709</v>
      </c>
      <c r="AH35" s="1">
        <v>767</v>
      </c>
      <c r="AI35" s="1">
        <v>748</v>
      </c>
      <c r="AJ35" s="1">
        <v>659</v>
      </c>
      <c r="AK35" s="55">
        <f t="shared" si="25"/>
        <v>673.5</v>
      </c>
      <c r="AL35" s="55">
        <f t="shared" si="26"/>
        <v>2.9685819566635518</v>
      </c>
      <c r="AM35" s="1">
        <v>8597</v>
      </c>
      <c r="AN35" s="1">
        <v>8147</v>
      </c>
      <c r="AO35" s="1">
        <v>7561</v>
      </c>
      <c r="AP35" s="1">
        <v>6973</v>
      </c>
      <c r="AQ35" s="1">
        <v>6958</v>
      </c>
      <c r="AR35" s="1">
        <v>7060</v>
      </c>
      <c r="AS35" s="2">
        <f t="shared" si="12"/>
        <v>7339.8</v>
      </c>
      <c r="AT35" s="57">
        <f t="shared" si="13"/>
        <v>10.899479549851495</v>
      </c>
    </row>
    <row r="36" spans="1:46" ht="16" x14ac:dyDescent="0.2">
      <c r="A36" s="13" t="s">
        <v>18664</v>
      </c>
      <c r="B36" s="13" t="s">
        <v>3067</v>
      </c>
      <c r="C36" s="14" t="s">
        <v>3069</v>
      </c>
      <c r="D36" s="1">
        <v>2</v>
      </c>
      <c r="E36" s="1">
        <v>3</v>
      </c>
      <c r="I36" s="1">
        <v>5</v>
      </c>
      <c r="K36" s="14">
        <f t="shared" si="18"/>
        <v>10</v>
      </c>
      <c r="L36" s="16">
        <v>226721</v>
      </c>
      <c r="M36" s="17">
        <v>12766</v>
      </c>
      <c r="N36" s="17">
        <v>116866</v>
      </c>
      <c r="O36" s="17">
        <v>2707</v>
      </c>
      <c r="P36" s="17">
        <v>8618</v>
      </c>
      <c r="Q36" s="18">
        <v>355</v>
      </c>
      <c r="R36" s="18">
        <f t="shared" si="19"/>
        <v>8973</v>
      </c>
      <c r="S36" s="18">
        <v>329</v>
      </c>
      <c r="T36" s="17">
        <v>4579</v>
      </c>
      <c r="U36" s="19">
        <v>80501</v>
      </c>
      <c r="V36" s="22">
        <v>39.138717651367188</v>
      </c>
      <c r="W36" s="15">
        <v>23</v>
      </c>
      <c r="X36" s="9">
        <f t="shared" si="20"/>
        <v>10.144627096740045</v>
      </c>
      <c r="Y36" s="9">
        <f t="shared" si="21"/>
        <v>6.3010106190931969</v>
      </c>
      <c r="Z36" s="9">
        <f t="shared" si="22"/>
        <v>22.380877778026456</v>
      </c>
      <c r="AA36" s="9">
        <f t="shared" si="23"/>
        <v>6.11200618046065</v>
      </c>
      <c r="AB36" s="9">
        <f t="shared" si="24"/>
        <v>5.3238025437128558</v>
      </c>
      <c r="AC36" s="52">
        <f t="shared" si="17"/>
        <v>3.6617891273695755</v>
      </c>
      <c r="AD36" s="52">
        <f t="shared" si="27"/>
        <v>0.87104011130296521</v>
      </c>
      <c r="AE36" s="1">
        <v>905</v>
      </c>
      <c r="AF36" s="1">
        <v>186</v>
      </c>
      <c r="AG36" s="1">
        <v>943</v>
      </c>
      <c r="AH36" s="1">
        <v>1204</v>
      </c>
      <c r="AI36" s="1">
        <v>1217</v>
      </c>
      <c r="AJ36" s="1">
        <v>1167</v>
      </c>
      <c r="AK36" s="55">
        <f t="shared" si="25"/>
        <v>937</v>
      </c>
      <c r="AL36" s="55">
        <f t="shared" si="26"/>
        <v>4.1328328650632269</v>
      </c>
      <c r="AM36" s="1">
        <v>4530</v>
      </c>
      <c r="AN36" s="1">
        <v>3477</v>
      </c>
      <c r="AO36" s="1">
        <v>3692</v>
      </c>
      <c r="AP36" s="1"/>
      <c r="AQ36" s="1">
        <v>2949</v>
      </c>
      <c r="AR36" s="1">
        <v>5405</v>
      </c>
      <c r="AS36" s="2">
        <f t="shared" si="12"/>
        <v>3880.75</v>
      </c>
      <c r="AT36" s="57">
        <f t="shared" si="13"/>
        <v>25.768214906912323</v>
      </c>
    </row>
    <row r="37" spans="1:46" ht="16" x14ac:dyDescent="0.2">
      <c r="A37" s="13" t="s">
        <v>18681</v>
      </c>
      <c r="B37" s="13" t="s">
        <v>5923</v>
      </c>
      <c r="C37" s="14" t="s">
        <v>9857</v>
      </c>
      <c r="D37" s="1">
        <v>1</v>
      </c>
      <c r="G37" s="93">
        <v>1</v>
      </c>
      <c r="I37" s="1">
        <v>1</v>
      </c>
      <c r="K37" s="14">
        <f t="shared" si="18"/>
        <v>3</v>
      </c>
      <c r="L37" s="16">
        <v>269666</v>
      </c>
      <c r="M37" s="17">
        <v>108233</v>
      </c>
      <c r="N37" s="17">
        <v>122888</v>
      </c>
      <c r="O37" s="17">
        <v>1096</v>
      </c>
      <c r="P37" s="17">
        <v>10711</v>
      </c>
      <c r="Q37" s="18">
        <v>128</v>
      </c>
      <c r="R37" s="18">
        <f t="shared" si="19"/>
        <v>10839</v>
      </c>
      <c r="S37" s="18">
        <v>703</v>
      </c>
      <c r="T37" s="17">
        <v>5571</v>
      </c>
      <c r="U37" s="19">
        <v>20336</v>
      </c>
      <c r="V37" s="22">
        <v>56.617038726806641</v>
      </c>
      <c r="W37" s="15">
        <v>3</v>
      </c>
      <c r="X37" s="9">
        <f t="shared" si="20"/>
        <v>1.1124872991033352</v>
      </c>
      <c r="Y37" s="9">
        <f t="shared" si="21"/>
        <v>1.5892675701476218</v>
      </c>
      <c r="Z37" s="9">
        <f t="shared" si="22"/>
        <v>1.3199037526183592</v>
      </c>
      <c r="AA37" s="9">
        <f t="shared" si="23"/>
        <v>1.1624987212514066</v>
      </c>
      <c r="AB37" s="9">
        <f t="shared" si="24"/>
        <v>0</v>
      </c>
      <c r="AC37" s="52">
        <f t="shared" ref="AC37:AC42" si="28">Z37/AA37</f>
        <v>1.1354023264623545</v>
      </c>
      <c r="AD37" s="52">
        <f t="shared" si="27"/>
        <v>0</v>
      </c>
      <c r="AE37" s="1">
        <v>1449</v>
      </c>
      <c r="AF37" s="1">
        <v>1346</v>
      </c>
      <c r="AG37" s="1">
        <v>1707</v>
      </c>
      <c r="AK37" s="55">
        <f t="shared" si="25"/>
        <v>1500.6666666666667</v>
      </c>
      <c r="AL37" s="55">
        <f t="shared" si="26"/>
        <v>5.5649086895146835</v>
      </c>
      <c r="AM37" s="1">
        <v>18013</v>
      </c>
      <c r="AN37" s="1">
        <v>16273</v>
      </c>
      <c r="AO37" s="1">
        <v>13601</v>
      </c>
      <c r="AP37" s="1">
        <v>11536</v>
      </c>
      <c r="AQ37" s="1">
        <v>13247</v>
      </c>
      <c r="AR37" s="1">
        <v>10665</v>
      </c>
      <c r="AS37" s="2">
        <f t="shared" si="12"/>
        <v>13064.4</v>
      </c>
      <c r="AT37" s="57">
        <f t="shared" si="13"/>
        <v>2.2963167080003672</v>
      </c>
    </row>
    <row r="38" spans="1:46" ht="16" x14ac:dyDescent="0.2">
      <c r="A38" s="13" t="s">
        <v>18672</v>
      </c>
      <c r="B38" s="13" t="s">
        <v>1194</v>
      </c>
      <c r="C38" s="14" t="s">
        <v>1387</v>
      </c>
      <c r="D38" s="1">
        <v>1</v>
      </c>
      <c r="E38" s="1">
        <v>2</v>
      </c>
      <c r="G38" s="93"/>
      <c r="I38" s="1">
        <v>3</v>
      </c>
      <c r="J38" s="93">
        <v>1</v>
      </c>
      <c r="K38" s="14">
        <f t="shared" si="18"/>
        <v>7</v>
      </c>
      <c r="L38" s="16">
        <v>257729</v>
      </c>
      <c r="M38" s="17">
        <v>12471</v>
      </c>
      <c r="N38" s="17">
        <v>177039</v>
      </c>
      <c r="O38" s="17">
        <v>1182</v>
      </c>
      <c r="P38" s="17">
        <v>18172</v>
      </c>
      <c r="Q38" s="17">
        <v>1354</v>
      </c>
      <c r="R38" s="18">
        <f t="shared" si="19"/>
        <v>19526</v>
      </c>
      <c r="S38" s="18">
        <v>479</v>
      </c>
      <c r="T38" s="17">
        <v>8655</v>
      </c>
      <c r="U38" s="19">
        <v>38377</v>
      </c>
      <c r="V38" s="22">
        <v>20.750635147094727</v>
      </c>
      <c r="W38" s="15">
        <v>6</v>
      </c>
      <c r="X38" s="9">
        <f t="shared" si="20"/>
        <v>2.3280267257468115</v>
      </c>
      <c r="Y38" s="9">
        <f t="shared" si="21"/>
        <v>3.880044542911353</v>
      </c>
      <c r="Z38" s="9">
        <f t="shared" si="22"/>
        <v>11.455147370470922</v>
      </c>
      <c r="AA38" s="9">
        <f t="shared" si="23"/>
        <v>2.4207741151465418</v>
      </c>
      <c r="AB38" s="9">
        <f t="shared" si="24"/>
        <v>7.4449353965730971</v>
      </c>
      <c r="AC38" s="52">
        <f t="shared" si="28"/>
        <v>4.7320182824152033</v>
      </c>
      <c r="AD38" s="52">
        <f t="shared" si="27"/>
        <v>3.0754358079057771</v>
      </c>
      <c r="AE38" s="1">
        <v>367</v>
      </c>
      <c r="AF38" s="1">
        <v>452</v>
      </c>
      <c r="AG38" s="1">
        <v>476</v>
      </c>
      <c r="AH38" s="1">
        <v>617</v>
      </c>
      <c r="AI38" s="1">
        <v>554</v>
      </c>
      <c r="AJ38" s="1">
        <v>583</v>
      </c>
      <c r="AK38" s="55">
        <f t="shared" si="25"/>
        <v>508.16666666666669</v>
      </c>
      <c r="AL38" s="55">
        <f t="shared" si="26"/>
        <v>1.9717093018894525</v>
      </c>
      <c r="AM38" s="1">
        <v>9279</v>
      </c>
      <c r="AN38" s="1">
        <v>9139</v>
      </c>
      <c r="AO38" s="1">
        <v>8954</v>
      </c>
      <c r="AP38" s="1">
        <v>9846</v>
      </c>
      <c r="AQ38" s="1">
        <v>9414</v>
      </c>
      <c r="AR38" s="1">
        <v>12111</v>
      </c>
      <c r="AS38" s="2">
        <f t="shared" si="12"/>
        <v>9892.7999999999993</v>
      </c>
      <c r="AT38" s="57">
        <f t="shared" si="13"/>
        <v>7.0758531457221414</v>
      </c>
    </row>
    <row r="39" spans="1:46" ht="16" x14ac:dyDescent="0.2">
      <c r="A39" s="13" t="s">
        <v>18667</v>
      </c>
      <c r="B39" s="13" t="s">
        <v>5902</v>
      </c>
      <c r="C39" s="14" t="s">
        <v>5903</v>
      </c>
      <c r="D39" s="1">
        <v>1</v>
      </c>
      <c r="E39" s="1">
        <v>2</v>
      </c>
      <c r="I39" s="1">
        <v>1</v>
      </c>
      <c r="K39" s="14">
        <f t="shared" si="18"/>
        <v>4</v>
      </c>
      <c r="L39" s="16">
        <v>224669</v>
      </c>
      <c r="M39" s="17">
        <v>6066</v>
      </c>
      <c r="N39" s="17">
        <v>9511</v>
      </c>
      <c r="O39" s="18">
        <v>73</v>
      </c>
      <c r="P39" s="18">
        <v>697</v>
      </c>
      <c r="Q39" s="18">
        <v>2</v>
      </c>
      <c r="R39" s="18">
        <f t="shared" si="19"/>
        <v>699</v>
      </c>
      <c r="S39" s="18">
        <v>119</v>
      </c>
      <c r="T39" s="18">
        <v>253</v>
      </c>
      <c r="U39" s="19">
        <v>69599</v>
      </c>
      <c r="V39" s="22">
        <v>41.504783630371094</v>
      </c>
      <c r="W39" s="15">
        <v>16</v>
      </c>
      <c r="X39" s="9">
        <f t="shared" si="20"/>
        <v>7.1215877579906435</v>
      </c>
      <c r="Y39" s="9">
        <f t="shared" si="21"/>
        <v>2.5434241992823732</v>
      </c>
      <c r="Z39" s="9">
        <f t="shared" si="22"/>
        <v>23.550468654326224</v>
      </c>
      <c r="AA39" s="9">
        <f t="shared" si="23"/>
        <v>15.020202171921236</v>
      </c>
      <c r="AB39" s="9">
        <f t="shared" si="24"/>
        <v>4.1051492940169503</v>
      </c>
      <c r="AC39" s="52">
        <f t="shared" si="28"/>
        <v>1.5679195515990769</v>
      </c>
      <c r="AD39" s="52">
        <f t="shared" si="27"/>
        <v>0.27330852454776644</v>
      </c>
      <c r="AE39" s="1">
        <v>774</v>
      </c>
      <c r="AF39" s="1">
        <v>782</v>
      </c>
      <c r="AG39" s="1">
        <v>767</v>
      </c>
      <c r="AH39" s="1">
        <v>580</v>
      </c>
      <c r="AI39" s="1">
        <v>473</v>
      </c>
      <c r="AJ39" s="1">
        <v>533</v>
      </c>
      <c r="AK39" s="55">
        <f t="shared" si="25"/>
        <v>651.5</v>
      </c>
      <c r="AL39" s="55">
        <f t="shared" si="26"/>
        <v>2.8998215152068156</v>
      </c>
      <c r="AM39" s="1">
        <v>9403</v>
      </c>
      <c r="AN39" s="1">
        <v>8456</v>
      </c>
      <c r="AO39" s="1">
        <v>7950</v>
      </c>
      <c r="AP39" s="1">
        <v>7153</v>
      </c>
      <c r="AQ39" s="1">
        <v>5026</v>
      </c>
      <c r="AR39" s="1">
        <v>6160</v>
      </c>
      <c r="AS39" s="2">
        <f t="shared" si="12"/>
        <v>6949</v>
      </c>
      <c r="AT39" s="57">
        <f t="shared" si="13"/>
        <v>5.7562239171103755</v>
      </c>
    </row>
    <row r="40" spans="1:46" ht="16" x14ac:dyDescent="0.2">
      <c r="A40" s="13" t="s">
        <v>3619</v>
      </c>
      <c r="B40" s="13" t="s">
        <v>2196</v>
      </c>
      <c r="C40" s="14" t="s">
        <v>3281</v>
      </c>
      <c r="E40" s="1">
        <v>3</v>
      </c>
      <c r="G40" s="93">
        <v>1</v>
      </c>
      <c r="H40" s="93">
        <v>10</v>
      </c>
      <c r="I40" s="1">
        <v>4</v>
      </c>
      <c r="J40" s="93">
        <v>2</v>
      </c>
      <c r="K40" s="14">
        <f t="shared" si="18"/>
        <v>20</v>
      </c>
      <c r="L40" s="16">
        <v>953206</v>
      </c>
      <c r="M40" s="17">
        <v>26690</v>
      </c>
      <c r="N40" s="17">
        <v>171577</v>
      </c>
      <c r="O40" s="18">
        <v>517</v>
      </c>
      <c r="P40" s="17">
        <v>409879</v>
      </c>
      <c r="Q40" s="17">
        <v>91508</v>
      </c>
      <c r="R40" s="18">
        <f t="shared" si="19"/>
        <v>501387</v>
      </c>
      <c r="S40" s="18"/>
      <c r="T40" s="17">
        <v>215424</v>
      </c>
      <c r="U40" s="19">
        <v>95321</v>
      </c>
      <c r="V40" s="22">
        <v>30.276092529296875</v>
      </c>
      <c r="W40" s="15">
        <v>242</v>
      </c>
      <c r="X40" s="9">
        <f t="shared" si="20"/>
        <v>25.388006370081602</v>
      </c>
      <c r="Y40" s="9">
        <f t="shared" si="21"/>
        <v>2.9974033494783474</v>
      </c>
      <c r="Z40" s="9">
        <f t="shared" si="22"/>
        <v>0</v>
      </c>
      <c r="AA40" s="9">
        <f t="shared" si="23"/>
        <v>3.3304497189516744</v>
      </c>
      <c r="AB40" s="9">
        <f t="shared" si="24"/>
        <v>4.4960861570003319</v>
      </c>
      <c r="AC40" s="52">
        <f t="shared" si="28"/>
        <v>0</v>
      </c>
      <c r="AD40" s="52">
        <f t="shared" si="27"/>
        <v>1.3499937054793805</v>
      </c>
      <c r="AG40" s="1">
        <v>2437</v>
      </c>
      <c r="AH40" s="1">
        <v>3331</v>
      </c>
      <c r="AI40" s="1">
        <v>2440</v>
      </c>
      <c r="AJ40" s="1">
        <v>2451</v>
      </c>
      <c r="AK40" s="55">
        <f t="shared" si="25"/>
        <v>2664.75</v>
      </c>
      <c r="AL40" s="55">
        <f t="shared" si="26"/>
        <v>2.7955657014328485</v>
      </c>
      <c r="AM40" s="1"/>
      <c r="AN40" s="1"/>
      <c r="AO40" s="1"/>
      <c r="AP40" s="1"/>
      <c r="AQ40" s="1"/>
      <c r="AR40" s="1"/>
      <c r="AS40" s="2" t="e">
        <f t="shared" si="12"/>
        <v>#DIV/0!</v>
      </c>
      <c r="AT40" s="57"/>
    </row>
    <row r="41" spans="1:46" ht="16" x14ac:dyDescent="0.2">
      <c r="A41" s="13" t="s">
        <v>18666</v>
      </c>
      <c r="B41" s="13" t="s">
        <v>674</v>
      </c>
      <c r="C41" s="14" t="s">
        <v>675</v>
      </c>
      <c r="D41" s="1">
        <v>34</v>
      </c>
      <c r="E41" s="1">
        <v>20</v>
      </c>
      <c r="G41" s="93">
        <v>1</v>
      </c>
      <c r="I41" s="1">
        <v>11</v>
      </c>
      <c r="J41" s="93">
        <v>4</v>
      </c>
      <c r="K41" s="14">
        <f t="shared" si="18"/>
        <v>70</v>
      </c>
      <c r="L41" s="16">
        <v>2099451</v>
      </c>
      <c r="M41" s="17">
        <v>485956</v>
      </c>
      <c r="N41" s="17">
        <v>537901</v>
      </c>
      <c r="O41" s="17">
        <v>3528</v>
      </c>
      <c r="P41" s="17">
        <v>124859</v>
      </c>
      <c r="Q41" s="18">
        <v>711</v>
      </c>
      <c r="R41" s="18">
        <f t="shared" si="19"/>
        <v>125570</v>
      </c>
      <c r="S41" s="17">
        <v>4128</v>
      </c>
      <c r="T41" s="17">
        <v>22700</v>
      </c>
      <c r="U41" s="19">
        <v>919668</v>
      </c>
      <c r="V41" s="22">
        <v>68.565139770507812</v>
      </c>
      <c r="W41" s="15">
        <v>136</v>
      </c>
      <c r="X41" s="9">
        <f t="shared" si="20"/>
        <v>6.4778839801452861</v>
      </c>
      <c r="Y41" s="9">
        <f t="shared" si="21"/>
        <v>4.763149985400946</v>
      </c>
      <c r="Z41" s="9">
        <f t="shared" si="22"/>
        <v>9.9950260047058936</v>
      </c>
      <c r="AA41" s="9">
        <f t="shared" si="23"/>
        <v>2.9214085332218596</v>
      </c>
      <c r="AB41" s="9">
        <f t="shared" si="24"/>
        <v>3.1067111796244484</v>
      </c>
      <c r="AC41" s="52">
        <f t="shared" si="28"/>
        <v>3.4213037618819211</v>
      </c>
      <c r="AD41" s="52">
        <f t="shared" si="27"/>
        <v>1.063429213783472</v>
      </c>
      <c r="AE41" s="1">
        <v>20993</v>
      </c>
      <c r="AF41" s="1">
        <v>22008</v>
      </c>
      <c r="AG41" s="1">
        <v>21994</v>
      </c>
      <c r="AH41" s="1">
        <v>23960</v>
      </c>
      <c r="AI41" s="1">
        <v>25609</v>
      </c>
      <c r="AJ41" s="1">
        <v>24062</v>
      </c>
      <c r="AK41" s="55">
        <f t="shared" si="25"/>
        <v>23104.333333333332</v>
      </c>
      <c r="AL41" s="55">
        <f t="shared" si="26"/>
        <v>11.004940497936524</v>
      </c>
      <c r="AM41" s="1">
        <v>85551</v>
      </c>
      <c r="AN41" s="1">
        <v>65821</v>
      </c>
      <c r="AO41" s="1">
        <v>56317</v>
      </c>
      <c r="AP41" s="1">
        <v>57867</v>
      </c>
      <c r="AQ41" s="1">
        <v>47449</v>
      </c>
      <c r="AR41" s="1">
        <v>43036</v>
      </c>
      <c r="AS41" s="2">
        <f t="shared" si="12"/>
        <v>54098</v>
      </c>
      <c r="AT41" s="57">
        <f t="shared" ref="AT41:AT76" si="29">(K41/AS41)*10000</f>
        <v>12.93948020259529</v>
      </c>
    </row>
    <row r="42" spans="1:46" ht="16" x14ac:dyDescent="0.2">
      <c r="A42" s="13" t="s">
        <v>9421</v>
      </c>
      <c r="B42" s="13" t="s">
        <v>197</v>
      </c>
      <c r="C42" s="14" t="s">
        <v>199</v>
      </c>
      <c r="D42" s="1">
        <v>16</v>
      </c>
      <c r="I42" s="1">
        <v>10</v>
      </c>
      <c r="K42" s="14">
        <f t="shared" si="18"/>
        <v>26</v>
      </c>
      <c r="L42" s="16">
        <v>820445</v>
      </c>
      <c r="M42" s="17">
        <v>223053</v>
      </c>
      <c r="N42" s="17">
        <v>480960</v>
      </c>
      <c r="O42" s="17">
        <v>1760</v>
      </c>
      <c r="P42" s="17">
        <v>17053</v>
      </c>
      <c r="Q42" s="18">
        <v>274</v>
      </c>
      <c r="R42" s="18">
        <f t="shared" si="19"/>
        <v>17327</v>
      </c>
      <c r="S42" s="17">
        <v>2123</v>
      </c>
      <c r="T42" s="17">
        <v>17870</v>
      </c>
      <c r="U42" s="19">
        <v>77352</v>
      </c>
      <c r="V42" s="22">
        <v>55.86541748046875</v>
      </c>
      <c r="W42" s="15">
        <v>0</v>
      </c>
      <c r="X42" s="9">
        <f t="shared" si="20"/>
        <v>0</v>
      </c>
      <c r="Y42" s="9">
        <f t="shared" si="21"/>
        <v>4.5271599123472193</v>
      </c>
      <c r="Z42" s="9">
        <f t="shared" si="22"/>
        <v>10.247404364497612</v>
      </c>
      <c r="AA42" s="9">
        <f t="shared" si="23"/>
        <v>2.9702499762380006</v>
      </c>
      <c r="AB42" s="9">
        <f t="shared" si="24"/>
        <v>0</v>
      </c>
      <c r="AC42" s="52">
        <f t="shared" si="28"/>
        <v>3.4500141222041396</v>
      </c>
      <c r="AD42" s="52">
        <f t="shared" si="27"/>
        <v>0</v>
      </c>
      <c r="AE42" s="1">
        <v>10479</v>
      </c>
      <c r="AF42" s="1">
        <v>10768</v>
      </c>
      <c r="AG42" s="1">
        <v>11124</v>
      </c>
      <c r="AH42" s="1">
        <v>11907</v>
      </c>
      <c r="AI42" s="1">
        <v>11616</v>
      </c>
      <c r="AJ42" s="1">
        <v>11170</v>
      </c>
      <c r="AK42" s="55">
        <f t="shared" si="25"/>
        <v>11177.333333333334</v>
      </c>
      <c r="AL42" s="55">
        <f t="shared" si="26"/>
        <v>13.623501067510112</v>
      </c>
      <c r="AM42" s="1">
        <v>39493</v>
      </c>
      <c r="AN42" s="1">
        <v>33825</v>
      </c>
      <c r="AO42" s="1">
        <v>39620</v>
      </c>
      <c r="AP42" s="1">
        <v>37235</v>
      </c>
      <c r="AQ42" s="1">
        <v>40668</v>
      </c>
      <c r="AR42" s="1">
        <v>34286</v>
      </c>
      <c r="AS42" s="2">
        <f t="shared" si="12"/>
        <v>37126.800000000003</v>
      </c>
      <c r="AT42" s="57">
        <f t="shared" si="29"/>
        <v>7.0030274626415414</v>
      </c>
    </row>
    <row r="43" spans="1:46" ht="16" x14ac:dyDescent="0.2">
      <c r="A43" s="13" t="s">
        <v>18661</v>
      </c>
      <c r="B43" s="13" t="s">
        <v>19238</v>
      </c>
      <c r="C43" s="14" t="s">
        <v>19239</v>
      </c>
      <c r="G43" s="93"/>
      <c r="K43" s="14">
        <f t="shared" si="18"/>
        <v>0</v>
      </c>
      <c r="L43" s="16">
        <v>212375</v>
      </c>
      <c r="M43" s="17">
        <v>3494</v>
      </c>
      <c r="N43" s="17">
        <v>95822</v>
      </c>
      <c r="O43" s="18">
        <v>199</v>
      </c>
      <c r="P43" s="17">
        <v>82722</v>
      </c>
      <c r="Q43" s="18">
        <v>295</v>
      </c>
      <c r="R43" s="18">
        <f t="shared" si="19"/>
        <v>83017</v>
      </c>
      <c r="S43" s="18">
        <v>554</v>
      </c>
      <c r="T43" s="17">
        <v>9668</v>
      </c>
      <c r="U43" s="19">
        <v>19621</v>
      </c>
      <c r="V43" s="22">
        <v>18.74896240234375</v>
      </c>
      <c r="W43" s="15">
        <v>5</v>
      </c>
      <c r="X43" s="9">
        <f t="shared" si="20"/>
        <v>2.3543260741612713</v>
      </c>
      <c r="Y43" s="9">
        <f t="shared" si="21"/>
        <v>0</v>
      </c>
      <c r="Z43" s="9">
        <f t="shared" si="22"/>
        <v>0</v>
      </c>
      <c r="AA43" s="9">
        <f t="shared" si="23"/>
        <v>0</v>
      </c>
      <c r="AB43" s="9">
        <f t="shared" si="24"/>
        <v>0</v>
      </c>
      <c r="AC43" s="52" t="s">
        <v>36369</v>
      </c>
      <c r="AD43" s="52" t="s">
        <v>36369</v>
      </c>
      <c r="AE43" s="1">
        <v>113</v>
      </c>
      <c r="AF43" s="1">
        <v>120</v>
      </c>
      <c r="AG43" s="1">
        <v>144</v>
      </c>
      <c r="AH43" s="1">
        <v>152</v>
      </c>
      <c r="AI43" s="1">
        <v>169</v>
      </c>
      <c r="AJ43" s="1">
        <v>160</v>
      </c>
      <c r="AK43" s="55">
        <f t="shared" si="25"/>
        <v>143</v>
      </c>
      <c r="AL43" s="55">
        <f t="shared" si="26"/>
        <v>0.67333725721012361</v>
      </c>
      <c r="AM43" s="1">
        <v>2742</v>
      </c>
      <c r="AN43" s="1">
        <v>2500</v>
      </c>
      <c r="AO43" s="1">
        <v>2988</v>
      </c>
      <c r="AP43" s="1">
        <v>3337</v>
      </c>
      <c r="AQ43" s="1">
        <v>2782</v>
      </c>
      <c r="AR43" s="1">
        <v>2064</v>
      </c>
      <c r="AS43" s="2">
        <f t="shared" si="12"/>
        <v>2734.2</v>
      </c>
      <c r="AT43" s="57">
        <f t="shared" si="29"/>
        <v>0</v>
      </c>
    </row>
    <row r="44" spans="1:46" ht="16" x14ac:dyDescent="0.2">
      <c r="A44" s="13" t="s">
        <v>18666</v>
      </c>
      <c r="B44" s="13" t="s">
        <v>5639</v>
      </c>
      <c r="C44" s="14" t="s">
        <v>5641</v>
      </c>
      <c r="D44" s="1">
        <v>2</v>
      </c>
      <c r="E44" s="1">
        <v>2</v>
      </c>
      <c r="G44" s="93">
        <v>1</v>
      </c>
      <c r="I44" s="1">
        <v>2</v>
      </c>
      <c r="K44" s="14">
        <f t="shared" si="18"/>
        <v>7</v>
      </c>
      <c r="L44" s="16">
        <v>216290</v>
      </c>
      <c r="M44" s="17">
        <v>25550</v>
      </c>
      <c r="N44" s="17">
        <v>66559</v>
      </c>
      <c r="O44" s="18">
        <v>807</v>
      </c>
      <c r="P44" s="17">
        <v>30161</v>
      </c>
      <c r="Q44" s="18">
        <v>221</v>
      </c>
      <c r="R44" s="18">
        <f t="shared" si="19"/>
        <v>30382</v>
      </c>
      <c r="S44" s="18">
        <v>434</v>
      </c>
      <c r="T44" s="17">
        <v>3591</v>
      </c>
      <c r="U44" s="19">
        <v>88967</v>
      </c>
      <c r="V44" s="22">
        <v>36.652626037597656</v>
      </c>
      <c r="W44" s="15">
        <v>96</v>
      </c>
      <c r="X44" s="9">
        <f t="shared" si="20"/>
        <v>44.384853668685558</v>
      </c>
      <c r="Y44" s="9">
        <f t="shared" si="21"/>
        <v>4.6234222571547461</v>
      </c>
      <c r="Z44" s="9">
        <f t="shared" si="22"/>
        <v>11.182555213866371</v>
      </c>
      <c r="AA44" s="9">
        <f t="shared" si="23"/>
        <v>4.2926469104747023</v>
      </c>
      <c r="AB44" s="9">
        <f t="shared" si="24"/>
        <v>3.2114636406115271</v>
      </c>
      <c r="AC44" s="52">
        <f>Z44/AA44</f>
        <v>2.6050489236790613</v>
      </c>
      <c r="AD44" s="52">
        <f>AB44/AA44</f>
        <v>0.74813132959411921</v>
      </c>
      <c r="AE44" s="1">
        <v>530</v>
      </c>
      <c r="AF44" s="1">
        <v>512</v>
      </c>
      <c r="AG44" s="1">
        <v>469</v>
      </c>
      <c r="AH44" s="1">
        <v>521</v>
      </c>
      <c r="AI44" s="1">
        <v>549</v>
      </c>
      <c r="AJ44" s="1">
        <v>510</v>
      </c>
      <c r="AK44" s="55">
        <f t="shared" si="25"/>
        <v>515.16666666666663</v>
      </c>
      <c r="AL44" s="55">
        <f t="shared" si="26"/>
        <v>2.3818330328108863</v>
      </c>
      <c r="AM44" s="1">
        <v>10329</v>
      </c>
      <c r="AN44" s="1">
        <v>7077</v>
      </c>
      <c r="AO44" s="1">
        <v>5831</v>
      </c>
      <c r="AP44" s="1">
        <v>5281</v>
      </c>
      <c r="AQ44" s="1">
        <v>5464</v>
      </c>
      <c r="AR44" s="1">
        <v>5854</v>
      </c>
      <c r="AS44" s="2">
        <f t="shared" si="12"/>
        <v>5901.4</v>
      </c>
      <c r="AT44" s="57">
        <f t="shared" si="29"/>
        <v>11.861592164571119</v>
      </c>
    </row>
    <row r="45" spans="1:46" ht="16" x14ac:dyDescent="0.2">
      <c r="A45" s="13" t="s">
        <v>18667</v>
      </c>
      <c r="B45" s="13" t="s">
        <v>603</v>
      </c>
      <c r="C45" s="14" t="s">
        <v>605</v>
      </c>
      <c r="D45" s="1">
        <v>20</v>
      </c>
      <c r="I45" s="1">
        <v>16</v>
      </c>
      <c r="J45" s="93">
        <v>3</v>
      </c>
      <c r="K45" s="14">
        <f t="shared" si="18"/>
        <v>39</v>
      </c>
      <c r="L45" s="16">
        <v>821784</v>
      </c>
      <c r="M45" s="17">
        <v>247516</v>
      </c>
      <c r="N45" s="17">
        <v>452525</v>
      </c>
      <c r="O45" s="17">
        <v>2687</v>
      </c>
      <c r="P45" s="17">
        <v>34731</v>
      </c>
      <c r="Q45" s="18">
        <v>668</v>
      </c>
      <c r="R45" s="18">
        <f t="shared" si="19"/>
        <v>35399</v>
      </c>
      <c r="S45" s="17">
        <v>1949</v>
      </c>
      <c r="T45" s="17">
        <v>18223</v>
      </c>
      <c r="U45" s="19">
        <v>63485</v>
      </c>
      <c r="V45" s="22">
        <v>47.544624328613281</v>
      </c>
      <c r="W45" s="15">
        <v>24</v>
      </c>
      <c r="X45" s="9">
        <f t="shared" si="20"/>
        <v>2.9204754534038142</v>
      </c>
      <c r="Y45" s="9">
        <f t="shared" si="21"/>
        <v>6.7796751596874261</v>
      </c>
      <c r="Z45" s="9">
        <f t="shared" si="22"/>
        <v>11.543265312718603</v>
      </c>
      <c r="AA45" s="9">
        <f t="shared" si="23"/>
        <v>5.0510232268146193</v>
      </c>
      <c r="AB45" s="9">
        <f t="shared" si="24"/>
        <v>0</v>
      </c>
      <c r="AC45" s="52">
        <f>Z45/AA45</f>
        <v>2.2853320593416186</v>
      </c>
      <c r="AD45" s="52">
        <f>AB45/AA45</f>
        <v>0</v>
      </c>
      <c r="AE45" s="1">
        <v>5246</v>
      </c>
      <c r="AF45" s="1">
        <v>5853</v>
      </c>
      <c r="AG45" s="1">
        <v>5622</v>
      </c>
      <c r="AH45" s="1">
        <v>5504</v>
      </c>
      <c r="AI45" s="1">
        <v>5648</v>
      </c>
      <c r="AJ45" s="1">
        <v>5381</v>
      </c>
      <c r="AK45" s="55">
        <f t="shared" si="25"/>
        <v>5542.333333333333</v>
      </c>
      <c r="AL45" s="55">
        <f t="shared" si="26"/>
        <v>6.7442701894090584</v>
      </c>
      <c r="AM45" s="1">
        <v>25922</v>
      </c>
      <c r="AN45" s="1">
        <v>25439</v>
      </c>
      <c r="AO45" s="1">
        <v>25969</v>
      </c>
      <c r="AP45" s="1">
        <v>24883</v>
      </c>
      <c r="AQ45" s="1">
        <v>24313</v>
      </c>
      <c r="AR45" s="1">
        <v>26230</v>
      </c>
      <c r="AS45" s="2">
        <f t="shared" si="12"/>
        <v>25366.799999999999</v>
      </c>
      <c r="AT45" s="57">
        <f t="shared" si="29"/>
        <v>15.374426415629879</v>
      </c>
    </row>
    <row r="46" spans="1:46" ht="16" x14ac:dyDescent="0.2">
      <c r="A46" s="13" t="s">
        <v>19234</v>
      </c>
      <c r="B46" s="13" t="s">
        <v>7795</v>
      </c>
      <c r="C46" s="14" t="s">
        <v>7797</v>
      </c>
      <c r="D46" s="1">
        <v>8</v>
      </c>
      <c r="K46" s="14">
        <f t="shared" si="18"/>
        <v>8</v>
      </c>
      <c r="L46" s="16">
        <v>247597</v>
      </c>
      <c r="M46" s="17">
        <v>59060</v>
      </c>
      <c r="N46" s="17">
        <v>53236</v>
      </c>
      <c r="O46" s="18">
        <v>586</v>
      </c>
      <c r="P46" s="17">
        <v>58106</v>
      </c>
      <c r="Q46" s="18">
        <v>95</v>
      </c>
      <c r="R46" s="18">
        <f t="shared" si="19"/>
        <v>58201</v>
      </c>
      <c r="S46" s="17">
        <v>2423</v>
      </c>
      <c r="T46" s="17">
        <v>5835</v>
      </c>
      <c r="U46" s="19">
        <v>68256</v>
      </c>
      <c r="V46" s="22">
        <v>58.689491271972656</v>
      </c>
      <c r="W46" s="15">
        <v>78</v>
      </c>
      <c r="X46" s="9">
        <f t="shared" si="20"/>
        <v>31.502804961287897</v>
      </c>
      <c r="Y46" s="9">
        <f t="shared" si="21"/>
        <v>4.6157955987235022</v>
      </c>
      <c r="Z46" s="9">
        <f t="shared" si="22"/>
        <v>19.350781287794497</v>
      </c>
      <c r="AA46" s="9">
        <f t="shared" si="23"/>
        <v>0</v>
      </c>
      <c r="AB46" s="9">
        <f t="shared" si="24"/>
        <v>0</v>
      </c>
      <c r="AC46" s="52" t="s">
        <v>36368</v>
      </c>
      <c r="AD46" s="52" t="s">
        <v>36368</v>
      </c>
      <c r="AE46" s="1">
        <v>1655</v>
      </c>
      <c r="AF46" s="1">
        <v>1381</v>
      </c>
      <c r="AG46" s="1">
        <v>1383</v>
      </c>
      <c r="AH46" s="1">
        <v>1276</v>
      </c>
      <c r="AI46" s="1">
        <v>1365</v>
      </c>
      <c r="AJ46" s="1">
        <v>1233</v>
      </c>
      <c r="AK46" s="55">
        <f t="shared" si="25"/>
        <v>1382.1666666666667</v>
      </c>
      <c r="AL46" s="55">
        <f t="shared" si="26"/>
        <v>5.5823239646145417</v>
      </c>
      <c r="AM46" s="1">
        <v>8239</v>
      </c>
      <c r="AN46" s="1">
        <v>7334</v>
      </c>
      <c r="AO46" s="1">
        <v>7670</v>
      </c>
      <c r="AP46" s="1">
        <v>7732</v>
      </c>
      <c r="AQ46" s="1">
        <v>6071</v>
      </c>
      <c r="AR46" s="1">
        <v>2972</v>
      </c>
      <c r="AS46" s="2">
        <f t="shared" si="12"/>
        <v>6355.8</v>
      </c>
      <c r="AT46" s="57">
        <f t="shared" si="29"/>
        <v>12.586928474778942</v>
      </c>
    </row>
    <row r="47" spans="1:46" ht="16" x14ac:dyDescent="0.2">
      <c r="A47" s="13" t="s">
        <v>18663</v>
      </c>
      <c r="B47" s="13" t="s">
        <v>19232</v>
      </c>
      <c r="C47" s="14" t="s">
        <v>405</v>
      </c>
      <c r="D47" s="1">
        <v>17</v>
      </c>
      <c r="H47" s="93">
        <v>1</v>
      </c>
      <c r="I47" s="1">
        <v>7</v>
      </c>
      <c r="J47" s="93">
        <v>3</v>
      </c>
      <c r="K47" s="14">
        <f t="shared" si="18"/>
        <v>28</v>
      </c>
      <c r="L47" s="16">
        <v>459787</v>
      </c>
      <c r="M47" s="17">
        <v>135916</v>
      </c>
      <c r="N47" s="17">
        <v>252257</v>
      </c>
      <c r="O47" s="17">
        <v>1823</v>
      </c>
      <c r="P47" s="17">
        <v>11275</v>
      </c>
      <c r="Q47" s="18">
        <v>787</v>
      </c>
      <c r="R47" s="18">
        <f t="shared" si="19"/>
        <v>12062</v>
      </c>
      <c r="S47" s="18">
        <v>709</v>
      </c>
      <c r="T47" s="17">
        <v>11067</v>
      </c>
      <c r="U47" s="19">
        <v>45953</v>
      </c>
      <c r="V47" s="22">
        <v>62.232200622558594</v>
      </c>
      <c r="W47" s="15">
        <v>14</v>
      </c>
      <c r="X47" s="9">
        <f t="shared" si="20"/>
        <v>3.0448881764817184</v>
      </c>
      <c r="Y47" s="9">
        <f t="shared" si="21"/>
        <v>8.6996805042334824</v>
      </c>
      <c r="Z47" s="9">
        <f t="shared" si="22"/>
        <v>17.86817908540149</v>
      </c>
      <c r="AA47" s="9">
        <f t="shared" si="23"/>
        <v>3.9642111021696129</v>
      </c>
      <c r="AB47" s="9">
        <f t="shared" si="24"/>
        <v>0</v>
      </c>
      <c r="AC47" s="52">
        <f t="shared" ref="AC47:AC59" si="30">Z47/AA47</f>
        <v>4.5073732515461238</v>
      </c>
      <c r="AD47" s="52">
        <f t="shared" ref="AD47:AD59" si="31">AB47/AA47</f>
        <v>0</v>
      </c>
      <c r="AE47" s="1">
        <v>5864</v>
      </c>
      <c r="AF47" s="1">
        <v>5862</v>
      </c>
      <c r="AG47" s="1">
        <v>6709</v>
      </c>
      <c r="AH47" s="1">
        <v>7915</v>
      </c>
      <c r="AI47" s="1">
        <v>8362</v>
      </c>
      <c r="AJ47" s="1">
        <v>7842</v>
      </c>
      <c r="AK47" s="55">
        <f t="shared" si="25"/>
        <v>7092.333333333333</v>
      </c>
      <c r="AL47" s="55">
        <f t="shared" si="26"/>
        <v>15.425258507381317</v>
      </c>
      <c r="AM47" s="1">
        <v>11828</v>
      </c>
      <c r="AN47" s="1">
        <v>12336</v>
      </c>
      <c r="AO47" s="1">
        <v>10886</v>
      </c>
      <c r="AP47" s="1">
        <v>10629</v>
      </c>
      <c r="AQ47" s="1">
        <v>10710</v>
      </c>
      <c r="AR47" s="1">
        <v>10796</v>
      </c>
      <c r="AS47" s="2">
        <f t="shared" si="12"/>
        <v>11071.4</v>
      </c>
      <c r="AT47" s="57">
        <f t="shared" si="29"/>
        <v>25.290387846162183</v>
      </c>
    </row>
    <row r="48" spans="1:46" ht="16" x14ac:dyDescent="0.2">
      <c r="A48" s="13" t="s">
        <v>18666</v>
      </c>
      <c r="B48" s="13" t="s">
        <v>3942</v>
      </c>
      <c r="C48" s="14" t="s">
        <v>3945</v>
      </c>
      <c r="E48" s="1">
        <v>7</v>
      </c>
      <c r="I48" s="1">
        <v>1</v>
      </c>
      <c r="K48" s="14">
        <f t="shared" si="18"/>
        <v>8</v>
      </c>
      <c r="L48" s="16">
        <v>236091</v>
      </c>
      <c r="M48" s="18">
        <v>478</v>
      </c>
      <c r="N48" s="17">
        <v>8086</v>
      </c>
      <c r="O48" s="18">
        <v>87</v>
      </c>
      <c r="P48" s="17">
        <v>1313</v>
      </c>
      <c r="Q48" s="18">
        <v>11</v>
      </c>
      <c r="R48" s="18">
        <f t="shared" si="19"/>
        <v>1324</v>
      </c>
      <c r="S48" s="18">
        <v>121</v>
      </c>
      <c r="T48" s="18">
        <v>245</v>
      </c>
      <c r="U48" s="19">
        <v>225750</v>
      </c>
      <c r="V48" s="22">
        <v>29.016326904296875</v>
      </c>
      <c r="W48" s="15">
        <v>122</v>
      </c>
      <c r="X48" s="9">
        <f t="shared" si="20"/>
        <v>51.674989728536879</v>
      </c>
      <c r="Y48" s="9">
        <f t="shared" si="21"/>
        <v>4.8407484523219555</v>
      </c>
      <c r="Z48" s="9">
        <f t="shared" si="22"/>
        <v>0</v>
      </c>
      <c r="AA48" s="9">
        <f t="shared" si="23"/>
        <v>17.667220239567509</v>
      </c>
      <c r="AB48" s="9">
        <f t="shared" si="24"/>
        <v>4.4296788482834994</v>
      </c>
      <c r="AC48" s="52">
        <f t="shared" si="30"/>
        <v>0</v>
      </c>
      <c r="AD48" s="52">
        <f t="shared" si="31"/>
        <v>0.25072868217054262</v>
      </c>
      <c r="AE48" s="1">
        <v>1027</v>
      </c>
      <c r="AF48" s="1">
        <v>976</v>
      </c>
      <c r="AG48" s="1">
        <v>972</v>
      </c>
      <c r="AH48" s="1">
        <v>940</v>
      </c>
      <c r="AI48" s="1">
        <v>839</v>
      </c>
      <c r="AJ48" s="1">
        <v>890</v>
      </c>
      <c r="AK48" s="55">
        <f t="shared" si="25"/>
        <v>940.66666666666663</v>
      </c>
      <c r="AL48" s="55">
        <f t="shared" si="26"/>
        <v>3.9843393719653299</v>
      </c>
      <c r="AM48" s="1">
        <v>8202</v>
      </c>
      <c r="AN48" s="1">
        <v>8125</v>
      </c>
      <c r="AO48" s="1">
        <v>8196</v>
      </c>
      <c r="AP48" s="1">
        <v>6945</v>
      </c>
      <c r="AQ48" s="1">
        <v>4564</v>
      </c>
      <c r="AR48" s="1">
        <v>5991</v>
      </c>
      <c r="AS48" s="2">
        <f t="shared" si="12"/>
        <v>6764.2</v>
      </c>
      <c r="AT48" s="57">
        <f t="shared" si="29"/>
        <v>11.82697140829662</v>
      </c>
    </row>
    <row r="49" spans="1:46" ht="16" x14ac:dyDescent="0.2">
      <c r="A49" s="13" t="s">
        <v>18672</v>
      </c>
      <c r="B49" s="13" t="s">
        <v>607</v>
      </c>
      <c r="C49" s="14" t="s">
        <v>528</v>
      </c>
      <c r="D49" s="1">
        <v>12</v>
      </c>
      <c r="E49" s="1">
        <v>14</v>
      </c>
      <c r="F49" s="93">
        <v>1</v>
      </c>
      <c r="G49" s="93">
        <v>1</v>
      </c>
      <c r="I49" s="1">
        <v>27</v>
      </c>
      <c r="J49" s="93">
        <v>4</v>
      </c>
      <c r="K49" s="14">
        <f t="shared" si="18"/>
        <v>59</v>
      </c>
      <c r="L49" s="16">
        <v>2027868</v>
      </c>
      <c r="M49" s="17">
        <v>62008</v>
      </c>
      <c r="N49" s="17">
        <v>279703</v>
      </c>
      <c r="O49" s="17">
        <v>2391</v>
      </c>
      <c r="P49" s="17">
        <v>34606</v>
      </c>
      <c r="Q49" s="17">
        <v>3103</v>
      </c>
      <c r="R49" s="18">
        <f t="shared" si="19"/>
        <v>37709</v>
      </c>
      <c r="S49" s="17">
        <v>1101</v>
      </c>
      <c r="T49" s="17">
        <v>16985</v>
      </c>
      <c r="U49" s="19">
        <v>183859</v>
      </c>
      <c r="V49" s="22">
        <v>32.4434814453125</v>
      </c>
      <c r="W49" s="15">
        <v>20</v>
      </c>
      <c r="X49" s="9">
        <f t="shared" si="20"/>
        <v>0.98625748815997893</v>
      </c>
      <c r="Y49" s="9">
        <f t="shared" si="21"/>
        <v>4.1563708429599115</v>
      </c>
      <c r="Z49" s="9">
        <f t="shared" si="22"/>
        <v>27.646202333339478</v>
      </c>
      <c r="AA49" s="9">
        <f t="shared" si="23"/>
        <v>13.790137600035958</v>
      </c>
      <c r="AB49" s="9">
        <f t="shared" si="24"/>
        <v>10.877901000222998</v>
      </c>
      <c r="AC49" s="52">
        <f t="shared" si="30"/>
        <v>2.004780745136828</v>
      </c>
      <c r="AD49" s="52">
        <f t="shared" si="31"/>
        <v>0.7888174371947263</v>
      </c>
      <c r="AE49" s="1">
        <v>11374</v>
      </c>
      <c r="AF49" s="1">
        <v>12876</v>
      </c>
      <c r="AG49" s="1">
        <v>14383</v>
      </c>
      <c r="AH49" s="1">
        <v>13520</v>
      </c>
      <c r="AI49" s="1">
        <v>10071</v>
      </c>
      <c r="AJ49" s="1">
        <v>9949</v>
      </c>
      <c r="AK49" s="55">
        <f t="shared" si="25"/>
        <v>12028.833333333334</v>
      </c>
      <c r="AL49" s="55">
        <f t="shared" si="26"/>
        <v>5.9317634744141792</v>
      </c>
      <c r="AM49" s="1">
        <v>78230</v>
      </c>
      <c r="AN49" s="1">
        <v>70950</v>
      </c>
      <c r="AO49" s="1">
        <v>65575</v>
      </c>
      <c r="AP49" s="1">
        <v>67664</v>
      </c>
      <c r="AQ49" s="1">
        <v>68602</v>
      </c>
      <c r="AR49" s="1">
        <v>75653</v>
      </c>
      <c r="AS49" s="2">
        <f t="shared" si="12"/>
        <v>69688.800000000003</v>
      </c>
      <c r="AT49" s="57">
        <f t="shared" si="29"/>
        <v>8.466209778328798</v>
      </c>
    </row>
    <row r="50" spans="1:46" ht="16" x14ac:dyDescent="0.2">
      <c r="A50" s="13" t="s">
        <v>18677</v>
      </c>
      <c r="B50" s="13" t="s">
        <v>947</v>
      </c>
      <c r="C50" s="14" t="s">
        <v>14279</v>
      </c>
      <c r="D50" s="1">
        <v>1</v>
      </c>
      <c r="I50" s="1">
        <v>2</v>
      </c>
      <c r="K50" s="14">
        <f t="shared" si="18"/>
        <v>3</v>
      </c>
      <c r="L50" s="16">
        <v>295803</v>
      </c>
      <c r="M50" s="17">
        <v>42336</v>
      </c>
      <c r="N50" s="17">
        <v>216072</v>
      </c>
      <c r="O50" s="18">
        <v>599</v>
      </c>
      <c r="P50" s="17">
        <v>9506</v>
      </c>
      <c r="Q50" s="18">
        <v>107</v>
      </c>
      <c r="R50" s="18">
        <f t="shared" si="19"/>
        <v>9613</v>
      </c>
      <c r="S50" s="18">
        <v>546</v>
      </c>
      <c r="T50" s="17">
        <v>6163</v>
      </c>
      <c r="U50" s="19">
        <v>20474</v>
      </c>
      <c r="V50" s="22">
        <v>40.926422119140625</v>
      </c>
      <c r="W50" s="15">
        <v>7</v>
      </c>
      <c r="X50" s="9">
        <f t="shared" si="20"/>
        <v>2.3664398265061544</v>
      </c>
      <c r="Y50" s="9">
        <f t="shared" si="21"/>
        <v>1.4488407101058089</v>
      </c>
      <c r="Z50" s="9">
        <f t="shared" si="22"/>
        <v>3.3743656192635787</v>
      </c>
      <c r="AA50" s="9">
        <f t="shared" si="23"/>
        <v>1.3223105525671337</v>
      </c>
      <c r="AB50" s="9">
        <f t="shared" si="24"/>
        <v>0</v>
      </c>
      <c r="AC50" s="52">
        <f t="shared" si="30"/>
        <v>2.5518707482993199</v>
      </c>
      <c r="AD50" s="52">
        <f t="shared" si="31"/>
        <v>0</v>
      </c>
      <c r="AE50" s="1">
        <v>946</v>
      </c>
      <c r="AF50" s="1">
        <v>1041</v>
      </c>
      <c r="AG50" s="1">
        <v>1044</v>
      </c>
      <c r="AH50" s="1">
        <v>1079</v>
      </c>
      <c r="AI50" s="1">
        <v>1131</v>
      </c>
      <c r="AJ50" s="1">
        <v>982</v>
      </c>
      <c r="AK50" s="55">
        <f t="shared" si="25"/>
        <v>1037.1666666666667</v>
      </c>
      <c r="AL50" s="55">
        <f t="shared" si="26"/>
        <v>3.5062750096066191</v>
      </c>
      <c r="AM50" s="1">
        <v>9189</v>
      </c>
      <c r="AN50" s="1">
        <v>8202</v>
      </c>
      <c r="AO50" s="1">
        <v>13310</v>
      </c>
      <c r="AP50" s="1">
        <v>13034</v>
      </c>
      <c r="AQ50" s="1">
        <v>17257</v>
      </c>
      <c r="AR50" s="1">
        <v>19232</v>
      </c>
      <c r="AS50" s="2">
        <f t="shared" si="12"/>
        <v>14207</v>
      </c>
      <c r="AT50" s="57">
        <f t="shared" si="29"/>
        <v>2.1116351094530867</v>
      </c>
    </row>
    <row r="51" spans="1:46" ht="16" x14ac:dyDescent="0.2">
      <c r="A51" s="13" t="s">
        <v>18668</v>
      </c>
      <c r="B51" s="13" t="s">
        <v>2159</v>
      </c>
      <c r="C51" s="14" t="s">
        <v>9343</v>
      </c>
      <c r="D51" s="1">
        <v>2</v>
      </c>
      <c r="I51" s="1">
        <v>1</v>
      </c>
      <c r="K51" s="14">
        <f t="shared" si="18"/>
        <v>3</v>
      </c>
      <c r="L51" s="16">
        <v>258379</v>
      </c>
      <c r="M51" s="17">
        <v>9541</v>
      </c>
      <c r="N51" s="17">
        <v>214739</v>
      </c>
      <c r="O51" s="17">
        <v>1611</v>
      </c>
      <c r="P51" s="17">
        <v>9711</v>
      </c>
      <c r="Q51" s="18">
        <v>128</v>
      </c>
      <c r="R51" s="18">
        <f t="shared" si="19"/>
        <v>9839</v>
      </c>
      <c r="S51" s="18">
        <v>353</v>
      </c>
      <c r="T51" s="17">
        <v>6114</v>
      </c>
      <c r="U51" s="19">
        <v>16182</v>
      </c>
      <c r="V51" s="22">
        <v>32.158992767333984</v>
      </c>
      <c r="W51" s="15">
        <v>23</v>
      </c>
      <c r="X51" s="9">
        <f t="shared" si="20"/>
        <v>8.9016522240584557</v>
      </c>
      <c r="Y51" s="9">
        <f t="shared" si="21"/>
        <v>1.6586929610046814</v>
      </c>
      <c r="Z51" s="9">
        <f t="shared" si="22"/>
        <v>29.945947564645817</v>
      </c>
      <c r="AA51" s="9">
        <f t="shared" si="23"/>
        <v>0.66525942123760884</v>
      </c>
      <c r="AB51" s="9">
        <f t="shared" si="24"/>
        <v>0</v>
      </c>
      <c r="AC51" s="52">
        <f t="shared" si="30"/>
        <v>45.013939838591341</v>
      </c>
      <c r="AD51" s="52">
        <f t="shared" si="31"/>
        <v>0</v>
      </c>
      <c r="AE51" s="1">
        <v>990</v>
      </c>
      <c r="AF51" s="1">
        <v>918</v>
      </c>
      <c r="AG51" s="1">
        <v>1025</v>
      </c>
      <c r="AH51" s="1">
        <v>1006</v>
      </c>
      <c r="AJ51" s="1">
        <v>1045</v>
      </c>
      <c r="AK51" s="55">
        <f t="shared" si="25"/>
        <v>996.8</v>
      </c>
      <c r="AL51" s="55">
        <f t="shared" si="26"/>
        <v>3.8578986682354213</v>
      </c>
      <c r="AM51" s="1">
        <v>13366</v>
      </c>
      <c r="AN51" s="1">
        <v>14839</v>
      </c>
      <c r="AO51" s="1">
        <v>13518</v>
      </c>
      <c r="AP51" s="1">
        <v>13053</v>
      </c>
      <c r="AQ51" s="1"/>
      <c r="AR51" s="1">
        <v>12874</v>
      </c>
      <c r="AS51" s="2">
        <f t="shared" si="12"/>
        <v>13571</v>
      </c>
      <c r="AT51" s="57">
        <f t="shared" si="29"/>
        <v>2.2105961240881289</v>
      </c>
    </row>
    <row r="52" spans="1:46" ht="16" x14ac:dyDescent="0.2">
      <c r="A52" s="13" t="s">
        <v>18661</v>
      </c>
      <c r="B52" s="13" t="s">
        <v>451</v>
      </c>
      <c r="C52" s="14" t="s">
        <v>452</v>
      </c>
      <c r="D52" s="1">
        <v>7</v>
      </c>
      <c r="E52" s="1">
        <v>8</v>
      </c>
      <c r="G52" s="93">
        <v>4</v>
      </c>
      <c r="I52" s="1">
        <v>5</v>
      </c>
      <c r="K52" s="14">
        <f t="shared" si="18"/>
        <v>24</v>
      </c>
      <c r="L52" s="16">
        <v>462257</v>
      </c>
      <c r="M52" s="17">
        <v>59925</v>
      </c>
      <c r="N52" s="17">
        <v>135698</v>
      </c>
      <c r="O52" s="17">
        <v>1349</v>
      </c>
      <c r="P52" s="17">
        <v>58268</v>
      </c>
      <c r="Q52" s="17">
        <v>4915</v>
      </c>
      <c r="R52" s="18">
        <f t="shared" si="19"/>
        <v>63183</v>
      </c>
      <c r="S52" s="17">
        <v>1118</v>
      </c>
      <c r="T52" s="17">
        <v>12572</v>
      </c>
      <c r="U52" s="19">
        <v>188412</v>
      </c>
      <c r="V52" s="22">
        <v>57.354034423828125</v>
      </c>
      <c r="W52" s="15">
        <v>260</v>
      </c>
      <c r="X52" s="9">
        <f t="shared" si="20"/>
        <v>56.245768046779176</v>
      </c>
      <c r="Y52" s="9">
        <f t="shared" si="21"/>
        <v>7.4170243578170352</v>
      </c>
      <c r="Z52" s="9">
        <f t="shared" si="22"/>
        <v>16.687526074259495</v>
      </c>
      <c r="AA52" s="9">
        <f t="shared" si="23"/>
        <v>5.2637895494827811</v>
      </c>
      <c r="AB52" s="9">
        <f t="shared" si="24"/>
        <v>6.0657343632950287</v>
      </c>
      <c r="AC52" s="52">
        <f t="shared" si="30"/>
        <v>3.1702494785148101</v>
      </c>
      <c r="AD52" s="52">
        <f t="shared" si="31"/>
        <v>1.152351230282572</v>
      </c>
      <c r="AE52" s="1">
        <v>2346</v>
      </c>
      <c r="AF52" s="1">
        <v>2304</v>
      </c>
      <c r="AG52" s="1">
        <v>2766</v>
      </c>
      <c r="AH52" s="1">
        <v>2846</v>
      </c>
      <c r="AI52" s="1">
        <v>3101</v>
      </c>
      <c r="AJ52" s="1">
        <v>3284</v>
      </c>
      <c r="AK52" s="55">
        <f t="shared" si="25"/>
        <v>2774.5</v>
      </c>
      <c r="AL52" s="55">
        <f t="shared" si="26"/>
        <v>6.002072440222646</v>
      </c>
      <c r="AM52" s="1">
        <v>18346</v>
      </c>
      <c r="AN52" s="1">
        <v>19109</v>
      </c>
      <c r="AO52" s="1">
        <v>15411</v>
      </c>
      <c r="AP52" s="1">
        <v>14726</v>
      </c>
      <c r="AQ52" s="1">
        <v>12145</v>
      </c>
      <c r="AR52" s="1">
        <v>13362</v>
      </c>
      <c r="AS52" s="2">
        <f t="shared" si="12"/>
        <v>14950.6</v>
      </c>
      <c r="AT52" s="57">
        <f t="shared" si="29"/>
        <v>16.052867443447084</v>
      </c>
    </row>
    <row r="53" spans="1:46" ht="16" x14ac:dyDescent="0.2">
      <c r="A53" s="13" t="s">
        <v>18661</v>
      </c>
      <c r="B53" s="13" t="s">
        <v>92</v>
      </c>
      <c r="C53" s="14" t="s">
        <v>93</v>
      </c>
      <c r="D53" s="1">
        <v>27</v>
      </c>
      <c r="E53" s="1">
        <v>71</v>
      </c>
      <c r="G53" s="93">
        <v>2</v>
      </c>
      <c r="I53" s="1">
        <v>20</v>
      </c>
      <c r="J53" s="93">
        <v>4</v>
      </c>
      <c r="K53" s="14">
        <f t="shared" si="18"/>
        <v>124</v>
      </c>
      <c r="L53" s="16">
        <v>3792621</v>
      </c>
      <c r="M53" s="17">
        <v>347380</v>
      </c>
      <c r="N53" s="17">
        <v>1086908</v>
      </c>
      <c r="O53" s="17">
        <v>6589</v>
      </c>
      <c r="P53" s="17">
        <v>420212</v>
      </c>
      <c r="Q53" s="17">
        <v>4300</v>
      </c>
      <c r="R53" s="18">
        <f t="shared" si="19"/>
        <v>424512</v>
      </c>
      <c r="S53" s="17">
        <v>12057</v>
      </c>
      <c r="T53" s="17">
        <v>76353</v>
      </c>
      <c r="U53" s="19">
        <v>1838822</v>
      </c>
      <c r="V53" s="22">
        <v>66.91314697265625</v>
      </c>
      <c r="W53" s="15">
        <v>56</v>
      </c>
      <c r="X53" s="9">
        <f t="shared" si="20"/>
        <v>1.4765514402836455</v>
      </c>
      <c r="Y53" s="9">
        <f t="shared" si="21"/>
        <v>4.670723943754389</v>
      </c>
      <c r="Z53" s="9">
        <f t="shared" si="22"/>
        <v>11.103525986363225</v>
      </c>
      <c r="AA53" s="9">
        <f t="shared" si="23"/>
        <v>2.6286887732382662</v>
      </c>
      <c r="AB53" s="9">
        <f t="shared" si="24"/>
        <v>5.5159537697814933</v>
      </c>
      <c r="AC53" s="52">
        <f t="shared" si="30"/>
        <v>4.2239789279751276</v>
      </c>
      <c r="AD53" s="52">
        <f t="shared" si="31"/>
        <v>2.0983669980019819</v>
      </c>
      <c r="AE53" s="1">
        <v>16524</v>
      </c>
      <c r="AF53" s="1">
        <v>19171</v>
      </c>
      <c r="AG53" s="1">
        <v>25156</v>
      </c>
      <c r="AH53" s="1">
        <v>28817</v>
      </c>
      <c r="AI53" s="1">
        <v>30507</v>
      </c>
      <c r="AJ53" s="1">
        <v>30126</v>
      </c>
      <c r="AK53" s="55">
        <f t="shared" si="25"/>
        <v>25050.166666666668</v>
      </c>
      <c r="AL53" s="55">
        <f t="shared" si="26"/>
        <v>6.6049749412521495</v>
      </c>
      <c r="AM53" s="1">
        <v>90436</v>
      </c>
      <c r="AN53" s="1">
        <v>83187</v>
      </c>
      <c r="AO53" s="1">
        <v>71732</v>
      </c>
      <c r="AP53" s="1">
        <v>68768</v>
      </c>
      <c r="AQ53" s="1">
        <v>64440</v>
      </c>
      <c r="AR53" s="1">
        <v>58688</v>
      </c>
      <c r="AS53" s="2">
        <f t="shared" si="12"/>
        <v>69363</v>
      </c>
      <c r="AT53" s="57">
        <f t="shared" si="29"/>
        <v>17.87696610584894</v>
      </c>
    </row>
    <row r="54" spans="1:46" ht="16" x14ac:dyDescent="0.2">
      <c r="A54" s="13" t="s">
        <v>18677</v>
      </c>
      <c r="B54" s="13" t="s">
        <v>834</v>
      </c>
      <c r="C54" s="14" t="s">
        <v>835</v>
      </c>
      <c r="D54" s="1">
        <v>12</v>
      </c>
      <c r="G54" s="93">
        <v>1</v>
      </c>
      <c r="I54" s="1">
        <v>7</v>
      </c>
      <c r="J54" s="93">
        <v>2</v>
      </c>
      <c r="K54" s="14">
        <f t="shared" si="18"/>
        <v>22</v>
      </c>
      <c r="L54" s="16">
        <v>597337</v>
      </c>
      <c r="M54" s="17">
        <v>135138</v>
      </c>
      <c r="N54" s="17">
        <v>408157</v>
      </c>
      <c r="O54" s="17">
        <v>1289</v>
      </c>
      <c r="P54" s="17">
        <v>12764</v>
      </c>
      <c r="Q54" s="18">
        <v>347</v>
      </c>
      <c r="R54" s="18">
        <f t="shared" si="19"/>
        <v>13111</v>
      </c>
      <c r="S54" s="17">
        <v>1018</v>
      </c>
      <c r="T54" s="17">
        <v>11834</v>
      </c>
      <c r="U54" s="19">
        <v>26790</v>
      </c>
      <c r="V54" s="22">
        <v>55.443042755126953</v>
      </c>
      <c r="W54" s="15">
        <v>12</v>
      </c>
      <c r="X54" s="9">
        <f t="shared" si="20"/>
        <v>2.0089162399114739</v>
      </c>
      <c r="Y54" s="9">
        <f t="shared" si="21"/>
        <v>5.2614472950062412</v>
      </c>
      <c r="Z54" s="9">
        <f t="shared" si="22"/>
        <v>12.685445354272776</v>
      </c>
      <c r="AA54" s="9">
        <f t="shared" si="23"/>
        <v>2.4500376080772841</v>
      </c>
      <c r="AB54" s="9">
        <f t="shared" si="24"/>
        <v>0</v>
      </c>
      <c r="AC54" s="52">
        <f t="shared" si="30"/>
        <v>5.1776533194639134</v>
      </c>
      <c r="AD54" s="52">
        <f t="shared" si="31"/>
        <v>0</v>
      </c>
      <c r="AE54" s="1">
        <v>3644</v>
      </c>
      <c r="AF54" s="1">
        <v>4015</v>
      </c>
      <c r="AG54" s="1">
        <v>4315</v>
      </c>
      <c r="AH54" s="1">
        <v>4638</v>
      </c>
      <c r="AI54" s="1">
        <v>4596</v>
      </c>
      <c r="AJ54" s="1">
        <v>4232</v>
      </c>
      <c r="AK54" s="55">
        <f t="shared" si="25"/>
        <v>4240</v>
      </c>
      <c r="AL54" s="55">
        <f t="shared" si="26"/>
        <v>7.0981707143538735</v>
      </c>
      <c r="AM54" s="1">
        <v>31716</v>
      </c>
      <c r="AN54" s="1">
        <v>34606</v>
      </c>
      <c r="AO54" s="1">
        <v>41338</v>
      </c>
      <c r="AP54" s="1">
        <v>40838</v>
      </c>
      <c r="AQ54" s="1">
        <v>42199</v>
      </c>
      <c r="AR54" s="1">
        <v>41453</v>
      </c>
      <c r="AS54" s="2">
        <f t="shared" si="12"/>
        <v>40086.800000000003</v>
      </c>
      <c r="AT54" s="57">
        <f t="shared" si="29"/>
        <v>5.48809084287097</v>
      </c>
    </row>
    <row r="55" spans="1:46" ht="16" x14ac:dyDescent="0.2">
      <c r="A55" s="13" t="s">
        <v>18666</v>
      </c>
      <c r="B55" s="13" t="s">
        <v>6078</v>
      </c>
      <c r="C55" s="14" t="s">
        <v>6971</v>
      </c>
      <c r="E55" s="1">
        <v>3</v>
      </c>
      <c r="K55" s="14">
        <f t="shared" si="18"/>
        <v>3</v>
      </c>
      <c r="L55" s="16">
        <v>229573</v>
      </c>
      <c r="M55" s="17">
        <v>18744</v>
      </c>
      <c r="N55" s="17">
        <v>127915</v>
      </c>
      <c r="O55" s="18">
        <v>845</v>
      </c>
      <c r="P55" s="17">
        <v>5471</v>
      </c>
      <c r="Q55" s="18">
        <v>147</v>
      </c>
      <c r="R55" s="18">
        <f t="shared" si="19"/>
        <v>5618</v>
      </c>
      <c r="S55" s="18">
        <v>241</v>
      </c>
      <c r="T55" s="17">
        <v>2585</v>
      </c>
      <c r="U55" s="19">
        <v>73625</v>
      </c>
      <c r="V55" s="22">
        <v>47.234573364257812</v>
      </c>
      <c r="W55" s="15">
        <v>7</v>
      </c>
      <c r="X55" s="9">
        <f t="shared" si="20"/>
        <v>3.0491390538085925</v>
      </c>
      <c r="Y55" s="9">
        <f t="shared" si="21"/>
        <v>1.8668198288624038</v>
      </c>
      <c r="Z55" s="9">
        <f t="shared" si="22"/>
        <v>0</v>
      </c>
      <c r="AA55" s="9">
        <f t="shared" si="23"/>
        <v>0</v>
      </c>
      <c r="AB55" s="9">
        <f t="shared" si="24"/>
        <v>5.8210041232112548</v>
      </c>
      <c r="AC55" s="52" t="e">
        <f t="shared" si="30"/>
        <v>#DIV/0!</v>
      </c>
      <c r="AD55" s="52" t="e">
        <f t="shared" si="31"/>
        <v>#DIV/0!</v>
      </c>
      <c r="AE55" s="1">
        <v>1829</v>
      </c>
      <c r="AF55" s="1">
        <v>2084</v>
      </c>
      <c r="AG55" s="1">
        <v>2391</v>
      </c>
      <c r="AH55" s="1">
        <v>2741</v>
      </c>
      <c r="AJ55" s="1">
        <v>2565</v>
      </c>
      <c r="AK55" s="55">
        <f t="shared" si="25"/>
        <v>2322</v>
      </c>
      <c r="AL55" s="55">
        <f t="shared" si="26"/>
        <v>10.114429832776501</v>
      </c>
      <c r="AM55" s="1">
        <v>8861</v>
      </c>
      <c r="AN55" s="1">
        <v>7695</v>
      </c>
      <c r="AO55" s="1">
        <v>8092</v>
      </c>
      <c r="AP55" s="1">
        <v>7679</v>
      </c>
      <c r="AQ55" s="1">
        <v>7129</v>
      </c>
      <c r="AR55" s="1">
        <v>7496</v>
      </c>
      <c r="AS55" s="2">
        <f t="shared" si="12"/>
        <v>7618.2</v>
      </c>
      <c r="AT55" s="57">
        <f t="shared" si="29"/>
        <v>3.9379380956131369</v>
      </c>
    </row>
    <row r="56" spans="1:46" ht="16" x14ac:dyDescent="0.2">
      <c r="A56" s="13" t="s">
        <v>18682</v>
      </c>
      <c r="B56" s="13" t="s">
        <v>2014</v>
      </c>
      <c r="C56" s="14" t="s">
        <v>3519</v>
      </c>
      <c r="D56" s="1">
        <v>3</v>
      </c>
      <c r="I56" s="1">
        <v>5</v>
      </c>
      <c r="K56" s="14">
        <f t="shared" si="18"/>
        <v>8</v>
      </c>
      <c r="L56" s="16">
        <v>233209</v>
      </c>
      <c r="M56" s="17">
        <v>16507</v>
      </c>
      <c r="N56" s="17">
        <v>176463</v>
      </c>
      <c r="O56" s="18">
        <v>763</v>
      </c>
      <c r="P56" s="17">
        <v>17126</v>
      </c>
      <c r="Q56" s="18">
        <v>67</v>
      </c>
      <c r="R56" s="18">
        <f t="shared" si="19"/>
        <v>17193</v>
      </c>
      <c r="S56" s="18">
        <v>374</v>
      </c>
      <c r="T56" s="17">
        <v>5961</v>
      </c>
      <c r="U56" s="19">
        <v>15948</v>
      </c>
      <c r="V56" s="22">
        <v>36.639423370361328</v>
      </c>
      <c r="W56" s="15">
        <v>140</v>
      </c>
      <c r="X56" s="9">
        <f t="shared" si="20"/>
        <v>60.03198847385822</v>
      </c>
      <c r="Y56" s="9">
        <f t="shared" si="21"/>
        <v>4.900570487661895</v>
      </c>
      <c r="Z56" s="9">
        <f t="shared" si="22"/>
        <v>25.963011363144641</v>
      </c>
      <c r="AA56" s="9">
        <f t="shared" si="23"/>
        <v>4.0477931027224656</v>
      </c>
      <c r="AB56" s="9">
        <f t="shared" si="24"/>
        <v>0</v>
      </c>
      <c r="AC56" s="52">
        <f t="shared" si="30"/>
        <v>6.4141152238444281</v>
      </c>
      <c r="AD56" s="52">
        <f t="shared" si="31"/>
        <v>0</v>
      </c>
      <c r="AE56" s="1">
        <v>884</v>
      </c>
      <c r="AF56" s="1">
        <v>846</v>
      </c>
      <c r="AG56" s="1">
        <v>890</v>
      </c>
      <c r="AH56" s="1">
        <v>832</v>
      </c>
      <c r="AI56" s="1">
        <v>958</v>
      </c>
      <c r="AJ56" s="1">
        <v>1043</v>
      </c>
      <c r="AK56" s="55">
        <f t="shared" si="25"/>
        <v>908.83333333333337</v>
      </c>
      <c r="AL56" s="55">
        <f t="shared" si="26"/>
        <v>3.8970765850946294</v>
      </c>
      <c r="AM56" s="1">
        <v>9265</v>
      </c>
      <c r="AN56" s="1">
        <v>9363</v>
      </c>
      <c r="AO56" s="1">
        <v>9382</v>
      </c>
      <c r="AP56" s="1">
        <v>8324</v>
      </c>
      <c r="AQ56" s="1">
        <v>7925</v>
      </c>
      <c r="AR56" s="1">
        <v>8016</v>
      </c>
      <c r="AS56" s="2">
        <f t="shared" si="12"/>
        <v>8602</v>
      </c>
      <c r="AT56" s="57">
        <f t="shared" si="29"/>
        <v>9.3001627528481752</v>
      </c>
    </row>
    <row r="57" spans="1:46" ht="16" x14ac:dyDescent="0.2">
      <c r="A57" s="13" t="s">
        <v>18670</v>
      </c>
      <c r="B57" s="13" t="s">
        <v>1116</v>
      </c>
      <c r="C57" s="14" t="s">
        <v>1118</v>
      </c>
      <c r="D57" s="1">
        <v>15</v>
      </c>
      <c r="E57" s="1">
        <v>1</v>
      </c>
      <c r="I57" s="1">
        <v>4</v>
      </c>
      <c r="J57" s="93">
        <v>4</v>
      </c>
      <c r="K57" s="14">
        <f t="shared" si="18"/>
        <v>24</v>
      </c>
      <c r="L57" s="16">
        <v>646889</v>
      </c>
      <c r="M57" s="17">
        <v>408075</v>
      </c>
      <c r="N57" s="17">
        <v>177735</v>
      </c>
      <c r="O57" s="17">
        <v>1186</v>
      </c>
      <c r="P57" s="17">
        <v>10067</v>
      </c>
      <c r="Q57" s="18">
        <v>159</v>
      </c>
      <c r="R57" s="18">
        <f t="shared" si="19"/>
        <v>10226</v>
      </c>
      <c r="S57" s="18">
        <v>742</v>
      </c>
      <c r="T57" s="17">
        <v>6931</v>
      </c>
      <c r="U57" s="19">
        <v>41994</v>
      </c>
      <c r="V57" s="22">
        <v>67.858688354492188</v>
      </c>
      <c r="W57" s="15">
        <v>13</v>
      </c>
      <c r="X57" s="9">
        <f t="shared" si="20"/>
        <v>2.0096183425595426</v>
      </c>
      <c r="Y57" s="9">
        <f t="shared" si="21"/>
        <v>5.3000923320251676</v>
      </c>
      <c r="Z57" s="9">
        <f t="shared" si="22"/>
        <v>5.2511355580644317</v>
      </c>
      <c r="AA57" s="9">
        <f t="shared" si="23"/>
        <v>3.2150593379389059</v>
      </c>
      <c r="AB57" s="9">
        <f t="shared" si="24"/>
        <v>3.4018465222923004</v>
      </c>
      <c r="AC57" s="52">
        <f t="shared" si="30"/>
        <v>1.633293512222018</v>
      </c>
      <c r="AD57" s="52">
        <f t="shared" si="31"/>
        <v>1.0580975853693386</v>
      </c>
      <c r="AE57" s="1">
        <v>10894</v>
      </c>
      <c r="AF57" s="1">
        <v>11399</v>
      </c>
      <c r="AG57" s="1">
        <v>11449</v>
      </c>
      <c r="AH57" s="1">
        <v>11947</v>
      </c>
      <c r="AI57" s="1">
        <v>13077</v>
      </c>
      <c r="AJ57" s="1">
        <v>12674</v>
      </c>
      <c r="AK57" s="55">
        <f t="shared" si="25"/>
        <v>11906.666666666666</v>
      </c>
      <c r="AL57" s="55">
        <f t="shared" si="26"/>
        <v>18.406042870827402</v>
      </c>
      <c r="AM57" s="1">
        <v>47866</v>
      </c>
      <c r="AN57" s="1">
        <v>39655</v>
      </c>
      <c r="AO57" s="1">
        <v>34280</v>
      </c>
      <c r="AP57" s="1">
        <v>31793</v>
      </c>
      <c r="AQ57" s="1">
        <v>30103</v>
      </c>
      <c r="AR57" s="1">
        <v>31342</v>
      </c>
      <c r="AS57" s="2">
        <f t="shared" si="12"/>
        <v>33434.6</v>
      </c>
      <c r="AT57" s="57">
        <f t="shared" si="29"/>
        <v>7.1781926507270919</v>
      </c>
    </row>
    <row r="58" spans="1:46" ht="16" x14ac:dyDescent="0.2">
      <c r="A58" s="13" t="s">
        <v>18664</v>
      </c>
      <c r="B58" s="13" t="s">
        <v>1337</v>
      </c>
      <c r="C58" s="14" t="s">
        <v>1338</v>
      </c>
      <c r="E58" s="1">
        <v>7</v>
      </c>
      <c r="F58" s="93">
        <v>2</v>
      </c>
      <c r="I58" s="1">
        <v>14</v>
      </c>
      <c r="J58" s="93">
        <v>2</v>
      </c>
      <c r="K58" s="14">
        <f t="shared" si="18"/>
        <v>25</v>
      </c>
      <c r="L58" s="16">
        <v>439041</v>
      </c>
      <c r="M58" s="17">
        <v>14101</v>
      </c>
      <c r="N58" s="17">
        <v>282505</v>
      </c>
      <c r="O58" s="17">
        <v>8359</v>
      </c>
      <c r="P58" s="17">
        <v>8174</v>
      </c>
      <c r="Q58" s="17">
        <v>1532</v>
      </c>
      <c r="R58" s="18">
        <f t="shared" si="19"/>
        <v>9706</v>
      </c>
      <c r="S58" s="18">
        <v>555</v>
      </c>
      <c r="T58" s="17">
        <v>8062</v>
      </c>
      <c r="U58" s="19">
        <v>115753</v>
      </c>
      <c r="V58" s="22">
        <v>29.538684844970703</v>
      </c>
      <c r="W58" s="15">
        <v>81</v>
      </c>
      <c r="X58" s="9">
        <f t="shared" si="20"/>
        <v>18.449302001407613</v>
      </c>
      <c r="Y58" s="9">
        <f t="shared" si="21"/>
        <v>8.1346128754001832</v>
      </c>
      <c r="Z58" s="9">
        <f t="shared" si="22"/>
        <v>0</v>
      </c>
      <c r="AA58" s="9">
        <f t="shared" si="23"/>
        <v>7.0795207164474974</v>
      </c>
      <c r="AB58" s="9">
        <f t="shared" si="24"/>
        <v>8.6390849481222958</v>
      </c>
      <c r="AC58" s="52">
        <f t="shared" si="30"/>
        <v>0</v>
      </c>
      <c r="AD58" s="52">
        <f t="shared" si="31"/>
        <v>1.2202923466346445</v>
      </c>
      <c r="AE58" s="1">
        <v>1807</v>
      </c>
      <c r="AF58" s="1">
        <v>2119</v>
      </c>
      <c r="AG58" s="1">
        <v>1972</v>
      </c>
      <c r="AH58" s="1">
        <v>2051</v>
      </c>
      <c r="AI58" s="1">
        <v>2047</v>
      </c>
      <c r="AJ58" s="1">
        <v>1837</v>
      </c>
      <c r="AK58" s="55">
        <f t="shared" si="25"/>
        <v>1972.1666666666667</v>
      </c>
      <c r="AL58" s="55">
        <f t="shared" si="26"/>
        <v>4.4919874605484829</v>
      </c>
      <c r="AM58" s="1">
        <v>24509</v>
      </c>
      <c r="AN58" s="1">
        <v>24120</v>
      </c>
      <c r="AO58" s="1">
        <v>25723</v>
      </c>
      <c r="AP58" s="1">
        <v>22995</v>
      </c>
      <c r="AQ58" s="1">
        <v>24344</v>
      </c>
      <c r="AR58" s="1">
        <v>20800</v>
      </c>
      <c r="AS58" s="2">
        <f t="shared" si="12"/>
        <v>23596.400000000001</v>
      </c>
      <c r="AT58" s="57">
        <f t="shared" si="29"/>
        <v>10.594836500483124</v>
      </c>
    </row>
    <row r="59" spans="1:46" ht="16" x14ac:dyDescent="0.2">
      <c r="A59" s="13" t="s">
        <v>18670</v>
      </c>
      <c r="B59" s="13" t="s">
        <v>1888</v>
      </c>
      <c r="C59" s="14" t="s">
        <v>824</v>
      </c>
      <c r="D59" s="1">
        <v>6</v>
      </c>
      <c r="E59" s="1">
        <v>2</v>
      </c>
      <c r="I59" s="1">
        <v>3</v>
      </c>
      <c r="K59" s="14">
        <f t="shared" si="18"/>
        <v>11</v>
      </c>
      <c r="L59" s="16">
        <v>601222</v>
      </c>
      <c r="M59" s="17">
        <v>169272</v>
      </c>
      <c r="N59" s="17">
        <v>338782</v>
      </c>
      <c r="O59" s="17">
        <v>1418</v>
      </c>
      <c r="P59" s="17">
        <v>18497</v>
      </c>
      <c r="Q59" s="18">
        <v>275</v>
      </c>
      <c r="R59" s="18">
        <f t="shared" si="19"/>
        <v>18772</v>
      </c>
      <c r="S59" s="17">
        <v>1155</v>
      </c>
      <c r="T59" s="17">
        <v>11433</v>
      </c>
      <c r="U59" s="19">
        <v>60390</v>
      </c>
      <c r="V59" s="22">
        <v>49.157066345214844</v>
      </c>
      <c r="W59" s="15">
        <v>90</v>
      </c>
      <c r="X59" s="9">
        <f t="shared" si="20"/>
        <v>14.969512093702491</v>
      </c>
      <c r="Y59" s="9">
        <f t="shared" si="21"/>
        <v>2.6137243338210703</v>
      </c>
      <c r="Z59" s="9">
        <f t="shared" si="22"/>
        <v>5.0637013631484074</v>
      </c>
      <c r="AA59" s="9">
        <f t="shared" si="23"/>
        <v>1.2650360071415501</v>
      </c>
      <c r="AB59" s="9">
        <f t="shared" si="24"/>
        <v>4.731152272135879</v>
      </c>
      <c r="AC59" s="52">
        <f t="shared" si="30"/>
        <v>4.0028120421570019</v>
      </c>
      <c r="AD59" s="52">
        <f t="shared" si="31"/>
        <v>3.7399348678037203</v>
      </c>
      <c r="AE59" s="1">
        <v>6612</v>
      </c>
      <c r="AF59" s="1">
        <v>7270</v>
      </c>
      <c r="AG59" s="1">
        <v>7245</v>
      </c>
      <c r="AH59" s="1">
        <v>7371</v>
      </c>
      <c r="AI59" s="1">
        <v>7682</v>
      </c>
      <c r="AJ59" s="1">
        <v>7641</v>
      </c>
      <c r="AK59" s="55">
        <f t="shared" si="25"/>
        <v>7303.5</v>
      </c>
      <c r="AL59" s="55">
        <f t="shared" si="26"/>
        <v>12.147759064039573</v>
      </c>
      <c r="AM59" s="1">
        <v>51672</v>
      </c>
      <c r="AN59" s="1">
        <v>47378</v>
      </c>
      <c r="AO59" s="1">
        <v>45841</v>
      </c>
      <c r="AP59" s="1">
        <v>42771</v>
      </c>
      <c r="AQ59" s="1">
        <v>40511</v>
      </c>
      <c r="AR59" s="1">
        <v>35949</v>
      </c>
      <c r="AS59" s="2">
        <f t="shared" si="12"/>
        <v>42490</v>
      </c>
      <c r="AT59" s="57">
        <f t="shared" si="29"/>
        <v>2.5888444339844665</v>
      </c>
    </row>
    <row r="60" spans="1:46" ht="16" x14ac:dyDescent="0.2">
      <c r="A60" s="13" t="s">
        <v>18667</v>
      </c>
      <c r="B60" s="13" t="s">
        <v>196</v>
      </c>
      <c r="C60" s="14" t="s">
        <v>427</v>
      </c>
      <c r="D60" s="1">
        <v>3</v>
      </c>
      <c r="E60" s="1">
        <v>6</v>
      </c>
      <c r="J60" s="93">
        <v>2</v>
      </c>
      <c r="K60" s="14">
        <f t="shared" si="18"/>
        <v>11</v>
      </c>
      <c r="L60" s="16">
        <v>399457</v>
      </c>
      <c r="M60" s="17">
        <v>64993</v>
      </c>
      <c r="N60" s="17">
        <v>47622</v>
      </c>
      <c r="O60" s="18">
        <v>361</v>
      </c>
      <c r="P60" s="17">
        <v>3649</v>
      </c>
      <c r="Q60" s="18">
        <v>58</v>
      </c>
      <c r="R60" s="18">
        <f t="shared" si="19"/>
        <v>3707</v>
      </c>
      <c r="S60" s="18">
        <v>676</v>
      </c>
      <c r="T60" s="17">
        <v>2642</v>
      </c>
      <c r="U60" s="19">
        <v>279456</v>
      </c>
      <c r="V60" s="22">
        <v>75.532684326171875</v>
      </c>
      <c r="W60" s="15">
        <v>31</v>
      </c>
      <c r="X60" s="9">
        <f t="shared" si="20"/>
        <v>7.7605349261622649</v>
      </c>
      <c r="Y60" s="9">
        <f t="shared" si="21"/>
        <v>3.9339117137228077</v>
      </c>
      <c r="Z60" s="9">
        <f t="shared" si="22"/>
        <v>6.5941167290543383</v>
      </c>
      <c r="AA60" s="9">
        <f t="shared" si="23"/>
        <v>0</v>
      </c>
      <c r="AB60" s="9">
        <f t="shared" si="24"/>
        <v>3.0671835893409241</v>
      </c>
      <c r="AC60" s="52" t="s">
        <v>36368</v>
      </c>
      <c r="AD60" s="52" t="s">
        <v>36368</v>
      </c>
      <c r="AE60" s="1">
        <v>4945</v>
      </c>
      <c r="AF60" s="1">
        <v>4473</v>
      </c>
      <c r="AG60" s="1">
        <v>4473</v>
      </c>
      <c r="AH60" s="1">
        <v>3989</v>
      </c>
      <c r="AI60" s="1">
        <v>3338</v>
      </c>
      <c r="AJ60" s="1">
        <v>2978</v>
      </c>
      <c r="AK60" s="55">
        <f t="shared" si="25"/>
        <v>4032.6666666666665</v>
      </c>
      <c r="AL60" s="55">
        <f t="shared" si="26"/>
        <v>10.095371132979686</v>
      </c>
      <c r="AM60" s="1">
        <v>31210</v>
      </c>
      <c r="AN60" s="1">
        <v>29208</v>
      </c>
      <c r="AO60" s="1">
        <v>25618</v>
      </c>
      <c r="AP60" s="1">
        <v>24100</v>
      </c>
      <c r="AQ60" s="1">
        <v>19213</v>
      </c>
      <c r="AR60" s="1">
        <v>20902</v>
      </c>
      <c r="AS60" s="2">
        <f t="shared" si="12"/>
        <v>23808.2</v>
      </c>
      <c r="AT60" s="57">
        <f t="shared" si="29"/>
        <v>4.6202568862828768</v>
      </c>
    </row>
    <row r="61" spans="1:46" ht="16" x14ac:dyDescent="0.2">
      <c r="A61" s="13" t="s">
        <v>18682</v>
      </c>
      <c r="B61" s="13" t="s">
        <v>831</v>
      </c>
      <c r="C61" s="14" t="s">
        <v>3545</v>
      </c>
      <c r="D61" s="1">
        <v>13</v>
      </c>
      <c r="E61" s="1">
        <v>1</v>
      </c>
      <c r="I61" s="1">
        <v>2</v>
      </c>
      <c r="K61" s="14">
        <f t="shared" si="18"/>
        <v>16</v>
      </c>
      <c r="L61" s="16">
        <v>594833</v>
      </c>
      <c r="M61" s="17">
        <v>233325</v>
      </c>
      <c r="N61" s="17">
        <v>220219</v>
      </c>
      <c r="O61" s="17">
        <v>3408</v>
      </c>
      <c r="P61" s="17">
        <v>20553</v>
      </c>
      <c r="Q61" s="18">
        <v>195</v>
      </c>
      <c r="R61" s="18">
        <f t="shared" si="19"/>
        <v>20748</v>
      </c>
      <c r="S61" s="18">
        <v>819</v>
      </c>
      <c r="T61" s="17">
        <v>13307</v>
      </c>
      <c r="U61" s="19">
        <v>103007</v>
      </c>
      <c r="V61" s="22">
        <v>70.111480712890625</v>
      </c>
      <c r="W61" s="15">
        <v>41</v>
      </c>
      <c r="X61" s="9">
        <f t="shared" si="20"/>
        <v>6.8926908897119024</v>
      </c>
      <c r="Y61" s="9">
        <f t="shared" si="21"/>
        <v>3.8426151301529772</v>
      </c>
      <c r="Z61" s="9">
        <f t="shared" si="22"/>
        <v>7.959467940181538</v>
      </c>
      <c r="AA61" s="9">
        <f t="shared" si="23"/>
        <v>1.2974097862322767</v>
      </c>
      <c r="AB61" s="9">
        <f t="shared" si="24"/>
        <v>1.3868682988257386</v>
      </c>
      <c r="AC61" s="52">
        <f t="shared" ref="AC61:AC78" si="32">Z61/AA61</f>
        <v>6.1348912461159326</v>
      </c>
      <c r="AD61" s="52">
        <f t="shared" ref="AD61:AD78" si="33">AB61/AA61</f>
        <v>1.0689516246468687</v>
      </c>
      <c r="AE61" s="1">
        <v>8194</v>
      </c>
      <c r="AF61" s="1">
        <v>8864</v>
      </c>
      <c r="AG61" s="1">
        <v>9583</v>
      </c>
      <c r="AH61" s="1">
        <v>9201</v>
      </c>
      <c r="AI61" s="1">
        <v>9507</v>
      </c>
      <c r="AJ61" s="1">
        <v>8416</v>
      </c>
      <c r="AK61" s="55">
        <f t="shared" si="25"/>
        <v>8960.8333333333339</v>
      </c>
      <c r="AL61" s="55">
        <f t="shared" si="26"/>
        <v>15.064452263632539</v>
      </c>
      <c r="AM61" s="1">
        <v>41870</v>
      </c>
      <c r="AN61" s="1">
        <v>32550</v>
      </c>
      <c r="AO61" s="1">
        <v>27082</v>
      </c>
      <c r="AP61" s="1">
        <v>24185</v>
      </c>
      <c r="AQ61" s="1">
        <v>24024</v>
      </c>
      <c r="AR61" s="1">
        <v>19057</v>
      </c>
      <c r="AS61" s="2">
        <f t="shared" si="12"/>
        <v>25379.599999999999</v>
      </c>
      <c r="AT61" s="57">
        <f t="shared" si="29"/>
        <v>6.304275875112296</v>
      </c>
    </row>
    <row r="62" spans="1:46" ht="16" x14ac:dyDescent="0.2">
      <c r="A62" s="13" t="s">
        <v>6191</v>
      </c>
      <c r="B62" s="13" t="s">
        <v>6191</v>
      </c>
      <c r="C62" s="14" t="s">
        <v>15162</v>
      </c>
      <c r="D62" s="1">
        <v>4</v>
      </c>
      <c r="E62" s="1">
        <v>1</v>
      </c>
      <c r="G62" s="93">
        <v>1</v>
      </c>
      <c r="I62" s="1">
        <v>1</v>
      </c>
      <c r="J62" s="93">
        <v>1</v>
      </c>
      <c r="K62" s="14">
        <f t="shared" si="18"/>
        <v>8</v>
      </c>
      <c r="L62" s="16">
        <v>382578</v>
      </c>
      <c r="M62" s="17">
        <v>69971</v>
      </c>
      <c r="N62" s="17">
        <v>230650</v>
      </c>
      <c r="O62" s="17">
        <v>6351</v>
      </c>
      <c r="P62" s="17">
        <v>21399</v>
      </c>
      <c r="Q62" s="18">
        <v>168</v>
      </c>
      <c r="R62" s="18">
        <f t="shared" si="19"/>
        <v>21567</v>
      </c>
      <c r="S62" s="18">
        <v>962</v>
      </c>
      <c r="T62" s="17">
        <v>13004</v>
      </c>
      <c r="U62" s="19">
        <v>40073</v>
      </c>
      <c r="V62" s="22">
        <v>50.918025970458984</v>
      </c>
      <c r="W62" s="15">
        <v>150</v>
      </c>
      <c r="X62" s="9">
        <f t="shared" si="20"/>
        <v>39.207690980662768</v>
      </c>
      <c r="Y62" s="9">
        <f t="shared" si="21"/>
        <v>2.9872526461457349</v>
      </c>
      <c r="Z62" s="9">
        <f t="shared" si="22"/>
        <v>8.1666486319842715</v>
      </c>
      <c r="AA62" s="9">
        <f t="shared" si="23"/>
        <v>0.61936762565420711</v>
      </c>
      <c r="AB62" s="9">
        <f t="shared" si="24"/>
        <v>3.5649225877060084</v>
      </c>
      <c r="AC62" s="52">
        <f t="shared" si="32"/>
        <v>13.185462548770204</v>
      </c>
      <c r="AD62" s="52">
        <f t="shared" si="33"/>
        <v>5.7557457639807357</v>
      </c>
      <c r="AE62" s="1">
        <v>4038</v>
      </c>
      <c r="AF62" s="1">
        <v>4093</v>
      </c>
      <c r="AG62" s="1">
        <v>4395</v>
      </c>
      <c r="AH62" s="1">
        <v>4622</v>
      </c>
      <c r="AI62" s="1">
        <v>4614</v>
      </c>
      <c r="AJ62" s="1">
        <v>3395</v>
      </c>
      <c r="AK62" s="55">
        <f t="shared" si="25"/>
        <v>4192.833333333333</v>
      </c>
      <c r="AL62" s="55">
        <f t="shared" si="26"/>
        <v>10.959420911117036</v>
      </c>
      <c r="AM62" s="1">
        <v>20797</v>
      </c>
      <c r="AN62" s="1">
        <v>17358</v>
      </c>
      <c r="AO62" s="1">
        <v>15019</v>
      </c>
      <c r="AP62" s="1">
        <v>11879</v>
      </c>
      <c r="AQ62" s="1">
        <v>11955</v>
      </c>
      <c r="AR62" s="1">
        <v>11652</v>
      </c>
      <c r="AS62" s="2">
        <f t="shared" si="12"/>
        <v>13572.6</v>
      </c>
      <c r="AT62" s="57">
        <f t="shared" si="29"/>
        <v>5.8942280771554456</v>
      </c>
    </row>
    <row r="63" spans="1:46" ht="16" x14ac:dyDescent="0.2">
      <c r="A63" s="13" t="s">
        <v>18662</v>
      </c>
      <c r="B63" s="13" t="s">
        <v>979</v>
      </c>
      <c r="C63" s="14" t="s">
        <v>980</v>
      </c>
      <c r="D63" s="1">
        <v>10</v>
      </c>
      <c r="I63" s="1">
        <v>2</v>
      </c>
      <c r="K63" s="14">
        <f t="shared" si="18"/>
        <v>12</v>
      </c>
      <c r="L63" s="16">
        <v>343829</v>
      </c>
      <c r="M63" s="17">
        <v>204866</v>
      </c>
      <c r="N63" s="17">
        <v>104770</v>
      </c>
      <c r="O63" s="18">
        <v>827</v>
      </c>
      <c r="P63" s="17">
        <v>9883</v>
      </c>
      <c r="Q63" s="18">
        <v>105</v>
      </c>
      <c r="R63" s="18">
        <f t="shared" si="19"/>
        <v>9988</v>
      </c>
      <c r="S63" s="18">
        <v>967</v>
      </c>
      <c r="T63" s="17">
        <v>4360</v>
      </c>
      <c r="U63" s="19">
        <v>18051</v>
      </c>
      <c r="V63" s="22">
        <v>67.626632690429688</v>
      </c>
      <c r="W63" s="15">
        <v>333</v>
      </c>
      <c r="X63" s="9">
        <f t="shared" si="20"/>
        <v>96.850469273970489</v>
      </c>
      <c r="Y63" s="9">
        <f t="shared" si="21"/>
        <v>4.985867144091146</v>
      </c>
      <c r="Z63" s="9">
        <f t="shared" si="22"/>
        <v>6.9731992061710031</v>
      </c>
      <c r="AA63" s="9">
        <f t="shared" si="23"/>
        <v>2.7270619997545644</v>
      </c>
      <c r="AB63" s="9">
        <f t="shared" si="24"/>
        <v>0</v>
      </c>
      <c r="AC63" s="52">
        <f t="shared" si="32"/>
        <v>2.5570372829068759</v>
      </c>
      <c r="AD63" s="52">
        <f t="shared" si="33"/>
        <v>0</v>
      </c>
      <c r="AE63" s="1">
        <v>2965</v>
      </c>
      <c r="AF63" s="1">
        <v>3770</v>
      </c>
      <c r="AG63" s="1">
        <v>3736</v>
      </c>
      <c r="AH63" s="1">
        <v>4249</v>
      </c>
      <c r="AI63" s="1">
        <v>4457</v>
      </c>
      <c r="AJ63" s="1">
        <v>4611</v>
      </c>
      <c r="AK63" s="55">
        <f t="shared" si="25"/>
        <v>3964.6666666666665</v>
      </c>
      <c r="AL63" s="55">
        <f t="shared" si="26"/>
        <v>11.530925741187238</v>
      </c>
      <c r="AM63" s="1"/>
      <c r="AN63" s="1"/>
      <c r="AO63" s="1">
        <v>17017</v>
      </c>
      <c r="AP63" s="1">
        <v>20589</v>
      </c>
      <c r="AQ63" s="1">
        <v>25089</v>
      </c>
      <c r="AR63" s="1">
        <v>23674</v>
      </c>
      <c r="AS63" s="2">
        <f t="shared" si="12"/>
        <v>21592.25</v>
      </c>
      <c r="AT63" s="57">
        <f t="shared" si="29"/>
        <v>5.5575495837626931</v>
      </c>
    </row>
    <row r="64" spans="1:46" ht="16" x14ac:dyDescent="0.2">
      <c r="A64" s="13" t="s">
        <v>700</v>
      </c>
      <c r="B64" s="13" t="s">
        <v>700</v>
      </c>
      <c r="C64" s="14" t="s">
        <v>539</v>
      </c>
      <c r="D64" s="1">
        <v>48</v>
      </c>
      <c r="E64" s="1">
        <v>10</v>
      </c>
      <c r="I64" s="1">
        <v>9</v>
      </c>
      <c r="J64" s="93">
        <v>8</v>
      </c>
      <c r="K64" s="14">
        <f t="shared" si="18"/>
        <v>75</v>
      </c>
      <c r="L64" s="16">
        <v>8175133</v>
      </c>
      <c r="M64" s="17">
        <v>1861295</v>
      </c>
      <c r="N64" s="17">
        <v>2722904</v>
      </c>
      <c r="O64" s="17">
        <v>17427</v>
      </c>
      <c r="P64" s="17">
        <v>1028119</v>
      </c>
      <c r="Q64" s="17">
        <v>2795</v>
      </c>
      <c r="R64" s="18">
        <f t="shared" si="19"/>
        <v>1030914</v>
      </c>
      <c r="S64" s="17">
        <v>57841</v>
      </c>
      <c r="T64" s="17">
        <v>148676</v>
      </c>
      <c r="U64" s="19">
        <v>2336076</v>
      </c>
      <c r="V64" s="22">
        <v>81.406463623046875</v>
      </c>
      <c r="W64" s="15">
        <v>93</v>
      </c>
      <c r="X64" s="9">
        <f t="shared" si="20"/>
        <v>1.1375961712182541</v>
      </c>
      <c r="Y64" s="9">
        <f t="shared" si="21"/>
        <v>1.3105946673021363</v>
      </c>
      <c r="Z64" s="9">
        <f t="shared" si="22"/>
        <v>3.6840709598117751</v>
      </c>
      <c r="AA64" s="9">
        <f t="shared" si="23"/>
        <v>0.47218494875848943</v>
      </c>
      <c r="AB64" s="9">
        <f t="shared" si="24"/>
        <v>0.61152609271762925</v>
      </c>
      <c r="AC64" s="52">
        <f t="shared" si="32"/>
        <v>7.802177874365249</v>
      </c>
      <c r="AD64" s="52">
        <f t="shared" si="33"/>
        <v>1.2950986564173803</v>
      </c>
      <c r="AE64" s="1">
        <v>52384</v>
      </c>
      <c r="AF64" s="1">
        <v>50564</v>
      </c>
      <c r="AG64" s="1">
        <v>50088</v>
      </c>
      <c r="AH64" s="1">
        <v>49124</v>
      </c>
      <c r="AI64" s="1">
        <v>46433</v>
      </c>
      <c r="AJ64" s="1">
        <v>46113</v>
      </c>
      <c r="AK64" s="55">
        <f t="shared" si="25"/>
        <v>49117.666666666664</v>
      </c>
      <c r="AL64" s="55">
        <f t="shared" si="26"/>
        <v>6.00817952034134</v>
      </c>
      <c r="AM64" s="1">
        <v>393809</v>
      </c>
      <c r="AN64" s="1">
        <v>387727</v>
      </c>
      <c r="AO64" s="1">
        <v>339470</v>
      </c>
      <c r="AP64" s="1">
        <v>314864</v>
      </c>
      <c r="AQ64" s="1">
        <v>286225</v>
      </c>
      <c r="AR64" s="1">
        <v>246773</v>
      </c>
      <c r="AS64" s="2">
        <f t="shared" si="12"/>
        <v>315011.8</v>
      </c>
      <c r="AT64" s="57">
        <f t="shared" si="29"/>
        <v>2.3808631930613391</v>
      </c>
    </row>
    <row r="65" spans="1:46" ht="16" x14ac:dyDescent="0.2">
      <c r="A65" s="13" t="s">
        <v>19234</v>
      </c>
      <c r="B65" s="13" t="s">
        <v>485</v>
      </c>
      <c r="C65" s="14" t="s">
        <v>487</v>
      </c>
      <c r="D65" s="1">
        <v>7</v>
      </c>
      <c r="E65" s="1">
        <v>1</v>
      </c>
      <c r="I65" s="1">
        <v>2</v>
      </c>
      <c r="J65" s="93">
        <v>1</v>
      </c>
      <c r="K65" s="14">
        <f t="shared" si="18"/>
        <v>11</v>
      </c>
      <c r="L65" s="16">
        <v>277140</v>
      </c>
      <c r="M65" s="17">
        <v>138074</v>
      </c>
      <c r="N65" s="17">
        <v>32122</v>
      </c>
      <c r="O65" s="18">
        <v>713</v>
      </c>
      <c r="P65" s="17">
        <v>4318</v>
      </c>
      <c r="Q65" s="18">
        <v>68</v>
      </c>
      <c r="R65" s="18">
        <f t="shared" si="19"/>
        <v>4386</v>
      </c>
      <c r="S65" s="17">
        <v>3899</v>
      </c>
      <c r="T65" s="17">
        <v>4200</v>
      </c>
      <c r="U65" s="19">
        <v>93746</v>
      </c>
      <c r="V65" s="22">
        <v>71.190437316894531</v>
      </c>
      <c r="W65" s="15">
        <v>31</v>
      </c>
      <c r="X65" s="9">
        <f t="shared" si="20"/>
        <v>11.185682326621924</v>
      </c>
      <c r="Y65" s="9">
        <f t="shared" si="21"/>
        <v>5.6701615480571963</v>
      </c>
      <c r="Z65" s="9">
        <f t="shared" si="22"/>
        <v>7.2424931558439685</v>
      </c>
      <c r="AA65" s="9">
        <f t="shared" si="23"/>
        <v>8.8946605352806714</v>
      </c>
      <c r="AB65" s="9">
        <f t="shared" si="24"/>
        <v>1.5238745424566686</v>
      </c>
      <c r="AC65" s="52">
        <f t="shared" si="32"/>
        <v>0.81425177803206983</v>
      </c>
      <c r="AD65" s="52">
        <f t="shared" si="33"/>
        <v>0.17132464318477589</v>
      </c>
      <c r="AE65" s="1">
        <v>3516</v>
      </c>
      <c r="AF65" s="1">
        <v>3008</v>
      </c>
      <c r="AH65" s="1">
        <v>2637</v>
      </c>
      <c r="AI65" s="1">
        <v>2543</v>
      </c>
      <c r="AJ65" s="1">
        <v>2069</v>
      </c>
      <c r="AK65" s="55">
        <f t="shared" si="25"/>
        <v>2754.6</v>
      </c>
      <c r="AL65" s="55">
        <f t="shared" si="26"/>
        <v>9.939380818358952</v>
      </c>
      <c r="AM65" s="1">
        <v>13648</v>
      </c>
      <c r="AN65" s="1">
        <v>10192</v>
      </c>
      <c r="AO65" s="1"/>
      <c r="AP65" s="1">
        <v>8490</v>
      </c>
      <c r="AQ65" s="1">
        <v>7624</v>
      </c>
      <c r="AR65" s="1">
        <v>7453</v>
      </c>
      <c r="AS65" s="2">
        <f t="shared" si="12"/>
        <v>8439.75</v>
      </c>
      <c r="AT65" s="57">
        <f t="shared" si="29"/>
        <v>13.033561420658195</v>
      </c>
    </row>
    <row r="66" spans="1:46" ht="16" x14ac:dyDescent="0.2">
      <c r="A66" s="13" t="s">
        <v>18675</v>
      </c>
      <c r="B66" s="13" t="s">
        <v>3060</v>
      </c>
      <c r="C66" s="14" t="s">
        <v>4650</v>
      </c>
      <c r="D66" s="1">
        <v>7</v>
      </c>
      <c r="I66" s="1">
        <v>4</v>
      </c>
      <c r="K66" s="14">
        <f t="shared" ref="K66:K97" si="34">D66+E66+F66+G66+H66+I66+J66</f>
        <v>11</v>
      </c>
      <c r="L66" s="16">
        <v>242803</v>
      </c>
      <c r="M66" s="17">
        <v>102452</v>
      </c>
      <c r="N66" s="17">
        <v>107463</v>
      </c>
      <c r="O66" s="18">
        <v>935</v>
      </c>
      <c r="P66" s="17">
        <v>7861</v>
      </c>
      <c r="Q66" s="18">
        <v>359</v>
      </c>
      <c r="R66" s="18">
        <f t="shared" ref="R66:R97" si="35">P66+Q66</f>
        <v>8220</v>
      </c>
      <c r="S66" s="18">
        <v>471</v>
      </c>
      <c r="T66" s="17">
        <v>7118</v>
      </c>
      <c r="U66" s="19">
        <v>16144</v>
      </c>
      <c r="V66" s="22">
        <v>50.799514770507812</v>
      </c>
      <c r="W66" s="15">
        <v>12</v>
      </c>
      <c r="X66" s="9">
        <f t="shared" ref="X66:X97" si="36">W66/L66*100000</f>
        <v>4.9422783079286505</v>
      </c>
      <c r="Y66" s="9">
        <f t="shared" ref="Y66:Y97" si="37">(K66/L66)*(1000000/7)</f>
        <v>6.4720311175256136</v>
      </c>
      <c r="Z66" s="9">
        <f t="shared" ref="Z66:Z97" si="38">(D66/M66)*(1000000/7)</f>
        <v>9.7606684105727552</v>
      </c>
      <c r="AA66" s="9">
        <f t="shared" ref="AA66:AA97" si="39">(I66/N66)*(1000000/7)</f>
        <v>5.3174448082462931</v>
      </c>
      <c r="AB66" s="9">
        <f t="shared" ref="AB66:AB97" si="40">(E66/U66)*(1000000/7)</f>
        <v>0</v>
      </c>
      <c r="AC66" s="52">
        <f t="shared" si="32"/>
        <v>1.835593741459415</v>
      </c>
      <c r="AD66" s="52">
        <f t="shared" si="33"/>
        <v>0</v>
      </c>
      <c r="AE66" s="1">
        <v>1418</v>
      </c>
      <c r="AF66" s="1">
        <v>1280</v>
      </c>
      <c r="AG66" s="1">
        <v>1329</v>
      </c>
      <c r="AH66" s="1">
        <v>1616</v>
      </c>
      <c r="AI66" s="1">
        <v>1363</v>
      </c>
      <c r="AJ66" s="1">
        <v>1134</v>
      </c>
      <c r="AK66" s="55">
        <f t="shared" ref="AK66:AK97" si="41">AVERAGE(AE66:AJ66)</f>
        <v>1356.6666666666667</v>
      </c>
      <c r="AL66" s="55">
        <f t="shared" ref="AL66:AL97" si="42">AK66/L66*1000</f>
        <v>5.5875201981304468</v>
      </c>
      <c r="AM66" s="1">
        <v>17611</v>
      </c>
      <c r="AN66" s="1">
        <v>15834</v>
      </c>
      <c r="AO66" s="1">
        <v>12700</v>
      </c>
      <c r="AP66" s="1">
        <v>11870</v>
      </c>
      <c r="AQ66" s="1">
        <v>12692</v>
      </c>
      <c r="AR66" s="1">
        <v>13469</v>
      </c>
      <c r="AS66" s="2">
        <f t="shared" si="12"/>
        <v>13313</v>
      </c>
      <c r="AT66" s="57">
        <f t="shared" si="29"/>
        <v>8.2626004657102072</v>
      </c>
    </row>
    <row r="67" spans="1:46" ht="16" x14ac:dyDescent="0.2">
      <c r="A67" s="13" t="s">
        <v>18672</v>
      </c>
      <c r="B67" s="13" t="s">
        <v>249</v>
      </c>
      <c r="C67" s="14" t="s">
        <v>251</v>
      </c>
      <c r="D67" s="1">
        <v>2</v>
      </c>
      <c r="E67" s="1">
        <v>3</v>
      </c>
      <c r="I67" s="1">
        <v>2</v>
      </c>
      <c r="K67" s="14">
        <f t="shared" si="34"/>
        <v>7</v>
      </c>
      <c r="L67" s="16">
        <v>216961</v>
      </c>
      <c r="M67" s="17">
        <v>41561</v>
      </c>
      <c r="N67" s="17">
        <v>67687</v>
      </c>
      <c r="O67" s="18">
        <v>871</v>
      </c>
      <c r="P67" s="17">
        <v>13122</v>
      </c>
      <c r="Q67" s="17">
        <v>1684</v>
      </c>
      <c r="R67" s="18">
        <f t="shared" si="35"/>
        <v>14806</v>
      </c>
      <c r="S67" s="18">
        <v>377</v>
      </c>
      <c r="T67" s="17">
        <v>7525</v>
      </c>
      <c r="U67" s="19">
        <v>84134</v>
      </c>
      <c r="V67" s="22">
        <v>27.104583740234375</v>
      </c>
      <c r="W67" s="15">
        <v>80</v>
      </c>
      <c r="X67" s="9">
        <f t="shared" si="36"/>
        <v>36.872986389258898</v>
      </c>
      <c r="Y67" s="9">
        <f t="shared" si="37"/>
        <v>4.6091232986573631</v>
      </c>
      <c r="Z67" s="9">
        <f t="shared" si="38"/>
        <v>6.8745767838667433</v>
      </c>
      <c r="AA67" s="9">
        <f t="shared" si="39"/>
        <v>4.2211101941921747</v>
      </c>
      <c r="AB67" s="9">
        <f t="shared" si="40"/>
        <v>5.0939148093687292</v>
      </c>
      <c r="AC67" s="52">
        <f t="shared" si="32"/>
        <v>1.6286181756935587</v>
      </c>
      <c r="AD67" s="52">
        <f t="shared" si="33"/>
        <v>1.2067713409560941</v>
      </c>
      <c r="AE67" s="1">
        <v>1806</v>
      </c>
      <c r="AF67" s="1">
        <v>1782</v>
      </c>
      <c r="AG67" s="1">
        <v>2130</v>
      </c>
      <c r="AH67" s="1">
        <v>2276</v>
      </c>
      <c r="AI67" s="1">
        <v>2461</v>
      </c>
      <c r="AJ67" s="1">
        <v>2386</v>
      </c>
      <c r="AK67" s="55">
        <f t="shared" si="41"/>
        <v>2140.1666666666665</v>
      </c>
      <c r="AL67" s="55">
        <f t="shared" si="42"/>
        <v>9.8642920463431967</v>
      </c>
      <c r="AM67" s="1"/>
      <c r="AN67" s="1">
        <v>6922</v>
      </c>
      <c r="AO67" s="1">
        <v>5922</v>
      </c>
      <c r="AP67" s="1">
        <v>5935</v>
      </c>
      <c r="AQ67" s="1">
        <v>5750</v>
      </c>
      <c r="AR67" s="1">
        <v>7056</v>
      </c>
      <c r="AS67" s="2">
        <f t="shared" ref="AS67:AS101" si="43">AVERAGE(AN67:AR67)</f>
        <v>6317</v>
      </c>
      <c r="AT67" s="57">
        <f t="shared" si="29"/>
        <v>11.081209434858319</v>
      </c>
    </row>
    <row r="68" spans="1:46" ht="16" x14ac:dyDescent="0.2">
      <c r="A68" s="13" t="s">
        <v>18661</v>
      </c>
      <c r="B68" s="13" t="s">
        <v>557</v>
      </c>
      <c r="C68" s="14" t="s">
        <v>559</v>
      </c>
      <c r="D68" s="1">
        <v>7</v>
      </c>
      <c r="I68" s="1">
        <v>1</v>
      </c>
      <c r="J68" s="93">
        <v>1</v>
      </c>
      <c r="K68" s="14">
        <f t="shared" si="34"/>
        <v>9</v>
      </c>
      <c r="L68" s="16">
        <v>390724</v>
      </c>
      <c r="M68" s="17">
        <v>106637</v>
      </c>
      <c r="N68" s="17">
        <v>101308</v>
      </c>
      <c r="O68" s="17">
        <v>1214</v>
      </c>
      <c r="P68" s="17">
        <v>65127</v>
      </c>
      <c r="Q68" s="17">
        <v>2081</v>
      </c>
      <c r="R68" s="18">
        <f t="shared" si="35"/>
        <v>67208</v>
      </c>
      <c r="S68" s="17">
        <v>1213</v>
      </c>
      <c r="T68" s="17">
        <v>14076</v>
      </c>
      <c r="U68" s="19">
        <v>99068</v>
      </c>
      <c r="V68" s="22">
        <v>51.889305114746094</v>
      </c>
      <c r="W68" s="15">
        <v>45</v>
      </c>
      <c r="X68" s="9">
        <f t="shared" si="36"/>
        <v>11.517081110963238</v>
      </c>
      <c r="Y68" s="9">
        <f t="shared" si="37"/>
        <v>3.2905946031323539</v>
      </c>
      <c r="Z68" s="9">
        <f t="shared" si="38"/>
        <v>9.377608147265958</v>
      </c>
      <c r="AA68" s="9">
        <f t="shared" si="39"/>
        <v>1.4101269678321837</v>
      </c>
      <c r="AB68" s="9">
        <f t="shared" si="40"/>
        <v>0</v>
      </c>
      <c r="AC68" s="52">
        <f t="shared" si="32"/>
        <v>6.6501870832825372</v>
      </c>
      <c r="AD68" s="52">
        <f t="shared" si="33"/>
        <v>0</v>
      </c>
      <c r="AE68" s="1">
        <v>7984</v>
      </c>
      <c r="AF68" s="1">
        <v>6910</v>
      </c>
      <c r="AG68" s="1">
        <v>6051</v>
      </c>
      <c r="AH68" s="1">
        <v>6059</v>
      </c>
      <c r="AI68" s="1">
        <v>5521</v>
      </c>
      <c r="AJ68" s="1">
        <v>5480</v>
      </c>
      <c r="AK68" s="55">
        <f t="shared" si="41"/>
        <v>6334.166666666667</v>
      </c>
      <c r="AL68" s="55">
        <f t="shared" si="42"/>
        <v>16.211358060079924</v>
      </c>
      <c r="AM68" s="1">
        <v>7562</v>
      </c>
      <c r="AN68" s="1">
        <v>9781</v>
      </c>
      <c r="AO68" s="1">
        <v>10850</v>
      </c>
      <c r="AP68" s="1">
        <v>11083</v>
      </c>
      <c r="AQ68" s="1">
        <v>10518</v>
      </c>
      <c r="AR68" s="1">
        <v>8971</v>
      </c>
      <c r="AS68" s="2">
        <f t="shared" si="43"/>
        <v>10240.6</v>
      </c>
      <c r="AT68" s="57">
        <f t="shared" si="29"/>
        <v>8.7885475460422242</v>
      </c>
    </row>
    <row r="69" spans="1:46" ht="16" x14ac:dyDescent="0.2">
      <c r="A69" s="13" t="s">
        <v>1028</v>
      </c>
      <c r="B69" s="13" t="s">
        <v>1027</v>
      </c>
      <c r="C69" s="14" t="s">
        <v>1029</v>
      </c>
      <c r="D69" s="1">
        <v>24</v>
      </c>
      <c r="E69" s="1">
        <v>7</v>
      </c>
      <c r="F69" s="93">
        <v>3</v>
      </c>
      <c r="I69" s="1">
        <v>14</v>
      </c>
      <c r="K69" s="14">
        <f t="shared" si="34"/>
        <v>48</v>
      </c>
      <c r="L69" s="16">
        <v>579999</v>
      </c>
      <c r="M69" s="17">
        <v>85744</v>
      </c>
      <c r="N69" s="17">
        <v>328582</v>
      </c>
      <c r="O69" s="17">
        <v>18208</v>
      </c>
      <c r="P69" s="17">
        <v>23051</v>
      </c>
      <c r="Q69" s="18">
        <v>464</v>
      </c>
      <c r="R69" s="18">
        <f t="shared" si="35"/>
        <v>23515</v>
      </c>
      <c r="S69" s="18">
        <v>700</v>
      </c>
      <c r="T69" s="17">
        <v>23212</v>
      </c>
      <c r="U69" s="19">
        <v>100038</v>
      </c>
      <c r="V69" s="22">
        <v>46.731357574462891</v>
      </c>
      <c r="W69" s="15">
        <v>32</v>
      </c>
      <c r="X69" s="9">
        <f t="shared" si="36"/>
        <v>5.5172508918118819</v>
      </c>
      <c r="Y69" s="9">
        <f t="shared" si="37"/>
        <v>11.822680482454036</v>
      </c>
      <c r="Z69" s="9">
        <f t="shared" si="38"/>
        <v>39.986138138778564</v>
      </c>
      <c r="AA69" s="9">
        <f t="shared" si="39"/>
        <v>6.0867606868300763</v>
      </c>
      <c r="AB69" s="9">
        <f t="shared" si="40"/>
        <v>9.9962014434514899</v>
      </c>
      <c r="AC69" s="52">
        <f t="shared" si="32"/>
        <v>6.5693626209580689</v>
      </c>
      <c r="AD69" s="52">
        <f t="shared" si="33"/>
        <v>1.6422859313460887</v>
      </c>
      <c r="AE69" s="1">
        <v>4998</v>
      </c>
      <c r="AF69" s="1">
        <v>4782</v>
      </c>
      <c r="AG69" s="1">
        <v>4828</v>
      </c>
      <c r="AH69" s="1">
        <v>5027</v>
      </c>
      <c r="AI69" s="1">
        <v>5104</v>
      </c>
      <c r="AJ69" s="1">
        <v>5663</v>
      </c>
      <c r="AK69" s="55">
        <f t="shared" si="41"/>
        <v>5067</v>
      </c>
      <c r="AL69" s="55">
        <f t="shared" si="42"/>
        <v>8.7362219590033767</v>
      </c>
      <c r="AM69" s="1">
        <v>19330</v>
      </c>
      <c r="AN69" s="1">
        <v>19515</v>
      </c>
      <c r="AO69" s="1">
        <v>19660</v>
      </c>
      <c r="AP69" s="1">
        <v>18574</v>
      </c>
      <c r="AQ69" s="1">
        <v>17246</v>
      </c>
      <c r="AR69" s="1">
        <v>15795</v>
      </c>
      <c r="AS69" s="2">
        <f t="shared" si="43"/>
        <v>18158</v>
      </c>
      <c r="AT69" s="57">
        <f t="shared" si="29"/>
        <v>26.434629364467455</v>
      </c>
    </row>
    <row r="70" spans="1:46" ht="16" x14ac:dyDescent="0.2">
      <c r="A70" s="13" t="s">
        <v>18668</v>
      </c>
      <c r="B70" s="13" t="s">
        <v>1522</v>
      </c>
      <c r="C70" s="14" t="s">
        <v>2101</v>
      </c>
      <c r="D70" s="1">
        <v>6</v>
      </c>
      <c r="E70" s="1">
        <v>1</v>
      </c>
      <c r="F70" s="93">
        <v>1</v>
      </c>
      <c r="I70" s="1">
        <v>7</v>
      </c>
      <c r="K70" s="14">
        <f t="shared" si="34"/>
        <v>15</v>
      </c>
      <c r="L70" s="16">
        <v>408958</v>
      </c>
      <c r="M70" s="17">
        <v>55128</v>
      </c>
      <c r="N70" s="17">
        <v>278172</v>
      </c>
      <c r="O70" s="17">
        <v>2263</v>
      </c>
      <c r="P70" s="17">
        <v>9889</v>
      </c>
      <c r="Q70" s="18">
        <v>253</v>
      </c>
      <c r="R70" s="18">
        <f t="shared" si="35"/>
        <v>10142</v>
      </c>
      <c r="S70" s="18">
        <v>806</v>
      </c>
      <c r="T70" s="17">
        <v>8894</v>
      </c>
      <c r="U70" s="19">
        <v>53553</v>
      </c>
      <c r="V70" s="22">
        <v>58.031440734863281</v>
      </c>
      <c r="W70" s="15">
        <v>15</v>
      </c>
      <c r="X70" s="9">
        <f t="shared" si="36"/>
        <v>3.6678583130786047</v>
      </c>
      <c r="Y70" s="9">
        <f t="shared" si="37"/>
        <v>5.2397975901122926</v>
      </c>
      <c r="Z70" s="9">
        <f t="shared" si="38"/>
        <v>15.548230611356429</v>
      </c>
      <c r="AA70" s="9">
        <f t="shared" si="39"/>
        <v>3.5948981205872625</v>
      </c>
      <c r="AB70" s="9">
        <f t="shared" si="40"/>
        <v>2.6675843156712578</v>
      </c>
      <c r="AC70" s="52">
        <f t="shared" si="32"/>
        <v>4.3250824056222408</v>
      </c>
      <c r="AD70" s="52">
        <f t="shared" si="33"/>
        <v>0.7420472642589051</v>
      </c>
      <c r="AE70" s="1">
        <v>2449</v>
      </c>
      <c r="AF70" s="1">
        <v>2458</v>
      </c>
      <c r="AG70" s="1">
        <v>2329</v>
      </c>
      <c r="AH70" s="1">
        <v>2531</v>
      </c>
      <c r="AI70" s="1">
        <v>2909</v>
      </c>
      <c r="AJ70" s="1">
        <v>2628</v>
      </c>
      <c r="AK70" s="55">
        <f t="shared" si="41"/>
        <v>2550.6666666666665</v>
      </c>
      <c r="AL70" s="55">
        <f t="shared" si="42"/>
        <v>6.2369892914838845</v>
      </c>
      <c r="AM70" s="1">
        <v>19407</v>
      </c>
      <c r="AN70" s="1">
        <v>20400</v>
      </c>
      <c r="AO70" s="1"/>
      <c r="AP70" s="1">
        <v>18677</v>
      </c>
      <c r="AQ70" s="1"/>
      <c r="AR70" s="1">
        <v>19072</v>
      </c>
      <c r="AS70" s="2">
        <f t="shared" si="43"/>
        <v>19383</v>
      </c>
      <c r="AT70" s="57">
        <f t="shared" si="29"/>
        <v>7.7387401331063304</v>
      </c>
    </row>
    <row r="71" spans="1:46" ht="16" x14ac:dyDescent="0.2">
      <c r="A71" s="13" t="s">
        <v>18667</v>
      </c>
      <c r="B71" s="13" t="s">
        <v>997</v>
      </c>
      <c r="C71" s="14" t="s">
        <v>999</v>
      </c>
      <c r="D71" s="1">
        <v>9</v>
      </c>
      <c r="E71" s="1">
        <v>5</v>
      </c>
      <c r="G71" s="93">
        <v>1</v>
      </c>
      <c r="I71" s="1">
        <v>3</v>
      </c>
      <c r="K71" s="14">
        <f t="shared" si="34"/>
        <v>18</v>
      </c>
      <c r="L71" s="16">
        <v>238300</v>
      </c>
      <c r="M71" s="17">
        <v>63584</v>
      </c>
      <c r="N71" s="17">
        <v>98533</v>
      </c>
      <c r="O71" s="18">
        <v>483</v>
      </c>
      <c r="P71" s="17">
        <v>8756</v>
      </c>
      <c r="Q71" s="18">
        <v>130</v>
      </c>
      <c r="R71" s="18">
        <f t="shared" si="35"/>
        <v>8886</v>
      </c>
      <c r="S71" s="17">
        <v>1688</v>
      </c>
      <c r="T71" s="17">
        <v>4643</v>
      </c>
      <c r="U71" s="19">
        <v>60483</v>
      </c>
      <c r="V71" s="22">
        <v>60.988384246826172</v>
      </c>
      <c r="W71" s="15">
        <v>248</v>
      </c>
      <c r="X71" s="9">
        <f t="shared" si="36"/>
        <v>104.07049937054133</v>
      </c>
      <c r="Y71" s="9">
        <f t="shared" si="37"/>
        <v>10.790719980816498</v>
      </c>
      <c r="Z71" s="9">
        <f t="shared" si="38"/>
        <v>20.220720396865342</v>
      </c>
      <c r="AA71" s="9">
        <f t="shared" si="39"/>
        <v>4.3495217700813802</v>
      </c>
      <c r="AB71" s="9">
        <f t="shared" si="40"/>
        <v>11.809693869115526</v>
      </c>
      <c r="AC71" s="52">
        <f t="shared" si="32"/>
        <v>4.6489525666834428</v>
      </c>
      <c r="AD71" s="52">
        <f t="shared" si="33"/>
        <v>2.7151706540129732</v>
      </c>
      <c r="AE71" s="1">
        <v>2316</v>
      </c>
      <c r="AF71" s="1">
        <v>2340</v>
      </c>
      <c r="AG71" s="1">
        <v>2525</v>
      </c>
      <c r="AH71" s="1">
        <v>2328</v>
      </c>
      <c r="AI71" s="1">
        <v>2113</v>
      </c>
      <c r="AJ71" s="1">
        <v>2282</v>
      </c>
      <c r="AK71" s="55">
        <f t="shared" si="41"/>
        <v>2317.3333333333335</v>
      </c>
      <c r="AL71" s="55">
        <f t="shared" si="42"/>
        <v>9.7244369841935949</v>
      </c>
      <c r="AM71" s="1">
        <v>11427</v>
      </c>
      <c r="AN71" s="1">
        <v>11408</v>
      </c>
      <c r="AO71" s="1">
        <v>10650</v>
      </c>
      <c r="AP71" s="1">
        <v>9344</v>
      </c>
      <c r="AQ71" s="1">
        <v>9059</v>
      </c>
      <c r="AR71" s="1">
        <v>8727</v>
      </c>
      <c r="AS71" s="2">
        <f t="shared" si="43"/>
        <v>9837.6</v>
      </c>
      <c r="AT71" s="57">
        <f t="shared" si="29"/>
        <v>18.297145645279336</v>
      </c>
    </row>
    <row r="72" spans="1:46" ht="16" x14ac:dyDescent="0.2">
      <c r="A72" s="13" t="s">
        <v>18684</v>
      </c>
      <c r="B72" s="13" t="s">
        <v>1033</v>
      </c>
      <c r="C72" s="14" t="s">
        <v>1034</v>
      </c>
      <c r="D72" s="1">
        <v>21</v>
      </c>
      <c r="I72" s="1">
        <v>2</v>
      </c>
      <c r="J72" s="93">
        <v>10</v>
      </c>
      <c r="K72" s="14">
        <f t="shared" si="34"/>
        <v>33</v>
      </c>
      <c r="L72" s="16">
        <v>1526006</v>
      </c>
      <c r="M72" s="17">
        <v>644287</v>
      </c>
      <c r="N72" s="17">
        <v>562585</v>
      </c>
      <c r="O72" s="17">
        <v>3498</v>
      </c>
      <c r="P72" s="17">
        <v>95521</v>
      </c>
      <c r="Q72" s="18">
        <v>457</v>
      </c>
      <c r="R72" s="18">
        <f t="shared" si="35"/>
        <v>95978</v>
      </c>
      <c r="S72" s="17">
        <v>4105</v>
      </c>
      <c r="T72" s="17">
        <v>27942</v>
      </c>
      <c r="U72" s="19">
        <v>187611</v>
      </c>
      <c r="V72" s="22">
        <v>73.347763061523438</v>
      </c>
      <c r="W72" s="15">
        <v>114</v>
      </c>
      <c r="X72" s="9">
        <f t="shared" si="36"/>
        <v>7.4704817674373487</v>
      </c>
      <c r="Y72" s="9">
        <f t="shared" si="37"/>
        <v>3.0892969714966485</v>
      </c>
      <c r="Z72" s="9">
        <f t="shared" si="38"/>
        <v>4.6563099984944607</v>
      </c>
      <c r="AA72" s="9">
        <f t="shared" si="39"/>
        <v>0.50785976468317806</v>
      </c>
      <c r="AB72" s="9">
        <f t="shared" si="40"/>
        <v>0</v>
      </c>
      <c r="AC72" s="52">
        <f t="shared" si="32"/>
        <v>9.1684955617605208</v>
      </c>
      <c r="AD72" s="52">
        <f t="shared" si="33"/>
        <v>0</v>
      </c>
      <c r="AE72" s="1">
        <v>17074</v>
      </c>
      <c r="AF72" s="1">
        <v>15925</v>
      </c>
      <c r="AG72" s="1">
        <v>16132</v>
      </c>
      <c r="AH72" s="1">
        <v>15534</v>
      </c>
      <c r="AI72" s="1">
        <v>14930</v>
      </c>
      <c r="AJ72" s="1">
        <v>14420</v>
      </c>
      <c r="AK72" s="55">
        <f t="shared" si="41"/>
        <v>15669.166666666666</v>
      </c>
      <c r="AL72" s="55">
        <f t="shared" si="42"/>
        <v>10.268089815286878</v>
      </c>
      <c r="AM72" s="1">
        <v>86253</v>
      </c>
      <c r="AN72" s="1">
        <v>82799</v>
      </c>
      <c r="AO72" s="1">
        <v>69324</v>
      </c>
      <c r="AP72" s="1">
        <v>53807</v>
      </c>
      <c r="AQ72" s="1">
        <v>52689</v>
      </c>
      <c r="AR72" s="1">
        <v>46301</v>
      </c>
      <c r="AS72" s="2">
        <f t="shared" si="43"/>
        <v>60984</v>
      </c>
      <c r="AT72" s="57">
        <f t="shared" si="29"/>
        <v>5.4112554112554117</v>
      </c>
    </row>
    <row r="73" spans="1:46" ht="16" x14ac:dyDescent="0.2">
      <c r="A73" s="13" t="s">
        <v>18664</v>
      </c>
      <c r="B73" s="13" t="s">
        <v>584</v>
      </c>
      <c r="C73" s="14" t="s">
        <v>586</v>
      </c>
      <c r="D73" s="1">
        <v>15</v>
      </c>
      <c r="E73" s="1">
        <v>39</v>
      </c>
      <c r="F73" s="93">
        <v>4</v>
      </c>
      <c r="I73" s="1">
        <v>40</v>
      </c>
      <c r="J73" s="93">
        <v>13</v>
      </c>
      <c r="K73" s="14">
        <f t="shared" si="34"/>
        <v>111</v>
      </c>
      <c r="L73" s="16">
        <v>1445632</v>
      </c>
      <c r="M73" s="17">
        <v>86788</v>
      </c>
      <c r="N73" s="17">
        <v>672573</v>
      </c>
      <c r="O73" s="17">
        <v>23327</v>
      </c>
      <c r="P73" s="17">
        <v>43894</v>
      </c>
      <c r="Q73" s="17">
        <v>2055</v>
      </c>
      <c r="R73" s="18">
        <f t="shared" si="35"/>
        <v>45949</v>
      </c>
      <c r="S73" s="17">
        <v>2242</v>
      </c>
      <c r="T73" s="17">
        <v>24876</v>
      </c>
      <c r="U73" s="19">
        <v>589877</v>
      </c>
      <c r="V73" s="22">
        <v>49.885498046875</v>
      </c>
      <c r="W73" s="15">
        <v>69</v>
      </c>
      <c r="X73" s="9">
        <f t="shared" si="36"/>
        <v>4.7729989374889321</v>
      </c>
      <c r="Y73" s="9">
        <f t="shared" si="37"/>
        <v>10.969003769384503</v>
      </c>
      <c r="Z73" s="9">
        <f t="shared" si="38"/>
        <v>24.690707734446502</v>
      </c>
      <c r="AA73" s="9">
        <f t="shared" si="39"/>
        <v>8.4961568696419789</v>
      </c>
      <c r="AB73" s="9">
        <f t="shared" si="40"/>
        <v>9.4450683302257463</v>
      </c>
      <c r="AC73" s="52">
        <f t="shared" si="32"/>
        <v>2.9061030902889802</v>
      </c>
      <c r="AD73" s="52">
        <f t="shared" si="33"/>
        <v>1.111687139861361</v>
      </c>
      <c r="AE73" s="1">
        <v>9492</v>
      </c>
      <c r="AF73" s="1">
        <v>8749</v>
      </c>
      <c r="AG73" s="1">
        <v>9261</v>
      </c>
      <c r="AH73" s="1">
        <v>10700</v>
      </c>
      <c r="AI73" s="1">
        <v>12511</v>
      </c>
      <c r="AJ73" s="1">
        <v>12110</v>
      </c>
      <c r="AK73" s="55">
        <f t="shared" si="41"/>
        <v>10470.5</v>
      </c>
      <c r="AL73" s="55">
        <f t="shared" si="42"/>
        <v>7.2428529528953423</v>
      </c>
      <c r="AM73" s="1">
        <v>70691</v>
      </c>
      <c r="AN73" s="1">
        <v>59811</v>
      </c>
      <c r="AO73" s="1"/>
      <c r="AP73" s="1">
        <v>44335</v>
      </c>
      <c r="AQ73" s="1">
        <v>49958</v>
      </c>
      <c r="AR73" s="1">
        <v>52449</v>
      </c>
      <c r="AS73" s="2">
        <f t="shared" si="43"/>
        <v>51638.25</v>
      </c>
      <c r="AT73" s="57">
        <f t="shared" si="29"/>
        <v>21.495693599221507</v>
      </c>
    </row>
    <row r="74" spans="1:46" ht="16" x14ac:dyDescent="0.2">
      <c r="A74" s="13" t="s">
        <v>18684</v>
      </c>
      <c r="B74" s="13" t="s">
        <v>1528</v>
      </c>
      <c r="C74" s="14" t="s">
        <v>1531</v>
      </c>
      <c r="D74" s="1">
        <v>6</v>
      </c>
      <c r="I74" s="1">
        <v>1</v>
      </c>
      <c r="K74" s="14">
        <f t="shared" si="34"/>
        <v>7</v>
      </c>
      <c r="L74" s="16">
        <v>305704</v>
      </c>
      <c r="M74" s="17">
        <v>78847</v>
      </c>
      <c r="N74" s="17">
        <v>198186</v>
      </c>
      <c r="O74" s="18">
        <v>505</v>
      </c>
      <c r="P74" s="17">
        <v>13393</v>
      </c>
      <c r="Q74" s="18">
        <v>76</v>
      </c>
      <c r="R74" s="18">
        <f t="shared" si="35"/>
        <v>13469</v>
      </c>
      <c r="S74" s="18">
        <v>843</v>
      </c>
      <c r="T74" s="17">
        <v>6890</v>
      </c>
      <c r="U74" s="19">
        <v>6964</v>
      </c>
      <c r="V74" s="22">
        <v>56.552970886230469</v>
      </c>
      <c r="W74" s="15">
        <v>4</v>
      </c>
      <c r="X74" s="9">
        <f t="shared" si="36"/>
        <v>1.3084552377463168</v>
      </c>
      <c r="Y74" s="9">
        <f t="shared" si="37"/>
        <v>3.2711380943657917</v>
      </c>
      <c r="Z74" s="9">
        <f t="shared" si="38"/>
        <v>10.87096347537455</v>
      </c>
      <c r="AA74" s="9">
        <f t="shared" si="39"/>
        <v>0.72082358419435721</v>
      </c>
      <c r="AB74" s="9">
        <f t="shared" si="40"/>
        <v>0</v>
      </c>
      <c r="AC74" s="52">
        <f t="shared" si="32"/>
        <v>15.081309371314061</v>
      </c>
      <c r="AD74" s="52">
        <f t="shared" si="33"/>
        <v>0</v>
      </c>
      <c r="AE74" s="1">
        <v>2259</v>
      </c>
      <c r="AF74" s="1">
        <v>2455</v>
      </c>
      <c r="AG74" s="1">
        <v>2167</v>
      </c>
      <c r="AH74" s="1">
        <v>2366</v>
      </c>
      <c r="AI74" s="1">
        <v>2008</v>
      </c>
      <c r="AJ74" s="1">
        <v>1751</v>
      </c>
      <c r="AK74" s="55">
        <f t="shared" si="41"/>
        <v>2167.6666666666665</v>
      </c>
      <c r="AL74" s="55">
        <f t="shared" si="42"/>
        <v>7.0907370092202475</v>
      </c>
      <c r="AM74" s="1">
        <v>17868</v>
      </c>
      <c r="AN74" s="1">
        <v>15406</v>
      </c>
      <c r="AO74" s="1">
        <v>12911</v>
      </c>
      <c r="AP74" s="1">
        <v>11897</v>
      </c>
      <c r="AQ74" s="1">
        <v>13534</v>
      </c>
      <c r="AR74" s="1">
        <v>11699</v>
      </c>
      <c r="AS74" s="2">
        <f t="shared" si="43"/>
        <v>13089.4</v>
      </c>
      <c r="AT74" s="57">
        <f t="shared" si="29"/>
        <v>5.347838709184531</v>
      </c>
    </row>
    <row r="75" spans="1:46" ht="16" x14ac:dyDescent="0.2">
      <c r="A75" s="13" t="s">
        <v>18666</v>
      </c>
      <c r="B75" s="13" t="s">
        <v>19236</v>
      </c>
      <c r="C75" s="14" t="s">
        <v>19237</v>
      </c>
      <c r="E75" s="1">
        <v>1</v>
      </c>
      <c r="I75" s="1">
        <v>1</v>
      </c>
      <c r="K75" s="14">
        <f t="shared" si="34"/>
        <v>2</v>
      </c>
      <c r="L75" s="16">
        <v>259841</v>
      </c>
      <c r="M75" s="17">
        <v>19199</v>
      </c>
      <c r="N75" s="17">
        <v>151629</v>
      </c>
      <c r="O75" s="18">
        <v>831</v>
      </c>
      <c r="P75" s="17">
        <v>43659</v>
      </c>
      <c r="Q75" s="18">
        <v>121</v>
      </c>
      <c r="R75" s="18">
        <f t="shared" si="35"/>
        <v>43780</v>
      </c>
      <c r="S75" s="18">
        <v>449</v>
      </c>
      <c r="T75" s="17">
        <v>5779</v>
      </c>
      <c r="U75" s="19">
        <v>38174</v>
      </c>
      <c r="V75" s="22">
        <v>26.404220581054688</v>
      </c>
      <c r="W75" s="15">
        <v>26</v>
      </c>
      <c r="X75" s="9">
        <f t="shared" si="36"/>
        <v>10.006119126696712</v>
      </c>
      <c r="Y75" s="9">
        <f t="shared" si="37"/>
        <v>1.099573530406232</v>
      </c>
      <c r="Z75" s="9">
        <f t="shared" si="38"/>
        <v>0</v>
      </c>
      <c r="AA75" s="9">
        <f t="shared" si="39"/>
        <v>0.94214921193929169</v>
      </c>
      <c r="AB75" s="9">
        <f t="shared" si="40"/>
        <v>3.7422628715131472</v>
      </c>
      <c r="AC75" s="52">
        <f t="shared" si="32"/>
        <v>0</v>
      </c>
      <c r="AD75" s="52">
        <f t="shared" si="33"/>
        <v>3.9720490386126688</v>
      </c>
      <c r="AE75" s="1">
        <v>389</v>
      </c>
      <c r="AF75" s="1">
        <v>459</v>
      </c>
      <c r="AG75" s="1">
        <v>433</v>
      </c>
      <c r="AH75" s="1">
        <v>399</v>
      </c>
      <c r="AI75" s="1">
        <v>435</v>
      </c>
      <c r="AJ75" s="1">
        <v>402</v>
      </c>
      <c r="AK75" s="55">
        <f t="shared" si="41"/>
        <v>419.5</v>
      </c>
      <c r="AL75" s="55">
        <f t="shared" si="42"/>
        <v>1.6144488360189502</v>
      </c>
      <c r="AM75" s="1">
        <v>8832</v>
      </c>
      <c r="AN75" s="1">
        <v>3432</v>
      </c>
      <c r="AO75" s="1">
        <v>9163</v>
      </c>
      <c r="AP75" s="1">
        <v>8885</v>
      </c>
      <c r="AQ75" s="1">
        <v>9335</v>
      </c>
      <c r="AR75" s="1">
        <v>7657</v>
      </c>
      <c r="AS75" s="2">
        <f t="shared" si="43"/>
        <v>7694.4</v>
      </c>
      <c r="AT75" s="57">
        <f t="shared" si="29"/>
        <v>2.599292992306093</v>
      </c>
    </row>
    <row r="76" spans="1:46" ht="16" x14ac:dyDescent="0.2">
      <c r="A76" s="13" t="s">
        <v>18673</v>
      </c>
      <c r="B76" s="13" t="s">
        <v>1459</v>
      </c>
      <c r="C76" s="14" t="s">
        <v>16039</v>
      </c>
      <c r="D76" s="1">
        <v>4</v>
      </c>
      <c r="E76" s="1">
        <v>1</v>
      </c>
      <c r="I76" s="1">
        <v>13</v>
      </c>
      <c r="K76" s="14">
        <f t="shared" si="34"/>
        <v>18</v>
      </c>
      <c r="L76" s="16">
        <v>583776</v>
      </c>
      <c r="M76" s="17">
        <v>35462</v>
      </c>
      <c r="N76" s="17">
        <v>421773</v>
      </c>
      <c r="O76" s="17">
        <v>4381</v>
      </c>
      <c r="P76" s="17">
        <v>41335</v>
      </c>
      <c r="Q76" s="17">
        <v>2978</v>
      </c>
      <c r="R76" s="18">
        <f t="shared" si="35"/>
        <v>44313</v>
      </c>
      <c r="S76" s="17">
        <v>1299</v>
      </c>
      <c r="T76" s="17">
        <v>21708</v>
      </c>
      <c r="U76" s="19">
        <v>54840</v>
      </c>
      <c r="V76" s="22">
        <v>38.6396484375</v>
      </c>
      <c r="W76" s="15">
        <v>12</v>
      </c>
      <c r="X76" s="9">
        <f t="shared" si="36"/>
        <v>2.0555829633284</v>
      </c>
      <c r="Y76" s="9">
        <f t="shared" si="37"/>
        <v>4.4048206357037145</v>
      </c>
      <c r="Z76" s="9">
        <f t="shared" si="38"/>
        <v>16.113828081568201</v>
      </c>
      <c r="AA76" s="9">
        <f t="shared" si="39"/>
        <v>4.403180993432148</v>
      </c>
      <c r="AB76" s="9">
        <f t="shared" si="40"/>
        <v>2.6049807231426487</v>
      </c>
      <c r="AC76" s="52">
        <f t="shared" si="32"/>
        <v>3.65958794462545</v>
      </c>
      <c r="AD76" s="52">
        <f t="shared" si="33"/>
        <v>0.59161336475340842</v>
      </c>
      <c r="AE76" s="1">
        <v>2941</v>
      </c>
      <c r="AF76" s="1">
        <v>2911</v>
      </c>
      <c r="AG76" s="1">
        <v>680</v>
      </c>
      <c r="AH76" s="1">
        <v>3163</v>
      </c>
      <c r="AI76" s="1">
        <v>3349</v>
      </c>
      <c r="AJ76" s="1">
        <v>3418</v>
      </c>
      <c r="AK76" s="55">
        <f t="shared" si="41"/>
        <v>2743.6666666666665</v>
      </c>
      <c r="AL76" s="55">
        <f t="shared" si="42"/>
        <v>4.6998620475433492</v>
      </c>
      <c r="AM76" s="1"/>
      <c r="AN76" s="1">
        <v>20160</v>
      </c>
      <c r="AO76" s="1"/>
      <c r="AP76" s="1">
        <v>20322</v>
      </c>
      <c r="AQ76" s="1">
        <v>19107</v>
      </c>
      <c r="AR76" s="1">
        <v>20501</v>
      </c>
      <c r="AS76" s="2">
        <f t="shared" si="43"/>
        <v>20022.5</v>
      </c>
      <c r="AT76" s="57">
        <f t="shared" si="29"/>
        <v>8.9898863778249467</v>
      </c>
    </row>
    <row r="77" spans="1:46" ht="16" x14ac:dyDescent="0.2">
      <c r="A77" s="13" t="s">
        <v>18681</v>
      </c>
      <c r="B77" s="13" t="s">
        <v>140</v>
      </c>
      <c r="C77" s="14" t="s">
        <v>15661</v>
      </c>
      <c r="D77" s="1">
        <v>2</v>
      </c>
      <c r="E77" s="1">
        <v>1</v>
      </c>
      <c r="I77" s="1">
        <v>1</v>
      </c>
      <c r="K77" s="14">
        <f t="shared" si="34"/>
        <v>4</v>
      </c>
      <c r="L77" s="16">
        <v>403892</v>
      </c>
      <c r="M77" s="17">
        <v>115976</v>
      </c>
      <c r="N77" s="17">
        <v>215204</v>
      </c>
      <c r="O77" s="17">
        <v>1019</v>
      </c>
      <c r="P77" s="17">
        <v>17309</v>
      </c>
      <c r="Q77" s="18">
        <v>139</v>
      </c>
      <c r="R77" s="18">
        <f t="shared" si="35"/>
        <v>17448</v>
      </c>
      <c r="S77" s="18">
        <v>828</v>
      </c>
      <c r="T77" s="17">
        <v>7549</v>
      </c>
      <c r="U77" s="19">
        <v>45868</v>
      </c>
      <c r="V77" s="22">
        <v>50.263767242431641</v>
      </c>
      <c r="W77" s="15">
        <v>15</v>
      </c>
      <c r="X77" s="9">
        <f t="shared" si="36"/>
        <v>3.7138641022847692</v>
      </c>
      <c r="Y77" s="9">
        <f t="shared" si="37"/>
        <v>1.41480537229896</v>
      </c>
      <c r="Z77" s="9">
        <f t="shared" si="38"/>
        <v>2.4635638900659251</v>
      </c>
      <c r="AA77" s="9">
        <f t="shared" si="39"/>
        <v>0.66382196825868878</v>
      </c>
      <c r="AB77" s="9">
        <f t="shared" si="40"/>
        <v>3.1145274016120799</v>
      </c>
      <c r="AC77" s="52">
        <f t="shared" si="32"/>
        <v>3.7111816237842312</v>
      </c>
      <c r="AD77" s="52">
        <f t="shared" si="33"/>
        <v>4.6918112845556825</v>
      </c>
      <c r="AE77" s="1">
        <v>1683</v>
      </c>
      <c r="AK77" s="55">
        <f t="shared" si="41"/>
        <v>1683</v>
      </c>
      <c r="AL77" s="55">
        <f t="shared" si="42"/>
        <v>4.1669555227635113</v>
      </c>
      <c r="AM77" s="1">
        <v>27458</v>
      </c>
      <c r="AN77" s="1"/>
      <c r="AO77" s="1"/>
      <c r="AP77" s="1"/>
      <c r="AQ77" s="1"/>
      <c r="AR77" s="1"/>
      <c r="AS77" s="2" t="e">
        <f t="shared" si="43"/>
        <v>#DIV/0!</v>
      </c>
      <c r="AT77" s="57"/>
    </row>
    <row r="78" spans="1:46" ht="16" x14ac:dyDescent="0.2">
      <c r="A78" s="13" t="s">
        <v>18672</v>
      </c>
      <c r="B78" s="13" t="s">
        <v>1506</v>
      </c>
      <c r="C78" s="14" t="s">
        <v>6817</v>
      </c>
      <c r="D78" s="1">
        <v>3</v>
      </c>
      <c r="E78" s="1">
        <v>5</v>
      </c>
      <c r="I78" s="1">
        <v>4</v>
      </c>
      <c r="J78" s="93">
        <v>2</v>
      </c>
      <c r="K78" s="14">
        <f t="shared" si="34"/>
        <v>14</v>
      </c>
      <c r="L78" s="16">
        <v>225221</v>
      </c>
      <c r="M78" s="17">
        <v>5990</v>
      </c>
      <c r="N78" s="17">
        <v>140752</v>
      </c>
      <c r="O78" s="17">
        <v>2066</v>
      </c>
      <c r="P78" s="17">
        <v>13913</v>
      </c>
      <c r="Q78" s="17">
        <v>1505</v>
      </c>
      <c r="R78" s="18">
        <f t="shared" si="35"/>
        <v>15418</v>
      </c>
      <c r="S78" s="18">
        <v>441</v>
      </c>
      <c r="T78" s="17">
        <v>5914</v>
      </c>
      <c r="U78" s="19">
        <v>54640</v>
      </c>
      <c r="V78" s="22">
        <v>32.082550048828125</v>
      </c>
      <c r="W78" s="15">
        <v>12</v>
      </c>
      <c r="X78" s="9">
        <f t="shared" si="36"/>
        <v>5.3280999551551584</v>
      </c>
      <c r="Y78" s="9">
        <f t="shared" si="37"/>
        <v>8.8801665919252653</v>
      </c>
      <c r="Z78" s="9">
        <f t="shared" si="38"/>
        <v>71.547817791557364</v>
      </c>
      <c r="AA78" s="9">
        <f t="shared" si="39"/>
        <v>4.0598255898926583</v>
      </c>
      <c r="AB78" s="9">
        <f t="shared" si="40"/>
        <v>13.07257895837691</v>
      </c>
      <c r="AC78" s="52">
        <f t="shared" si="32"/>
        <v>17.623372287145244</v>
      </c>
      <c r="AD78" s="52">
        <f t="shared" si="33"/>
        <v>3.219985358711567</v>
      </c>
      <c r="AE78" s="1">
        <v>1154</v>
      </c>
      <c r="AF78" s="1">
        <v>1147</v>
      </c>
      <c r="AG78" s="1">
        <v>1419</v>
      </c>
      <c r="AH78" s="1">
        <v>1717</v>
      </c>
      <c r="AI78" s="1">
        <v>1674</v>
      </c>
      <c r="AJ78" s="1">
        <v>1636</v>
      </c>
      <c r="AK78" s="55">
        <f t="shared" si="41"/>
        <v>1457.8333333333333</v>
      </c>
      <c r="AL78" s="55">
        <f t="shared" si="42"/>
        <v>6.4729014316308575</v>
      </c>
      <c r="AM78" s="1">
        <v>12196</v>
      </c>
      <c r="AN78" s="1">
        <v>12309</v>
      </c>
      <c r="AO78" s="1">
        <v>11869</v>
      </c>
      <c r="AP78" s="1">
        <v>12044</v>
      </c>
      <c r="AQ78" s="1">
        <v>12837</v>
      </c>
      <c r="AR78" s="1">
        <v>14422</v>
      </c>
      <c r="AS78" s="2">
        <f t="shared" si="43"/>
        <v>12696.2</v>
      </c>
      <c r="AT78" s="57">
        <f>(K78/AS78)*10000</f>
        <v>11.026921441061104</v>
      </c>
    </row>
    <row r="79" spans="1:46" ht="16" x14ac:dyDescent="0.2">
      <c r="A79" s="13" t="s">
        <v>18661</v>
      </c>
      <c r="B79" s="13" t="s">
        <v>728</v>
      </c>
      <c r="C79" s="14" t="s">
        <v>5461</v>
      </c>
      <c r="D79" s="1">
        <v>3</v>
      </c>
      <c r="E79" s="1">
        <v>5</v>
      </c>
      <c r="K79" s="14">
        <f t="shared" si="34"/>
        <v>8</v>
      </c>
      <c r="L79" s="16">
        <v>303871</v>
      </c>
      <c r="M79" s="17">
        <v>19917</v>
      </c>
      <c r="N79" s="17">
        <v>103398</v>
      </c>
      <c r="O79" s="17">
        <v>1297</v>
      </c>
      <c r="P79" s="17">
        <v>21934</v>
      </c>
      <c r="Q79" s="17">
        <v>1019</v>
      </c>
      <c r="R79" s="18">
        <f t="shared" si="35"/>
        <v>22953</v>
      </c>
      <c r="S79" s="18">
        <v>617</v>
      </c>
      <c r="T79" s="17">
        <v>6736</v>
      </c>
      <c r="U79" s="19">
        <v>148953</v>
      </c>
      <c r="V79" s="22">
        <v>25.409904479980469</v>
      </c>
      <c r="W79" s="15">
        <v>27</v>
      </c>
      <c r="X79" s="9">
        <f t="shared" si="36"/>
        <v>8.8853493752283033</v>
      </c>
      <c r="Y79" s="9">
        <f t="shared" si="37"/>
        <v>3.7609944445410814</v>
      </c>
      <c r="Z79" s="9">
        <f t="shared" si="38"/>
        <v>21.517870591526265</v>
      </c>
      <c r="AA79" s="9">
        <f t="shared" si="39"/>
        <v>0</v>
      </c>
      <c r="AB79" s="9">
        <f t="shared" si="40"/>
        <v>4.7953764898035915</v>
      </c>
      <c r="AC79" s="52" t="s">
        <v>36368</v>
      </c>
      <c r="AD79" s="52" t="s">
        <v>36368</v>
      </c>
      <c r="AE79" s="1">
        <v>1330</v>
      </c>
      <c r="AF79" s="1">
        <v>1384</v>
      </c>
      <c r="AG79" s="1">
        <v>1441</v>
      </c>
      <c r="AH79" s="1">
        <v>1724</v>
      </c>
      <c r="AI79" s="1">
        <v>1669</v>
      </c>
      <c r="AJ79" s="1">
        <v>1686</v>
      </c>
      <c r="AK79" s="55">
        <f t="shared" si="41"/>
        <v>1539</v>
      </c>
      <c r="AL79" s="55">
        <f t="shared" si="42"/>
        <v>5.0646491438801338</v>
      </c>
      <c r="AM79" s="1">
        <v>8117</v>
      </c>
      <c r="AN79" s="1">
        <v>11796</v>
      </c>
      <c r="AO79" s="1">
        <v>8500</v>
      </c>
      <c r="AP79" s="1">
        <v>9122</v>
      </c>
      <c r="AQ79" s="1">
        <v>7573</v>
      </c>
      <c r="AR79" s="1">
        <v>7443</v>
      </c>
      <c r="AS79" s="2">
        <f t="shared" si="43"/>
        <v>8886.7999999999993</v>
      </c>
      <c r="AT79" s="57">
        <f>(K79/AS79)*10000</f>
        <v>9.002115497141828</v>
      </c>
    </row>
    <row r="80" spans="1:46" ht="16" x14ac:dyDescent="0.2">
      <c r="A80" s="13" t="s">
        <v>700</v>
      </c>
      <c r="B80" s="13" t="s">
        <v>1863</v>
      </c>
      <c r="C80" s="14" t="s">
        <v>1876</v>
      </c>
      <c r="D80" s="1">
        <v>2</v>
      </c>
      <c r="G80" s="93">
        <v>1</v>
      </c>
      <c r="I80" s="1">
        <v>1</v>
      </c>
      <c r="K80" s="14">
        <f t="shared" si="34"/>
        <v>4</v>
      </c>
      <c r="L80" s="16">
        <v>210565</v>
      </c>
      <c r="M80" s="17">
        <v>83346</v>
      </c>
      <c r="N80" s="17">
        <v>79178</v>
      </c>
      <c r="O80" s="18">
        <v>666</v>
      </c>
      <c r="P80" s="17">
        <v>6350</v>
      </c>
      <c r="Q80" s="18">
        <v>77</v>
      </c>
      <c r="R80" s="18">
        <f t="shared" si="35"/>
        <v>6427</v>
      </c>
      <c r="S80" s="18">
        <v>392</v>
      </c>
      <c r="T80" s="17">
        <v>6100</v>
      </c>
      <c r="U80" s="19">
        <v>34456</v>
      </c>
      <c r="V80" s="22">
        <v>51.594287872314453</v>
      </c>
      <c r="W80" s="15">
        <v>28</v>
      </c>
      <c r="X80" s="9">
        <f t="shared" si="36"/>
        <v>13.297556573979531</v>
      </c>
      <c r="Y80" s="9">
        <f t="shared" si="37"/>
        <v>2.7137870559141901</v>
      </c>
      <c r="Z80" s="9">
        <f t="shared" si="38"/>
        <v>3.4280503649159617</v>
      </c>
      <c r="AA80" s="9">
        <f t="shared" si="39"/>
        <v>1.8042529851365641</v>
      </c>
      <c r="AB80" s="9">
        <f t="shared" si="40"/>
        <v>0</v>
      </c>
      <c r="AC80" s="52">
        <f t="shared" ref="AC80:AC103" si="44">Z80/AA80</f>
        <v>1.899983202553212</v>
      </c>
      <c r="AD80" s="52">
        <f t="shared" ref="AD80:AD103" si="45">AB80/AA80</f>
        <v>0</v>
      </c>
      <c r="AE80" s="1">
        <v>2107</v>
      </c>
      <c r="AF80" s="1">
        <v>1765</v>
      </c>
      <c r="AG80" s="1">
        <v>1839</v>
      </c>
      <c r="AH80" s="1">
        <v>1845</v>
      </c>
      <c r="AI80" s="1">
        <v>1872</v>
      </c>
      <c r="AJ80" s="1">
        <v>1615</v>
      </c>
      <c r="AK80" s="55">
        <f t="shared" si="41"/>
        <v>1840.5</v>
      </c>
      <c r="AL80" s="55">
        <f t="shared" si="42"/>
        <v>8.7407688837176174</v>
      </c>
      <c r="AM80" s="1"/>
      <c r="AN80" s="1"/>
      <c r="AO80" s="1"/>
      <c r="AP80" s="1"/>
      <c r="AQ80" s="1"/>
      <c r="AR80" s="1"/>
      <c r="AS80" s="2" t="e">
        <f t="shared" si="43"/>
        <v>#DIV/0!</v>
      </c>
      <c r="AT80" s="57"/>
    </row>
    <row r="81" spans="1:46" ht="16" x14ac:dyDescent="0.2">
      <c r="A81" s="13" t="s">
        <v>18661</v>
      </c>
      <c r="B81" s="13" t="s">
        <v>1537</v>
      </c>
      <c r="C81" s="14" t="s">
        <v>2166</v>
      </c>
      <c r="D81" s="1">
        <v>5</v>
      </c>
      <c r="E81" s="1">
        <v>2</v>
      </c>
      <c r="I81" s="1">
        <v>5</v>
      </c>
      <c r="J81" s="93">
        <v>1</v>
      </c>
      <c r="K81" s="14">
        <f t="shared" si="34"/>
        <v>13</v>
      </c>
      <c r="L81" s="16">
        <v>466488</v>
      </c>
      <c r="M81" s="17">
        <v>64967</v>
      </c>
      <c r="N81" s="17">
        <v>161062</v>
      </c>
      <c r="O81" s="17">
        <v>2586</v>
      </c>
      <c r="P81" s="17">
        <v>83841</v>
      </c>
      <c r="Q81" s="17">
        <v>6392</v>
      </c>
      <c r="R81" s="18">
        <f t="shared" si="35"/>
        <v>90233</v>
      </c>
      <c r="S81" s="17">
        <v>1253</v>
      </c>
      <c r="T81" s="17">
        <v>21111</v>
      </c>
      <c r="U81" s="19">
        <v>125276</v>
      </c>
      <c r="V81" s="22">
        <v>40.570213317871094</v>
      </c>
      <c r="W81" s="15">
        <v>103</v>
      </c>
      <c r="X81" s="9">
        <f t="shared" si="36"/>
        <v>22.079882011970298</v>
      </c>
      <c r="Y81" s="9">
        <f t="shared" si="37"/>
        <v>3.9811160354454076</v>
      </c>
      <c r="Z81" s="9">
        <f t="shared" si="38"/>
        <v>10.994592859231831</v>
      </c>
      <c r="AA81" s="9">
        <f t="shared" si="39"/>
        <v>4.4348494013840281</v>
      </c>
      <c r="AB81" s="9">
        <f t="shared" si="40"/>
        <v>2.2806785474814468</v>
      </c>
      <c r="AC81" s="52">
        <f t="shared" si="44"/>
        <v>2.4791355611310362</v>
      </c>
      <c r="AD81" s="52">
        <f t="shared" si="45"/>
        <v>0.51426290750023951</v>
      </c>
      <c r="AE81" s="1">
        <v>3137</v>
      </c>
      <c r="AF81" s="1">
        <v>2968</v>
      </c>
      <c r="AG81" s="1">
        <v>3611</v>
      </c>
      <c r="AH81" s="1">
        <v>3549</v>
      </c>
      <c r="AI81" s="1">
        <v>3378</v>
      </c>
      <c r="AJ81" s="1">
        <v>3329</v>
      </c>
      <c r="AK81" s="55">
        <f t="shared" si="41"/>
        <v>3328.6666666666665</v>
      </c>
      <c r="AL81" s="55">
        <f t="shared" si="42"/>
        <v>7.1355890540949964</v>
      </c>
      <c r="AM81" s="1">
        <v>18467</v>
      </c>
      <c r="AN81" s="1">
        <v>19824</v>
      </c>
      <c r="AO81" s="1">
        <v>18132</v>
      </c>
      <c r="AP81" s="1">
        <v>16282</v>
      </c>
      <c r="AQ81" s="1">
        <v>13810</v>
      </c>
      <c r="AR81" s="1">
        <v>14054</v>
      </c>
      <c r="AS81" s="2">
        <f t="shared" si="43"/>
        <v>16420.400000000001</v>
      </c>
      <c r="AT81" s="57">
        <f t="shared" ref="AT81:AT101" si="46">(K81/AS81)*10000</f>
        <v>7.9169813159240938</v>
      </c>
    </row>
    <row r="82" spans="1:46" ht="16" x14ac:dyDescent="0.2">
      <c r="A82" s="13" t="s">
        <v>18666</v>
      </c>
      <c r="B82" s="13" t="s">
        <v>532</v>
      </c>
      <c r="C82" s="14" t="s">
        <v>534</v>
      </c>
      <c r="D82" s="1">
        <v>8</v>
      </c>
      <c r="E82" s="1">
        <v>25</v>
      </c>
      <c r="G82" s="93">
        <v>1</v>
      </c>
      <c r="I82" s="1">
        <v>9</v>
      </c>
      <c r="J82" s="93">
        <v>4</v>
      </c>
      <c r="K82" s="14">
        <f t="shared" si="34"/>
        <v>47</v>
      </c>
      <c r="L82" s="16">
        <v>1327407</v>
      </c>
      <c r="M82" s="17">
        <v>83365</v>
      </c>
      <c r="N82" s="17">
        <v>353106</v>
      </c>
      <c r="O82" s="17">
        <v>2771</v>
      </c>
      <c r="P82" s="17">
        <v>30596</v>
      </c>
      <c r="Q82" s="17">
        <v>1097</v>
      </c>
      <c r="R82" s="18">
        <f t="shared" si="35"/>
        <v>31693</v>
      </c>
      <c r="S82" s="17">
        <v>2105</v>
      </c>
      <c r="T82" s="17">
        <v>15415</v>
      </c>
      <c r="U82" s="19">
        <v>838952</v>
      </c>
      <c r="V82" s="22">
        <v>43.077556610107422</v>
      </c>
      <c r="W82" s="15">
        <v>43</v>
      </c>
      <c r="X82" s="9">
        <f t="shared" si="36"/>
        <v>3.2393983156635455</v>
      </c>
      <c r="Y82" s="9">
        <f t="shared" si="37"/>
        <v>5.0581967055211514</v>
      </c>
      <c r="Z82" s="9">
        <f t="shared" si="38"/>
        <v>13.709076265304899</v>
      </c>
      <c r="AA82" s="9">
        <f t="shared" si="39"/>
        <v>3.6411567226676573</v>
      </c>
      <c r="AB82" s="9">
        <f t="shared" si="40"/>
        <v>4.2570118092913205</v>
      </c>
      <c r="AC82" s="52">
        <f t="shared" si="44"/>
        <v>3.7650332873508066</v>
      </c>
      <c r="AD82" s="52">
        <f t="shared" si="45"/>
        <v>1.1691372092801495</v>
      </c>
      <c r="AE82" s="1">
        <v>8828</v>
      </c>
      <c r="AF82" s="1">
        <v>7704</v>
      </c>
      <c r="AG82" s="1">
        <v>8594</v>
      </c>
      <c r="AH82" s="1">
        <v>10754</v>
      </c>
      <c r="AI82" s="1">
        <v>10759</v>
      </c>
      <c r="AJ82" s="1">
        <v>9647</v>
      </c>
      <c r="AK82" s="55">
        <f t="shared" si="41"/>
        <v>9381</v>
      </c>
      <c r="AL82" s="55">
        <f t="shared" si="42"/>
        <v>7.067161767265052</v>
      </c>
      <c r="AM82" s="1">
        <v>58324</v>
      </c>
      <c r="AN82" s="1">
        <v>57490</v>
      </c>
      <c r="AO82" s="1">
        <v>50826</v>
      </c>
      <c r="AP82" s="1">
        <v>42077</v>
      </c>
      <c r="AQ82" s="1">
        <v>52253</v>
      </c>
      <c r="AR82" s="1">
        <v>61234</v>
      </c>
      <c r="AS82" s="2">
        <f t="shared" si="43"/>
        <v>52776</v>
      </c>
      <c r="AT82" s="57">
        <f t="shared" si="46"/>
        <v>8.9055631347582231</v>
      </c>
    </row>
    <row r="83" spans="1:46" ht="16" x14ac:dyDescent="0.2">
      <c r="A83" s="13" t="s">
        <v>18661</v>
      </c>
      <c r="B83" s="13" t="s">
        <v>288</v>
      </c>
      <c r="C83" s="14" t="s">
        <v>3983</v>
      </c>
      <c r="E83" s="1">
        <v>5</v>
      </c>
      <c r="G83" s="93">
        <v>1</v>
      </c>
      <c r="I83" s="1">
        <v>3</v>
      </c>
      <c r="J83" s="93">
        <v>1</v>
      </c>
      <c r="K83" s="14">
        <f t="shared" si="34"/>
        <v>10</v>
      </c>
      <c r="L83" s="16">
        <v>209924</v>
      </c>
      <c r="M83" s="17">
        <v>29897</v>
      </c>
      <c r="N83" s="17">
        <v>39977</v>
      </c>
      <c r="O83" s="18">
        <v>867</v>
      </c>
      <c r="P83" s="17">
        <v>8027</v>
      </c>
      <c r="Q83" s="18">
        <v>704</v>
      </c>
      <c r="R83" s="18">
        <f t="shared" si="35"/>
        <v>8731</v>
      </c>
      <c r="S83" s="18">
        <v>361</v>
      </c>
      <c r="T83" s="17">
        <v>4097</v>
      </c>
      <c r="U83" s="19">
        <v>125994</v>
      </c>
      <c r="V83" s="22">
        <v>33.098663330078125</v>
      </c>
      <c r="W83" s="15">
        <v>32</v>
      </c>
      <c r="X83" s="9">
        <f t="shared" si="36"/>
        <v>15.243611973857204</v>
      </c>
      <c r="Y83" s="9">
        <f t="shared" si="37"/>
        <v>6.805183916900539</v>
      </c>
      <c r="Z83" s="9">
        <f t="shared" si="38"/>
        <v>0</v>
      </c>
      <c r="AA83" s="9">
        <f t="shared" si="39"/>
        <v>10.720449973020202</v>
      </c>
      <c r="AB83" s="9">
        <f t="shared" si="40"/>
        <v>5.6692042024676912</v>
      </c>
      <c r="AC83" s="52">
        <f t="shared" si="44"/>
        <v>0</v>
      </c>
      <c r="AD83" s="52">
        <f t="shared" si="45"/>
        <v>0.52882147827145209</v>
      </c>
      <c r="AE83" s="1">
        <v>1949</v>
      </c>
      <c r="AF83" s="1">
        <v>2128</v>
      </c>
      <c r="AG83" s="1">
        <v>2697</v>
      </c>
      <c r="AH83" s="1">
        <v>2878</v>
      </c>
      <c r="AI83" s="1">
        <v>2805</v>
      </c>
      <c r="AJ83" s="1">
        <v>2906</v>
      </c>
      <c r="AK83" s="55">
        <f t="shared" si="41"/>
        <v>2560.5</v>
      </c>
      <c r="AL83" s="55">
        <f t="shared" si="42"/>
        <v>12.197271393456679</v>
      </c>
      <c r="AM83" s="1">
        <v>6996</v>
      </c>
      <c r="AN83" s="1">
        <v>7993</v>
      </c>
      <c r="AO83" s="1">
        <v>6337</v>
      </c>
      <c r="AP83" s="1">
        <v>6714</v>
      </c>
      <c r="AQ83" s="1">
        <v>8120</v>
      </c>
      <c r="AR83" s="1">
        <v>9195</v>
      </c>
      <c r="AS83" s="2">
        <f t="shared" si="43"/>
        <v>7671.8</v>
      </c>
      <c r="AT83" s="57">
        <f t="shared" si="46"/>
        <v>13.034750645220157</v>
      </c>
    </row>
    <row r="84" spans="1:46" ht="16" x14ac:dyDescent="0.2">
      <c r="A84" s="13" t="s">
        <v>18661</v>
      </c>
      <c r="B84" s="13" t="s">
        <v>143</v>
      </c>
      <c r="C84" s="14" t="s">
        <v>144</v>
      </c>
      <c r="D84" s="1">
        <v>2</v>
      </c>
      <c r="E84" s="1">
        <v>9</v>
      </c>
      <c r="G84" s="93">
        <v>4</v>
      </c>
      <c r="H84" s="93">
        <v>1</v>
      </c>
      <c r="I84" s="1">
        <v>12</v>
      </c>
      <c r="J84" s="93">
        <v>2</v>
      </c>
      <c r="K84" s="14">
        <f t="shared" si="34"/>
        <v>30</v>
      </c>
      <c r="L84" s="16">
        <v>1307402</v>
      </c>
      <c r="M84" s="17">
        <v>82497</v>
      </c>
      <c r="N84" s="17">
        <v>589702</v>
      </c>
      <c r="O84" s="17">
        <v>3545</v>
      </c>
      <c r="P84" s="17">
        <v>204347</v>
      </c>
      <c r="Q84" s="17">
        <v>5178</v>
      </c>
      <c r="R84" s="18">
        <f t="shared" si="35"/>
        <v>209525</v>
      </c>
      <c r="S84" s="17">
        <v>3293</v>
      </c>
      <c r="T84" s="17">
        <v>42820</v>
      </c>
      <c r="U84" s="19">
        <v>376020</v>
      </c>
      <c r="V84" s="22">
        <v>54.567657470703125</v>
      </c>
      <c r="W84" s="15">
        <v>45</v>
      </c>
      <c r="X84" s="9">
        <f t="shared" si="36"/>
        <v>3.4419405813973052</v>
      </c>
      <c r="Y84" s="9">
        <f t="shared" si="37"/>
        <v>3.2780386489498148</v>
      </c>
      <c r="Z84" s="9">
        <f t="shared" si="38"/>
        <v>3.4633294024544621</v>
      </c>
      <c r="AA84" s="9">
        <f t="shared" si="39"/>
        <v>2.9070373074632854</v>
      </c>
      <c r="AB84" s="9">
        <f t="shared" si="40"/>
        <v>3.4192710114203653</v>
      </c>
      <c r="AC84" s="52">
        <f t="shared" si="44"/>
        <v>1.1913604939169506</v>
      </c>
      <c r="AD84" s="52">
        <f t="shared" si="45"/>
        <v>1.1762047231530237</v>
      </c>
      <c r="AE84" s="1">
        <v>5303</v>
      </c>
      <c r="AF84" s="1">
        <v>5214</v>
      </c>
      <c r="AG84" s="1">
        <v>5582</v>
      </c>
      <c r="AH84" s="1">
        <v>5332</v>
      </c>
      <c r="AI84" s="1">
        <v>5221</v>
      </c>
      <c r="AJ84" s="1">
        <v>5360</v>
      </c>
      <c r="AK84" s="55">
        <f t="shared" si="41"/>
        <v>5335.333333333333</v>
      </c>
      <c r="AL84" s="55">
        <f t="shared" si="42"/>
        <v>4.0808667367292788</v>
      </c>
      <c r="AM84" s="1">
        <v>41444</v>
      </c>
      <c r="AN84" s="1">
        <v>40118</v>
      </c>
      <c r="AO84" s="1">
        <v>36587</v>
      </c>
      <c r="AP84" s="1">
        <v>35761</v>
      </c>
      <c r="AQ84" s="1">
        <v>35725</v>
      </c>
      <c r="AR84" s="1">
        <v>33674</v>
      </c>
      <c r="AS84" s="2">
        <f t="shared" si="43"/>
        <v>36373</v>
      </c>
      <c r="AT84" s="57">
        <f t="shared" si="46"/>
        <v>8.2478761718857392</v>
      </c>
    </row>
    <row r="85" spans="1:46" ht="16" x14ac:dyDescent="0.2">
      <c r="A85" s="13" t="s">
        <v>18661</v>
      </c>
      <c r="B85" s="13" t="s">
        <v>886</v>
      </c>
      <c r="C85" s="14" t="s">
        <v>887</v>
      </c>
      <c r="D85" s="1">
        <v>5</v>
      </c>
      <c r="E85" s="1">
        <v>7</v>
      </c>
      <c r="G85" s="93">
        <v>1</v>
      </c>
      <c r="I85" s="1">
        <v>5</v>
      </c>
      <c r="K85" s="14">
        <f t="shared" si="34"/>
        <v>18</v>
      </c>
      <c r="L85" s="16">
        <v>805235</v>
      </c>
      <c r="M85" s="17">
        <v>46781</v>
      </c>
      <c r="N85" s="17">
        <v>337451</v>
      </c>
      <c r="O85" s="17">
        <v>1828</v>
      </c>
      <c r="P85" s="17">
        <v>265700</v>
      </c>
      <c r="Q85" s="17">
        <v>3128</v>
      </c>
      <c r="R85" s="18">
        <f t="shared" si="35"/>
        <v>268828</v>
      </c>
      <c r="S85" s="17">
        <v>2494</v>
      </c>
      <c r="T85" s="17">
        <v>26079</v>
      </c>
      <c r="U85" s="19">
        <v>121774</v>
      </c>
      <c r="V85" s="22">
        <v>52.759510040283203</v>
      </c>
      <c r="W85" s="15">
        <v>32</v>
      </c>
      <c r="X85" s="9">
        <f t="shared" si="36"/>
        <v>3.9739951691121229</v>
      </c>
      <c r="Y85" s="9">
        <f t="shared" si="37"/>
        <v>3.1933889751793845</v>
      </c>
      <c r="Z85" s="9">
        <f t="shared" si="38"/>
        <v>15.268714099435975</v>
      </c>
      <c r="AA85" s="9">
        <f t="shared" si="39"/>
        <v>2.1167094312528763</v>
      </c>
      <c r="AB85" s="9">
        <f t="shared" si="40"/>
        <v>8.2119335818811905</v>
      </c>
      <c r="AC85" s="52">
        <f t="shared" si="44"/>
        <v>7.213419978196276</v>
      </c>
      <c r="AD85" s="52">
        <f t="shared" si="45"/>
        <v>3.8795752787951452</v>
      </c>
      <c r="AE85" s="1">
        <v>7064</v>
      </c>
      <c r="AF85" s="1">
        <v>6761</v>
      </c>
      <c r="AG85" s="1">
        <v>6710</v>
      </c>
      <c r="AH85" s="1">
        <v>6190</v>
      </c>
      <c r="AI85" s="1">
        <v>6301</v>
      </c>
      <c r="AJ85" s="1">
        <v>6144</v>
      </c>
      <c r="AK85" s="55">
        <f t="shared" si="41"/>
        <v>6528.333333333333</v>
      </c>
      <c r="AL85" s="55">
        <f t="shared" si="42"/>
        <v>8.1073641028188455</v>
      </c>
      <c r="AM85" s="1">
        <v>17451</v>
      </c>
      <c r="AN85" s="1">
        <v>14699</v>
      </c>
      <c r="AO85" s="1">
        <v>16604</v>
      </c>
      <c r="AP85" s="1">
        <v>15271</v>
      </c>
      <c r="AQ85" s="1">
        <v>13950</v>
      </c>
      <c r="AR85" s="1">
        <v>13891</v>
      </c>
      <c r="AS85" s="2">
        <f t="shared" si="43"/>
        <v>14883</v>
      </c>
      <c r="AT85" s="57">
        <f t="shared" si="46"/>
        <v>12.094335819391251</v>
      </c>
    </row>
    <row r="86" spans="1:46" ht="16" x14ac:dyDescent="0.2">
      <c r="A86" s="13" t="s">
        <v>18661</v>
      </c>
      <c r="B86" s="13" t="s">
        <v>560</v>
      </c>
      <c r="C86" s="14" t="s">
        <v>678</v>
      </c>
      <c r="D86" s="1">
        <v>1</v>
      </c>
      <c r="E86" s="1">
        <v>10</v>
      </c>
      <c r="G86" s="93">
        <v>1</v>
      </c>
      <c r="H86" s="93">
        <v>1</v>
      </c>
      <c r="I86" s="1">
        <v>6</v>
      </c>
      <c r="J86" s="93">
        <v>3</v>
      </c>
      <c r="K86" s="14">
        <f t="shared" si="34"/>
        <v>22</v>
      </c>
      <c r="L86" s="16">
        <v>945942</v>
      </c>
      <c r="M86" s="17">
        <v>27508</v>
      </c>
      <c r="N86" s="17">
        <v>271382</v>
      </c>
      <c r="O86" s="17">
        <v>2255</v>
      </c>
      <c r="P86" s="17">
        <v>300022</v>
      </c>
      <c r="Q86" s="17">
        <v>3492</v>
      </c>
      <c r="R86" s="18">
        <f t="shared" si="35"/>
        <v>303514</v>
      </c>
      <c r="S86" s="17">
        <v>1820</v>
      </c>
      <c r="T86" s="17">
        <v>25827</v>
      </c>
      <c r="U86" s="19">
        <v>313636</v>
      </c>
      <c r="V86" s="22">
        <v>36.757720947265625</v>
      </c>
      <c r="W86" s="15">
        <v>18</v>
      </c>
      <c r="X86" s="9">
        <f t="shared" si="36"/>
        <v>1.9028650805229073</v>
      </c>
      <c r="Y86" s="9">
        <f t="shared" si="37"/>
        <v>3.3224628390082511</v>
      </c>
      <c r="Z86" s="9">
        <f t="shared" si="38"/>
        <v>5.1932944182471594</v>
      </c>
      <c r="AA86" s="9">
        <f t="shared" si="39"/>
        <v>3.1584366580792289</v>
      </c>
      <c r="AB86" s="9">
        <f t="shared" si="40"/>
        <v>4.5548707054401554</v>
      </c>
      <c r="AC86" s="52">
        <f t="shared" si="44"/>
        <v>1.6442610634482087</v>
      </c>
      <c r="AD86" s="52">
        <f t="shared" si="45"/>
        <v>1.4421282420810533</v>
      </c>
      <c r="AE86" s="1">
        <v>3215</v>
      </c>
      <c r="AF86" s="1">
        <v>3242</v>
      </c>
      <c r="AG86" s="1">
        <v>3400</v>
      </c>
      <c r="AH86" s="1">
        <v>3887</v>
      </c>
      <c r="AI86" s="1">
        <v>4188</v>
      </c>
      <c r="AJ86" s="1">
        <v>4444</v>
      </c>
      <c r="AK86" s="55">
        <f t="shared" si="41"/>
        <v>3729.3333333333335</v>
      </c>
      <c r="AL86" s="55">
        <f t="shared" si="42"/>
        <v>3.9424545409056093</v>
      </c>
      <c r="AM86" s="1">
        <v>17994</v>
      </c>
      <c r="AN86" s="1">
        <v>17729</v>
      </c>
      <c r="AO86" s="1">
        <v>16232</v>
      </c>
      <c r="AP86" s="1">
        <v>13034</v>
      </c>
      <c r="AQ86" s="1">
        <v>13977</v>
      </c>
      <c r="AR86" s="1">
        <v>15392</v>
      </c>
      <c r="AS86" s="2">
        <f t="shared" si="43"/>
        <v>15272.8</v>
      </c>
      <c r="AT86" s="57">
        <f t="shared" si="46"/>
        <v>14.404693310984234</v>
      </c>
    </row>
    <row r="87" spans="1:46" ht="16" x14ac:dyDescent="0.2">
      <c r="A87" s="13" t="s">
        <v>18661</v>
      </c>
      <c r="B87" s="13" t="s">
        <v>3383</v>
      </c>
      <c r="C87" s="14" t="s">
        <v>3385</v>
      </c>
      <c r="D87" s="1">
        <v>1</v>
      </c>
      <c r="E87" s="1">
        <v>10</v>
      </c>
      <c r="G87" s="93">
        <v>1</v>
      </c>
      <c r="I87" s="1">
        <v>1</v>
      </c>
      <c r="J87" s="93">
        <v>3</v>
      </c>
      <c r="K87" s="14">
        <f t="shared" si="34"/>
        <v>16</v>
      </c>
      <c r="L87" s="16">
        <v>324528</v>
      </c>
      <c r="M87" s="17">
        <v>3177</v>
      </c>
      <c r="N87" s="17">
        <v>29950</v>
      </c>
      <c r="O87" s="18">
        <v>507</v>
      </c>
      <c r="P87" s="17">
        <v>33618</v>
      </c>
      <c r="Q87" s="18">
        <v>826</v>
      </c>
      <c r="R87" s="18">
        <f t="shared" si="35"/>
        <v>34444</v>
      </c>
      <c r="S87" s="18">
        <v>375</v>
      </c>
      <c r="T87" s="17">
        <v>2147</v>
      </c>
      <c r="U87" s="19">
        <v>253928</v>
      </c>
      <c r="V87" s="22">
        <v>24.480152130126953</v>
      </c>
      <c r="W87" s="15">
        <v>4</v>
      </c>
      <c r="X87" s="9">
        <f t="shared" si="36"/>
        <v>1.2325592861016614</v>
      </c>
      <c r="Y87" s="9">
        <f t="shared" si="37"/>
        <v>7.0431959205809234</v>
      </c>
      <c r="Z87" s="9">
        <f t="shared" si="38"/>
        <v>44.966050631773015</v>
      </c>
      <c r="AA87" s="9">
        <f t="shared" si="39"/>
        <v>4.7698545194371578</v>
      </c>
      <c r="AB87" s="9">
        <f t="shared" si="40"/>
        <v>5.6258917038350589</v>
      </c>
      <c r="AC87" s="52">
        <f t="shared" si="44"/>
        <v>9.4271325149512109</v>
      </c>
      <c r="AD87" s="52">
        <f t="shared" si="45"/>
        <v>1.1794681957090198</v>
      </c>
      <c r="AE87" s="1">
        <v>1121</v>
      </c>
      <c r="AF87" s="1">
        <v>1260</v>
      </c>
      <c r="AG87" s="1">
        <v>1626</v>
      </c>
      <c r="AH87" s="1">
        <v>1612</v>
      </c>
      <c r="AI87" s="1">
        <v>1640</v>
      </c>
      <c r="AJ87" s="1">
        <v>1571</v>
      </c>
      <c r="AK87" s="55">
        <f t="shared" si="41"/>
        <v>1471.6666666666667</v>
      </c>
      <c r="AL87" s="55">
        <f t="shared" si="42"/>
        <v>4.5347910401156959</v>
      </c>
      <c r="AM87" s="1">
        <v>8715</v>
      </c>
      <c r="AN87" s="1">
        <v>8641</v>
      </c>
      <c r="AO87" s="1">
        <v>8101</v>
      </c>
      <c r="AP87" s="1">
        <v>7349</v>
      </c>
      <c r="AQ87" s="1">
        <v>7397</v>
      </c>
      <c r="AR87" s="1">
        <v>6609</v>
      </c>
      <c r="AS87" s="2">
        <f t="shared" si="43"/>
        <v>7619.4</v>
      </c>
      <c r="AT87" s="57">
        <f t="shared" si="46"/>
        <v>20.999028794918235</v>
      </c>
    </row>
    <row r="88" spans="1:46" ht="16" x14ac:dyDescent="0.2">
      <c r="A88" s="13" t="s">
        <v>18664</v>
      </c>
      <c r="B88" s="13" t="s">
        <v>639</v>
      </c>
      <c r="C88" s="14" t="s">
        <v>4494</v>
      </c>
      <c r="D88" s="1">
        <v>1</v>
      </c>
      <c r="E88" s="1">
        <v>1</v>
      </c>
      <c r="I88" s="1">
        <v>4</v>
      </c>
      <c r="J88" s="93">
        <v>2</v>
      </c>
      <c r="K88" s="14">
        <f t="shared" si="34"/>
        <v>8</v>
      </c>
      <c r="L88" s="16">
        <v>217385</v>
      </c>
      <c r="M88" s="17">
        <v>3484</v>
      </c>
      <c r="N88" s="17">
        <v>182011</v>
      </c>
      <c r="O88" s="17">
        <v>1462</v>
      </c>
      <c r="P88" s="17">
        <v>7128</v>
      </c>
      <c r="Q88" s="18">
        <v>189</v>
      </c>
      <c r="R88" s="18">
        <f t="shared" si="35"/>
        <v>7317</v>
      </c>
      <c r="S88" s="18">
        <v>276</v>
      </c>
      <c r="T88" s="17">
        <v>3610</v>
      </c>
      <c r="U88" s="19">
        <v>19225</v>
      </c>
      <c r="V88" s="22">
        <v>23.463048934936523</v>
      </c>
      <c r="W88" s="15">
        <v>26</v>
      </c>
      <c r="X88" s="9">
        <f t="shared" si="36"/>
        <v>11.960346850058651</v>
      </c>
      <c r="Y88" s="9">
        <f t="shared" si="37"/>
        <v>5.2572953187070999</v>
      </c>
      <c r="Z88" s="9">
        <f t="shared" si="38"/>
        <v>41.003772347055936</v>
      </c>
      <c r="AA88" s="9">
        <f t="shared" si="39"/>
        <v>3.1395276737591216</v>
      </c>
      <c r="AB88" s="9">
        <f t="shared" si="40"/>
        <v>7.4308006687720614</v>
      </c>
      <c r="AC88" s="52">
        <f t="shared" si="44"/>
        <v>13.060490815154996</v>
      </c>
      <c r="AD88" s="52">
        <f t="shared" si="45"/>
        <v>2.3668530559167751</v>
      </c>
      <c r="AE88" s="1">
        <v>337</v>
      </c>
      <c r="AG88" s="1">
        <v>434</v>
      </c>
      <c r="AH88" s="1">
        <v>369</v>
      </c>
      <c r="AI88" s="1">
        <v>396</v>
      </c>
      <c r="AJ88" s="1">
        <v>422</v>
      </c>
      <c r="AK88" s="55">
        <f t="shared" si="41"/>
        <v>391.6</v>
      </c>
      <c r="AL88" s="55">
        <f t="shared" si="42"/>
        <v>1.8014122409549878</v>
      </c>
      <c r="AM88" s="1">
        <v>10468</v>
      </c>
      <c r="AN88" s="1">
        <v>9673</v>
      </c>
      <c r="AO88" s="1">
        <v>8910</v>
      </c>
      <c r="AP88" s="1">
        <v>9066</v>
      </c>
      <c r="AQ88" s="1">
        <v>9619</v>
      </c>
      <c r="AR88" s="1">
        <v>9296</v>
      </c>
      <c r="AS88" s="2">
        <f t="shared" si="43"/>
        <v>9312.7999999999993</v>
      </c>
      <c r="AT88" s="57">
        <f t="shared" si="46"/>
        <v>8.590327291469805</v>
      </c>
    </row>
    <row r="89" spans="1:46" ht="16" x14ac:dyDescent="0.2">
      <c r="A89" s="13" t="s">
        <v>107</v>
      </c>
      <c r="B89" s="13" t="s">
        <v>1132</v>
      </c>
      <c r="C89" s="14" t="s">
        <v>1134</v>
      </c>
      <c r="D89" s="1">
        <v>4</v>
      </c>
      <c r="E89" s="1">
        <v>2</v>
      </c>
      <c r="F89" s="93">
        <v>1</v>
      </c>
      <c r="G89" s="93">
        <v>2</v>
      </c>
      <c r="H89" s="93">
        <v>1</v>
      </c>
      <c r="I89" s="1">
        <v>10</v>
      </c>
      <c r="J89" s="93">
        <v>3</v>
      </c>
      <c r="K89" s="14">
        <f t="shared" si="34"/>
        <v>23</v>
      </c>
      <c r="L89" s="16">
        <v>608660</v>
      </c>
      <c r="M89" s="17">
        <v>47113</v>
      </c>
      <c r="N89" s="17">
        <v>403578</v>
      </c>
      <c r="O89" s="17">
        <v>3881</v>
      </c>
      <c r="P89" s="17">
        <v>83537</v>
      </c>
      <c r="Q89" s="17">
        <v>2246</v>
      </c>
      <c r="R89" s="18">
        <f t="shared" si="35"/>
        <v>85783</v>
      </c>
      <c r="S89" s="17">
        <v>1464</v>
      </c>
      <c r="T89" s="17">
        <v>26512</v>
      </c>
      <c r="U89" s="19">
        <v>40329</v>
      </c>
      <c r="V89" s="22">
        <v>51.675041198730469</v>
      </c>
      <c r="W89" s="15">
        <v>10</v>
      </c>
      <c r="X89" s="9">
        <f t="shared" si="36"/>
        <v>1.6429533729832748</v>
      </c>
      <c r="Y89" s="9">
        <f t="shared" si="37"/>
        <v>5.3982753683736178</v>
      </c>
      <c r="Z89" s="9">
        <f t="shared" si="38"/>
        <v>12.128893753922942</v>
      </c>
      <c r="AA89" s="9">
        <f t="shared" si="39"/>
        <v>3.5397653701922027</v>
      </c>
      <c r="AB89" s="9">
        <f t="shared" si="40"/>
        <v>7.0845864195562935</v>
      </c>
      <c r="AC89" s="52">
        <f t="shared" si="44"/>
        <v>3.4264682783944984</v>
      </c>
      <c r="AD89" s="52">
        <f t="shared" si="45"/>
        <v>2.0014282526221825</v>
      </c>
      <c r="AE89" s="1">
        <v>3758</v>
      </c>
      <c r="AF89" s="1">
        <v>4001</v>
      </c>
      <c r="AG89" s="1">
        <v>4093</v>
      </c>
      <c r="AH89" s="1">
        <v>4294</v>
      </c>
      <c r="AI89" s="1">
        <v>4564</v>
      </c>
      <c r="AJ89" s="1">
        <v>5052</v>
      </c>
      <c r="AK89" s="55">
        <f t="shared" si="41"/>
        <v>4293.666666666667</v>
      </c>
      <c r="AL89" s="55">
        <f t="shared" si="42"/>
        <v>7.0542941324658539</v>
      </c>
      <c r="AM89" s="1">
        <v>15100</v>
      </c>
      <c r="AN89" s="1">
        <v>13207</v>
      </c>
      <c r="AO89" s="1">
        <v>14230</v>
      </c>
      <c r="AP89" s="1">
        <v>14569</v>
      </c>
      <c r="AQ89" s="1">
        <v>14543</v>
      </c>
      <c r="AR89" s="1">
        <v>15182</v>
      </c>
      <c r="AS89" s="2">
        <f t="shared" si="43"/>
        <v>14346.2</v>
      </c>
      <c r="AT89" s="57">
        <f t="shared" si="46"/>
        <v>16.032120003903472</v>
      </c>
    </row>
    <row r="90" spans="1:46" ht="16" x14ac:dyDescent="0.2">
      <c r="A90" s="13" t="s">
        <v>107</v>
      </c>
      <c r="B90" s="13" t="s">
        <v>782</v>
      </c>
      <c r="C90" s="14" t="s">
        <v>783</v>
      </c>
      <c r="D90" s="1">
        <v>1</v>
      </c>
      <c r="F90" s="93">
        <v>2</v>
      </c>
      <c r="I90" s="1">
        <v>11</v>
      </c>
      <c r="J90" s="93">
        <v>1</v>
      </c>
      <c r="K90" s="14">
        <f t="shared" si="34"/>
        <v>15</v>
      </c>
      <c r="L90" s="16">
        <v>208916</v>
      </c>
      <c r="M90" s="17">
        <v>4643</v>
      </c>
      <c r="N90" s="17">
        <v>175482</v>
      </c>
      <c r="O90" s="17">
        <v>3663</v>
      </c>
      <c r="P90" s="17">
        <v>5266</v>
      </c>
      <c r="Q90" s="17">
        <v>1152</v>
      </c>
      <c r="R90" s="18">
        <f t="shared" si="35"/>
        <v>6418</v>
      </c>
      <c r="S90" s="18">
        <v>281</v>
      </c>
      <c r="T90" s="17">
        <v>7962</v>
      </c>
      <c r="U90" s="19">
        <v>10467</v>
      </c>
      <c r="V90" s="22">
        <v>21.734701156616211</v>
      </c>
      <c r="W90" s="15">
        <v>159</v>
      </c>
      <c r="X90" s="9">
        <f t="shared" si="36"/>
        <v>76.107143540944691</v>
      </c>
      <c r="Y90" s="9">
        <f t="shared" si="37"/>
        <v>10.257027431394164</v>
      </c>
      <c r="Z90" s="9">
        <f t="shared" si="38"/>
        <v>30.768284052798379</v>
      </c>
      <c r="AA90" s="9">
        <f t="shared" si="39"/>
        <v>8.9549274081020922</v>
      </c>
      <c r="AB90" s="9">
        <f t="shared" si="40"/>
        <v>0</v>
      </c>
      <c r="AC90" s="52">
        <f t="shared" si="44"/>
        <v>3.4359054686429236</v>
      </c>
      <c r="AD90" s="52">
        <f t="shared" si="45"/>
        <v>0</v>
      </c>
      <c r="AE90" s="1">
        <v>1440</v>
      </c>
      <c r="AF90" s="1">
        <v>1156</v>
      </c>
      <c r="AG90" s="1">
        <v>1111</v>
      </c>
      <c r="AI90" s="1">
        <v>1360</v>
      </c>
      <c r="AJ90" s="1">
        <v>1742</v>
      </c>
      <c r="AK90" s="55">
        <f t="shared" si="41"/>
        <v>1361.8</v>
      </c>
      <c r="AL90" s="55">
        <f t="shared" si="42"/>
        <v>6.5184093128338656</v>
      </c>
      <c r="AM90" s="1">
        <v>10654</v>
      </c>
      <c r="AN90" s="1">
        <v>18510</v>
      </c>
      <c r="AO90" s="1">
        <v>23794</v>
      </c>
      <c r="AP90" s="1"/>
      <c r="AQ90" s="1">
        <v>4951</v>
      </c>
      <c r="AR90" s="1">
        <v>5865</v>
      </c>
      <c r="AS90" s="2">
        <f t="shared" si="43"/>
        <v>13280</v>
      </c>
      <c r="AT90" s="57">
        <f t="shared" si="46"/>
        <v>11.295180722891565</v>
      </c>
    </row>
    <row r="91" spans="1:46" ht="16" x14ac:dyDescent="0.2">
      <c r="A91" s="13" t="s">
        <v>18663</v>
      </c>
      <c r="B91" s="13" t="s">
        <v>661</v>
      </c>
      <c r="C91" s="14" t="s">
        <v>4162</v>
      </c>
      <c r="D91" s="1">
        <v>36</v>
      </c>
      <c r="I91" s="1">
        <v>3</v>
      </c>
      <c r="J91" s="93">
        <v>1</v>
      </c>
      <c r="K91" s="14">
        <f t="shared" si="34"/>
        <v>40</v>
      </c>
      <c r="L91" s="16">
        <v>319294</v>
      </c>
      <c r="M91" s="17">
        <v>156389</v>
      </c>
      <c r="N91" s="17">
        <v>134702</v>
      </c>
      <c r="O91" s="18">
        <v>684</v>
      </c>
      <c r="P91" s="17">
        <v>9233</v>
      </c>
      <c r="Q91" s="18">
        <v>62</v>
      </c>
      <c r="R91" s="18">
        <f t="shared" si="35"/>
        <v>9295</v>
      </c>
      <c r="S91" s="18">
        <v>478</v>
      </c>
      <c r="T91" s="17">
        <v>6616</v>
      </c>
      <c r="U91" s="19">
        <v>11130</v>
      </c>
      <c r="V91" s="22">
        <v>65.280593872070312</v>
      </c>
      <c r="W91" s="15">
        <v>11</v>
      </c>
      <c r="X91" s="9">
        <f t="shared" si="36"/>
        <v>3.445100753537492</v>
      </c>
      <c r="Y91" s="9">
        <f t="shared" si="37"/>
        <v>17.896627291103854</v>
      </c>
      <c r="Z91" s="9">
        <f t="shared" si="38"/>
        <v>32.885031190538612</v>
      </c>
      <c r="AA91" s="9">
        <f t="shared" si="39"/>
        <v>3.1816263201097876</v>
      </c>
      <c r="AB91" s="9">
        <f t="shared" si="40"/>
        <v>0</v>
      </c>
      <c r="AC91" s="52">
        <f t="shared" si="44"/>
        <v>10.335918766665174</v>
      </c>
      <c r="AD91" s="52">
        <f t="shared" si="45"/>
        <v>0</v>
      </c>
      <c r="AE91" s="1">
        <v>5077</v>
      </c>
      <c r="AF91" s="1">
        <v>5348</v>
      </c>
      <c r="AG91" s="1">
        <v>5762</v>
      </c>
      <c r="AH91" s="1">
        <v>6017</v>
      </c>
      <c r="AI91" s="1">
        <v>6461</v>
      </c>
      <c r="AJ91" s="1">
        <v>5525</v>
      </c>
      <c r="AK91" s="55">
        <f t="shared" si="41"/>
        <v>5698.333333333333</v>
      </c>
      <c r="AL91" s="55">
        <f t="shared" si="42"/>
        <v>17.846665873249524</v>
      </c>
      <c r="AM91" s="1">
        <v>23094</v>
      </c>
      <c r="AN91" s="1">
        <v>19261</v>
      </c>
      <c r="AO91" s="1">
        <v>20493</v>
      </c>
      <c r="AP91" s="1">
        <v>20163</v>
      </c>
      <c r="AQ91" s="1">
        <v>18729</v>
      </c>
      <c r="AR91" s="1">
        <v>16993</v>
      </c>
      <c r="AS91" s="2">
        <f t="shared" si="43"/>
        <v>19127.8</v>
      </c>
      <c r="AT91" s="57">
        <f t="shared" si="46"/>
        <v>20.911971057832055</v>
      </c>
    </row>
    <row r="92" spans="1:46" ht="16" x14ac:dyDescent="0.2">
      <c r="A92" s="13" t="s">
        <v>18680</v>
      </c>
      <c r="B92" s="13" t="s">
        <v>3289</v>
      </c>
      <c r="C92" s="14" t="s">
        <v>4522</v>
      </c>
      <c r="D92" s="1">
        <v>5</v>
      </c>
      <c r="E92" s="1">
        <v>1</v>
      </c>
      <c r="F92" s="93">
        <v>2</v>
      </c>
      <c r="G92" s="93">
        <v>2</v>
      </c>
      <c r="I92" s="1">
        <v>3</v>
      </c>
      <c r="K92" s="14">
        <f t="shared" si="34"/>
        <v>13</v>
      </c>
      <c r="L92" s="20">
        <v>285068</v>
      </c>
      <c r="M92" s="17">
        <v>43620</v>
      </c>
      <c r="N92" s="17">
        <v>159437</v>
      </c>
      <c r="O92" s="17">
        <v>2316</v>
      </c>
      <c r="P92" s="17">
        <v>42494</v>
      </c>
      <c r="Q92" s="18">
        <v>120</v>
      </c>
      <c r="R92" s="18">
        <f t="shared" si="35"/>
        <v>42614</v>
      </c>
      <c r="S92" s="18">
        <v>494</v>
      </c>
      <c r="T92" s="17">
        <v>9276</v>
      </c>
      <c r="U92" s="19">
        <v>27311</v>
      </c>
      <c r="V92" s="22">
        <v>43.442752838134766</v>
      </c>
      <c r="W92" s="15">
        <v>19</v>
      </c>
      <c r="X92" s="9">
        <f t="shared" si="36"/>
        <v>6.6650764028231855</v>
      </c>
      <c r="Y92" s="9">
        <f t="shared" si="37"/>
        <v>6.5147363335865736</v>
      </c>
      <c r="Z92" s="9">
        <f t="shared" si="38"/>
        <v>16.375188314665621</v>
      </c>
      <c r="AA92" s="9">
        <f t="shared" si="39"/>
        <v>2.688029933901344</v>
      </c>
      <c r="AB92" s="9">
        <f t="shared" si="40"/>
        <v>5.2307547456022432</v>
      </c>
      <c r="AC92" s="52">
        <f t="shared" si="44"/>
        <v>6.0918920984257996</v>
      </c>
      <c r="AD92" s="52">
        <f t="shared" si="45"/>
        <v>1.9459436368740313</v>
      </c>
      <c r="AE92" s="1">
        <v>2200</v>
      </c>
      <c r="AF92" s="1">
        <v>1974</v>
      </c>
      <c r="AG92" s="1">
        <v>2115</v>
      </c>
      <c r="AH92" s="1">
        <v>1970</v>
      </c>
      <c r="AI92" s="1">
        <v>1996</v>
      </c>
      <c r="AJ92" s="1">
        <v>1941</v>
      </c>
      <c r="AK92" s="55">
        <f t="shared" si="41"/>
        <v>2032.6666666666667</v>
      </c>
      <c r="AL92" s="55">
        <f t="shared" si="42"/>
        <v>7.1304624393711915</v>
      </c>
      <c r="AM92" s="1">
        <v>11758</v>
      </c>
      <c r="AN92" s="1">
        <v>9820</v>
      </c>
      <c r="AO92" s="1">
        <v>9659</v>
      </c>
      <c r="AP92" s="1">
        <v>9024</v>
      </c>
      <c r="AQ92" s="1">
        <v>9557</v>
      </c>
      <c r="AR92" s="1">
        <v>8632</v>
      </c>
      <c r="AS92" s="2">
        <f t="shared" si="43"/>
        <v>9338.4</v>
      </c>
      <c r="AT92" s="57">
        <f t="shared" si="46"/>
        <v>13.921014306519318</v>
      </c>
    </row>
    <row r="93" spans="1:46" ht="16" x14ac:dyDescent="0.2">
      <c r="A93" s="13" t="s">
        <v>18667</v>
      </c>
      <c r="B93" s="13" t="s">
        <v>12230</v>
      </c>
      <c r="C93" s="14" t="s">
        <v>12747</v>
      </c>
      <c r="D93" s="1">
        <v>2</v>
      </c>
      <c r="I93" s="1">
        <v>8</v>
      </c>
      <c r="K93" s="14">
        <f t="shared" si="34"/>
        <v>10</v>
      </c>
      <c r="L93" s="16">
        <v>244769</v>
      </c>
      <c r="M93" s="17">
        <v>57489</v>
      </c>
      <c r="N93" s="17">
        <v>157409</v>
      </c>
      <c r="O93" s="18">
        <v>567</v>
      </c>
      <c r="P93" s="17">
        <v>7672</v>
      </c>
      <c r="Q93" s="18">
        <v>106</v>
      </c>
      <c r="R93" s="18">
        <f t="shared" si="35"/>
        <v>7778</v>
      </c>
      <c r="S93" s="18">
        <v>539</v>
      </c>
      <c r="T93" s="17">
        <v>4773</v>
      </c>
      <c r="U93" s="19">
        <v>16214</v>
      </c>
      <c r="V93" s="22">
        <v>65.700477600097656</v>
      </c>
      <c r="W93" s="15">
        <v>49</v>
      </c>
      <c r="X93" s="9">
        <f t="shared" si="36"/>
        <v>20.018874939228418</v>
      </c>
      <c r="Y93" s="9">
        <f t="shared" si="37"/>
        <v>5.8364066878216967</v>
      </c>
      <c r="Z93" s="9">
        <f t="shared" si="38"/>
        <v>4.9698948618741969</v>
      </c>
      <c r="AA93" s="9">
        <f t="shared" si="39"/>
        <v>7.2604307432049184</v>
      </c>
      <c r="AB93" s="9">
        <f t="shared" si="40"/>
        <v>0</v>
      </c>
      <c r="AC93" s="52">
        <f t="shared" si="44"/>
        <v>0.68451790777366095</v>
      </c>
      <c r="AD93" s="52">
        <f t="shared" si="45"/>
        <v>0</v>
      </c>
      <c r="AE93" s="1">
        <v>2379</v>
      </c>
      <c r="AF93" s="1">
        <v>2169</v>
      </c>
      <c r="AG93" s="1">
        <v>1898</v>
      </c>
      <c r="AH93" s="1">
        <v>1727</v>
      </c>
      <c r="AI93" s="1">
        <v>1842</v>
      </c>
      <c r="AJ93" s="1">
        <v>1660</v>
      </c>
      <c r="AK93" s="55">
        <f t="shared" si="41"/>
        <v>1945.8333333333333</v>
      </c>
      <c r="AL93" s="55">
        <f t="shared" si="42"/>
        <v>7.9496722760371341</v>
      </c>
      <c r="AM93" s="1">
        <v>13997</v>
      </c>
      <c r="AN93" s="1">
        <v>13654</v>
      </c>
      <c r="AO93" s="1">
        <v>13491</v>
      </c>
      <c r="AP93" s="1">
        <v>10907</v>
      </c>
      <c r="AQ93" s="1">
        <v>10149</v>
      </c>
      <c r="AR93" s="1">
        <v>9753</v>
      </c>
      <c r="AS93" s="2">
        <f t="shared" si="43"/>
        <v>11590.8</v>
      </c>
      <c r="AT93" s="57">
        <f t="shared" si="46"/>
        <v>8.6275321806950345</v>
      </c>
    </row>
    <row r="94" spans="1:46" ht="16" x14ac:dyDescent="0.2">
      <c r="A94" s="13" t="s">
        <v>18661</v>
      </c>
      <c r="B94" s="13" t="s">
        <v>1645</v>
      </c>
      <c r="C94" s="14" t="s">
        <v>1648</v>
      </c>
      <c r="D94" s="1">
        <v>4</v>
      </c>
      <c r="E94" s="1">
        <v>6</v>
      </c>
      <c r="G94" s="93">
        <v>2</v>
      </c>
      <c r="H94" s="93">
        <v>1</v>
      </c>
      <c r="I94" s="1">
        <v>3</v>
      </c>
      <c r="J94" s="93">
        <v>2</v>
      </c>
      <c r="K94" s="14">
        <f t="shared" si="34"/>
        <v>18</v>
      </c>
      <c r="L94" s="16">
        <v>291707</v>
      </c>
      <c r="M94" s="17">
        <v>33507</v>
      </c>
      <c r="N94" s="17">
        <v>66836</v>
      </c>
      <c r="O94" s="17">
        <v>1237</v>
      </c>
      <c r="P94" s="17">
        <v>60323</v>
      </c>
      <c r="Q94" s="17">
        <v>1622</v>
      </c>
      <c r="R94" s="18">
        <f t="shared" si="35"/>
        <v>61945</v>
      </c>
      <c r="S94" s="18">
        <v>470</v>
      </c>
      <c r="T94" s="17">
        <v>10122</v>
      </c>
      <c r="U94" s="19">
        <v>117590</v>
      </c>
      <c r="V94" s="22">
        <v>37.252235412597656</v>
      </c>
      <c r="W94" s="15">
        <v>28</v>
      </c>
      <c r="X94" s="9">
        <f t="shared" si="36"/>
        <v>9.5986726406976857</v>
      </c>
      <c r="Y94" s="9">
        <f t="shared" si="37"/>
        <v>8.8151075271713459</v>
      </c>
      <c r="Z94" s="9">
        <f t="shared" si="38"/>
        <v>17.054005772780954</v>
      </c>
      <c r="AA94" s="9">
        <f t="shared" si="39"/>
        <v>6.4122842266357747</v>
      </c>
      <c r="AB94" s="9">
        <f t="shared" si="40"/>
        <v>7.2892495717565877</v>
      </c>
      <c r="AC94" s="52">
        <f t="shared" si="44"/>
        <v>2.6595835696023711</v>
      </c>
      <c r="AD94" s="52">
        <f t="shared" si="45"/>
        <v>1.1367633302151541</v>
      </c>
      <c r="AE94" s="1">
        <v>3622</v>
      </c>
      <c r="AF94" s="1">
        <v>3988</v>
      </c>
      <c r="AG94" s="1">
        <v>4122</v>
      </c>
      <c r="AH94" s="1">
        <v>4381</v>
      </c>
      <c r="AI94" s="1">
        <v>4379</v>
      </c>
      <c r="AJ94" s="1">
        <v>4383</v>
      </c>
      <c r="AK94" s="55">
        <f t="shared" si="41"/>
        <v>4145.833333333333</v>
      </c>
      <c r="AL94" s="55">
        <f t="shared" si="42"/>
        <v>14.212320353413984</v>
      </c>
      <c r="AM94" s="1">
        <v>8008</v>
      </c>
      <c r="AN94" s="1">
        <v>7681</v>
      </c>
      <c r="AO94" s="1">
        <v>6261</v>
      </c>
      <c r="AP94" s="1">
        <v>6154</v>
      </c>
      <c r="AQ94" s="1">
        <v>7435</v>
      </c>
      <c r="AR94" s="1">
        <v>7327</v>
      </c>
      <c r="AS94" s="2">
        <f t="shared" si="43"/>
        <v>6971.6</v>
      </c>
      <c r="AT94" s="57">
        <f t="shared" si="46"/>
        <v>25.819037236789256</v>
      </c>
    </row>
    <row r="95" spans="1:46" ht="16" x14ac:dyDescent="0.2">
      <c r="A95" s="13" t="s">
        <v>18667</v>
      </c>
      <c r="B95" s="13" t="s">
        <v>1463</v>
      </c>
      <c r="C95" s="14" t="s">
        <v>1465</v>
      </c>
      <c r="D95" s="1">
        <v>4</v>
      </c>
      <c r="G95" s="93">
        <v>2</v>
      </c>
      <c r="I95" s="1">
        <v>3</v>
      </c>
      <c r="K95" s="14">
        <f t="shared" si="34"/>
        <v>9</v>
      </c>
      <c r="L95" s="16">
        <v>335709</v>
      </c>
      <c r="M95" s="17">
        <v>83032</v>
      </c>
      <c r="N95" s="17">
        <v>155552</v>
      </c>
      <c r="O95" s="18">
        <v>755</v>
      </c>
      <c r="P95" s="17">
        <v>11362</v>
      </c>
      <c r="Q95" s="18">
        <v>207</v>
      </c>
      <c r="R95" s="18">
        <f t="shared" si="35"/>
        <v>11569</v>
      </c>
      <c r="S95" s="18">
        <v>794</v>
      </c>
      <c r="T95" s="17">
        <v>6535</v>
      </c>
      <c r="U95" s="19">
        <v>77472</v>
      </c>
      <c r="V95" s="22">
        <v>58.694190979003906</v>
      </c>
      <c r="W95" s="15">
        <v>24</v>
      </c>
      <c r="X95" s="9">
        <f t="shared" si="36"/>
        <v>7.1490487297034049</v>
      </c>
      <c r="Y95" s="9">
        <f t="shared" si="37"/>
        <v>3.8298475337696809</v>
      </c>
      <c r="Z95" s="9">
        <f t="shared" si="38"/>
        <v>6.882028271372139</v>
      </c>
      <c r="AA95" s="9">
        <f t="shared" si="39"/>
        <v>2.7551650160166927</v>
      </c>
      <c r="AB95" s="9">
        <f t="shared" si="40"/>
        <v>0</v>
      </c>
      <c r="AC95" s="52">
        <f t="shared" si="44"/>
        <v>2.497864277226451</v>
      </c>
      <c r="AD95" s="52">
        <f t="shared" si="45"/>
        <v>0</v>
      </c>
      <c r="AE95" s="1">
        <v>2097</v>
      </c>
      <c r="AF95" s="1">
        <v>2080</v>
      </c>
      <c r="AG95" s="1">
        <v>2298</v>
      </c>
      <c r="AH95" s="1">
        <v>1906</v>
      </c>
      <c r="AI95" s="1">
        <v>1785</v>
      </c>
      <c r="AJ95" s="1">
        <v>1598</v>
      </c>
      <c r="AK95" s="55">
        <f t="shared" si="41"/>
        <v>1960.6666666666667</v>
      </c>
      <c r="AL95" s="55">
        <f t="shared" si="42"/>
        <v>5.8403756427938083</v>
      </c>
      <c r="AM95" s="1">
        <v>41318</v>
      </c>
      <c r="AN95" s="1">
        <v>38102</v>
      </c>
      <c r="AO95" s="1">
        <v>30983</v>
      </c>
      <c r="AP95" s="1">
        <v>25676</v>
      </c>
      <c r="AQ95" s="1">
        <v>22660</v>
      </c>
      <c r="AR95" s="1">
        <v>20310</v>
      </c>
      <c r="AS95" s="2">
        <f t="shared" si="43"/>
        <v>27546.2</v>
      </c>
      <c r="AT95" s="57">
        <f t="shared" si="46"/>
        <v>3.2672383123625037</v>
      </c>
    </row>
    <row r="96" spans="1:46" ht="16" x14ac:dyDescent="0.2">
      <c r="A96" s="13" t="s">
        <v>12538</v>
      </c>
      <c r="B96" s="13" t="s">
        <v>720</v>
      </c>
      <c r="C96" s="14" t="s">
        <v>722</v>
      </c>
      <c r="D96" s="1">
        <v>3</v>
      </c>
      <c r="I96" s="1">
        <v>4</v>
      </c>
      <c r="K96" s="14">
        <f t="shared" si="34"/>
        <v>7</v>
      </c>
      <c r="L96" s="20">
        <v>287208</v>
      </c>
      <c r="M96" s="17">
        <v>76820</v>
      </c>
      <c r="N96" s="17">
        <v>176468</v>
      </c>
      <c r="O96" s="18">
        <v>755</v>
      </c>
      <c r="P96" s="17">
        <v>3204</v>
      </c>
      <c r="Q96" s="18">
        <v>64</v>
      </c>
      <c r="R96" s="18">
        <f t="shared" si="35"/>
        <v>3268</v>
      </c>
      <c r="S96" s="18">
        <v>522</v>
      </c>
      <c r="T96" s="17">
        <v>8144</v>
      </c>
      <c r="U96" s="19">
        <v>21231</v>
      </c>
      <c r="V96" s="22">
        <v>53.452949523925781</v>
      </c>
      <c r="W96" s="15">
        <v>47</v>
      </c>
      <c r="X96" s="9">
        <f t="shared" si="36"/>
        <v>16.364446672794628</v>
      </c>
      <c r="Y96" s="9">
        <f t="shared" si="37"/>
        <v>3.4817971644243895</v>
      </c>
      <c r="Z96" s="9">
        <f t="shared" si="38"/>
        <v>5.5789043031948529</v>
      </c>
      <c r="AA96" s="9">
        <f t="shared" si="39"/>
        <v>3.2381427308552913</v>
      </c>
      <c r="AB96" s="9">
        <f t="shared" si="40"/>
        <v>0</v>
      </c>
      <c r="AC96" s="52">
        <f t="shared" si="44"/>
        <v>1.722871648008331</v>
      </c>
      <c r="AD96" s="52">
        <f t="shared" si="45"/>
        <v>0</v>
      </c>
      <c r="AE96" s="1">
        <v>2902</v>
      </c>
      <c r="AF96" s="1">
        <v>3068</v>
      </c>
      <c r="AG96" s="1">
        <v>3156</v>
      </c>
      <c r="AH96" s="1">
        <v>3319</v>
      </c>
      <c r="AJ96" s="1">
        <v>2333</v>
      </c>
      <c r="AK96" s="55">
        <f t="shared" si="41"/>
        <v>2955.6</v>
      </c>
      <c r="AL96" s="55">
        <f t="shared" si="42"/>
        <v>10.290799699172725</v>
      </c>
      <c r="AM96" s="1"/>
      <c r="AN96" s="1"/>
      <c r="AO96" s="1"/>
      <c r="AP96" s="1"/>
      <c r="AQ96" s="1">
        <v>7426</v>
      </c>
      <c r="AR96" s="1">
        <v>8467</v>
      </c>
      <c r="AS96" s="2">
        <f t="shared" si="43"/>
        <v>7946.5</v>
      </c>
      <c r="AT96" s="57">
        <f t="shared" si="46"/>
        <v>8.8089095828352111</v>
      </c>
    </row>
    <row r="97" spans="1:46" ht="16" x14ac:dyDescent="0.2">
      <c r="A97" s="13" t="s">
        <v>18664</v>
      </c>
      <c r="B97" s="13" t="s">
        <v>518</v>
      </c>
      <c r="C97" s="14" t="s">
        <v>520</v>
      </c>
      <c r="D97" s="1">
        <v>2</v>
      </c>
      <c r="E97" s="1">
        <v>10</v>
      </c>
      <c r="I97" s="1">
        <v>10</v>
      </c>
      <c r="J97" s="93">
        <v>6</v>
      </c>
      <c r="K97" s="14">
        <f t="shared" si="34"/>
        <v>28</v>
      </c>
      <c r="L97" s="16">
        <v>520116</v>
      </c>
      <c r="M97" s="17">
        <v>23362</v>
      </c>
      <c r="N97" s="17">
        <v>245323</v>
      </c>
      <c r="O97" s="17">
        <v>8776</v>
      </c>
      <c r="P97" s="17">
        <v>14211</v>
      </c>
      <c r="Q97" s="18">
        <v>951</v>
      </c>
      <c r="R97" s="18">
        <f t="shared" si="35"/>
        <v>15162</v>
      </c>
      <c r="S97" s="18">
        <v>792</v>
      </c>
      <c r="T97" s="17">
        <v>10393</v>
      </c>
      <c r="U97" s="19">
        <v>216308</v>
      </c>
      <c r="V97" s="22">
        <v>25.654352188110352</v>
      </c>
      <c r="W97" s="15">
        <v>46</v>
      </c>
      <c r="X97" s="9">
        <f t="shared" si="36"/>
        <v>8.844180913488529</v>
      </c>
      <c r="Y97" s="9">
        <f t="shared" si="37"/>
        <v>7.6905920986856788</v>
      </c>
      <c r="Z97" s="9">
        <f t="shared" si="38"/>
        <v>12.229872687025329</v>
      </c>
      <c r="AA97" s="9">
        <f t="shared" si="39"/>
        <v>5.8232266382337929</v>
      </c>
      <c r="AB97" s="9">
        <f t="shared" si="40"/>
        <v>6.6043393151035961</v>
      </c>
      <c r="AC97" s="52">
        <f t="shared" si="44"/>
        <v>2.1001883400393799</v>
      </c>
      <c r="AD97" s="52">
        <f t="shared" si="45"/>
        <v>1.1341374336594114</v>
      </c>
      <c r="AE97" s="1">
        <v>3368</v>
      </c>
      <c r="AG97" s="1">
        <v>3472</v>
      </c>
      <c r="AH97" s="1">
        <v>4245</v>
      </c>
      <c r="AI97" s="1">
        <v>4268</v>
      </c>
      <c r="AJ97" s="1">
        <v>3958</v>
      </c>
      <c r="AK97" s="55">
        <f t="shared" si="41"/>
        <v>3862.2</v>
      </c>
      <c r="AL97" s="55">
        <f t="shared" si="42"/>
        <v>7.4256512008859552</v>
      </c>
      <c r="AM97" s="1">
        <v>31892</v>
      </c>
      <c r="AN97" s="1">
        <v>32313</v>
      </c>
      <c r="AO97" s="1">
        <v>32294</v>
      </c>
      <c r="AP97" s="1">
        <v>33442</v>
      </c>
      <c r="AQ97" s="1">
        <v>30569</v>
      </c>
      <c r="AR97" s="1">
        <v>28858</v>
      </c>
      <c r="AS97" s="2">
        <f t="shared" si="43"/>
        <v>31495.200000000001</v>
      </c>
      <c r="AT97" s="57">
        <f t="shared" si="46"/>
        <v>8.8902435926744392</v>
      </c>
    </row>
    <row r="98" spans="1:46" ht="16" x14ac:dyDescent="0.2">
      <c r="A98" s="13" t="s">
        <v>1028</v>
      </c>
      <c r="B98" s="13" t="s">
        <v>2307</v>
      </c>
      <c r="C98" s="14" t="s">
        <v>3108</v>
      </c>
      <c r="D98" s="1">
        <v>7</v>
      </c>
      <c r="E98" s="1">
        <v>4</v>
      </c>
      <c r="G98" s="93">
        <v>1</v>
      </c>
      <c r="I98" s="1">
        <v>14</v>
      </c>
      <c r="J98" s="93">
        <v>1</v>
      </c>
      <c r="K98" s="14">
        <f t="shared" ref="K98:K101" si="47">D98+E98+F98+G98+H98+I98+J98</f>
        <v>27</v>
      </c>
      <c r="L98" s="16">
        <v>391906</v>
      </c>
      <c r="M98" s="17">
        <v>61230</v>
      </c>
      <c r="N98" s="17">
        <v>227021</v>
      </c>
      <c r="O98" s="17">
        <v>19473</v>
      </c>
      <c r="P98" s="17">
        <v>8926</v>
      </c>
      <c r="Q98" s="18">
        <v>278</v>
      </c>
      <c r="R98" s="18">
        <f t="shared" ref="R98:R101" si="48">P98+Q98</f>
        <v>9204</v>
      </c>
      <c r="S98" s="18">
        <v>473</v>
      </c>
      <c r="T98" s="17">
        <v>19239</v>
      </c>
      <c r="U98" s="19">
        <v>55266</v>
      </c>
      <c r="V98" s="22">
        <v>49.789894104003906</v>
      </c>
      <c r="W98" s="15">
        <v>17</v>
      </c>
      <c r="X98" s="9">
        <f t="shared" ref="X98:X102" si="49">W98/L98*100000</f>
        <v>4.3377748745872733</v>
      </c>
      <c r="Y98" s="9">
        <f t="shared" ref="Y98:Y103" si="50">(K98/L98)*(1000000/7)</f>
        <v>9.8420102196517991</v>
      </c>
      <c r="Z98" s="9">
        <f t="shared" ref="Z98:Z103" si="51">(D98/M98)*(1000000/7)</f>
        <v>16.331863465621428</v>
      </c>
      <c r="AA98" s="9">
        <f t="shared" ref="AA98:AA103" si="52">(I98/N98)*(1000000/7)</f>
        <v>8.8097576876148018</v>
      </c>
      <c r="AB98" s="9">
        <f t="shared" ref="AB98:AB103" si="53">(E98/U98)*(1000000/7)</f>
        <v>10.339604303343313</v>
      </c>
      <c r="AC98" s="52">
        <f t="shared" si="44"/>
        <v>1.8538379879144211</v>
      </c>
      <c r="AD98" s="52">
        <f t="shared" si="45"/>
        <v>1.1736536542746512</v>
      </c>
      <c r="AE98" s="1">
        <v>3827</v>
      </c>
      <c r="AF98" s="1">
        <v>3217</v>
      </c>
      <c r="AG98" s="1">
        <v>3628</v>
      </c>
      <c r="AH98" s="1">
        <v>4444</v>
      </c>
      <c r="AI98" s="1">
        <v>4214</v>
      </c>
      <c r="AJ98" s="1">
        <v>4294</v>
      </c>
      <c r="AK98" s="55">
        <f t="shared" ref="AK98:AK102" si="54">AVERAGE(AE98:AJ98)</f>
        <v>3937.3333333333335</v>
      </c>
      <c r="AL98" s="55">
        <f t="shared" ref="AL98:AL102" si="55">AK98/L98*1000</f>
        <v>10.046626827181349</v>
      </c>
      <c r="AM98" s="1">
        <v>16360</v>
      </c>
      <c r="AN98" s="1">
        <v>14739</v>
      </c>
      <c r="AO98" s="1">
        <v>15769</v>
      </c>
      <c r="AP98" s="1">
        <v>14311</v>
      </c>
      <c r="AQ98" s="1">
        <v>12666</v>
      </c>
      <c r="AR98" s="1">
        <v>13303</v>
      </c>
      <c r="AS98" s="2">
        <f t="shared" si="43"/>
        <v>14157.6</v>
      </c>
      <c r="AT98" s="57">
        <f t="shared" si="46"/>
        <v>19.071028987964063</v>
      </c>
    </row>
    <row r="99" spans="1:46" ht="16" x14ac:dyDescent="0.2">
      <c r="A99" s="13" t="s">
        <v>18675</v>
      </c>
      <c r="B99" s="13" t="s">
        <v>439</v>
      </c>
      <c r="C99" s="14" t="s">
        <v>441</v>
      </c>
      <c r="D99" s="1">
        <v>3</v>
      </c>
      <c r="I99" s="1">
        <v>2</v>
      </c>
      <c r="J99" s="93">
        <v>1</v>
      </c>
      <c r="K99" s="14">
        <f t="shared" si="47"/>
        <v>6</v>
      </c>
      <c r="L99" s="20">
        <v>437994</v>
      </c>
      <c r="M99" s="17">
        <v>83210</v>
      </c>
      <c r="N99" s="17">
        <v>282470</v>
      </c>
      <c r="O99" s="17">
        <v>1349</v>
      </c>
      <c r="P99" s="17">
        <v>26312</v>
      </c>
      <c r="Q99" s="18">
        <v>602</v>
      </c>
      <c r="R99" s="18">
        <f t="shared" si="48"/>
        <v>26914</v>
      </c>
      <c r="S99" s="18">
        <v>863</v>
      </c>
      <c r="T99" s="17">
        <v>14201</v>
      </c>
      <c r="U99" s="19">
        <v>28987</v>
      </c>
      <c r="V99" s="22">
        <v>36.355953216552734</v>
      </c>
      <c r="W99" s="15">
        <v>105</v>
      </c>
      <c r="X99" s="9">
        <f t="shared" si="49"/>
        <v>23.972931136042959</v>
      </c>
      <c r="Y99" s="9">
        <f t="shared" si="50"/>
        <v>1.9569739702892215</v>
      </c>
      <c r="Z99" s="9">
        <f t="shared" si="51"/>
        <v>5.1504798530396414</v>
      </c>
      <c r="AA99" s="9">
        <f t="shared" si="52"/>
        <v>1.011485416909002</v>
      </c>
      <c r="AB99" s="9">
        <f t="shared" si="53"/>
        <v>0</v>
      </c>
      <c r="AC99" s="52">
        <f t="shared" si="44"/>
        <v>5.0919961543083749</v>
      </c>
      <c r="AD99" s="52">
        <f t="shared" si="45"/>
        <v>0</v>
      </c>
      <c r="AE99" s="1">
        <v>730</v>
      </c>
      <c r="AF99" s="1">
        <v>660</v>
      </c>
      <c r="AG99" s="1">
        <v>626</v>
      </c>
      <c r="AH99" s="1">
        <v>700</v>
      </c>
      <c r="AI99" s="1">
        <v>625</v>
      </c>
      <c r="AJ99" s="1">
        <v>528</v>
      </c>
      <c r="AK99" s="55">
        <f t="shared" si="54"/>
        <v>644.83333333333337</v>
      </c>
      <c r="AL99" s="55">
        <f t="shared" si="55"/>
        <v>1.4722423899261938</v>
      </c>
      <c r="AM99" s="1">
        <v>24359</v>
      </c>
      <c r="AN99" s="1">
        <v>23247</v>
      </c>
      <c r="AO99" s="1">
        <v>20259</v>
      </c>
      <c r="AP99" s="1">
        <v>19190</v>
      </c>
      <c r="AQ99" s="1">
        <v>18668</v>
      </c>
      <c r="AR99" s="1">
        <v>17071</v>
      </c>
      <c r="AS99" s="2">
        <f t="shared" si="43"/>
        <v>19687</v>
      </c>
      <c r="AT99" s="57">
        <f t="shared" si="46"/>
        <v>3.0476964494336363</v>
      </c>
    </row>
    <row r="100" spans="1:46" ht="16" x14ac:dyDescent="0.2">
      <c r="A100" s="13" t="s">
        <v>18671</v>
      </c>
      <c r="B100" s="13" t="s">
        <v>635</v>
      </c>
      <c r="C100" s="14" t="s">
        <v>637</v>
      </c>
      <c r="D100" s="1">
        <v>1</v>
      </c>
      <c r="E100" s="1">
        <v>2</v>
      </c>
      <c r="I100" s="1">
        <v>10</v>
      </c>
      <c r="J100" s="93"/>
      <c r="K100" s="14">
        <f t="shared" si="47"/>
        <v>13</v>
      </c>
      <c r="L100" s="16">
        <v>382368</v>
      </c>
      <c r="M100" s="17">
        <v>42676</v>
      </c>
      <c r="N100" s="17">
        <v>246744</v>
      </c>
      <c r="O100" s="17">
        <v>3424</v>
      </c>
      <c r="P100" s="17">
        <v>18272</v>
      </c>
      <c r="Q100" s="18">
        <v>311</v>
      </c>
      <c r="R100" s="18">
        <f t="shared" si="48"/>
        <v>18583</v>
      </c>
      <c r="S100" s="18">
        <v>472</v>
      </c>
      <c r="T100" s="17">
        <v>12121</v>
      </c>
      <c r="U100" s="19">
        <v>58348</v>
      </c>
      <c r="V100" s="22">
        <v>49.265998840332031</v>
      </c>
      <c r="W100" s="15">
        <v>15</v>
      </c>
      <c r="X100" s="9">
        <f t="shared" si="49"/>
        <v>3.9229224202862163</v>
      </c>
      <c r="Y100" s="9">
        <f t="shared" si="50"/>
        <v>4.856951567973411</v>
      </c>
      <c r="Z100" s="9">
        <f t="shared" si="51"/>
        <v>3.3474820240215313</v>
      </c>
      <c r="AA100" s="9">
        <f t="shared" si="52"/>
        <v>5.7896906452494434</v>
      </c>
      <c r="AB100" s="9">
        <f t="shared" si="53"/>
        <v>4.8967280063461605</v>
      </c>
      <c r="AC100" s="52">
        <f t="shared" si="44"/>
        <v>0.57817977317461811</v>
      </c>
      <c r="AD100" s="52">
        <f t="shared" si="45"/>
        <v>0.84576677863851391</v>
      </c>
      <c r="AE100" s="1">
        <v>3065</v>
      </c>
      <c r="AG100" s="1">
        <v>3839</v>
      </c>
      <c r="AH100" s="1">
        <v>4136</v>
      </c>
      <c r="AI100" s="1">
        <v>3998</v>
      </c>
      <c r="AJ100" s="1">
        <v>4622</v>
      </c>
      <c r="AK100" s="55">
        <f t="shared" si="54"/>
        <v>3932</v>
      </c>
      <c r="AL100" s="55">
        <f t="shared" si="55"/>
        <v>10.283287304376936</v>
      </c>
      <c r="AM100" s="1">
        <v>10566</v>
      </c>
      <c r="AN100" s="1">
        <v>9323</v>
      </c>
      <c r="AO100" s="1">
        <v>9307</v>
      </c>
      <c r="AP100" s="1">
        <v>9120</v>
      </c>
      <c r="AQ100" s="1">
        <v>8322</v>
      </c>
      <c r="AR100" s="1">
        <v>3931</v>
      </c>
      <c r="AS100" s="2">
        <f t="shared" si="43"/>
        <v>8000.6</v>
      </c>
      <c r="AT100" s="57">
        <f t="shared" si="46"/>
        <v>16.248781341399393</v>
      </c>
    </row>
    <row r="101" spans="1:46" ht="16" x14ac:dyDescent="0.2">
      <c r="A101" s="13" t="s">
        <v>18681</v>
      </c>
      <c r="B101" s="13" t="s">
        <v>18513</v>
      </c>
      <c r="C101" s="14" t="s">
        <v>18512</v>
      </c>
      <c r="D101" s="1">
        <v>3</v>
      </c>
      <c r="K101" s="14">
        <f t="shared" si="47"/>
        <v>3</v>
      </c>
      <c r="L101" s="16">
        <v>229617</v>
      </c>
      <c r="M101" s="17">
        <v>78065</v>
      </c>
      <c r="N101" s="17">
        <v>108222</v>
      </c>
      <c r="O101" s="18">
        <v>567</v>
      </c>
      <c r="P101" s="17">
        <v>4536</v>
      </c>
      <c r="Q101" s="18">
        <v>138</v>
      </c>
      <c r="R101" s="18">
        <f t="shared" si="48"/>
        <v>4674</v>
      </c>
      <c r="S101" s="18">
        <v>535</v>
      </c>
      <c r="T101" s="17">
        <v>3801</v>
      </c>
      <c r="U101" s="19">
        <v>33753</v>
      </c>
      <c r="V101" s="22">
        <v>50.440143585205078</v>
      </c>
      <c r="W101" s="15">
        <v>13</v>
      </c>
      <c r="X101" s="9">
        <f t="shared" si="49"/>
        <v>5.6616017106747325</v>
      </c>
      <c r="Y101" s="9">
        <f t="shared" si="50"/>
        <v>1.8664621024202415</v>
      </c>
      <c r="Z101" s="9">
        <f t="shared" si="51"/>
        <v>5.4899305523785129</v>
      </c>
      <c r="AA101" s="9">
        <f t="shared" si="52"/>
        <v>0</v>
      </c>
      <c r="AB101" s="9">
        <f t="shared" si="53"/>
        <v>0</v>
      </c>
      <c r="AC101" s="52" t="e">
        <f t="shared" si="44"/>
        <v>#DIV/0!</v>
      </c>
      <c r="AD101" s="52" t="e">
        <f t="shared" si="45"/>
        <v>#DIV/0!</v>
      </c>
      <c r="AE101" s="1">
        <v>1426</v>
      </c>
      <c r="AF101" s="1">
        <v>1696</v>
      </c>
      <c r="AK101" s="55">
        <f t="shared" si="54"/>
        <v>1561</v>
      </c>
      <c r="AL101" s="55">
        <f t="shared" si="55"/>
        <v>6.7982771310486587</v>
      </c>
      <c r="AM101" s="1">
        <v>19742</v>
      </c>
      <c r="AN101" s="1">
        <v>18875</v>
      </c>
      <c r="AO101" s="1">
        <v>16146</v>
      </c>
      <c r="AP101" s="1">
        <v>15432</v>
      </c>
      <c r="AQ101" s="1"/>
      <c r="AR101" s="1">
        <v>12786</v>
      </c>
      <c r="AS101" s="2">
        <f t="shared" si="43"/>
        <v>15809.75</v>
      </c>
      <c r="AT101" s="57">
        <f t="shared" si="46"/>
        <v>1.897563212574519</v>
      </c>
    </row>
    <row r="102" spans="1:46" ht="16" x14ac:dyDescent="0.2">
      <c r="A102" s="13" t="s">
        <v>19241</v>
      </c>
      <c r="B102" s="13" t="s">
        <v>28126</v>
      </c>
      <c r="C102" s="13" t="s">
        <v>28126</v>
      </c>
      <c r="D102" s="1">
        <f>SUM(D2:D101)</f>
        <v>755</v>
      </c>
      <c r="E102" s="1">
        <f t="shared" ref="E102:U102" si="56">SUM(E2:E101)</f>
        <v>463</v>
      </c>
      <c r="F102" s="1">
        <f t="shared" si="56"/>
        <v>19</v>
      </c>
      <c r="G102" s="1">
        <f t="shared" si="56"/>
        <v>44</v>
      </c>
      <c r="H102" s="1">
        <f t="shared" si="56"/>
        <v>16</v>
      </c>
      <c r="I102" s="1">
        <f t="shared" si="56"/>
        <v>526</v>
      </c>
      <c r="J102" s="1">
        <f t="shared" si="56"/>
        <v>149</v>
      </c>
      <c r="K102" s="10">
        <f>SUM(K2:K101)</f>
        <v>1972</v>
      </c>
      <c r="L102" s="16">
        <f t="shared" si="56"/>
        <v>61909961</v>
      </c>
      <c r="M102" s="17">
        <f t="shared" si="56"/>
        <v>12662657</v>
      </c>
      <c r="N102" s="17">
        <f t="shared" si="56"/>
        <v>24117461</v>
      </c>
      <c r="O102" s="17">
        <f t="shared" si="56"/>
        <v>290600</v>
      </c>
      <c r="P102" s="17">
        <f t="shared" si="56"/>
        <v>5078166</v>
      </c>
      <c r="Q102" s="17">
        <f t="shared" si="56"/>
        <v>176551</v>
      </c>
      <c r="R102" s="17">
        <f t="shared" si="56"/>
        <v>5254717</v>
      </c>
      <c r="S102" s="17">
        <f t="shared" si="56"/>
        <v>175145</v>
      </c>
      <c r="T102" s="17">
        <f t="shared" si="56"/>
        <v>1472712</v>
      </c>
      <c r="U102" s="17">
        <f t="shared" si="56"/>
        <v>16411918</v>
      </c>
      <c r="W102" s="15">
        <f>SUM(W1:W101)</f>
        <v>5731</v>
      </c>
      <c r="X102" s="9">
        <f t="shared" si="49"/>
        <v>9.2569917787543101</v>
      </c>
      <c r="Y102" s="9">
        <f t="shared" si="50"/>
        <v>4.5503870647614484</v>
      </c>
      <c r="Z102" s="9">
        <f t="shared" si="51"/>
        <v>8.5177339050677006</v>
      </c>
      <c r="AA102" s="9">
        <f t="shared" si="52"/>
        <v>3.11570347902116</v>
      </c>
      <c r="AB102" s="9">
        <f t="shared" si="53"/>
        <v>4.0301722896042467</v>
      </c>
      <c r="AC102" s="52">
        <f t="shared" si="44"/>
        <v>2.7338076175797257</v>
      </c>
      <c r="AD102" s="52">
        <f t="shared" si="45"/>
        <v>1.2935031580317069</v>
      </c>
      <c r="AE102" s="1">
        <f t="shared" ref="AE102:AJ102" si="57">SUM(AE2:AE101)</f>
        <v>445359</v>
      </c>
      <c r="AF102" s="1">
        <f t="shared" si="57"/>
        <v>441400</v>
      </c>
      <c r="AG102" s="1">
        <f t="shared" si="57"/>
        <v>459609</v>
      </c>
      <c r="AH102" s="1">
        <f t="shared" si="57"/>
        <v>490035</v>
      </c>
      <c r="AI102" s="1">
        <f t="shared" si="57"/>
        <v>483253</v>
      </c>
      <c r="AJ102" s="1">
        <f t="shared" si="57"/>
        <v>480067</v>
      </c>
      <c r="AK102" s="55">
        <f t="shared" si="54"/>
        <v>466620.5</v>
      </c>
      <c r="AL102" s="55">
        <f t="shared" si="55"/>
        <v>7.5370827644359206</v>
      </c>
      <c r="AM102" s="58"/>
      <c r="AT102" s="57">
        <f>AVERAGE(AT2:AT101)</f>
        <v>10.870354756959058</v>
      </c>
    </row>
    <row r="103" spans="1:46" ht="16" x14ac:dyDescent="0.2">
      <c r="A103" s="13" t="s">
        <v>19241</v>
      </c>
      <c r="B103" s="13" t="s">
        <v>28127</v>
      </c>
      <c r="C103" s="14" t="s">
        <v>28127</v>
      </c>
      <c r="D103" s="50">
        <v>1949</v>
      </c>
      <c r="E103" s="1">
        <v>1339</v>
      </c>
      <c r="F103" s="1">
        <v>112</v>
      </c>
      <c r="G103" s="1">
        <v>118</v>
      </c>
      <c r="H103" s="1">
        <v>42</v>
      </c>
      <c r="I103" s="50">
        <v>3385</v>
      </c>
      <c r="J103" s="1">
        <v>736</v>
      </c>
      <c r="K103" s="10">
        <f>SUM(D103:J103)</f>
        <v>7681</v>
      </c>
      <c r="L103" s="21">
        <v>318900000</v>
      </c>
      <c r="M103" s="10">
        <v>42094800</v>
      </c>
      <c r="N103" s="10">
        <v>196817552</v>
      </c>
      <c r="U103" s="10">
        <v>50478000</v>
      </c>
      <c r="W103" s="60"/>
      <c r="X103" s="9">
        <v>5</v>
      </c>
      <c r="Y103" s="9">
        <f t="shared" si="50"/>
        <v>3.4408457644581825</v>
      </c>
      <c r="Z103" s="9">
        <f t="shared" si="51"/>
        <v>6.614322230502852</v>
      </c>
      <c r="AA103" s="9">
        <f t="shared" si="52"/>
        <v>2.4569527649212333</v>
      </c>
      <c r="AB103" s="9">
        <f t="shared" si="53"/>
        <v>3.7894867919829291</v>
      </c>
      <c r="AC103" s="52">
        <f t="shared" si="44"/>
        <v>2.6920835943359696</v>
      </c>
      <c r="AD103" s="52">
        <f t="shared" si="45"/>
        <v>1.5423523179145917</v>
      </c>
      <c r="AL103" s="55">
        <v>5.3</v>
      </c>
      <c r="AM103" s="61"/>
      <c r="AT103" s="57"/>
    </row>
    <row r="104" spans="1:46" x14ac:dyDescent="0.15">
      <c r="W104" s="60"/>
    </row>
    <row r="105" spans="1:46" x14ac:dyDescent="0.15">
      <c r="J105" s="10"/>
    </row>
    <row r="106" spans="1:46" x14ac:dyDescent="0.15">
      <c r="J106" s="10"/>
    </row>
    <row r="107" spans="1:46" x14ac:dyDescent="0.15">
      <c r="B107" s="14" t="s">
        <v>42950</v>
      </c>
      <c r="J107" s="10"/>
    </row>
    <row r="108" spans="1:46" x14ac:dyDescent="0.15">
      <c r="J108" s="10"/>
    </row>
    <row r="133" spans="27:30" x14ac:dyDescent="0.15">
      <c r="AA133"/>
      <c r="AB133"/>
      <c r="AC133" s="53"/>
      <c r="AD133" s="53"/>
    </row>
    <row r="134" spans="27:30" x14ac:dyDescent="0.15">
      <c r="AA134"/>
      <c r="AB134"/>
      <c r="AC134" s="53"/>
      <c r="AD134" s="53"/>
    </row>
    <row r="135" spans="27:30" x14ac:dyDescent="0.15">
      <c r="AA135"/>
      <c r="AB135"/>
      <c r="AC135" s="53"/>
      <c r="AD135" s="53"/>
    </row>
    <row r="136" spans="27:30" x14ac:dyDescent="0.15">
      <c r="AA136"/>
      <c r="AB136"/>
      <c r="AC136" s="53"/>
      <c r="AD136" s="53"/>
    </row>
    <row r="137" spans="27:30" x14ac:dyDescent="0.15">
      <c r="AA137"/>
      <c r="AB137"/>
      <c r="AC137" s="53"/>
      <c r="AD137" s="53"/>
    </row>
    <row r="138" spans="27:30" x14ac:dyDescent="0.15">
      <c r="AA138"/>
      <c r="AB138"/>
      <c r="AC138" s="53"/>
      <c r="AD138" s="53"/>
    </row>
    <row r="139" spans="27:30" x14ac:dyDescent="0.15">
      <c r="AA139"/>
      <c r="AB139"/>
      <c r="AC139" s="53"/>
      <c r="AD139" s="53"/>
    </row>
    <row r="140" spans="27:30" x14ac:dyDescent="0.15">
      <c r="AA140"/>
      <c r="AB140"/>
      <c r="AC140" s="53"/>
      <c r="AD140" s="53"/>
    </row>
    <row r="141" spans="27:30" x14ac:dyDescent="0.15">
      <c r="AA141"/>
      <c r="AB141"/>
      <c r="AC141" s="53"/>
      <c r="AD141" s="53"/>
    </row>
    <row r="142" spans="27:30" x14ac:dyDescent="0.15">
      <c r="AA142"/>
      <c r="AB142"/>
      <c r="AC142" s="53"/>
      <c r="AD142" s="53"/>
    </row>
    <row r="143" spans="27:30" x14ac:dyDescent="0.15">
      <c r="AA143"/>
      <c r="AB143"/>
      <c r="AC143" s="53"/>
      <c r="AD143" s="53"/>
    </row>
    <row r="144" spans="27:30" x14ac:dyDescent="0.15">
      <c r="AA144"/>
      <c r="AB144"/>
      <c r="AC144" s="53"/>
      <c r="AD144" s="53"/>
    </row>
    <row r="145" spans="27:30" x14ac:dyDescent="0.15">
      <c r="AA145"/>
      <c r="AB145"/>
      <c r="AC145" s="53"/>
      <c r="AD145" s="53"/>
    </row>
    <row r="146" spans="27:30" x14ac:dyDescent="0.15">
      <c r="AA146"/>
      <c r="AB146"/>
      <c r="AC146" s="53"/>
      <c r="AD146" s="53"/>
    </row>
    <row r="147" spans="27:30" x14ac:dyDescent="0.15">
      <c r="AA147"/>
      <c r="AB147"/>
      <c r="AC147" s="53"/>
      <c r="AD147" s="53"/>
    </row>
    <row r="148" spans="27:30" x14ac:dyDescent="0.15">
      <c r="AA148"/>
      <c r="AB148"/>
      <c r="AC148" s="53"/>
      <c r="AD148" s="53"/>
    </row>
    <row r="149" spans="27:30" x14ac:dyDescent="0.15">
      <c r="AA149"/>
      <c r="AB149"/>
      <c r="AC149" s="53"/>
      <c r="AD149" s="53"/>
    </row>
    <row r="150" spans="27:30" x14ac:dyDescent="0.15">
      <c r="AA150"/>
      <c r="AB150"/>
      <c r="AC150" s="53"/>
      <c r="AD150" s="53"/>
    </row>
    <row r="151" spans="27:30" x14ac:dyDescent="0.15">
      <c r="AA151"/>
      <c r="AB151"/>
      <c r="AC151" s="53"/>
      <c r="AD151" s="53"/>
    </row>
    <row r="152" spans="27:30" x14ac:dyDescent="0.15">
      <c r="AA152"/>
      <c r="AB152"/>
      <c r="AC152" s="53"/>
      <c r="AD152" s="53"/>
    </row>
    <row r="153" spans="27:30" x14ac:dyDescent="0.15">
      <c r="AA153"/>
      <c r="AB153"/>
      <c r="AC153" s="53"/>
      <c r="AD153" s="53"/>
    </row>
    <row r="154" spans="27:30" x14ac:dyDescent="0.15">
      <c r="AA154"/>
      <c r="AB154"/>
      <c r="AC154" s="53"/>
      <c r="AD154" s="53"/>
    </row>
    <row r="155" spans="27:30" x14ac:dyDescent="0.15">
      <c r="AA155"/>
      <c r="AB155"/>
      <c r="AC155" s="53"/>
      <c r="AD155" s="53"/>
    </row>
    <row r="156" spans="27:30" x14ac:dyDescent="0.15">
      <c r="AA156"/>
      <c r="AB156"/>
      <c r="AC156" s="53"/>
      <c r="AD156" s="53"/>
    </row>
    <row r="157" spans="27:30" x14ac:dyDescent="0.15">
      <c r="AA157"/>
      <c r="AB157"/>
      <c r="AC157" s="53"/>
      <c r="AD157" s="53"/>
    </row>
    <row r="158" spans="27:30" x14ac:dyDescent="0.15">
      <c r="AA158"/>
      <c r="AB158"/>
      <c r="AC158" s="53"/>
      <c r="AD158" s="53"/>
    </row>
    <row r="159" spans="27:30" x14ac:dyDescent="0.15">
      <c r="AA159"/>
      <c r="AB159"/>
      <c r="AC159" s="53"/>
      <c r="AD159" s="53"/>
    </row>
    <row r="160" spans="27:30" x14ac:dyDescent="0.15">
      <c r="AA160"/>
      <c r="AB160"/>
      <c r="AC160" s="53"/>
      <c r="AD160" s="53"/>
    </row>
    <row r="161" spans="27:30" x14ac:dyDescent="0.15">
      <c r="AA161"/>
      <c r="AB161"/>
      <c r="AC161" s="53"/>
      <c r="AD161" s="53"/>
    </row>
    <row r="162" spans="27:30" x14ac:dyDescent="0.15">
      <c r="AA162"/>
      <c r="AB162"/>
      <c r="AC162" s="53"/>
      <c r="AD162" s="53"/>
    </row>
    <row r="163" spans="27:30" x14ac:dyDescent="0.15">
      <c r="AA163"/>
      <c r="AB163"/>
      <c r="AC163" s="53"/>
      <c r="AD163" s="53"/>
    </row>
    <row r="164" spans="27:30" x14ac:dyDescent="0.15">
      <c r="AA164"/>
      <c r="AB164"/>
      <c r="AC164" s="53"/>
      <c r="AD164" s="53"/>
    </row>
    <row r="165" spans="27:30" x14ac:dyDescent="0.15">
      <c r="AA165"/>
      <c r="AB165"/>
      <c r="AC165" s="53"/>
      <c r="AD165" s="53"/>
    </row>
    <row r="166" spans="27:30" x14ac:dyDescent="0.15">
      <c r="AA166"/>
      <c r="AB166"/>
      <c r="AC166" s="53"/>
      <c r="AD166" s="53"/>
    </row>
    <row r="167" spans="27:30" x14ac:dyDescent="0.15">
      <c r="AA167"/>
      <c r="AB167"/>
      <c r="AC167" s="53"/>
      <c r="AD167" s="53"/>
    </row>
    <row r="168" spans="27:30" x14ac:dyDescent="0.15">
      <c r="AA168"/>
      <c r="AB168"/>
      <c r="AC168" s="53"/>
      <c r="AD168" s="53"/>
    </row>
    <row r="169" spans="27:30" x14ac:dyDescent="0.15">
      <c r="AA169"/>
      <c r="AB169"/>
      <c r="AC169" s="53"/>
      <c r="AD169" s="53"/>
    </row>
    <row r="170" spans="27:30" x14ac:dyDescent="0.15">
      <c r="AA170"/>
      <c r="AB170"/>
      <c r="AC170" s="53"/>
      <c r="AD170" s="53"/>
    </row>
    <row r="171" spans="27:30" x14ac:dyDescent="0.15">
      <c r="AA171"/>
      <c r="AB171"/>
      <c r="AC171" s="53"/>
      <c r="AD171" s="53"/>
    </row>
    <row r="172" spans="27:30" x14ac:dyDescent="0.15">
      <c r="AA172"/>
      <c r="AB172"/>
      <c r="AC172" s="53"/>
      <c r="AD172" s="53"/>
    </row>
    <row r="173" spans="27:30" x14ac:dyDescent="0.15">
      <c r="AA173"/>
      <c r="AB173"/>
      <c r="AC173" s="53"/>
      <c r="AD173" s="53"/>
    </row>
    <row r="174" spans="27:30" x14ac:dyDescent="0.15">
      <c r="AA174"/>
      <c r="AB174"/>
      <c r="AC174" s="53"/>
      <c r="AD174" s="53"/>
    </row>
    <row r="175" spans="27:30" x14ac:dyDescent="0.15">
      <c r="AA175"/>
      <c r="AB175"/>
      <c r="AC175" s="53"/>
      <c r="AD175" s="53"/>
    </row>
    <row r="176" spans="27:30" x14ac:dyDescent="0.15">
      <c r="AA176"/>
      <c r="AB176"/>
      <c r="AC176" s="53"/>
      <c r="AD176" s="53"/>
    </row>
    <row r="177" spans="27:30" x14ac:dyDescent="0.15">
      <c r="AA177"/>
      <c r="AB177"/>
      <c r="AC177" s="53"/>
      <c r="AD177" s="53"/>
    </row>
    <row r="178" spans="27:30" x14ac:dyDescent="0.15">
      <c r="AA178"/>
      <c r="AB178"/>
      <c r="AC178" s="53"/>
      <c r="AD178" s="53"/>
    </row>
    <row r="179" spans="27:30" x14ac:dyDescent="0.15">
      <c r="AA179"/>
      <c r="AB179"/>
      <c r="AC179" s="53"/>
      <c r="AD179" s="53"/>
    </row>
    <row r="180" spans="27:30" x14ac:dyDescent="0.15">
      <c r="AA180"/>
      <c r="AB180"/>
      <c r="AC180" s="53"/>
      <c r="AD180" s="53"/>
    </row>
    <row r="181" spans="27:30" x14ac:dyDescent="0.15">
      <c r="AA181"/>
      <c r="AB181"/>
      <c r="AC181" s="53"/>
      <c r="AD181" s="53"/>
    </row>
    <row r="182" spans="27:30" x14ac:dyDescent="0.15">
      <c r="AA182"/>
      <c r="AB182"/>
      <c r="AC182" s="53"/>
      <c r="AD182" s="53"/>
    </row>
    <row r="183" spans="27:30" x14ac:dyDescent="0.15">
      <c r="AA183"/>
      <c r="AB183"/>
      <c r="AC183" s="53"/>
      <c r="AD183" s="53"/>
    </row>
    <row r="184" spans="27:30" x14ac:dyDescent="0.15">
      <c r="AA184"/>
      <c r="AB184"/>
      <c r="AC184" s="53"/>
      <c r="AD184" s="53"/>
    </row>
    <row r="185" spans="27:30" x14ac:dyDescent="0.15">
      <c r="AA185"/>
      <c r="AB185"/>
      <c r="AC185" s="53"/>
      <c r="AD185" s="53"/>
    </row>
    <row r="186" spans="27:30" x14ac:dyDescent="0.15">
      <c r="AA186"/>
      <c r="AB186"/>
      <c r="AC186" s="53"/>
      <c r="AD186" s="53"/>
    </row>
    <row r="187" spans="27:30" x14ac:dyDescent="0.15">
      <c r="AA187"/>
      <c r="AB187"/>
      <c r="AC187" s="53"/>
      <c r="AD187" s="53"/>
    </row>
    <row r="188" spans="27:30" x14ac:dyDescent="0.15">
      <c r="AA188"/>
      <c r="AB188"/>
      <c r="AC188" s="53"/>
      <c r="AD188" s="53"/>
    </row>
    <row r="189" spans="27:30" x14ac:dyDescent="0.15">
      <c r="AA189"/>
      <c r="AB189"/>
      <c r="AC189" s="53"/>
      <c r="AD189" s="53"/>
    </row>
    <row r="190" spans="27:30" x14ac:dyDescent="0.15">
      <c r="AA190"/>
      <c r="AB190"/>
      <c r="AC190" s="53"/>
      <c r="AD190" s="53"/>
    </row>
    <row r="191" spans="27:30" x14ac:dyDescent="0.15">
      <c r="AA191"/>
      <c r="AB191"/>
      <c r="AC191" s="53"/>
      <c r="AD191" s="53"/>
    </row>
    <row r="192" spans="27:30" x14ac:dyDescent="0.15">
      <c r="AA192"/>
      <c r="AB192"/>
      <c r="AC192" s="53"/>
      <c r="AD192" s="53"/>
    </row>
    <row r="193" spans="27:30" x14ac:dyDescent="0.15">
      <c r="AA193"/>
      <c r="AB193"/>
      <c r="AC193" s="53"/>
      <c r="AD193" s="53"/>
    </row>
    <row r="194" spans="27:30" x14ac:dyDescent="0.15">
      <c r="AA194"/>
      <c r="AB194"/>
      <c r="AC194" s="53"/>
      <c r="AD194" s="53"/>
    </row>
    <row r="195" spans="27:30" x14ac:dyDescent="0.15">
      <c r="AA195"/>
      <c r="AB195"/>
      <c r="AC195" s="53"/>
      <c r="AD195" s="53"/>
    </row>
    <row r="196" spans="27:30" x14ac:dyDescent="0.15">
      <c r="AA196"/>
      <c r="AB196"/>
      <c r="AC196" s="53"/>
      <c r="AD196" s="53"/>
    </row>
    <row r="197" spans="27:30" x14ac:dyDescent="0.15">
      <c r="AA197"/>
      <c r="AB197"/>
      <c r="AC197" s="53"/>
      <c r="AD197" s="53"/>
    </row>
    <row r="198" spans="27:30" x14ac:dyDescent="0.15">
      <c r="AA198"/>
      <c r="AB198"/>
      <c r="AC198" s="53"/>
      <c r="AD198" s="53"/>
    </row>
    <row r="199" spans="27:30" x14ac:dyDescent="0.15">
      <c r="AA199"/>
      <c r="AB199"/>
      <c r="AC199" s="53"/>
      <c r="AD199" s="53"/>
    </row>
    <row r="200" spans="27:30" x14ac:dyDescent="0.15">
      <c r="AA200"/>
      <c r="AB200"/>
      <c r="AC200" s="53"/>
      <c r="AD200" s="53"/>
    </row>
    <row r="201" spans="27:30" x14ac:dyDescent="0.15">
      <c r="AA201"/>
      <c r="AB201"/>
      <c r="AC201" s="53"/>
      <c r="AD201" s="53"/>
    </row>
    <row r="202" spans="27:30" x14ac:dyDescent="0.15">
      <c r="AA202"/>
      <c r="AB202"/>
      <c r="AC202" s="53"/>
      <c r="AD202" s="53"/>
    </row>
    <row r="203" spans="27:30" x14ac:dyDescent="0.15">
      <c r="AA203"/>
      <c r="AB203"/>
      <c r="AC203" s="53"/>
      <c r="AD203" s="53"/>
    </row>
    <row r="204" spans="27:30" x14ac:dyDescent="0.15">
      <c r="AA204"/>
      <c r="AB204"/>
      <c r="AC204" s="53"/>
      <c r="AD204" s="53"/>
    </row>
    <row r="205" spans="27:30" x14ac:dyDescent="0.15">
      <c r="AA205"/>
      <c r="AB205"/>
      <c r="AC205" s="53"/>
      <c r="AD205" s="53"/>
    </row>
    <row r="206" spans="27:30" x14ac:dyDescent="0.15">
      <c r="AA206"/>
      <c r="AB206"/>
      <c r="AC206" s="53"/>
      <c r="AD206" s="53"/>
    </row>
    <row r="207" spans="27:30" x14ac:dyDescent="0.15">
      <c r="AA207"/>
      <c r="AB207"/>
      <c r="AC207" s="53"/>
      <c r="AD207" s="53"/>
    </row>
    <row r="208" spans="27:30" x14ac:dyDescent="0.15">
      <c r="AA208"/>
      <c r="AB208"/>
      <c r="AC208" s="53"/>
      <c r="AD208" s="53"/>
    </row>
    <row r="209" spans="27:30" x14ac:dyDescent="0.15">
      <c r="AA209"/>
      <c r="AB209"/>
      <c r="AC209" s="53"/>
      <c r="AD209" s="53"/>
    </row>
    <row r="210" spans="27:30" x14ac:dyDescent="0.15">
      <c r="AA210"/>
      <c r="AB210"/>
      <c r="AC210" s="53"/>
      <c r="AD210" s="53"/>
    </row>
    <row r="211" spans="27:30" x14ac:dyDescent="0.15">
      <c r="AA211"/>
      <c r="AB211"/>
      <c r="AC211" s="53"/>
      <c r="AD211" s="53"/>
    </row>
    <row r="212" spans="27:30" x14ac:dyDescent="0.15">
      <c r="AA212"/>
      <c r="AB212"/>
      <c r="AC212" s="53"/>
      <c r="AD212" s="53"/>
    </row>
    <row r="213" spans="27:30" x14ac:dyDescent="0.15">
      <c r="AA213"/>
      <c r="AB213"/>
      <c r="AC213" s="53"/>
      <c r="AD213" s="53"/>
    </row>
    <row r="214" spans="27:30" x14ac:dyDescent="0.15">
      <c r="AA214"/>
      <c r="AB214"/>
      <c r="AC214" s="53"/>
      <c r="AD214" s="53"/>
    </row>
    <row r="215" spans="27:30" x14ac:dyDescent="0.15">
      <c r="AA215"/>
      <c r="AB215"/>
      <c r="AC215" s="53"/>
      <c r="AD215" s="53"/>
    </row>
    <row r="216" spans="27:30" x14ac:dyDescent="0.15">
      <c r="AA216"/>
      <c r="AB216"/>
      <c r="AC216" s="53"/>
      <c r="AD216" s="53"/>
    </row>
    <row r="217" spans="27:30" x14ac:dyDescent="0.15">
      <c r="AA217"/>
      <c r="AB217"/>
      <c r="AC217" s="53"/>
      <c r="AD217" s="53"/>
    </row>
    <row r="218" spans="27:30" x14ac:dyDescent="0.15">
      <c r="AA218"/>
      <c r="AB218"/>
      <c r="AC218" s="53"/>
      <c r="AD218" s="53"/>
    </row>
    <row r="219" spans="27:30" x14ac:dyDescent="0.15">
      <c r="AA219"/>
      <c r="AB219"/>
      <c r="AC219" s="53"/>
      <c r="AD219" s="53"/>
    </row>
    <row r="220" spans="27:30" x14ac:dyDescent="0.15">
      <c r="AA220"/>
      <c r="AB220"/>
      <c r="AC220" s="53"/>
      <c r="AD220" s="53"/>
    </row>
    <row r="221" spans="27:30" x14ac:dyDescent="0.15">
      <c r="AA221"/>
      <c r="AB221"/>
      <c r="AC221" s="53"/>
      <c r="AD221" s="53"/>
    </row>
    <row r="222" spans="27:30" x14ac:dyDescent="0.15">
      <c r="AA222"/>
      <c r="AB222"/>
      <c r="AC222" s="53"/>
      <c r="AD222" s="53"/>
    </row>
    <row r="223" spans="27:30" x14ac:dyDescent="0.15">
      <c r="AA223"/>
      <c r="AB223"/>
      <c r="AC223" s="53"/>
      <c r="AD223" s="53"/>
    </row>
    <row r="224" spans="27:30" x14ac:dyDescent="0.15">
      <c r="AA224"/>
      <c r="AB224"/>
      <c r="AC224" s="53"/>
      <c r="AD224" s="53"/>
    </row>
    <row r="225" spans="27:30" x14ac:dyDescent="0.15">
      <c r="AA225"/>
      <c r="AB225"/>
      <c r="AC225" s="53"/>
      <c r="AD225" s="53"/>
    </row>
    <row r="226" spans="27:30" x14ac:dyDescent="0.15">
      <c r="AA226"/>
      <c r="AB226"/>
      <c r="AC226" s="53"/>
      <c r="AD226" s="53"/>
    </row>
    <row r="227" spans="27:30" x14ac:dyDescent="0.15">
      <c r="AA227"/>
      <c r="AB227"/>
      <c r="AC227" s="53"/>
      <c r="AD227" s="53"/>
    </row>
    <row r="228" spans="27:30" x14ac:dyDescent="0.15">
      <c r="AA228"/>
      <c r="AB228"/>
      <c r="AC228" s="53"/>
      <c r="AD228" s="53"/>
    </row>
    <row r="229" spans="27:30" x14ac:dyDescent="0.15">
      <c r="AA229"/>
      <c r="AB229"/>
      <c r="AC229" s="53"/>
      <c r="AD229" s="53"/>
    </row>
    <row r="230" spans="27:30" x14ac:dyDescent="0.15">
      <c r="AA230"/>
      <c r="AB230"/>
      <c r="AC230" s="53"/>
      <c r="AD230" s="53"/>
    </row>
    <row r="231" spans="27:30" x14ac:dyDescent="0.15">
      <c r="AA231"/>
      <c r="AB231"/>
      <c r="AC231" s="53"/>
      <c r="AD231" s="53"/>
    </row>
    <row r="232" spans="27:30" x14ac:dyDescent="0.15">
      <c r="AA232"/>
      <c r="AB232"/>
      <c r="AC232" s="53"/>
      <c r="AD232" s="53"/>
    </row>
    <row r="233" spans="27:30" x14ac:dyDescent="0.15">
      <c r="AA233"/>
      <c r="AB233"/>
      <c r="AC233" s="53"/>
      <c r="AD233" s="53"/>
    </row>
    <row r="234" spans="27:30" x14ac:dyDescent="0.15">
      <c r="AA234"/>
      <c r="AB234"/>
      <c r="AC234" s="53"/>
      <c r="AD234" s="53"/>
    </row>
    <row r="235" spans="27:30" x14ac:dyDescent="0.15">
      <c r="AA235"/>
      <c r="AB235"/>
      <c r="AC235" s="53"/>
      <c r="AD235" s="53"/>
    </row>
    <row r="236" spans="27:30" x14ac:dyDescent="0.15">
      <c r="AA236"/>
      <c r="AB236"/>
      <c r="AC236" s="53"/>
      <c r="AD236" s="53"/>
    </row>
    <row r="237" spans="27:30" x14ac:dyDescent="0.15">
      <c r="AA237"/>
      <c r="AB237"/>
      <c r="AC237" s="53"/>
      <c r="AD237" s="53"/>
    </row>
    <row r="238" spans="27:30" x14ac:dyDescent="0.15">
      <c r="AA238"/>
      <c r="AB238"/>
      <c r="AC238" s="53"/>
      <c r="AD238" s="53"/>
    </row>
    <row r="239" spans="27:30" x14ac:dyDescent="0.15">
      <c r="AA239"/>
      <c r="AB239"/>
      <c r="AC239" s="53"/>
      <c r="AD239" s="53"/>
    </row>
    <row r="240" spans="27:30" x14ac:dyDescent="0.15">
      <c r="AA240"/>
      <c r="AB240"/>
      <c r="AC240" s="53"/>
      <c r="AD240" s="53"/>
    </row>
    <row r="241" spans="27:30" x14ac:dyDescent="0.15">
      <c r="AA241"/>
      <c r="AB241"/>
      <c r="AC241" s="53"/>
      <c r="AD241" s="53"/>
    </row>
    <row r="242" spans="27:30" x14ac:dyDescent="0.15">
      <c r="AA242"/>
      <c r="AB242"/>
      <c r="AC242" s="53"/>
      <c r="AD242" s="53"/>
    </row>
    <row r="243" spans="27:30" x14ac:dyDescent="0.15">
      <c r="AA243"/>
      <c r="AB243"/>
      <c r="AC243" s="53"/>
      <c r="AD243" s="53"/>
    </row>
    <row r="244" spans="27:30" x14ac:dyDescent="0.15">
      <c r="AA244"/>
      <c r="AB244"/>
      <c r="AC244" s="53"/>
      <c r="AD244" s="53"/>
    </row>
    <row r="245" spans="27:30" x14ac:dyDescent="0.15">
      <c r="AA245"/>
      <c r="AB245"/>
      <c r="AC245" s="53"/>
      <c r="AD245" s="53"/>
    </row>
    <row r="246" spans="27:30" x14ac:dyDescent="0.15">
      <c r="AA246"/>
      <c r="AB246"/>
      <c r="AC246" s="53"/>
      <c r="AD246" s="53"/>
    </row>
    <row r="247" spans="27:30" x14ac:dyDescent="0.15">
      <c r="AA247"/>
      <c r="AB247"/>
      <c r="AC247" s="53"/>
      <c r="AD247" s="53"/>
    </row>
    <row r="248" spans="27:30" x14ac:dyDescent="0.15">
      <c r="AA248"/>
      <c r="AB248"/>
      <c r="AC248" s="53"/>
      <c r="AD248" s="53"/>
    </row>
    <row r="249" spans="27:30" x14ac:dyDescent="0.15">
      <c r="AA249"/>
      <c r="AB249"/>
      <c r="AC249" s="53"/>
      <c r="AD249" s="53"/>
    </row>
    <row r="250" spans="27:30" x14ac:dyDescent="0.15">
      <c r="AA250"/>
      <c r="AB250"/>
      <c r="AC250" s="53"/>
      <c r="AD250" s="53"/>
    </row>
    <row r="251" spans="27:30" x14ac:dyDescent="0.15">
      <c r="AA251"/>
      <c r="AB251"/>
      <c r="AC251" s="53"/>
      <c r="AD251" s="53"/>
    </row>
    <row r="252" spans="27:30" x14ac:dyDescent="0.15">
      <c r="AA252"/>
      <c r="AB252"/>
      <c r="AC252" s="53"/>
      <c r="AD252" s="53"/>
    </row>
    <row r="253" spans="27:30" x14ac:dyDescent="0.15">
      <c r="AA253"/>
      <c r="AB253"/>
      <c r="AC253" s="53"/>
      <c r="AD253" s="53"/>
    </row>
    <row r="254" spans="27:30" x14ac:dyDescent="0.15">
      <c r="AA254"/>
      <c r="AB254"/>
      <c r="AC254" s="53"/>
      <c r="AD254" s="53"/>
    </row>
    <row r="255" spans="27:30" x14ac:dyDescent="0.15">
      <c r="AA255"/>
      <c r="AB255"/>
      <c r="AC255" s="53"/>
      <c r="AD255" s="53"/>
    </row>
    <row r="256" spans="27:30" x14ac:dyDescent="0.15">
      <c r="AA256"/>
      <c r="AB256"/>
      <c r="AC256" s="53"/>
      <c r="AD256" s="53"/>
    </row>
    <row r="257" spans="27:30" x14ac:dyDescent="0.15">
      <c r="AA257"/>
      <c r="AB257"/>
      <c r="AC257" s="53"/>
      <c r="AD257" s="53"/>
    </row>
    <row r="258" spans="27:30" x14ac:dyDescent="0.15">
      <c r="AA258"/>
      <c r="AB258"/>
      <c r="AC258" s="53"/>
      <c r="AD258" s="53"/>
    </row>
    <row r="259" spans="27:30" x14ac:dyDescent="0.15">
      <c r="AA259"/>
      <c r="AB259"/>
      <c r="AC259" s="53"/>
      <c r="AD259" s="53"/>
    </row>
    <row r="260" spans="27:30" x14ac:dyDescent="0.15">
      <c r="AA260"/>
      <c r="AB260"/>
      <c r="AC260" s="53"/>
      <c r="AD260" s="53"/>
    </row>
    <row r="261" spans="27:30" x14ac:dyDescent="0.15">
      <c r="AA261"/>
      <c r="AB261"/>
      <c r="AC261" s="53"/>
      <c r="AD261" s="53"/>
    </row>
    <row r="262" spans="27:30" x14ac:dyDescent="0.15">
      <c r="AA262"/>
      <c r="AB262"/>
      <c r="AC262" s="53"/>
      <c r="AD262" s="53"/>
    </row>
    <row r="263" spans="27:30" x14ac:dyDescent="0.15">
      <c r="AA263"/>
      <c r="AB263"/>
      <c r="AC263" s="53"/>
      <c r="AD263" s="53"/>
    </row>
    <row r="264" spans="27:30" x14ac:dyDescent="0.15">
      <c r="AA264"/>
      <c r="AB264"/>
      <c r="AC264" s="53"/>
      <c r="AD264" s="53"/>
    </row>
    <row r="265" spans="27:30" x14ac:dyDescent="0.15">
      <c r="AA265"/>
      <c r="AB265"/>
      <c r="AC265" s="53"/>
      <c r="AD265" s="53"/>
    </row>
    <row r="266" spans="27:30" x14ac:dyDescent="0.15">
      <c r="AA266"/>
      <c r="AB266"/>
      <c r="AC266" s="53"/>
      <c r="AD266" s="53"/>
    </row>
    <row r="267" spans="27:30" x14ac:dyDescent="0.15">
      <c r="AA267"/>
      <c r="AB267"/>
      <c r="AC267" s="53"/>
      <c r="AD267" s="53"/>
    </row>
    <row r="268" spans="27:30" x14ac:dyDescent="0.15">
      <c r="AA268"/>
      <c r="AB268"/>
      <c r="AC268" s="53"/>
      <c r="AD268" s="53"/>
    </row>
    <row r="269" spans="27:30" x14ac:dyDescent="0.15">
      <c r="AA269"/>
      <c r="AB269"/>
      <c r="AC269" s="53"/>
      <c r="AD269" s="53"/>
    </row>
    <row r="270" spans="27:30" x14ac:dyDescent="0.15">
      <c r="AA270"/>
      <c r="AB270"/>
      <c r="AC270" s="53"/>
      <c r="AD270" s="53"/>
    </row>
    <row r="271" spans="27:30" x14ac:dyDescent="0.15">
      <c r="AA271"/>
      <c r="AB271"/>
      <c r="AC271" s="53"/>
      <c r="AD271" s="53"/>
    </row>
    <row r="272" spans="27:30" x14ac:dyDescent="0.15">
      <c r="AA272"/>
      <c r="AB272"/>
      <c r="AC272" s="53"/>
      <c r="AD272" s="53"/>
    </row>
    <row r="273" spans="27:30" x14ac:dyDescent="0.15">
      <c r="AA273"/>
      <c r="AB273"/>
      <c r="AC273" s="53"/>
      <c r="AD273" s="53"/>
    </row>
    <row r="274" spans="27:30" x14ac:dyDescent="0.15">
      <c r="AA274"/>
      <c r="AB274"/>
      <c r="AC274" s="53"/>
      <c r="AD274" s="53"/>
    </row>
    <row r="275" spans="27:30" x14ac:dyDescent="0.15">
      <c r="AA275"/>
      <c r="AB275"/>
      <c r="AC275" s="53"/>
      <c r="AD275" s="53"/>
    </row>
    <row r="276" spans="27:30" x14ac:dyDescent="0.15">
      <c r="AA276"/>
      <c r="AB276"/>
      <c r="AC276" s="53"/>
      <c r="AD276" s="53"/>
    </row>
    <row r="277" spans="27:30" x14ac:dyDescent="0.15">
      <c r="AA277"/>
      <c r="AB277"/>
      <c r="AC277" s="53"/>
      <c r="AD277" s="53"/>
    </row>
    <row r="278" spans="27:30" x14ac:dyDescent="0.15">
      <c r="AA278"/>
      <c r="AB278"/>
      <c r="AC278" s="53"/>
      <c r="AD278" s="53"/>
    </row>
    <row r="279" spans="27:30" x14ac:dyDescent="0.15">
      <c r="AA279"/>
      <c r="AB279"/>
      <c r="AC279" s="53"/>
      <c r="AD279" s="53"/>
    </row>
    <row r="280" spans="27:30" x14ac:dyDescent="0.15">
      <c r="AA280"/>
      <c r="AB280"/>
      <c r="AC280" s="53"/>
      <c r="AD280" s="53"/>
    </row>
    <row r="281" spans="27:30" x14ac:dyDescent="0.15">
      <c r="AA281"/>
      <c r="AB281"/>
      <c r="AC281" s="53"/>
      <c r="AD281" s="53"/>
    </row>
    <row r="282" spans="27:30" x14ac:dyDescent="0.15">
      <c r="AA282"/>
      <c r="AB282"/>
      <c r="AC282" s="53"/>
      <c r="AD282" s="53"/>
    </row>
    <row r="283" spans="27:30" x14ac:dyDescent="0.15">
      <c r="AA283"/>
      <c r="AB283"/>
      <c r="AC283" s="53"/>
      <c r="AD283" s="53"/>
    </row>
    <row r="284" spans="27:30" x14ac:dyDescent="0.15">
      <c r="AA284"/>
      <c r="AB284"/>
      <c r="AC284" s="53"/>
      <c r="AD284" s="53"/>
    </row>
    <row r="285" spans="27:30" x14ac:dyDescent="0.15">
      <c r="AA285"/>
      <c r="AB285"/>
      <c r="AC285" s="53"/>
      <c r="AD285" s="53"/>
    </row>
    <row r="286" spans="27:30" x14ac:dyDescent="0.15">
      <c r="AA286"/>
      <c r="AB286"/>
      <c r="AC286" s="53"/>
      <c r="AD286" s="53"/>
    </row>
    <row r="287" spans="27:30" x14ac:dyDescent="0.15">
      <c r="AA287"/>
      <c r="AB287"/>
      <c r="AC287" s="53"/>
      <c r="AD287" s="53"/>
    </row>
    <row r="288" spans="27:30" x14ac:dyDescent="0.15">
      <c r="AA288"/>
      <c r="AB288"/>
      <c r="AC288" s="53"/>
      <c r="AD288" s="53"/>
    </row>
    <row r="289" spans="27:30" x14ac:dyDescent="0.15">
      <c r="AA289"/>
      <c r="AB289"/>
      <c r="AC289" s="53"/>
      <c r="AD289" s="53"/>
    </row>
    <row r="290" spans="27:30" x14ac:dyDescent="0.15">
      <c r="AA290"/>
      <c r="AB290"/>
      <c r="AC290" s="53"/>
      <c r="AD290" s="53"/>
    </row>
    <row r="291" spans="27:30" x14ac:dyDescent="0.15">
      <c r="AA291"/>
      <c r="AB291"/>
      <c r="AC291" s="53"/>
      <c r="AD291" s="53"/>
    </row>
    <row r="292" spans="27:30" x14ac:dyDescent="0.15">
      <c r="AA292"/>
      <c r="AB292"/>
      <c r="AC292" s="53"/>
      <c r="AD292" s="53"/>
    </row>
    <row r="293" spans="27:30" x14ac:dyDescent="0.15">
      <c r="AA293"/>
      <c r="AB293"/>
      <c r="AC293" s="53"/>
      <c r="AD293" s="53"/>
    </row>
    <row r="294" spans="27:30" x14ac:dyDescent="0.15">
      <c r="AA294"/>
      <c r="AB294"/>
      <c r="AC294" s="53"/>
      <c r="AD294" s="53"/>
    </row>
    <row r="295" spans="27:30" x14ac:dyDescent="0.15">
      <c r="AA295"/>
      <c r="AB295"/>
      <c r="AC295" s="53"/>
      <c r="AD295" s="53"/>
    </row>
    <row r="296" spans="27:30" x14ac:dyDescent="0.15">
      <c r="AA296"/>
      <c r="AB296"/>
      <c r="AC296" s="53"/>
      <c r="AD296" s="53"/>
    </row>
    <row r="297" spans="27:30" x14ac:dyDescent="0.15">
      <c r="AA297"/>
      <c r="AB297"/>
      <c r="AC297" s="53"/>
      <c r="AD297" s="53"/>
    </row>
    <row r="298" spans="27:30" x14ac:dyDescent="0.15">
      <c r="AA298"/>
      <c r="AB298"/>
      <c r="AC298" s="53"/>
      <c r="AD298" s="53"/>
    </row>
    <row r="299" spans="27:30" x14ac:dyDescent="0.15">
      <c r="AA299"/>
      <c r="AB299"/>
      <c r="AC299" s="53"/>
      <c r="AD299" s="53"/>
    </row>
    <row r="300" spans="27:30" x14ac:dyDescent="0.15">
      <c r="AA300"/>
      <c r="AB300"/>
      <c r="AC300" s="53"/>
      <c r="AD300" s="53"/>
    </row>
    <row r="301" spans="27:30" x14ac:dyDescent="0.15">
      <c r="AA301"/>
      <c r="AB301"/>
      <c r="AC301" s="53"/>
      <c r="AD301" s="53"/>
    </row>
    <row r="302" spans="27:30" x14ac:dyDescent="0.15">
      <c r="AA302"/>
      <c r="AB302"/>
      <c r="AC302" s="53"/>
      <c r="AD302" s="53"/>
    </row>
    <row r="303" spans="27:30" x14ac:dyDescent="0.15">
      <c r="AA303"/>
      <c r="AB303"/>
      <c r="AC303" s="53"/>
      <c r="AD303" s="53"/>
    </row>
    <row r="304" spans="27:30" x14ac:dyDescent="0.15">
      <c r="AA304"/>
      <c r="AB304"/>
      <c r="AC304" s="53"/>
      <c r="AD304" s="53"/>
    </row>
    <row r="305" spans="27:30" x14ac:dyDescent="0.15">
      <c r="AA305"/>
      <c r="AB305"/>
      <c r="AC305" s="53"/>
      <c r="AD305" s="53"/>
    </row>
    <row r="306" spans="27:30" x14ac:dyDescent="0.15">
      <c r="AA306"/>
      <c r="AB306"/>
      <c r="AC306" s="53"/>
      <c r="AD306" s="53"/>
    </row>
    <row r="307" spans="27:30" x14ac:dyDescent="0.15">
      <c r="AA307"/>
      <c r="AB307"/>
      <c r="AC307" s="53"/>
      <c r="AD307" s="53"/>
    </row>
    <row r="308" spans="27:30" x14ac:dyDescent="0.15">
      <c r="AA308"/>
      <c r="AB308"/>
      <c r="AC308" s="53"/>
      <c r="AD308" s="53"/>
    </row>
    <row r="309" spans="27:30" x14ac:dyDescent="0.15">
      <c r="AA309"/>
      <c r="AB309"/>
      <c r="AC309" s="53"/>
      <c r="AD309" s="53"/>
    </row>
    <row r="310" spans="27:30" x14ac:dyDescent="0.15">
      <c r="AA310"/>
      <c r="AB310"/>
      <c r="AC310" s="53"/>
      <c r="AD310" s="53"/>
    </row>
    <row r="311" spans="27:30" x14ac:dyDescent="0.15">
      <c r="AA311"/>
      <c r="AB311"/>
      <c r="AC311" s="53"/>
      <c r="AD311" s="53"/>
    </row>
    <row r="312" spans="27:30" x14ac:dyDescent="0.15">
      <c r="AA312"/>
      <c r="AB312"/>
      <c r="AC312" s="53"/>
      <c r="AD312" s="53"/>
    </row>
    <row r="313" spans="27:30" x14ac:dyDescent="0.15">
      <c r="AA313"/>
      <c r="AB313"/>
      <c r="AC313" s="53"/>
      <c r="AD313" s="53"/>
    </row>
    <row r="314" spans="27:30" x14ac:dyDescent="0.15">
      <c r="AA314"/>
      <c r="AB314"/>
      <c r="AC314" s="53"/>
      <c r="AD314" s="53"/>
    </row>
    <row r="315" spans="27:30" x14ac:dyDescent="0.15">
      <c r="AA315"/>
      <c r="AB315"/>
      <c r="AC315" s="53"/>
      <c r="AD315" s="53"/>
    </row>
    <row r="316" spans="27:30" x14ac:dyDescent="0.15">
      <c r="AA316"/>
      <c r="AB316"/>
      <c r="AC316" s="53"/>
      <c r="AD316" s="53"/>
    </row>
    <row r="317" spans="27:30" x14ac:dyDescent="0.15">
      <c r="AA317"/>
      <c r="AB317"/>
      <c r="AC317" s="53"/>
      <c r="AD317" s="53"/>
    </row>
    <row r="318" spans="27:30" x14ac:dyDescent="0.15">
      <c r="AA318"/>
      <c r="AB318"/>
      <c r="AC318" s="53"/>
      <c r="AD318" s="53"/>
    </row>
    <row r="319" spans="27:30" x14ac:dyDescent="0.15">
      <c r="AA319"/>
      <c r="AB319"/>
      <c r="AC319" s="53"/>
      <c r="AD319" s="53"/>
    </row>
    <row r="320" spans="27:30" x14ac:dyDescent="0.15">
      <c r="AA320"/>
      <c r="AB320"/>
      <c r="AC320" s="53"/>
      <c r="AD320" s="53"/>
    </row>
    <row r="321" spans="27:30" x14ac:dyDescent="0.15">
      <c r="AA321"/>
      <c r="AB321"/>
      <c r="AC321" s="53"/>
      <c r="AD321" s="53"/>
    </row>
    <row r="322" spans="27:30" x14ac:dyDescent="0.15">
      <c r="AA322"/>
      <c r="AB322"/>
      <c r="AC322" s="53"/>
      <c r="AD322" s="53"/>
    </row>
    <row r="323" spans="27:30" x14ac:dyDescent="0.15">
      <c r="AA323"/>
      <c r="AB323"/>
      <c r="AC323" s="53"/>
      <c r="AD323" s="53"/>
    </row>
    <row r="324" spans="27:30" x14ac:dyDescent="0.15">
      <c r="AA324"/>
      <c r="AB324"/>
      <c r="AC324" s="53"/>
      <c r="AD324" s="53"/>
    </row>
    <row r="325" spans="27:30" x14ac:dyDescent="0.15">
      <c r="AA325"/>
      <c r="AB325"/>
      <c r="AC325" s="53"/>
      <c r="AD325" s="53"/>
    </row>
    <row r="326" spans="27:30" x14ac:dyDescent="0.15">
      <c r="AA326"/>
      <c r="AB326"/>
      <c r="AC326" s="53"/>
      <c r="AD326" s="53"/>
    </row>
    <row r="327" spans="27:30" x14ac:dyDescent="0.15">
      <c r="AA327"/>
      <c r="AB327"/>
      <c r="AC327" s="53"/>
      <c r="AD327" s="53"/>
    </row>
    <row r="328" spans="27:30" x14ac:dyDescent="0.15">
      <c r="AA328"/>
      <c r="AB328"/>
      <c r="AC328" s="53"/>
      <c r="AD328" s="53"/>
    </row>
    <row r="329" spans="27:30" x14ac:dyDescent="0.15">
      <c r="AA329"/>
      <c r="AB329"/>
      <c r="AC329" s="53"/>
      <c r="AD329" s="53"/>
    </row>
    <row r="330" spans="27:30" x14ac:dyDescent="0.15">
      <c r="AA330"/>
      <c r="AB330"/>
      <c r="AC330" s="53"/>
      <c r="AD330" s="53"/>
    </row>
    <row r="331" spans="27:30" x14ac:dyDescent="0.15">
      <c r="AA331"/>
      <c r="AB331"/>
      <c r="AC331" s="53"/>
      <c r="AD331" s="53"/>
    </row>
    <row r="332" spans="27:30" x14ac:dyDescent="0.15">
      <c r="AA332"/>
      <c r="AB332"/>
      <c r="AC332" s="53"/>
      <c r="AD332" s="53"/>
    </row>
    <row r="333" spans="27:30" x14ac:dyDescent="0.15">
      <c r="AA333"/>
      <c r="AB333"/>
      <c r="AC333" s="53"/>
      <c r="AD333" s="53"/>
    </row>
    <row r="334" spans="27:30" x14ac:dyDescent="0.15">
      <c r="AA334"/>
      <c r="AB334"/>
      <c r="AC334" s="53"/>
      <c r="AD334" s="53"/>
    </row>
    <row r="335" spans="27:30" x14ac:dyDescent="0.15">
      <c r="AA335"/>
      <c r="AB335"/>
      <c r="AC335" s="53"/>
      <c r="AD335" s="53"/>
    </row>
    <row r="336" spans="27:30" x14ac:dyDescent="0.15">
      <c r="AA336"/>
      <c r="AB336"/>
      <c r="AC336" s="53"/>
      <c r="AD336" s="53"/>
    </row>
    <row r="337" spans="27:30" x14ac:dyDescent="0.15">
      <c r="AA337"/>
      <c r="AB337"/>
      <c r="AC337" s="53"/>
      <c r="AD337" s="53"/>
    </row>
    <row r="338" spans="27:30" x14ac:dyDescent="0.15">
      <c r="AA338"/>
      <c r="AB338"/>
      <c r="AC338" s="53"/>
      <c r="AD338" s="53"/>
    </row>
    <row r="339" spans="27:30" x14ac:dyDescent="0.15">
      <c r="AA339"/>
      <c r="AB339"/>
      <c r="AC339" s="53"/>
      <c r="AD339" s="53"/>
    </row>
    <row r="340" spans="27:30" x14ac:dyDescent="0.15">
      <c r="AA340"/>
      <c r="AB340"/>
      <c r="AC340" s="53"/>
      <c r="AD340" s="53"/>
    </row>
    <row r="341" spans="27:30" x14ac:dyDescent="0.15">
      <c r="AA341"/>
      <c r="AB341"/>
      <c r="AC341" s="53"/>
      <c r="AD341" s="53"/>
    </row>
    <row r="342" spans="27:30" x14ac:dyDescent="0.15">
      <c r="AA342"/>
      <c r="AB342"/>
      <c r="AC342" s="53"/>
      <c r="AD342" s="53"/>
    </row>
    <row r="343" spans="27:30" x14ac:dyDescent="0.15">
      <c r="AA343"/>
      <c r="AB343"/>
      <c r="AC343" s="53"/>
      <c r="AD343" s="53"/>
    </row>
    <row r="344" spans="27:30" x14ac:dyDescent="0.15">
      <c r="AA344"/>
      <c r="AB344"/>
      <c r="AC344" s="53"/>
      <c r="AD344" s="53"/>
    </row>
    <row r="345" spans="27:30" x14ac:dyDescent="0.15">
      <c r="AA345"/>
      <c r="AB345"/>
      <c r="AC345" s="53"/>
      <c r="AD345" s="53"/>
    </row>
    <row r="346" spans="27:30" x14ac:dyDescent="0.15">
      <c r="AA346"/>
      <c r="AB346"/>
      <c r="AC346" s="53"/>
      <c r="AD346" s="53"/>
    </row>
    <row r="347" spans="27:30" x14ac:dyDescent="0.15">
      <c r="AA347"/>
      <c r="AB347"/>
      <c r="AC347" s="53"/>
      <c r="AD347" s="53"/>
    </row>
    <row r="348" spans="27:30" x14ac:dyDescent="0.15">
      <c r="AA348"/>
      <c r="AB348"/>
      <c r="AC348" s="53"/>
      <c r="AD348" s="53"/>
    </row>
    <row r="349" spans="27:30" x14ac:dyDescent="0.15">
      <c r="AA349"/>
      <c r="AB349"/>
      <c r="AC349" s="53"/>
      <c r="AD349" s="53"/>
    </row>
    <row r="350" spans="27:30" x14ac:dyDescent="0.15">
      <c r="AA350"/>
      <c r="AB350"/>
      <c r="AC350" s="53"/>
      <c r="AD350" s="53"/>
    </row>
    <row r="351" spans="27:30" x14ac:dyDescent="0.15">
      <c r="AA351"/>
      <c r="AB351"/>
      <c r="AC351" s="53"/>
      <c r="AD351" s="53"/>
    </row>
    <row r="352" spans="27:30" x14ac:dyDescent="0.15">
      <c r="AA352"/>
      <c r="AB352"/>
      <c r="AC352" s="53"/>
      <c r="AD352" s="53"/>
    </row>
    <row r="353" spans="27:30" x14ac:dyDescent="0.15">
      <c r="AA353"/>
      <c r="AB353"/>
      <c r="AC353" s="53"/>
      <c r="AD353" s="53"/>
    </row>
    <row r="354" spans="27:30" x14ac:dyDescent="0.15">
      <c r="AA354"/>
      <c r="AB354"/>
      <c r="AC354" s="53"/>
      <c r="AD354" s="53"/>
    </row>
    <row r="355" spans="27:30" x14ac:dyDescent="0.15">
      <c r="AA355"/>
      <c r="AB355"/>
      <c r="AC355" s="53"/>
      <c r="AD355" s="53"/>
    </row>
    <row r="356" spans="27:30" x14ac:dyDescent="0.15">
      <c r="AA356"/>
      <c r="AB356"/>
      <c r="AC356" s="53"/>
      <c r="AD356" s="53"/>
    </row>
    <row r="357" spans="27:30" x14ac:dyDescent="0.15">
      <c r="AA357"/>
      <c r="AB357"/>
      <c r="AC357" s="53"/>
      <c r="AD357" s="53"/>
    </row>
    <row r="358" spans="27:30" x14ac:dyDescent="0.15">
      <c r="AA358"/>
      <c r="AB358"/>
      <c r="AC358" s="53"/>
      <c r="AD358" s="53"/>
    </row>
    <row r="359" spans="27:30" x14ac:dyDescent="0.15">
      <c r="AA359"/>
      <c r="AB359"/>
      <c r="AC359" s="53"/>
      <c r="AD359" s="53"/>
    </row>
    <row r="360" spans="27:30" x14ac:dyDescent="0.15">
      <c r="AA360"/>
      <c r="AB360"/>
      <c r="AC360" s="53"/>
      <c r="AD360" s="53"/>
    </row>
    <row r="361" spans="27:30" x14ac:dyDescent="0.15">
      <c r="AA361"/>
      <c r="AB361"/>
      <c r="AC361" s="53"/>
      <c r="AD361" s="53"/>
    </row>
    <row r="362" spans="27:30" x14ac:dyDescent="0.15">
      <c r="AA362"/>
      <c r="AB362"/>
      <c r="AC362" s="53"/>
      <c r="AD362" s="53"/>
    </row>
    <row r="363" spans="27:30" x14ac:dyDescent="0.15">
      <c r="AA363"/>
      <c r="AB363"/>
      <c r="AC363" s="53"/>
      <c r="AD363" s="53"/>
    </row>
    <row r="364" spans="27:30" x14ac:dyDescent="0.15">
      <c r="AA364"/>
      <c r="AB364"/>
      <c r="AC364" s="53"/>
      <c r="AD364" s="53"/>
    </row>
    <row r="365" spans="27:30" x14ac:dyDescent="0.15">
      <c r="AA365"/>
      <c r="AB365"/>
      <c r="AC365" s="53"/>
      <c r="AD365" s="53"/>
    </row>
    <row r="366" spans="27:30" x14ac:dyDescent="0.15">
      <c r="AA366"/>
      <c r="AB366"/>
      <c r="AC366" s="53"/>
      <c r="AD366" s="53"/>
    </row>
    <row r="367" spans="27:30" x14ac:dyDescent="0.15">
      <c r="AA367"/>
      <c r="AB367"/>
      <c r="AC367" s="53"/>
      <c r="AD367" s="53"/>
    </row>
    <row r="368" spans="27:30" x14ac:dyDescent="0.15">
      <c r="AA368"/>
      <c r="AB368"/>
      <c r="AC368" s="53"/>
      <c r="AD368" s="53"/>
    </row>
    <row r="369" spans="27:30" x14ac:dyDescent="0.15">
      <c r="AA369"/>
      <c r="AB369"/>
      <c r="AC369" s="53"/>
      <c r="AD369" s="53"/>
    </row>
    <row r="370" spans="27:30" x14ac:dyDescent="0.15">
      <c r="AA370"/>
      <c r="AB370"/>
      <c r="AC370" s="53"/>
      <c r="AD370" s="53"/>
    </row>
    <row r="371" spans="27:30" x14ac:dyDescent="0.15">
      <c r="AA371"/>
      <c r="AB371"/>
      <c r="AC371" s="53"/>
      <c r="AD371" s="53"/>
    </row>
    <row r="372" spans="27:30" x14ac:dyDescent="0.15">
      <c r="AA372"/>
      <c r="AB372"/>
      <c r="AC372" s="53"/>
      <c r="AD372" s="53"/>
    </row>
    <row r="373" spans="27:30" x14ac:dyDescent="0.15">
      <c r="AA373"/>
      <c r="AB373"/>
      <c r="AC373" s="53"/>
      <c r="AD373" s="53"/>
    </row>
    <row r="374" spans="27:30" x14ac:dyDescent="0.15">
      <c r="AA374"/>
      <c r="AB374"/>
      <c r="AC374" s="53"/>
      <c r="AD374" s="53"/>
    </row>
    <row r="375" spans="27:30" x14ac:dyDescent="0.15">
      <c r="AA375"/>
      <c r="AB375"/>
      <c r="AC375" s="53"/>
      <c r="AD375" s="53"/>
    </row>
    <row r="376" spans="27:30" x14ac:dyDescent="0.15">
      <c r="AA376"/>
      <c r="AB376"/>
      <c r="AC376" s="53"/>
      <c r="AD376" s="53"/>
    </row>
    <row r="377" spans="27:30" x14ac:dyDescent="0.15">
      <c r="AA377"/>
      <c r="AB377"/>
      <c r="AC377" s="53"/>
      <c r="AD377" s="53"/>
    </row>
    <row r="378" spans="27:30" x14ac:dyDescent="0.15">
      <c r="AA378"/>
      <c r="AB378"/>
      <c r="AC378" s="53"/>
      <c r="AD378" s="53"/>
    </row>
    <row r="379" spans="27:30" x14ac:dyDescent="0.15">
      <c r="AA379"/>
      <c r="AB379"/>
      <c r="AC379" s="53"/>
      <c r="AD379" s="53"/>
    </row>
    <row r="380" spans="27:30" x14ac:dyDescent="0.15">
      <c r="AA380"/>
      <c r="AB380"/>
      <c r="AC380" s="53"/>
      <c r="AD380" s="53"/>
    </row>
    <row r="381" spans="27:30" x14ac:dyDescent="0.15">
      <c r="AA381"/>
      <c r="AB381"/>
      <c r="AC381" s="53"/>
      <c r="AD381" s="53"/>
    </row>
    <row r="382" spans="27:30" x14ac:dyDescent="0.15">
      <c r="AA382"/>
      <c r="AB382"/>
      <c r="AC382" s="53"/>
      <c r="AD382" s="53"/>
    </row>
    <row r="383" spans="27:30" x14ac:dyDescent="0.15">
      <c r="AA383"/>
      <c r="AB383"/>
      <c r="AC383" s="53"/>
      <c r="AD383" s="53"/>
    </row>
    <row r="384" spans="27:30" x14ac:dyDescent="0.15">
      <c r="AA384"/>
      <c r="AB384"/>
      <c r="AC384" s="53"/>
      <c r="AD384" s="53"/>
    </row>
    <row r="385" spans="27:30" x14ac:dyDescent="0.15">
      <c r="AA385"/>
      <c r="AB385"/>
      <c r="AC385" s="53"/>
      <c r="AD385" s="53"/>
    </row>
    <row r="386" spans="27:30" x14ac:dyDescent="0.15">
      <c r="AA386"/>
      <c r="AB386"/>
      <c r="AC386" s="53"/>
      <c r="AD386" s="53"/>
    </row>
    <row r="387" spans="27:30" x14ac:dyDescent="0.15">
      <c r="AA387"/>
      <c r="AB387"/>
      <c r="AC387" s="53"/>
      <c r="AD387" s="53"/>
    </row>
    <row r="388" spans="27:30" x14ac:dyDescent="0.15">
      <c r="AA388"/>
      <c r="AB388"/>
      <c r="AC388" s="53"/>
      <c r="AD388" s="53"/>
    </row>
    <row r="389" spans="27:30" x14ac:dyDescent="0.15">
      <c r="AA389"/>
      <c r="AB389"/>
      <c r="AC389" s="53"/>
      <c r="AD389" s="53"/>
    </row>
    <row r="390" spans="27:30" x14ac:dyDescent="0.15">
      <c r="AA390"/>
      <c r="AB390"/>
      <c r="AC390" s="53"/>
      <c r="AD390" s="53"/>
    </row>
    <row r="391" spans="27:30" x14ac:dyDescent="0.15">
      <c r="AA391"/>
      <c r="AB391"/>
      <c r="AC391" s="53"/>
      <c r="AD391" s="53"/>
    </row>
    <row r="392" spans="27:30" x14ac:dyDescent="0.15">
      <c r="AA392"/>
      <c r="AB392"/>
      <c r="AC392" s="53"/>
      <c r="AD392" s="53"/>
    </row>
    <row r="393" spans="27:30" x14ac:dyDescent="0.15">
      <c r="AA393"/>
      <c r="AB393"/>
      <c r="AC393" s="53"/>
      <c r="AD393" s="53"/>
    </row>
    <row r="394" spans="27:30" x14ac:dyDescent="0.15">
      <c r="AA394"/>
      <c r="AB394"/>
      <c r="AC394" s="53"/>
      <c r="AD394" s="53"/>
    </row>
    <row r="395" spans="27:30" x14ac:dyDescent="0.15">
      <c r="AA395"/>
      <c r="AB395"/>
      <c r="AC395" s="53"/>
      <c r="AD395" s="53"/>
    </row>
    <row r="396" spans="27:30" x14ac:dyDescent="0.15">
      <c r="AA396"/>
      <c r="AB396"/>
      <c r="AC396" s="53"/>
      <c r="AD396" s="53"/>
    </row>
    <row r="397" spans="27:30" x14ac:dyDescent="0.15">
      <c r="AA397"/>
      <c r="AB397"/>
      <c r="AC397" s="53"/>
      <c r="AD397" s="53"/>
    </row>
    <row r="398" spans="27:30" x14ac:dyDescent="0.15">
      <c r="AA398"/>
      <c r="AB398"/>
      <c r="AC398" s="53"/>
      <c r="AD398" s="53"/>
    </row>
    <row r="399" spans="27:30" x14ac:dyDescent="0.15">
      <c r="AA399"/>
      <c r="AB399"/>
      <c r="AC399" s="53"/>
      <c r="AD399" s="53"/>
    </row>
    <row r="400" spans="27:30" x14ac:dyDescent="0.15">
      <c r="AA400"/>
      <c r="AB400"/>
      <c r="AC400" s="53"/>
      <c r="AD400" s="53"/>
    </row>
    <row r="401" spans="27:30" x14ac:dyDescent="0.15">
      <c r="AA401"/>
      <c r="AB401"/>
      <c r="AC401" s="53"/>
      <c r="AD401" s="53"/>
    </row>
    <row r="402" spans="27:30" x14ac:dyDescent="0.15">
      <c r="AA402"/>
      <c r="AB402"/>
      <c r="AC402" s="53"/>
      <c r="AD402" s="53"/>
    </row>
    <row r="403" spans="27:30" x14ac:dyDescent="0.15">
      <c r="AA403"/>
      <c r="AB403"/>
      <c r="AC403" s="53"/>
      <c r="AD403" s="53"/>
    </row>
    <row r="404" spans="27:30" x14ac:dyDescent="0.15">
      <c r="AA404"/>
      <c r="AB404"/>
      <c r="AC404" s="53"/>
      <c r="AD404" s="53"/>
    </row>
    <row r="405" spans="27:30" x14ac:dyDescent="0.15">
      <c r="AA405"/>
      <c r="AB405"/>
      <c r="AC405" s="53"/>
      <c r="AD405" s="53"/>
    </row>
    <row r="406" spans="27:30" x14ac:dyDescent="0.15">
      <c r="AA406"/>
      <c r="AB406"/>
      <c r="AC406" s="53"/>
      <c r="AD406" s="53"/>
    </row>
    <row r="407" spans="27:30" x14ac:dyDescent="0.15">
      <c r="AA407"/>
      <c r="AB407"/>
      <c r="AC407" s="53"/>
      <c r="AD407" s="53"/>
    </row>
    <row r="408" spans="27:30" x14ac:dyDescent="0.15">
      <c r="AA408"/>
      <c r="AB408"/>
      <c r="AC408" s="53"/>
      <c r="AD408" s="53"/>
    </row>
    <row r="409" spans="27:30" x14ac:dyDescent="0.15">
      <c r="AA409"/>
      <c r="AB409"/>
      <c r="AC409" s="53"/>
      <c r="AD409" s="53"/>
    </row>
    <row r="410" spans="27:30" x14ac:dyDescent="0.15">
      <c r="AA410"/>
      <c r="AB410"/>
      <c r="AC410" s="53"/>
      <c r="AD410" s="53"/>
    </row>
    <row r="411" spans="27:30" x14ac:dyDescent="0.15">
      <c r="AA411"/>
      <c r="AB411"/>
      <c r="AC411" s="53"/>
      <c r="AD411" s="53"/>
    </row>
    <row r="412" spans="27:30" x14ac:dyDescent="0.15">
      <c r="AA412"/>
      <c r="AB412"/>
      <c r="AC412" s="53"/>
      <c r="AD412" s="53"/>
    </row>
    <row r="413" spans="27:30" x14ac:dyDescent="0.15">
      <c r="AA413"/>
      <c r="AB413"/>
      <c r="AC413" s="53"/>
      <c r="AD413" s="53"/>
    </row>
    <row r="414" spans="27:30" x14ac:dyDescent="0.15">
      <c r="AA414"/>
      <c r="AB414"/>
      <c r="AC414" s="53"/>
      <c r="AD414" s="53"/>
    </row>
    <row r="415" spans="27:30" x14ac:dyDescent="0.15">
      <c r="AA415"/>
      <c r="AB415"/>
      <c r="AC415" s="53"/>
      <c r="AD415" s="53"/>
    </row>
    <row r="416" spans="27:30" x14ac:dyDescent="0.15">
      <c r="AA416"/>
      <c r="AB416"/>
      <c r="AC416" s="53"/>
      <c r="AD416" s="53"/>
    </row>
    <row r="417" spans="27:30" x14ac:dyDescent="0.15">
      <c r="AA417"/>
      <c r="AB417"/>
      <c r="AC417" s="53"/>
      <c r="AD417" s="53"/>
    </row>
    <row r="418" spans="27:30" x14ac:dyDescent="0.15">
      <c r="AA418"/>
      <c r="AB418"/>
      <c r="AC418" s="53"/>
      <c r="AD418" s="53"/>
    </row>
    <row r="419" spans="27:30" x14ac:dyDescent="0.15">
      <c r="AA419"/>
      <c r="AB419"/>
      <c r="AC419" s="53"/>
      <c r="AD419" s="53"/>
    </row>
    <row r="420" spans="27:30" x14ac:dyDescent="0.15">
      <c r="AA420"/>
      <c r="AB420"/>
      <c r="AC420" s="53"/>
      <c r="AD420" s="53"/>
    </row>
    <row r="421" spans="27:30" x14ac:dyDescent="0.15">
      <c r="AA421"/>
      <c r="AB421"/>
      <c r="AC421" s="53"/>
      <c r="AD421" s="53"/>
    </row>
    <row r="422" spans="27:30" x14ac:dyDescent="0.15">
      <c r="AA422"/>
      <c r="AB422"/>
      <c r="AC422" s="53"/>
      <c r="AD422" s="53"/>
    </row>
    <row r="423" spans="27:30" x14ac:dyDescent="0.15">
      <c r="AA423"/>
      <c r="AB423"/>
      <c r="AC423" s="53"/>
      <c r="AD423" s="53"/>
    </row>
    <row r="424" spans="27:30" x14ac:dyDescent="0.15">
      <c r="AA424"/>
      <c r="AB424"/>
      <c r="AC424" s="53"/>
      <c r="AD424" s="53"/>
    </row>
    <row r="425" spans="27:30" x14ac:dyDescent="0.15">
      <c r="AA425"/>
      <c r="AB425"/>
      <c r="AC425" s="53"/>
      <c r="AD425" s="53"/>
    </row>
    <row r="426" spans="27:30" x14ac:dyDescent="0.15">
      <c r="AA426"/>
      <c r="AB426"/>
      <c r="AC426" s="53"/>
      <c r="AD426" s="53"/>
    </row>
    <row r="427" spans="27:30" x14ac:dyDescent="0.15">
      <c r="AA427"/>
      <c r="AB427"/>
      <c r="AC427" s="53"/>
      <c r="AD427" s="53"/>
    </row>
    <row r="428" spans="27:30" x14ac:dyDescent="0.15">
      <c r="AA428"/>
      <c r="AB428"/>
      <c r="AC428" s="53"/>
      <c r="AD428" s="53"/>
    </row>
    <row r="429" spans="27:30" x14ac:dyDescent="0.15">
      <c r="AA429"/>
      <c r="AB429"/>
      <c r="AC429" s="53"/>
      <c r="AD429" s="53"/>
    </row>
    <row r="430" spans="27:30" x14ac:dyDescent="0.15">
      <c r="AA430"/>
      <c r="AB430"/>
      <c r="AC430" s="53"/>
      <c r="AD430" s="53"/>
    </row>
    <row r="431" spans="27:30" x14ac:dyDescent="0.15">
      <c r="AA431"/>
      <c r="AB431"/>
      <c r="AC431" s="53"/>
      <c r="AD431" s="53"/>
    </row>
    <row r="432" spans="27:30" x14ac:dyDescent="0.15">
      <c r="AA432"/>
      <c r="AB432"/>
      <c r="AC432" s="53"/>
      <c r="AD432" s="53"/>
    </row>
    <row r="433" spans="27:30" x14ac:dyDescent="0.15">
      <c r="AA433"/>
      <c r="AB433"/>
      <c r="AC433" s="53"/>
      <c r="AD433" s="53"/>
    </row>
    <row r="434" spans="27:30" x14ac:dyDescent="0.15">
      <c r="AA434"/>
      <c r="AB434"/>
      <c r="AC434" s="53"/>
      <c r="AD434" s="53"/>
    </row>
    <row r="435" spans="27:30" x14ac:dyDescent="0.15">
      <c r="AA435"/>
      <c r="AB435"/>
      <c r="AC435" s="53"/>
      <c r="AD435" s="53"/>
    </row>
    <row r="436" spans="27:30" x14ac:dyDescent="0.15">
      <c r="AA436"/>
      <c r="AB436"/>
      <c r="AC436" s="53"/>
      <c r="AD436" s="53"/>
    </row>
    <row r="437" spans="27:30" x14ac:dyDescent="0.15">
      <c r="AA437"/>
      <c r="AB437"/>
      <c r="AC437" s="53"/>
      <c r="AD437" s="53"/>
    </row>
    <row r="438" spans="27:30" x14ac:dyDescent="0.15">
      <c r="AA438"/>
      <c r="AB438"/>
      <c r="AC438" s="53"/>
      <c r="AD438" s="53"/>
    </row>
    <row r="439" spans="27:30" x14ac:dyDescent="0.15">
      <c r="AA439"/>
      <c r="AB439"/>
      <c r="AC439" s="53"/>
      <c r="AD439" s="53"/>
    </row>
    <row r="440" spans="27:30" x14ac:dyDescent="0.15">
      <c r="AA440"/>
      <c r="AB440"/>
      <c r="AC440" s="53"/>
      <c r="AD440" s="53"/>
    </row>
    <row r="441" spans="27:30" x14ac:dyDescent="0.15">
      <c r="AA441"/>
      <c r="AB441"/>
      <c r="AC441" s="53"/>
      <c r="AD441" s="53"/>
    </row>
    <row r="442" spans="27:30" x14ac:dyDescent="0.15">
      <c r="AA442"/>
      <c r="AB442"/>
      <c r="AC442" s="53"/>
      <c r="AD442" s="53"/>
    </row>
    <row r="443" spans="27:30" x14ac:dyDescent="0.15">
      <c r="AA443"/>
      <c r="AB443"/>
      <c r="AC443" s="53"/>
      <c r="AD443" s="53"/>
    </row>
    <row r="444" spans="27:30" x14ac:dyDescent="0.15">
      <c r="AA444"/>
      <c r="AB444"/>
      <c r="AC444" s="53"/>
      <c r="AD444" s="53"/>
    </row>
    <row r="445" spans="27:30" x14ac:dyDescent="0.15">
      <c r="AA445"/>
      <c r="AB445"/>
      <c r="AC445" s="53"/>
      <c r="AD445" s="53"/>
    </row>
    <row r="446" spans="27:30" x14ac:dyDescent="0.15">
      <c r="AA446"/>
      <c r="AB446"/>
      <c r="AC446" s="53"/>
      <c r="AD446" s="53"/>
    </row>
    <row r="447" spans="27:30" x14ac:dyDescent="0.15">
      <c r="AA447"/>
      <c r="AB447"/>
      <c r="AC447" s="53"/>
      <c r="AD447" s="53"/>
    </row>
    <row r="448" spans="27:30" x14ac:dyDescent="0.15">
      <c r="AA448"/>
      <c r="AB448"/>
      <c r="AC448" s="53"/>
      <c r="AD448" s="53"/>
    </row>
    <row r="449" spans="27:30" x14ac:dyDescent="0.15">
      <c r="AA449"/>
      <c r="AB449"/>
      <c r="AC449" s="53"/>
      <c r="AD449" s="53"/>
    </row>
    <row r="450" spans="27:30" x14ac:dyDescent="0.15">
      <c r="AA450"/>
      <c r="AB450"/>
      <c r="AC450" s="53"/>
      <c r="AD450" s="53"/>
    </row>
    <row r="451" spans="27:30" x14ac:dyDescent="0.15">
      <c r="AA451"/>
      <c r="AB451"/>
      <c r="AC451" s="53"/>
      <c r="AD451" s="53"/>
    </row>
    <row r="452" spans="27:30" x14ac:dyDescent="0.15">
      <c r="AA452"/>
      <c r="AB452"/>
      <c r="AC452" s="53"/>
      <c r="AD452" s="53"/>
    </row>
    <row r="453" spans="27:30" x14ac:dyDescent="0.15">
      <c r="AA453"/>
      <c r="AB453"/>
      <c r="AC453" s="53"/>
      <c r="AD453" s="53"/>
    </row>
    <row r="454" spans="27:30" x14ac:dyDescent="0.15">
      <c r="AA454"/>
      <c r="AB454"/>
      <c r="AC454" s="53"/>
      <c r="AD454" s="53"/>
    </row>
    <row r="455" spans="27:30" x14ac:dyDescent="0.15">
      <c r="AA455"/>
      <c r="AB455"/>
      <c r="AC455" s="53"/>
      <c r="AD455" s="53"/>
    </row>
    <row r="456" spans="27:30" x14ac:dyDescent="0.15">
      <c r="AA456"/>
      <c r="AB456"/>
      <c r="AC456" s="53"/>
      <c r="AD456" s="53"/>
    </row>
    <row r="457" spans="27:30" x14ac:dyDescent="0.15">
      <c r="AA457"/>
      <c r="AB457"/>
      <c r="AC457" s="53"/>
      <c r="AD457" s="53"/>
    </row>
    <row r="458" spans="27:30" x14ac:dyDescent="0.15">
      <c r="AA458"/>
      <c r="AB458"/>
      <c r="AC458" s="53"/>
      <c r="AD458" s="53"/>
    </row>
    <row r="459" spans="27:30" x14ac:dyDescent="0.15">
      <c r="AA459"/>
      <c r="AB459"/>
      <c r="AC459" s="53"/>
      <c r="AD459" s="53"/>
    </row>
    <row r="460" spans="27:30" x14ac:dyDescent="0.15">
      <c r="AA460"/>
      <c r="AB460"/>
      <c r="AC460" s="53"/>
      <c r="AD460" s="53"/>
    </row>
    <row r="461" spans="27:30" x14ac:dyDescent="0.15">
      <c r="AA461"/>
      <c r="AB461"/>
      <c r="AC461" s="53"/>
      <c r="AD461" s="53"/>
    </row>
    <row r="462" spans="27:30" x14ac:dyDescent="0.15">
      <c r="AA462"/>
      <c r="AB462"/>
      <c r="AC462" s="53"/>
      <c r="AD462" s="53"/>
    </row>
    <row r="463" spans="27:30" x14ac:dyDescent="0.15">
      <c r="AA463"/>
      <c r="AB463"/>
      <c r="AC463" s="53"/>
      <c r="AD463" s="53"/>
    </row>
    <row r="464" spans="27:30" x14ac:dyDescent="0.15">
      <c r="AA464"/>
      <c r="AB464"/>
      <c r="AC464" s="53"/>
      <c r="AD464" s="53"/>
    </row>
    <row r="465" spans="27:30" x14ac:dyDescent="0.15">
      <c r="AA465"/>
      <c r="AB465"/>
      <c r="AC465" s="53"/>
      <c r="AD465" s="53"/>
    </row>
    <row r="466" spans="27:30" x14ac:dyDescent="0.15">
      <c r="AA466"/>
      <c r="AB466"/>
      <c r="AC466" s="53"/>
      <c r="AD466" s="53"/>
    </row>
    <row r="467" spans="27:30" x14ac:dyDescent="0.15">
      <c r="AA467"/>
      <c r="AB467"/>
      <c r="AC467" s="53"/>
      <c r="AD467" s="53"/>
    </row>
    <row r="468" spans="27:30" x14ac:dyDescent="0.15">
      <c r="AA468"/>
      <c r="AB468"/>
      <c r="AC468" s="53"/>
      <c r="AD468" s="53"/>
    </row>
    <row r="469" spans="27:30" x14ac:dyDescent="0.15">
      <c r="AA469"/>
      <c r="AB469"/>
      <c r="AC469" s="53"/>
      <c r="AD469" s="53"/>
    </row>
    <row r="470" spans="27:30" x14ac:dyDescent="0.15">
      <c r="AA470"/>
      <c r="AB470"/>
      <c r="AC470" s="53"/>
      <c r="AD470" s="53"/>
    </row>
    <row r="471" spans="27:30" x14ac:dyDescent="0.15">
      <c r="AA471"/>
      <c r="AB471"/>
      <c r="AC471" s="53"/>
      <c r="AD471" s="53"/>
    </row>
    <row r="472" spans="27:30" x14ac:dyDescent="0.15">
      <c r="AA472"/>
      <c r="AB472"/>
      <c r="AC472" s="53"/>
      <c r="AD472" s="53"/>
    </row>
    <row r="473" spans="27:30" x14ac:dyDescent="0.15">
      <c r="AA473"/>
      <c r="AB473"/>
      <c r="AC473" s="53"/>
      <c r="AD473" s="53"/>
    </row>
    <row r="474" spans="27:30" x14ac:dyDescent="0.15">
      <c r="AA474"/>
      <c r="AB474"/>
      <c r="AC474" s="53"/>
      <c r="AD474" s="53"/>
    </row>
    <row r="475" spans="27:30" x14ac:dyDescent="0.15">
      <c r="AA475"/>
      <c r="AB475"/>
      <c r="AC475" s="53"/>
      <c r="AD475" s="53"/>
    </row>
    <row r="476" spans="27:30" x14ac:dyDescent="0.15">
      <c r="AA476"/>
      <c r="AB476"/>
      <c r="AC476" s="53"/>
      <c r="AD476" s="53"/>
    </row>
    <row r="477" spans="27:30" x14ac:dyDescent="0.15">
      <c r="AA477"/>
      <c r="AB477"/>
      <c r="AC477" s="53"/>
      <c r="AD477" s="53"/>
    </row>
    <row r="478" spans="27:30" x14ac:dyDescent="0.15">
      <c r="AA478"/>
      <c r="AB478"/>
      <c r="AC478" s="53"/>
      <c r="AD478" s="53"/>
    </row>
    <row r="479" spans="27:30" x14ac:dyDescent="0.15">
      <c r="AA479"/>
      <c r="AB479"/>
      <c r="AC479" s="53"/>
      <c r="AD479" s="53"/>
    </row>
    <row r="480" spans="27:30" x14ac:dyDescent="0.15">
      <c r="AA480"/>
      <c r="AB480"/>
      <c r="AC480" s="53"/>
      <c r="AD480" s="53"/>
    </row>
    <row r="481" spans="27:30" x14ac:dyDescent="0.15">
      <c r="AA481"/>
      <c r="AB481"/>
      <c r="AC481" s="53"/>
      <c r="AD481" s="53"/>
    </row>
    <row r="482" spans="27:30" x14ac:dyDescent="0.15">
      <c r="AA482"/>
      <c r="AB482"/>
      <c r="AC482" s="53"/>
      <c r="AD482" s="53"/>
    </row>
    <row r="483" spans="27:30" x14ac:dyDescent="0.15">
      <c r="AA483"/>
      <c r="AB483"/>
      <c r="AC483" s="53"/>
      <c r="AD483" s="53"/>
    </row>
    <row r="484" spans="27:30" x14ac:dyDescent="0.15">
      <c r="AA484"/>
      <c r="AB484"/>
      <c r="AC484" s="53"/>
      <c r="AD484" s="53"/>
    </row>
    <row r="485" spans="27:30" x14ac:dyDescent="0.15">
      <c r="AA485"/>
      <c r="AB485"/>
      <c r="AC485" s="53"/>
      <c r="AD485" s="53"/>
    </row>
    <row r="486" spans="27:30" x14ac:dyDescent="0.15">
      <c r="AA486"/>
      <c r="AB486"/>
      <c r="AC486" s="53"/>
      <c r="AD486" s="53"/>
    </row>
    <row r="487" spans="27:30" x14ac:dyDescent="0.15">
      <c r="AA487"/>
      <c r="AB487"/>
      <c r="AC487" s="53"/>
      <c r="AD487" s="53"/>
    </row>
    <row r="488" spans="27:30" x14ac:dyDescent="0.15">
      <c r="AA488"/>
      <c r="AB488"/>
      <c r="AC488" s="53"/>
      <c r="AD488" s="53"/>
    </row>
    <row r="489" spans="27:30" x14ac:dyDescent="0.15">
      <c r="AA489"/>
      <c r="AB489"/>
      <c r="AC489" s="53"/>
      <c r="AD489" s="53"/>
    </row>
    <row r="490" spans="27:30" x14ac:dyDescent="0.15">
      <c r="AA490"/>
      <c r="AB490"/>
      <c r="AC490" s="53"/>
      <c r="AD490" s="53"/>
    </row>
    <row r="491" spans="27:30" x14ac:dyDescent="0.15">
      <c r="AA491"/>
      <c r="AB491"/>
      <c r="AC491" s="53"/>
      <c r="AD491" s="53"/>
    </row>
    <row r="492" spans="27:30" x14ac:dyDescent="0.15">
      <c r="AA492"/>
      <c r="AB492"/>
      <c r="AC492" s="53"/>
      <c r="AD492" s="53"/>
    </row>
    <row r="493" spans="27:30" x14ac:dyDescent="0.15">
      <c r="AA493"/>
      <c r="AB493"/>
      <c r="AC493" s="53"/>
      <c r="AD493" s="53"/>
    </row>
    <row r="494" spans="27:30" x14ac:dyDescent="0.15">
      <c r="AA494"/>
      <c r="AB494"/>
      <c r="AC494" s="53"/>
      <c r="AD494" s="53"/>
    </row>
    <row r="495" spans="27:30" x14ac:dyDescent="0.15">
      <c r="AA495"/>
      <c r="AB495"/>
      <c r="AC495" s="53"/>
      <c r="AD495" s="53"/>
    </row>
    <row r="496" spans="27:30" x14ac:dyDescent="0.15">
      <c r="AA496"/>
      <c r="AB496"/>
      <c r="AC496" s="53"/>
      <c r="AD496" s="53"/>
    </row>
    <row r="497" spans="27:30" x14ac:dyDescent="0.15">
      <c r="AA497"/>
      <c r="AB497"/>
      <c r="AC497" s="53"/>
      <c r="AD497" s="53"/>
    </row>
    <row r="498" spans="27:30" x14ac:dyDescent="0.15">
      <c r="AA498"/>
      <c r="AB498"/>
      <c r="AC498" s="53"/>
      <c r="AD498" s="53"/>
    </row>
    <row r="499" spans="27:30" x14ac:dyDescent="0.15">
      <c r="AA499"/>
      <c r="AB499"/>
      <c r="AC499" s="53"/>
      <c r="AD499" s="53"/>
    </row>
    <row r="500" spans="27:30" x14ac:dyDescent="0.15">
      <c r="AA500"/>
      <c r="AB500"/>
      <c r="AC500" s="53"/>
      <c r="AD500" s="53"/>
    </row>
    <row r="501" spans="27:30" x14ac:dyDescent="0.15">
      <c r="AA501"/>
      <c r="AB501"/>
      <c r="AC501" s="53"/>
      <c r="AD501" s="53"/>
    </row>
    <row r="502" spans="27:30" x14ac:dyDescent="0.15">
      <c r="AA502"/>
      <c r="AB502"/>
      <c r="AC502" s="53"/>
      <c r="AD502" s="53"/>
    </row>
    <row r="503" spans="27:30" x14ac:dyDescent="0.15">
      <c r="AA503"/>
      <c r="AB503"/>
      <c r="AC503" s="53"/>
      <c r="AD503" s="53"/>
    </row>
    <row r="504" spans="27:30" x14ac:dyDescent="0.15">
      <c r="AA504"/>
      <c r="AB504"/>
      <c r="AC504" s="53"/>
      <c r="AD504" s="53"/>
    </row>
    <row r="505" spans="27:30" x14ac:dyDescent="0.15">
      <c r="AA505"/>
      <c r="AB505"/>
      <c r="AC505" s="53"/>
      <c r="AD505" s="53"/>
    </row>
    <row r="506" spans="27:30" x14ac:dyDescent="0.15">
      <c r="AA506"/>
      <c r="AB506"/>
      <c r="AC506" s="53"/>
      <c r="AD506" s="53"/>
    </row>
    <row r="507" spans="27:30" x14ac:dyDescent="0.15">
      <c r="AA507"/>
      <c r="AB507"/>
      <c r="AC507" s="53"/>
      <c r="AD507" s="53"/>
    </row>
    <row r="508" spans="27:30" x14ac:dyDescent="0.15">
      <c r="AA508"/>
      <c r="AB508"/>
      <c r="AC508" s="53"/>
      <c r="AD508" s="53"/>
    </row>
    <row r="509" spans="27:30" x14ac:dyDescent="0.15">
      <c r="AA509"/>
      <c r="AB509"/>
      <c r="AC509" s="53"/>
      <c r="AD509" s="53"/>
    </row>
    <row r="510" spans="27:30" x14ac:dyDescent="0.15">
      <c r="AA510"/>
      <c r="AB510"/>
      <c r="AC510" s="53"/>
      <c r="AD510" s="53"/>
    </row>
    <row r="511" spans="27:30" x14ac:dyDescent="0.15">
      <c r="AA511"/>
      <c r="AB511"/>
      <c r="AC511" s="53"/>
      <c r="AD511" s="53"/>
    </row>
    <row r="512" spans="27:30" x14ac:dyDescent="0.15">
      <c r="AA512"/>
      <c r="AB512"/>
      <c r="AC512" s="53"/>
      <c r="AD512" s="53"/>
    </row>
    <row r="513" spans="27:30" x14ac:dyDescent="0.15">
      <c r="AA513"/>
      <c r="AB513"/>
      <c r="AC513" s="53"/>
      <c r="AD513" s="53"/>
    </row>
    <row r="514" spans="27:30" x14ac:dyDescent="0.15">
      <c r="AA514"/>
      <c r="AB514"/>
      <c r="AC514" s="53"/>
      <c r="AD514" s="53"/>
    </row>
    <row r="515" spans="27:30" x14ac:dyDescent="0.15">
      <c r="AA515"/>
      <c r="AB515"/>
      <c r="AC515" s="53"/>
      <c r="AD515" s="53"/>
    </row>
    <row r="516" spans="27:30" x14ac:dyDescent="0.15">
      <c r="AA516"/>
      <c r="AB516"/>
      <c r="AC516" s="53"/>
      <c r="AD516" s="53"/>
    </row>
    <row r="517" spans="27:30" x14ac:dyDescent="0.15">
      <c r="AA517"/>
      <c r="AB517"/>
      <c r="AC517" s="53"/>
      <c r="AD517" s="53"/>
    </row>
    <row r="518" spans="27:30" x14ac:dyDescent="0.15">
      <c r="AA518"/>
      <c r="AB518"/>
      <c r="AC518" s="53"/>
      <c r="AD518" s="53"/>
    </row>
    <row r="519" spans="27:30" x14ac:dyDescent="0.15">
      <c r="AA519"/>
      <c r="AB519"/>
      <c r="AC519" s="53"/>
      <c r="AD519" s="53"/>
    </row>
    <row r="520" spans="27:30" x14ac:dyDescent="0.15">
      <c r="AA520"/>
      <c r="AB520"/>
      <c r="AC520" s="53"/>
      <c r="AD520" s="53"/>
    </row>
    <row r="521" spans="27:30" x14ac:dyDescent="0.15">
      <c r="AA521"/>
      <c r="AB521"/>
      <c r="AC521" s="53"/>
      <c r="AD521" s="53"/>
    </row>
    <row r="522" spans="27:30" x14ac:dyDescent="0.15">
      <c r="AA522"/>
      <c r="AB522"/>
      <c r="AC522" s="53"/>
      <c r="AD522" s="53"/>
    </row>
    <row r="523" spans="27:30" x14ac:dyDescent="0.15">
      <c r="AA523"/>
      <c r="AB523"/>
      <c r="AC523" s="53"/>
      <c r="AD523" s="53"/>
    </row>
    <row r="524" spans="27:30" x14ac:dyDescent="0.15">
      <c r="AA524"/>
      <c r="AB524"/>
      <c r="AC524" s="53"/>
      <c r="AD524" s="53"/>
    </row>
    <row r="525" spans="27:30" x14ac:dyDescent="0.15">
      <c r="AA525"/>
      <c r="AB525"/>
      <c r="AC525" s="53"/>
      <c r="AD525" s="53"/>
    </row>
    <row r="526" spans="27:30" x14ac:dyDescent="0.15">
      <c r="AA526"/>
      <c r="AB526"/>
      <c r="AC526" s="53"/>
      <c r="AD526" s="53"/>
    </row>
    <row r="527" spans="27:30" x14ac:dyDescent="0.15">
      <c r="AA527"/>
      <c r="AB527"/>
      <c r="AC527" s="53"/>
      <c r="AD527" s="53"/>
    </row>
    <row r="528" spans="27:30" x14ac:dyDescent="0.15">
      <c r="AA528"/>
      <c r="AB528"/>
      <c r="AC528" s="53"/>
      <c r="AD528" s="53"/>
    </row>
    <row r="529" spans="27:30" x14ac:dyDescent="0.15">
      <c r="AA529"/>
      <c r="AB529"/>
      <c r="AC529" s="53"/>
      <c r="AD529" s="53"/>
    </row>
    <row r="530" spans="27:30" x14ac:dyDescent="0.15">
      <c r="AA530"/>
      <c r="AB530"/>
      <c r="AC530" s="53"/>
      <c r="AD530" s="53"/>
    </row>
    <row r="531" spans="27:30" x14ac:dyDescent="0.15">
      <c r="AA531"/>
      <c r="AB531"/>
      <c r="AC531" s="53"/>
      <c r="AD531" s="53"/>
    </row>
    <row r="532" spans="27:30" x14ac:dyDescent="0.15">
      <c r="AA532"/>
      <c r="AB532"/>
      <c r="AC532" s="53"/>
      <c r="AD532" s="53"/>
    </row>
    <row r="533" spans="27:30" x14ac:dyDescent="0.15">
      <c r="AA533"/>
      <c r="AB533"/>
      <c r="AC533" s="53"/>
      <c r="AD533" s="53"/>
    </row>
    <row r="534" spans="27:30" x14ac:dyDescent="0.15">
      <c r="AA534"/>
      <c r="AB534"/>
      <c r="AC534" s="53"/>
      <c r="AD534" s="53"/>
    </row>
    <row r="535" spans="27:30" x14ac:dyDescent="0.15">
      <c r="AA535"/>
      <c r="AB535"/>
      <c r="AC535" s="53"/>
      <c r="AD535" s="53"/>
    </row>
    <row r="536" spans="27:30" x14ac:dyDescent="0.15">
      <c r="AA536"/>
      <c r="AB536"/>
      <c r="AC536" s="53"/>
      <c r="AD536" s="53"/>
    </row>
    <row r="537" spans="27:30" x14ac:dyDescent="0.15">
      <c r="AA537"/>
      <c r="AB537"/>
      <c r="AC537" s="53"/>
      <c r="AD537" s="53"/>
    </row>
    <row r="538" spans="27:30" x14ac:dyDescent="0.15">
      <c r="AA538"/>
      <c r="AB538"/>
      <c r="AC538" s="53"/>
      <c r="AD538" s="53"/>
    </row>
    <row r="539" spans="27:30" x14ac:dyDescent="0.15">
      <c r="AA539"/>
      <c r="AB539"/>
      <c r="AC539" s="53"/>
      <c r="AD539" s="53"/>
    </row>
    <row r="540" spans="27:30" x14ac:dyDescent="0.15">
      <c r="AA540"/>
      <c r="AB540"/>
      <c r="AC540" s="53"/>
      <c r="AD540" s="53"/>
    </row>
    <row r="541" spans="27:30" x14ac:dyDescent="0.15">
      <c r="AA541"/>
      <c r="AB541"/>
      <c r="AC541" s="53"/>
      <c r="AD541" s="53"/>
    </row>
    <row r="542" spans="27:30" x14ac:dyDescent="0.15">
      <c r="AA542"/>
      <c r="AB542"/>
      <c r="AC542" s="53"/>
      <c r="AD542" s="53"/>
    </row>
    <row r="543" spans="27:30" x14ac:dyDescent="0.15">
      <c r="AA543"/>
      <c r="AB543"/>
      <c r="AC543" s="53"/>
      <c r="AD543" s="53"/>
    </row>
    <row r="544" spans="27:30" x14ac:dyDescent="0.15">
      <c r="AA544"/>
      <c r="AB544"/>
      <c r="AC544" s="53"/>
      <c r="AD544" s="53"/>
    </row>
    <row r="545" spans="27:30" x14ac:dyDescent="0.15">
      <c r="AA545"/>
      <c r="AB545"/>
      <c r="AC545" s="53"/>
      <c r="AD545" s="53"/>
    </row>
    <row r="546" spans="27:30" x14ac:dyDescent="0.15">
      <c r="AA546"/>
      <c r="AB546"/>
      <c r="AC546" s="53"/>
      <c r="AD546" s="53"/>
    </row>
    <row r="547" spans="27:30" x14ac:dyDescent="0.15">
      <c r="AA547"/>
      <c r="AB547"/>
      <c r="AC547" s="53"/>
      <c r="AD547" s="53"/>
    </row>
    <row r="548" spans="27:30" x14ac:dyDescent="0.15">
      <c r="AA548"/>
      <c r="AB548"/>
      <c r="AC548" s="53"/>
      <c r="AD548" s="53"/>
    </row>
    <row r="549" spans="27:30" x14ac:dyDescent="0.15">
      <c r="AA549"/>
      <c r="AB549"/>
      <c r="AC549" s="53"/>
      <c r="AD549" s="53"/>
    </row>
    <row r="550" spans="27:30" x14ac:dyDescent="0.15">
      <c r="AA550"/>
      <c r="AB550"/>
      <c r="AC550" s="53"/>
      <c r="AD550" s="53"/>
    </row>
    <row r="551" spans="27:30" x14ac:dyDescent="0.15">
      <c r="AA551"/>
      <c r="AB551"/>
      <c r="AC551" s="53"/>
      <c r="AD551" s="53"/>
    </row>
    <row r="552" spans="27:30" x14ac:dyDescent="0.15">
      <c r="AA552"/>
      <c r="AB552"/>
      <c r="AC552" s="53"/>
      <c r="AD552" s="53"/>
    </row>
    <row r="553" spans="27:30" x14ac:dyDescent="0.15">
      <c r="AA553"/>
      <c r="AB553"/>
      <c r="AC553" s="53"/>
      <c r="AD553" s="53"/>
    </row>
    <row r="554" spans="27:30" x14ac:dyDescent="0.15">
      <c r="AA554"/>
      <c r="AB554"/>
      <c r="AC554" s="53"/>
      <c r="AD554" s="53"/>
    </row>
    <row r="555" spans="27:30" x14ac:dyDescent="0.15">
      <c r="AA555"/>
      <c r="AB555"/>
      <c r="AC555" s="53"/>
      <c r="AD555" s="53"/>
    </row>
    <row r="556" spans="27:30" x14ac:dyDescent="0.15">
      <c r="AA556"/>
      <c r="AB556"/>
      <c r="AC556" s="53"/>
      <c r="AD556" s="53"/>
    </row>
    <row r="557" spans="27:30" x14ac:dyDescent="0.15">
      <c r="AA557"/>
      <c r="AB557"/>
      <c r="AC557" s="53"/>
      <c r="AD557" s="53"/>
    </row>
    <row r="558" spans="27:30" x14ac:dyDescent="0.15">
      <c r="AA558"/>
      <c r="AB558"/>
      <c r="AC558" s="53"/>
      <c r="AD558" s="53"/>
    </row>
    <row r="559" spans="27:30" x14ac:dyDescent="0.15">
      <c r="AA559"/>
      <c r="AB559"/>
      <c r="AC559" s="53"/>
      <c r="AD559" s="53"/>
    </row>
    <row r="560" spans="27:30" x14ac:dyDescent="0.15">
      <c r="AA560"/>
      <c r="AB560"/>
      <c r="AC560" s="53"/>
      <c r="AD560" s="53"/>
    </row>
    <row r="561" spans="27:30" x14ac:dyDescent="0.15">
      <c r="AA561"/>
      <c r="AB561"/>
      <c r="AC561" s="53"/>
      <c r="AD561" s="53"/>
    </row>
    <row r="562" spans="27:30" x14ac:dyDescent="0.15">
      <c r="AA562"/>
      <c r="AB562"/>
      <c r="AC562" s="53"/>
      <c r="AD562" s="53"/>
    </row>
    <row r="563" spans="27:30" x14ac:dyDescent="0.15">
      <c r="AA563"/>
      <c r="AB563"/>
      <c r="AC563" s="53"/>
      <c r="AD563" s="53"/>
    </row>
    <row r="564" spans="27:30" x14ac:dyDescent="0.15">
      <c r="AA564"/>
      <c r="AB564"/>
      <c r="AC564" s="53"/>
      <c r="AD564" s="53"/>
    </row>
    <row r="565" spans="27:30" x14ac:dyDescent="0.15">
      <c r="AA565"/>
      <c r="AB565"/>
      <c r="AC565" s="53"/>
      <c r="AD565" s="53"/>
    </row>
    <row r="566" spans="27:30" x14ac:dyDescent="0.15">
      <c r="AA566"/>
      <c r="AB566"/>
      <c r="AC566" s="53"/>
      <c r="AD566" s="53"/>
    </row>
    <row r="567" spans="27:30" x14ac:dyDescent="0.15">
      <c r="AA567"/>
      <c r="AB567"/>
      <c r="AC567" s="53"/>
      <c r="AD567" s="53"/>
    </row>
    <row r="568" spans="27:30" x14ac:dyDescent="0.15">
      <c r="AA568"/>
      <c r="AB568"/>
      <c r="AC568" s="53"/>
      <c r="AD568" s="53"/>
    </row>
    <row r="569" spans="27:30" x14ac:dyDescent="0.15">
      <c r="AA569"/>
      <c r="AB569"/>
      <c r="AC569" s="53"/>
      <c r="AD569" s="53"/>
    </row>
    <row r="570" spans="27:30" x14ac:dyDescent="0.15">
      <c r="AA570"/>
      <c r="AB570"/>
      <c r="AC570" s="53"/>
      <c r="AD570" s="53"/>
    </row>
    <row r="571" spans="27:30" x14ac:dyDescent="0.15">
      <c r="AA571"/>
      <c r="AB571"/>
      <c r="AC571" s="53"/>
      <c r="AD571" s="53"/>
    </row>
    <row r="572" spans="27:30" x14ac:dyDescent="0.15">
      <c r="AA572"/>
      <c r="AB572"/>
      <c r="AC572" s="53"/>
      <c r="AD572" s="53"/>
    </row>
    <row r="573" spans="27:30" x14ac:dyDescent="0.15">
      <c r="AA573"/>
      <c r="AB573"/>
      <c r="AC573" s="53"/>
      <c r="AD573" s="53"/>
    </row>
    <row r="574" spans="27:30" x14ac:dyDescent="0.15">
      <c r="AA574"/>
      <c r="AB574"/>
      <c r="AC574" s="53"/>
      <c r="AD574" s="53"/>
    </row>
    <row r="575" spans="27:30" x14ac:dyDescent="0.15">
      <c r="AA575"/>
      <c r="AB575"/>
      <c r="AC575" s="53"/>
      <c r="AD575" s="53"/>
    </row>
    <row r="576" spans="27:30" x14ac:dyDescent="0.15">
      <c r="AA576"/>
      <c r="AB576"/>
      <c r="AC576" s="53"/>
      <c r="AD576" s="53"/>
    </row>
    <row r="577" spans="27:30" x14ac:dyDescent="0.15">
      <c r="AA577"/>
      <c r="AB577"/>
      <c r="AC577" s="53"/>
      <c r="AD577" s="53"/>
    </row>
    <row r="578" spans="27:30" x14ac:dyDescent="0.15">
      <c r="AA578"/>
      <c r="AB578"/>
      <c r="AC578" s="53"/>
      <c r="AD578" s="53"/>
    </row>
    <row r="579" spans="27:30" x14ac:dyDescent="0.15">
      <c r="AA579"/>
      <c r="AB579"/>
      <c r="AC579" s="53"/>
      <c r="AD579" s="53"/>
    </row>
    <row r="580" spans="27:30" x14ac:dyDescent="0.15">
      <c r="AA580"/>
      <c r="AB580"/>
      <c r="AC580" s="53"/>
      <c r="AD580" s="53"/>
    </row>
    <row r="581" spans="27:30" x14ac:dyDescent="0.15">
      <c r="AA581"/>
      <c r="AB581"/>
      <c r="AC581" s="53"/>
      <c r="AD581" s="53"/>
    </row>
    <row r="582" spans="27:30" x14ac:dyDescent="0.15">
      <c r="AA582"/>
      <c r="AB582"/>
      <c r="AC582" s="53"/>
      <c r="AD582" s="53"/>
    </row>
    <row r="583" spans="27:30" x14ac:dyDescent="0.15">
      <c r="AA583"/>
      <c r="AB583"/>
      <c r="AC583" s="53"/>
      <c r="AD583" s="53"/>
    </row>
    <row r="584" spans="27:30" x14ac:dyDescent="0.15">
      <c r="AA584"/>
      <c r="AB584"/>
      <c r="AC584" s="53"/>
      <c r="AD584" s="53"/>
    </row>
    <row r="585" spans="27:30" x14ac:dyDescent="0.15">
      <c r="AA585"/>
      <c r="AB585"/>
      <c r="AC585" s="53"/>
      <c r="AD585" s="53"/>
    </row>
    <row r="586" spans="27:30" x14ac:dyDescent="0.15">
      <c r="AA586"/>
      <c r="AB586"/>
      <c r="AC586" s="53"/>
      <c r="AD586" s="53"/>
    </row>
    <row r="587" spans="27:30" x14ac:dyDescent="0.15">
      <c r="AA587"/>
      <c r="AB587"/>
      <c r="AC587" s="53"/>
      <c r="AD587" s="53"/>
    </row>
    <row r="588" spans="27:30" x14ac:dyDescent="0.15">
      <c r="AA588"/>
      <c r="AB588"/>
      <c r="AC588" s="53"/>
      <c r="AD588" s="53"/>
    </row>
    <row r="589" spans="27:30" x14ac:dyDescent="0.15">
      <c r="AA589"/>
      <c r="AB589"/>
      <c r="AC589" s="53"/>
      <c r="AD589" s="53"/>
    </row>
    <row r="590" spans="27:30" x14ac:dyDescent="0.15">
      <c r="AA590"/>
      <c r="AB590"/>
      <c r="AC590" s="53"/>
      <c r="AD590" s="53"/>
    </row>
    <row r="591" spans="27:30" x14ac:dyDescent="0.15">
      <c r="AA591"/>
      <c r="AB591"/>
      <c r="AC591" s="53"/>
      <c r="AD591" s="53"/>
    </row>
    <row r="592" spans="27:30" x14ac:dyDescent="0.15">
      <c r="AA592"/>
      <c r="AB592"/>
      <c r="AC592" s="53"/>
      <c r="AD592" s="53"/>
    </row>
    <row r="593" spans="27:30" x14ac:dyDescent="0.15">
      <c r="AA593"/>
      <c r="AB593"/>
      <c r="AC593" s="53"/>
      <c r="AD593" s="53"/>
    </row>
    <row r="594" spans="27:30" x14ac:dyDescent="0.15">
      <c r="AA594"/>
      <c r="AB594"/>
      <c r="AC594" s="53"/>
      <c r="AD594" s="53"/>
    </row>
    <row r="595" spans="27:30" x14ac:dyDescent="0.15">
      <c r="AA595"/>
      <c r="AB595"/>
      <c r="AC595" s="53"/>
      <c r="AD595" s="53"/>
    </row>
    <row r="596" spans="27:30" x14ac:dyDescent="0.15">
      <c r="AA596"/>
      <c r="AB596"/>
      <c r="AC596" s="53"/>
      <c r="AD596" s="53"/>
    </row>
    <row r="597" spans="27:30" x14ac:dyDescent="0.15">
      <c r="AA597"/>
      <c r="AB597"/>
      <c r="AC597" s="53"/>
      <c r="AD597" s="53"/>
    </row>
    <row r="598" spans="27:30" x14ac:dyDescent="0.15">
      <c r="AA598"/>
      <c r="AB598"/>
      <c r="AC598" s="53"/>
      <c r="AD598" s="53"/>
    </row>
    <row r="599" spans="27:30" x14ac:dyDescent="0.15">
      <c r="AA599"/>
      <c r="AB599"/>
      <c r="AC599" s="53"/>
      <c r="AD599" s="53"/>
    </row>
    <row r="600" spans="27:30" x14ac:dyDescent="0.15">
      <c r="AA600"/>
      <c r="AB600"/>
      <c r="AC600" s="53"/>
      <c r="AD600" s="53"/>
    </row>
    <row r="601" spans="27:30" x14ac:dyDescent="0.15">
      <c r="AA601"/>
      <c r="AB601"/>
      <c r="AC601" s="53"/>
      <c r="AD601" s="53"/>
    </row>
    <row r="602" spans="27:30" x14ac:dyDescent="0.15">
      <c r="AA602"/>
      <c r="AB602"/>
      <c r="AC602" s="53"/>
      <c r="AD602" s="53"/>
    </row>
    <row r="603" spans="27:30" x14ac:dyDescent="0.15">
      <c r="AA603"/>
      <c r="AB603"/>
      <c r="AC603" s="53"/>
      <c r="AD603" s="53"/>
    </row>
    <row r="604" spans="27:30" x14ac:dyDescent="0.15">
      <c r="AA604"/>
      <c r="AB604"/>
      <c r="AC604" s="53"/>
      <c r="AD604" s="53"/>
    </row>
    <row r="605" spans="27:30" x14ac:dyDescent="0.15">
      <c r="AA605"/>
      <c r="AB605"/>
      <c r="AC605" s="53"/>
      <c r="AD605" s="53"/>
    </row>
    <row r="606" spans="27:30" x14ac:dyDescent="0.15">
      <c r="AA606"/>
      <c r="AB606"/>
      <c r="AC606" s="53"/>
      <c r="AD606" s="53"/>
    </row>
    <row r="607" spans="27:30" x14ac:dyDescent="0.15">
      <c r="AA607"/>
      <c r="AB607"/>
      <c r="AC607" s="53"/>
      <c r="AD607" s="53"/>
    </row>
    <row r="608" spans="27:30" x14ac:dyDescent="0.15">
      <c r="AA608"/>
      <c r="AB608"/>
      <c r="AC608" s="53"/>
      <c r="AD608" s="53"/>
    </row>
    <row r="609" spans="27:30" x14ac:dyDescent="0.15">
      <c r="AA609"/>
      <c r="AB609"/>
      <c r="AC609" s="53"/>
      <c r="AD609" s="53"/>
    </row>
    <row r="610" spans="27:30" x14ac:dyDescent="0.15">
      <c r="AA610"/>
      <c r="AB610"/>
      <c r="AC610" s="53"/>
      <c r="AD610" s="53"/>
    </row>
    <row r="611" spans="27:30" x14ac:dyDescent="0.15">
      <c r="AA611"/>
      <c r="AB611"/>
      <c r="AC611" s="53"/>
      <c r="AD611" s="53"/>
    </row>
    <row r="612" spans="27:30" x14ac:dyDescent="0.15">
      <c r="AA612"/>
      <c r="AB612"/>
      <c r="AC612" s="53"/>
      <c r="AD612" s="53"/>
    </row>
    <row r="613" spans="27:30" x14ac:dyDescent="0.15">
      <c r="AA613"/>
      <c r="AB613"/>
      <c r="AC613" s="53"/>
      <c r="AD613" s="53"/>
    </row>
    <row r="614" spans="27:30" x14ac:dyDescent="0.15">
      <c r="AA614"/>
      <c r="AB614"/>
      <c r="AC614" s="53"/>
      <c r="AD614" s="53"/>
    </row>
    <row r="615" spans="27:30" x14ac:dyDescent="0.15">
      <c r="AA615"/>
      <c r="AB615"/>
      <c r="AC615" s="53"/>
      <c r="AD615" s="53"/>
    </row>
    <row r="616" spans="27:30" x14ac:dyDescent="0.15">
      <c r="AA616"/>
      <c r="AB616"/>
      <c r="AC616" s="53"/>
      <c r="AD616" s="53"/>
    </row>
    <row r="617" spans="27:30" x14ac:dyDescent="0.15">
      <c r="AA617"/>
      <c r="AB617"/>
      <c r="AC617" s="53"/>
      <c r="AD617" s="53"/>
    </row>
    <row r="618" spans="27:30" x14ac:dyDescent="0.15">
      <c r="AA618"/>
      <c r="AB618"/>
      <c r="AC618" s="53"/>
      <c r="AD618" s="53"/>
    </row>
    <row r="619" spans="27:30" x14ac:dyDescent="0.15">
      <c r="AA619"/>
      <c r="AB619"/>
      <c r="AC619" s="53"/>
      <c r="AD619" s="53"/>
    </row>
    <row r="620" spans="27:30" x14ac:dyDescent="0.15">
      <c r="AA620"/>
      <c r="AB620"/>
      <c r="AC620" s="53"/>
      <c r="AD620" s="53"/>
    </row>
    <row r="621" spans="27:30" x14ac:dyDescent="0.15">
      <c r="AA621"/>
      <c r="AB621"/>
      <c r="AC621" s="53"/>
      <c r="AD621" s="53"/>
    </row>
    <row r="622" spans="27:30" x14ac:dyDescent="0.15">
      <c r="AA622"/>
      <c r="AB622"/>
      <c r="AC622" s="53"/>
      <c r="AD622" s="53"/>
    </row>
    <row r="623" spans="27:30" x14ac:dyDescent="0.15">
      <c r="AA623"/>
      <c r="AB623"/>
      <c r="AC623" s="53"/>
      <c r="AD623" s="53"/>
    </row>
    <row r="624" spans="27:30" x14ac:dyDescent="0.15">
      <c r="AA624"/>
      <c r="AB624"/>
      <c r="AC624" s="53"/>
      <c r="AD624" s="53"/>
    </row>
    <row r="625" spans="27:30" x14ac:dyDescent="0.15">
      <c r="AA625"/>
      <c r="AB625"/>
      <c r="AC625" s="53"/>
      <c r="AD625" s="53"/>
    </row>
    <row r="626" spans="27:30" x14ac:dyDescent="0.15">
      <c r="AA626"/>
      <c r="AB626"/>
      <c r="AC626" s="53"/>
      <c r="AD626" s="53"/>
    </row>
    <row r="627" spans="27:30" x14ac:dyDescent="0.15">
      <c r="AA627"/>
      <c r="AB627"/>
      <c r="AC627" s="53"/>
      <c r="AD627" s="53"/>
    </row>
    <row r="628" spans="27:30" x14ac:dyDescent="0.15">
      <c r="AA628"/>
      <c r="AB628"/>
      <c r="AC628" s="53"/>
      <c r="AD628" s="53"/>
    </row>
    <row r="629" spans="27:30" x14ac:dyDescent="0.15">
      <c r="AA629"/>
      <c r="AB629"/>
      <c r="AC629" s="53"/>
      <c r="AD629" s="53"/>
    </row>
    <row r="630" spans="27:30" x14ac:dyDescent="0.15">
      <c r="AA630"/>
      <c r="AB630"/>
      <c r="AC630" s="53"/>
      <c r="AD630" s="53"/>
    </row>
    <row r="631" spans="27:30" x14ac:dyDescent="0.15">
      <c r="AA631"/>
      <c r="AB631"/>
      <c r="AC631" s="53"/>
      <c r="AD631" s="53"/>
    </row>
    <row r="632" spans="27:30" x14ac:dyDescent="0.15">
      <c r="AA632"/>
      <c r="AB632"/>
      <c r="AC632" s="53"/>
      <c r="AD632" s="53"/>
    </row>
    <row r="633" spans="27:30" x14ac:dyDescent="0.15">
      <c r="AA633"/>
      <c r="AB633"/>
      <c r="AC633" s="53"/>
      <c r="AD633" s="53"/>
    </row>
    <row r="634" spans="27:30" x14ac:dyDescent="0.15">
      <c r="AA634"/>
      <c r="AB634"/>
      <c r="AC634" s="53"/>
      <c r="AD634" s="53"/>
    </row>
    <row r="635" spans="27:30" x14ac:dyDescent="0.15">
      <c r="AA635"/>
      <c r="AB635"/>
      <c r="AC635" s="53"/>
      <c r="AD635" s="53"/>
    </row>
    <row r="636" spans="27:30" x14ac:dyDescent="0.15">
      <c r="AA636"/>
      <c r="AB636"/>
      <c r="AC636" s="53"/>
      <c r="AD636" s="53"/>
    </row>
    <row r="637" spans="27:30" x14ac:dyDescent="0.15">
      <c r="AA637"/>
      <c r="AB637"/>
      <c r="AC637" s="53"/>
      <c r="AD637" s="53"/>
    </row>
    <row r="638" spans="27:30" x14ac:dyDescent="0.15">
      <c r="AA638"/>
      <c r="AB638"/>
      <c r="AC638" s="53"/>
      <c r="AD638" s="53"/>
    </row>
    <row r="639" spans="27:30" x14ac:dyDescent="0.15">
      <c r="AA639"/>
      <c r="AB639"/>
      <c r="AC639" s="53"/>
      <c r="AD639" s="53"/>
    </row>
    <row r="640" spans="27:30" x14ac:dyDescent="0.15">
      <c r="AA640"/>
      <c r="AB640"/>
      <c r="AC640" s="53"/>
      <c r="AD640" s="53"/>
    </row>
    <row r="641" spans="27:30" x14ac:dyDescent="0.15">
      <c r="AA641"/>
      <c r="AB641"/>
      <c r="AC641" s="53"/>
      <c r="AD641" s="53"/>
    </row>
    <row r="642" spans="27:30" x14ac:dyDescent="0.15">
      <c r="AA642"/>
      <c r="AB642"/>
      <c r="AC642" s="53"/>
      <c r="AD642" s="53"/>
    </row>
    <row r="643" spans="27:30" x14ac:dyDescent="0.15">
      <c r="AA643"/>
      <c r="AB643"/>
      <c r="AC643" s="53"/>
      <c r="AD643" s="53"/>
    </row>
    <row r="644" spans="27:30" x14ac:dyDescent="0.15">
      <c r="AA644"/>
      <c r="AB644"/>
      <c r="AC644" s="53"/>
      <c r="AD644" s="53"/>
    </row>
    <row r="645" spans="27:30" x14ac:dyDescent="0.15">
      <c r="AA645"/>
      <c r="AB645"/>
      <c r="AC645" s="53"/>
      <c r="AD645" s="53"/>
    </row>
    <row r="646" spans="27:30" x14ac:dyDescent="0.15">
      <c r="AA646"/>
      <c r="AB646"/>
      <c r="AC646" s="53"/>
      <c r="AD646" s="53"/>
    </row>
    <row r="647" spans="27:30" x14ac:dyDescent="0.15">
      <c r="AA647"/>
      <c r="AB647"/>
      <c r="AC647" s="53"/>
      <c r="AD647" s="53"/>
    </row>
    <row r="648" spans="27:30" x14ac:dyDescent="0.15">
      <c r="AA648"/>
      <c r="AB648"/>
      <c r="AC648" s="53"/>
      <c r="AD648" s="53"/>
    </row>
    <row r="649" spans="27:30" x14ac:dyDescent="0.15">
      <c r="AA649"/>
      <c r="AB649"/>
      <c r="AC649" s="53"/>
      <c r="AD649" s="53"/>
    </row>
    <row r="650" spans="27:30" x14ac:dyDescent="0.15">
      <c r="AA650"/>
      <c r="AB650"/>
      <c r="AC650" s="53"/>
      <c r="AD650" s="53"/>
    </row>
    <row r="651" spans="27:30" x14ac:dyDescent="0.15">
      <c r="AA651"/>
      <c r="AB651"/>
      <c r="AC651" s="53"/>
      <c r="AD651" s="53"/>
    </row>
    <row r="652" spans="27:30" x14ac:dyDescent="0.15">
      <c r="AA652"/>
      <c r="AB652"/>
      <c r="AC652" s="53"/>
      <c r="AD652" s="53"/>
    </row>
    <row r="653" spans="27:30" x14ac:dyDescent="0.15">
      <c r="AA653"/>
      <c r="AB653"/>
      <c r="AC653" s="53"/>
      <c r="AD653" s="53"/>
    </row>
    <row r="654" spans="27:30" x14ac:dyDescent="0.15">
      <c r="AA654"/>
      <c r="AB654"/>
      <c r="AC654" s="53"/>
      <c r="AD654" s="53"/>
    </row>
    <row r="655" spans="27:30" x14ac:dyDescent="0.15">
      <c r="AA655"/>
      <c r="AB655"/>
      <c r="AC655" s="53"/>
      <c r="AD655" s="53"/>
    </row>
    <row r="656" spans="27:30" x14ac:dyDescent="0.15">
      <c r="AA656"/>
      <c r="AB656"/>
      <c r="AC656" s="53"/>
      <c r="AD656" s="53"/>
    </row>
    <row r="657" spans="27:30" x14ac:dyDescent="0.15">
      <c r="AA657"/>
      <c r="AB657"/>
      <c r="AC657" s="53"/>
      <c r="AD657" s="53"/>
    </row>
    <row r="658" spans="27:30" x14ac:dyDescent="0.15">
      <c r="AA658"/>
      <c r="AB658"/>
      <c r="AC658" s="53"/>
      <c r="AD658" s="53"/>
    </row>
    <row r="659" spans="27:30" x14ac:dyDescent="0.15">
      <c r="AA659"/>
      <c r="AB659"/>
      <c r="AC659" s="53"/>
      <c r="AD659" s="53"/>
    </row>
    <row r="660" spans="27:30" x14ac:dyDescent="0.15">
      <c r="AA660"/>
      <c r="AB660"/>
      <c r="AC660" s="53"/>
      <c r="AD660" s="53"/>
    </row>
    <row r="661" spans="27:30" x14ac:dyDescent="0.15">
      <c r="AA661"/>
      <c r="AB661"/>
      <c r="AC661" s="53"/>
      <c r="AD661" s="53"/>
    </row>
    <row r="662" spans="27:30" x14ac:dyDescent="0.15">
      <c r="AA662"/>
      <c r="AB662"/>
      <c r="AC662" s="53"/>
      <c r="AD662" s="53"/>
    </row>
    <row r="663" spans="27:30" x14ac:dyDescent="0.15">
      <c r="AA663"/>
      <c r="AB663"/>
      <c r="AC663" s="53"/>
      <c r="AD663" s="53"/>
    </row>
    <row r="664" spans="27:30" x14ac:dyDescent="0.15">
      <c r="AA664"/>
      <c r="AB664"/>
      <c r="AC664" s="53"/>
      <c r="AD664" s="53"/>
    </row>
    <row r="665" spans="27:30" x14ac:dyDescent="0.15">
      <c r="AA665"/>
      <c r="AB665"/>
      <c r="AC665" s="53"/>
      <c r="AD665" s="53"/>
    </row>
    <row r="666" spans="27:30" x14ac:dyDescent="0.15">
      <c r="AA666"/>
      <c r="AB666"/>
      <c r="AC666" s="53"/>
      <c r="AD666" s="53"/>
    </row>
    <row r="667" spans="27:30" x14ac:dyDescent="0.15">
      <c r="AA667"/>
      <c r="AB667"/>
      <c r="AC667" s="53"/>
      <c r="AD667" s="53"/>
    </row>
    <row r="668" spans="27:30" x14ac:dyDescent="0.15">
      <c r="AA668"/>
      <c r="AB668"/>
      <c r="AC668" s="53"/>
      <c r="AD668" s="53"/>
    </row>
    <row r="669" spans="27:30" x14ac:dyDescent="0.15">
      <c r="AA669"/>
      <c r="AB669"/>
      <c r="AC669" s="53"/>
      <c r="AD669" s="53"/>
    </row>
    <row r="670" spans="27:30" x14ac:dyDescent="0.15">
      <c r="AA670"/>
      <c r="AB670"/>
      <c r="AC670" s="53"/>
      <c r="AD670" s="53"/>
    </row>
    <row r="671" spans="27:30" x14ac:dyDescent="0.15">
      <c r="AA671"/>
      <c r="AB671"/>
      <c r="AC671" s="53"/>
      <c r="AD671" s="53"/>
    </row>
    <row r="672" spans="27:30" x14ac:dyDescent="0.15">
      <c r="AA672"/>
      <c r="AB672"/>
      <c r="AC672" s="53"/>
      <c r="AD672" s="53"/>
    </row>
    <row r="673" spans="27:30" x14ac:dyDescent="0.15">
      <c r="AA673"/>
      <c r="AB673"/>
      <c r="AC673" s="53"/>
      <c r="AD673" s="53"/>
    </row>
    <row r="674" spans="27:30" x14ac:dyDescent="0.15">
      <c r="AA674"/>
      <c r="AB674"/>
      <c r="AC674" s="53"/>
      <c r="AD674" s="53"/>
    </row>
    <row r="675" spans="27:30" x14ac:dyDescent="0.15">
      <c r="AA675"/>
      <c r="AB675"/>
      <c r="AC675" s="53"/>
      <c r="AD675" s="53"/>
    </row>
    <row r="676" spans="27:30" x14ac:dyDescent="0.15">
      <c r="AA676"/>
      <c r="AB676"/>
      <c r="AC676" s="53"/>
      <c r="AD676" s="53"/>
    </row>
    <row r="677" spans="27:30" x14ac:dyDescent="0.15">
      <c r="AA677"/>
      <c r="AB677"/>
      <c r="AC677" s="53"/>
      <c r="AD677" s="53"/>
    </row>
    <row r="678" spans="27:30" x14ac:dyDescent="0.15">
      <c r="AA678"/>
      <c r="AB678"/>
      <c r="AC678" s="53"/>
      <c r="AD678" s="53"/>
    </row>
    <row r="679" spans="27:30" x14ac:dyDescent="0.15">
      <c r="AA679"/>
      <c r="AB679"/>
      <c r="AC679" s="53"/>
      <c r="AD679" s="53"/>
    </row>
    <row r="680" spans="27:30" x14ac:dyDescent="0.15">
      <c r="AA680"/>
      <c r="AB680"/>
      <c r="AC680" s="53"/>
      <c r="AD680" s="53"/>
    </row>
    <row r="681" spans="27:30" x14ac:dyDescent="0.15">
      <c r="AA681"/>
      <c r="AB681"/>
      <c r="AC681" s="53"/>
      <c r="AD681" s="53"/>
    </row>
    <row r="682" spans="27:30" x14ac:dyDescent="0.15">
      <c r="AA682"/>
      <c r="AB682"/>
      <c r="AC682" s="53"/>
      <c r="AD682" s="53"/>
    </row>
    <row r="683" spans="27:30" x14ac:dyDescent="0.15">
      <c r="AA683"/>
      <c r="AB683"/>
      <c r="AC683" s="53"/>
      <c r="AD683" s="53"/>
    </row>
    <row r="684" spans="27:30" x14ac:dyDescent="0.15">
      <c r="AA684"/>
      <c r="AB684"/>
      <c r="AC684" s="53"/>
      <c r="AD684" s="53"/>
    </row>
    <row r="685" spans="27:30" x14ac:dyDescent="0.15">
      <c r="AA685"/>
      <c r="AB685"/>
      <c r="AC685" s="53"/>
      <c r="AD685" s="53"/>
    </row>
    <row r="686" spans="27:30" x14ac:dyDescent="0.15">
      <c r="AA686"/>
      <c r="AB686"/>
      <c r="AC686" s="53"/>
      <c r="AD686" s="53"/>
    </row>
    <row r="687" spans="27:30" x14ac:dyDescent="0.15">
      <c r="AA687"/>
      <c r="AB687"/>
      <c r="AC687" s="53"/>
      <c r="AD687" s="53"/>
    </row>
    <row r="688" spans="27:30" x14ac:dyDescent="0.15">
      <c r="AA688"/>
      <c r="AB688"/>
      <c r="AC688" s="53"/>
      <c r="AD688" s="53"/>
    </row>
    <row r="689" spans="27:30" x14ac:dyDescent="0.15">
      <c r="AA689"/>
      <c r="AB689"/>
      <c r="AC689" s="53"/>
      <c r="AD689" s="53"/>
    </row>
    <row r="690" spans="27:30" x14ac:dyDescent="0.15">
      <c r="AA690"/>
      <c r="AB690"/>
      <c r="AC690" s="53"/>
      <c r="AD690" s="53"/>
    </row>
    <row r="691" spans="27:30" x14ac:dyDescent="0.15">
      <c r="AA691"/>
      <c r="AB691"/>
      <c r="AC691" s="53"/>
      <c r="AD691" s="53"/>
    </row>
    <row r="692" spans="27:30" x14ac:dyDescent="0.15">
      <c r="AA692"/>
      <c r="AB692"/>
      <c r="AC692" s="53"/>
      <c r="AD692" s="53"/>
    </row>
    <row r="693" spans="27:30" x14ac:dyDescent="0.15">
      <c r="AA693"/>
      <c r="AB693"/>
      <c r="AC693" s="53"/>
      <c r="AD693" s="53"/>
    </row>
    <row r="694" spans="27:30" x14ac:dyDescent="0.15">
      <c r="AA694"/>
      <c r="AB694"/>
      <c r="AC694" s="53"/>
      <c r="AD694" s="53"/>
    </row>
    <row r="695" spans="27:30" x14ac:dyDescent="0.15">
      <c r="AA695"/>
      <c r="AB695"/>
      <c r="AC695" s="53"/>
      <c r="AD695" s="53"/>
    </row>
    <row r="696" spans="27:30" x14ac:dyDescent="0.15">
      <c r="AA696"/>
      <c r="AB696"/>
      <c r="AC696" s="53"/>
      <c r="AD696" s="53"/>
    </row>
    <row r="697" spans="27:30" x14ac:dyDescent="0.15">
      <c r="AA697"/>
      <c r="AB697"/>
      <c r="AC697" s="53"/>
      <c r="AD697" s="53"/>
    </row>
    <row r="698" spans="27:30" x14ac:dyDescent="0.15">
      <c r="AA698"/>
      <c r="AB698"/>
      <c r="AC698" s="53"/>
      <c r="AD698" s="53"/>
    </row>
    <row r="699" spans="27:30" x14ac:dyDescent="0.15">
      <c r="AA699"/>
      <c r="AB699"/>
      <c r="AC699" s="53"/>
      <c r="AD699" s="53"/>
    </row>
    <row r="700" spans="27:30" x14ac:dyDescent="0.15">
      <c r="AA700"/>
      <c r="AB700"/>
      <c r="AC700" s="53"/>
      <c r="AD700" s="53"/>
    </row>
    <row r="701" spans="27:30" x14ac:dyDescent="0.15">
      <c r="AA701"/>
      <c r="AB701"/>
      <c r="AC701" s="53"/>
      <c r="AD701" s="53"/>
    </row>
    <row r="702" spans="27:30" x14ac:dyDescent="0.15">
      <c r="AA702"/>
      <c r="AB702"/>
      <c r="AC702" s="53"/>
      <c r="AD702" s="53"/>
    </row>
    <row r="703" spans="27:30" x14ac:dyDescent="0.15">
      <c r="AA703"/>
      <c r="AB703"/>
      <c r="AC703" s="53"/>
      <c r="AD703" s="53"/>
    </row>
    <row r="704" spans="27:30" x14ac:dyDescent="0.15">
      <c r="AA704"/>
      <c r="AB704"/>
      <c r="AC704" s="53"/>
      <c r="AD704" s="53"/>
    </row>
    <row r="705" spans="27:30" x14ac:dyDescent="0.15">
      <c r="AA705"/>
      <c r="AB705"/>
      <c r="AC705" s="53"/>
      <c r="AD705" s="53"/>
    </row>
    <row r="706" spans="27:30" x14ac:dyDescent="0.15">
      <c r="AA706"/>
      <c r="AB706"/>
      <c r="AC706" s="53"/>
      <c r="AD706" s="53"/>
    </row>
    <row r="707" spans="27:30" x14ac:dyDescent="0.15">
      <c r="AA707"/>
      <c r="AB707"/>
      <c r="AC707" s="53"/>
      <c r="AD707" s="53"/>
    </row>
    <row r="708" spans="27:30" x14ac:dyDescent="0.15">
      <c r="AA708"/>
      <c r="AB708"/>
      <c r="AC708" s="53"/>
      <c r="AD708" s="53"/>
    </row>
    <row r="709" spans="27:30" x14ac:dyDescent="0.15">
      <c r="AA709"/>
      <c r="AB709"/>
      <c r="AC709" s="53"/>
      <c r="AD709" s="53"/>
    </row>
    <row r="710" spans="27:30" x14ac:dyDescent="0.15">
      <c r="AA710"/>
      <c r="AB710"/>
      <c r="AC710" s="53"/>
      <c r="AD710" s="53"/>
    </row>
    <row r="711" spans="27:30" x14ac:dyDescent="0.15">
      <c r="AA711"/>
      <c r="AB711"/>
      <c r="AC711" s="53"/>
      <c r="AD711" s="53"/>
    </row>
    <row r="712" spans="27:30" x14ac:dyDescent="0.15">
      <c r="AA712"/>
      <c r="AB712"/>
      <c r="AC712" s="53"/>
      <c r="AD712" s="53"/>
    </row>
    <row r="713" spans="27:30" x14ac:dyDescent="0.15">
      <c r="AA713"/>
      <c r="AB713"/>
      <c r="AC713" s="53"/>
      <c r="AD713" s="53"/>
    </row>
    <row r="714" spans="27:30" x14ac:dyDescent="0.15">
      <c r="AA714"/>
      <c r="AB714"/>
      <c r="AC714" s="53"/>
      <c r="AD714" s="53"/>
    </row>
    <row r="715" spans="27:30" x14ac:dyDescent="0.15">
      <c r="AA715"/>
      <c r="AB715"/>
      <c r="AC715" s="53"/>
      <c r="AD715" s="53"/>
    </row>
    <row r="716" spans="27:30" x14ac:dyDescent="0.15">
      <c r="AA716"/>
      <c r="AB716"/>
      <c r="AC716" s="53"/>
      <c r="AD716" s="53"/>
    </row>
    <row r="717" spans="27:30" x14ac:dyDescent="0.15">
      <c r="AA717"/>
      <c r="AB717"/>
      <c r="AC717" s="53"/>
      <c r="AD717" s="53"/>
    </row>
    <row r="718" spans="27:30" x14ac:dyDescent="0.15">
      <c r="AA718"/>
      <c r="AB718"/>
      <c r="AC718" s="53"/>
      <c r="AD718" s="53"/>
    </row>
    <row r="719" spans="27:30" x14ac:dyDescent="0.15">
      <c r="AA719"/>
      <c r="AB719"/>
      <c r="AC719" s="53"/>
      <c r="AD719" s="53"/>
    </row>
    <row r="720" spans="27:30" x14ac:dyDescent="0.15">
      <c r="AA720"/>
      <c r="AB720"/>
      <c r="AC720" s="53"/>
      <c r="AD720" s="53"/>
    </row>
    <row r="721" spans="27:30" x14ac:dyDescent="0.15">
      <c r="AA721"/>
      <c r="AB721"/>
      <c r="AC721" s="53"/>
      <c r="AD721" s="53"/>
    </row>
    <row r="722" spans="27:30" x14ac:dyDescent="0.15">
      <c r="AA722"/>
      <c r="AB722"/>
      <c r="AC722" s="53"/>
      <c r="AD722" s="53"/>
    </row>
    <row r="723" spans="27:30" x14ac:dyDescent="0.15">
      <c r="AA723"/>
      <c r="AB723"/>
      <c r="AC723" s="53"/>
      <c r="AD723" s="53"/>
    </row>
    <row r="724" spans="27:30" x14ac:dyDescent="0.15">
      <c r="AA724"/>
      <c r="AB724"/>
      <c r="AC724" s="53"/>
      <c r="AD724" s="53"/>
    </row>
    <row r="725" spans="27:30" x14ac:dyDescent="0.15">
      <c r="AA725"/>
      <c r="AB725"/>
      <c r="AC725" s="53"/>
      <c r="AD725" s="53"/>
    </row>
    <row r="726" spans="27:30" x14ac:dyDescent="0.15">
      <c r="AA726"/>
      <c r="AB726"/>
      <c r="AC726" s="53"/>
      <c r="AD726" s="53"/>
    </row>
    <row r="727" spans="27:30" x14ac:dyDescent="0.15">
      <c r="AA727"/>
      <c r="AB727"/>
      <c r="AC727" s="53"/>
      <c r="AD727" s="53"/>
    </row>
    <row r="728" spans="27:30" x14ac:dyDescent="0.15">
      <c r="AA728"/>
      <c r="AB728"/>
      <c r="AC728" s="53"/>
      <c r="AD728" s="53"/>
    </row>
    <row r="729" spans="27:30" x14ac:dyDescent="0.15">
      <c r="AA729"/>
      <c r="AB729"/>
      <c r="AC729" s="53"/>
      <c r="AD729" s="53"/>
    </row>
    <row r="730" spans="27:30" x14ac:dyDescent="0.15">
      <c r="AA730"/>
      <c r="AB730"/>
      <c r="AC730" s="53"/>
      <c r="AD730" s="53"/>
    </row>
    <row r="731" spans="27:30" x14ac:dyDescent="0.15">
      <c r="AA731"/>
      <c r="AB731"/>
      <c r="AC731" s="53"/>
      <c r="AD731" s="53"/>
    </row>
    <row r="732" spans="27:30" x14ac:dyDescent="0.15">
      <c r="AA732"/>
      <c r="AB732"/>
      <c r="AC732" s="53"/>
      <c r="AD732" s="53"/>
    </row>
    <row r="733" spans="27:30" x14ac:dyDescent="0.15">
      <c r="AA733"/>
      <c r="AB733"/>
      <c r="AC733" s="53"/>
      <c r="AD733" s="53"/>
    </row>
    <row r="734" spans="27:30" x14ac:dyDescent="0.15">
      <c r="AA734"/>
      <c r="AB734"/>
      <c r="AC734" s="53"/>
      <c r="AD734" s="53"/>
    </row>
    <row r="735" spans="27:30" x14ac:dyDescent="0.15">
      <c r="AA735"/>
      <c r="AB735"/>
      <c r="AC735" s="53"/>
      <c r="AD735" s="53"/>
    </row>
    <row r="736" spans="27:30" x14ac:dyDescent="0.15">
      <c r="AA736"/>
      <c r="AB736"/>
      <c r="AC736" s="53"/>
      <c r="AD736" s="53"/>
    </row>
    <row r="737" spans="27:30" x14ac:dyDescent="0.15">
      <c r="AA737"/>
      <c r="AB737"/>
      <c r="AC737" s="53"/>
      <c r="AD737" s="53"/>
    </row>
    <row r="738" spans="27:30" x14ac:dyDescent="0.15">
      <c r="AA738"/>
      <c r="AB738"/>
      <c r="AC738" s="53"/>
      <c r="AD738" s="53"/>
    </row>
    <row r="739" spans="27:30" x14ac:dyDescent="0.15">
      <c r="AA739"/>
      <c r="AB739"/>
      <c r="AC739" s="53"/>
      <c r="AD739" s="53"/>
    </row>
    <row r="740" spans="27:30" x14ac:dyDescent="0.15">
      <c r="AA740"/>
      <c r="AB740"/>
      <c r="AC740" s="53"/>
      <c r="AD740" s="53"/>
    </row>
    <row r="741" spans="27:30" x14ac:dyDescent="0.15">
      <c r="AA741"/>
      <c r="AB741"/>
      <c r="AC741" s="53"/>
      <c r="AD741" s="53"/>
    </row>
    <row r="742" spans="27:30" x14ac:dyDescent="0.15">
      <c r="AA742"/>
      <c r="AB742"/>
      <c r="AC742" s="53"/>
      <c r="AD742" s="53"/>
    </row>
    <row r="743" spans="27:30" x14ac:dyDescent="0.15">
      <c r="AA743"/>
      <c r="AB743"/>
      <c r="AC743" s="53"/>
      <c r="AD743" s="53"/>
    </row>
    <row r="744" spans="27:30" x14ac:dyDescent="0.15">
      <c r="AA744"/>
      <c r="AB744"/>
      <c r="AC744" s="53"/>
      <c r="AD744" s="53"/>
    </row>
    <row r="745" spans="27:30" x14ac:dyDescent="0.15">
      <c r="AA745"/>
      <c r="AB745"/>
      <c r="AC745" s="53"/>
      <c r="AD745" s="53"/>
    </row>
    <row r="746" spans="27:30" x14ac:dyDescent="0.15">
      <c r="AA746"/>
      <c r="AB746"/>
      <c r="AC746" s="53"/>
      <c r="AD746" s="53"/>
    </row>
    <row r="747" spans="27:30" x14ac:dyDescent="0.15">
      <c r="AA747"/>
      <c r="AB747"/>
      <c r="AC747" s="53"/>
      <c r="AD747" s="53"/>
    </row>
    <row r="748" spans="27:30" x14ac:dyDescent="0.15">
      <c r="AA748"/>
      <c r="AB748"/>
      <c r="AC748" s="53"/>
      <c r="AD748" s="53"/>
    </row>
    <row r="749" spans="27:30" x14ac:dyDescent="0.15">
      <c r="AA749"/>
      <c r="AB749"/>
      <c r="AC749" s="53"/>
      <c r="AD749" s="53"/>
    </row>
    <row r="750" spans="27:30" x14ac:dyDescent="0.15">
      <c r="AA750"/>
      <c r="AB750"/>
      <c r="AC750" s="53"/>
      <c r="AD750" s="53"/>
    </row>
    <row r="751" spans="27:30" x14ac:dyDescent="0.15">
      <c r="AA751"/>
      <c r="AB751"/>
      <c r="AC751" s="53"/>
      <c r="AD751" s="53"/>
    </row>
    <row r="752" spans="27:30" x14ac:dyDescent="0.15">
      <c r="AA752"/>
      <c r="AB752"/>
      <c r="AC752" s="53"/>
      <c r="AD752" s="53"/>
    </row>
    <row r="753" spans="27:30" x14ac:dyDescent="0.15">
      <c r="AA753"/>
      <c r="AB753"/>
      <c r="AC753" s="53"/>
      <c r="AD753" s="53"/>
    </row>
    <row r="754" spans="27:30" x14ac:dyDescent="0.15">
      <c r="AA754"/>
      <c r="AB754"/>
      <c r="AC754" s="53"/>
      <c r="AD754" s="53"/>
    </row>
    <row r="755" spans="27:30" x14ac:dyDescent="0.15">
      <c r="AA755"/>
      <c r="AB755"/>
      <c r="AC755" s="53"/>
      <c r="AD755" s="53"/>
    </row>
    <row r="756" spans="27:30" x14ac:dyDescent="0.15">
      <c r="AA756"/>
      <c r="AB756"/>
      <c r="AC756" s="53"/>
      <c r="AD756" s="53"/>
    </row>
    <row r="757" spans="27:30" x14ac:dyDescent="0.15">
      <c r="AA757"/>
      <c r="AB757"/>
      <c r="AC757" s="53"/>
      <c r="AD757" s="53"/>
    </row>
    <row r="758" spans="27:30" x14ac:dyDescent="0.15">
      <c r="AA758"/>
      <c r="AB758"/>
      <c r="AC758" s="53"/>
      <c r="AD758" s="53"/>
    </row>
    <row r="759" spans="27:30" x14ac:dyDescent="0.15">
      <c r="AA759"/>
      <c r="AB759"/>
      <c r="AC759" s="53"/>
      <c r="AD759" s="53"/>
    </row>
    <row r="760" spans="27:30" x14ac:dyDescent="0.15">
      <c r="AA760"/>
      <c r="AB760"/>
      <c r="AC760" s="53"/>
      <c r="AD760" s="53"/>
    </row>
    <row r="761" spans="27:30" x14ac:dyDescent="0.15">
      <c r="AA761"/>
      <c r="AB761"/>
      <c r="AC761" s="53"/>
      <c r="AD761" s="53"/>
    </row>
    <row r="762" spans="27:30" x14ac:dyDescent="0.15">
      <c r="AA762"/>
      <c r="AB762"/>
      <c r="AC762" s="53"/>
      <c r="AD762" s="53"/>
    </row>
    <row r="763" spans="27:30" x14ac:dyDescent="0.15">
      <c r="AA763"/>
      <c r="AB763"/>
      <c r="AC763" s="53"/>
      <c r="AD763" s="53"/>
    </row>
    <row r="764" spans="27:30" x14ac:dyDescent="0.15">
      <c r="AA764"/>
      <c r="AB764"/>
      <c r="AC764" s="53"/>
      <c r="AD764" s="53"/>
    </row>
    <row r="765" spans="27:30" x14ac:dyDescent="0.15">
      <c r="AA765"/>
      <c r="AB765"/>
      <c r="AC765" s="53"/>
      <c r="AD765" s="53"/>
    </row>
    <row r="766" spans="27:30" x14ac:dyDescent="0.15">
      <c r="AA766"/>
      <c r="AB766"/>
      <c r="AC766" s="53"/>
      <c r="AD766" s="53"/>
    </row>
    <row r="767" spans="27:30" x14ac:dyDescent="0.15">
      <c r="AA767"/>
      <c r="AB767"/>
      <c r="AC767" s="53"/>
      <c r="AD767" s="53"/>
    </row>
    <row r="768" spans="27:30" x14ac:dyDescent="0.15">
      <c r="AA768"/>
      <c r="AB768"/>
      <c r="AC768" s="53"/>
      <c r="AD768" s="53"/>
    </row>
    <row r="769" spans="27:30" x14ac:dyDescent="0.15">
      <c r="AA769"/>
      <c r="AB769"/>
      <c r="AC769" s="53"/>
      <c r="AD769" s="53"/>
    </row>
    <row r="770" spans="27:30" x14ac:dyDescent="0.15">
      <c r="AA770"/>
      <c r="AB770"/>
      <c r="AC770" s="53"/>
      <c r="AD770" s="53"/>
    </row>
    <row r="771" spans="27:30" x14ac:dyDescent="0.15">
      <c r="AA771"/>
      <c r="AB771"/>
      <c r="AC771" s="53"/>
      <c r="AD771" s="53"/>
    </row>
    <row r="772" spans="27:30" x14ac:dyDescent="0.15">
      <c r="AA772"/>
      <c r="AB772"/>
      <c r="AC772" s="53"/>
      <c r="AD772" s="53"/>
    </row>
    <row r="773" spans="27:30" x14ac:dyDescent="0.15">
      <c r="AA773"/>
      <c r="AB773"/>
      <c r="AC773" s="53"/>
      <c r="AD773" s="53"/>
    </row>
    <row r="774" spans="27:30" x14ac:dyDescent="0.15">
      <c r="AA774"/>
      <c r="AB774"/>
      <c r="AC774" s="53"/>
      <c r="AD774" s="53"/>
    </row>
    <row r="775" spans="27:30" x14ac:dyDescent="0.15">
      <c r="AA775"/>
      <c r="AB775"/>
      <c r="AC775" s="53"/>
      <c r="AD775" s="53"/>
    </row>
    <row r="776" spans="27:30" x14ac:dyDescent="0.15">
      <c r="AA776"/>
      <c r="AB776"/>
      <c r="AC776" s="53"/>
      <c r="AD776" s="53"/>
    </row>
    <row r="777" spans="27:30" x14ac:dyDescent="0.15">
      <c r="AA777"/>
      <c r="AB777"/>
      <c r="AC777" s="53"/>
      <c r="AD777" s="53"/>
    </row>
    <row r="778" spans="27:30" x14ac:dyDescent="0.15">
      <c r="AA778"/>
      <c r="AB778"/>
      <c r="AC778" s="53"/>
      <c r="AD778" s="53"/>
    </row>
    <row r="779" spans="27:30" x14ac:dyDescent="0.15">
      <c r="AA779"/>
      <c r="AB779"/>
      <c r="AC779" s="53"/>
      <c r="AD779" s="53"/>
    </row>
    <row r="780" spans="27:30" x14ac:dyDescent="0.15">
      <c r="AA780"/>
      <c r="AB780"/>
      <c r="AC780" s="53"/>
      <c r="AD780" s="53"/>
    </row>
    <row r="781" spans="27:30" x14ac:dyDescent="0.15">
      <c r="AA781"/>
      <c r="AB781"/>
      <c r="AC781" s="53"/>
      <c r="AD781" s="53"/>
    </row>
    <row r="782" spans="27:30" x14ac:dyDescent="0.15">
      <c r="AA782"/>
      <c r="AB782"/>
      <c r="AC782" s="53"/>
      <c r="AD782" s="53"/>
    </row>
    <row r="783" spans="27:30" x14ac:dyDescent="0.15">
      <c r="AA783"/>
      <c r="AB783"/>
      <c r="AC783" s="53"/>
      <c r="AD783" s="53"/>
    </row>
    <row r="784" spans="27:30" x14ac:dyDescent="0.15">
      <c r="AA784"/>
      <c r="AB784"/>
      <c r="AC784" s="53"/>
      <c r="AD784" s="53"/>
    </row>
    <row r="785" spans="27:30" x14ac:dyDescent="0.15">
      <c r="AA785"/>
      <c r="AB785"/>
      <c r="AC785" s="53"/>
      <c r="AD785" s="53"/>
    </row>
    <row r="786" spans="27:30" x14ac:dyDescent="0.15">
      <c r="AA786"/>
      <c r="AB786"/>
      <c r="AC786" s="53"/>
      <c r="AD786" s="53"/>
    </row>
    <row r="787" spans="27:30" x14ac:dyDescent="0.15">
      <c r="AA787"/>
      <c r="AB787"/>
      <c r="AC787" s="53"/>
      <c r="AD787" s="53"/>
    </row>
    <row r="788" spans="27:30" x14ac:dyDescent="0.15">
      <c r="AA788"/>
      <c r="AB788"/>
      <c r="AC788" s="53"/>
      <c r="AD788" s="53"/>
    </row>
    <row r="789" spans="27:30" x14ac:dyDescent="0.15">
      <c r="AA789"/>
      <c r="AB789"/>
      <c r="AC789" s="53"/>
      <c r="AD789" s="53"/>
    </row>
    <row r="790" spans="27:30" x14ac:dyDescent="0.15">
      <c r="AA790"/>
      <c r="AB790"/>
      <c r="AC790" s="53"/>
      <c r="AD790" s="53"/>
    </row>
    <row r="791" spans="27:30" x14ac:dyDescent="0.15">
      <c r="AA791"/>
      <c r="AB791"/>
      <c r="AC791" s="53"/>
      <c r="AD791" s="53"/>
    </row>
    <row r="792" spans="27:30" x14ac:dyDescent="0.15">
      <c r="AA792"/>
      <c r="AB792"/>
      <c r="AC792" s="53"/>
      <c r="AD792" s="53"/>
    </row>
    <row r="793" spans="27:30" x14ac:dyDescent="0.15">
      <c r="AA793"/>
      <c r="AB793"/>
      <c r="AC793" s="53"/>
      <c r="AD793" s="53"/>
    </row>
    <row r="794" spans="27:30" x14ac:dyDescent="0.15">
      <c r="AA794"/>
      <c r="AB794"/>
      <c r="AC794" s="53"/>
      <c r="AD794" s="53"/>
    </row>
    <row r="795" spans="27:30" x14ac:dyDescent="0.15">
      <c r="AA795"/>
      <c r="AB795"/>
      <c r="AC795" s="53"/>
      <c r="AD795" s="53"/>
    </row>
    <row r="796" spans="27:30" x14ac:dyDescent="0.15">
      <c r="AA796"/>
      <c r="AB796"/>
      <c r="AC796" s="53"/>
      <c r="AD796" s="53"/>
    </row>
    <row r="797" spans="27:30" x14ac:dyDescent="0.15">
      <c r="AA797"/>
      <c r="AB797"/>
      <c r="AC797" s="53"/>
      <c r="AD797" s="53"/>
    </row>
    <row r="798" spans="27:30" x14ac:dyDescent="0.15">
      <c r="AA798"/>
      <c r="AB798"/>
      <c r="AC798" s="53"/>
      <c r="AD798" s="53"/>
    </row>
    <row r="799" spans="27:30" x14ac:dyDescent="0.15">
      <c r="AA799"/>
      <c r="AB799"/>
      <c r="AC799" s="53"/>
      <c r="AD799" s="53"/>
    </row>
    <row r="800" spans="27:30" x14ac:dyDescent="0.15">
      <c r="AA800"/>
      <c r="AB800"/>
      <c r="AC800" s="53"/>
      <c r="AD800" s="53"/>
    </row>
    <row r="801" spans="27:30" x14ac:dyDescent="0.15">
      <c r="AA801"/>
      <c r="AB801"/>
      <c r="AC801" s="53"/>
      <c r="AD801" s="53"/>
    </row>
    <row r="802" spans="27:30" x14ac:dyDescent="0.15">
      <c r="AA802"/>
      <c r="AB802"/>
      <c r="AC802" s="53"/>
      <c r="AD802" s="53"/>
    </row>
    <row r="803" spans="27:30" x14ac:dyDescent="0.15">
      <c r="AA803"/>
      <c r="AB803"/>
      <c r="AC803" s="53"/>
      <c r="AD803" s="53"/>
    </row>
    <row r="804" spans="27:30" x14ac:dyDescent="0.15">
      <c r="AA804"/>
      <c r="AB804"/>
      <c r="AC804" s="53"/>
      <c r="AD804" s="53"/>
    </row>
    <row r="805" spans="27:30" x14ac:dyDescent="0.15">
      <c r="AA805"/>
      <c r="AB805"/>
      <c r="AC805" s="53"/>
      <c r="AD805" s="53"/>
    </row>
    <row r="806" spans="27:30" x14ac:dyDescent="0.15">
      <c r="AA806"/>
      <c r="AB806"/>
      <c r="AC806" s="53"/>
      <c r="AD806" s="53"/>
    </row>
    <row r="807" spans="27:30" x14ac:dyDescent="0.15">
      <c r="AA807"/>
      <c r="AB807"/>
      <c r="AC807" s="53"/>
      <c r="AD807" s="53"/>
    </row>
    <row r="808" spans="27:30" x14ac:dyDescent="0.15">
      <c r="AA808"/>
      <c r="AB808"/>
      <c r="AC808" s="53"/>
      <c r="AD808" s="53"/>
    </row>
    <row r="809" spans="27:30" x14ac:dyDescent="0.15">
      <c r="AA809"/>
      <c r="AB809"/>
      <c r="AC809" s="53"/>
      <c r="AD809" s="53"/>
    </row>
    <row r="810" spans="27:30" x14ac:dyDescent="0.15">
      <c r="AA810"/>
      <c r="AB810"/>
      <c r="AC810" s="53"/>
      <c r="AD810" s="53"/>
    </row>
    <row r="811" spans="27:30" x14ac:dyDescent="0.15">
      <c r="AA811"/>
      <c r="AB811"/>
      <c r="AC811" s="53"/>
      <c r="AD811" s="53"/>
    </row>
    <row r="812" spans="27:30" x14ac:dyDescent="0.15">
      <c r="AA812"/>
      <c r="AB812"/>
      <c r="AC812" s="53"/>
      <c r="AD812" s="53"/>
    </row>
    <row r="813" spans="27:30" x14ac:dyDescent="0.15">
      <c r="AA813"/>
      <c r="AB813"/>
      <c r="AC813" s="53"/>
      <c r="AD813" s="53"/>
    </row>
    <row r="814" spans="27:30" x14ac:dyDescent="0.15">
      <c r="AA814"/>
      <c r="AB814"/>
      <c r="AC814" s="53"/>
      <c r="AD814" s="53"/>
    </row>
    <row r="815" spans="27:30" x14ac:dyDescent="0.15">
      <c r="AA815"/>
      <c r="AB815"/>
      <c r="AC815" s="53"/>
      <c r="AD815" s="53"/>
    </row>
    <row r="816" spans="27:30" x14ac:dyDescent="0.15">
      <c r="AA816"/>
      <c r="AB816"/>
      <c r="AC816" s="53"/>
      <c r="AD816" s="53"/>
    </row>
    <row r="817" spans="27:30" x14ac:dyDescent="0.15">
      <c r="AA817"/>
      <c r="AB817"/>
      <c r="AC817" s="53"/>
      <c r="AD817" s="53"/>
    </row>
    <row r="818" spans="27:30" x14ac:dyDescent="0.15">
      <c r="AA818"/>
      <c r="AB818"/>
      <c r="AC818" s="53"/>
      <c r="AD818" s="53"/>
    </row>
    <row r="819" spans="27:30" x14ac:dyDescent="0.15">
      <c r="AA819"/>
      <c r="AB819"/>
      <c r="AC819" s="53"/>
      <c r="AD819" s="53"/>
    </row>
    <row r="820" spans="27:30" x14ac:dyDescent="0.15">
      <c r="AA820"/>
      <c r="AB820"/>
      <c r="AC820" s="53"/>
      <c r="AD820" s="53"/>
    </row>
    <row r="821" spans="27:30" x14ac:dyDescent="0.15">
      <c r="AA821"/>
      <c r="AB821"/>
      <c r="AC821" s="53"/>
      <c r="AD821" s="53"/>
    </row>
    <row r="822" spans="27:30" x14ac:dyDescent="0.15">
      <c r="AA822"/>
      <c r="AB822"/>
      <c r="AC822" s="53"/>
      <c r="AD822" s="53"/>
    </row>
    <row r="823" spans="27:30" x14ac:dyDescent="0.15">
      <c r="AA823"/>
      <c r="AB823"/>
      <c r="AC823" s="53"/>
      <c r="AD823" s="53"/>
    </row>
    <row r="824" spans="27:30" x14ac:dyDescent="0.15">
      <c r="AA824"/>
      <c r="AB824"/>
      <c r="AC824" s="53"/>
      <c r="AD824" s="53"/>
    </row>
    <row r="825" spans="27:30" x14ac:dyDescent="0.15">
      <c r="AA825"/>
      <c r="AB825"/>
      <c r="AC825" s="53"/>
      <c r="AD825" s="53"/>
    </row>
    <row r="826" spans="27:30" x14ac:dyDescent="0.15">
      <c r="AA826"/>
      <c r="AB826"/>
      <c r="AC826" s="53"/>
      <c r="AD826" s="53"/>
    </row>
    <row r="827" spans="27:30" x14ac:dyDescent="0.15">
      <c r="AA827"/>
      <c r="AB827"/>
      <c r="AC827" s="53"/>
      <c r="AD827" s="53"/>
    </row>
    <row r="828" spans="27:30" x14ac:dyDescent="0.15">
      <c r="AA828"/>
      <c r="AB828"/>
      <c r="AC828" s="53"/>
      <c r="AD828" s="53"/>
    </row>
    <row r="829" spans="27:30" x14ac:dyDescent="0.15">
      <c r="AA829"/>
      <c r="AB829"/>
      <c r="AC829" s="53"/>
      <c r="AD829" s="53"/>
    </row>
    <row r="830" spans="27:30" x14ac:dyDescent="0.15">
      <c r="AA830"/>
      <c r="AB830"/>
      <c r="AC830" s="53"/>
      <c r="AD830" s="53"/>
    </row>
    <row r="831" spans="27:30" x14ac:dyDescent="0.15">
      <c r="AA831"/>
      <c r="AB831"/>
      <c r="AC831" s="53"/>
      <c r="AD831" s="53"/>
    </row>
    <row r="832" spans="27:30" x14ac:dyDescent="0.15">
      <c r="AA832"/>
      <c r="AB832"/>
      <c r="AC832" s="53"/>
      <c r="AD832" s="53"/>
    </row>
    <row r="833" spans="27:30" x14ac:dyDescent="0.15">
      <c r="AA833"/>
      <c r="AB833"/>
      <c r="AC833" s="53"/>
      <c r="AD833" s="53"/>
    </row>
    <row r="834" spans="27:30" x14ac:dyDescent="0.15">
      <c r="AA834"/>
      <c r="AB834"/>
      <c r="AC834" s="53"/>
      <c r="AD834" s="53"/>
    </row>
    <row r="835" spans="27:30" x14ac:dyDescent="0.15">
      <c r="AA835"/>
      <c r="AB835"/>
      <c r="AC835" s="53"/>
      <c r="AD835" s="53"/>
    </row>
    <row r="836" spans="27:30" x14ac:dyDescent="0.15">
      <c r="AA836"/>
      <c r="AB836"/>
      <c r="AC836" s="53"/>
      <c r="AD836" s="53"/>
    </row>
    <row r="837" spans="27:30" x14ac:dyDescent="0.15">
      <c r="AA837"/>
      <c r="AB837"/>
      <c r="AC837" s="53"/>
      <c r="AD837" s="53"/>
    </row>
    <row r="838" spans="27:30" x14ac:dyDescent="0.15">
      <c r="AA838"/>
      <c r="AB838"/>
      <c r="AC838" s="53"/>
      <c r="AD838" s="53"/>
    </row>
    <row r="839" spans="27:30" x14ac:dyDescent="0.15">
      <c r="AA839"/>
      <c r="AB839"/>
      <c r="AC839" s="53"/>
      <c r="AD839" s="53"/>
    </row>
    <row r="840" spans="27:30" x14ac:dyDescent="0.15">
      <c r="AA840"/>
      <c r="AB840"/>
      <c r="AC840" s="53"/>
      <c r="AD840" s="53"/>
    </row>
    <row r="841" spans="27:30" x14ac:dyDescent="0.15">
      <c r="AA841"/>
      <c r="AB841"/>
      <c r="AC841" s="53"/>
      <c r="AD841" s="53"/>
    </row>
    <row r="842" spans="27:30" x14ac:dyDescent="0.15">
      <c r="AA842"/>
      <c r="AB842"/>
      <c r="AC842" s="53"/>
      <c r="AD842" s="53"/>
    </row>
    <row r="843" spans="27:30" x14ac:dyDescent="0.15">
      <c r="AA843"/>
      <c r="AB843"/>
      <c r="AC843" s="53"/>
      <c r="AD843" s="53"/>
    </row>
    <row r="844" spans="27:30" x14ac:dyDescent="0.15">
      <c r="AA844"/>
      <c r="AB844"/>
      <c r="AC844" s="53"/>
      <c r="AD844" s="53"/>
    </row>
    <row r="845" spans="27:30" x14ac:dyDescent="0.15">
      <c r="AA845"/>
      <c r="AB845"/>
      <c r="AC845" s="53"/>
      <c r="AD845" s="53"/>
    </row>
    <row r="846" spans="27:30" x14ac:dyDescent="0.15">
      <c r="AA846"/>
      <c r="AB846"/>
      <c r="AC846" s="53"/>
      <c r="AD846" s="53"/>
    </row>
    <row r="847" spans="27:30" x14ac:dyDescent="0.15">
      <c r="AA847"/>
      <c r="AB847"/>
      <c r="AC847" s="53"/>
      <c r="AD847" s="53"/>
    </row>
    <row r="848" spans="27:30" x14ac:dyDescent="0.15">
      <c r="AA848"/>
      <c r="AB848"/>
      <c r="AC848" s="53"/>
      <c r="AD848" s="53"/>
    </row>
    <row r="849" spans="27:30" x14ac:dyDescent="0.15">
      <c r="AA849"/>
      <c r="AB849"/>
      <c r="AC849" s="53"/>
      <c r="AD849" s="53"/>
    </row>
    <row r="850" spans="27:30" x14ac:dyDescent="0.15">
      <c r="AA850"/>
      <c r="AB850"/>
      <c r="AC850" s="53"/>
      <c r="AD850" s="53"/>
    </row>
    <row r="851" spans="27:30" x14ac:dyDescent="0.15">
      <c r="AA851"/>
      <c r="AB851"/>
      <c r="AC851" s="53"/>
      <c r="AD851" s="53"/>
    </row>
    <row r="852" spans="27:30" x14ac:dyDescent="0.15">
      <c r="AA852"/>
      <c r="AB852"/>
      <c r="AC852" s="53"/>
      <c r="AD852" s="53"/>
    </row>
    <row r="853" spans="27:30" x14ac:dyDescent="0.15">
      <c r="AA853"/>
      <c r="AB853"/>
      <c r="AC853" s="53"/>
      <c r="AD853" s="53"/>
    </row>
    <row r="854" spans="27:30" x14ac:dyDescent="0.15">
      <c r="AA854"/>
      <c r="AB854"/>
      <c r="AC854" s="53"/>
      <c r="AD854" s="53"/>
    </row>
    <row r="855" spans="27:30" x14ac:dyDescent="0.15">
      <c r="AA855"/>
      <c r="AB855"/>
      <c r="AC855" s="53"/>
      <c r="AD855" s="53"/>
    </row>
    <row r="856" spans="27:30" x14ac:dyDescent="0.15">
      <c r="AA856"/>
      <c r="AB856"/>
      <c r="AC856" s="53"/>
      <c r="AD856" s="53"/>
    </row>
    <row r="857" spans="27:30" x14ac:dyDescent="0.15">
      <c r="AA857"/>
      <c r="AB857"/>
      <c r="AC857" s="53"/>
      <c r="AD857" s="53"/>
    </row>
    <row r="858" spans="27:30" x14ac:dyDescent="0.15">
      <c r="AA858"/>
      <c r="AB858"/>
      <c r="AC858" s="53"/>
      <c r="AD858" s="53"/>
    </row>
    <row r="859" spans="27:30" x14ac:dyDescent="0.15">
      <c r="AA859"/>
      <c r="AB859"/>
      <c r="AC859" s="53"/>
      <c r="AD859" s="53"/>
    </row>
    <row r="860" spans="27:30" x14ac:dyDescent="0.15">
      <c r="AA860"/>
      <c r="AB860"/>
      <c r="AC860" s="53"/>
      <c r="AD860" s="53"/>
    </row>
    <row r="861" spans="27:30" x14ac:dyDescent="0.15">
      <c r="AA861"/>
      <c r="AB861"/>
      <c r="AC861" s="53"/>
      <c r="AD861" s="53"/>
    </row>
    <row r="862" spans="27:30" x14ac:dyDescent="0.15">
      <c r="AA862"/>
      <c r="AB862"/>
      <c r="AC862" s="53"/>
      <c r="AD862" s="53"/>
    </row>
    <row r="863" spans="27:30" x14ac:dyDescent="0.15">
      <c r="AA863"/>
      <c r="AB863"/>
      <c r="AC863" s="53"/>
      <c r="AD863" s="53"/>
    </row>
    <row r="864" spans="27:30" x14ac:dyDescent="0.15">
      <c r="AA864"/>
      <c r="AB864"/>
      <c r="AC864" s="53"/>
      <c r="AD864" s="53"/>
    </row>
    <row r="865" spans="27:30" x14ac:dyDescent="0.15">
      <c r="AA865"/>
      <c r="AB865"/>
      <c r="AC865" s="53"/>
      <c r="AD865" s="53"/>
    </row>
    <row r="866" spans="27:30" x14ac:dyDescent="0.15">
      <c r="AA866"/>
      <c r="AB866"/>
      <c r="AC866" s="53"/>
      <c r="AD866" s="53"/>
    </row>
    <row r="867" spans="27:30" x14ac:dyDescent="0.15">
      <c r="AA867"/>
      <c r="AB867"/>
      <c r="AC867" s="53"/>
      <c r="AD867" s="53"/>
    </row>
    <row r="868" spans="27:30" x14ac:dyDescent="0.15">
      <c r="AA868"/>
      <c r="AB868"/>
      <c r="AC868" s="53"/>
      <c r="AD868" s="53"/>
    </row>
    <row r="869" spans="27:30" x14ac:dyDescent="0.15">
      <c r="AA869"/>
      <c r="AB869"/>
      <c r="AC869" s="53"/>
      <c r="AD869" s="53"/>
    </row>
    <row r="870" spans="27:30" x14ac:dyDescent="0.15">
      <c r="AA870"/>
      <c r="AB870"/>
      <c r="AC870" s="53"/>
      <c r="AD870" s="53"/>
    </row>
    <row r="871" spans="27:30" x14ac:dyDescent="0.15">
      <c r="AA871"/>
      <c r="AB871"/>
      <c r="AC871" s="53"/>
      <c r="AD871" s="53"/>
    </row>
    <row r="872" spans="27:30" x14ac:dyDescent="0.15">
      <c r="AA872"/>
      <c r="AB872"/>
      <c r="AC872" s="53"/>
      <c r="AD872" s="53"/>
    </row>
    <row r="873" spans="27:30" x14ac:dyDescent="0.15">
      <c r="AA873"/>
      <c r="AB873"/>
      <c r="AC873" s="53"/>
      <c r="AD873" s="53"/>
    </row>
    <row r="874" spans="27:30" x14ac:dyDescent="0.15">
      <c r="AA874"/>
      <c r="AB874"/>
      <c r="AC874" s="53"/>
      <c r="AD874" s="53"/>
    </row>
    <row r="875" spans="27:30" x14ac:dyDescent="0.15">
      <c r="AA875"/>
      <c r="AB875"/>
      <c r="AC875" s="53"/>
      <c r="AD875" s="53"/>
    </row>
    <row r="876" spans="27:30" x14ac:dyDescent="0.15">
      <c r="AA876"/>
      <c r="AB876"/>
      <c r="AC876" s="53"/>
      <c r="AD876" s="53"/>
    </row>
    <row r="877" spans="27:30" x14ac:dyDescent="0.15">
      <c r="AA877"/>
      <c r="AB877"/>
      <c r="AC877" s="53"/>
      <c r="AD877" s="53"/>
    </row>
    <row r="878" spans="27:30" x14ac:dyDescent="0.15">
      <c r="AA878"/>
      <c r="AB878"/>
      <c r="AC878" s="53"/>
      <c r="AD878" s="53"/>
    </row>
    <row r="879" spans="27:30" x14ac:dyDescent="0.15">
      <c r="AA879"/>
      <c r="AB879"/>
      <c r="AC879" s="53"/>
      <c r="AD879" s="53"/>
    </row>
    <row r="880" spans="27:30" x14ac:dyDescent="0.15">
      <c r="AA880"/>
      <c r="AB880"/>
      <c r="AC880" s="53"/>
      <c r="AD880" s="53"/>
    </row>
    <row r="881" spans="27:30" x14ac:dyDescent="0.15">
      <c r="AA881"/>
      <c r="AB881"/>
      <c r="AC881" s="53"/>
      <c r="AD881" s="53"/>
    </row>
    <row r="882" spans="27:30" x14ac:dyDescent="0.15">
      <c r="AA882"/>
      <c r="AB882"/>
      <c r="AC882" s="53"/>
      <c r="AD882" s="53"/>
    </row>
    <row r="883" spans="27:30" x14ac:dyDescent="0.15">
      <c r="AA883"/>
      <c r="AB883"/>
      <c r="AC883" s="53"/>
      <c r="AD883" s="53"/>
    </row>
    <row r="884" spans="27:30" x14ac:dyDescent="0.15">
      <c r="AA884"/>
      <c r="AB884"/>
      <c r="AC884" s="53"/>
      <c r="AD884" s="53"/>
    </row>
    <row r="885" spans="27:30" x14ac:dyDescent="0.15">
      <c r="AA885"/>
      <c r="AB885"/>
      <c r="AC885" s="53"/>
      <c r="AD885" s="53"/>
    </row>
    <row r="886" spans="27:30" x14ac:dyDescent="0.15">
      <c r="AA886"/>
      <c r="AB886"/>
      <c r="AC886" s="53"/>
      <c r="AD886" s="53"/>
    </row>
    <row r="887" spans="27:30" x14ac:dyDescent="0.15">
      <c r="AA887"/>
      <c r="AB887"/>
      <c r="AC887" s="53"/>
      <c r="AD887" s="53"/>
    </row>
    <row r="888" spans="27:30" x14ac:dyDescent="0.15">
      <c r="AA888"/>
      <c r="AB888"/>
      <c r="AC888" s="53"/>
      <c r="AD888" s="53"/>
    </row>
    <row r="889" spans="27:30" x14ac:dyDescent="0.15">
      <c r="AA889"/>
      <c r="AB889"/>
      <c r="AC889" s="53"/>
      <c r="AD889" s="53"/>
    </row>
    <row r="890" spans="27:30" x14ac:dyDescent="0.15">
      <c r="AA890"/>
      <c r="AB890"/>
      <c r="AC890" s="53"/>
      <c r="AD890" s="53"/>
    </row>
    <row r="891" spans="27:30" x14ac:dyDescent="0.15">
      <c r="AA891"/>
      <c r="AB891"/>
      <c r="AC891" s="53"/>
      <c r="AD891" s="53"/>
    </row>
    <row r="892" spans="27:30" x14ac:dyDescent="0.15">
      <c r="AA892"/>
      <c r="AB892"/>
      <c r="AC892" s="53"/>
      <c r="AD892" s="53"/>
    </row>
    <row r="893" spans="27:30" x14ac:dyDescent="0.15">
      <c r="AA893"/>
      <c r="AB893"/>
      <c r="AC893" s="53"/>
      <c r="AD893" s="53"/>
    </row>
    <row r="894" spans="27:30" x14ac:dyDescent="0.15">
      <c r="AA894"/>
      <c r="AB894"/>
      <c r="AC894" s="53"/>
      <c r="AD894" s="53"/>
    </row>
    <row r="895" spans="27:30" x14ac:dyDescent="0.15">
      <c r="AA895"/>
      <c r="AB895"/>
      <c r="AC895" s="53"/>
      <c r="AD895" s="53"/>
    </row>
    <row r="896" spans="27:30" x14ac:dyDescent="0.15">
      <c r="AA896"/>
      <c r="AB896"/>
      <c r="AC896" s="53"/>
      <c r="AD896" s="53"/>
    </row>
    <row r="897" spans="27:30" x14ac:dyDescent="0.15">
      <c r="AA897"/>
      <c r="AB897"/>
      <c r="AC897" s="53"/>
      <c r="AD897" s="53"/>
    </row>
    <row r="898" spans="27:30" x14ac:dyDescent="0.15">
      <c r="AA898"/>
      <c r="AB898"/>
      <c r="AC898" s="53"/>
      <c r="AD898" s="53"/>
    </row>
    <row r="899" spans="27:30" x14ac:dyDescent="0.15">
      <c r="AA899"/>
      <c r="AB899"/>
      <c r="AC899" s="53"/>
      <c r="AD899" s="53"/>
    </row>
    <row r="900" spans="27:30" x14ac:dyDescent="0.15">
      <c r="AA900"/>
      <c r="AB900"/>
      <c r="AC900" s="53"/>
      <c r="AD900" s="53"/>
    </row>
    <row r="901" spans="27:30" x14ac:dyDescent="0.15">
      <c r="AA901"/>
      <c r="AB901"/>
      <c r="AC901" s="53"/>
      <c r="AD901" s="53"/>
    </row>
    <row r="902" spans="27:30" x14ac:dyDescent="0.15">
      <c r="AA902"/>
      <c r="AB902"/>
      <c r="AC902" s="53"/>
      <c r="AD902" s="53"/>
    </row>
    <row r="903" spans="27:30" x14ac:dyDescent="0.15">
      <c r="AA903"/>
      <c r="AB903"/>
      <c r="AC903" s="53"/>
      <c r="AD903" s="53"/>
    </row>
    <row r="904" spans="27:30" x14ac:dyDescent="0.15">
      <c r="AA904"/>
      <c r="AB904"/>
      <c r="AC904" s="53"/>
      <c r="AD904" s="53"/>
    </row>
    <row r="905" spans="27:30" x14ac:dyDescent="0.15">
      <c r="AA905"/>
      <c r="AB905"/>
      <c r="AC905" s="53"/>
      <c r="AD905" s="53"/>
    </row>
    <row r="906" spans="27:30" x14ac:dyDescent="0.15">
      <c r="AA906"/>
      <c r="AB906"/>
      <c r="AC906" s="53"/>
      <c r="AD906" s="53"/>
    </row>
    <row r="907" spans="27:30" x14ac:dyDescent="0.15">
      <c r="AA907"/>
      <c r="AB907"/>
      <c r="AC907" s="53"/>
      <c r="AD907" s="53"/>
    </row>
    <row r="908" spans="27:30" x14ac:dyDescent="0.15">
      <c r="AA908"/>
      <c r="AB908"/>
      <c r="AC908" s="53"/>
      <c r="AD908" s="53"/>
    </row>
    <row r="909" spans="27:30" x14ac:dyDescent="0.15">
      <c r="AA909"/>
      <c r="AB909"/>
      <c r="AC909" s="53"/>
      <c r="AD909" s="53"/>
    </row>
    <row r="910" spans="27:30" x14ac:dyDescent="0.15">
      <c r="AA910"/>
      <c r="AB910"/>
      <c r="AC910" s="53"/>
      <c r="AD910" s="53"/>
    </row>
    <row r="911" spans="27:30" x14ac:dyDescent="0.15">
      <c r="AA911"/>
      <c r="AB911"/>
      <c r="AC911" s="53"/>
      <c r="AD911" s="53"/>
    </row>
    <row r="912" spans="27:30" x14ac:dyDescent="0.15">
      <c r="AA912"/>
      <c r="AB912"/>
      <c r="AC912" s="53"/>
      <c r="AD912" s="53"/>
    </row>
    <row r="913" spans="27:30" x14ac:dyDescent="0.15">
      <c r="AA913"/>
      <c r="AB913"/>
      <c r="AC913" s="53"/>
      <c r="AD913" s="53"/>
    </row>
    <row r="914" spans="27:30" x14ac:dyDescent="0.15">
      <c r="AA914"/>
      <c r="AB914"/>
      <c r="AC914" s="53"/>
      <c r="AD914" s="53"/>
    </row>
    <row r="915" spans="27:30" x14ac:dyDescent="0.15">
      <c r="AA915"/>
      <c r="AB915"/>
      <c r="AC915" s="53"/>
      <c r="AD915" s="53"/>
    </row>
    <row r="916" spans="27:30" x14ac:dyDescent="0.15">
      <c r="AA916"/>
      <c r="AB916"/>
      <c r="AC916" s="53"/>
      <c r="AD916" s="53"/>
    </row>
    <row r="917" spans="27:30" x14ac:dyDescent="0.15">
      <c r="AA917"/>
      <c r="AB917"/>
      <c r="AC917" s="53"/>
      <c r="AD917" s="53"/>
    </row>
    <row r="918" spans="27:30" x14ac:dyDescent="0.15">
      <c r="AA918"/>
      <c r="AB918"/>
      <c r="AC918" s="53"/>
      <c r="AD918" s="53"/>
    </row>
    <row r="919" spans="27:30" x14ac:dyDescent="0.15">
      <c r="AA919"/>
      <c r="AB919"/>
      <c r="AC919" s="53"/>
      <c r="AD919" s="53"/>
    </row>
    <row r="920" spans="27:30" x14ac:dyDescent="0.15">
      <c r="AA920"/>
      <c r="AB920"/>
      <c r="AC920" s="53"/>
      <c r="AD920" s="53"/>
    </row>
    <row r="921" spans="27:30" x14ac:dyDescent="0.15">
      <c r="AA921"/>
      <c r="AB921"/>
      <c r="AC921" s="53"/>
      <c r="AD921" s="53"/>
    </row>
    <row r="922" spans="27:30" x14ac:dyDescent="0.15">
      <c r="AA922"/>
      <c r="AB922"/>
      <c r="AC922" s="53"/>
      <c r="AD922" s="53"/>
    </row>
    <row r="923" spans="27:30" x14ac:dyDescent="0.15">
      <c r="AA923"/>
      <c r="AB923"/>
      <c r="AC923" s="53"/>
      <c r="AD923" s="53"/>
    </row>
    <row r="924" spans="27:30" x14ac:dyDescent="0.15">
      <c r="AA924"/>
      <c r="AB924"/>
      <c r="AC924" s="53"/>
      <c r="AD924" s="53"/>
    </row>
    <row r="925" spans="27:30" x14ac:dyDescent="0.15">
      <c r="AA925"/>
      <c r="AB925"/>
      <c r="AC925" s="53"/>
      <c r="AD925" s="53"/>
    </row>
    <row r="926" spans="27:30" x14ac:dyDescent="0.15">
      <c r="AA926"/>
      <c r="AB926"/>
      <c r="AC926" s="53"/>
      <c r="AD926" s="53"/>
    </row>
    <row r="927" spans="27:30" x14ac:dyDescent="0.15">
      <c r="AA927"/>
      <c r="AB927"/>
      <c r="AC927" s="53"/>
      <c r="AD927" s="53"/>
    </row>
    <row r="928" spans="27:30" x14ac:dyDescent="0.15">
      <c r="AA928"/>
      <c r="AB928"/>
      <c r="AC928" s="53"/>
      <c r="AD928" s="53"/>
    </row>
    <row r="929" spans="27:30" x14ac:dyDescent="0.15">
      <c r="AA929"/>
      <c r="AB929"/>
      <c r="AC929" s="53"/>
      <c r="AD929" s="53"/>
    </row>
    <row r="930" spans="27:30" x14ac:dyDescent="0.15">
      <c r="AA930"/>
      <c r="AB930"/>
      <c r="AC930" s="53"/>
      <c r="AD930" s="53"/>
    </row>
    <row r="931" spans="27:30" x14ac:dyDescent="0.15">
      <c r="AA931"/>
      <c r="AB931"/>
      <c r="AC931" s="53"/>
      <c r="AD931" s="53"/>
    </row>
    <row r="932" spans="27:30" x14ac:dyDescent="0.15">
      <c r="AA932"/>
      <c r="AB932"/>
      <c r="AC932" s="53"/>
      <c r="AD932" s="53"/>
    </row>
    <row r="933" spans="27:30" x14ac:dyDescent="0.15">
      <c r="AA933"/>
      <c r="AB933"/>
      <c r="AC933" s="53"/>
      <c r="AD933" s="53"/>
    </row>
    <row r="934" spans="27:30" x14ac:dyDescent="0.15">
      <c r="AA934"/>
      <c r="AB934"/>
      <c r="AC934" s="53"/>
      <c r="AD934" s="53"/>
    </row>
    <row r="935" spans="27:30" x14ac:dyDescent="0.15">
      <c r="AA935"/>
      <c r="AB935"/>
      <c r="AC935" s="53"/>
      <c r="AD935" s="53"/>
    </row>
    <row r="936" spans="27:30" x14ac:dyDescent="0.15">
      <c r="AA936"/>
      <c r="AB936"/>
      <c r="AC936" s="53"/>
      <c r="AD936" s="53"/>
    </row>
    <row r="937" spans="27:30" x14ac:dyDescent="0.15">
      <c r="AA937"/>
      <c r="AB937"/>
      <c r="AC937" s="53"/>
      <c r="AD937" s="53"/>
    </row>
    <row r="938" spans="27:30" x14ac:dyDescent="0.15">
      <c r="AA938"/>
      <c r="AB938"/>
      <c r="AC938" s="53"/>
      <c r="AD938" s="53"/>
    </row>
    <row r="939" spans="27:30" x14ac:dyDescent="0.15">
      <c r="AA939"/>
      <c r="AB939"/>
      <c r="AC939" s="53"/>
      <c r="AD939" s="53"/>
    </row>
    <row r="940" spans="27:30" x14ac:dyDescent="0.15">
      <c r="AA940"/>
      <c r="AB940"/>
      <c r="AC940" s="53"/>
      <c r="AD940" s="53"/>
    </row>
    <row r="941" spans="27:30" x14ac:dyDescent="0.15">
      <c r="AA941"/>
      <c r="AB941"/>
      <c r="AC941" s="53"/>
      <c r="AD941" s="53"/>
    </row>
    <row r="942" spans="27:30" x14ac:dyDescent="0.15">
      <c r="AA942"/>
      <c r="AB942"/>
      <c r="AC942" s="53"/>
      <c r="AD942" s="53"/>
    </row>
    <row r="943" spans="27:30" x14ac:dyDescent="0.15">
      <c r="AA943"/>
      <c r="AB943"/>
      <c r="AC943" s="53"/>
      <c r="AD943" s="53"/>
    </row>
    <row r="944" spans="27:30" x14ac:dyDescent="0.15">
      <c r="AA944"/>
      <c r="AB944"/>
      <c r="AC944" s="53"/>
      <c r="AD944" s="53"/>
    </row>
    <row r="945" spans="27:30" x14ac:dyDescent="0.15">
      <c r="AA945"/>
      <c r="AB945"/>
      <c r="AC945" s="53"/>
      <c r="AD945" s="53"/>
    </row>
    <row r="946" spans="27:30" x14ac:dyDescent="0.15">
      <c r="AA946"/>
      <c r="AB946"/>
      <c r="AC946" s="53"/>
      <c r="AD946" s="53"/>
    </row>
    <row r="947" spans="27:30" x14ac:dyDescent="0.15">
      <c r="AA947"/>
      <c r="AB947"/>
      <c r="AC947" s="53"/>
      <c r="AD947" s="53"/>
    </row>
    <row r="948" spans="27:30" x14ac:dyDescent="0.15">
      <c r="AA948"/>
      <c r="AB948"/>
      <c r="AC948" s="53"/>
      <c r="AD948" s="53"/>
    </row>
    <row r="949" spans="27:30" x14ac:dyDescent="0.15">
      <c r="AA949"/>
      <c r="AB949"/>
      <c r="AC949" s="53"/>
      <c r="AD949" s="53"/>
    </row>
    <row r="950" spans="27:30" x14ac:dyDescent="0.15">
      <c r="AA950"/>
      <c r="AB950"/>
      <c r="AC950" s="53"/>
      <c r="AD950" s="53"/>
    </row>
    <row r="951" spans="27:30" x14ac:dyDescent="0.15">
      <c r="AA951"/>
      <c r="AB951"/>
      <c r="AC951" s="53"/>
      <c r="AD951" s="53"/>
    </row>
    <row r="952" spans="27:30" x14ac:dyDescent="0.15">
      <c r="AA952"/>
      <c r="AB952"/>
      <c r="AC952" s="53"/>
      <c r="AD952" s="53"/>
    </row>
    <row r="953" spans="27:30" x14ac:dyDescent="0.15">
      <c r="AA953"/>
      <c r="AB953"/>
      <c r="AC953" s="53"/>
      <c r="AD953" s="53"/>
    </row>
    <row r="954" spans="27:30" x14ac:dyDescent="0.15">
      <c r="AA954"/>
      <c r="AB954"/>
      <c r="AC954" s="53"/>
      <c r="AD954" s="53"/>
    </row>
    <row r="955" spans="27:30" x14ac:dyDescent="0.15">
      <c r="AA955"/>
      <c r="AB955"/>
      <c r="AC955" s="53"/>
      <c r="AD955" s="53"/>
    </row>
    <row r="956" spans="27:30" x14ac:dyDescent="0.15">
      <c r="AA956"/>
      <c r="AB956"/>
      <c r="AC956" s="53"/>
      <c r="AD956" s="53"/>
    </row>
    <row r="957" spans="27:30" x14ac:dyDescent="0.15">
      <c r="AA957"/>
      <c r="AB957"/>
      <c r="AC957" s="53"/>
      <c r="AD957" s="53"/>
    </row>
    <row r="958" spans="27:30" x14ac:dyDescent="0.15">
      <c r="AA958"/>
      <c r="AB958"/>
      <c r="AC958" s="53"/>
      <c r="AD958" s="53"/>
    </row>
    <row r="959" spans="27:30" x14ac:dyDescent="0.15">
      <c r="AA959"/>
      <c r="AB959"/>
      <c r="AC959" s="53"/>
      <c r="AD959" s="53"/>
    </row>
    <row r="960" spans="27:30" x14ac:dyDescent="0.15">
      <c r="AA960"/>
      <c r="AB960"/>
      <c r="AC960" s="53"/>
      <c r="AD960" s="53"/>
    </row>
    <row r="961" spans="27:30" x14ac:dyDescent="0.15">
      <c r="AA961"/>
      <c r="AB961"/>
      <c r="AC961" s="53"/>
      <c r="AD961" s="53"/>
    </row>
    <row r="962" spans="27:30" x14ac:dyDescent="0.15">
      <c r="AA962"/>
      <c r="AB962"/>
      <c r="AC962" s="53"/>
      <c r="AD962" s="53"/>
    </row>
    <row r="963" spans="27:30" x14ac:dyDescent="0.15">
      <c r="AA963"/>
      <c r="AB963"/>
      <c r="AC963" s="53"/>
      <c r="AD963" s="53"/>
    </row>
    <row r="964" spans="27:30" x14ac:dyDescent="0.15">
      <c r="AA964"/>
      <c r="AB964"/>
      <c r="AC964" s="53"/>
      <c r="AD964" s="53"/>
    </row>
    <row r="965" spans="27:30" x14ac:dyDescent="0.15">
      <c r="AA965"/>
      <c r="AB965"/>
      <c r="AC965" s="53"/>
      <c r="AD965" s="53"/>
    </row>
    <row r="966" spans="27:30" x14ac:dyDescent="0.15">
      <c r="AA966"/>
      <c r="AB966"/>
      <c r="AC966" s="53"/>
      <c r="AD966" s="53"/>
    </row>
    <row r="967" spans="27:30" x14ac:dyDescent="0.15">
      <c r="AA967"/>
      <c r="AB967"/>
      <c r="AC967" s="53"/>
      <c r="AD967" s="53"/>
    </row>
    <row r="968" spans="27:30" x14ac:dyDescent="0.15">
      <c r="AA968"/>
      <c r="AB968"/>
      <c r="AC968" s="53"/>
      <c r="AD968" s="53"/>
    </row>
    <row r="969" spans="27:30" x14ac:dyDescent="0.15">
      <c r="AA969"/>
      <c r="AB969"/>
      <c r="AC969" s="53"/>
      <c r="AD969" s="53"/>
    </row>
    <row r="970" spans="27:30" x14ac:dyDescent="0.15">
      <c r="AA970"/>
      <c r="AB970"/>
      <c r="AC970" s="53"/>
      <c r="AD970" s="53"/>
    </row>
    <row r="971" spans="27:30" x14ac:dyDescent="0.15">
      <c r="AA971"/>
      <c r="AB971"/>
      <c r="AC971" s="53"/>
      <c r="AD971" s="53"/>
    </row>
    <row r="972" spans="27:30" x14ac:dyDescent="0.15">
      <c r="AA972"/>
      <c r="AB972"/>
      <c r="AC972" s="53"/>
      <c r="AD972" s="53"/>
    </row>
    <row r="973" spans="27:30" x14ac:dyDescent="0.15">
      <c r="AA973"/>
      <c r="AB973"/>
      <c r="AC973" s="53"/>
      <c r="AD973" s="53"/>
    </row>
    <row r="974" spans="27:30" x14ac:dyDescent="0.15">
      <c r="AA974"/>
      <c r="AB974"/>
      <c r="AC974" s="53"/>
      <c r="AD974" s="53"/>
    </row>
    <row r="975" spans="27:30" x14ac:dyDescent="0.15">
      <c r="AA975"/>
      <c r="AB975"/>
      <c r="AC975" s="53"/>
      <c r="AD975" s="53"/>
    </row>
    <row r="976" spans="27:30" x14ac:dyDescent="0.15">
      <c r="AA976"/>
      <c r="AB976"/>
      <c r="AC976" s="53"/>
      <c r="AD976" s="53"/>
    </row>
    <row r="977" spans="27:30" x14ac:dyDescent="0.15">
      <c r="AA977"/>
      <c r="AB977"/>
      <c r="AC977" s="53"/>
      <c r="AD977" s="53"/>
    </row>
    <row r="978" spans="27:30" x14ac:dyDescent="0.15">
      <c r="AA978"/>
      <c r="AB978"/>
      <c r="AC978" s="53"/>
      <c r="AD978" s="53"/>
    </row>
    <row r="979" spans="27:30" x14ac:dyDescent="0.15">
      <c r="AA979"/>
      <c r="AB979"/>
      <c r="AC979" s="53"/>
      <c r="AD979" s="53"/>
    </row>
    <row r="980" spans="27:30" x14ac:dyDescent="0.15">
      <c r="AA980"/>
      <c r="AB980"/>
      <c r="AC980" s="53"/>
      <c r="AD980" s="53"/>
    </row>
    <row r="981" spans="27:30" x14ac:dyDescent="0.15">
      <c r="AA981"/>
      <c r="AB981"/>
      <c r="AC981" s="53"/>
      <c r="AD981" s="53"/>
    </row>
    <row r="982" spans="27:30" x14ac:dyDescent="0.15">
      <c r="AA982"/>
      <c r="AB982"/>
      <c r="AC982" s="53"/>
      <c r="AD982" s="53"/>
    </row>
    <row r="983" spans="27:30" x14ac:dyDescent="0.15">
      <c r="AA983"/>
      <c r="AB983"/>
      <c r="AC983" s="53"/>
      <c r="AD983" s="53"/>
    </row>
    <row r="984" spans="27:30" x14ac:dyDescent="0.15">
      <c r="AA984"/>
      <c r="AB984"/>
      <c r="AC984" s="53"/>
      <c r="AD984" s="53"/>
    </row>
    <row r="985" spans="27:30" x14ac:dyDescent="0.15">
      <c r="AA985"/>
      <c r="AB985"/>
      <c r="AC985" s="53"/>
      <c r="AD985" s="53"/>
    </row>
    <row r="986" spans="27:30" x14ac:dyDescent="0.15">
      <c r="AA986"/>
      <c r="AB986"/>
      <c r="AC986" s="53"/>
      <c r="AD986" s="53"/>
    </row>
    <row r="987" spans="27:30" x14ac:dyDescent="0.15">
      <c r="AA987"/>
      <c r="AB987"/>
      <c r="AC987" s="53"/>
      <c r="AD987" s="53"/>
    </row>
    <row r="988" spans="27:30" x14ac:dyDescent="0.15">
      <c r="AA988"/>
      <c r="AB988"/>
      <c r="AC988" s="53"/>
      <c r="AD988" s="53"/>
    </row>
    <row r="989" spans="27:30" x14ac:dyDescent="0.15">
      <c r="AA989"/>
      <c r="AB989"/>
      <c r="AC989" s="53"/>
      <c r="AD989" s="53"/>
    </row>
    <row r="990" spans="27:30" x14ac:dyDescent="0.15">
      <c r="AA990"/>
      <c r="AB990"/>
      <c r="AC990" s="53"/>
      <c r="AD990" s="53"/>
    </row>
    <row r="991" spans="27:30" x14ac:dyDescent="0.15">
      <c r="AA991"/>
      <c r="AB991"/>
      <c r="AC991" s="53"/>
      <c r="AD991" s="53"/>
    </row>
    <row r="992" spans="27:30" x14ac:dyDescent="0.15">
      <c r="AA992"/>
      <c r="AB992"/>
      <c r="AC992" s="53"/>
      <c r="AD992" s="53"/>
    </row>
    <row r="993" spans="27:30" x14ac:dyDescent="0.15">
      <c r="AA993"/>
      <c r="AB993"/>
      <c r="AC993" s="53"/>
      <c r="AD993" s="53"/>
    </row>
    <row r="994" spans="27:30" x14ac:dyDescent="0.15">
      <c r="AA994"/>
      <c r="AB994"/>
      <c r="AC994" s="53"/>
      <c r="AD994" s="53"/>
    </row>
    <row r="995" spans="27:30" x14ac:dyDescent="0.15">
      <c r="AA995"/>
      <c r="AB995"/>
      <c r="AC995" s="53"/>
      <c r="AD995" s="53"/>
    </row>
    <row r="996" spans="27:30" x14ac:dyDescent="0.15">
      <c r="AA996"/>
      <c r="AB996"/>
      <c r="AC996" s="53"/>
      <c r="AD996" s="53"/>
    </row>
    <row r="997" spans="27:30" x14ac:dyDescent="0.15">
      <c r="AA997"/>
      <c r="AB997"/>
      <c r="AC997" s="53"/>
      <c r="AD997" s="53"/>
    </row>
    <row r="998" spans="27:30" x14ac:dyDescent="0.15">
      <c r="AA998"/>
      <c r="AB998"/>
      <c r="AC998" s="53"/>
      <c r="AD998" s="53"/>
    </row>
    <row r="999" spans="27:30" x14ac:dyDescent="0.15">
      <c r="AA999"/>
      <c r="AB999"/>
      <c r="AC999" s="53"/>
      <c r="AD999" s="53"/>
    </row>
    <row r="1000" spans="27:30" x14ac:dyDescent="0.15">
      <c r="AA1000"/>
      <c r="AB1000"/>
      <c r="AC1000" s="53"/>
      <c r="AD1000" s="53"/>
    </row>
    <row r="1001" spans="27:30" x14ac:dyDescent="0.15">
      <c r="AA1001"/>
      <c r="AB1001"/>
      <c r="AC1001" s="53"/>
      <c r="AD1001" s="53"/>
    </row>
    <row r="1002" spans="27:30" x14ac:dyDescent="0.15">
      <c r="AA1002"/>
      <c r="AB1002"/>
      <c r="AC1002" s="53"/>
      <c r="AD1002" s="53"/>
    </row>
    <row r="1003" spans="27:30" x14ac:dyDescent="0.15">
      <c r="AA1003"/>
      <c r="AB1003"/>
      <c r="AC1003" s="53"/>
      <c r="AD1003" s="53"/>
    </row>
    <row r="1004" spans="27:30" x14ac:dyDescent="0.15">
      <c r="AA1004"/>
      <c r="AB1004"/>
      <c r="AC1004" s="53"/>
      <c r="AD1004" s="53"/>
    </row>
    <row r="1005" spans="27:30" x14ac:dyDescent="0.15">
      <c r="AA1005"/>
      <c r="AB1005"/>
      <c r="AC1005" s="53"/>
      <c r="AD1005" s="53"/>
    </row>
    <row r="1006" spans="27:30" x14ac:dyDescent="0.15">
      <c r="AA1006"/>
      <c r="AB1006"/>
      <c r="AC1006" s="53"/>
      <c r="AD1006" s="53"/>
    </row>
    <row r="1007" spans="27:30" x14ac:dyDescent="0.15">
      <c r="AA1007"/>
      <c r="AB1007"/>
      <c r="AC1007" s="53"/>
      <c r="AD1007" s="53"/>
    </row>
  </sheetData>
  <sortState xmlns:xlrd2="http://schemas.microsoft.com/office/spreadsheetml/2017/richdata2" ref="A3:AD1008">
    <sortCondition ref="C3:C1008"/>
  </sortState>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5"/>
  <sheetViews>
    <sheetView topLeftCell="A16" workbookViewId="0">
      <selection activeCell="G5" sqref="G5"/>
    </sheetView>
  </sheetViews>
  <sheetFormatPr baseColWidth="10" defaultRowHeight="13" x14ac:dyDescent="0.15"/>
  <cols>
    <col min="8" max="13" width="10.83203125" style="1"/>
    <col min="17" max="17" width="11.6640625" bestFit="1" customWidth="1"/>
  </cols>
  <sheetData>
    <row r="1" spans="1:17" ht="16" x14ac:dyDescent="0.2">
      <c r="A1" s="23" t="s">
        <v>19222</v>
      </c>
      <c r="B1" s="23" t="s">
        <v>19217</v>
      </c>
      <c r="C1" s="23" t="s">
        <v>27782</v>
      </c>
      <c r="D1" s="23" t="s">
        <v>27783</v>
      </c>
      <c r="E1" s="23" t="s">
        <v>27784</v>
      </c>
      <c r="F1" s="23" t="s">
        <v>18660</v>
      </c>
      <c r="G1" s="23" t="s">
        <v>27785</v>
      </c>
      <c r="H1" s="23" t="s">
        <v>36356</v>
      </c>
      <c r="I1" s="48" t="s">
        <v>36357</v>
      </c>
      <c r="J1" s="48" t="s">
        <v>36358</v>
      </c>
      <c r="K1" s="48" t="s">
        <v>36359</v>
      </c>
      <c r="L1" s="48" t="s">
        <v>36360</v>
      </c>
      <c r="M1" s="48" t="s">
        <v>36361</v>
      </c>
      <c r="N1" s="23" t="s">
        <v>27786</v>
      </c>
      <c r="O1" s="23" t="s">
        <v>27787</v>
      </c>
      <c r="P1" s="23" t="s">
        <v>27788</v>
      </c>
      <c r="Q1" s="49" t="s">
        <v>42949</v>
      </c>
    </row>
    <row r="2" spans="1:17" ht="16" x14ac:dyDescent="0.2">
      <c r="A2" s="24" t="s">
        <v>19240</v>
      </c>
      <c r="B2" s="24">
        <v>4779736</v>
      </c>
      <c r="C2" s="24">
        <v>1251311</v>
      </c>
      <c r="D2" s="25">
        <f t="shared" ref="D2:D33" si="0">C2/B2</f>
        <v>0.2617950029039261</v>
      </c>
      <c r="E2" s="26">
        <f t="shared" ref="E2:E33" si="1">G2/N2</f>
        <v>0.37681159420289856</v>
      </c>
      <c r="F2" s="26">
        <f t="shared" ref="F2:F33" si="2">E2-D2</f>
        <v>0.11501659129897246</v>
      </c>
      <c r="G2" s="93">
        <v>52</v>
      </c>
      <c r="J2" s="93">
        <v>1</v>
      </c>
      <c r="L2" s="93">
        <v>73</v>
      </c>
      <c r="M2" s="93">
        <v>12</v>
      </c>
      <c r="N2" s="27">
        <f t="shared" ref="N2:N33" si="3">G2+H2+I2+J2+K2+L2+M2</f>
        <v>138</v>
      </c>
      <c r="O2" s="28">
        <f>G2/C2*(1000000/7)</f>
        <v>5.9366308044694156</v>
      </c>
      <c r="P2" s="28">
        <f>(N2/B2)*(1000000/7)</f>
        <v>4.1245553549998819</v>
      </c>
      <c r="Q2" s="53">
        <f t="shared" ref="Q2:Q52" si="4">O2/P2</f>
        <v>1.4393383755349274</v>
      </c>
    </row>
    <row r="3" spans="1:17" ht="16" x14ac:dyDescent="0.2">
      <c r="A3" s="24" t="s">
        <v>19233</v>
      </c>
      <c r="B3" s="24">
        <v>710231</v>
      </c>
      <c r="C3" s="24">
        <v>23263</v>
      </c>
      <c r="D3" s="25">
        <f t="shared" si="0"/>
        <v>3.2754132106314705E-2</v>
      </c>
      <c r="E3" s="26">
        <f t="shared" si="1"/>
        <v>0.12195121951219512</v>
      </c>
      <c r="F3" s="26">
        <f t="shared" si="2"/>
        <v>8.9197087405880421E-2</v>
      </c>
      <c r="G3" s="93">
        <v>5</v>
      </c>
      <c r="H3" s="93">
        <v>1</v>
      </c>
      <c r="I3" s="93">
        <v>12</v>
      </c>
      <c r="L3" s="93">
        <v>15</v>
      </c>
      <c r="M3" s="93">
        <v>8</v>
      </c>
      <c r="N3" s="27">
        <f t="shared" si="3"/>
        <v>41</v>
      </c>
      <c r="O3" s="28">
        <f t="shared" ref="O3:O52" si="5">G3/C3*(1000000/7)</f>
        <v>30.704797931724812</v>
      </c>
      <c r="P3" s="28">
        <f t="shared" ref="P3:P52" si="6">(N3/B3)*(1000000/7)</f>
        <v>8.2468138635779873</v>
      </c>
      <c r="Q3" s="53">
        <f t="shared" si="4"/>
        <v>3.7232315946079977</v>
      </c>
    </row>
    <row r="4" spans="1:17" ht="16" x14ac:dyDescent="0.2">
      <c r="A4" s="24" t="s">
        <v>18664</v>
      </c>
      <c r="B4" s="24">
        <v>6392017</v>
      </c>
      <c r="C4" s="24">
        <v>259008</v>
      </c>
      <c r="D4" s="25">
        <f t="shared" si="0"/>
        <v>4.052054304611518E-2</v>
      </c>
      <c r="E4" s="26">
        <f t="shared" si="1"/>
        <v>9.0379008746355682E-2</v>
      </c>
      <c r="F4" s="26">
        <f t="shared" si="2"/>
        <v>4.9858465700240502E-2</v>
      </c>
      <c r="G4" s="93">
        <v>31</v>
      </c>
      <c r="H4" s="93">
        <v>114</v>
      </c>
      <c r="I4" s="93">
        <v>14</v>
      </c>
      <c r="L4" s="93">
        <v>141</v>
      </c>
      <c r="M4" s="93">
        <v>43</v>
      </c>
      <c r="N4" s="27">
        <f t="shared" si="3"/>
        <v>343</v>
      </c>
      <c r="O4" s="28">
        <f t="shared" si="5"/>
        <v>17.098203254615413</v>
      </c>
      <c r="P4" s="28">
        <f t="shared" si="6"/>
        <v>7.6658119025653413</v>
      </c>
      <c r="Q4" s="53">
        <f t="shared" si="4"/>
        <v>2.2304490994481028</v>
      </c>
    </row>
    <row r="5" spans="1:17" ht="16" x14ac:dyDescent="0.2">
      <c r="A5" s="24" t="s">
        <v>27789</v>
      </c>
      <c r="B5" s="24">
        <v>2915918</v>
      </c>
      <c r="C5" s="24">
        <v>449895</v>
      </c>
      <c r="D5" s="25">
        <f t="shared" si="0"/>
        <v>0.15428931814955016</v>
      </c>
      <c r="E5" s="26">
        <f t="shared" si="1"/>
        <v>0.27184466019417475</v>
      </c>
      <c r="F5" s="26">
        <f t="shared" si="2"/>
        <v>0.11755534204462459</v>
      </c>
      <c r="G5" s="93">
        <v>28</v>
      </c>
      <c r="H5" s="93">
        <v>3</v>
      </c>
      <c r="J5" s="93">
        <v>1</v>
      </c>
      <c r="L5" s="93">
        <v>59</v>
      </c>
      <c r="M5" s="93">
        <v>12</v>
      </c>
      <c r="N5" s="27">
        <f t="shared" si="3"/>
        <v>103</v>
      </c>
      <c r="O5" s="28">
        <f t="shared" si="5"/>
        <v>8.8909634470265289</v>
      </c>
      <c r="P5" s="28">
        <f t="shared" si="6"/>
        <v>5.0461932449011648</v>
      </c>
      <c r="Q5" s="53">
        <f t="shared" si="4"/>
        <v>1.7619149754144361</v>
      </c>
    </row>
    <row r="6" spans="1:17" ht="16" x14ac:dyDescent="0.2">
      <c r="A6" s="24" t="s">
        <v>18661</v>
      </c>
      <c r="B6" s="24">
        <v>37253956</v>
      </c>
      <c r="C6" s="24">
        <v>2299072</v>
      </c>
      <c r="D6" s="25">
        <f t="shared" si="0"/>
        <v>6.1713499634777041E-2</v>
      </c>
      <c r="E6" s="26">
        <f t="shared" si="1"/>
        <v>0.15682967959527824</v>
      </c>
      <c r="F6" s="26">
        <f t="shared" si="2"/>
        <v>9.5116179960501201E-2</v>
      </c>
      <c r="G6" s="93">
        <v>186</v>
      </c>
      <c r="H6" s="93">
        <v>489</v>
      </c>
      <c r="I6" s="93">
        <v>7</v>
      </c>
      <c r="J6" s="93">
        <v>44</v>
      </c>
      <c r="K6" s="93">
        <v>9</v>
      </c>
      <c r="L6" s="93">
        <v>333</v>
      </c>
      <c r="M6" s="93">
        <v>118</v>
      </c>
      <c r="N6" s="27">
        <f t="shared" si="3"/>
        <v>1186</v>
      </c>
      <c r="O6" s="28">
        <f t="shared" si="5"/>
        <v>11.557458214196238</v>
      </c>
      <c r="P6" s="28">
        <f t="shared" si="6"/>
        <v>4.5479350281234954</v>
      </c>
      <c r="Q6" s="53">
        <f t="shared" si="4"/>
        <v>2.5412540290763372</v>
      </c>
    </row>
    <row r="7" spans="1:17" ht="16" x14ac:dyDescent="0.2">
      <c r="A7" s="24" t="s">
        <v>18665</v>
      </c>
      <c r="B7" s="24">
        <v>5029196</v>
      </c>
      <c r="C7" s="24">
        <v>201737</v>
      </c>
      <c r="D7" s="25">
        <f t="shared" si="0"/>
        <v>4.0113171170898888E-2</v>
      </c>
      <c r="E7" s="26">
        <f t="shared" si="1"/>
        <v>9.2511013215859028E-2</v>
      </c>
      <c r="F7" s="26">
        <f t="shared" si="2"/>
        <v>5.239784204496014E-2</v>
      </c>
      <c r="G7" s="93">
        <v>21</v>
      </c>
      <c r="H7" s="93">
        <v>67</v>
      </c>
      <c r="I7" s="93">
        <v>5</v>
      </c>
      <c r="J7" s="93">
        <v>4</v>
      </c>
      <c r="L7" s="93">
        <v>97</v>
      </c>
      <c r="M7" s="93">
        <v>33</v>
      </c>
      <c r="N7" s="27">
        <f t="shared" si="3"/>
        <v>227</v>
      </c>
      <c r="O7" s="28">
        <f t="shared" si="5"/>
        <v>14.870846696441408</v>
      </c>
      <c r="P7" s="28">
        <f t="shared" si="6"/>
        <v>6.44806275765976</v>
      </c>
      <c r="Q7" s="53">
        <f t="shared" si="4"/>
        <v>2.3062503042136311</v>
      </c>
    </row>
    <row r="8" spans="1:17" ht="16" x14ac:dyDescent="0.2">
      <c r="A8" s="24" t="s">
        <v>27790</v>
      </c>
      <c r="B8" s="24">
        <v>3574097</v>
      </c>
      <c r="C8" s="24">
        <v>362296</v>
      </c>
      <c r="D8" s="25">
        <f t="shared" si="0"/>
        <v>0.10136714252579043</v>
      </c>
      <c r="E8" s="26">
        <f t="shared" si="1"/>
        <v>0.19444444444444445</v>
      </c>
      <c r="F8" s="26">
        <f t="shared" si="2"/>
        <v>9.3077301918654015E-2</v>
      </c>
      <c r="G8" s="93">
        <v>7</v>
      </c>
      <c r="H8" s="93">
        <v>6</v>
      </c>
      <c r="J8" s="93">
        <v>1</v>
      </c>
      <c r="L8" s="93">
        <v>19</v>
      </c>
      <c r="M8" s="93">
        <v>3</v>
      </c>
      <c r="N8" s="27">
        <f t="shared" si="3"/>
        <v>36</v>
      </c>
      <c r="O8" s="28">
        <f t="shared" si="5"/>
        <v>2.7601740013690463</v>
      </c>
      <c r="P8" s="28">
        <f t="shared" si="6"/>
        <v>1.4389248928770382</v>
      </c>
      <c r="Q8" s="53">
        <f t="shared" si="4"/>
        <v>1.9182196478999367</v>
      </c>
    </row>
    <row r="9" spans="1:17" ht="16" x14ac:dyDescent="0.2">
      <c r="A9" s="24" t="s">
        <v>850</v>
      </c>
      <c r="B9" s="24">
        <v>897934</v>
      </c>
      <c r="C9" s="24">
        <v>191814</v>
      </c>
      <c r="D9" s="25">
        <f t="shared" si="0"/>
        <v>0.2136170364414311</v>
      </c>
      <c r="E9" s="26">
        <f t="shared" si="1"/>
        <v>0.45</v>
      </c>
      <c r="F9" s="26">
        <f t="shared" si="2"/>
        <v>0.23638296355856891</v>
      </c>
      <c r="G9" s="93">
        <v>9</v>
      </c>
      <c r="L9" s="93">
        <v>8</v>
      </c>
      <c r="M9" s="93">
        <v>3</v>
      </c>
      <c r="N9" s="27">
        <f t="shared" si="3"/>
        <v>20</v>
      </c>
      <c r="O9" s="28">
        <f t="shared" si="5"/>
        <v>6.7029220271423657</v>
      </c>
      <c r="P9" s="28">
        <f t="shared" si="6"/>
        <v>3.1819074198580934</v>
      </c>
      <c r="Q9" s="53">
        <f t="shared" si="4"/>
        <v>2.1065735556320186</v>
      </c>
    </row>
    <row r="10" spans="1:17" ht="16" x14ac:dyDescent="0.2">
      <c r="A10" s="24" t="s">
        <v>3359</v>
      </c>
      <c r="B10" s="24">
        <v>601723</v>
      </c>
      <c r="C10" s="24">
        <v>300000</v>
      </c>
      <c r="D10" s="25">
        <f>C10/B10</f>
        <v>0.49856827809473797</v>
      </c>
      <c r="E10" s="26">
        <f>G10/N10</f>
        <v>0.88461538461538458</v>
      </c>
      <c r="F10" s="26">
        <f>E10-D10</f>
        <v>0.38604710652064661</v>
      </c>
      <c r="G10" s="93">
        <v>23</v>
      </c>
      <c r="L10" s="93">
        <v>1</v>
      </c>
      <c r="M10" s="93">
        <v>2</v>
      </c>
      <c r="N10" s="27">
        <f>G10+H10+I10+J10+K10+L10+M10</f>
        <v>26</v>
      </c>
      <c r="O10" s="28">
        <f t="shared" si="5"/>
        <v>10.952380952380954</v>
      </c>
      <c r="P10" s="28">
        <f t="shared" si="6"/>
        <v>6.1727501097443751</v>
      </c>
      <c r="Q10" s="53">
        <f t="shared" si="4"/>
        <v>1.7743114102564104</v>
      </c>
    </row>
    <row r="11" spans="1:17" ht="16" x14ac:dyDescent="0.2">
      <c r="A11" s="24" t="s">
        <v>18667</v>
      </c>
      <c r="B11" s="24">
        <v>18801310</v>
      </c>
      <c r="C11" s="24">
        <v>2999862</v>
      </c>
      <c r="D11" s="25">
        <f t="shared" si="0"/>
        <v>0.15955600966102895</v>
      </c>
      <c r="E11" s="26">
        <f t="shared" si="1"/>
        <v>0.31296296296296294</v>
      </c>
      <c r="F11" s="26">
        <f t="shared" si="2"/>
        <v>0.15340695330193399</v>
      </c>
      <c r="G11" s="93">
        <v>169</v>
      </c>
      <c r="H11" s="93">
        <v>76</v>
      </c>
      <c r="J11" s="93">
        <v>6</v>
      </c>
      <c r="L11" s="93">
        <v>242</v>
      </c>
      <c r="M11" s="93">
        <v>47</v>
      </c>
      <c r="N11" s="27">
        <f t="shared" si="3"/>
        <v>540</v>
      </c>
      <c r="O11" s="28">
        <f t="shared" si="5"/>
        <v>8.0479892551247847</v>
      </c>
      <c r="P11" s="28">
        <f t="shared" si="6"/>
        <v>4.1030575605028137</v>
      </c>
      <c r="Q11" s="53">
        <f t="shared" si="4"/>
        <v>1.9614614556220202</v>
      </c>
    </row>
    <row r="12" spans="1:17" ht="16" x14ac:dyDescent="0.2">
      <c r="A12" s="24" t="s">
        <v>18669</v>
      </c>
      <c r="B12" s="24">
        <v>9687653</v>
      </c>
      <c r="C12" s="24">
        <v>3150435</v>
      </c>
      <c r="D12" s="25">
        <f t="shared" si="0"/>
        <v>0.32520105746975042</v>
      </c>
      <c r="E12" s="26">
        <f t="shared" si="1"/>
        <v>0.36981132075471695</v>
      </c>
      <c r="F12" s="26">
        <f t="shared" si="2"/>
        <v>4.4610263284966534E-2</v>
      </c>
      <c r="G12" s="93">
        <v>98</v>
      </c>
      <c r="H12" s="93">
        <v>13</v>
      </c>
      <c r="J12" s="93">
        <v>3</v>
      </c>
      <c r="L12" s="93">
        <v>109</v>
      </c>
      <c r="M12" s="93">
        <v>42</v>
      </c>
      <c r="N12" s="27">
        <f t="shared" si="3"/>
        <v>265</v>
      </c>
      <c r="O12" s="28">
        <f t="shared" si="5"/>
        <v>4.4438307725758515</v>
      </c>
      <c r="P12" s="28">
        <f t="shared" si="6"/>
        <v>3.9077723837902596</v>
      </c>
      <c r="Q12" s="53">
        <f t="shared" si="4"/>
        <v>1.137177485313424</v>
      </c>
    </row>
    <row r="13" spans="1:17" ht="16" x14ac:dyDescent="0.2">
      <c r="A13" s="24" t="s">
        <v>3619</v>
      </c>
      <c r="B13" s="24">
        <v>1360301</v>
      </c>
      <c r="C13" s="24">
        <v>21424</v>
      </c>
      <c r="D13" s="25">
        <f t="shared" si="0"/>
        <v>1.5749455451403771E-2</v>
      </c>
      <c r="E13" s="26">
        <f t="shared" si="1"/>
        <v>2.7027027027027029E-2</v>
      </c>
      <c r="F13" s="26">
        <f t="shared" si="2"/>
        <v>1.1277571575623258E-2</v>
      </c>
      <c r="G13" s="93">
        <v>1</v>
      </c>
      <c r="H13" s="93">
        <v>4</v>
      </c>
      <c r="J13" s="93">
        <v>2</v>
      </c>
      <c r="K13" s="93">
        <v>22</v>
      </c>
      <c r="L13" s="93">
        <v>5</v>
      </c>
      <c r="M13" s="93">
        <v>3</v>
      </c>
      <c r="N13" s="27">
        <f t="shared" si="3"/>
        <v>37</v>
      </c>
      <c r="O13" s="28">
        <f t="shared" si="5"/>
        <v>6.6680891923610384</v>
      </c>
      <c r="P13" s="28">
        <f t="shared" si="6"/>
        <v>3.8856946261998528</v>
      </c>
      <c r="Q13" s="53">
        <f t="shared" si="4"/>
        <v>1.7160610479785239</v>
      </c>
    </row>
    <row r="14" spans="1:17" ht="16" x14ac:dyDescent="0.2">
      <c r="A14" s="24" t="s">
        <v>27791</v>
      </c>
      <c r="B14" s="24">
        <v>1567582</v>
      </c>
      <c r="C14" s="24">
        <v>9810</v>
      </c>
      <c r="D14" s="25">
        <f t="shared" si="0"/>
        <v>6.2580458310952788E-3</v>
      </c>
      <c r="E14" s="26">
        <f t="shared" si="1"/>
        <v>2.0833333333333332E-2</v>
      </c>
      <c r="F14" s="26">
        <f t="shared" si="2"/>
        <v>1.4575287502238053E-2</v>
      </c>
      <c r="G14" s="93">
        <v>1</v>
      </c>
      <c r="H14" s="93">
        <v>6</v>
      </c>
      <c r="I14" s="93">
        <v>2</v>
      </c>
      <c r="L14" s="93">
        <v>36</v>
      </c>
      <c r="M14" s="93">
        <v>3</v>
      </c>
      <c r="N14" s="27">
        <f t="shared" si="3"/>
        <v>48</v>
      </c>
      <c r="O14" s="28">
        <f t="shared" si="5"/>
        <v>14.562399883500802</v>
      </c>
      <c r="P14" s="28">
        <f t="shared" si="6"/>
        <v>4.3743439623208591</v>
      </c>
      <c r="Q14" s="53">
        <f t="shared" si="4"/>
        <v>3.3290477404009517</v>
      </c>
    </row>
    <row r="15" spans="1:17" ht="16" x14ac:dyDescent="0.2">
      <c r="A15" s="24" t="s">
        <v>18679</v>
      </c>
      <c r="B15" s="24">
        <v>12830632</v>
      </c>
      <c r="C15" s="24">
        <v>1866414</v>
      </c>
      <c r="D15" s="25">
        <f t="shared" si="0"/>
        <v>0.14546547668111751</v>
      </c>
      <c r="E15" s="26">
        <f t="shared" si="1"/>
        <v>0.53038674033149169</v>
      </c>
      <c r="F15" s="26">
        <f t="shared" si="2"/>
        <v>0.38492126365037416</v>
      </c>
      <c r="G15" s="93">
        <v>96</v>
      </c>
      <c r="H15" s="93">
        <v>21</v>
      </c>
      <c r="J15" s="93">
        <v>1</v>
      </c>
      <c r="L15" s="93">
        <v>49</v>
      </c>
      <c r="M15" s="93">
        <v>14</v>
      </c>
      <c r="N15" s="27">
        <f t="shared" si="3"/>
        <v>181</v>
      </c>
      <c r="O15" s="28">
        <f t="shared" si="5"/>
        <v>7.3479333707771772</v>
      </c>
      <c r="P15" s="28">
        <f t="shared" si="6"/>
        <v>2.0152665010689153</v>
      </c>
      <c r="Q15" s="53">
        <f t="shared" si="4"/>
        <v>3.6461348247885668</v>
      </c>
    </row>
    <row r="16" spans="1:17" ht="16" x14ac:dyDescent="0.2">
      <c r="A16" s="24" t="s">
        <v>9421</v>
      </c>
      <c r="B16" s="24">
        <v>6483802</v>
      </c>
      <c r="C16" s="24">
        <v>591397</v>
      </c>
      <c r="D16" s="25">
        <f t="shared" si="0"/>
        <v>9.1211452786497796E-2</v>
      </c>
      <c r="E16" s="26">
        <f t="shared" si="1"/>
        <v>0.32258064516129031</v>
      </c>
      <c r="F16" s="26">
        <f t="shared" si="2"/>
        <v>0.23136919237479253</v>
      </c>
      <c r="G16" s="93">
        <v>40</v>
      </c>
      <c r="H16" s="93">
        <v>6</v>
      </c>
      <c r="L16" s="93">
        <v>70</v>
      </c>
      <c r="M16" s="93">
        <v>8</v>
      </c>
      <c r="N16" s="27">
        <f t="shared" si="3"/>
        <v>124</v>
      </c>
      <c r="O16" s="28">
        <f t="shared" si="5"/>
        <v>9.6623515409880589</v>
      </c>
      <c r="P16" s="28">
        <f t="shared" si="6"/>
        <v>2.7320830763008672</v>
      </c>
      <c r="Q16" s="53">
        <f t="shared" si="4"/>
        <v>3.5366243526058887</v>
      </c>
    </row>
    <row r="17" spans="1:17" ht="16" x14ac:dyDescent="0.2">
      <c r="A17" s="24" t="s">
        <v>27574</v>
      </c>
      <c r="B17" s="24">
        <v>3046355</v>
      </c>
      <c r="C17" s="24">
        <v>89148</v>
      </c>
      <c r="D17" s="25">
        <f t="shared" si="0"/>
        <v>2.9263825128719403E-2</v>
      </c>
      <c r="E17" s="26">
        <f t="shared" si="1"/>
        <v>0.13333333333333333</v>
      </c>
      <c r="F17" s="26">
        <f t="shared" si="2"/>
        <v>0.10406950820461393</v>
      </c>
      <c r="G17" s="93">
        <v>6</v>
      </c>
      <c r="H17" s="93">
        <v>2</v>
      </c>
      <c r="L17" s="93">
        <v>33</v>
      </c>
      <c r="M17" s="93">
        <v>4</v>
      </c>
      <c r="N17" s="27">
        <f t="shared" si="3"/>
        <v>45</v>
      </c>
      <c r="O17" s="28">
        <f t="shared" si="5"/>
        <v>9.6148299136588271</v>
      </c>
      <c r="P17" s="28">
        <f t="shared" si="6"/>
        <v>2.1102502592676919</v>
      </c>
      <c r="Q17" s="53">
        <f t="shared" si="4"/>
        <v>4.5562510282526425</v>
      </c>
    </row>
    <row r="18" spans="1:17" ht="16" x14ac:dyDescent="0.2">
      <c r="A18" s="24" t="s">
        <v>18671</v>
      </c>
      <c r="B18" s="24">
        <v>2853118</v>
      </c>
      <c r="C18" s="24">
        <v>167864</v>
      </c>
      <c r="D18" s="25">
        <f t="shared" si="0"/>
        <v>5.8835281260711962E-2</v>
      </c>
      <c r="E18" s="26">
        <f t="shared" si="1"/>
        <v>0.14666666666666667</v>
      </c>
      <c r="F18" s="26">
        <f t="shared" si="2"/>
        <v>8.7831385405954698E-2</v>
      </c>
      <c r="G18" s="93">
        <v>11</v>
      </c>
      <c r="H18" s="93">
        <v>8</v>
      </c>
      <c r="L18" s="93">
        <v>49</v>
      </c>
      <c r="M18" s="93">
        <v>7</v>
      </c>
      <c r="N18" s="27">
        <f t="shared" si="3"/>
        <v>75</v>
      </c>
      <c r="O18" s="28">
        <f t="shared" si="5"/>
        <v>9.3613197077906598</v>
      </c>
      <c r="P18" s="28">
        <f t="shared" si="6"/>
        <v>3.7552900771316557</v>
      </c>
      <c r="Q18" s="53">
        <f t="shared" si="4"/>
        <v>2.4928353111248787</v>
      </c>
    </row>
    <row r="19" spans="1:17" ht="16" x14ac:dyDescent="0.2">
      <c r="A19" s="24" t="s">
        <v>18677</v>
      </c>
      <c r="B19" s="24">
        <v>4339367</v>
      </c>
      <c r="C19" s="24">
        <v>337520</v>
      </c>
      <c r="D19" s="25">
        <f t="shared" si="0"/>
        <v>7.7780929799208046E-2</v>
      </c>
      <c r="E19" s="26">
        <f t="shared" si="1"/>
        <v>0.15573770491803279</v>
      </c>
      <c r="F19" s="26">
        <f t="shared" si="2"/>
        <v>7.7956775118824748E-2</v>
      </c>
      <c r="G19" s="93">
        <v>19</v>
      </c>
      <c r="H19" s="93">
        <v>3</v>
      </c>
      <c r="I19" s="93">
        <v>1</v>
      </c>
      <c r="J19" s="93">
        <v>1</v>
      </c>
      <c r="L19" s="93">
        <v>86</v>
      </c>
      <c r="M19" s="93">
        <v>12</v>
      </c>
      <c r="N19" s="27">
        <f t="shared" si="3"/>
        <v>122</v>
      </c>
      <c r="O19" s="28">
        <f t="shared" si="5"/>
        <v>8.041851488165781</v>
      </c>
      <c r="P19" s="28">
        <f t="shared" si="6"/>
        <v>4.0163856683639407</v>
      </c>
      <c r="Q19" s="53">
        <f t="shared" si="4"/>
        <v>2.0022607767748553</v>
      </c>
    </row>
    <row r="20" spans="1:17" ht="16" x14ac:dyDescent="0.2">
      <c r="A20" s="24" t="s">
        <v>18662</v>
      </c>
      <c r="B20" s="24">
        <v>4533372</v>
      </c>
      <c r="C20" s="24">
        <v>1452396</v>
      </c>
      <c r="D20" s="25">
        <f t="shared" si="0"/>
        <v>0.3203787379460587</v>
      </c>
      <c r="E20" s="26">
        <f t="shared" si="1"/>
        <v>0.54054054054054057</v>
      </c>
      <c r="F20" s="26">
        <f t="shared" si="2"/>
        <v>0.22016180259448187</v>
      </c>
      <c r="G20" s="93">
        <v>80</v>
      </c>
      <c r="H20" s="93">
        <v>5</v>
      </c>
      <c r="J20" s="93">
        <v>4</v>
      </c>
      <c r="L20" s="93">
        <v>49</v>
      </c>
      <c r="M20" s="93">
        <v>10</v>
      </c>
      <c r="N20" s="27">
        <f t="shared" si="3"/>
        <v>148</v>
      </c>
      <c r="O20" s="28">
        <f t="shared" si="5"/>
        <v>7.8687709333896745</v>
      </c>
      <c r="P20" s="28">
        <f t="shared" si="6"/>
        <v>4.6638257665281255</v>
      </c>
      <c r="Q20" s="53">
        <f t="shared" si="4"/>
        <v>1.6871923024790427</v>
      </c>
    </row>
    <row r="21" spans="1:17" ht="16" x14ac:dyDescent="0.2">
      <c r="A21" s="24" t="s">
        <v>27792</v>
      </c>
      <c r="B21" s="24">
        <v>1328361</v>
      </c>
      <c r="C21" s="24">
        <v>15707</v>
      </c>
      <c r="D21" s="25">
        <f t="shared" si="0"/>
        <v>1.1824345942104594E-2</v>
      </c>
      <c r="E21" s="26">
        <f t="shared" si="1"/>
        <v>3.2258064516129031E-2</v>
      </c>
      <c r="F21" s="26">
        <f t="shared" si="2"/>
        <v>2.0433718574024436E-2</v>
      </c>
      <c r="G21" s="93">
        <v>1</v>
      </c>
      <c r="L21" s="93">
        <v>27</v>
      </c>
      <c r="M21" s="93">
        <v>3</v>
      </c>
      <c r="N21" s="27">
        <f t="shared" si="3"/>
        <v>31</v>
      </c>
      <c r="O21" s="28">
        <f t="shared" si="5"/>
        <v>9.09512592201839</v>
      </c>
      <c r="P21" s="28">
        <f t="shared" si="6"/>
        <v>3.3338613739574026</v>
      </c>
      <c r="Q21" s="53">
        <f t="shared" si="4"/>
        <v>2.7281056114286413</v>
      </c>
    </row>
    <row r="22" spans="1:17" ht="16" x14ac:dyDescent="0.2">
      <c r="A22" s="24" t="s">
        <v>18674</v>
      </c>
      <c r="B22" s="24">
        <v>5773552</v>
      </c>
      <c r="C22" s="24">
        <v>1700298</v>
      </c>
      <c r="D22" s="25">
        <f t="shared" si="0"/>
        <v>0.29449773726814965</v>
      </c>
      <c r="E22" s="26">
        <f t="shared" si="1"/>
        <v>0.625</v>
      </c>
      <c r="F22" s="26">
        <f t="shared" si="2"/>
        <v>0.33050226273185035</v>
      </c>
      <c r="G22" s="93">
        <v>80</v>
      </c>
      <c r="H22" s="93">
        <v>6</v>
      </c>
      <c r="L22" s="93">
        <v>32</v>
      </c>
      <c r="M22" s="93">
        <v>10</v>
      </c>
      <c r="N22" s="27">
        <f t="shared" si="3"/>
        <v>128</v>
      </c>
      <c r="O22" s="28">
        <f t="shared" si="5"/>
        <v>6.7215108343192957</v>
      </c>
      <c r="P22" s="28">
        <f t="shared" si="6"/>
        <v>3.1671515707686164</v>
      </c>
      <c r="Q22" s="53">
        <f t="shared" si="4"/>
        <v>2.1222573925276631</v>
      </c>
    </row>
    <row r="23" spans="1:17" ht="16" x14ac:dyDescent="0.2">
      <c r="A23" s="24" t="s">
        <v>18678</v>
      </c>
      <c r="B23" s="24">
        <v>6547629</v>
      </c>
      <c r="C23" s="24">
        <v>434398</v>
      </c>
      <c r="D23" s="25">
        <f t="shared" si="0"/>
        <v>6.6344320974813936E-2</v>
      </c>
      <c r="E23" s="26">
        <f t="shared" si="1"/>
        <v>0.26785714285714285</v>
      </c>
      <c r="F23" s="26">
        <f t="shared" si="2"/>
        <v>0.20151282188232891</v>
      </c>
      <c r="G23" s="93">
        <v>15</v>
      </c>
      <c r="H23" s="93">
        <v>10</v>
      </c>
      <c r="J23" s="93">
        <v>1</v>
      </c>
      <c r="L23" s="93">
        <v>26</v>
      </c>
      <c r="M23" s="93">
        <v>4</v>
      </c>
      <c r="N23" s="27">
        <f t="shared" si="3"/>
        <v>56</v>
      </c>
      <c r="O23" s="28">
        <f t="shared" si="5"/>
        <v>4.9329351029635102</v>
      </c>
      <c r="P23" s="28">
        <f t="shared" si="6"/>
        <v>1.2218163246573683</v>
      </c>
      <c r="Q23" s="53">
        <f t="shared" si="4"/>
        <v>4.0373786169102335</v>
      </c>
    </row>
    <row r="24" spans="1:17" ht="16" x14ac:dyDescent="0.2">
      <c r="A24" s="24" t="s">
        <v>18683</v>
      </c>
      <c r="B24" s="24">
        <v>9883640</v>
      </c>
      <c r="C24" s="24">
        <v>1400362</v>
      </c>
      <c r="D24" s="25">
        <f t="shared" si="0"/>
        <v>0.14168484485472962</v>
      </c>
      <c r="E24" s="26">
        <f t="shared" si="1"/>
        <v>0.34146341463414637</v>
      </c>
      <c r="F24" s="26">
        <f t="shared" si="2"/>
        <v>0.19977856977941674</v>
      </c>
      <c r="G24" s="93">
        <v>42</v>
      </c>
      <c r="H24" s="93">
        <v>4</v>
      </c>
      <c r="J24" s="93">
        <v>2</v>
      </c>
      <c r="K24" s="93">
        <v>1</v>
      </c>
      <c r="L24" s="93">
        <v>56</v>
      </c>
      <c r="M24" s="93">
        <v>18</v>
      </c>
      <c r="N24" s="27">
        <f t="shared" si="3"/>
        <v>123</v>
      </c>
      <c r="O24" s="28">
        <f t="shared" si="5"/>
        <v>4.284606408914267</v>
      </c>
      <c r="P24" s="28">
        <f t="shared" si="6"/>
        <v>1.7778296833381804</v>
      </c>
      <c r="Q24" s="53">
        <f t="shared" si="4"/>
        <v>2.410020739933413</v>
      </c>
    </row>
    <row r="25" spans="1:17" ht="16" x14ac:dyDescent="0.2">
      <c r="A25" s="24" t="s">
        <v>18680</v>
      </c>
      <c r="B25" s="24">
        <v>5303925</v>
      </c>
      <c r="C25" s="24">
        <v>274412</v>
      </c>
      <c r="D25" s="25">
        <f t="shared" si="0"/>
        <v>5.1737533996050092E-2</v>
      </c>
      <c r="E25" s="26">
        <f t="shared" si="1"/>
        <v>0.20238095238095238</v>
      </c>
      <c r="F25" s="26">
        <f t="shared" si="2"/>
        <v>0.15064341838490231</v>
      </c>
      <c r="G25" s="93">
        <v>17</v>
      </c>
      <c r="H25" s="93">
        <v>4</v>
      </c>
      <c r="I25" s="93">
        <v>5</v>
      </c>
      <c r="J25" s="93">
        <v>7</v>
      </c>
      <c r="L25" s="93">
        <v>50</v>
      </c>
      <c r="M25" s="93">
        <v>1</v>
      </c>
      <c r="N25" s="27">
        <f t="shared" si="3"/>
        <v>84</v>
      </c>
      <c r="O25" s="28">
        <f t="shared" si="5"/>
        <v>8.8500919368374138</v>
      </c>
      <c r="P25" s="28">
        <f t="shared" si="6"/>
        <v>2.2624754309308672</v>
      </c>
      <c r="Q25" s="53">
        <f t="shared" si="4"/>
        <v>3.9116853230075317</v>
      </c>
    </row>
    <row r="26" spans="1:17" ht="16" x14ac:dyDescent="0.2">
      <c r="A26" s="24" t="s">
        <v>919</v>
      </c>
      <c r="B26" s="24">
        <v>2967297</v>
      </c>
      <c r="C26" s="24">
        <v>1074200</v>
      </c>
      <c r="D26" s="25">
        <f t="shared" si="0"/>
        <v>0.36201297005321681</v>
      </c>
      <c r="E26" s="26">
        <f t="shared" si="1"/>
        <v>0.37962962962962965</v>
      </c>
      <c r="F26" s="26">
        <f t="shared" si="2"/>
        <v>1.7616659576412841E-2</v>
      </c>
      <c r="G26" s="93">
        <v>41</v>
      </c>
      <c r="H26" s="93">
        <v>1</v>
      </c>
      <c r="I26" s="93">
        <v>1</v>
      </c>
      <c r="J26" s="93">
        <v>1</v>
      </c>
      <c r="L26" s="93">
        <v>51</v>
      </c>
      <c r="M26" s="93">
        <v>13</v>
      </c>
      <c r="N26" s="27">
        <f t="shared" si="3"/>
        <v>108</v>
      </c>
      <c r="O26" s="28">
        <f t="shared" si="5"/>
        <v>5.4525627044711023</v>
      </c>
      <c r="P26" s="28">
        <f t="shared" si="6"/>
        <v>5.1995372989530306</v>
      </c>
      <c r="Q26" s="53">
        <f t="shared" si="4"/>
        <v>1.0486630619168786</v>
      </c>
    </row>
    <row r="27" spans="1:17" ht="16" x14ac:dyDescent="0.2">
      <c r="A27" s="24" t="s">
        <v>18663</v>
      </c>
      <c r="B27" s="24">
        <v>5988927</v>
      </c>
      <c r="C27" s="24">
        <v>704043</v>
      </c>
      <c r="D27" s="25">
        <f t="shared" si="0"/>
        <v>0.11755745227817938</v>
      </c>
      <c r="E27" s="26">
        <f t="shared" si="1"/>
        <v>0.37563451776649748</v>
      </c>
      <c r="F27" s="26">
        <f t="shared" si="2"/>
        <v>0.2580770654883181</v>
      </c>
      <c r="G27" s="93">
        <v>74</v>
      </c>
      <c r="H27" s="93">
        <v>5</v>
      </c>
      <c r="K27" s="93">
        <v>2</v>
      </c>
      <c r="L27" s="93">
        <v>93</v>
      </c>
      <c r="M27" s="93">
        <v>23</v>
      </c>
      <c r="N27" s="27">
        <f t="shared" si="3"/>
        <v>197</v>
      </c>
      <c r="O27" s="28">
        <f t="shared" si="5"/>
        <v>15.015316637518691</v>
      </c>
      <c r="P27" s="28">
        <f t="shared" si="6"/>
        <v>4.6991484689756859</v>
      </c>
      <c r="Q27" s="53">
        <f t="shared" si="4"/>
        <v>3.195327139938549</v>
      </c>
    </row>
    <row r="28" spans="1:17" ht="16" x14ac:dyDescent="0.2">
      <c r="A28" s="24" t="s">
        <v>27793</v>
      </c>
      <c r="B28" s="24">
        <v>989415</v>
      </c>
      <c r="C28" s="24">
        <v>4027</v>
      </c>
      <c r="D28" s="25">
        <f t="shared" si="0"/>
        <v>4.070081816022599E-3</v>
      </c>
      <c r="E28" s="26">
        <f t="shared" si="1"/>
        <v>0</v>
      </c>
      <c r="F28" s="26">
        <f t="shared" si="2"/>
        <v>-4.070081816022599E-3</v>
      </c>
      <c r="G28" s="1"/>
      <c r="H28" s="93">
        <v>1</v>
      </c>
      <c r="I28" s="93">
        <v>5</v>
      </c>
      <c r="L28" s="93">
        <v>28</v>
      </c>
      <c r="M28" s="93">
        <v>6</v>
      </c>
      <c r="N28" s="27">
        <f t="shared" si="3"/>
        <v>40</v>
      </c>
      <c r="O28" s="28">
        <f t="shared" si="5"/>
        <v>0</v>
      </c>
      <c r="P28" s="28">
        <f t="shared" si="6"/>
        <v>5.7754185193126384</v>
      </c>
      <c r="Q28" s="53">
        <f t="shared" si="4"/>
        <v>0</v>
      </c>
    </row>
    <row r="29" spans="1:17" ht="16" x14ac:dyDescent="0.2">
      <c r="A29" s="24" t="s">
        <v>18668</v>
      </c>
      <c r="B29" s="24">
        <v>1826341</v>
      </c>
      <c r="C29" s="24">
        <v>82885</v>
      </c>
      <c r="D29" s="25">
        <f t="shared" si="0"/>
        <v>4.5383091109491604E-2</v>
      </c>
      <c r="E29" s="26">
        <f t="shared" si="1"/>
        <v>0.22222222222222221</v>
      </c>
      <c r="F29" s="26">
        <f t="shared" si="2"/>
        <v>0.17683913111273061</v>
      </c>
      <c r="G29" s="93">
        <v>8</v>
      </c>
      <c r="H29" s="93">
        <v>3</v>
      </c>
      <c r="I29" s="93">
        <v>2</v>
      </c>
      <c r="L29" s="93">
        <v>22</v>
      </c>
      <c r="M29" s="93">
        <v>1</v>
      </c>
      <c r="N29" s="27">
        <f t="shared" si="3"/>
        <v>36</v>
      </c>
      <c r="O29" s="28">
        <f t="shared" si="5"/>
        <v>13.78846767035221</v>
      </c>
      <c r="P29" s="28">
        <f t="shared" si="6"/>
        <v>2.815934780447432</v>
      </c>
      <c r="Q29" s="53">
        <f t="shared" si="4"/>
        <v>4.896586300965863</v>
      </c>
    </row>
    <row r="30" spans="1:17" ht="16" x14ac:dyDescent="0.2">
      <c r="A30" s="24" t="s">
        <v>18672</v>
      </c>
      <c r="B30" s="24">
        <v>2700551</v>
      </c>
      <c r="C30" s="24">
        <v>218626</v>
      </c>
      <c r="D30" s="25">
        <f t="shared" si="0"/>
        <v>8.0956071557248876E-2</v>
      </c>
      <c r="E30" s="26">
        <f t="shared" si="1"/>
        <v>0.17355371900826447</v>
      </c>
      <c r="F30" s="26">
        <f t="shared" si="2"/>
        <v>9.2597647451015591E-2</v>
      </c>
      <c r="G30" s="93">
        <v>21</v>
      </c>
      <c r="H30" s="93">
        <v>30</v>
      </c>
      <c r="I30" s="93">
        <v>2</v>
      </c>
      <c r="J30" s="93">
        <v>2</v>
      </c>
      <c r="L30" s="93">
        <v>57</v>
      </c>
      <c r="M30" s="93">
        <v>9</v>
      </c>
      <c r="N30" s="27">
        <f t="shared" si="3"/>
        <v>121</v>
      </c>
      <c r="O30" s="28">
        <f t="shared" si="5"/>
        <v>13.722064164372034</v>
      </c>
      <c r="P30" s="28">
        <f t="shared" si="6"/>
        <v>6.4008101627091243</v>
      </c>
      <c r="Q30" s="53">
        <f t="shared" si="4"/>
        <v>2.1438011463480446</v>
      </c>
    </row>
    <row r="31" spans="1:17" ht="16" x14ac:dyDescent="0.2">
      <c r="A31" s="24" t="s">
        <v>27794</v>
      </c>
      <c r="B31" s="24">
        <v>1316470</v>
      </c>
      <c r="C31" s="24">
        <v>15035</v>
      </c>
      <c r="D31" s="25">
        <f t="shared" si="0"/>
        <v>1.1420693217467925E-2</v>
      </c>
      <c r="E31" s="26">
        <f t="shared" si="1"/>
        <v>0</v>
      </c>
      <c r="F31" s="26">
        <f t="shared" si="2"/>
        <v>-1.1420693217467925E-2</v>
      </c>
      <c r="G31" s="1"/>
      <c r="H31" s="93">
        <v>1</v>
      </c>
      <c r="L31" s="93">
        <v>16</v>
      </c>
      <c r="N31" s="27">
        <f t="shared" si="3"/>
        <v>17</v>
      </c>
      <c r="O31" s="28">
        <f t="shared" si="5"/>
        <v>0</v>
      </c>
      <c r="P31" s="28">
        <f t="shared" si="6"/>
        <v>1.8447601757513872</v>
      </c>
      <c r="Q31" s="53">
        <f t="shared" si="4"/>
        <v>0</v>
      </c>
    </row>
    <row r="32" spans="1:17" ht="16" x14ac:dyDescent="0.2">
      <c r="A32" s="24" t="s">
        <v>19234</v>
      </c>
      <c r="B32" s="24">
        <v>8791894</v>
      </c>
      <c r="C32" s="24">
        <v>1204826</v>
      </c>
      <c r="D32" s="25">
        <f t="shared" si="0"/>
        <v>0.13703827639414215</v>
      </c>
      <c r="E32" s="26">
        <f t="shared" si="1"/>
        <v>0.49514563106796117</v>
      </c>
      <c r="F32" s="26">
        <f t="shared" si="2"/>
        <v>0.35810735467381904</v>
      </c>
      <c r="G32" s="93">
        <v>51</v>
      </c>
      <c r="H32" s="93">
        <v>14</v>
      </c>
      <c r="J32" s="93">
        <v>1</v>
      </c>
      <c r="L32" s="93">
        <v>26</v>
      </c>
      <c r="M32" s="93">
        <v>11</v>
      </c>
      <c r="N32" s="27">
        <f t="shared" si="3"/>
        <v>103</v>
      </c>
      <c r="O32" s="28">
        <f t="shared" si="5"/>
        <v>6.0471091142739999</v>
      </c>
      <c r="P32" s="28">
        <f t="shared" si="6"/>
        <v>1.6736195539079197</v>
      </c>
      <c r="Q32" s="53">
        <f t="shared" si="4"/>
        <v>3.6131921978050117</v>
      </c>
    </row>
    <row r="33" spans="1:17" ht="16" x14ac:dyDescent="0.2">
      <c r="A33" s="24" t="s">
        <v>18676</v>
      </c>
      <c r="B33" s="24">
        <v>2059179</v>
      </c>
      <c r="C33" s="24">
        <v>42550</v>
      </c>
      <c r="D33" s="25">
        <f t="shared" si="0"/>
        <v>2.0663575143297402E-2</v>
      </c>
      <c r="E33" s="26">
        <f t="shared" si="1"/>
        <v>2.8169014084507043E-2</v>
      </c>
      <c r="F33" s="26">
        <f t="shared" si="2"/>
        <v>7.5054389412096412E-3</v>
      </c>
      <c r="G33" s="93">
        <v>4</v>
      </c>
      <c r="H33" s="93">
        <v>78</v>
      </c>
      <c r="I33" s="93">
        <v>6</v>
      </c>
      <c r="J33" s="93">
        <v>1</v>
      </c>
      <c r="L33" s="93">
        <v>41</v>
      </c>
      <c r="M33" s="93">
        <v>12</v>
      </c>
      <c r="N33" s="27">
        <f t="shared" si="3"/>
        <v>142</v>
      </c>
      <c r="O33" s="28">
        <f t="shared" si="5"/>
        <v>13.429578646969953</v>
      </c>
      <c r="P33" s="28">
        <f t="shared" si="6"/>
        <v>9.8513603167642483</v>
      </c>
      <c r="Q33" s="53">
        <f t="shared" si="4"/>
        <v>1.3632207345128349</v>
      </c>
    </row>
    <row r="34" spans="1:17" ht="16" x14ac:dyDescent="0.2">
      <c r="A34" s="24" t="s">
        <v>700</v>
      </c>
      <c r="B34" s="24">
        <v>19378102</v>
      </c>
      <c r="C34" s="24">
        <v>3073800</v>
      </c>
      <c r="D34" s="25">
        <f t="shared" ref="D34:D52" si="7">C34/B34</f>
        <v>0.1586223459862065</v>
      </c>
      <c r="E34" s="26">
        <f t="shared" ref="E34:E52" si="8">G34/N34</f>
        <v>0.45806451612903226</v>
      </c>
      <c r="F34" s="26">
        <f t="shared" ref="F34:F52" si="9">E34-D34</f>
        <v>0.29944217014282576</v>
      </c>
      <c r="G34" s="93">
        <v>71</v>
      </c>
      <c r="H34" s="93">
        <v>18</v>
      </c>
      <c r="J34" s="93">
        <v>1</v>
      </c>
      <c r="L34" s="93">
        <v>53</v>
      </c>
      <c r="M34" s="93">
        <v>12</v>
      </c>
      <c r="N34" s="27">
        <f t="shared" ref="N34:N52" si="10">G34+H34+I34+J34+K34+L34+M34</f>
        <v>155</v>
      </c>
      <c r="O34" s="28">
        <f t="shared" si="5"/>
        <v>3.2997778459422031</v>
      </c>
      <c r="P34" s="28">
        <f t="shared" si="6"/>
        <v>1.1426741970321523</v>
      </c>
      <c r="Q34" s="53">
        <f t="shared" si="4"/>
        <v>2.8877678821423101</v>
      </c>
    </row>
    <row r="35" spans="1:17" ht="16" x14ac:dyDescent="0.2">
      <c r="A35" s="24" t="s">
        <v>18681</v>
      </c>
      <c r="B35" s="24">
        <v>9535483</v>
      </c>
      <c r="C35" s="24">
        <v>2048628</v>
      </c>
      <c r="D35" s="25">
        <f t="shared" si="7"/>
        <v>0.21484260419739618</v>
      </c>
      <c r="E35" s="26">
        <f t="shared" si="8"/>
        <v>0.37745098039215685</v>
      </c>
      <c r="F35" s="26">
        <f t="shared" si="9"/>
        <v>0.16260837619476068</v>
      </c>
      <c r="G35" s="93">
        <v>77</v>
      </c>
      <c r="H35" s="93">
        <v>9</v>
      </c>
      <c r="I35" s="93">
        <v>1</v>
      </c>
      <c r="J35" s="93">
        <v>1</v>
      </c>
      <c r="K35" s="93">
        <v>1</v>
      </c>
      <c r="L35" s="93">
        <v>104</v>
      </c>
      <c r="M35" s="93">
        <v>11</v>
      </c>
      <c r="N35" s="27">
        <f t="shared" si="10"/>
        <v>204</v>
      </c>
      <c r="O35" s="28">
        <f t="shared" si="5"/>
        <v>5.3694472593364928</v>
      </c>
      <c r="P35" s="28">
        <f t="shared" si="6"/>
        <v>3.0562539037463701</v>
      </c>
      <c r="Q35" s="53">
        <f t="shared" si="4"/>
        <v>1.7568721148313626</v>
      </c>
    </row>
    <row r="36" spans="1:17" ht="16" x14ac:dyDescent="0.2">
      <c r="A36" s="24" t="s">
        <v>27795</v>
      </c>
      <c r="B36" s="24">
        <v>672591</v>
      </c>
      <c r="C36" s="24">
        <v>7960</v>
      </c>
      <c r="D36" s="25">
        <f t="shared" si="7"/>
        <v>1.1834829785114579E-2</v>
      </c>
      <c r="E36" s="26">
        <f t="shared" si="8"/>
        <v>0</v>
      </c>
      <c r="F36" s="26">
        <f t="shared" si="9"/>
        <v>-1.1834829785114579E-2</v>
      </c>
      <c r="G36" s="1"/>
      <c r="I36" s="93">
        <v>4</v>
      </c>
      <c r="L36" s="93">
        <v>7</v>
      </c>
      <c r="N36" s="27">
        <f t="shared" si="10"/>
        <v>11</v>
      </c>
      <c r="O36" s="28">
        <f t="shared" si="5"/>
        <v>0</v>
      </c>
      <c r="P36" s="28">
        <f t="shared" si="6"/>
        <v>2.336380610844587</v>
      </c>
      <c r="Q36" s="53">
        <f t="shared" si="4"/>
        <v>0</v>
      </c>
    </row>
    <row r="37" spans="1:17" ht="16" x14ac:dyDescent="0.2">
      <c r="A37" s="24" t="s">
        <v>12538</v>
      </c>
      <c r="B37" s="24">
        <v>11536504</v>
      </c>
      <c r="C37" s="24">
        <v>1407681</v>
      </c>
      <c r="D37" s="25">
        <f t="shared" si="7"/>
        <v>0.12201972105240895</v>
      </c>
      <c r="E37" s="26">
        <f t="shared" si="8"/>
        <v>0.37209302325581395</v>
      </c>
      <c r="F37" s="26">
        <f t="shared" si="9"/>
        <v>0.25007330220340501</v>
      </c>
      <c r="G37" s="93">
        <v>80</v>
      </c>
      <c r="H37" s="93">
        <v>2</v>
      </c>
      <c r="J37" s="93">
        <v>4</v>
      </c>
      <c r="L37" s="93">
        <v>116</v>
      </c>
      <c r="M37" s="93">
        <v>13</v>
      </c>
      <c r="N37" s="27">
        <f t="shared" si="10"/>
        <v>215</v>
      </c>
      <c r="O37" s="28">
        <f t="shared" si="5"/>
        <v>8.1187225149529105</v>
      </c>
      <c r="P37" s="28">
        <f t="shared" si="6"/>
        <v>2.6623564395492529</v>
      </c>
      <c r="Q37" s="53">
        <f t="shared" si="4"/>
        <v>3.0494498761884192</v>
      </c>
    </row>
    <row r="38" spans="1:17" ht="16" x14ac:dyDescent="0.2">
      <c r="A38" s="24" t="s">
        <v>1028</v>
      </c>
      <c r="B38" s="24">
        <v>3751351</v>
      </c>
      <c r="C38" s="24">
        <v>277644</v>
      </c>
      <c r="D38" s="25">
        <f t="shared" si="7"/>
        <v>7.4011736038563175E-2</v>
      </c>
      <c r="E38" s="26">
        <f t="shared" si="8"/>
        <v>0.23831775700934579</v>
      </c>
      <c r="F38" s="26">
        <f t="shared" si="9"/>
        <v>0.16430602097078262</v>
      </c>
      <c r="G38" s="93">
        <v>51</v>
      </c>
      <c r="H38" s="93">
        <v>18</v>
      </c>
      <c r="I38" s="93">
        <v>12</v>
      </c>
      <c r="J38" s="93">
        <v>2</v>
      </c>
      <c r="K38" s="93">
        <v>1</v>
      </c>
      <c r="L38" s="93">
        <v>123</v>
      </c>
      <c r="M38" s="93">
        <v>7</v>
      </c>
      <c r="N38" s="27">
        <f t="shared" si="10"/>
        <v>214</v>
      </c>
      <c r="O38" s="28">
        <f t="shared" si="5"/>
        <v>26.241209194919701</v>
      </c>
      <c r="P38" s="28">
        <f t="shared" si="6"/>
        <v>8.1494449790031833</v>
      </c>
      <c r="Q38" s="53">
        <f t="shared" si="4"/>
        <v>3.2199995536541985</v>
      </c>
    </row>
    <row r="39" spans="1:17" ht="16" x14ac:dyDescent="0.2">
      <c r="A39" s="24" t="s">
        <v>18673</v>
      </c>
      <c r="B39" s="24">
        <v>3831074</v>
      </c>
      <c r="C39" s="24">
        <v>69206</v>
      </c>
      <c r="D39" s="25">
        <f t="shared" si="7"/>
        <v>1.8064386122533787E-2</v>
      </c>
      <c r="E39" s="26">
        <f t="shared" si="8"/>
        <v>7.9646017699115043E-2</v>
      </c>
      <c r="F39" s="26">
        <f t="shared" si="9"/>
        <v>6.1581631576581253E-2</v>
      </c>
      <c r="G39" s="93">
        <v>9</v>
      </c>
      <c r="H39" s="93">
        <v>9</v>
      </c>
      <c r="L39" s="93">
        <v>87</v>
      </c>
      <c r="M39" s="93">
        <v>8</v>
      </c>
      <c r="N39" s="27">
        <f t="shared" si="10"/>
        <v>113</v>
      </c>
      <c r="O39" s="28">
        <f t="shared" si="5"/>
        <v>18.578075393958414</v>
      </c>
      <c r="P39" s="28">
        <f t="shared" si="6"/>
        <v>4.2136636209212206</v>
      </c>
      <c r="Q39" s="53">
        <f t="shared" si="4"/>
        <v>4.4090077104675824</v>
      </c>
    </row>
    <row r="40" spans="1:17" ht="16" x14ac:dyDescent="0.2">
      <c r="A40" s="24" t="s">
        <v>18684</v>
      </c>
      <c r="B40" s="24">
        <v>12702379</v>
      </c>
      <c r="C40" s="24">
        <v>1377689</v>
      </c>
      <c r="D40" s="25">
        <f t="shared" si="7"/>
        <v>0.10845913194685815</v>
      </c>
      <c r="E40" s="26">
        <f t="shared" si="8"/>
        <v>0.33918128654970758</v>
      </c>
      <c r="F40" s="26">
        <f t="shared" si="9"/>
        <v>0.23072215460284945</v>
      </c>
      <c r="G40" s="93">
        <v>58</v>
      </c>
      <c r="H40" s="93">
        <v>10</v>
      </c>
      <c r="I40" s="93">
        <v>1</v>
      </c>
      <c r="J40" s="93">
        <v>1</v>
      </c>
      <c r="L40" s="93">
        <v>78</v>
      </c>
      <c r="M40" s="93">
        <v>23</v>
      </c>
      <c r="N40" s="27">
        <f t="shared" si="10"/>
        <v>171</v>
      </c>
      <c r="O40" s="28">
        <f t="shared" si="5"/>
        <v>6.0142124134795925</v>
      </c>
      <c r="P40" s="28">
        <f t="shared" si="6"/>
        <v>1.9231493115243554</v>
      </c>
      <c r="Q40" s="53">
        <f t="shared" si="4"/>
        <v>3.1272727382319148</v>
      </c>
    </row>
    <row r="41" spans="1:17" ht="16" x14ac:dyDescent="0.2">
      <c r="A41" s="24" t="s">
        <v>27796</v>
      </c>
      <c r="B41" s="24">
        <v>1052567</v>
      </c>
      <c r="C41" s="24">
        <v>60189</v>
      </c>
      <c r="D41" s="25">
        <f t="shared" si="7"/>
        <v>5.7183058180619382E-2</v>
      </c>
      <c r="E41" s="26">
        <f t="shared" si="8"/>
        <v>0.5</v>
      </c>
      <c r="F41" s="26">
        <f t="shared" si="9"/>
        <v>0.44281694181938064</v>
      </c>
      <c r="G41" s="93">
        <v>3</v>
      </c>
      <c r="H41" s="93">
        <v>1</v>
      </c>
      <c r="L41" s="93">
        <v>2</v>
      </c>
      <c r="N41" s="27">
        <f t="shared" si="10"/>
        <v>6</v>
      </c>
      <c r="O41" s="28">
        <f t="shared" si="5"/>
        <v>7.1204277953019419</v>
      </c>
      <c r="P41" s="28">
        <f t="shared" si="6"/>
        <v>0.81433567377930072</v>
      </c>
      <c r="Q41" s="53">
        <f t="shared" si="4"/>
        <v>8.7438485437538418</v>
      </c>
    </row>
    <row r="42" spans="1:17" ht="16" x14ac:dyDescent="0.2">
      <c r="A42" s="24" t="s">
        <v>27797</v>
      </c>
      <c r="B42" s="24">
        <v>4625364</v>
      </c>
      <c r="C42" s="24">
        <v>1290684</v>
      </c>
      <c r="D42" s="25">
        <f t="shared" si="7"/>
        <v>0.2790448492270014</v>
      </c>
      <c r="E42" s="26">
        <f t="shared" si="8"/>
        <v>0.31666666666666665</v>
      </c>
      <c r="F42" s="26">
        <f t="shared" si="9"/>
        <v>3.762181743966525E-2</v>
      </c>
      <c r="G42" s="93">
        <v>38</v>
      </c>
      <c r="H42" s="93">
        <v>2</v>
      </c>
      <c r="J42" s="93">
        <v>2</v>
      </c>
      <c r="L42" s="93">
        <v>67</v>
      </c>
      <c r="M42" s="93">
        <v>11</v>
      </c>
      <c r="N42" s="27">
        <f t="shared" si="10"/>
        <v>120</v>
      </c>
      <c r="O42" s="28">
        <f t="shared" si="5"/>
        <v>4.2059647664117854</v>
      </c>
      <c r="P42" s="28">
        <f t="shared" si="6"/>
        <v>3.7062720129393374</v>
      </c>
      <c r="Q42" s="53">
        <f t="shared" si="4"/>
        <v>1.1348235509233862</v>
      </c>
    </row>
    <row r="43" spans="1:17" ht="16" x14ac:dyDescent="0.2">
      <c r="A43" s="24" t="s">
        <v>27798</v>
      </c>
      <c r="B43" s="24">
        <v>814180</v>
      </c>
      <c r="C43" s="24">
        <v>10207</v>
      </c>
      <c r="D43" s="25">
        <f t="shared" si="7"/>
        <v>1.2536539831486894E-2</v>
      </c>
      <c r="E43" s="26">
        <f t="shared" si="8"/>
        <v>0</v>
      </c>
      <c r="F43" s="26">
        <f t="shared" si="9"/>
        <v>-1.2536539831486894E-2</v>
      </c>
      <c r="G43" s="1"/>
      <c r="H43" s="93">
        <v>1</v>
      </c>
      <c r="I43" s="93">
        <v>9</v>
      </c>
      <c r="J43" s="93">
        <v>1</v>
      </c>
      <c r="L43" s="93">
        <v>11</v>
      </c>
      <c r="M43" s="93">
        <v>3</v>
      </c>
      <c r="N43" s="27">
        <f t="shared" si="10"/>
        <v>25</v>
      </c>
      <c r="O43" s="28">
        <f t="shared" si="5"/>
        <v>0</v>
      </c>
      <c r="P43" s="28">
        <f t="shared" si="6"/>
        <v>4.3865343921842488</v>
      </c>
      <c r="Q43" s="53">
        <f t="shared" si="4"/>
        <v>0</v>
      </c>
    </row>
    <row r="44" spans="1:17" ht="16" x14ac:dyDescent="0.2">
      <c r="A44" s="24" t="s">
        <v>18670</v>
      </c>
      <c r="B44" s="24">
        <v>6346105</v>
      </c>
      <c r="C44" s="24">
        <v>1055689</v>
      </c>
      <c r="D44" s="25">
        <f t="shared" si="7"/>
        <v>0.16635227434780861</v>
      </c>
      <c r="E44" s="26">
        <f t="shared" si="8"/>
        <v>0.22905027932960895</v>
      </c>
      <c r="F44" s="26">
        <f t="shared" si="9"/>
        <v>6.2698004981800337E-2</v>
      </c>
      <c r="G44" s="93">
        <v>41</v>
      </c>
      <c r="H44" s="93">
        <v>5</v>
      </c>
      <c r="J44" s="93">
        <v>2</v>
      </c>
      <c r="L44" s="93">
        <v>116</v>
      </c>
      <c r="M44" s="93">
        <v>15</v>
      </c>
      <c r="N44" s="27">
        <f t="shared" si="10"/>
        <v>179</v>
      </c>
      <c r="O44" s="28">
        <f t="shared" si="5"/>
        <v>5.5481707748615907</v>
      </c>
      <c r="P44" s="28">
        <f t="shared" si="6"/>
        <v>4.0294682441321994</v>
      </c>
      <c r="Q44" s="53">
        <f t="shared" si="4"/>
        <v>1.3768989947844754</v>
      </c>
    </row>
    <row r="45" spans="1:17" ht="16" x14ac:dyDescent="0.2">
      <c r="A45" s="24" t="s">
        <v>18666</v>
      </c>
      <c r="B45" s="24">
        <v>25145561</v>
      </c>
      <c r="C45" s="24">
        <v>2979598</v>
      </c>
      <c r="D45" s="25">
        <f t="shared" si="7"/>
        <v>0.11849399581898372</v>
      </c>
      <c r="E45" s="26">
        <f t="shared" si="8"/>
        <v>0.21835883171070933</v>
      </c>
      <c r="F45" s="26">
        <f t="shared" si="9"/>
        <v>9.9864835891725609E-2</v>
      </c>
      <c r="G45" s="93">
        <v>157</v>
      </c>
      <c r="H45" s="93">
        <v>219</v>
      </c>
      <c r="I45" s="93">
        <v>1</v>
      </c>
      <c r="J45" s="93">
        <v>10</v>
      </c>
      <c r="L45" s="93">
        <v>258</v>
      </c>
      <c r="M45" s="93">
        <v>74</v>
      </c>
      <c r="N45" s="27">
        <f t="shared" si="10"/>
        <v>719</v>
      </c>
      <c r="O45" s="28">
        <f t="shared" si="5"/>
        <v>7.5273816899365054</v>
      </c>
      <c r="P45" s="28">
        <f t="shared" si="6"/>
        <v>4.084787995554592</v>
      </c>
      <c r="Q45" s="53">
        <f t="shared" si="4"/>
        <v>1.842783933493839</v>
      </c>
    </row>
    <row r="46" spans="1:17" ht="16" x14ac:dyDescent="0.2">
      <c r="A46" s="24" t="s">
        <v>547</v>
      </c>
      <c r="B46" s="24">
        <v>2763885</v>
      </c>
      <c r="C46" s="24">
        <v>29287</v>
      </c>
      <c r="D46" s="25">
        <f t="shared" si="7"/>
        <v>1.0596316416927622E-2</v>
      </c>
      <c r="E46" s="26">
        <f t="shared" si="8"/>
        <v>9.7560975609756101E-2</v>
      </c>
      <c r="F46" s="26">
        <f t="shared" si="9"/>
        <v>8.6964659192828475E-2</v>
      </c>
      <c r="G46" s="93">
        <v>8</v>
      </c>
      <c r="H46" s="93">
        <v>13</v>
      </c>
      <c r="I46" s="93">
        <v>2</v>
      </c>
      <c r="K46" s="93">
        <v>2</v>
      </c>
      <c r="L46" s="93">
        <v>55</v>
      </c>
      <c r="M46" s="93">
        <v>2</v>
      </c>
      <c r="N46" s="27">
        <f t="shared" si="10"/>
        <v>82</v>
      </c>
      <c r="O46" s="28">
        <f t="shared" si="5"/>
        <v>39.022677053202543</v>
      </c>
      <c r="P46" s="28">
        <f t="shared" si="6"/>
        <v>4.2383404932859774</v>
      </c>
      <c r="Q46" s="53">
        <f t="shared" si="4"/>
        <v>9.2070651508577441</v>
      </c>
    </row>
    <row r="47" spans="1:17" ht="16" x14ac:dyDescent="0.2">
      <c r="A47" s="24" t="s">
        <v>27799</v>
      </c>
      <c r="B47" s="24">
        <v>625741</v>
      </c>
      <c r="C47" s="24">
        <v>6277</v>
      </c>
      <c r="D47" s="25">
        <f t="shared" si="7"/>
        <v>1.0031306882560037E-2</v>
      </c>
      <c r="E47" s="26">
        <f t="shared" si="8"/>
        <v>0</v>
      </c>
      <c r="F47" s="26">
        <f t="shared" si="9"/>
        <v>-1.0031306882560037E-2</v>
      </c>
      <c r="G47" s="1"/>
      <c r="H47" s="93">
        <v>1</v>
      </c>
      <c r="I47" s="93">
        <v>1</v>
      </c>
      <c r="L47" s="93">
        <v>9</v>
      </c>
      <c r="M47" s="93">
        <v>1</v>
      </c>
      <c r="N47" s="27">
        <f t="shared" si="10"/>
        <v>12</v>
      </c>
      <c r="O47" s="28">
        <f t="shared" si="5"/>
        <v>0</v>
      </c>
      <c r="P47" s="28">
        <f t="shared" si="6"/>
        <v>2.7396090623528173</v>
      </c>
      <c r="Q47" s="53">
        <f t="shared" si="4"/>
        <v>0</v>
      </c>
    </row>
    <row r="48" spans="1:17" ht="16" x14ac:dyDescent="0.2">
      <c r="A48" s="24" t="s">
        <v>18675</v>
      </c>
      <c r="B48" s="24">
        <v>8001024</v>
      </c>
      <c r="C48" s="24">
        <v>1551399</v>
      </c>
      <c r="D48" s="25">
        <f t="shared" si="7"/>
        <v>0.19390005579285852</v>
      </c>
      <c r="E48" s="26">
        <f t="shared" si="8"/>
        <v>0.41935483870967744</v>
      </c>
      <c r="F48" s="26">
        <f t="shared" si="9"/>
        <v>0.22545478291681892</v>
      </c>
      <c r="G48" s="93">
        <v>52</v>
      </c>
      <c r="H48" s="93">
        <v>7</v>
      </c>
      <c r="J48" s="93">
        <v>1</v>
      </c>
      <c r="L48" s="93">
        <v>51</v>
      </c>
      <c r="M48" s="93">
        <v>13</v>
      </c>
      <c r="N48" s="27">
        <f t="shared" si="10"/>
        <v>124</v>
      </c>
      <c r="O48" s="28">
        <f t="shared" si="5"/>
        <v>4.7883048967876274</v>
      </c>
      <c r="P48" s="28">
        <f t="shared" si="6"/>
        <v>2.2140023219885001</v>
      </c>
      <c r="Q48" s="53">
        <f t="shared" si="4"/>
        <v>2.1627370708839297</v>
      </c>
    </row>
    <row r="49" spans="1:17" ht="16" x14ac:dyDescent="0.2">
      <c r="A49" s="24" t="s">
        <v>107</v>
      </c>
      <c r="B49" s="24">
        <v>6724540</v>
      </c>
      <c r="C49" s="24">
        <v>240042</v>
      </c>
      <c r="D49" s="25">
        <f t="shared" si="7"/>
        <v>3.5696419383333282E-2</v>
      </c>
      <c r="E49" s="26">
        <f t="shared" si="8"/>
        <v>0.11467889908256881</v>
      </c>
      <c r="F49" s="26">
        <f t="shared" si="9"/>
        <v>7.8982479699235525E-2</v>
      </c>
      <c r="G49" s="93">
        <v>25</v>
      </c>
      <c r="H49" s="93">
        <v>29</v>
      </c>
      <c r="I49" s="93">
        <v>12</v>
      </c>
      <c r="J49" s="93">
        <v>5</v>
      </c>
      <c r="K49" s="93">
        <v>4</v>
      </c>
      <c r="L49" s="93">
        <v>116</v>
      </c>
      <c r="M49" s="93">
        <v>27</v>
      </c>
      <c r="N49" s="27">
        <f t="shared" si="10"/>
        <v>218</v>
      </c>
      <c r="O49" s="28">
        <f t="shared" si="5"/>
        <v>14.878348669935143</v>
      </c>
      <c r="P49" s="28">
        <f t="shared" si="6"/>
        <v>4.6312249080022054</v>
      </c>
      <c r="Q49" s="53">
        <f t="shared" si="4"/>
        <v>3.2126163089655022</v>
      </c>
    </row>
    <row r="50" spans="1:17" ht="16" x14ac:dyDescent="0.2">
      <c r="A50" s="24" t="s">
        <v>27800</v>
      </c>
      <c r="B50" s="24">
        <v>1852994</v>
      </c>
      <c r="C50" s="24">
        <v>63124</v>
      </c>
      <c r="D50" s="25">
        <f t="shared" si="7"/>
        <v>3.4065949484995632E-2</v>
      </c>
      <c r="E50" s="26">
        <f t="shared" si="8"/>
        <v>0.13513513513513514</v>
      </c>
      <c r="F50" s="26">
        <f t="shared" si="9"/>
        <v>0.1010691856501395</v>
      </c>
      <c r="G50" s="93">
        <v>10</v>
      </c>
      <c r="J50" s="93">
        <v>1</v>
      </c>
      <c r="L50" s="93">
        <v>51</v>
      </c>
      <c r="M50" s="93">
        <v>12</v>
      </c>
      <c r="N50" s="27">
        <f t="shared" si="10"/>
        <v>74</v>
      </c>
      <c r="O50" s="28">
        <f t="shared" si="5"/>
        <v>22.631193025971562</v>
      </c>
      <c r="P50" s="28">
        <f t="shared" si="6"/>
        <v>5.7050527802187014</v>
      </c>
      <c r="Q50" s="53">
        <f t="shared" si="4"/>
        <v>3.9668683004022975</v>
      </c>
    </row>
    <row r="51" spans="1:17" ht="16" x14ac:dyDescent="0.2">
      <c r="A51" s="24" t="s">
        <v>18682</v>
      </c>
      <c r="B51" s="24">
        <v>5686986</v>
      </c>
      <c r="C51" s="24">
        <v>359148</v>
      </c>
      <c r="D51" s="25">
        <f t="shared" si="7"/>
        <v>6.3152608429139792E-2</v>
      </c>
      <c r="E51" s="26">
        <f t="shared" si="8"/>
        <v>0.24324324324324326</v>
      </c>
      <c r="F51" s="26">
        <f t="shared" si="9"/>
        <v>0.18009063481410348</v>
      </c>
      <c r="G51" s="93">
        <v>27</v>
      </c>
      <c r="H51" s="93">
        <v>8</v>
      </c>
      <c r="I51" s="93">
        <v>5</v>
      </c>
      <c r="J51" s="93">
        <v>4</v>
      </c>
      <c r="L51" s="93">
        <v>63</v>
      </c>
      <c r="M51" s="93">
        <v>4</v>
      </c>
      <c r="N51" s="27">
        <f t="shared" si="10"/>
        <v>111</v>
      </c>
      <c r="O51" s="28">
        <f t="shared" si="5"/>
        <v>10.739703011412725</v>
      </c>
      <c r="P51" s="28">
        <f t="shared" si="6"/>
        <v>2.7883210644694501</v>
      </c>
      <c r="Q51" s="53">
        <f t="shared" si="4"/>
        <v>3.8516737359498556</v>
      </c>
    </row>
    <row r="52" spans="1:17" ht="16" x14ac:dyDescent="0.2">
      <c r="A52" s="24" t="s">
        <v>4092</v>
      </c>
      <c r="B52" s="24">
        <v>563626</v>
      </c>
      <c r="C52" s="24">
        <v>4748</v>
      </c>
      <c r="D52" s="25">
        <f t="shared" si="7"/>
        <v>8.4240258611206729E-3</v>
      </c>
      <c r="E52" s="26">
        <f t="shared" si="8"/>
        <v>0</v>
      </c>
      <c r="F52" s="26">
        <f t="shared" si="9"/>
        <v>-8.4240258611206729E-3</v>
      </c>
      <c r="G52" s="1"/>
      <c r="H52" s="93">
        <v>2</v>
      </c>
      <c r="I52" s="93">
        <v>2</v>
      </c>
      <c r="L52" s="93">
        <v>12</v>
      </c>
      <c r="M52" s="93">
        <v>3</v>
      </c>
      <c r="N52" s="27">
        <f t="shared" si="10"/>
        <v>19</v>
      </c>
      <c r="O52" s="28">
        <f t="shared" si="5"/>
        <v>0</v>
      </c>
      <c r="P52" s="28">
        <f t="shared" si="6"/>
        <v>4.8157567505503911</v>
      </c>
      <c r="Q52" s="53">
        <f t="shared" si="4"/>
        <v>0</v>
      </c>
    </row>
    <row r="54" spans="1:17" x14ac:dyDescent="0.15">
      <c r="A54" s="39" t="s">
        <v>42948</v>
      </c>
    </row>
    <row r="55" spans="1:17" x14ac:dyDescent="0.15">
      <c r="A55" s="14"/>
    </row>
  </sheetData>
  <sortState xmlns:xlrd2="http://schemas.microsoft.com/office/spreadsheetml/2017/richdata2" ref="A2:Q55">
    <sortCondition ref="A2:A55"/>
  </sortState>
  <hyperlinks>
    <hyperlink ref="A26" r:id="rId1" tooltip="Mississippi" xr:uid="{00000000-0004-0000-0200-000000000000}"/>
    <hyperlink ref="A20" r:id="rId2" tooltip="Louisiana" xr:uid="{00000000-0004-0000-0200-000001000000}"/>
    <hyperlink ref="A12" r:id="rId3" tooltip="Georgia (U.S. state)" xr:uid="{00000000-0004-0000-0200-000002000000}"/>
    <hyperlink ref="A22" r:id="rId4" tooltip="Maryland" xr:uid="{00000000-0004-0000-0200-000003000000}"/>
    <hyperlink ref="A42" r:id="rId5" tooltip="South Carolina" xr:uid="{00000000-0004-0000-0200-000004000000}"/>
    <hyperlink ref="A2" r:id="rId6" tooltip="Alabama" xr:uid="{00000000-0004-0000-0200-000005000000}"/>
    <hyperlink ref="A35" r:id="rId7" tooltip="North Carolina" xr:uid="{00000000-0004-0000-0200-000006000000}"/>
    <hyperlink ref="A9" r:id="rId8" tooltip="Delaware" xr:uid="{00000000-0004-0000-0200-000007000000}"/>
    <hyperlink ref="A48" r:id="rId9" tooltip="Virginia" xr:uid="{00000000-0004-0000-0200-000008000000}"/>
    <hyperlink ref="A44" r:id="rId10" tooltip="Tennessee" xr:uid="{00000000-0004-0000-0200-000009000000}"/>
    <hyperlink ref="A11" r:id="rId11" tooltip="Florida" xr:uid="{00000000-0004-0000-0200-00000A000000}"/>
    <hyperlink ref="A5" r:id="rId12" tooltip="Arkansas" xr:uid="{00000000-0004-0000-0200-00000B000000}"/>
    <hyperlink ref="A34" r:id="rId13" tooltip="New York" xr:uid="{00000000-0004-0000-0200-00000C000000}"/>
    <hyperlink ref="A15" r:id="rId14" tooltip="Illinois" xr:uid="{00000000-0004-0000-0200-00000D000000}"/>
    <hyperlink ref="A32" r:id="rId15" tooltip="New Jersey" xr:uid="{00000000-0004-0000-0200-00000E000000}"/>
    <hyperlink ref="A24" r:id="rId16" tooltip="Michigan" xr:uid="{00000000-0004-0000-0200-00000F000000}"/>
    <hyperlink ref="A37" r:id="rId17" tooltip="Ohio" xr:uid="{00000000-0004-0000-0200-000010000000}"/>
    <hyperlink ref="A45" r:id="rId18" tooltip="Texas" xr:uid="{00000000-0004-0000-0200-000011000000}"/>
    <hyperlink ref="A27" r:id="rId19" tooltip="Missouri" xr:uid="{00000000-0004-0000-0200-000012000000}"/>
    <hyperlink ref="A40" r:id="rId20" tooltip="Pennsylvania" xr:uid="{00000000-0004-0000-0200-000013000000}"/>
    <hyperlink ref="A8" r:id="rId21" tooltip="Connecticut" xr:uid="{00000000-0004-0000-0200-000014000000}"/>
    <hyperlink ref="A16" r:id="rId22" tooltip="Indiana" xr:uid="{00000000-0004-0000-0200-000015000000}"/>
    <hyperlink ref="A30" r:id="rId23" tooltip="Nevada" xr:uid="{00000000-0004-0000-0200-000016000000}"/>
    <hyperlink ref="A38" r:id="rId24" tooltip="Oklahoma" xr:uid="{00000000-0004-0000-0200-000017000000}"/>
    <hyperlink ref="A23" r:id="rId25" tooltip="Massachusetts" xr:uid="{00000000-0004-0000-0200-000018000000}"/>
    <hyperlink ref="A6" r:id="rId26" tooltip="California" xr:uid="{00000000-0004-0000-0200-000019000000}"/>
    <hyperlink ref="A41" r:id="rId27" tooltip="Rhode Island" xr:uid="{00000000-0004-0000-0200-00001A000000}"/>
    <hyperlink ref="A18" r:id="rId28" tooltip="Kansas" xr:uid="{00000000-0004-0000-0200-00001B000000}"/>
    <hyperlink ref="A51" r:id="rId29" tooltip="Wisconsin" xr:uid="{00000000-0004-0000-0200-00001C000000}"/>
    <hyperlink ref="A25" r:id="rId30" tooltip="Minnesota" xr:uid="{00000000-0004-0000-0200-00001D000000}"/>
    <hyperlink ref="A29" r:id="rId31" tooltip="Nebraska" xr:uid="{00000000-0004-0000-0200-00001E000000}"/>
    <hyperlink ref="A7" r:id="rId32" tooltip="Colorado" xr:uid="{00000000-0004-0000-0200-00001F000000}"/>
    <hyperlink ref="A3" r:id="rId33" tooltip="Alaska" xr:uid="{00000000-0004-0000-0200-000020000000}"/>
    <hyperlink ref="A4" r:id="rId34" tooltip="Arizona" xr:uid="{00000000-0004-0000-0200-000021000000}"/>
    <hyperlink ref="A49" r:id="rId35" tooltip="Washington (U.S. state)" xr:uid="{00000000-0004-0000-0200-000022000000}"/>
    <hyperlink ref="A50" r:id="rId36" tooltip="West Virginia" xr:uid="{00000000-0004-0000-0200-000023000000}"/>
    <hyperlink ref="A13" r:id="rId37" tooltip="Hawaii" xr:uid="{00000000-0004-0000-0200-000024000000}"/>
    <hyperlink ref="A33" r:id="rId38" tooltip="New Mexico" xr:uid="{00000000-0004-0000-0200-000025000000}"/>
    <hyperlink ref="A17" r:id="rId39" tooltip="Iowa" xr:uid="{00000000-0004-0000-0200-000026000000}"/>
    <hyperlink ref="A39" r:id="rId40" tooltip="Oregon" xr:uid="{00000000-0004-0000-0200-000027000000}"/>
    <hyperlink ref="A52" r:id="rId41" tooltip="Wyoming" xr:uid="{00000000-0004-0000-0200-000028000000}"/>
    <hyperlink ref="A46" r:id="rId42" tooltip="Utah" xr:uid="{00000000-0004-0000-0200-000029000000}"/>
    <hyperlink ref="A31" r:id="rId43" tooltip="New Hampshire" xr:uid="{00000000-0004-0000-0200-00002A000000}"/>
    <hyperlink ref="A43" r:id="rId44" tooltip="South Dakota" xr:uid="{00000000-0004-0000-0200-00002B000000}"/>
    <hyperlink ref="A36" r:id="rId45" tooltip="North Dakota" xr:uid="{00000000-0004-0000-0200-00002C000000}"/>
    <hyperlink ref="A21" r:id="rId46" tooltip="Maine" xr:uid="{00000000-0004-0000-0200-00002D000000}"/>
    <hyperlink ref="A14" r:id="rId47" tooltip="Idaho" xr:uid="{00000000-0004-0000-0200-00002E000000}"/>
    <hyperlink ref="A28" r:id="rId48" tooltip="Montana" xr:uid="{00000000-0004-0000-0200-00002F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workbookViewId="0">
      <selection activeCell="E5" sqref="E5"/>
    </sheetView>
  </sheetViews>
  <sheetFormatPr baseColWidth="10" defaultRowHeight="13" x14ac:dyDescent="0.15"/>
  <cols>
    <col min="1" max="1" width="23.1640625" style="10" customWidth="1"/>
    <col min="2" max="2" width="29.1640625" style="14" customWidth="1"/>
    <col min="3" max="3" width="10.83203125" style="10" customWidth="1"/>
  </cols>
  <sheetData>
    <row r="1" spans="1:5" x14ac:dyDescent="0.15">
      <c r="A1" s="11" t="s">
        <v>19223</v>
      </c>
      <c r="B1" s="12" t="s">
        <v>22636</v>
      </c>
      <c r="C1" s="8" t="s">
        <v>42952</v>
      </c>
      <c r="D1" s="30" t="s">
        <v>28128</v>
      </c>
      <c r="E1" s="30" t="s">
        <v>42953</v>
      </c>
    </row>
    <row r="2" spans="1:5" x14ac:dyDescent="0.15">
      <c r="A2" s="13" t="s">
        <v>1506</v>
      </c>
      <c r="B2" s="14" t="s">
        <v>6817</v>
      </c>
      <c r="C2" s="14">
        <v>3</v>
      </c>
      <c r="D2" s="14">
        <v>3556</v>
      </c>
      <c r="E2" s="32">
        <f t="shared" ref="E2:E9" si="0">C2/D2/7*100000</f>
        <v>12.052064920456372</v>
      </c>
    </row>
    <row r="3" spans="1:5" x14ac:dyDescent="0.15">
      <c r="A3" s="13" t="s">
        <v>1027</v>
      </c>
      <c r="B3" s="14" t="s">
        <v>1029</v>
      </c>
      <c r="C3" s="14">
        <v>25</v>
      </c>
      <c r="D3" s="14">
        <v>42192</v>
      </c>
      <c r="E3" s="32">
        <f t="shared" si="0"/>
        <v>8.4647055636816724</v>
      </c>
    </row>
    <row r="4" spans="1:5" x14ac:dyDescent="0.15">
      <c r="A4" s="13" t="s">
        <v>3383</v>
      </c>
      <c r="B4" s="14" t="s">
        <v>3385</v>
      </c>
      <c r="C4" s="14">
        <v>1</v>
      </c>
      <c r="D4" s="14">
        <v>1779</v>
      </c>
      <c r="E4" s="32">
        <f t="shared" si="0"/>
        <v>8.0301935276640162</v>
      </c>
    </row>
    <row r="5" spans="1:5" x14ac:dyDescent="0.15">
      <c r="A5" s="13" t="s">
        <v>1751</v>
      </c>
      <c r="B5" s="14" t="s">
        <v>1753</v>
      </c>
      <c r="C5" s="14">
        <v>2</v>
      </c>
      <c r="D5" s="14">
        <v>4021</v>
      </c>
      <c r="E5" s="32">
        <f t="shared" si="0"/>
        <v>7.1055529896614207</v>
      </c>
    </row>
    <row r="6" spans="1:5" x14ac:dyDescent="0.15">
      <c r="A6" s="13" t="s">
        <v>661</v>
      </c>
      <c r="B6" s="14" t="s">
        <v>4162</v>
      </c>
      <c r="C6" s="14">
        <v>34</v>
      </c>
      <c r="D6" s="14">
        <v>69439</v>
      </c>
      <c r="E6" s="32">
        <f t="shared" si="0"/>
        <v>6.9948341092798811</v>
      </c>
    </row>
    <row r="7" spans="1:5" x14ac:dyDescent="0.15">
      <c r="A7" s="13" t="s">
        <v>639</v>
      </c>
      <c r="B7" s="14" t="s">
        <v>4494</v>
      </c>
      <c r="C7" s="14">
        <v>1</v>
      </c>
      <c r="D7" s="14">
        <v>2178</v>
      </c>
      <c r="E7" s="32">
        <f t="shared" si="0"/>
        <v>6.5590974681883774</v>
      </c>
    </row>
    <row r="8" spans="1:5" x14ac:dyDescent="0.15">
      <c r="A8" s="13" t="s">
        <v>5902</v>
      </c>
      <c r="B8" s="14" t="s">
        <v>5903</v>
      </c>
      <c r="C8" s="14">
        <v>1</v>
      </c>
      <c r="D8" s="14">
        <v>2715</v>
      </c>
      <c r="E8" s="32">
        <f t="shared" si="0"/>
        <v>5.2617732175743228</v>
      </c>
    </row>
    <row r="9" spans="1:5" x14ac:dyDescent="0.15">
      <c r="A9" s="13" t="s">
        <v>2014</v>
      </c>
      <c r="B9" s="14" t="s">
        <v>3519</v>
      </c>
      <c r="C9" s="14">
        <v>3</v>
      </c>
      <c r="D9" s="14">
        <v>8339</v>
      </c>
      <c r="E9" s="32">
        <f t="shared" si="0"/>
        <v>5.1393623764411629</v>
      </c>
    </row>
    <row r="10" spans="1:5" x14ac:dyDescent="0.15">
      <c r="A10" s="96" t="s">
        <v>42965</v>
      </c>
      <c r="B10" s="96" t="s">
        <v>42951</v>
      </c>
      <c r="C10" s="96"/>
      <c r="D10" s="97"/>
      <c r="E10" s="98">
        <v>5</v>
      </c>
    </row>
    <row r="11" spans="1:5" x14ac:dyDescent="0.15">
      <c r="A11" s="13" t="s">
        <v>607</v>
      </c>
      <c r="B11" s="14" t="s">
        <v>528</v>
      </c>
      <c r="C11" s="14">
        <v>12</v>
      </c>
      <c r="D11" s="14">
        <v>34344</v>
      </c>
      <c r="E11" s="94">
        <f t="shared" ref="E11:E33" si="1">C11/D11/7*100000</f>
        <v>4.9915144254766899</v>
      </c>
    </row>
    <row r="12" spans="1:5" x14ac:dyDescent="0.15">
      <c r="A12" s="13" t="s">
        <v>782</v>
      </c>
      <c r="B12" s="14" t="s">
        <v>783</v>
      </c>
      <c r="C12" s="14">
        <v>1</v>
      </c>
      <c r="D12" s="14">
        <v>2932</v>
      </c>
      <c r="E12" s="94">
        <f t="shared" si="1"/>
        <v>4.8723445722081467</v>
      </c>
    </row>
    <row r="13" spans="1:5" x14ac:dyDescent="0.15">
      <c r="A13" s="13" t="s">
        <v>728</v>
      </c>
      <c r="B13" s="14" t="s">
        <v>5461</v>
      </c>
      <c r="C13" s="14">
        <v>3</v>
      </c>
      <c r="D13" s="14">
        <v>9145</v>
      </c>
      <c r="E13" s="94">
        <f t="shared" si="1"/>
        <v>4.6864016246192302</v>
      </c>
    </row>
    <row r="14" spans="1:5" x14ac:dyDescent="0.15">
      <c r="A14" s="13" t="s">
        <v>866</v>
      </c>
      <c r="B14" s="14" t="s">
        <v>4562</v>
      </c>
      <c r="C14" s="14">
        <v>3</v>
      </c>
      <c r="D14" s="14">
        <v>9944</v>
      </c>
      <c r="E14" s="94">
        <f t="shared" si="1"/>
        <v>4.3098494425928049</v>
      </c>
    </row>
    <row r="15" spans="1:5" x14ac:dyDescent="0.15">
      <c r="A15" s="13" t="s">
        <v>2159</v>
      </c>
      <c r="B15" s="14" t="s">
        <v>9343</v>
      </c>
      <c r="C15" s="14">
        <v>2</v>
      </c>
      <c r="D15" s="14">
        <v>6770</v>
      </c>
      <c r="E15" s="94">
        <f t="shared" si="1"/>
        <v>4.2202996412745302</v>
      </c>
    </row>
    <row r="16" spans="1:5" x14ac:dyDescent="0.15">
      <c r="A16" s="13" t="s">
        <v>3067</v>
      </c>
      <c r="B16" s="14" t="s">
        <v>3069</v>
      </c>
      <c r="C16" s="14">
        <v>2</v>
      </c>
      <c r="D16" s="14">
        <v>6845</v>
      </c>
      <c r="E16" s="94">
        <f t="shared" si="1"/>
        <v>4.1740582281122816</v>
      </c>
    </row>
    <row r="17" spans="1:5" x14ac:dyDescent="0.15">
      <c r="A17" s="13" t="s">
        <v>1066</v>
      </c>
      <c r="B17" s="14" t="s">
        <v>1067</v>
      </c>
      <c r="C17" s="14">
        <v>1</v>
      </c>
      <c r="D17" s="14">
        <v>3494</v>
      </c>
      <c r="E17" s="94">
        <f t="shared" si="1"/>
        <v>4.0886417532095836</v>
      </c>
    </row>
    <row r="18" spans="1:5" x14ac:dyDescent="0.15">
      <c r="A18" s="13" t="s">
        <v>997</v>
      </c>
      <c r="B18" s="14" t="s">
        <v>999</v>
      </c>
      <c r="C18" s="14">
        <v>9</v>
      </c>
      <c r="D18" s="14">
        <v>32609</v>
      </c>
      <c r="E18" s="94">
        <f t="shared" si="1"/>
        <v>3.9428203432006059</v>
      </c>
    </row>
    <row r="19" spans="1:5" x14ac:dyDescent="0.15">
      <c r="A19" s="13" t="s">
        <v>19232</v>
      </c>
      <c r="B19" s="14" t="s">
        <v>405</v>
      </c>
      <c r="C19" s="14">
        <v>17</v>
      </c>
      <c r="D19" s="31">
        <v>62560</v>
      </c>
      <c r="E19" s="94">
        <f t="shared" si="1"/>
        <v>3.8819875776397517</v>
      </c>
    </row>
    <row r="20" spans="1:5" x14ac:dyDescent="0.15">
      <c r="A20" s="13" t="s">
        <v>1678</v>
      </c>
      <c r="B20" s="14" t="s">
        <v>1681</v>
      </c>
      <c r="C20" s="14">
        <v>5</v>
      </c>
      <c r="D20" s="14">
        <v>18668</v>
      </c>
      <c r="E20" s="94">
        <f t="shared" si="1"/>
        <v>3.826257308151459</v>
      </c>
    </row>
    <row r="21" spans="1:5" x14ac:dyDescent="0.15">
      <c r="A21" s="13" t="s">
        <v>584</v>
      </c>
      <c r="B21" s="14" t="s">
        <v>586</v>
      </c>
      <c r="C21" s="14">
        <v>13</v>
      </c>
      <c r="D21" s="31">
        <v>52194</v>
      </c>
      <c r="E21" s="94">
        <f t="shared" si="1"/>
        <v>3.5581539202645076</v>
      </c>
    </row>
    <row r="22" spans="1:5" x14ac:dyDescent="0.15">
      <c r="A22" s="13" t="s">
        <v>1645</v>
      </c>
      <c r="B22" s="14" t="s">
        <v>1648</v>
      </c>
      <c r="C22" s="14">
        <v>4</v>
      </c>
      <c r="D22" s="14">
        <v>16219</v>
      </c>
      <c r="E22" s="94">
        <f t="shared" si="1"/>
        <v>3.5232047070014882</v>
      </c>
    </row>
    <row r="23" spans="1:5" x14ac:dyDescent="0.15">
      <c r="A23" s="13" t="s">
        <v>451</v>
      </c>
      <c r="B23" s="14" t="s">
        <v>452</v>
      </c>
      <c r="C23" s="14">
        <v>7</v>
      </c>
      <c r="D23" s="14">
        <v>28435</v>
      </c>
      <c r="E23" s="94">
        <f t="shared" si="1"/>
        <v>3.516792685071215</v>
      </c>
    </row>
    <row r="24" spans="1:5" x14ac:dyDescent="0.15">
      <c r="A24" s="13" t="s">
        <v>1202</v>
      </c>
      <c r="B24" s="14" t="s">
        <v>11441</v>
      </c>
      <c r="C24" s="14">
        <v>26</v>
      </c>
      <c r="D24" s="14">
        <v>106487</v>
      </c>
      <c r="E24" s="94">
        <f t="shared" si="1"/>
        <v>3.4880179874404518</v>
      </c>
    </row>
    <row r="25" spans="1:5" x14ac:dyDescent="0.15">
      <c r="A25" s="13" t="s">
        <v>3289</v>
      </c>
      <c r="B25" s="14" t="s">
        <v>4522</v>
      </c>
      <c r="C25" s="14">
        <v>5</v>
      </c>
      <c r="D25" s="14">
        <v>22298</v>
      </c>
      <c r="E25" s="94">
        <f t="shared" si="1"/>
        <v>3.2033622490165681</v>
      </c>
    </row>
    <row r="26" spans="1:5" x14ac:dyDescent="0.15">
      <c r="A26" s="13" t="s">
        <v>1522</v>
      </c>
      <c r="B26" s="14" t="s">
        <v>2101</v>
      </c>
      <c r="C26" s="14">
        <v>6</v>
      </c>
      <c r="D26" s="31">
        <v>26951</v>
      </c>
      <c r="E26" s="94">
        <f t="shared" si="1"/>
        <v>3.1803749662085163</v>
      </c>
    </row>
    <row r="27" spans="1:5" x14ac:dyDescent="0.15">
      <c r="A27" s="13" t="s">
        <v>532</v>
      </c>
      <c r="B27" s="14" t="s">
        <v>534</v>
      </c>
      <c r="C27" s="14">
        <v>8</v>
      </c>
      <c r="D27" s="31">
        <v>48934</v>
      </c>
      <c r="E27" s="94">
        <f t="shared" si="1"/>
        <v>2.335507301379701</v>
      </c>
    </row>
    <row r="28" spans="1:5" x14ac:dyDescent="0.15">
      <c r="A28" s="13" t="s">
        <v>92</v>
      </c>
      <c r="B28" s="14" t="s">
        <v>93</v>
      </c>
      <c r="C28" s="14">
        <v>26</v>
      </c>
      <c r="D28" s="31">
        <v>165839</v>
      </c>
      <c r="E28" s="94">
        <f t="shared" si="1"/>
        <v>2.2396937477226189</v>
      </c>
    </row>
    <row r="29" spans="1:5" x14ac:dyDescent="0.15">
      <c r="A29" s="13" t="s">
        <v>5639</v>
      </c>
      <c r="B29" s="14" t="s">
        <v>5641</v>
      </c>
      <c r="C29" s="14">
        <v>2</v>
      </c>
      <c r="D29" s="31">
        <v>13197</v>
      </c>
      <c r="E29" s="94">
        <f t="shared" si="1"/>
        <v>2.1649942086404921</v>
      </c>
    </row>
    <row r="30" spans="1:5" x14ac:dyDescent="0.15">
      <c r="A30" s="13" t="s">
        <v>801</v>
      </c>
      <c r="B30" s="14" t="s">
        <v>802</v>
      </c>
      <c r="C30" s="14">
        <v>2</v>
      </c>
      <c r="D30" s="14">
        <v>13912</v>
      </c>
      <c r="E30" s="94">
        <f t="shared" si="1"/>
        <v>2.0537254579807773</v>
      </c>
    </row>
    <row r="31" spans="1:5" x14ac:dyDescent="0.15">
      <c r="A31" s="13" t="s">
        <v>81</v>
      </c>
      <c r="B31" s="14" t="s">
        <v>83</v>
      </c>
      <c r="C31" s="14">
        <v>54</v>
      </c>
      <c r="D31" s="29">
        <v>384976</v>
      </c>
      <c r="E31" s="94">
        <f t="shared" si="1"/>
        <v>2.0038354895592754</v>
      </c>
    </row>
    <row r="32" spans="1:5" x14ac:dyDescent="0.15">
      <c r="A32" s="13" t="s">
        <v>518</v>
      </c>
      <c r="B32" s="14" t="s">
        <v>520</v>
      </c>
      <c r="C32" s="14">
        <v>2</v>
      </c>
      <c r="D32" s="31">
        <v>14785</v>
      </c>
      <c r="E32" s="94">
        <f t="shared" si="1"/>
        <v>1.9324605053384223</v>
      </c>
    </row>
    <row r="33" spans="1:5" x14ac:dyDescent="0.15">
      <c r="A33" s="13" t="s">
        <v>1132</v>
      </c>
      <c r="B33" s="14" t="s">
        <v>1134</v>
      </c>
      <c r="C33" s="14">
        <v>3</v>
      </c>
      <c r="D33" s="31">
        <v>25403</v>
      </c>
      <c r="E33" s="94">
        <f t="shared" si="1"/>
        <v>1.6870898262859841</v>
      </c>
    </row>
    <row r="34" spans="1:5" x14ac:dyDescent="0.15">
      <c r="A34" s="14" t="s">
        <v>42950</v>
      </c>
      <c r="E34" s="95"/>
    </row>
    <row r="35" spans="1:5" x14ac:dyDescent="0.15">
      <c r="E35" s="95"/>
    </row>
  </sheetData>
  <sortState xmlns:xlrd2="http://schemas.microsoft.com/office/spreadsheetml/2017/richdata2" ref="A2:F34">
    <sortCondition descending="1" ref="E2:E34"/>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2013-2019 Police Killings</vt:lpstr>
      <vt:lpstr>2013-2019 Killings by PD</vt:lpstr>
      <vt:lpstr>2013-2019 Killings by State</vt:lpstr>
      <vt:lpstr>Police Killings of Black 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 sinyangwe</cp:lastModifiedBy>
  <dcterms:created xsi:type="dcterms:W3CDTF">2015-11-04T15:56:20Z</dcterms:created>
  <dcterms:modified xsi:type="dcterms:W3CDTF">2020-06-06T22:25:08Z</dcterms:modified>
</cp:coreProperties>
</file>